
<file path=[Content_Types].xml><?xml version="1.0" encoding="utf-8"?>
<Types xmlns="http://schemas.openxmlformats.org/package/2006/content-types">
  <Default Extension="bin" ContentType="application/vnd.openxmlformats-officedocument.spreadsheetml.printerSetting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ml.chartshapes+xml"/>
  <Override PartName="/xl/charts/chart2.xml" ContentType="application/vnd.openxmlformats-officedocument.drawingml.chart+xml"/>
  <Override PartName="/xl/charts/chart3.xml" ContentType="application/vnd.openxmlformats-officedocument.drawingml.chart+xml"/>
  <Override PartName="/xl/drawings/drawing3.xml" ContentType="application/vnd.openxmlformats-officedocument.drawingml.chartshapes+xml"/>
  <Override PartName="/xl/charts/chart4.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24226"/>
  <mc:AlternateContent xmlns:mc="http://schemas.openxmlformats.org/markup-compatibility/2006">
    <mc:Choice Requires="x15">
      <x15ac:absPath xmlns:x15ac="http://schemas.microsoft.com/office/spreadsheetml/2010/11/ac" url="G:\FCSD\Linked Spreadsheets\ASD Statistics\POBE 2019\"/>
    </mc:Choice>
  </mc:AlternateContent>
  <bookViews>
    <workbookView xWindow="495" yWindow="1110" windowWidth="17115" windowHeight="6315" tabRatio="874" firstSheet="1" activeTab="1"/>
  </bookViews>
  <sheets>
    <sheet name="Publication Tables - Original" sheetId="121" state="hidden" r:id="rId1"/>
    <sheet name="Scotland" sheetId="67" r:id="rId2"/>
    <sheet name="Aberdeen City" sheetId="2" r:id="rId3"/>
    <sheet name="Aberdeenshire" sheetId="3" r:id="rId4"/>
    <sheet name="Angus" sheetId="64" r:id="rId5"/>
    <sheet name="Argyll &amp; Bute" sheetId="5" r:id="rId6"/>
    <sheet name="Clackmannanshire" sheetId="6" r:id="rId7"/>
    <sheet name="Dumfries &amp; Galloway" sheetId="7" r:id="rId8"/>
    <sheet name="Dundee City" sheetId="8" r:id="rId9"/>
    <sheet name="East Ayrshire" sheetId="9" r:id="rId10"/>
    <sheet name="East Dunbartonshire" sheetId="10" r:id="rId11"/>
    <sheet name="East Lothian" sheetId="11" r:id="rId12"/>
    <sheet name="East Renfrewshire" sheetId="12" r:id="rId13"/>
    <sheet name="Edinburgh, City of" sheetId="13" r:id="rId14"/>
    <sheet name="Eilean Siar" sheetId="14" r:id="rId15"/>
    <sheet name="Falkirk" sheetId="15" r:id="rId16"/>
    <sheet name="Fife" sheetId="16" r:id="rId17"/>
    <sheet name="Glasgow City" sheetId="17" r:id="rId18"/>
    <sheet name="Highland" sheetId="18" r:id="rId19"/>
    <sheet name="Inverclyde" sheetId="19" r:id="rId20"/>
    <sheet name="Midlothian" sheetId="20" r:id="rId21"/>
    <sheet name="Moray" sheetId="21" r:id="rId22"/>
    <sheet name="North Ayrshire" sheetId="22" r:id="rId23"/>
    <sheet name="North Lanarkshire" sheetId="23" r:id="rId24"/>
    <sheet name="Orkney Islands" sheetId="24" r:id="rId25"/>
    <sheet name="Perth &amp; Kinross" sheetId="25" r:id="rId26"/>
    <sheet name="Renfrewshire" sheetId="26" r:id="rId27"/>
    <sheet name="Scottish Borders" sheetId="27" r:id="rId28"/>
    <sheet name="Shetland Islands" sheetId="28" r:id="rId29"/>
    <sheet name="South Ayrshire" sheetId="29" r:id="rId30"/>
    <sheet name="South Lanarkshire" sheetId="30" r:id="rId31"/>
    <sheet name="Stirling" sheetId="31" r:id="rId32"/>
    <sheet name="West Dunbartonshire" sheetId="32" r:id="rId33"/>
    <sheet name="West Lothian" sheetId="33" r:id="rId34"/>
    <sheet name="Children&amp;Families inc Ad Info" sheetId="102" state="hidden" r:id="rId35"/>
    <sheet name="Buses - subsidy" sheetId="109" state="hidden" r:id="rId36"/>
    <sheet name="CultureHeritage" sheetId="116" state="hidden" r:id="rId37"/>
    <sheet name="Tourism" sheetId="117" state="hidden" r:id="rId38"/>
    <sheet name="RecSport" sheetId="118" state="hidden" r:id="rId39"/>
    <sheet name="Library" sheetId="119" state="hidden" r:id="rId40"/>
    <sheet name="Other" sheetId="92" state="hidden" r:id="rId41"/>
    <sheet name="RSG" sheetId="124" state="hidden" r:id="rId42"/>
  </sheets>
  <calcPr calcId="162913"/>
</workbook>
</file>

<file path=xl/calcChain.xml><?xml version="1.0" encoding="utf-8"?>
<calcChain xmlns="http://schemas.openxmlformats.org/spreadsheetml/2006/main">
  <c r="F38" i="67" l="1"/>
  <c r="I77" i="30" l="1"/>
  <c r="F36" i="5"/>
  <c r="F48" i="5"/>
  <c r="F49" i="5"/>
  <c r="F53" i="5" s="1"/>
  <c r="F77" i="5"/>
  <c r="F28" i="5" s="1"/>
  <c r="F100" i="5"/>
  <c r="F115" i="5"/>
  <c r="F98" i="5" s="1"/>
  <c r="F125" i="5"/>
  <c r="F99" i="5" s="1"/>
  <c r="F135" i="5"/>
  <c r="F143" i="5"/>
  <c r="F101" i="5" s="1"/>
  <c r="F150" i="5"/>
  <c r="F102" i="5" s="1"/>
  <c r="F163" i="5"/>
  <c r="F169" i="5"/>
  <c r="F176" i="5"/>
  <c r="F178" i="5" s="1"/>
  <c r="F179" i="5" s="1"/>
  <c r="F201" i="5"/>
  <c r="F207" i="5"/>
  <c r="F231" i="5"/>
  <c r="F32" i="5" s="1"/>
  <c r="F242" i="5"/>
  <c r="F247" i="5"/>
  <c r="F254" i="5"/>
  <c r="F276" i="5"/>
  <c r="F277" i="5" s="1"/>
  <c r="F34" i="5" s="1"/>
  <c r="F301" i="5"/>
  <c r="F302" i="5" s="1"/>
  <c r="F35" i="5" s="1"/>
  <c r="F314" i="5"/>
  <c r="F320" i="5" s="1"/>
  <c r="F37" i="5" s="1"/>
  <c r="F325" i="5"/>
  <c r="F332" i="5"/>
  <c r="F363" i="5"/>
  <c r="F42" i="2"/>
  <c r="F49" i="2"/>
  <c r="F53" i="2" s="1"/>
  <c r="F71" i="2"/>
  <c r="F72" i="2"/>
  <c r="F73" i="2"/>
  <c r="F77" i="2" s="1"/>
  <c r="F28" i="2" s="1"/>
  <c r="F74" i="2"/>
  <c r="F75" i="2"/>
  <c r="F84" i="2"/>
  <c r="F102" i="2"/>
  <c r="F115" i="2"/>
  <c r="F98" i="2" s="1"/>
  <c r="F105" i="2" s="1"/>
  <c r="F29" i="2" s="1"/>
  <c r="F120" i="2"/>
  <c r="F125" i="2"/>
  <c r="F99" i="2" s="1"/>
  <c r="F135" i="2"/>
  <c r="F100" i="2" s="1"/>
  <c r="F143" i="2"/>
  <c r="F101" i="2" s="1"/>
  <c r="F150" i="2"/>
  <c r="F163" i="2"/>
  <c r="F169" i="2"/>
  <c r="F178" i="2"/>
  <c r="F179" i="2" s="1"/>
  <c r="F201" i="2"/>
  <c r="F214" i="2" s="1"/>
  <c r="F31" i="2" s="1"/>
  <c r="F207" i="2"/>
  <c r="F231" i="2"/>
  <c r="F32" i="2" s="1"/>
  <c r="F242" i="2"/>
  <c r="F257" i="2" s="1"/>
  <c r="F33" i="2" s="1"/>
  <c r="F247" i="2"/>
  <c r="F254" i="2"/>
  <c r="F277" i="2"/>
  <c r="F34" i="2" s="1"/>
  <c r="F302" i="2"/>
  <c r="F35" i="2" s="1"/>
  <c r="F320" i="2"/>
  <c r="F37" i="2" s="1"/>
  <c r="F325" i="2"/>
  <c r="F332" i="2"/>
  <c r="F363" i="2"/>
  <c r="F214" i="5" l="1"/>
  <c r="F31" i="5" s="1"/>
  <c r="F257" i="5"/>
  <c r="F33" i="5" s="1"/>
  <c r="F180" i="5"/>
  <c r="F30" i="5" s="1"/>
  <c r="F105" i="5"/>
  <c r="F29" i="5" s="1"/>
  <c r="F38" i="5" s="1"/>
  <c r="F52" i="5" s="1"/>
  <c r="F54" i="5" s="1"/>
  <c r="F58" i="5" s="1"/>
  <c r="F61" i="5" s="1"/>
  <c r="F180" i="2"/>
  <c r="F30" i="2" s="1"/>
  <c r="F38" i="2"/>
  <c r="F52" i="2" s="1"/>
  <c r="F54" i="2"/>
  <c r="F58" i="2" s="1"/>
  <c r="F61" i="2" s="1"/>
  <c r="H363" i="26"/>
  <c r="F363" i="26"/>
  <c r="H332" i="26"/>
  <c r="G332" i="26"/>
  <c r="F332" i="26"/>
  <c r="D332" i="26"/>
  <c r="C332" i="26"/>
  <c r="H325" i="26"/>
  <c r="G325" i="26"/>
  <c r="F325" i="26"/>
  <c r="D325" i="26"/>
  <c r="C325" i="26"/>
  <c r="H316" i="26"/>
  <c r="F316" i="26"/>
  <c r="H314" i="26"/>
  <c r="F314" i="26"/>
  <c r="H302" i="26"/>
  <c r="H35" i="26" s="1"/>
  <c r="H301" i="26"/>
  <c r="F301" i="26"/>
  <c r="H277" i="26"/>
  <c r="H34" i="26" s="1"/>
  <c r="F277" i="26"/>
  <c r="F34" i="26" s="1"/>
  <c r="H254" i="26"/>
  <c r="F254" i="26"/>
  <c r="H247" i="26"/>
  <c r="F247" i="26"/>
  <c r="H242" i="26"/>
  <c r="F242" i="26"/>
  <c r="H231" i="26"/>
  <c r="F231" i="26"/>
  <c r="F32" i="26" s="1"/>
  <c r="F207" i="26"/>
  <c r="H205" i="26"/>
  <c r="H204" i="26"/>
  <c r="H201" i="26"/>
  <c r="F201" i="26"/>
  <c r="F214" i="26" s="1"/>
  <c r="H178" i="26"/>
  <c r="H179" i="26" s="1"/>
  <c r="F178" i="26"/>
  <c r="F179" i="26" s="1"/>
  <c r="H169" i="26"/>
  <c r="F169" i="26"/>
  <c r="H163" i="26"/>
  <c r="F163" i="26"/>
  <c r="H150" i="26"/>
  <c r="H102" i="26" s="1"/>
  <c r="F150" i="26"/>
  <c r="H143" i="26"/>
  <c r="H101" i="26" s="1"/>
  <c r="F143" i="26"/>
  <c r="F101" i="26" s="1"/>
  <c r="H135" i="26"/>
  <c r="H100" i="26" s="1"/>
  <c r="F135" i="26"/>
  <c r="H125" i="26"/>
  <c r="F125" i="26"/>
  <c r="F99" i="26" s="1"/>
  <c r="H115" i="26"/>
  <c r="H98" i="26" s="1"/>
  <c r="F115" i="26"/>
  <c r="H99" i="26"/>
  <c r="I77" i="26"/>
  <c r="G77" i="26"/>
  <c r="H73" i="26"/>
  <c r="H77" i="26" s="1"/>
  <c r="H28" i="26" s="1"/>
  <c r="F73" i="26"/>
  <c r="H72" i="26"/>
  <c r="F72" i="26"/>
  <c r="F77" i="26" s="1"/>
  <c r="H53" i="26"/>
  <c r="H49" i="26"/>
  <c r="F48" i="26"/>
  <c r="H32" i="26"/>
  <c r="F31" i="26"/>
  <c r="H180" i="26" l="1"/>
  <c r="H30" i="26" s="1"/>
  <c r="H257" i="26"/>
  <c r="H33" i="26" s="1"/>
  <c r="H207" i="26"/>
  <c r="H214" i="26" s="1"/>
  <c r="H31" i="26" s="1"/>
  <c r="H320" i="26"/>
  <c r="H37" i="26" s="1"/>
  <c r="F28" i="26"/>
  <c r="F42" i="26"/>
  <c r="F49" i="26"/>
  <c r="H105" i="26"/>
  <c r="H29" i="26" s="1"/>
  <c r="F100" i="26"/>
  <c r="F98" i="26"/>
  <c r="F102" i="26"/>
  <c r="F257" i="26"/>
  <c r="F302" i="26"/>
  <c r="F180" i="26"/>
  <c r="F320" i="26"/>
  <c r="H363" i="33"/>
  <c r="F363" i="33"/>
  <c r="H332" i="33"/>
  <c r="G332" i="33"/>
  <c r="F332" i="33"/>
  <c r="D332" i="33"/>
  <c r="C332" i="33"/>
  <c r="H325" i="33"/>
  <c r="G325" i="33"/>
  <c r="F325" i="33"/>
  <c r="D325" i="33"/>
  <c r="C325" i="33"/>
  <c r="H320" i="33"/>
  <c r="H37" i="33" s="1"/>
  <c r="F320" i="33"/>
  <c r="H302" i="33"/>
  <c r="F302" i="33"/>
  <c r="F35" i="33" s="1"/>
  <c r="H277" i="33"/>
  <c r="H34" i="33" s="1"/>
  <c r="F277" i="33"/>
  <c r="H254" i="33"/>
  <c r="F254" i="33"/>
  <c r="H247" i="33"/>
  <c r="F247" i="33"/>
  <c r="H242" i="33"/>
  <c r="F242" i="33"/>
  <c r="F257" i="33" s="1"/>
  <c r="F33" i="33" s="1"/>
  <c r="H231" i="33"/>
  <c r="H32" i="33" s="1"/>
  <c r="F231" i="33"/>
  <c r="H207" i="33"/>
  <c r="F207" i="33"/>
  <c r="H201" i="33"/>
  <c r="F201" i="33"/>
  <c r="H178" i="33"/>
  <c r="H179" i="33" s="1"/>
  <c r="F178" i="33"/>
  <c r="H169" i="33"/>
  <c r="F169" i="33"/>
  <c r="H163" i="33"/>
  <c r="F163" i="33"/>
  <c r="H150" i="33"/>
  <c r="F149" i="33"/>
  <c r="F150" i="33" s="1"/>
  <c r="F102" i="33" s="1"/>
  <c r="H143" i="33"/>
  <c r="F143" i="33"/>
  <c r="F101" i="33" s="1"/>
  <c r="H135" i="33"/>
  <c r="H100" i="33" s="1"/>
  <c r="F134" i="33"/>
  <c r="H125" i="33"/>
  <c r="F124" i="33"/>
  <c r="F125" i="33" s="1"/>
  <c r="H115" i="33"/>
  <c r="H98" i="33" s="1"/>
  <c r="H105" i="33" s="1"/>
  <c r="H29" i="33" s="1"/>
  <c r="F114" i="33"/>
  <c r="F113" i="33"/>
  <c r="F115" i="33" s="1"/>
  <c r="F98" i="33" s="1"/>
  <c r="F103" i="33"/>
  <c r="H102" i="33"/>
  <c r="H101" i="33"/>
  <c r="H99" i="33"/>
  <c r="I77" i="33"/>
  <c r="H77" i="33"/>
  <c r="G77" i="33"/>
  <c r="F72" i="33"/>
  <c r="F71" i="33"/>
  <c r="H49" i="33"/>
  <c r="H53" i="33" s="1"/>
  <c r="F37" i="33"/>
  <c r="H35" i="33"/>
  <c r="F34" i="33"/>
  <c r="F32" i="33"/>
  <c r="H28" i="33"/>
  <c r="H180" i="33" l="1"/>
  <c r="H30" i="33" s="1"/>
  <c r="H257" i="33"/>
  <c r="H33" i="33" s="1"/>
  <c r="F77" i="33"/>
  <c r="H214" i="33"/>
  <c r="H31" i="33" s="1"/>
  <c r="H38" i="33" s="1"/>
  <c r="H52" i="33" s="1"/>
  <c r="H54" i="33" s="1"/>
  <c r="H58" i="33" s="1"/>
  <c r="H38" i="26"/>
  <c r="H52" i="26" s="1"/>
  <c r="H54" i="26" s="1"/>
  <c r="H58" i="26" s="1"/>
  <c r="F105" i="26"/>
  <c r="F33" i="26"/>
  <c r="F30" i="26"/>
  <c r="F35" i="26"/>
  <c r="F37" i="26"/>
  <c r="F53" i="26"/>
  <c r="F28" i="33"/>
  <c r="F42" i="33"/>
  <c r="F99" i="33"/>
  <c r="F214" i="33"/>
  <c r="F49" i="33"/>
  <c r="F135" i="33"/>
  <c r="F179" i="33"/>
  <c r="F29" i="26" l="1"/>
  <c r="F100" i="33"/>
  <c r="F53" i="33"/>
  <c r="F31" i="33"/>
  <c r="F180" i="33"/>
  <c r="F38" i="26" l="1"/>
  <c r="F105" i="33"/>
  <c r="F30" i="33"/>
  <c r="F52" i="26" l="1"/>
  <c r="F29" i="33"/>
  <c r="F54" i="26" l="1"/>
  <c r="F38" i="33"/>
  <c r="F58" i="26" l="1"/>
  <c r="F52" i="33"/>
  <c r="F61" i="26" l="1"/>
  <c r="F54" i="33"/>
  <c r="H57" i="26" l="1"/>
  <c r="H61" i="26" s="1"/>
  <c r="F58" i="33"/>
  <c r="F61" i="33" l="1"/>
  <c r="H57" i="33" l="1"/>
  <c r="H61" i="33" s="1"/>
  <c r="H363" i="3" l="1"/>
  <c r="F363" i="3"/>
  <c r="H332" i="3"/>
  <c r="G332" i="3"/>
  <c r="F332" i="3"/>
  <c r="D332" i="3"/>
  <c r="C332" i="3"/>
  <c r="H325" i="3"/>
  <c r="G325" i="3"/>
  <c r="F325" i="3"/>
  <c r="D325" i="3"/>
  <c r="C325" i="3"/>
  <c r="H320" i="3"/>
  <c r="F320" i="3"/>
  <c r="H302" i="3"/>
  <c r="F302" i="3"/>
  <c r="F35" i="3" s="1"/>
  <c r="H277" i="3"/>
  <c r="F277" i="3"/>
  <c r="H254" i="3"/>
  <c r="F254" i="3"/>
  <c r="H247" i="3"/>
  <c r="F247" i="3"/>
  <c r="H242" i="3"/>
  <c r="F242" i="3"/>
  <c r="F257" i="3" s="1"/>
  <c r="F33" i="3" s="1"/>
  <c r="H231" i="3"/>
  <c r="F231" i="3"/>
  <c r="H207" i="3"/>
  <c r="F207" i="3"/>
  <c r="H201" i="3"/>
  <c r="H214" i="3" s="1"/>
  <c r="F201" i="3"/>
  <c r="H178" i="3"/>
  <c r="H179" i="3" s="1"/>
  <c r="F178" i="3"/>
  <c r="H169" i="3"/>
  <c r="F169" i="3"/>
  <c r="H163" i="3"/>
  <c r="F163" i="3"/>
  <c r="H150" i="3"/>
  <c r="F150" i="3"/>
  <c r="H143" i="3"/>
  <c r="H101" i="3" s="1"/>
  <c r="F143" i="3"/>
  <c r="F101" i="3" s="1"/>
  <c r="H135" i="3"/>
  <c r="F135" i="3"/>
  <c r="H125" i="3"/>
  <c r="H99" i="3" s="1"/>
  <c r="F120" i="3"/>
  <c r="H115" i="3"/>
  <c r="F115" i="3"/>
  <c r="H102" i="3"/>
  <c r="H100" i="3"/>
  <c r="H98" i="3"/>
  <c r="I77" i="3"/>
  <c r="H77" i="3"/>
  <c r="G77" i="3"/>
  <c r="F77" i="3"/>
  <c r="F60" i="3"/>
  <c r="H49" i="3"/>
  <c r="H53" i="3" s="1"/>
  <c r="H37" i="3"/>
  <c r="F37" i="3"/>
  <c r="H35" i="3"/>
  <c r="H34" i="3"/>
  <c r="F34" i="3"/>
  <c r="H32" i="3"/>
  <c r="F32" i="3"/>
  <c r="H31" i="3"/>
  <c r="H28" i="3"/>
  <c r="H257" i="3" l="1"/>
  <c r="H33" i="3" s="1"/>
  <c r="H180" i="3"/>
  <c r="H30" i="3" s="1"/>
  <c r="F214" i="3"/>
  <c r="F49" i="3"/>
  <c r="F42" i="3"/>
  <c r="F98" i="3"/>
  <c r="F28" i="3"/>
  <c r="H105" i="3"/>
  <c r="H29" i="3" s="1"/>
  <c r="H38" i="3" s="1"/>
  <c r="H52" i="3" s="1"/>
  <c r="H54" i="3" s="1"/>
  <c r="H58" i="3" s="1"/>
  <c r="F125" i="3"/>
  <c r="F102" i="3"/>
  <c r="F31" i="3"/>
  <c r="F100" i="3"/>
  <c r="F179" i="3"/>
  <c r="F53" i="3" l="1"/>
  <c r="F99" i="3"/>
  <c r="F180" i="3"/>
  <c r="F105" i="3"/>
  <c r="F29" i="3" l="1"/>
  <c r="F30" i="3"/>
  <c r="H363" i="23"/>
  <c r="F363" i="23"/>
  <c r="H332" i="23"/>
  <c r="G332" i="23"/>
  <c r="F332" i="23"/>
  <c r="D332" i="23"/>
  <c r="C332" i="23"/>
  <c r="H325" i="23"/>
  <c r="G325" i="23"/>
  <c r="F325" i="23"/>
  <c r="D325" i="23"/>
  <c r="C325" i="23"/>
  <c r="H320" i="23"/>
  <c r="H37" i="23" s="1"/>
  <c r="F320" i="23"/>
  <c r="F37" i="23" s="1"/>
  <c r="H302" i="23"/>
  <c r="F302" i="23"/>
  <c r="H277" i="23"/>
  <c r="H34" i="23" s="1"/>
  <c r="F277" i="23"/>
  <c r="F34" i="23" s="1"/>
  <c r="H254" i="23"/>
  <c r="F254" i="23"/>
  <c r="H247" i="23"/>
  <c r="F247" i="23"/>
  <c r="H242" i="23"/>
  <c r="F242" i="23"/>
  <c r="H231" i="23"/>
  <c r="H32" i="23" s="1"/>
  <c r="F231" i="23"/>
  <c r="F32" i="23" s="1"/>
  <c r="H207" i="23"/>
  <c r="F207" i="23"/>
  <c r="H201" i="23"/>
  <c r="H214" i="23" s="1"/>
  <c r="H31" i="23" s="1"/>
  <c r="F201" i="23"/>
  <c r="H178" i="23"/>
  <c r="H179" i="23" s="1"/>
  <c r="F178" i="23"/>
  <c r="F179" i="23" s="1"/>
  <c r="H169" i="23"/>
  <c r="F169" i="23"/>
  <c r="H163" i="23"/>
  <c r="F163" i="23"/>
  <c r="H150" i="23"/>
  <c r="H102" i="23" s="1"/>
  <c r="F150" i="23"/>
  <c r="F102" i="23" s="1"/>
  <c r="H143" i="23"/>
  <c r="H101" i="23" s="1"/>
  <c r="F143" i="23"/>
  <c r="H135" i="23"/>
  <c r="H100" i="23" s="1"/>
  <c r="F135" i="23"/>
  <c r="F100" i="23" s="1"/>
  <c r="H125" i="23"/>
  <c r="F125" i="23"/>
  <c r="H115" i="23"/>
  <c r="H98" i="23" s="1"/>
  <c r="F115" i="23"/>
  <c r="F98" i="23" s="1"/>
  <c r="F101" i="23"/>
  <c r="H99" i="23"/>
  <c r="I77" i="23"/>
  <c r="H77" i="23"/>
  <c r="H28" i="23" s="1"/>
  <c r="G77" i="23"/>
  <c r="F77" i="23"/>
  <c r="F28" i="23" s="1"/>
  <c r="H49" i="23"/>
  <c r="H53" i="23" s="1"/>
  <c r="F49" i="23"/>
  <c r="H35" i="23"/>
  <c r="F35" i="23"/>
  <c r="F38" i="3" l="1"/>
  <c r="F257" i="23"/>
  <c r="F214" i="23"/>
  <c r="H180" i="23"/>
  <c r="H30" i="23" s="1"/>
  <c r="H105" i="23"/>
  <c r="H29" i="23" s="1"/>
  <c r="F53" i="23"/>
  <c r="F180" i="23"/>
  <c r="F99" i="23"/>
  <c r="F105" i="23" s="1"/>
  <c r="F42" i="23"/>
  <c r="H257" i="23"/>
  <c r="H33" i="23" s="1"/>
  <c r="H38" i="23" l="1"/>
  <c r="H52" i="23" s="1"/>
  <c r="H54" i="23" s="1"/>
  <c r="H58" i="23" s="1"/>
  <c r="F52" i="3"/>
  <c r="F33" i="23"/>
  <c r="F31" i="23"/>
  <c r="F29" i="23"/>
  <c r="F30" i="23"/>
  <c r="F54" i="3" l="1"/>
  <c r="F38" i="23"/>
  <c r="F58" i="3" l="1"/>
  <c r="F52" i="23"/>
  <c r="F61" i="3" l="1"/>
  <c r="F54" i="23"/>
  <c r="H57" i="3" l="1"/>
  <c r="H61" i="3" s="1"/>
  <c r="F58" i="23"/>
  <c r="F61" i="23" l="1"/>
  <c r="H57" i="23" l="1"/>
  <c r="H61" i="23" s="1"/>
  <c r="H363" i="12" l="1"/>
  <c r="F363" i="12"/>
  <c r="H332" i="12"/>
  <c r="G332" i="12"/>
  <c r="F332" i="12"/>
  <c r="D332" i="12"/>
  <c r="H325" i="12"/>
  <c r="G325" i="12"/>
  <c r="F325" i="12"/>
  <c r="D325" i="12"/>
  <c r="C325" i="12"/>
  <c r="H320" i="12"/>
  <c r="H37" i="12" s="1"/>
  <c r="H277" i="12"/>
  <c r="H34" i="12" s="1"/>
  <c r="H254" i="12"/>
  <c r="H247" i="12"/>
  <c r="F247" i="12"/>
  <c r="H242" i="12"/>
  <c r="F178" i="12"/>
  <c r="H169" i="12"/>
  <c r="H135" i="12"/>
  <c r="H100" i="12" s="1"/>
  <c r="H125" i="12"/>
  <c r="H99" i="12" s="1"/>
  <c r="F125" i="12"/>
  <c r="H115" i="12"/>
  <c r="H98" i="12" s="1"/>
  <c r="I77" i="12"/>
  <c r="G77" i="12"/>
  <c r="H143" i="12" l="1"/>
  <c r="H101" i="12" s="1"/>
  <c r="H150" i="12"/>
  <c r="H102" i="12" s="1"/>
  <c r="H105" i="12" s="1"/>
  <c r="H29" i="12" s="1"/>
  <c r="F231" i="12"/>
  <c r="F32" i="12" s="1"/>
  <c r="H49" i="12"/>
  <c r="H53" i="12" s="1"/>
  <c r="H201" i="12"/>
  <c r="H207" i="12"/>
  <c r="H231" i="12"/>
  <c r="H32" i="12" s="1"/>
  <c r="F242" i="12"/>
  <c r="F277" i="12"/>
  <c r="H178" i="12"/>
  <c r="H179" i="12" s="1"/>
  <c r="H257" i="12"/>
  <c r="H33" i="12" s="1"/>
  <c r="H302" i="12"/>
  <c r="H35" i="12" s="1"/>
  <c r="F42" i="12"/>
  <c r="F49" i="12"/>
  <c r="F163" i="12"/>
  <c r="F77" i="12"/>
  <c r="F135" i="12"/>
  <c r="F150" i="12"/>
  <c r="F179" i="12"/>
  <c r="F143" i="12"/>
  <c r="F115" i="12"/>
  <c r="F34" i="12"/>
  <c r="H77" i="12"/>
  <c r="H28" i="12" s="1"/>
  <c r="F99" i="12"/>
  <c r="F169" i="12"/>
  <c r="F201" i="12"/>
  <c r="F320" i="12"/>
  <c r="H163" i="12"/>
  <c r="F207" i="12"/>
  <c r="F254" i="12"/>
  <c r="F302" i="12"/>
  <c r="C332" i="12"/>
  <c r="F257" i="12" l="1"/>
  <c r="F33" i="12" s="1"/>
  <c r="H214" i="12"/>
  <c r="H31" i="12" s="1"/>
  <c r="H38" i="12" s="1"/>
  <c r="H52" i="12" s="1"/>
  <c r="H54" i="12" s="1"/>
  <c r="H58" i="12" s="1"/>
  <c r="H180" i="12"/>
  <c r="H30" i="12" s="1"/>
  <c r="F37" i="12"/>
  <c r="F214" i="12"/>
  <c r="F98" i="12"/>
  <c r="F28" i="12"/>
  <c r="F35" i="12"/>
  <c r="F102" i="12"/>
  <c r="F180" i="12"/>
  <c r="F53" i="12"/>
  <c r="F101" i="12"/>
  <c r="F100" i="12"/>
  <c r="F105" i="12" l="1"/>
  <c r="F31" i="12"/>
  <c r="F30" i="12"/>
  <c r="F29" i="12" l="1"/>
  <c r="F38" i="12" l="1"/>
  <c r="F52" i="12" l="1"/>
  <c r="F54" i="12" l="1"/>
  <c r="F58" i="12" l="1"/>
  <c r="F61" i="12" l="1"/>
  <c r="H57" i="12" l="1"/>
  <c r="H61" i="12" s="1"/>
  <c r="H361" i="64" l="1"/>
  <c r="H360" i="64"/>
  <c r="F360" i="64"/>
  <c r="H357" i="64"/>
  <c r="F357" i="64"/>
  <c r="H356" i="64"/>
  <c r="F356" i="64"/>
  <c r="F355" i="64"/>
  <c r="F354" i="64"/>
  <c r="H353" i="64"/>
  <c r="F353" i="64"/>
  <c r="C335" i="64"/>
  <c r="D334" i="64"/>
  <c r="C334" i="64"/>
  <c r="D333" i="64"/>
  <c r="D332" i="64" s="1"/>
  <c r="C333" i="64"/>
  <c r="C332" i="64" s="1"/>
  <c r="H332" i="64"/>
  <c r="G332" i="64"/>
  <c r="F332" i="64"/>
  <c r="C328" i="64"/>
  <c r="D327" i="64"/>
  <c r="C327" i="64"/>
  <c r="D326" i="64"/>
  <c r="H325" i="64"/>
  <c r="G325" i="64"/>
  <c r="F325" i="64"/>
  <c r="D325" i="64"/>
  <c r="H318" i="64"/>
  <c r="F318" i="64"/>
  <c r="H316" i="64"/>
  <c r="F316" i="64"/>
  <c r="F314" i="64"/>
  <c r="H301" i="64"/>
  <c r="F301" i="64"/>
  <c r="H298" i="64"/>
  <c r="F298" i="64"/>
  <c r="H295" i="64"/>
  <c r="F295" i="64"/>
  <c r="H294" i="64"/>
  <c r="F294" i="64"/>
  <c r="H293" i="64"/>
  <c r="F293" i="64"/>
  <c r="H288" i="64"/>
  <c r="H302" i="64" s="1"/>
  <c r="F288" i="64"/>
  <c r="F302" i="64" s="1"/>
  <c r="H277" i="64"/>
  <c r="F277" i="64"/>
  <c r="H254" i="64"/>
  <c r="H251" i="64"/>
  <c r="F251" i="64"/>
  <c r="F254" i="64" s="1"/>
  <c r="H247" i="64"/>
  <c r="F247" i="64"/>
  <c r="H242" i="64"/>
  <c r="F242" i="64"/>
  <c r="F257" i="64" s="1"/>
  <c r="F33" i="64" s="1"/>
  <c r="H230" i="64"/>
  <c r="F230" i="64"/>
  <c r="F228" i="64"/>
  <c r="H227" i="64"/>
  <c r="H231" i="64" s="1"/>
  <c r="H32" i="64" s="1"/>
  <c r="F227" i="64"/>
  <c r="H206" i="64"/>
  <c r="F206" i="64"/>
  <c r="H204" i="64"/>
  <c r="H207" i="64" s="1"/>
  <c r="F204" i="64"/>
  <c r="H201" i="64"/>
  <c r="F201" i="64"/>
  <c r="H183" i="64"/>
  <c r="F183" i="64"/>
  <c r="H177" i="64"/>
  <c r="H178" i="64" s="1"/>
  <c r="H179" i="64" s="1"/>
  <c r="F177" i="64"/>
  <c r="F178" i="64" s="1"/>
  <c r="H169" i="64"/>
  <c r="F169" i="64"/>
  <c r="H162" i="64"/>
  <c r="H163" i="64" s="1"/>
  <c r="F162" i="64"/>
  <c r="F161" i="64"/>
  <c r="F163" i="64" s="1"/>
  <c r="H150" i="64"/>
  <c r="F150" i="64"/>
  <c r="F102" i="64" s="1"/>
  <c r="H143" i="64"/>
  <c r="F143" i="64"/>
  <c r="F101" i="64" s="1"/>
  <c r="H135" i="64"/>
  <c r="F135" i="64"/>
  <c r="F100" i="64" s="1"/>
  <c r="H120" i="64"/>
  <c r="H125" i="64" s="1"/>
  <c r="H99" i="64" s="1"/>
  <c r="F120" i="64"/>
  <c r="F125" i="64" s="1"/>
  <c r="F99" i="64" s="1"/>
  <c r="H115" i="64"/>
  <c r="H98" i="64" s="1"/>
  <c r="F115" i="64"/>
  <c r="H102" i="64"/>
  <c r="H101" i="64"/>
  <c r="H100" i="64"/>
  <c r="F98" i="64"/>
  <c r="G83" i="64"/>
  <c r="F83" i="64"/>
  <c r="G82" i="64"/>
  <c r="F82" i="64"/>
  <c r="G81" i="64"/>
  <c r="F81" i="64"/>
  <c r="I77" i="64"/>
  <c r="G74" i="64"/>
  <c r="F74" i="64"/>
  <c r="H73" i="64"/>
  <c r="G73" i="64"/>
  <c r="F73" i="64"/>
  <c r="H72" i="64"/>
  <c r="H77" i="64" s="1"/>
  <c r="H28" i="64" s="1"/>
  <c r="G72" i="64"/>
  <c r="F72" i="64"/>
  <c r="F77" i="64" s="1"/>
  <c r="H48" i="64"/>
  <c r="F48" i="64"/>
  <c r="H47" i="64"/>
  <c r="H44" i="64"/>
  <c r="H43" i="64"/>
  <c r="H35" i="64"/>
  <c r="F35" i="64"/>
  <c r="H34" i="64"/>
  <c r="F34" i="64"/>
  <c r="H180" i="64" l="1"/>
  <c r="H30" i="64" s="1"/>
  <c r="H105" i="64"/>
  <c r="H29" i="64" s="1"/>
  <c r="H49" i="64"/>
  <c r="H53" i="64" s="1"/>
  <c r="G77" i="64"/>
  <c r="F231" i="64"/>
  <c r="F32" i="64" s="1"/>
  <c r="F363" i="64"/>
  <c r="H214" i="64"/>
  <c r="H31" i="64" s="1"/>
  <c r="H38" i="64" s="1"/>
  <c r="H52" i="64" s="1"/>
  <c r="H257" i="64"/>
  <c r="H33" i="64" s="1"/>
  <c r="H320" i="64"/>
  <c r="H37" i="64" s="1"/>
  <c r="C326" i="64"/>
  <c r="C325" i="64" s="1"/>
  <c r="H363" i="64"/>
  <c r="F207" i="64"/>
  <c r="F214" i="64" s="1"/>
  <c r="F28" i="64"/>
  <c r="F42" i="64"/>
  <c r="F49" i="64"/>
  <c r="F105" i="64"/>
  <c r="F179" i="64"/>
  <c r="F320" i="64"/>
  <c r="H54" i="64" l="1"/>
  <c r="H58" i="64" s="1"/>
  <c r="F180" i="64"/>
  <c r="F53" i="64"/>
  <c r="F37" i="64"/>
  <c r="F31" i="64"/>
  <c r="F29" i="64"/>
  <c r="F30" i="64" l="1"/>
  <c r="F38" i="64" l="1"/>
  <c r="F52" i="64" l="1"/>
  <c r="F54" i="64" l="1"/>
  <c r="F58" i="64" l="1"/>
  <c r="F61" i="64" l="1"/>
  <c r="H57" i="64" l="1"/>
  <c r="H61" i="64" s="1"/>
  <c r="H363" i="13" l="1"/>
  <c r="F363" i="13"/>
  <c r="H332" i="13"/>
  <c r="G332" i="13"/>
  <c r="F332" i="13"/>
  <c r="D332" i="13"/>
  <c r="C332" i="13"/>
  <c r="H325" i="13"/>
  <c r="G325" i="13"/>
  <c r="F325" i="13"/>
  <c r="D325" i="13"/>
  <c r="C325" i="13"/>
  <c r="H320" i="13"/>
  <c r="F320" i="13"/>
  <c r="H302" i="13"/>
  <c r="H35" i="13" s="1"/>
  <c r="F302" i="13"/>
  <c r="F35" i="13" s="1"/>
  <c r="H277" i="13"/>
  <c r="F277" i="13"/>
  <c r="H254" i="13"/>
  <c r="F254" i="13"/>
  <c r="H247" i="13"/>
  <c r="F247" i="13"/>
  <c r="H242" i="13"/>
  <c r="F242" i="13"/>
  <c r="H231" i="13"/>
  <c r="H32" i="13" s="1"/>
  <c r="F231" i="13"/>
  <c r="H207" i="13"/>
  <c r="F207" i="13"/>
  <c r="H201" i="13"/>
  <c r="F201" i="13"/>
  <c r="H178" i="13"/>
  <c r="H179" i="13" s="1"/>
  <c r="F178" i="13"/>
  <c r="H169" i="13"/>
  <c r="F169" i="13"/>
  <c r="H163" i="13"/>
  <c r="H180" i="13" s="1"/>
  <c r="H30" i="13" s="1"/>
  <c r="F163" i="13"/>
  <c r="H150" i="13"/>
  <c r="H102" i="13" s="1"/>
  <c r="F150" i="13"/>
  <c r="H143" i="13"/>
  <c r="F143" i="13"/>
  <c r="F101" i="13" s="1"/>
  <c r="H135" i="13"/>
  <c r="H100" i="13" s="1"/>
  <c r="F135" i="13"/>
  <c r="H125" i="13"/>
  <c r="F125" i="13"/>
  <c r="H115" i="13"/>
  <c r="H98" i="13" s="1"/>
  <c r="F115" i="13"/>
  <c r="F98" i="13" s="1"/>
  <c r="F102" i="13"/>
  <c r="H101" i="13"/>
  <c r="F100" i="13"/>
  <c r="H99" i="13"/>
  <c r="F99" i="13"/>
  <c r="I77" i="13"/>
  <c r="H77" i="13"/>
  <c r="G77" i="13"/>
  <c r="F77" i="13"/>
  <c r="H49" i="13"/>
  <c r="H53" i="13" s="1"/>
  <c r="F49" i="13"/>
  <c r="F42" i="13"/>
  <c r="H37" i="13"/>
  <c r="H34" i="13"/>
  <c r="F34" i="13"/>
  <c r="H28" i="13"/>
  <c r="F28" i="13"/>
  <c r="F214" i="13" l="1"/>
  <c r="F31" i="13" s="1"/>
  <c r="F257" i="13"/>
  <c r="F33" i="13" s="1"/>
  <c r="H214" i="13"/>
  <c r="H31" i="13" s="1"/>
  <c r="H105" i="13"/>
  <c r="H29" i="13" s="1"/>
  <c r="H38" i="13" s="1"/>
  <c r="H52" i="13" s="1"/>
  <c r="H54" i="13" s="1"/>
  <c r="H58" i="13" s="1"/>
  <c r="H257" i="13"/>
  <c r="H33" i="13" s="1"/>
  <c r="F53" i="13"/>
  <c r="F105" i="13"/>
  <c r="F32" i="13"/>
  <c r="F37" i="13"/>
  <c r="F179" i="13"/>
  <c r="F29" i="13" l="1"/>
  <c r="F180" i="13"/>
  <c r="F30" i="13" l="1"/>
  <c r="F38" i="13" l="1"/>
  <c r="F52" i="13" l="1"/>
  <c r="F54" i="13" l="1"/>
  <c r="F58" i="13" l="1"/>
  <c r="F61" i="13" l="1"/>
  <c r="H57" i="13" l="1"/>
  <c r="H61" i="13" s="1"/>
  <c r="H363" i="30" l="1"/>
  <c r="F363" i="30"/>
  <c r="H332" i="30"/>
  <c r="G332" i="30"/>
  <c r="F332" i="30"/>
  <c r="D332" i="30"/>
  <c r="C332" i="30"/>
  <c r="H325" i="30"/>
  <c r="G325" i="30"/>
  <c r="F325" i="30"/>
  <c r="D325" i="30"/>
  <c r="C325" i="30"/>
  <c r="H320" i="30"/>
  <c r="F320" i="30"/>
  <c r="F302" i="30"/>
  <c r="F35" i="30" s="1"/>
  <c r="H301" i="30"/>
  <c r="H302" i="30" s="1"/>
  <c r="H35" i="30" s="1"/>
  <c r="F301" i="30"/>
  <c r="H277" i="30"/>
  <c r="H34" i="30" s="1"/>
  <c r="F277" i="30"/>
  <c r="F34" i="30" s="1"/>
  <c r="H254" i="30"/>
  <c r="F254" i="30"/>
  <c r="H247" i="30"/>
  <c r="F247" i="30"/>
  <c r="H242" i="30"/>
  <c r="H257" i="30" s="1"/>
  <c r="H33" i="30" s="1"/>
  <c r="F242" i="30"/>
  <c r="H231" i="30"/>
  <c r="F231" i="30"/>
  <c r="F32" i="30" s="1"/>
  <c r="H207" i="30"/>
  <c r="F207" i="30"/>
  <c r="H201" i="30"/>
  <c r="F201" i="30"/>
  <c r="H179" i="30"/>
  <c r="H178" i="30"/>
  <c r="F178" i="30"/>
  <c r="F179" i="30" s="1"/>
  <c r="H169" i="30"/>
  <c r="F169" i="30"/>
  <c r="H163" i="30"/>
  <c r="F163" i="30"/>
  <c r="H150" i="30"/>
  <c r="H102" i="30" s="1"/>
  <c r="F150" i="30"/>
  <c r="F102" i="30" s="1"/>
  <c r="H143" i="30"/>
  <c r="F143" i="30"/>
  <c r="H135" i="30"/>
  <c r="H100" i="30" s="1"/>
  <c r="F135" i="30"/>
  <c r="F100" i="30" s="1"/>
  <c r="H125" i="30"/>
  <c r="F125" i="30"/>
  <c r="H115" i="30"/>
  <c r="H98" i="30" s="1"/>
  <c r="F115" i="30"/>
  <c r="F98" i="30" s="1"/>
  <c r="H101" i="30"/>
  <c r="F101" i="30"/>
  <c r="H99" i="30"/>
  <c r="H77" i="30"/>
  <c r="H28" i="30" s="1"/>
  <c r="G77" i="30"/>
  <c r="F77" i="30"/>
  <c r="F60" i="30"/>
  <c r="F49" i="30"/>
  <c r="H43" i="30"/>
  <c r="H49" i="30" s="1"/>
  <c r="H53" i="30" s="1"/>
  <c r="H37" i="30"/>
  <c r="F37" i="30"/>
  <c r="H32" i="30"/>
  <c r="H105" i="30" l="1"/>
  <c r="H29" i="30" s="1"/>
  <c r="F257" i="30"/>
  <c r="F33" i="30" s="1"/>
  <c r="F214" i="30"/>
  <c r="F31" i="30" s="1"/>
  <c r="H214" i="30"/>
  <c r="H31" i="30" s="1"/>
  <c r="F53" i="30"/>
  <c r="F99" i="30"/>
  <c r="F28" i="30"/>
  <c r="F42" i="30"/>
  <c r="H180" i="30"/>
  <c r="H30" i="30" s="1"/>
  <c r="F105" i="30"/>
  <c r="F180" i="30"/>
  <c r="H363" i="17"/>
  <c r="F363" i="17"/>
  <c r="H332" i="17"/>
  <c r="G332" i="17"/>
  <c r="F332" i="17"/>
  <c r="D332" i="17"/>
  <c r="C332" i="17"/>
  <c r="H325" i="17"/>
  <c r="G325" i="17"/>
  <c r="F325" i="17"/>
  <c r="D325" i="17"/>
  <c r="C325" i="17"/>
  <c r="H320" i="17"/>
  <c r="F320" i="17"/>
  <c r="F302" i="17"/>
  <c r="H298" i="17"/>
  <c r="H302" i="17" s="1"/>
  <c r="H35" i="17" s="1"/>
  <c r="H277" i="17"/>
  <c r="H34" i="17" s="1"/>
  <c r="F277" i="17"/>
  <c r="F34" i="17" s="1"/>
  <c r="F253" i="17"/>
  <c r="F254" i="17" s="1"/>
  <c r="H251" i="17"/>
  <c r="H254" i="17" s="1"/>
  <c r="H247" i="17"/>
  <c r="F247" i="17"/>
  <c r="F242" i="17"/>
  <c r="H241" i="17"/>
  <c r="H240" i="17"/>
  <c r="H231" i="17"/>
  <c r="F231" i="17"/>
  <c r="F32" i="17" s="1"/>
  <c r="H207" i="17"/>
  <c r="F207" i="17"/>
  <c r="H201" i="17"/>
  <c r="F201" i="17"/>
  <c r="F214" i="17" s="1"/>
  <c r="F31" i="17" s="1"/>
  <c r="H178" i="17"/>
  <c r="H179" i="17" s="1"/>
  <c r="F178" i="17"/>
  <c r="H171" i="17"/>
  <c r="F171" i="17"/>
  <c r="H169" i="17"/>
  <c r="F169" i="17"/>
  <c r="H166" i="17"/>
  <c r="F163" i="17"/>
  <c r="H160" i="17"/>
  <c r="H163" i="17" s="1"/>
  <c r="H180" i="17" s="1"/>
  <c r="H30" i="17" s="1"/>
  <c r="H150" i="17"/>
  <c r="F150" i="17"/>
  <c r="F143" i="17"/>
  <c r="F101" i="17" s="1"/>
  <c r="H138" i="17"/>
  <c r="H143" i="17" s="1"/>
  <c r="H101" i="17" s="1"/>
  <c r="F138" i="17"/>
  <c r="F130" i="17"/>
  <c r="F135" i="17" s="1"/>
  <c r="F100" i="17" s="1"/>
  <c r="H128" i="17"/>
  <c r="H135" i="17" s="1"/>
  <c r="H100" i="17" s="1"/>
  <c r="H125" i="17"/>
  <c r="F125" i="17"/>
  <c r="F115" i="17"/>
  <c r="H113" i="17"/>
  <c r="H112" i="17"/>
  <c r="H104" i="17"/>
  <c r="H102" i="17"/>
  <c r="F102" i="17"/>
  <c r="H99" i="17"/>
  <c r="F99" i="17"/>
  <c r="I76" i="17"/>
  <c r="I77" i="17" s="1"/>
  <c r="G76" i="17"/>
  <c r="G77" i="17" s="1"/>
  <c r="F75" i="17"/>
  <c r="H74" i="17"/>
  <c r="H73" i="17"/>
  <c r="H72" i="17"/>
  <c r="F72" i="17"/>
  <c r="H71" i="17"/>
  <c r="F71" i="17"/>
  <c r="F77" i="17" s="1"/>
  <c r="F28" i="17" s="1"/>
  <c r="H49" i="17"/>
  <c r="H53" i="17" s="1"/>
  <c r="H37" i="17"/>
  <c r="F37" i="17"/>
  <c r="F35" i="17"/>
  <c r="H32" i="17"/>
  <c r="H38" i="30" l="1"/>
  <c r="H52" i="30" s="1"/>
  <c r="H54" i="30" s="1"/>
  <c r="H58" i="30" s="1"/>
  <c r="H214" i="17"/>
  <c r="H31" i="17" s="1"/>
  <c r="H115" i="17"/>
  <c r="H98" i="17" s="1"/>
  <c r="H105" i="17" s="1"/>
  <c r="H29" i="17" s="1"/>
  <c r="H242" i="17"/>
  <c r="H257" i="17" s="1"/>
  <c r="H33" i="17" s="1"/>
  <c r="F30" i="30"/>
  <c r="F29" i="30"/>
  <c r="F49" i="17"/>
  <c r="F42" i="17"/>
  <c r="F257" i="17"/>
  <c r="H77" i="17"/>
  <c r="H28" i="17" s="1"/>
  <c r="F98" i="17"/>
  <c r="F179" i="17"/>
  <c r="H363" i="2"/>
  <c r="H332" i="2"/>
  <c r="G332" i="2"/>
  <c r="D332" i="2"/>
  <c r="C332" i="2"/>
  <c r="H325" i="2"/>
  <c r="G325" i="2"/>
  <c r="D325" i="2"/>
  <c r="C325" i="2"/>
  <c r="H319" i="2"/>
  <c r="H320" i="2" s="1"/>
  <c r="H37" i="2" s="1"/>
  <c r="H302" i="2"/>
  <c r="H277" i="2"/>
  <c r="H34" i="2" s="1"/>
  <c r="H254" i="2"/>
  <c r="H247" i="2"/>
  <c r="H242" i="2"/>
  <c r="H231" i="2"/>
  <c r="H32" i="2" s="1"/>
  <c r="H207" i="2"/>
  <c r="H201" i="2"/>
  <c r="H178" i="2"/>
  <c r="H179" i="2" s="1"/>
  <c r="H169" i="2"/>
  <c r="H163" i="2"/>
  <c r="H150" i="2"/>
  <c r="H102" i="2" s="1"/>
  <c r="H143" i="2"/>
  <c r="H135" i="2"/>
  <c r="H120" i="2"/>
  <c r="H125" i="2" s="1"/>
  <c r="H99" i="2" s="1"/>
  <c r="H115" i="2"/>
  <c r="H98" i="2" s="1"/>
  <c r="H101" i="2"/>
  <c r="H100" i="2"/>
  <c r="H84" i="2"/>
  <c r="I77" i="2"/>
  <c r="G77" i="2"/>
  <c r="H75" i="2"/>
  <c r="H74" i="2"/>
  <c r="H73" i="2"/>
  <c r="H72" i="2"/>
  <c r="H49" i="2"/>
  <c r="H53" i="2" s="1"/>
  <c r="H35" i="2"/>
  <c r="H38" i="17" l="1"/>
  <c r="H52" i="17" s="1"/>
  <c r="H54" i="17" s="1"/>
  <c r="H58" i="17" s="1"/>
  <c r="H105" i="2"/>
  <c r="H29" i="2" s="1"/>
  <c r="H257" i="2"/>
  <c r="H33" i="2" s="1"/>
  <c r="H77" i="2"/>
  <c r="H28" i="2" s="1"/>
  <c r="H214" i="2"/>
  <c r="H31" i="2" s="1"/>
  <c r="F38" i="30"/>
  <c r="F53" i="17"/>
  <c r="F180" i="17"/>
  <c r="F105" i="17"/>
  <c r="F33" i="17"/>
  <c r="H180" i="2"/>
  <c r="H30" i="2" s="1"/>
  <c r="H363" i="5"/>
  <c r="C334" i="5"/>
  <c r="C332" i="5" s="1"/>
  <c r="H332" i="5"/>
  <c r="G332" i="5"/>
  <c r="D332" i="5"/>
  <c r="C327" i="5"/>
  <c r="H325" i="5"/>
  <c r="G325" i="5"/>
  <c r="D325" i="5"/>
  <c r="C325" i="5"/>
  <c r="H314" i="5"/>
  <c r="H320" i="5" s="1"/>
  <c r="H37" i="5" s="1"/>
  <c r="H302" i="5"/>
  <c r="H35" i="5" s="1"/>
  <c r="H276" i="5"/>
  <c r="H277" i="5" s="1"/>
  <c r="H34" i="5" s="1"/>
  <c r="H254" i="5"/>
  <c r="H247" i="5"/>
  <c r="H242" i="5"/>
  <c r="H231" i="5"/>
  <c r="H207" i="5"/>
  <c r="H201" i="5"/>
  <c r="H214" i="5" s="1"/>
  <c r="H176" i="5"/>
  <c r="H178" i="5" s="1"/>
  <c r="H179" i="5" s="1"/>
  <c r="H169" i="5"/>
  <c r="H163" i="5"/>
  <c r="H150" i="5"/>
  <c r="H102" i="5" s="1"/>
  <c r="H143" i="5"/>
  <c r="H135" i="5"/>
  <c r="H125" i="5"/>
  <c r="H115" i="5"/>
  <c r="H98" i="5" s="1"/>
  <c r="H101" i="5"/>
  <c r="H100" i="5"/>
  <c r="H99" i="5"/>
  <c r="I77" i="5"/>
  <c r="H77" i="5"/>
  <c r="H28" i="5" s="1"/>
  <c r="G77" i="5"/>
  <c r="H48" i="5"/>
  <c r="H43" i="5"/>
  <c r="H36" i="5"/>
  <c r="H32" i="5"/>
  <c r="H31" i="5"/>
  <c r="H105" i="5" l="1"/>
  <c r="H29" i="5" s="1"/>
  <c r="H49" i="5"/>
  <c r="H53" i="5" s="1"/>
  <c r="F42" i="5"/>
  <c r="H257" i="5"/>
  <c r="H33" i="5" s="1"/>
  <c r="H38" i="2"/>
  <c r="H52" i="2" s="1"/>
  <c r="H54" i="2" s="1"/>
  <c r="H58" i="2" s="1"/>
  <c r="F52" i="30"/>
  <c r="F30" i="17"/>
  <c r="F29" i="17"/>
  <c r="H180" i="5"/>
  <c r="H30" i="5" s="1"/>
  <c r="H38" i="5" s="1"/>
  <c r="H52" i="5" s="1"/>
  <c r="H54" i="5" s="1"/>
  <c r="H58" i="5" s="1"/>
  <c r="H363" i="29"/>
  <c r="F363" i="29"/>
  <c r="H332" i="29"/>
  <c r="G332" i="29"/>
  <c r="F332" i="29"/>
  <c r="D332" i="29"/>
  <c r="C332" i="29"/>
  <c r="H325" i="29"/>
  <c r="G325" i="29"/>
  <c r="F325" i="29"/>
  <c r="D325" i="29"/>
  <c r="C325" i="29"/>
  <c r="H320" i="29"/>
  <c r="F318" i="29"/>
  <c r="F316" i="29"/>
  <c r="F315" i="29"/>
  <c r="F314" i="29"/>
  <c r="F312" i="29"/>
  <c r="H302" i="29"/>
  <c r="F301" i="29"/>
  <c r="F300" i="29"/>
  <c r="F298" i="29"/>
  <c r="F297" i="29"/>
  <c r="F296" i="29"/>
  <c r="F294" i="29"/>
  <c r="F293" i="29"/>
  <c r="F292" i="29"/>
  <c r="F291" i="29"/>
  <c r="F289" i="29"/>
  <c r="F288" i="29"/>
  <c r="F287" i="29"/>
  <c r="F286" i="29"/>
  <c r="H277" i="29"/>
  <c r="H34" i="29" s="1"/>
  <c r="F276" i="29"/>
  <c r="F274" i="29"/>
  <c r="F273" i="29"/>
  <c r="F272" i="29"/>
  <c r="F271" i="29"/>
  <c r="F268" i="29"/>
  <c r="H257" i="29"/>
  <c r="H33" i="29" s="1"/>
  <c r="F256" i="29"/>
  <c r="H254" i="29"/>
  <c r="F253" i="29"/>
  <c r="F251" i="29"/>
  <c r="H247" i="29"/>
  <c r="F247" i="29"/>
  <c r="H242" i="29"/>
  <c r="F242" i="29"/>
  <c r="F241" i="29"/>
  <c r="F240" i="29"/>
  <c r="H231" i="29"/>
  <c r="F231" i="29"/>
  <c r="F32" i="29" s="1"/>
  <c r="F230" i="29"/>
  <c r="F218" i="29"/>
  <c r="F217" i="29"/>
  <c r="H214" i="29"/>
  <c r="H31" i="29" s="1"/>
  <c r="F213" i="29"/>
  <c r="F212" i="29"/>
  <c r="H207" i="29"/>
  <c r="F204" i="29"/>
  <c r="H201" i="29"/>
  <c r="F200" i="29"/>
  <c r="F201" i="29" s="1"/>
  <c r="F190" i="29"/>
  <c r="F187" i="29"/>
  <c r="F186" i="29"/>
  <c r="F184" i="29"/>
  <c r="F183" i="29"/>
  <c r="H178" i="29"/>
  <c r="H179" i="29" s="1"/>
  <c r="F177" i="29"/>
  <c r="F176" i="29"/>
  <c r="F175" i="29"/>
  <c r="H169" i="29"/>
  <c r="F169" i="29"/>
  <c r="H163" i="29"/>
  <c r="F163" i="29"/>
  <c r="H150" i="29"/>
  <c r="H102" i="29" s="1"/>
  <c r="F149" i="29"/>
  <c r="F148" i="29"/>
  <c r="F147" i="29"/>
  <c r="F146" i="29"/>
  <c r="H143" i="29"/>
  <c r="H101" i="29" s="1"/>
  <c r="F142" i="29"/>
  <c r="F141" i="29"/>
  <c r="F140" i="29"/>
  <c r="F139" i="29"/>
  <c r="F138" i="29"/>
  <c r="H135" i="29"/>
  <c r="H100" i="29" s="1"/>
  <c r="F134" i="29"/>
  <c r="F133" i="29"/>
  <c r="F132" i="29"/>
  <c r="F130" i="29"/>
  <c r="F129" i="29"/>
  <c r="F128" i="29"/>
  <c r="H125" i="29"/>
  <c r="F124" i="29"/>
  <c r="F123" i="29"/>
  <c r="F122" i="29"/>
  <c r="F121" i="29"/>
  <c r="F120" i="29"/>
  <c r="F119" i="29"/>
  <c r="F118" i="29"/>
  <c r="H115" i="29"/>
  <c r="F114" i="29"/>
  <c r="F113" i="29"/>
  <c r="F112" i="29"/>
  <c r="F111" i="29"/>
  <c r="F110" i="29"/>
  <c r="F104" i="29"/>
  <c r="F103" i="29"/>
  <c r="H99" i="29"/>
  <c r="H98" i="29"/>
  <c r="F96" i="29"/>
  <c r="G86" i="29"/>
  <c r="F86" i="29"/>
  <c r="F83" i="29"/>
  <c r="I77" i="29"/>
  <c r="H77" i="29"/>
  <c r="G77" i="29"/>
  <c r="F76" i="29"/>
  <c r="F75" i="29"/>
  <c r="F74" i="29"/>
  <c r="F73" i="29"/>
  <c r="F72" i="29"/>
  <c r="F71" i="29"/>
  <c r="H49" i="29"/>
  <c r="H53" i="29" s="1"/>
  <c r="F49" i="29"/>
  <c r="F42" i="29"/>
  <c r="H37" i="29"/>
  <c r="H35" i="29"/>
  <c r="H32" i="29"/>
  <c r="H28" i="29"/>
  <c r="H105" i="29" l="1"/>
  <c r="H29" i="29" s="1"/>
  <c r="F150" i="29"/>
  <c r="F102" i="29" s="1"/>
  <c r="H180" i="29"/>
  <c r="H30" i="29" s="1"/>
  <c r="H38" i="29" s="1"/>
  <c r="H52" i="29" s="1"/>
  <c r="H54" i="29" s="1"/>
  <c r="H58" i="29" s="1"/>
  <c r="F53" i="29"/>
  <c r="F54" i="30"/>
  <c r="F38" i="17"/>
  <c r="F178" i="29"/>
  <c r="F254" i="29"/>
  <c r="F125" i="29"/>
  <c r="F115" i="29"/>
  <c r="F77" i="29"/>
  <c r="F277" i="29"/>
  <c r="F135" i="29"/>
  <c r="F320" i="29"/>
  <c r="F143" i="29"/>
  <c r="F207" i="29"/>
  <c r="F302" i="29"/>
  <c r="F58" i="30" l="1"/>
  <c r="F52" i="17"/>
  <c r="F100" i="29"/>
  <c r="F28" i="29"/>
  <c r="F101" i="29"/>
  <c r="F179" i="29"/>
  <c r="F34" i="29"/>
  <c r="F214" i="29"/>
  <c r="F99" i="29"/>
  <c r="F35" i="29"/>
  <c r="F257" i="29"/>
  <c r="F37" i="29"/>
  <c r="F98" i="29"/>
  <c r="F61" i="30" l="1"/>
  <c r="F54" i="17"/>
  <c r="F31" i="29"/>
  <c r="F180" i="29"/>
  <c r="F33" i="29"/>
  <c r="F105" i="29"/>
  <c r="H57" i="30" l="1"/>
  <c r="H61" i="30" s="1"/>
  <c r="F58" i="17"/>
  <c r="F30" i="29"/>
  <c r="F29" i="29"/>
  <c r="F61" i="17" l="1"/>
  <c r="F38" i="29"/>
  <c r="H57" i="17" l="1"/>
  <c r="H61" i="17" s="1"/>
  <c r="F52" i="29"/>
  <c r="F54" i="29" l="1"/>
  <c r="H57" i="2" l="1"/>
  <c r="H61" i="2" s="1"/>
  <c r="H57" i="5"/>
  <c r="H61" i="5" s="1"/>
  <c r="F58" i="29"/>
  <c r="F61" i="29" l="1"/>
  <c r="H57" i="29" l="1"/>
  <c r="H61" i="29" s="1"/>
  <c r="H363" i="7" l="1"/>
  <c r="F363" i="7"/>
  <c r="H332" i="7"/>
  <c r="G332" i="7"/>
  <c r="F332" i="7"/>
  <c r="D332" i="7"/>
  <c r="C332" i="7"/>
  <c r="H325" i="7"/>
  <c r="G325" i="7"/>
  <c r="F325" i="7"/>
  <c r="D325" i="7"/>
  <c r="C325" i="7"/>
  <c r="H320" i="7"/>
  <c r="F320" i="7"/>
  <c r="H302" i="7"/>
  <c r="F302" i="7"/>
  <c r="F35" i="7" s="1"/>
  <c r="H277" i="7"/>
  <c r="F277" i="7"/>
  <c r="H254" i="7"/>
  <c r="F254" i="7"/>
  <c r="H247" i="7"/>
  <c r="F247" i="7"/>
  <c r="H242" i="7"/>
  <c r="F242" i="7"/>
  <c r="F257" i="7" s="1"/>
  <c r="F33" i="7" s="1"/>
  <c r="H231" i="7"/>
  <c r="F231" i="7"/>
  <c r="H207" i="7"/>
  <c r="F207" i="7"/>
  <c r="H201" i="7"/>
  <c r="F201" i="7"/>
  <c r="H178" i="7"/>
  <c r="H179" i="7" s="1"/>
  <c r="F178" i="7"/>
  <c r="H169" i="7"/>
  <c r="F169" i="7"/>
  <c r="H163" i="7"/>
  <c r="F163" i="7"/>
  <c r="H150" i="7"/>
  <c r="H102" i="7" s="1"/>
  <c r="F150" i="7"/>
  <c r="F102" i="7" s="1"/>
  <c r="H143" i="7"/>
  <c r="F143" i="7"/>
  <c r="H135" i="7"/>
  <c r="F135" i="7"/>
  <c r="F100" i="7" s="1"/>
  <c r="H125" i="7"/>
  <c r="F125" i="7"/>
  <c r="H115" i="7"/>
  <c r="H98" i="7" s="1"/>
  <c r="F115" i="7"/>
  <c r="H101" i="7"/>
  <c r="F101" i="7"/>
  <c r="H100" i="7"/>
  <c r="H99" i="7"/>
  <c r="F99" i="7"/>
  <c r="F98" i="7"/>
  <c r="I77" i="7"/>
  <c r="H77" i="7"/>
  <c r="G77" i="7"/>
  <c r="F77" i="7"/>
  <c r="F28" i="7" s="1"/>
  <c r="H49" i="7"/>
  <c r="H53" i="7" s="1"/>
  <c r="H37" i="7"/>
  <c r="F37" i="7"/>
  <c r="H35" i="7"/>
  <c r="H34" i="7"/>
  <c r="F34" i="7"/>
  <c r="H32" i="7"/>
  <c r="F32" i="7"/>
  <c r="H28" i="7"/>
  <c r="H105" i="7" l="1"/>
  <c r="H29" i="7" s="1"/>
  <c r="H214" i="7"/>
  <c r="H31" i="7" s="1"/>
  <c r="F49" i="7"/>
  <c r="F42" i="7"/>
  <c r="H180" i="7"/>
  <c r="H30" i="7" s="1"/>
  <c r="F214" i="7"/>
  <c r="F105" i="7"/>
  <c r="F179" i="7"/>
  <c r="H257" i="7"/>
  <c r="H33" i="7" s="1"/>
  <c r="H363" i="16"/>
  <c r="F363" i="16"/>
  <c r="H332" i="16"/>
  <c r="G332" i="16"/>
  <c r="F332" i="16"/>
  <c r="D332" i="16"/>
  <c r="C332" i="16"/>
  <c r="H325" i="16"/>
  <c r="G325" i="16"/>
  <c r="F325" i="16"/>
  <c r="D325" i="16"/>
  <c r="C325" i="16"/>
  <c r="H320" i="16"/>
  <c r="F320" i="16"/>
  <c r="H302" i="16"/>
  <c r="H35" i="16" s="1"/>
  <c r="F302" i="16"/>
  <c r="H277" i="16"/>
  <c r="F277" i="16"/>
  <c r="H254" i="16"/>
  <c r="F254" i="16"/>
  <c r="H247" i="16"/>
  <c r="F247" i="16"/>
  <c r="F257" i="16" s="1"/>
  <c r="F33" i="16" s="1"/>
  <c r="H242" i="16"/>
  <c r="F242" i="16"/>
  <c r="H231" i="16"/>
  <c r="F231" i="16"/>
  <c r="F32" i="16" s="1"/>
  <c r="H207" i="16"/>
  <c r="F207" i="16"/>
  <c r="H201" i="16"/>
  <c r="F201" i="16"/>
  <c r="H178" i="16"/>
  <c r="H179" i="16" s="1"/>
  <c r="F178" i="16"/>
  <c r="F179" i="16" s="1"/>
  <c r="H169" i="16"/>
  <c r="F169" i="16"/>
  <c r="H163" i="16"/>
  <c r="F163" i="16"/>
  <c r="H150" i="16"/>
  <c r="H102" i="16" s="1"/>
  <c r="F150" i="16"/>
  <c r="F102" i="16" s="1"/>
  <c r="H143" i="16"/>
  <c r="F143" i="16"/>
  <c r="F101" i="16" s="1"/>
  <c r="H135" i="16"/>
  <c r="H100" i="16" s="1"/>
  <c r="F135" i="16"/>
  <c r="H125" i="16"/>
  <c r="H99" i="16" s="1"/>
  <c r="F125" i="16"/>
  <c r="F99" i="16" s="1"/>
  <c r="H115" i="16"/>
  <c r="H98" i="16" s="1"/>
  <c r="F115" i="16"/>
  <c r="F98" i="16" s="1"/>
  <c r="H101" i="16"/>
  <c r="F100" i="16"/>
  <c r="I77" i="16"/>
  <c r="H77" i="16"/>
  <c r="H28" i="16" s="1"/>
  <c r="G77" i="16"/>
  <c r="F77" i="16"/>
  <c r="H49" i="16"/>
  <c r="H53" i="16" s="1"/>
  <c r="H37" i="16"/>
  <c r="F37" i="16"/>
  <c r="F35" i="16"/>
  <c r="H34" i="16"/>
  <c r="F34" i="16"/>
  <c r="H32" i="16"/>
  <c r="F28" i="16"/>
  <c r="H214" i="16" l="1"/>
  <c r="H31" i="16" s="1"/>
  <c r="H105" i="16"/>
  <c r="H29" i="16" s="1"/>
  <c r="H38" i="7"/>
  <c r="H52" i="7" s="1"/>
  <c r="H54" i="7" s="1"/>
  <c r="H58" i="7" s="1"/>
  <c r="F180" i="7"/>
  <c r="F29" i="7"/>
  <c r="F31" i="7"/>
  <c r="F53" i="7"/>
  <c r="F49" i="16"/>
  <c r="F42" i="16"/>
  <c r="H180" i="16"/>
  <c r="H30" i="16" s="1"/>
  <c r="F180" i="16"/>
  <c r="F214" i="16"/>
  <c r="F105" i="16"/>
  <c r="H257" i="16"/>
  <c r="H33" i="16" s="1"/>
  <c r="H38" i="16" l="1"/>
  <c r="H52" i="16" s="1"/>
  <c r="H54" i="16" s="1"/>
  <c r="H58" i="16" s="1"/>
  <c r="F30" i="7"/>
  <c r="F31" i="16"/>
  <c r="F30" i="16"/>
  <c r="F29" i="16"/>
  <c r="F53" i="16"/>
  <c r="F38" i="7" l="1"/>
  <c r="F38" i="16"/>
  <c r="F52" i="7" l="1"/>
  <c r="F52" i="16"/>
  <c r="F54" i="7" l="1"/>
  <c r="F54" i="16"/>
  <c r="F58" i="7" l="1"/>
  <c r="F58" i="16"/>
  <c r="F61" i="7" l="1"/>
  <c r="F61" i="16"/>
  <c r="H57" i="7" l="1"/>
  <c r="H61" i="7" s="1"/>
  <c r="H57" i="16"/>
  <c r="H61" i="16" s="1"/>
  <c r="H363" i="22" l="1"/>
  <c r="F363" i="22"/>
  <c r="H332" i="22"/>
  <c r="G332" i="22"/>
  <c r="F332" i="22"/>
  <c r="D332" i="22"/>
  <c r="C332" i="22"/>
  <c r="H325" i="22"/>
  <c r="G325" i="22"/>
  <c r="F325" i="22"/>
  <c r="D325" i="22"/>
  <c r="C325" i="22"/>
  <c r="H316" i="22"/>
  <c r="H320" i="22" s="1"/>
  <c r="F316" i="22"/>
  <c r="F320" i="22" s="1"/>
  <c r="F37" i="22" s="1"/>
  <c r="H301" i="22"/>
  <c r="F301" i="22"/>
  <c r="H300" i="22"/>
  <c r="F300" i="22"/>
  <c r="H298" i="22"/>
  <c r="F298" i="22"/>
  <c r="H288" i="22"/>
  <c r="F288" i="22"/>
  <c r="F277" i="22"/>
  <c r="H276" i="22"/>
  <c r="H274" i="22"/>
  <c r="H277" i="22" s="1"/>
  <c r="H34" i="22" s="1"/>
  <c r="H254" i="22"/>
  <c r="F252" i="22"/>
  <c r="F254" i="22" s="1"/>
  <c r="H247" i="22"/>
  <c r="F247" i="22"/>
  <c r="F242" i="22"/>
  <c r="H240" i="22"/>
  <c r="H242" i="22" s="1"/>
  <c r="H257" i="22" s="1"/>
  <c r="H33" i="22" s="1"/>
  <c r="H230" i="22"/>
  <c r="H231" i="22" s="1"/>
  <c r="H32" i="22" s="1"/>
  <c r="F230" i="22"/>
  <c r="F231" i="22" s="1"/>
  <c r="F32" i="22" s="1"/>
  <c r="H207" i="22"/>
  <c r="F207" i="22"/>
  <c r="H201" i="22"/>
  <c r="F201" i="22"/>
  <c r="H176" i="22"/>
  <c r="H178" i="22" s="1"/>
  <c r="H179" i="22" s="1"/>
  <c r="F176" i="22"/>
  <c r="H169" i="22"/>
  <c r="F169" i="22"/>
  <c r="H163" i="22"/>
  <c r="F163" i="22"/>
  <c r="H150" i="22"/>
  <c r="F150" i="22"/>
  <c r="F102" i="22" s="1"/>
  <c r="H143" i="22"/>
  <c r="H101" i="22" s="1"/>
  <c r="F143" i="22"/>
  <c r="H135" i="22"/>
  <c r="H100" i="22" s="1"/>
  <c r="F135" i="22"/>
  <c r="F100" i="22" s="1"/>
  <c r="F125" i="22"/>
  <c r="H119" i="22"/>
  <c r="H125" i="22" s="1"/>
  <c r="H99" i="22" s="1"/>
  <c r="H115" i="22"/>
  <c r="F115" i="22"/>
  <c r="F98" i="22" s="1"/>
  <c r="H102" i="22"/>
  <c r="F101" i="22"/>
  <c r="F99" i="22"/>
  <c r="H98" i="22"/>
  <c r="I77" i="22"/>
  <c r="G77" i="22"/>
  <c r="H73" i="22"/>
  <c r="F73" i="22"/>
  <c r="H72" i="22"/>
  <c r="F72" i="22"/>
  <c r="F77" i="22" s="1"/>
  <c r="F28" i="22" s="1"/>
  <c r="F60" i="22"/>
  <c r="H49" i="22"/>
  <c r="H53" i="22" s="1"/>
  <c r="F47" i="22"/>
  <c r="H37" i="22"/>
  <c r="F34" i="22"/>
  <c r="H77" i="22" l="1"/>
  <c r="H28" i="22" s="1"/>
  <c r="H214" i="22"/>
  <c r="H31" i="22" s="1"/>
  <c r="H105" i="22"/>
  <c r="H29" i="22" s="1"/>
  <c r="F42" i="22"/>
  <c r="F49" i="22"/>
  <c r="H302" i="22"/>
  <c r="H35" i="22" s="1"/>
  <c r="F178" i="22"/>
  <c r="F214" i="22"/>
  <c r="F105" i="22"/>
  <c r="H180" i="22"/>
  <c r="H30" i="22" s="1"/>
  <c r="H38" i="22" s="1"/>
  <c r="H52" i="22" s="1"/>
  <c r="H54" i="22" s="1"/>
  <c r="H58" i="22" s="1"/>
  <c r="F257" i="22"/>
  <c r="F302" i="22"/>
  <c r="F35" i="22" l="1"/>
  <c r="F33" i="22"/>
  <c r="F29" i="22"/>
  <c r="F53" i="22"/>
  <c r="F31" i="22"/>
  <c r="F179" i="22"/>
  <c r="F180" i="22" l="1"/>
  <c r="F30" i="22" l="1"/>
  <c r="F38" i="22" l="1"/>
  <c r="F52" i="22" l="1"/>
  <c r="F54" i="22" l="1"/>
  <c r="F58" i="22" l="1"/>
  <c r="F61" i="22" l="1"/>
  <c r="H57" i="22" l="1"/>
  <c r="H61" i="22" s="1"/>
  <c r="H363" i="32" l="1"/>
  <c r="F363" i="32"/>
  <c r="H332" i="32"/>
  <c r="G332" i="32"/>
  <c r="F332" i="32"/>
  <c r="D332" i="32"/>
  <c r="C332" i="32"/>
  <c r="H325" i="32"/>
  <c r="G325" i="32"/>
  <c r="F325" i="32"/>
  <c r="D325" i="32"/>
  <c r="C325" i="32"/>
  <c r="H320" i="32"/>
  <c r="F320" i="32"/>
  <c r="H302" i="32"/>
  <c r="F302" i="32"/>
  <c r="F35" i="32" s="1"/>
  <c r="H277" i="32"/>
  <c r="F277" i="32"/>
  <c r="H254" i="32"/>
  <c r="F254" i="32"/>
  <c r="H247" i="32"/>
  <c r="F247" i="32"/>
  <c r="H242" i="32"/>
  <c r="H257" i="32" s="1"/>
  <c r="H33" i="32" s="1"/>
  <c r="F242" i="32"/>
  <c r="F257" i="32" s="1"/>
  <c r="F33" i="32" s="1"/>
  <c r="H231" i="32"/>
  <c r="F231" i="32"/>
  <c r="H207" i="32"/>
  <c r="F207" i="32"/>
  <c r="H201" i="32"/>
  <c r="F201" i="32"/>
  <c r="H178" i="32"/>
  <c r="H179" i="32" s="1"/>
  <c r="F178" i="32"/>
  <c r="H169" i="32"/>
  <c r="F169" i="32"/>
  <c r="H163" i="32"/>
  <c r="F163" i="32"/>
  <c r="H150" i="32"/>
  <c r="F150" i="32"/>
  <c r="H143" i="32"/>
  <c r="H101" i="32" s="1"/>
  <c r="F143" i="32"/>
  <c r="H135" i="32"/>
  <c r="F135" i="32"/>
  <c r="F100" i="32" s="1"/>
  <c r="H125" i="32"/>
  <c r="H99" i="32" s="1"/>
  <c r="F125" i="32"/>
  <c r="H115" i="32"/>
  <c r="F115" i="32"/>
  <c r="H102" i="32"/>
  <c r="F101" i="32"/>
  <c r="H100" i="32"/>
  <c r="H98" i="32"/>
  <c r="I77" i="32"/>
  <c r="H77" i="32"/>
  <c r="G77" i="32"/>
  <c r="F77" i="32"/>
  <c r="F28" i="32" s="1"/>
  <c r="H49" i="32"/>
  <c r="H53" i="32" s="1"/>
  <c r="H37" i="32"/>
  <c r="F37" i="32"/>
  <c r="H35" i="32"/>
  <c r="H34" i="32"/>
  <c r="F34" i="32"/>
  <c r="H32" i="32"/>
  <c r="F32" i="32"/>
  <c r="H28" i="32"/>
  <c r="H105" i="32" l="1"/>
  <c r="H29" i="32" s="1"/>
  <c r="H214" i="32"/>
  <c r="H31" i="32" s="1"/>
  <c r="F49" i="32"/>
  <c r="F42" i="32"/>
  <c r="F99" i="32"/>
  <c r="F214" i="32"/>
  <c r="H180" i="32"/>
  <c r="H30" i="32" s="1"/>
  <c r="H38" i="32" s="1"/>
  <c r="H52" i="32" s="1"/>
  <c r="H54" i="32" s="1"/>
  <c r="H58" i="32" s="1"/>
  <c r="F98" i="32"/>
  <c r="F102" i="32"/>
  <c r="F179" i="32"/>
  <c r="F31" i="32" l="1"/>
  <c r="F53" i="32"/>
  <c r="F105" i="32"/>
  <c r="F180" i="32"/>
  <c r="F30" i="32" l="1"/>
  <c r="F29" i="32"/>
  <c r="F38" i="32" l="1"/>
  <c r="F52" i="32" l="1"/>
  <c r="F54" i="32" l="1"/>
  <c r="F58" i="32" l="1"/>
  <c r="F61" i="32" l="1"/>
  <c r="H57" i="32" l="1"/>
  <c r="H61" i="32" s="1"/>
  <c r="H363" i="20" l="1"/>
  <c r="F363" i="20"/>
  <c r="H332" i="20"/>
  <c r="G332" i="20"/>
  <c r="F332" i="20"/>
  <c r="D332" i="20"/>
  <c r="C332" i="20"/>
  <c r="H325" i="20"/>
  <c r="G325" i="20"/>
  <c r="F325" i="20"/>
  <c r="D325" i="20"/>
  <c r="C325" i="20"/>
  <c r="H320" i="20"/>
  <c r="F320" i="20"/>
  <c r="H302" i="20"/>
  <c r="H35" i="20" s="1"/>
  <c r="F302" i="20"/>
  <c r="F35" i="20" s="1"/>
  <c r="H277" i="20"/>
  <c r="F277" i="20"/>
  <c r="H254" i="20"/>
  <c r="F254" i="20"/>
  <c r="H247" i="20"/>
  <c r="F247" i="20"/>
  <c r="H242" i="20"/>
  <c r="F242" i="20"/>
  <c r="F230" i="20"/>
  <c r="H228" i="20"/>
  <c r="F228" i="20"/>
  <c r="H227" i="20"/>
  <c r="F227" i="20"/>
  <c r="H207" i="20"/>
  <c r="F207" i="20"/>
  <c r="H201" i="20"/>
  <c r="F201" i="20"/>
  <c r="F214" i="20" s="1"/>
  <c r="H178" i="20"/>
  <c r="H179" i="20" s="1"/>
  <c r="F178" i="20"/>
  <c r="H169" i="20"/>
  <c r="F169" i="20"/>
  <c r="H163" i="20"/>
  <c r="H180" i="20" s="1"/>
  <c r="H30" i="20" s="1"/>
  <c r="F163" i="20"/>
  <c r="H150" i="20"/>
  <c r="F150" i="20"/>
  <c r="F102" i="20" s="1"/>
  <c r="H143" i="20"/>
  <c r="H101" i="20" s="1"/>
  <c r="F143" i="20"/>
  <c r="H135" i="20"/>
  <c r="F135" i="20"/>
  <c r="H125" i="20"/>
  <c r="H99" i="20" s="1"/>
  <c r="F125" i="20"/>
  <c r="H115" i="20"/>
  <c r="F115" i="20"/>
  <c r="H102" i="20"/>
  <c r="F101" i="20"/>
  <c r="H100" i="20"/>
  <c r="F100" i="20"/>
  <c r="F99" i="20"/>
  <c r="H98" i="20"/>
  <c r="F98" i="20"/>
  <c r="I77" i="20"/>
  <c r="H77" i="20"/>
  <c r="H28" i="20" s="1"/>
  <c r="G77" i="20"/>
  <c r="F77" i="20"/>
  <c r="H49" i="20"/>
  <c r="H53" i="20" s="1"/>
  <c r="H37" i="20"/>
  <c r="F37" i="20"/>
  <c r="H34" i="20"/>
  <c r="F34" i="20"/>
  <c r="F28" i="20"/>
  <c r="H231" i="20" l="1"/>
  <c r="H32" i="20" s="1"/>
  <c r="H105" i="20"/>
  <c r="H29" i="20" s="1"/>
  <c r="H214" i="20"/>
  <c r="H31" i="20" s="1"/>
  <c r="F49" i="20"/>
  <c r="F42" i="20"/>
  <c r="F179" i="20"/>
  <c r="F257" i="20"/>
  <c r="F105" i="20"/>
  <c r="F31" i="20"/>
  <c r="F180" i="20"/>
  <c r="F231" i="20"/>
  <c r="H257" i="20"/>
  <c r="H33" i="20" s="1"/>
  <c r="H38" i="20" s="1"/>
  <c r="H52" i="20" s="1"/>
  <c r="H54" i="20" s="1"/>
  <c r="H58" i="20" s="1"/>
  <c r="F30" i="20" l="1"/>
  <c r="F53" i="20"/>
  <c r="F33" i="20"/>
  <c r="F29" i="20"/>
  <c r="F32" i="20"/>
  <c r="H363" i="6"/>
  <c r="F363" i="6"/>
  <c r="H332" i="6"/>
  <c r="G332" i="6"/>
  <c r="F332" i="6"/>
  <c r="D332" i="6"/>
  <c r="C332" i="6"/>
  <c r="H325" i="6"/>
  <c r="G325" i="6"/>
  <c r="F325" i="6"/>
  <c r="D325" i="6"/>
  <c r="C325" i="6"/>
  <c r="H320" i="6"/>
  <c r="F320" i="6"/>
  <c r="H302" i="6"/>
  <c r="F302" i="6"/>
  <c r="H277" i="6"/>
  <c r="F277" i="6"/>
  <c r="H254" i="6"/>
  <c r="F254" i="6"/>
  <c r="H247" i="6"/>
  <c r="F247" i="6"/>
  <c r="F257" i="6" s="1"/>
  <c r="F33" i="6" s="1"/>
  <c r="H242" i="6"/>
  <c r="F242" i="6"/>
  <c r="H231" i="6"/>
  <c r="F231" i="6"/>
  <c r="F32" i="6" s="1"/>
  <c r="H207" i="6"/>
  <c r="F207" i="6"/>
  <c r="H201" i="6"/>
  <c r="F201" i="6"/>
  <c r="F214" i="6" s="1"/>
  <c r="H179" i="6"/>
  <c r="H178" i="6"/>
  <c r="F178" i="6"/>
  <c r="H169" i="6"/>
  <c r="F169" i="6"/>
  <c r="H163" i="6"/>
  <c r="F163" i="6"/>
  <c r="H150" i="6"/>
  <c r="H102" i="6" s="1"/>
  <c r="F150" i="6"/>
  <c r="F102" i="6" s="1"/>
  <c r="H143" i="6"/>
  <c r="F143" i="6"/>
  <c r="H135" i="6"/>
  <c r="H100" i="6" s="1"/>
  <c r="F135" i="6"/>
  <c r="H125" i="6"/>
  <c r="F125" i="6"/>
  <c r="H115" i="6"/>
  <c r="H98" i="6" s="1"/>
  <c r="F115" i="6"/>
  <c r="F98" i="6" s="1"/>
  <c r="F105" i="6" s="1"/>
  <c r="H101" i="6"/>
  <c r="F101" i="6"/>
  <c r="F100" i="6"/>
  <c r="H99" i="6"/>
  <c r="F99" i="6"/>
  <c r="I77" i="6"/>
  <c r="H77" i="6"/>
  <c r="H28" i="6" s="1"/>
  <c r="G77" i="6"/>
  <c r="F77" i="6"/>
  <c r="F28" i="6" s="1"/>
  <c r="H53" i="6"/>
  <c r="H49" i="6"/>
  <c r="H37" i="6"/>
  <c r="F37" i="6"/>
  <c r="H35" i="6"/>
  <c r="F35" i="6"/>
  <c r="H34" i="6"/>
  <c r="F34" i="6"/>
  <c r="H32" i="6"/>
  <c r="H214" i="6" l="1"/>
  <c r="H31" i="6" s="1"/>
  <c r="H180" i="6"/>
  <c r="H30" i="6" s="1"/>
  <c r="H105" i="6"/>
  <c r="H29" i="6" s="1"/>
  <c r="H38" i="6" s="1"/>
  <c r="H52" i="6" s="1"/>
  <c r="H54" i="6" s="1"/>
  <c r="H58" i="6" s="1"/>
  <c r="H257" i="6"/>
  <c r="H33" i="6" s="1"/>
  <c r="F38" i="20"/>
  <c r="F31" i="6"/>
  <c r="F29" i="6"/>
  <c r="F42" i="6"/>
  <c r="F49" i="6"/>
  <c r="F179" i="6"/>
  <c r="F52" i="20" l="1"/>
  <c r="F53" i="6"/>
  <c r="F180" i="6"/>
  <c r="F54" i="20" l="1"/>
  <c r="F30" i="6"/>
  <c r="F58" i="20" l="1"/>
  <c r="F38" i="6"/>
  <c r="F61" i="20" l="1"/>
  <c r="F52" i="6"/>
  <c r="H57" i="20" l="1"/>
  <c r="H61" i="20" s="1"/>
  <c r="F54" i="6"/>
  <c r="F58" i="6" l="1"/>
  <c r="F61" i="6" l="1"/>
  <c r="H57" i="6" l="1"/>
  <c r="H61" i="6" s="1"/>
  <c r="H363" i="15" l="1"/>
  <c r="F363" i="15"/>
  <c r="H332" i="15"/>
  <c r="G332" i="15"/>
  <c r="F332" i="15"/>
  <c r="D332" i="15"/>
  <c r="C332" i="15"/>
  <c r="H325" i="15"/>
  <c r="G325" i="15"/>
  <c r="F325" i="15"/>
  <c r="D325" i="15"/>
  <c r="C325" i="15"/>
  <c r="F320" i="15"/>
  <c r="H316" i="15"/>
  <c r="H320" i="15" s="1"/>
  <c r="F316" i="15"/>
  <c r="H302" i="15"/>
  <c r="F302" i="15"/>
  <c r="H277" i="15"/>
  <c r="H34" i="15" s="1"/>
  <c r="F277" i="15"/>
  <c r="H252" i="15"/>
  <c r="F252" i="15"/>
  <c r="F251" i="15"/>
  <c r="H250" i="15"/>
  <c r="H254" i="15" s="1"/>
  <c r="F250" i="15"/>
  <c r="H247" i="15"/>
  <c r="F247" i="15"/>
  <c r="H242" i="15"/>
  <c r="F242" i="15"/>
  <c r="F231" i="15"/>
  <c r="H230" i="15"/>
  <c r="H231" i="15" s="1"/>
  <c r="H207" i="15"/>
  <c r="F207" i="15"/>
  <c r="H201" i="15"/>
  <c r="H214" i="15" s="1"/>
  <c r="H31" i="15" s="1"/>
  <c r="F201" i="15"/>
  <c r="H178" i="15"/>
  <c r="H179" i="15" s="1"/>
  <c r="F178" i="15"/>
  <c r="H169" i="15"/>
  <c r="F169" i="15"/>
  <c r="H163" i="15"/>
  <c r="H180" i="15" s="1"/>
  <c r="H30" i="15" s="1"/>
  <c r="F159" i="15"/>
  <c r="H149" i="15"/>
  <c r="H150" i="15" s="1"/>
  <c r="F149" i="15"/>
  <c r="H143" i="15"/>
  <c r="H101" i="15" s="1"/>
  <c r="F143" i="15"/>
  <c r="H142" i="15"/>
  <c r="F142" i="15"/>
  <c r="H135" i="15"/>
  <c r="H100" i="15" s="1"/>
  <c r="F135" i="15"/>
  <c r="H125" i="15"/>
  <c r="H99" i="15" s="1"/>
  <c r="F125" i="15"/>
  <c r="H114" i="15"/>
  <c r="H115" i="15" s="1"/>
  <c r="H98" i="15" s="1"/>
  <c r="F114" i="15"/>
  <c r="H102" i="15"/>
  <c r="F101" i="15"/>
  <c r="F100" i="15"/>
  <c r="F99" i="15"/>
  <c r="I77" i="15"/>
  <c r="H77" i="15"/>
  <c r="H28" i="15" s="1"/>
  <c r="G77" i="15"/>
  <c r="F77" i="15"/>
  <c r="F57" i="15"/>
  <c r="H53" i="15"/>
  <c r="H49" i="15"/>
  <c r="H37" i="15"/>
  <c r="F37" i="15"/>
  <c r="H35" i="15"/>
  <c r="F35" i="15"/>
  <c r="F34" i="15"/>
  <c r="H32" i="15"/>
  <c r="F32" i="15"/>
  <c r="F28" i="15"/>
  <c r="F254" i="15" l="1"/>
  <c r="H105" i="15"/>
  <c r="H29" i="15" s="1"/>
  <c r="F42" i="15"/>
  <c r="F49" i="15"/>
  <c r="F179" i="15"/>
  <c r="F115" i="15"/>
  <c r="F150" i="15"/>
  <c r="F163" i="15"/>
  <c r="F257" i="15"/>
  <c r="F214" i="15"/>
  <c r="H257" i="15"/>
  <c r="H33" i="15" s="1"/>
  <c r="F31" i="15" l="1"/>
  <c r="H38" i="15"/>
  <c r="H52" i="15" s="1"/>
  <c r="H54" i="15" s="1"/>
  <c r="H58" i="15" s="1"/>
  <c r="F33" i="15"/>
  <c r="F102" i="15"/>
  <c r="F98" i="15"/>
  <c r="F53" i="15"/>
  <c r="F180" i="15"/>
  <c r="F105" i="15" l="1"/>
  <c r="F30" i="15"/>
  <c r="F29" i="15" l="1"/>
  <c r="F38" i="15" l="1"/>
  <c r="F52" i="15" l="1"/>
  <c r="F54" i="15" l="1"/>
  <c r="F58" i="15" l="1"/>
  <c r="F61" i="15" l="1"/>
  <c r="H57" i="15" l="1"/>
  <c r="H61" i="15" s="1"/>
  <c r="H363" i="8" l="1"/>
  <c r="F353" i="8"/>
  <c r="F363" i="8" s="1"/>
  <c r="H332" i="8"/>
  <c r="G332" i="8"/>
  <c r="F332" i="8"/>
  <c r="D332" i="8"/>
  <c r="C332" i="8"/>
  <c r="H325" i="8"/>
  <c r="G325" i="8"/>
  <c r="F325" i="8"/>
  <c r="D325" i="8"/>
  <c r="C325" i="8"/>
  <c r="H316" i="8"/>
  <c r="F316" i="8"/>
  <c r="H314" i="8"/>
  <c r="F314" i="8"/>
  <c r="F320" i="8" s="1"/>
  <c r="H301" i="8"/>
  <c r="F301" i="8"/>
  <c r="H298" i="8"/>
  <c r="F298" i="8"/>
  <c r="F302" i="8" s="1"/>
  <c r="F35" i="8" s="1"/>
  <c r="H274" i="8"/>
  <c r="H273" i="8"/>
  <c r="F273" i="8"/>
  <c r="H254" i="8"/>
  <c r="F254" i="8"/>
  <c r="H247" i="8"/>
  <c r="F247" i="8"/>
  <c r="H242" i="8"/>
  <c r="F242" i="8"/>
  <c r="H231" i="8"/>
  <c r="F231" i="8"/>
  <c r="H207" i="8"/>
  <c r="F207" i="8"/>
  <c r="H201" i="8"/>
  <c r="F201" i="8"/>
  <c r="H178" i="8"/>
  <c r="H179" i="8" s="1"/>
  <c r="F178" i="8"/>
  <c r="H169" i="8"/>
  <c r="F169" i="8"/>
  <c r="H163" i="8"/>
  <c r="F163" i="8"/>
  <c r="H150" i="8"/>
  <c r="H102" i="8" s="1"/>
  <c r="F150" i="8"/>
  <c r="H139" i="8"/>
  <c r="H143" i="8" s="1"/>
  <c r="H101" i="8" s="1"/>
  <c r="F139" i="8"/>
  <c r="F143" i="8" s="1"/>
  <c r="H130" i="8"/>
  <c r="H135" i="8" s="1"/>
  <c r="H100" i="8" s="1"/>
  <c r="F130" i="8"/>
  <c r="H120" i="8"/>
  <c r="F120" i="8"/>
  <c r="H119" i="8"/>
  <c r="H125" i="8" s="1"/>
  <c r="H99" i="8" s="1"/>
  <c r="F119" i="8"/>
  <c r="H115" i="8"/>
  <c r="H98" i="8" s="1"/>
  <c r="F115" i="8"/>
  <c r="I77" i="8"/>
  <c r="G77" i="8"/>
  <c r="F77" i="8"/>
  <c r="H72" i="8"/>
  <c r="H77" i="8" s="1"/>
  <c r="H28" i="8" s="1"/>
  <c r="F60" i="8"/>
  <c r="H49" i="8"/>
  <c r="H53" i="8" s="1"/>
  <c r="H32" i="8"/>
  <c r="H320" i="8" l="1"/>
  <c r="H37" i="8" s="1"/>
  <c r="H214" i="8"/>
  <c r="H31" i="8" s="1"/>
  <c r="F32" i="8"/>
  <c r="H302" i="8"/>
  <c r="H35" i="8" s="1"/>
  <c r="F101" i="8"/>
  <c r="H105" i="8"/>
  <c r="H29" i="8" s="1"/>
  <c r="F257" i="8"/>
  <c r="F277" i="8"/>
  <c r="F42" i="8"/>
  <c r="F98" i="8"/>
  <c r="H180" i="8"/>
  <c r="H30" i="8" s="1"/>
  <c r="H277" i="8"/>
  <c r="H34" i="8" s="1"/>
  <c r="F28" i="8"/>
  <c r="F33" i="8"/>
  <c r="F102" i="8"/>
  <c r="F135" i="8"/>
  <c r="F179" i="8"/>
  <c r="F37" i="8"/>
  <c r="F49" i="8"/>
  <c r="F214" i="8"/>
  <c r="H257" i="8"/>
  <c r="H33" i="8" s="1"/>
  <c r="H38" i="8" s="1"/>
  <c r="H52" i="8" s="1"/>
  <c r="H54" i="8" s="1"/>
  <c r="H58" i="8" s="1"/>
  <c r="F125" i="8"/>
  <c r="F34" i="8" l="1"/>
  <c r="F99" i="8"/>
  <c r="F31" i="8"/>
  <c r="F53" i="8"/>
  <c r="F180" i="8"/>
  <c r="F100" i="8"/>
  <c r="F105" i="8" l="1"/>
  <c r="F30" i="8"/>
  <c r="F29" i="8" l="1"/>
  <c r="F38" i="8" l="1"/>
  <c r="F52" i="8" l="1"/>
  <c r="F54" i="8" l="1"/>
  <c r="F58" i="8" l="1"/>
  <c r="F61" i="8" l="1"/>
  <c r="H57" i="8" l="1"/>
  <c r="H61" i="8" s="1"/>
  <c r="G114" i="124" l="1"/>
  <c r="G113" i="124"/>
  <c r="G112" i="124"/>
  <c r="G111" i="124"/>
  <c r="G110" i="124"/>
  <c r="G109" i="124"/>
  <c r="G108" i="124"/>
  <c r="G107" i="124"/>
  <c r="G106" i="124"/>
  <c r="G105" i="124"/>
  <c r="G104" i="124"/>
  <c r="G103" i="124"/>
  <c r="G102" i="124"/>
  <c r="G101" i="124"/>
  <c r="G100" i="124"/>
  <c r="G99" i="124"/>
  <c r="G98" i="124"/>
  <c r="G97" i="124"/>
  <c r="G96" i="124"/>
  <c r="G95" i="124"/>
  <c r="G94" i="124"/>
  <c r="G93" i="124"/>
  <c r="G92" i="124"/>
  <c r="G91" i="124"/>
  <c r="G90" i="124"/>
  <c r="G89" i="124"/>
  <c r="G88" i="124"/>
  <c r="G87" i="124"/>
  <c r="G86" i="124"/>
  <c r="G85" i="124"/>
  <c r="G84" i="124"/>
  <c r="G83" i="124"/>
  <c r="F82" i="124"/>
  <c r="D112" i="124"/>
  <c r="D109" i="124"/>
  <c r="D108" i="124"/>
  <c r="D106" i="124"/>
  <c r="D105" i="124"/>
  <c r="D102" i="124"/>
  <c r="D100" i="124"/>
  <c r="D99" i="124"/>
  <c r="D95" i="124"/>
  <c r="D92" i="124"/>
  <c r="D91" i="124"/>
  <c r="D90" i="124"/>
  <c r="G76" i="124"/>
  <c r="G75" i="124"/>
  <c r="G74" i="124"/>
  <c r="G73" i="124"/>
  <c r="G72" i="124"/>
  <c r="G71" i="124"/>
  <c r="G70" i="124"/>
  <c r="G69" i="124"/>
  <c r="G68" i="124"/>
  <c r="G67" i="124"/>
  <c r="G66" i="124"/>
  <c r="G65" i="124"/>
  <c r="G64" i="124"/>
  <c r="G63" i="124"/>
  <c r="G62" i="124"/>
  <c r="G61" i="124"/>
  <c r="G60" i="124"/>
  <c r="G59" i="124"/>
  <c r="G58" i="124"/>
  <c r="G57" i="124"/>
  <c r="G56" i="124"/>
  <c r="G55" i="124"/>
  <c r="G54" i="124"/>
  <c r="G53" i="124"/>
  <c r="G52" i="124"/>
  <c r="G51" i="124"/>
  <c r="G50" i="124"/>
  <c r="G49" i="124"/>
  <c r="G48" i="124"/>
  <c r="G47" i="124"/>
  <c r="G46" i="124"/>
  <c r="G45" i="124"/>
  <c r="D74" i="124"/>
  <c r="D71" i="124"/>
  <c r="D70" i="124"/>
  <c r="D68" i="124"/>
  <c r="D67" i="124"/>
  <c r="D64" i="124"/>
  <c r="D62" i="124"/>
  <c r="D61" i="124"/>
  <c r="D57" i="124"/>
  <c r="D54" i="124"/>
  <c r="D53" i="124"/>
  <c r="D52" i="124"/>
  <c r="D37" i="124" l="1"/>
  <c r="D36" i="124"/>
  <c r="D35" i="124"/>
  <c r="D34" i="124"/>
  <c r="D33" i="124"/>
  <c r="D32" i="124"/>
  <c r="D31" i="124"/>
  <c r="D30" i="124"/>
  <c r="D29" i="124"/>
  <c r="D28" i="124"/>
  <c r="D27" i="124"/>
  <c r="D26" i="124"/>
  <c r="D24" i="124"/>
  <c r="D23" i="124"/>
  <c r="D22" i="124"/>
  <c r="D21" i="124"/>
  <c r="D20" i="124"/>
  <c r="D19" i="124"/>
  <c r="D18" i="124"/>
  <c r="D17" i="124"/>
  <c r="D16" i="124"/>
  <c r="D15" i="124"/>
  <c r="D14" i="124"/>
  <c r="D13" i="124"/>
  <c r="D12" i="124"/>
  <c r="D11" i="124"/>
  <c r="D10" i="124"/>
  <c r="D9" i="124"/>
  <c r="D8" i="124"/>
  <c r="D7" i="124"/>
  <c r="D6" i="124"/>
  <c r="C37" i="124"/>
  <c r="C36" i="124"/>
  <c r="C34" i="124"/>
  <c r="C33" i="124"/>
  <c r="C30" i="124"/>
  <c r="C28" i="124"/>
  <c r="C27" i="124"/>
  <c r="C26" i="124"/>
  <c r="C24" i="124"/>
  <c r="C23" i="124"/>
  <c r="C22" i="124"/>
  <c r="C21" i="124"/>
  <c r="C20" i="124"/>
  <c r="C19" i="124"/>
  <c r="C18" i="124"/>
  <c r="C17" i="124"/>
  <c r="C16" i="124"/>
  <c r="C15" i="124"/>
  <c r="C14" i="124"/>
  <c r="C13" i="124"/>
  <c r="C12" i="124"/>
  <c r="C11" i="124"/>
  <c r="C10" i="124"/>
  <c r="C9" i="124"/>
  <c r="C8" i="124"/>
  <c r="C7" i="124"/>
  <c r="C6" i="124"/>
  <c r="K6" i="124" l="1"/>
  <c r="J6" i="124"/>
  <c r="F226" i="67" l="1"/>
  <c r="H363" i="10" l="1"/>
  <c r="F363" i="10"/>
  <c r="H332" i="10"/>
  <c r="G332" i="10"/>
  <c r="F332" i="10"/>
  <c r="D332" i="10"/>
  <c r="C332" i="10"/>
  <c r="H325" i="10"/>
  <c r="G325" i="10"/>
  <c r="F325" i="10"/>
  <c r="D325" i="10"/>
  <c r="C325" i="10"/>
  <c r="H320" i="10"/>
  <c r="F320" i="10"/>
  <c r="H302" i="10"/>
  <c r="F302" i="10"/>
  <c r="F35" i="10" s="1"/>
  <c r="H277" i="10"/>
  <c r="F277" i="10"/>
  <c r="H254" i="10"/>
  <c r="F254" i="10"/>
  <c r="H247" i="10"/>
  <c r="F247" i="10"/>
  <c r="H242" i="10"/>
  <c r="F242" i="10"/>
  <c r="F257" i="10" s="1"/>
  <c r="H231" i="10"/>
  <c r="F231" i="10"/>
  <c r="H207" i="10"/>
  <c r="F207" i="10"/>
  <c r="H201" i="10"/>
  <c r="H214" i="10" s="1"/>
  <c r="H31" i="10" s="1"/>
  <c r="F201" i="10"/>
  <c r="H178" i="10"/>
  <c r="H179" i="10" s="1"/>
  <c r="F178" i="10"/>
  <c r="H169" i="10"/>
  <c r="F169" i="10"/>
  <c r="H163" i="10"/>
  <c r="F163" i="10"/>
  <c r="H150" i="10"/>
  <c r="H102" i="10" s="1"/>
  <c r="F150" i="10"/>
  <c r="H143" i="10"/>
  <c r="H101" i="10" s="1"/>
  <c r="F143" i="10"/>
  <c r="H135" i="10"/>
  <c r="H100" i="10" s="1"/>
  <c r="F135" i="10"/>
  <c r="H125" i="10"/>
  <c r="H99" i="10" s="1"/>
  <c r="F125" i="10"/>
  <c r="H115" i="10"/>
  <c r="H98" i="10" s="1"/>
  <c r="F115" i="10"/>
  <c r="F102" i="10"/>
  <c r="F101" i="10"/>
  <c r="F100" i="10"/>
  <c r="F99" i="10"/>
  <c r="F98" i="10"/>
  <c r="I77" i="10"/>
  <c r="H77" i="10"/>
  <c r="G77" i="10"/>
  <c r="F77" i="10"/>
  <c r="F28" i="10" s="1"/>
  <c r="H49" i="10"/>
  <c r="H53" i="10" s="1"/>
  <c r="H37" i="10"/>
  <c r="F37" i="10"/>
  <c r="H35" i="10"/>
  <c r="H34" i="10"/>
  <c r="F34" i="10"/>
  <c r="H32" i="10"/>
  <c r="H28" i="10"/>
  <c r="F214" i="10" l="1"/>
  <c r="H105" i="10"/>
  <c r="H29" i="10" s="1"/>
  <c r="H38" i="10" s="1"/>
  <c r="H52" i="10" s="1"/>
  <c r="H54" i="10" s="1"/>
  <c r="H58" i="10" s="1"/>
  <c r="H180" i="10"/>
  <c r="H30" i="10" s="1"/>
  <c r="H257" i="10"/>
  <c r="H33" i="10" s="1"/>
  <c r="F49" i="10"/>
  <c r="F42" i="10"/>
  <c r="F105" i="10"/>
  <c r="F31" i="10"/>
  <c r="F32" i="10"/>
  <c r="F33" i="10"/>
  <c r="F179" i="10"/>
  <c r="F180" i="10" s="1"/>
  <c r="F30" i="10" l="1"/>
  <c r="F29" i="10"/>
  <c r="F53" i="10"/>
  <c r="F38" i="10" l="1"/>
  <c r="F52" i="10" l="1"/>
  <c r="F54" i="10" l="1"/>
  <c r="F58" i="10" l="1"/>
  <c r="F61" i="10" l="1"/>
  <c r="H57" i="10" l="1"/>
  <c r="H61" i="10" s="1"/>
  <c r="AN42" i="92" l="1"/>
  <c r="AM42" i="92"/>
  <c r="AL42" i="92"/>
  <c r="AK42" i="92"/>
  <c r="AJ42" i="92"/>
  <c r="AI42" i="92"/>
  <c r="AH42" i="92"/>
  <c r="R42" i="92"/>
  <c r="Q42" i="92"/>
  <c r="P42" i="92"/>
  <c r="O42" i="92"/>
  <c r="N42" i="92"/>
  <c r="M42" i="92"/>
  <c r="L42" i="92"/>
  <c r="AN41" i="92" a="1"/>
  <c r="AN41" i="92" s="1"/>
  <c r="AM41" i="92" a="1"/>
  <c r="AM41" i="92" s="1"/>
  <c r="AL41" i="92" a="1"/>
  <c r="AL41" i="92" s="1"/>
  <c r="AK41" i="92" a="1"/>
  <c r="AK41" i="92" s="1"/>
  <c r="AJ41" i="92" a="1"/>
  <c r="AJ41" i="92" s="1"/>
  <c r="AI41" i="92" a="1"/>
  <c r="AI41" i="92" s="1"/>
  <c r="AH41" i="92" a="1"/>
  <c r="AH41" i="92" s="1"/>
  <c r="R41" i="92" a="1"/>
  <c r="R41" i="92" s="1"/>
  <c r="Q41" i="92" a="1"/>
  <c r="Q41" i="92" s="1"/>
  <c r="P41" i="92" a="1"/>
  <c r="P41" i="92" s="1"/>
  <c r="O41" i="92" a="1"/>
  <c r="O41" i="92" s="1"/>
  <c r="N41" i="92" a="1"/>
  <c r="N41" i="92" s="1"/>
  <c r="M41" i="92" a="1"/>
  <c r="M41" i="92" s="1"/>
  <c r="L41" i="92" a="1"/>
  <c r="L41" i="92" s="1"/>
  <c r="AK39" i="92" l="1"/>
  <c r="AJ39" i="92"/>
  <c r="AI39" i="92"/>
  <c r="AH39" i="92"/>
  <c r="O39" i="92"/>
  <c r="N39" i="92"/>
  <c r="M39" i="92"/>
  <c r="L39" i="92"/>
  <c r="AK38" i="92"/>
  <c r="AK40" i="92" s="1"/>
  <c r="AJ38" i="92"/>
  <c r="AJ40" i="92" s="1"/>
  <c r="AI38" i="92"/>
  <c r="AI40" i="92" s="1"/>
  <c r="AH38" i="92"/>
  <c r="AH40" i="92" s="1"/>
  <c r="O38" i="92"/>
  <c r="O40" i="92" s="1"/>
  <c r="N38" i="92"/>
  <c r="N40" i="92" s="1"/>
  <c r="M38" i="92"/>
  <c r="M40" i="92" s="1"/>
  <c r="L38" i="92"/>
  <c r="L40" i="92" s="1"/>
  <c r="H363" i="25" l="1"/>
  <c r="F363" i="25"/>
  <c r="C336" i="25"/>
  <c r="C335" i="25"/>
  <c r="H334" i="25"/>
  <c r="C334" i="25"/>
  <c r="C333" i="25"/>
  <c r="H332" i="25"/>
  <c r="G332" i="25"/>
  <c r="F332" i="25"/>
  <c r="D332" i="25"/>
  <c r="H327" i="25"/>
  <c r="H325" i="25" s="1"/>
  <c r="C327" i="25"/>
  <c r="C325" i="25" s="1"/>
  <c r="G325" i="25"/>
  <c r="F325" i="25"/>
  <c r="D325" i="25"/>
  <c r="H320" i="25"/>
  <c r="F320" i="25"/>
  <c r="F302" i="25"/>
  <c r="F35" i="25" s="1"/>
  <c r="H298" i="25"/>
  <c r="H293" i="25"/>
  <c r="H277" i="25"/>
  <c r="F277" i="25"/>
  <c r="H251" i="25"/>
  <c r="H254" i="25" s="1"/>
  <c r="F251" i="25"/>
  <c r="H247" i="25"/>
  <c r="F247" i="25"/>
  <c r="H242" i="25"/>
  <c r="H257" i="25" s="1"/>
  <c r="H33" i="25" s="1"/>
  <c r="F242" i="25"/>
  <c r="H231" i="25"/>
  <c r="F231" i="25"/>
  <c r="H214" i="25"/>
  <c r="H31" i="25" s="1"/>
  <c r="H207" i="25"/>
  <c r="F207" i="25"/>
  <c r="H201" i="25"/>
  <c r="F201" i="25"/>
  <c r="H178" i="25"/>
  <c r="H179" i="25" s="1"/>
  <c r="F178" i="25"/>
  <c r="H169" i="25"/>
  <c r="F169" i="25"/>
  <c r="H163" i="25"/>
  <c r="F163" i="25"/>
  <c r="H150" i="25"/>
  <c r="H102" i="25" s="1"/>
  <c r="F150" i="25"/>
  <c r="F102" i="25" s="1"/>
  <c r="H143" i="25"/>
  <c r="F143" i="25"/>
  <c r="H135" i="25"/>
  <c r="H100" i="25" s="1"/>
  <c r="F135" i="25"/>
  <c r="H125" i="25"/>
  <c r="H99" i="25" s="1"/>
  <c r="F120" i="25"/>
  <c r="H115" i="25"/>
  <c r="H98" i="25" s="1"/>
  <c r="F115" i="25"/>
  <c r="F98" i="25" s="1"/>
  <c r="H104" i="25"/>
  <c r="H101" i="25"/>
  <c r="I77" i="25"/>
  <c r="G77" i="25"/>
  <c r="F77" i="25"/>
  <c r="F28" i="25" s="1"/>
  <c r="H72" i="25"/>
  <c r="H77" i="25" s="1"/>
  <c r="H28" i="25" s="1"/>
  <c r="H48" i="25"/>
  <c r="H49" i="25" s="1"/>
  <c r="H53" i="25" s="1"/>
  <c r="F48" i="25"/>
  <c r="H37" i="25"/>
  <c r="F37" i="25"/>
  <c r="H34" i="25"/>
  <c r="H32" i="25"/>
  <c r="H105" i="25" l="1"/>
  <c r="H29" i="25" s="1"/>
  <c r="H302" i="25"/>
  <c r="H35" i="25" s="1"/>
  <c r="F100" i="25"/>
  <c r="C29" i="124"/>
  <c r="F125" i="25"/>
  <c r="H180" i="25"/>
  <c r="H30" i="25" s="1"/>
  <c r="H38" i="25" s="1"/>
  <c r="H52" i="25" s="1"/>
  <c r="H54" i="25" s="1"/>
  <c r="H58" i="25" s="1"/>
  <c r="F32" i="25"/>
  <c r="F34" i="25"/>
  <c r="F42" i="25"/>
  <c r="F101" i="25"/>
  <c r="C332" i="25"/>
  <c r="F179" i="25"/>
  <c r="F180" i="25" s="1"/>
  <c r="F254" i="25"/>
  <c r="F49" i="25"/>
  <c r="F99" i="25"/>
  <c r="F214" i="25"/>
  <c r="F257" i="25" l="1"/>
  <c r="F33" i="25" s="1"/>
  <c r="F105" i="25"/>
  <c r="F31" i="25"/>
  <c r="F53" i="25"/>
  <c r="F30" i="25"/>
  <c r="F29" i="25"/>
  <c r="F38" i="25" l="1"/>
  <c r="F52" i="25" l="1"/>
  <c r="F54" i="25" l="1"/>
  <c r="F58" i="25" l="1"/>
  <c r="F61" i="25" l="1"/>
  <c r="H57" i="25" l="1"/>
  <c r="H61" i="25" s="1"/>
  <c r="H363" i="11" l="1"/>
  <c r="F363" i="11"/>
  <c r="H332" i="11"/>
  <c r="G332" i="11"/>
  <c r="F332" i="11"/>
  <c r="D332" i="11"/>
  <c r="C332" i="11"/>
  <c r="H325" i="11"/>
  <c r="G325" i="11"/>
  <c r="F325" i="11"/>
  <c r="D325" i="11"/>
  <c r="C325" i="11"/>
  <c r="H320" i="11"/>
  <c r="F320" i="11"/>
  <c r="H302" i="11"/>
  <c r="H35" i="11" s="1"/>
  <c r="F302" i="11"/>
  <c r="F35" i="11" s="1"/>
  <c r="H277" i="11"/>
  <c r="F277" i="11"/>
  <c r="H254" i="11"/>
  <c r="F254" i="11"/>
  <c r="H247" i="11"/>
  <c r="F247" i="11"/>
  <c r="H242" i="11"/>
  <c r="H257" i="11" s="1"/>
  <c r="H33" i="11" s="1"/>
  <c r="F242" i="11"/>
  <c r="H231" i="11"/>
  <c r="F231" i="11"/>
  <c r="H207" i="11"/>
  <c r="F207" i="11"/>
  <c r="H201" i="11"/>
  <c r="F201" i="11"/>
  <c r="H178" i="11"/>
  <c r="H179" i="11" s="1"/>
  <c r="F178" i="11"/>
  <c r="H169" i="11"/>
  <c r="F169" i="11"/>
  <c r="H163" i="11"/>
  <c r="F163" i="11"/>
  <c r="H150" i="11"/>
  <c r="F150" i="11"/>
  <c r="H143" i="11"/>
  <c r="H101" i="11" s="1"/>
  <c r="F143" i="11"/>
  <c r="H135" i="11"/>
  <c r="F135" i="11"/>
  <c r="H125" i="11"/>
  <c r="H99" i="11" s="1"/>
  <c r="F125" i="11"/>
  <c r="H115" i="11"/>
  <c r="F115" i="11"/>
  <c r="H102" i="11"/>
  <c r="F101" i="11"/>
  <c r="H100" i="11"/>
  <c r="F100" i="11"/>
  <c r="H98" i="11"/>
  <c r="I77" i="11"/>
  <c r="H77" i="11"/>
  <c r="G77" i="11"/>
  <c r="F77" i="11"/>
  <c r="F28" i="11" s="1"/>
  <c r="H49" i="11"/>
  <c r="H53" i="11" s="1"/>
  <c r="H37" i="11"/>
  <c r="F37" i="11"/>
  <c r="H34" i="11"/>
  <c r="F34" i="11"/>
  <c r="H32" i="11"/>
  <c r="F32" i="11"/>
  <c r="H28" i="11"/>
  <c r="H180" i="11" l="1"/>
  <c r="H30" i="11" s="1"/>
  <c r="H105" i="11"/>
  <c r="H29" i="11" s="1"/>
  <c r="H38" i="11" s="1"/>
  <c r="H52" i="11" s="1"/>
  <c r="H54" i="11" s="1"/>
  <c r="H58" i="11" s="1"/>
  <c r="H214" i="11"/>
  <c r="H31" i="11" s="1"/>
  <c r="F42" i="11"/>
  <c r="F49" i="11"/>
  <c r="F99" i="11"/>
  <c r="F179" i="11"/>
  <c r="F214" i="11"/>
  <c r="F257" i="11"/>
  <c r="F98" i="11"/>
  <c r="F102" i="11"/>
  <c r="F31" i="11" l="1"/>
  <c r="F33" i="11"/>
  <c r="F53" i="11"/>
  <c r="F180" i="11"/>
  <c r="F105" i="11"/>
  <c r="F29" i="11" l="1"/>
  <c r="F30" i="11"/>
  <c r="F38" i="11" l="1"/>
  <c r="F52" i="11" l="1"/>
  <c r="F54" i="11" l="1"/>
  <c r="F58" i="11" l="1"/>
  <c r="F61" i="11" l="1"/>
  <c r="H57" i="11" l="1"/>
  <c r="H61" i="11" s="1"/>
  <c r="H363" i="19" l="1"/>
  <c r="F363" i="19"/>
  <c r="H332" i="19"/>
  <c r="G332" i="19"/>
  <c r="F332" i="19"/>
  <c r="D332" i="19"/>
  <c r="C332" i="19"/>
  <c r="H325" i="19"/>
  <c r="G325" i="19"/>
  <c r="F325" i="19"/>
  <c r="D325" i="19"/>
  <c r="C325" i="19"/>
  <c r="H320" i="19"/>
  <c r="F320" i="19"/>
  <c r="H302" i="19"/>
  <c r="F302" i="19"/>
  <c r="F35" i="19" s="1"/>
  <c r="H277" i="19"/>
  <c r="F277" i="19"/>
  <c r="H256" i="19"/>
  <c r="H253" i="19"/>
  <c r="F253" i="19"/>
  <c r="H252" i="19"/>
  <c r="F252" i="19"/>
  <c r="F247" i="19"/>
  <c r="H246" i="19"/>
  <c r="H247" i="19" s="1"/>
  <c r="F242" i="19"/>
  <c r="H240" i="19"/>
  <c r="H242" i="19" s="1"/>
  <c r="H231" i="19"/>
  <c r="F231" i="19"/>
  <c r="H207" i="19"/>
  <c r="F207" i="19"/>
  <c r="H201" i="19"/>
  <c r="H214" i="19" s="1"/>
  <c r="F201" i="19"/>
  <c r="H178" i="19"/>
  <c r="H179" i="19" s="1"/>
  <c r="F178" i="19"/>
  <c r="F179" i="19" s="1"/>
  <c r="H169" i="19"/>
  <c r="F169" i="19"/>
  <c r="H163" i="19"/>
  <c r="F163" i="19"/>
  <c r="H150" i="19"/>
  <c r="F150" i="19"/>
  <c r="H143" i="19"/>
  <c r="H101" i="19" s="1"/>
  <c r="F143" i="19"/>
  <c r="H135" i="19"/>
  <c r="F135" i="19"/>
  <c r="H125" i="19"/>
  <c r="H99" i="19" s="1"/>
  <c r="F125" i="19"/>
  <c r="H115" i="19"/>
  <c r="H98" i="19" s="1"/>
  <c r="F111" i="19"/>
  <c r="F115" i="19" s="1"/>
  <c r="H102" i="19"/>
  <c r="F101" i="19"/>
  <c r="H100" i="19"/>
  <c r="I77" i="19"/>
  <c r="H77" i="19"/>
  <c r="H28" i="19" s="1"/>
  <c r="G77" i="19"/>
  <c r="F77" i="19"/>
  <c r="H49" i="19"/>
  <c r="H53" i="19" s="1"/>
  <c r="H37" i="19"/>
  <c r="F37" i="19"/>
  <c r="H35" i="19"/>
  <c r="H34" i="19"/>
  <c r="F34" i="19"/>
  <c r="H32" i="19"/>
  <c r="F32" i="19"/>
  <c r="H31" i="19"/>
  <c r="H180" i="19" l="1"/>
  <c r="H30" i="19" s="1"/>
  <c r="F254" i="19"/>
  <c r="F257" i="19" s="1"/>
  <c r="H105" i="19"/>
  <c r="H29" i="19" s="1"/>
  <c r="H254" i="19"/>
  <c r="F28" i="19"/>
  <c r="F42" i="19"/>
  <c r="F99" i="19"/>
  <c r="F98" i="19"/>
  <c r="F49" i="19"/>
  <c r="F100" i="19"/>
  <c r="F102" i="19"/>
  <c r="H257" i="19"/>
  <c r="H33" i="19" s="1"/>
  <c r="H38" i="19" s="1"/>
  <c r="H52" i="19" s="1"/>
  <c r="H54" i="19" s="1"/>
  <c r="H58" i="19" s="1"/>
  <c r="F180" i="19"/>
  <c r="F214" i="19"/>
  <c r="F33" i="19" l="1"/>
  <c r="F53" i="19"/>
  <c r="F105" i="19"/>
  <c r="F31" i="19"/>
  <c r="F30" i="19"/>
  <c r="F29" i="19" l="1"/>
  <c r="F38" i="19" l="1"/>
  <c r="F52" i="19" l="1"/>
  <c r="F54" i="19" l="1"/>
  <c r="F58" i="19" l="1"/>
  <c r="F61" i="19" l="1"/>
  <c r="H57" i="19" l="1"/>
  <c r="H61" i="19" s="1"/>
  <c r="H363" i="31" l="1"/>
  <c r="F363" i="31"/>
  <c r="H332" i="31"/>
  <c r="G332" i="31"/>
  <c r="F332" i="31"/>
  <c r="D332" i="31"/>
  <c r="C332" i="31"/>
  <c r="H325" i="31"/>
  <c r="G325" i="31"/>
  <c r="F325" i="31"/>
  <c r="D325" i="31"/>
  <c r="C325" i="31"/>
  <c r="H320" i="31"/>
  <c r="F320" i="31"/>
  <c r="H302" i="31"/>
  <c r="F302" i="31"/>
  <c r="H277" i="31"/>
  <c r="F277" i="31"/>
  <c r="H254" i="31"/>
  <c r="F254" i="31"/>
  <c r="H247" i="31"/>
  <c r="F247" i="31"/>
  <c r="H242" i="31"/>
  <c r="H257" i="31" s="1"/>
  <c r="H33" i="31" s="1"/>
  <c r="F242" i="31"/>
  <c r="H231" i="31"/>
  <c r="F231" i="31"/>
  <c r="H207" i="31"/>
  <c r="F207" i="31"/>
  <c r="H201" i="31"/>
  <c r="F201" i="31"/>
  <c r="H178" i="31"/>
  <c r="H179" i="31" s="1"/>
  <c r="F178" i="31"/>
  <c r="H169" i="31"/>
  <c r="F169" i="31"/>
  <c r="H163" i="31"/>
  <c r="F163" i="31"/>
  <c r="H150" i="31"/>
  <c r="H102" i="31" s="1"/>
  <c r="F150" i="31"/>
  <c r="H143" i="31"/>
  <c r="H101" i="31" s="1"/>
  <c r="F143" i="31"/>
  <c r="H135" i="31"/>
  <c r="H100" i="31" s="1"/>
  <c r="F135" i="31"/>
  <c r="H125" i="31"/>
  <c r="H99" i="31" s="1"/>
  <c r="F125" i="31"/>
  <c r="H115" i="31"/>
  <c r="H98" i="31" s="1"/>
  <c r="F115" i="31"/>
  <c r="F101" i="31"/>
  <c r="F99" i="31"/>
  <c r="I77" i="31"/>
  <c r="H77" i="31"/>
  <c r="H28" i="31" s="1"/>
  <c r="G77" i="31"/>
  <c r="F77" i="31"/>
  <c r="H49" i="31"/>
  <c r="H53" i="31" s="1"/>
  <c r="H37" i="31"/>
  <c r="F37" i="31"/>
  <c r="H35" i="31"/>
  <c r="H34" i="31"/>
  <c r="F34" i="31"/>
  <c r="H32" i="31"/>
  <c r="F32" i="31"/>
  <c r="F28" i="31"/>
  <c r="H105" i="31" l="1"/>
  <c r="H29" i="31" s="1"/>
  <c r="C35" i="124"/>
  <c r="F257" i="31"/>
  <c r="F35" i="31"/>
  <c r="F98" i="31"/>
  <c r="F100" i="31"/>
  <c r="F102" i="31"/>
  <c r="H214" i="31"/>
  <c r="H31" i="31" s="1"/>
  <c r="H180" i="31"/>
  <c r="H30" i="31" s="1"/>
  <c r="F42" i="31"/>
  <c r="F49" i="31"/>
  <c r="F105" i="31"/>
  <c r="F179" i="31"/>
  <c r="F214" i="31"/>
  <c r="F33" i="31" l="1"/>
  <c r="H38" i="31"/>
  <c r="H52" i="31" s="1"/>
  <c r="H54" i="31" s="1"/>
  <c r="H58" i="31" s="1"/>
  <c r="F180" i="31"/>
  <c r="F29" i="31"/>
  <c r="F31" i="31"/>
  <c r="F53" i="31"/>
  <c r="F30" i="31" l="1"/>
  <c r="F38" i="31" l="1"/>
  <c r="F52" i="31" l="1"/>
  <c r="F54" i="31" l="1"/>
  <c r="F58" i="31" l="1"/>
  <c r="F61" i="31" l="1"/>
  <c r="H57" i="31" s="1"/>
  <c r="H61" i="31" s="1"/>
  <c r="H363" i="27" l="1"/>
  <c r="F363" i="27"/>
  <c r="H332" i="27"/>
  <c r="G332" i="27"/>
  <c r="F332" i="27"/>
  <c r="D332" i="27"/>
  <c r="C332" i="27"/>
  <c r="H325" i="27"/>
  <c r="G325" i="27"/>
  <c r="F325" i="27"/>
  <c r="D325" i="27"/>
  <c r="C325" i="27"/>
  <c r="H320" i="27"/>
  <c r="F320" i="27"/>
  <c r="H302" i="27"/>
  <c r="F302" i="27"/>
  <c r="H277" i="27"/>
  <c r="F277" i="27"/>
  <c r="H254" i="27"/>
  <c r="F254" i="27"/>
  <c r="H247" i="27"/>
  <c r="F247" i="27"/>
  <c r="H242" i="27"/>
  <c r="F242" i="27"/>
  <c r="H231" i="27"/>
  <c r="F231" i="27"/>
  <c r="H207" i="27"/>
  <c r="F207" i="27"/>
  <c r="H201" i="27"/>
  <c r="F201" i="27"/>
  <c r="H178" i="27"/>
  <c r="H179" i="27" s="1"/>
  <c r="F178" i="27"/>
  <c r="H169" i="27"/>
  <c r="F169" i="27"/>
  <c r="H163" i="27"/>
  <c r="H180" i="27" s="1"/>
  <c r="H30" i="27" s="1"/>
  <c r="F163" i="27"/>
  <c r="H150" i="27"/>
  <c r="H102" i="27" s="1"/>
  <c r="F150" i="27"/>
  <c r="H143" i="27"/>
  <c r="H101" i="27" s="1"/>
  <c r="F143" i="27"/>
  <c r="H135" i="27"/>
  <c r="H100" i="27" s="1"/>
  <c r="F135" i="27"/>
  <c r="H125" i="27"/>
  <c r="H99" i="27" s="1"/>
  <c r="F125" i="27"/>
  <c r="F99" i="27" s="1"/>
  <c r="H115" i="27"/>
  <c r="H98" i="27" s="1"/>
  <c r="F115" i="27"/>
  <c r="F101" i="27"/>
  <c r="I77" i="27"/>
  <c r="H77" i="27"/>
  <c r="H28" i="27" s="1"/>
  <c r="G77" i="27"/>
  <c r="F77" i="27"/>
  <c r="H49" i="27"/>
  <c r="H53" i="27" s="1"/>
  <c r="H37" i="27"/>
  <c r="F37" i="27"/>
  <c r="H35" i="27"/>
  <c r="H34" i="27"/>
  <c r="F34" i="27"/>
  <c r="H32" i="27"/>
  <c r="F28" i="27"/>
  <c r="C31" i="124" l="1"/>
  <c r="F257" i="27"/>
  <c r="F35" i="27"/>
  <c r="F98" i="27"/>
  <c r="F100" i="27"/>
  <c r="F102" i="27"/>
  <c r="H214" i="27"/>
  <c r="H31" i="27" s="1"/>
  <c r="H257" i="27"/>
  <c r="H33" i="27" s="1"/>
  <c r="H105" i="27"/>
  <c r="H29" i="27" s="1"/>
  <c r="F49" i="27"/>
  <c r="F42" i="27"/>
  <c r="F105" i="27"/>
  <c r="F32" i="27"/>
  <c r="F33" i="27"/>
  <c r="F179" i="27"/>
  <c r="F214" i="27"/>
  <c r="H38" i="27" l="1"/>
  <c r="H52" i="27" s="1"/>
  <c r="H54" i="27" s="1"/>
  <c r="H58" i="27" s="1"/>
  <c r="F29" i="27"/>
  <c r="F53" i="27"/>
  <c r="F31" i="27"/>
  <c r="F180" i="27"/>
  <c r="F30" i="27" l="1"/>
  <c r="F38" i="27" l="1"/>
  <c r="F52" i="27" l="1"/>
  <c r="F54" i="27" l="1"/>
  <c r="F58" i="27" l="1"/>
  <c r="F61" i="27" l="1"/>
  <c r="H57" i="27" l="1"/>
  <c r="H61" i="27" s="1"/>
  <c r="H363" i="18" l="1"/>
  <c r="F363" i="18"/>
  <c r="H332" i="18"/>
  <c r="G332" i="18"/>
  <c r="F332" i="18"/>
  <c r="D332" i="18"/>
  <c r="C332" i="18"/>
  <c r="H325" i="18"/>
  <c r="G325" i="18"/>
  <c r="F325" i="18"/>
  <c r="D325" i="18"/>
  <c r="C325" i="18"/>
  <c r="H320" i="18"/>
  <c r="F320" i="18"/>
  <c r="F302" i="18"/>
  <c r="H298" i="18"/>
  <c r="H302" i="18" s="1"/>
  <c r="H35" i="18" s="1"/>
  <c r="F298" i="18"/>
  <c r="H277" i="18"/>
  <c r="H34" i="18" s="1"/>
  <c r="F277" i="18"/>
  <c r="F34" i="18" s="1"/>
  <c r="H254" i="18"/>
  <c r="F254" i="18"/>
  <c r="H247" i="18"/>
  <c r="F247" i="18"/>
  <c r="H242" i="18"/>
  <c r="H257" i="18" s="1"/>
  <c r="H33" i="18" s="1"/>
  <c r="F242" i="18"/>
  <c r="H231" i="18"/>
  <c r="H32" i="18" s="1"/>
  <c r="F231" i="18"/>
  <c r="H207" i="18"/>
  <c r="F207" i="18"/>
  <c r="H201" i="18"/>
  <c r="H214" i="18" s="1"/>
  <c r="H31" i="18" s="1"/>
  <c r="F201" i="18"/>
  <c r="H178" i="18"/>
  <c r="H179" i="18" s="1"/>
  <c r="F178" i="18"/>
  <c r="F179" i="18" s="1"/>
  <c r="H169" i="18"/>
  <c r="F169" i="18"/>
  <c r="H163" i="18"/>
  <c r="F163" i="18"/>
  <c r="H150" i="18"/>
  <c r="F150" i="18"/>
  <c r="F102" i="18" s="1"/>
  <c r="H143" i="18"/>
  <c r="H101" i="18" s="1"/>
  <c r="F143" i="18"/>
  <c r="H135" i="18"/>
  <c r="F135" i="18"/>
  <c r="F100" i="18" s="1"/>
  <c r="H125" i="18"/>
  <c r="H99" i="18" s="1"/>
  <c r="F125" i="18"/>
  <c r="H115" i="18"/>
  <c r="F115" i="18"/>
  <c r="F98" i="18" s="1"/>
  <c r="H102" i="18"/>
  <c r="F101" i="18"/>
  <c r="H100" i="18"/>
  <c r="F99" i="18"/>
  <c r="H98" i="18"/>
  <c r="I77" i="18"/>
  <c r="H77" i="18"/>
  <c r="H28" i="18" s="1"/>
  <c r="G77" i="18"/>
  <c r="F77" i="18"/>
  <c r="H49" i="18"/>
  <c r="H53" i="18" s="1"/>
  <c r="F42" i="18"/>
  <c r="H37" i="18"/>
  <c r="F37" i="18"/>
  <c r="F35" i="18"/>
  <c r="F32" i="18"/>
  <c r="F28" i="18"/>
  <c r="H105" i="18" l="1"/>
  <c r="H29" i="18" s="1"/>
  <c r="F257" i="18"/>
  <c r="F33" i="18" s="1"/>
  <c r="F214" i="18"/>
  <c r="F31" i="18" s="1"/>
  <c r="F49" i="18"/>
  <c r="F105" i="18"/>
  <c r="H180" i="18"/>
  <c r="H30" i="18" s="1"/>
  <c r="H38" i="18" s="1"/>
  <c r="H52" i="18" s="1"/>
  <c r="H54" i="18" s="1"/>
  <c r="H58" i="18" s="1"/>
  <c r="F180" i="18"/>
  <c r="F53" i="18" l="1"/>
  <c r="F30" i="18"/>
  <c r="F29" i="18"/>
  <c r="F38" i="18" l="1"/>
  <c r="F52" i="18" l="1"/>
  <c r="F54" i="18" l="1"/>
  <c r="F58" i="18" l="1"/>
  <c r="F61" i="18" l="1"/>
  <c r="H57" i="18" l="1"/>
  <c r="H61" i="18" s="1"/>
  <c r="H363" i="9" l="1"/>
  <c r="F363" i="9"/>
  <c r="H332" i="9"/>
  <c r="G332" i="9"/>
  <c r="F332" i="9"/>
  <c r="D332" i="9"/>
  <c r="C332" i="9"/>
  <c r="H325" i="9"/>
  <c r="G325" i="9"/>
  <c r="F325" i="9"/>
  <c r="D325" i="9"/>
  <c r="C325" i="9"/>
  <c r="H320" i="9"/>
  <c r="F320" i="9"/>
  <c r="H302" i="9"/>
  <c r="F302" i="9"/>
  <c r="H277" i="9"/>
  <c r="F277" i="9"/>
  <c r="H254" i="9"/>
  <c r="F254" i="9"/>
  <c r="H247" i="9"/>
  <c r="H257" i="9" s="1"/>
  <c r="H33" i="9" s="1"/>
  <c r="F247" i="9"/>
  <c r="H242" i="9"/>
  <c r="F242" i="9"/>
  <c r="F257" i="9" s="1"/>
  <c r="H231" i="9"/>
  <c r="F231" i="9"/>
  <c r="H207" i="9"/>
  <c r="F207" i="9"/>
  <c r="H201" i="9"/>
  <c r="F201" i="9"/>
  <c r="H178" i="9"/>
  <c r="F178" i="9"/>
  <c r="H169" i="9"/>
  <c r="F169" i="9"/>
  <c r="H163" i="9"/>
  <c r="F163" i="9"/>
  <c r="H150" i="9"/>
  <c r="H102" i="9" s="1"/>
  <c r="F150" i="9"/>
  <c r="H143" i="9"/>
  <c r="H101" i="9" s="1"/>
  <c r="F143" i="9"/>
  <c r="H135" i="9"/>
  <c r="H100" i="9" s="1"/>
  <c r="F135" i="9"/>
  <c r="H125" i="9"/>
  <c r="H99" i="9" s="1"/>
  <c r="F125" i="9"/>
  <c r="H115" i="9"/>
  <c r="H98" i="9" s="1"/>
  <c r="F115" i="9"/>
  <c r="F102" i="9"/>
  <c r="F101" i="9"/>
  <c r="F100" i="9"/>
  <c r="F99" i="9"/>
  <c r="F98" i="9"/>
  <c r="I77" i="9"/>
  <c r="H77" i="9"/>
  <c r="H28" i="9" s="1"/>
  <c r="G77" i="9"/>
  <c r="F77" i="9"/>
  <c r="H49" i="9"/>
  <c r="H53" i="9" s="1"/>
  <c r="H37" i="9"/>
  <c r="F37" i="9"/>
  <c r="H35" i="9"/>
  <c r="F35" i="9"/>
  <c r="H34" i="9"/>
  <c r="F34" i="9"/>
  <c r="H32" i="9"/>
  <c r="F28" i="9"/>
  <c r="H179" i="9" l="1"/>
  <c r="H180" i="9" s="1"/>
  <c r="H30" i="9" s="1"/>
  <c r="H214" i="9"/>
  <c r="H31" i="9" s="1"/>
  <c r="H105" i="9"/>
  <c r="H29" i="9" s="1"/>
  <c r="H38" i="9" s="1"/>
  <c r="H52" i="9" s="1"/>
  <c r="H54" i="9" s="1"/>
  <c r="H58" i="9" s="1"/>
  <c r="F49" i="9"/>
  <c r="F32" i="9"/>
  <c r="F33" i="9"/>
  <c r="F105" i="9"/>
  <c r="F179" i="9"/>
  <c r="F42" i="9"/>
  <c r="F214" i="9"/>
  <c r="F29" i="9" l="1"/>
  <c r="F180" i="9"/>
  <c r="F31" i="9"/>
  <c r="F53" i="9"/>
  <c r="F30" i="9" l="1"/>
  <c r="F38" i="9" l="1"/>
  <c r="F52" i="9" l="1"/>
  <c r="F54" i="9" l="1"/>
  <c r="F58" i="9" l="1"/>
  <c r="F61" i="9" l="1"/>
  <c r="H57" i="9" l="1"/>
  <c r="H61" i="9" s="1"/>
  <c r="H360" i="24" l="1"/>
  <c r="F360" i="24"/>
  <c r="F363" i="24" s="1"/>
  <c r="H355" i="24"/>
  <c r="H363" i="24" s="1"/>
  <c r="H332" i="24"/>
  <c r="G332" i="24"/>
  <c r="F332" i="24"/>
  <c r="D332" i="24"/>
  <c r="C332" i="24"/>
  <c r="H325" i="24"/>
  <c r="G325" i="24"/>
  <c r="F325" i="24"/>
  <c r="D325" i="24"/>
  <c r="C325" i="24"/>
  <c r="H320" i="24"/>
  <c r="F320" i="24"/>
  <c r="F37" i="24" s="1"/>
  <c r="H302" i="24"/>
  <c r="H35" i="24" s="1"/>
  <c r="H301" i="24"/>
  <c r="F301" i="24"/>
  <c r="F302" i="24" s="1"/>
  <c r="F35" i="24" s="1"/>
  <c r="H277" i="24"/>
  <c r="H34" i="24" s="1"/>
  <c r="F277" i="24"/>
  <c r="F34" i="24" s="1"/>
  <c r="F254" i="24"/>
  <c r="H253" i="24"/>
  <c r="H254" i="24" s="1"/>
  <c r="H247" i="24"/>
  <c r="F247" i="24"/>
  <c r="H242" i="24"/>
  <c r="F242" i="24"/>
  <c r="H231" i="24"/>
  <c r="H32" i="24" s="1"/>
  <c r="F231" i="24"/>
  <c r="F32" i="24" s="1"/>
  <c r="H207" i="24"/>
  <c r="F207" i="24"/>
  <c r="H201" i="24"/>
  <c r="H214" i="24" s="1"/>
  <c r="H31" i="24" s="1"/>
  <c r="F201" i="24"/>
  <c r="H178" i="24"/>
  <c r="F178" i="24"/>
  <c r="H172" i="24"/>
  <c r="H179" i="24" s="1"/>
  <c r="F172" i="24"/>
  <c r="F179" i="24" s="1"/>
  <c r="H169" i="24"/>
  <c r="F169" i="24"/>
  <c r="H161" i="24"/>
  <c r="H163" i="24" s="1"/>
  <c r="F161" i="24"/>
  <c r="F163" i="24" s="1"/>
  <c r="H150" i="24"/>
  <c r="F150" i="24"/>
  <c r="H143" i="24"/>
  <c r="F143" i="24"/>
  <c r="H135" i="24"/>
  <c r="H100" i="24" s="1"/>
  <c r="F135" i="24"/>
  <c r="F100" i="24" s="1"/>
  <c r="H125" i="24"/>
  <c r="H99" i="24" s="1"/>
  <c r="F125" i="24"/>
  <c r="F99" i="24" s="1"/>
  <c r="H115" i="24"/>
  <c r="H98" i="24" s="1"/>
  <c r="F115" i="24"/>
  <c r="H104" i="24"/>
  <c r="F104" i="24"/>
  <c r="H102" i="24"/>
  <c r="F102" i="24"/>
  <c r="H101" i="24"/>
  <c r="F101" i="24"/>
  <c r="F98" i="24"/>
  <c r="I73" i="24"/>
  <c r="H73" i="24"/>
  <c r="G73" i="24"/>
  <c r="F73" i="24"/>
  <c r="I72" i="24"/>
  <c r="I77" i="24" s="1"/>
  <c r="H72" i="24"/>
  <c r="G72" i="24"/>
  <c r="G77" i="24" s="1"/>
  <c r="F72" i="24"/>
  <c r="H71" i="24"/>
  <c r="F71" i="24"/>
  <c r="H49" i="24"/>
  <c r="H53" i="24" s="1"/>
  <c r="F48" i="24"/>
  <c r="F49" i="24"/>
  <c r="H37" i="24"/>
  <c r="H77" i="24" l="1"/>
  <c r="H28" i="24" s="1"/>
  <c r="H180" i="24"/>
  <c r="H30" i="24" s="1"/>
  <c r="H257" i="24"/>
  <c r="H33" i="24" s="1"/>
  <c r="F214" i="24"/>
  <c r="F31" i="24" s="1"/>
  <c r="F53" i="24"/>
  <c r="H105" i="24"/>
  <c r="H29" i="24" s="1"/>
  <c r="F42" i="24"/>
  <c r="F77" i="24"/>
  <c r="F105" i="24"/>
  <c r="F180" i="24"/>
  <c r="F257" i="24"/>
  <c r="H38" i="24" l="1"/>
  <c r="H52" i="24" s="1"/>
  <c r="H54" i="24" s="1"/>
  <c r="H58" i="24" s="1"/>
  <c r="F29" i="24"/>
  <c r="F30" i="24"/>
  <c r="F33" i="24"/>
  <c r="F28" i="24"/>
  <c r="F38" i="24" l="1"/>
  <c r="F52" i="24" l="1"/>
  <c r="F54" i="24" l="1"/>
  <c r="F58" i="24" l="1"/>
  <c r="F61" i="24" l="1"/>
  <c r="H57" i="24" l="1"/>
  <c r="H61" i="24" s="1"/>
  <c r="H363" i="14" l="1"/>
  <c r="F363" i="14"/>
  <c r="H332" i="14"/>
  <c r="G332" i="14"/>
  <c r="F332" i="14"/>
  <c r="D332" i="14"/>
  <c r="C332" i="14"/>
  <c r="H325" i="14"/>
  <c r="G325" i="14"/>
  <c r="F325" i="14"/>
  <c r="D325" i="14"/>
  <c r="C325" i="14"/>
  <c r="H320" i="14"/>
  <c r="F320" i="14"/>
  <c r="H302" i="14"/>
  <c r="F302" i="14"/>
  <c r="F35" i="14" s="1"/>
  <c r="H277" i="14"/>
  <c r="F277" i="14"/>
  <c r="H254" i="14"/>
  <c r="F254" i="14"/>
  <c r="H247" i="14"/>
  <c r="F247" i="14"/>
  <c r="H242" i="14"/>
  <c r="F242" i="14"/>
  <c r="F257" i="14" s="1"/>
  <c r="F33" i="14" s="1"/>
  <c r="H231" i="14"/>
  <c r="F231" i="14"/>
  <c r="F32" i="14" s="1"/>
  <c r="H207" i="14"/>
  <c r="F207" i="14"/>
  <c r="H201" i="14"/>
  <c r="F201" i="14"/>
  <c r="H178" i="14"/>
  <c r="H179" i="14" s="1"/>
  <c r="F178" i="14"/>
  <c r="H169" i="14"/>
  <c r="F169" i="14"/>
  <c r="H163" i="14"/>
  <c r="F163" i="14"/>
  <c r="H149" i="14"/>
  <c r="H150" i="14" s="1"/>
  <c r="H102" i="14" s="1"/>
  <c r="F149" i="14"/>
  <c r="F150" i="14" s="1"/>
  <c r="F102" i="14" s="1"/>
  <c r="H142" i="14"/>
  <c r="F142" i="14"/>
  <c r="H139" i="14"/>
  <c r="F139" i="14"/>
  <c r="H134" i="14"/>
  <c r="H135" i="14" s="1"/>
  <c r="H100" i="14" s="1"/>
  <c r="F134" i="14"/>
  <c r="F125" i="14"/>
  <c r="H120" i="14"/>
  <c r="H125" i="14" s="1"/>
  <c r="H99" i="14" s="1"/>
  <c r="F115" i="14"/>
  <c r="H114" i="14"/>
  <c r="H115" i="14" s="1"/>
  <c r="H98" i="14" s="1"/>
  <c r="F114" i="14"/>
  <c r="F99" i="14"/>
  <c r="I77" i="14"/>
  <c r="H77" i="14"/>
  <c r="H28" i="14" s="1"/>
  <c r="G77" i="14"/>
  <c r="F77" i="14"/>
  <c r="H49" i="14"/>
  <c r="H53" i="14" s="1"/>
  <c r="F49" i="14"/>
  <c r="H37" i="14"/>
  <c r="F37" i="14"/>
  <c r="H35" i="14"/>
  <c r="H34" i="14"/>
  <c r="F34" i="14"/>
  <c r="H32" i="14"/>
  <c r="F28" i="14"/>
  <c r="H180" i="14" l="1"/>
  <c r="H30" i="14" s="1"/>
  <c r="H143" i="14"/>
  <c r="H101" i="14" s="1"/>
  <c r="H214" i="14"/>
  <c r="H31" i="14" s="1"/>
  <c r="H105" i="14"/>
  <c r="H29" i="14" s="1"/>
  <c r="F135" i="14"/>
  <c r="F53" i="14"/>
  <c r="F98" i="14"/>
  <c r="F214" i="14"/>
  <c r="F42" i="14"/>
  <c r="F179" i="14"/>
  <c r="F143" i="14"/>
  <c r="H257" i="14"/>
  <c r="H33" i="14" s="1"/>
  <c r="H38" i="14" s="1"/>
  <c r="H52" i="14" s="1"/>
  <c r="H54" i="14" s="1"/>
  <c r="H58" i="14" s="1"/>
  <c r="F31" i="14" l="1"/>
  <c r="F101" i="14"/>
  <c r="F180" i="14"/>
  <c r="F100" i="14"/>
  <c r="F30" i="14" l="1"/>
  <c r="F105" i="14"/>
  <c r="F29" i="14" l="1"/>
  <c r="F38" i="14" l="1"/>
  <c r="F52" i="14" l="1"/>
  <c r="F54" i="14" l="1"/>
  <c r="F58" i="14" l="1"/>
  <c r="F61" i="14" l="1"/>
  <c r="H57" i="14" l="1"/>
  <c r="H61" i="14" s="1"/>
  <c r="H363" i="21" l="1"/>
  <c r="F363" i="21"/>
  <c r="C335" i="21"/>
  <c r="C334" i="21"/>
  <c r="C332" i="21" s="1"/>
  <c r="C333" i="21"/>
  <c r="H332" i="21"/>
  <c r="G332" i="21"/>
  <c r="F332" i="21"/>
  <c r="D332" i="21"/>
  <c r="C328" i="21"/>
  <c r="C327" i="21"/>
  <c r="C326" i="21"/>
  <c r="C325" i="21" s="1"/>
  <c r="H325" i="21"/>
  <c r="G325" i="21"/>
  <c r="F325" i="21"/>
  <c r="D325" i="21"/>
  <c r="H318" i="21"/>
  <c r="F318" i="21"/>
  <c r="H317" i="21"/>
  <c r="F317" i="21"/>
  <c r="H316" i="21"/>
  <c r="F316" i="21"/>
  <c r="H315" i="21"/>
  <c r="F315" i="21"/>
  <c r="H314" i="21"/>
  <c r="F314" i="21"/>
  <c r="H313" i="21"/>
  <c r="H320" i="21" s="1"/>
  <c r="H37" i="21" s="1"/>
  <c r="F313" i="21"/>
  <c r="H302" i="21"/>
  <c r="F302" i="21"/>
  <c r="H277" i="21"/>
  <c r="F277" i="21"/>
  <c r="H254" i="21"/>
  <c r="F254" i="21"/>
  <c r="H247" i="21"/>
  <c r="F247" i="21"/>
  <c r="H242" i="21"/>
  <c r="F242" i="21"/>
  <c r="H231" i="21"/>
  <c r="F231" i="21"/>
  <c r="H207" i="21"/>
  <c r="F207" i="21"/>
  <c r="H201" i="21"/>
  <c r="F201" i="21"/>
  <c r="H176" i="21"/>
  <c r="H178" i="21" s="1"/>
  <c r="H179" i="21" s="1"/>
  <c r="F176" i="21"/>
  <c r="H169" i="21"/>
  <c r="F169" i="21"/>
  <c r="H163" i="21"/>
  <c r="F163" i="21"/>
  <c r="H150" i="21"/>
  <c r="H102" i="21" s="1"/>
  <c r="F150" i="21"/>
  <c r="H143" i="21"/>
  <c r="H101" i="21" s="1"/>
  <c r="F143" i="21"/>
  <c r="H135" i="21"/>
  <c r="H100" i="21" s="1"/>
  <c r="F135" i="21"/>
  <c r="H125" i="21"/>
  <c r="F125" i="21"/>
  <c r="H115" i="21"/>
  <c r="H98" i="21" s="1"/>
  <c r="F115" i="21"/>
  <c r="F101" i="21"/>
  <c r="H99" i="21"/>
  <c r="F99" i="21"/>
  <c r="I77" i="21"/>
  <c r="G77" i="21"/>
  <c r="H73" i="21"/>
  <c r="H77" i="21" s="1"/>
  <c r="H28" i="21" s="1"/>
  <c r="F73" i="21"/>
  <c r="H43" i="21"/>
  <c r="H35" i="21"/>
  <c r="H34" i="21"/>
  <c r="H32" i="21"/>
  <c r="F100" i="21" l="1"/>
  <c r="F102" i="21"/>
  <c r="F32" i="21"/>
  <c r="F34" i="21"/>
  <c r="F214" i="21"/>
  <c r="F77" i="21"/>
  <c r="F98" i="21"/>
  <c r="F257" i="21"/>
  <c r="F35" i="21"/>
  <c r="C25" i="124"/>
  <c r="H257" i="21"/>
  <c r="H33" i="21" s="1"/>
  <c r="F42" i="21"/>
  <c r="H105" i="21"/>
  <c r="H29" i="21" s="1"/>
  <c r="H214" i="21"/>
  <c r="H31" i="21" s="1"/>
  <c r="F320" i="21"/>
  <c r="H49" i="21"/>
  <c r="H53" i="21" s="1"/>
  <c r="D25" i="124"/>
  <c r="H180" i="21"/>
  <c r="H30" i="21" s="1"/>
  <c r="F178" i="21"/>
  <c r="F49" i="21"/>
  <c r="F105" i="21" l="1"/>
  <c r="F37" i="21"/>
  <c r="F31" i="21"/>
  <c r="H38" i="21"/>
  <c r="H52" i="21" s="1"/>
  <c r="H54" i="21" s="1"/>
  <c r="H58" i="21" s="1"/>
  <c r="F28" i="21"/>
  <c r="F33" i="21"/>
  <c r="F179" i="21"/>
  <c r="F29" i="21"/>
  <c r="F53" i="21"/>
  <c r="F180" i="21" l="1"/>
  <c r="F30" i="21" l="1"/>
  <c r="F38" i="21" l="1"/>
  <c r="F52" i="21" l="1"/>
  <c r="F54" i="21" l="1"/>
  <c r="F58" i="21" l="1"/>
  <c r="F61" i="21" l="1"/>
  <c r="H57" i="21" l="1"/>
  <c r="H61" i="21" s="1"/>
  <c r="H363" i="28" l="1"/>
  <c r="F363" i="28"/>
  <c r="H332" i="28"/>
  <c r="G332" i="28"/>
  <c r="F332" i="28"/>
  <c r="D332" i="28"/>
  <c r="C332" i="28"/>
  <c r="H325" i="28"/>
  <c r="G325" i="28"/>
  <c r="F325" i="28"/>
  <c r="D325" i="28"/>
  <c r="C325" i="28"/>
  <c r="F320" i="28"/>
  <c r="H319" i="28"/>
  <c r="H320" i="28" s="1"/>
  <c r="H302" i="28"/>
  <c r="F302" i="28"/>
  <c r="H277" i="28"/>
  <c r="F277" i="28"/>
  <c r="H254" i="28"/>
  <c r="F254" i="28"/>
  <c r="H247" i="28"/>
  <c r="F247" i="28"/>
  <c r="H242" i="28"/>
  <c r="H257" i="28" s="1"/>
  <c r="H33" i="28" s="1"/>
  <c r="F242" i="28"/>
  <c r="H231" i="28"/>
  <c r="H32" i="28" s="1"/>
  <c r="F231" i="28"/>
  <c r="H207" i="28"/>
  <c r="F207" i="28"/>
  <c r="H201" i="28"/>
  <c r="F201" i="28"/>
  <c r="H178" i="28"/>
  <c r="H179" i="28" s="1"/>
  <c r="F178" i="28"/>
  <c r="H169" i="28"/>
  <c r="F169" i="28"/>
  <c r="H163" i="28"/>
  <c r="F163" i="28"/>
  <c r="H150" i="28"/>
  <c r="H102" i="28" s="1"/>
  <c r="F150" i="28"/>
  <c r="H143" i="28"/>
  <c r="F143" i="28"/>
  <c r="H135" i="28"/>
  <c r="H100" i="28" s="1"/>
  <c r="F135" i="28"/>
  <c r="H125" i="28"/>
  <c r="H99" i="28" s="1"/>
  <c r="F125" i="28"/>
  <c r="F99" i="28" s="1"/>
  <c r="H115" i="28"/>
  <c r="H98" i="28" s="1"/>
  <c r="F115" i="28"/>
  <c r="F102" i="28"/>
  <c r="H101" i="28"/>
  <c r="I77" i="28"/>
  <c r="H77" i="28"/>
  <c r="G77" i="28"/>
  <c r="F77" i="28"/>
  <c r="H49" i="28"/>
  <c r="H53" i="28" s="1"/>
  <c r="H37" i="28"/>
  <c r="F37" i="28"/>
  <c r="H35" i="28"/>
  <c r="H34" i="28"/>
  <c r="H28" i="28"/>
  <c r="F28" i="28"/>
  <c r="H214" i="28" l="1"/>
  <c r="H31" i="28" s="1"/>
  <c r="F214" i="28"/>
  <c r="F35" i="28"/>
  <c r="C32" i="124"/>
  <c r="F98" i="28"/>
  <c r="F100" i="28"/>
  <c r="F101" i="28"/>
  <c r="F179" i="28"/>
  <c r="H180" i="28"/>
  <c r="H30" i="28" s="1"/>
  <c r="F257" i="28"/>
  <c r="H105" i="28"/>
  <c r="H29" i="28" s="1"/>
  <c r="F32" i="28"/>
  <c r="F42" i="28"/>
  <c r="F34" i="28"/>
  <c r="F49" i="28"/>
  <c r="H38" i="28" l="1"/>
  <c r="H52" i="28" s="1"/>
  <c r="H54" i="28" s="1"/>
  <c r="H58" i="28" s="1"/>
  <c r="F105" i="28"/>
  <c r="F33" i="28"/>
  <c r="F31" i="28"/>
  <c r="F180" i="28"/>
  <c r="F29" i="28"/>
  <c r="F53" i="28"/>
  <c r="F30" i="28" l="1"/>
  <c r="F38" i="28" l="1"/>
  <c r="F52" i="28" l="1"/>
  <c r="F54" i="28" l="1"/>
  <c r="F58" i="28" l="1"/>
  <c r="F61" i="28" l="1"/>
  <c r="H57" i="28" l="1"/>
  <c r="H61" i="28" s="1"/>
  <c r="K36" i="119"/>
  <c r="O36" i="119" s="1"/>
  <c r="K35" i="119"/>
  <c r="O35" i="119" s="1"/>
  <c r="K34" i="119"/>
  <c r="P34" i="119" s="1"/>
  <c r="K33" i="119"/>
  <c r="P33" i="119" s="1"/>
  <c r="K32" i="119"/>
  <c r="O32" i="119" s="1"/>
  <c r="K31" i="119"/>
  <c r="O31" i="119" s="1"/>
  <c r="K30" i="119"/>
  <c r="O30" i="119" s="1"/>
  <c r="K29" i="119"/>
  <c r="P29" i="119" s="1"/>
  <c r="K28" i="119"/>
  <c r="O28" i="119" s="1"/>
  <c r="K27" i="119"/>
  <c r="O27" i="119" s="1"/>
  <c r="K26" i="119"/>
  <c r="O26" i="119" s="1"/>
  <c r="K25" i="119"/>
  <c r="O25" i="119" s="1"/>
  <c r="K24" i="119"/>
  <c r="O24" i="119" s="1"/>
  <c r="K23" i="119"/>
  <c r="O23" i="119" s="1"/>
  <c r="K22" i="119"/>
  <c r="O22" i="119" s="1"/>
  <c r="K21" i="119"/>
  <c r="O21" i="119" s="1"/>
  <c r="K20" i="119"/>
  <c r="P20" i="119" s="1"/>
  <c r="K19" i="119"/>
  <c r="P19" i="119" s="1"/>
  <c r="K18" i="119"/>
  <c r="P18" i="119" s="1"/>
  <c r="K17" i="119"/>
  <c r="O17" i="119" s="1"/>
  <c r="K16" i="119"/>
  <c r="O16" i="119" s="1"/>
  <c r="K15" i="119"/>
  <c r="P15" i="119" s="1"/>
  <c r="K14" i="119"/>
  <c r="O14" i="119" s="1"/>
  <c r="K13" i="119"/>
  <c r="O13" i="119" s="1"/>
  <c r="K12" i="119"/>
  <c r="P12" i="119" s="1"/>
  <c r="K11" i="119"/>
  <c r="P11" i="119" s="1"/>
  <c r="K10" i="119"/>
  <c r="O10" i="119" s="1"/>
  <c r="K9" i="119"/>
  <c r="O9" i="119" s="1"/>
  <c r="K8" i="119"/>
  <c r="O8" i="119" s="1"/>
  <c r="K7" i="119"/>
  <c r="O7" i="119" s="1"/>
  <c r="K6" i="119"/>
  <c r="P6" i="119" s="1"/>
  <c r="K5" i="119"/>
  <c r="O5" i="119" s="1"/>
  <c r="J36" i="119"/>
  <c r="M36" i="119" s="1"/>
  <c r="J35" i="119"/>
  <c r="N35" i="119" s="1"/>
  <c r="J34" i="119"/>
  <c r="M34" i="119" s="1"/>
  <c r="J33" i="119"/>
  <c r="M33" i="119" s="1"/>
  <c r="J32" i="119"/>
  <c r="M32" i="119" s="1"/>
  <c r="J31" i="119"/>
  <c r="M31" i="119" s="1"/>
  <c r="J30" i="119"/>
  <c r="N30" i="119" s="1"/>
  <c r="J29" i="119"/>
  <c r="M29" i="119" s="1"/>
  <c r="J28" i="119"/>
  <c r="N28" i="119" s="1"/>
  <c r="J27" i="119"/>
  <c r="N27" i="119" s="1"/>
  <c r="J26" i="119"/>
  <c r="M26" i="119" s="1"/>
  <c r="J25" i="119"/>
  <c r="M25" i="119" s="1"/>
  <c r="J24" i="119"/>
  <c r="M24" i="119" s="1"/>
  <c r="J23" i="119"/>
  <c r="N23" i="119" s="1"/>
  <c r="J22" i="119"/>
  <c r="M22" i="119" s="1"/>
  <c r="J21" i="119"/>
  <c r="M21" i="119" s="1"/>
  <c r="J20" i="119"/>
  <c r="N20" i="119" s="1"/>
  <c r="J19" i="119"/>
  <c r="N19" i="119" s="1"/>
  <c r="J18" i="119"/>
  <c r="M18" i="119" s="1"/>
  <c r="J17" i="119"/>
  <c r="M17" i="119" s="1"/>
  <c r="J16" i="119"/>
  <c r="N16" i="119" s="1"/>
  <c r="J15" i="119"/>
  <c r="M15" i="119" s="1"/>
  <c r="J14" i="119"/>
  <c r="N14" i="119" s="1"/>
  <c r="J13" i="119"/>
  <c r="N13" i="119" s="1"/>
  <c r="J12" i="119"/>
  <c r="M12" i="119" s="1"/>
  <c r="J11" i="119"/>
  <c r="M11" i="119" s="1"/>
  <c r="J10" i="119"/>
  <c r="N10" i="119" s="1"/>
  <c r="J9" i="119"/>
  <c r="N9" i="119" s="1"/>
  <c r="J8" i="119"/>
  <c r="M8" i="119" s="1"/>
  <c r="J7" i="119"/>
  <c r="M7" i="119" s="1"/>
  <c r="J6" i="119"/>
  <c r="M6" i="119" s="1"/>
  <c r="J5" i="119"/>
  <c r="M5" i="119" s="1"/>
  <c r="AY36" i="118"/>
  <c r="AY35" i="118"/>
  <c r="AY34" i="118"/>
  <c r="AY33" i="118"/>
  <c r="AY32" i="118"/>
  <c r="AY31" i="118"/>
  <c r="AY30" i="118"/>
  <c r="AY29" i="118"/>
  <c r="AY28" i="118"/>
  <c r="AY27" i="118"/>
  <c r="AY26" i="118"/>
  <c r="AY25" i="118"/>
  <c r="AY24" i="118"/>
  <c r="AY23" i="118"/>
  <c r="AY22" i="118"/>
  <c r="AY21" i="118"/>
  <c r="AY20" i="118"/>
  <c r="AY19" i="118"/>
  <c r="AY18" i="118"/>
  <c r="AY17" i="118"/>
  <c r="AY16" i="118"/>
  <c r="AY15" i="118"/>
  <c r="AY14" i="118"/>
  <c r="AY13" i="118"/>
  <c r="AY12" i="118"/>
  <c r="AY11" i="118"/>
  <c r="AY10" i="118"/>
  <c r="AY9" i="118"/>
  <c r="AY8" i="118"/>
  <c r="AY7" i="118"/>
  <c r="AY6" i="118"/>
  <c r="AY5" i="118"/>
  <c r="AX36" i="118"/>
  <c r="AX35" i="118"/>
  <c r="AX34" i="118"/>
  <c r="AX33" i="118"/>
  <c r="AX32" i="118"/>
  <c r="AX31" i="118"/>
  <c r="AX30" i="118"/>
  <c r="AX29" i="118"/>
  <c r="AX28" i="118"/>
  <c r="AX27" i="118"/>
  <c r="AX26" i="118"/>
  <c r="AX25" i="118"/>
  <c r="AX24" i="118"/>
  <c r="AX23" i="118"/>
  <c r="AX22" i="118"/>
  <c r="AX21" i="118"/>
  <c r="AX20" i="118"/>
  <c r="AX19" i="118"/>
  <c r="AX18" i="118"/>
  <c r="AX17" i="118"/>
  <c r="AX16" i="118"/>
  <c r="AX15" i="118"/>
  <c r="AX14" i="118"/>
  <c r="AX13" i="118"/>
  <c r="AX12" i="118"/>
  <c r="AX11" i="118"/>
  <c r="AX10" i="118"/>
  <c r="AX9" i="118"/>
  <c r="AX8" i="118"/>
  <c r="AX7" i="118"/>
  <c r="AX6" i="118"/>
  <c r="AX5" i="118"/>
  <c r="AO36" i="118"/>
  <c r="BU36" i="118" s="1"/>
  <c r="BT36" i="118" s="1"/>
  <c r="AO35" i="118"/>
  <c r="BU35" i="118" s="1"/>
  <c r="BT35" i="118" s="1"/>
  <c r="AO34" i="118"/>
  <c r="BU34" i="118" s="1"/>
  <c r="BT34" i="118" s="1"/>
  <c r="AO33" i="118"/>
  <c r="BU33" i="118" s="1"/>
  <c r="BT33" i="118" s="1"/>
  <c r="AO32" i="118"/>
  <c r="BU32" i="118" s="1"/>
  <c r="BT32" i="118" s="1"/>
  <c r="AO31" i="118"/>
  <c r="BU31" i="118" s="1"/>
  <c r="BT31" i="118" s="1"/>
  <c r="AO30" i="118"/>
  <c r="BU30" i="118" s="1"/>
  <c r="BT30" i="118" s="1"/>
  <c r="AO29" i="118"/>
  <c r="BU29" i="118" s="1"/>
  <c r="BT29" i="118" s="1"/>
  <c r="AO28" i="118"/>
  <c r="BU28" i="118" s="1"/>
  <c r="BT28" i="118" s="1"/>
  <c r="AO27" i="118"/>
  <c r="BU27" i="118" s="1"/>
  <c r="BT27" i="118" s="1"/>
  <c r="AO26" i="118"/>
  <c r="BU26" i="118" s="1"/>
  <c r="BT26" i="118" s="1"/>
  <c r="AO25" i="118"/>
  <c r="BU25" i="118" s="1"/>
  <c r="BT25" i="118" s="1"/>
  <c r="AO24" i="118"/>
  <c r="BU24" i="118" s="1"/>
  <c r="BT24" i="118" s="1"/>
  <c r="AO23" i="118"/>
  <c r="BU23" i="118" s="1"/>
  <c r="BT23" i="118" s="1"/>
  <c r="AO22" i="118"/>
  <c r="BU22" i="118" s="1"/>
  <c r="BT22" i="118" s="1"/>
  <c r="AO21" i="118"/>
  <c r="BU21" i="118" s="1"/>
  <c r="BT21" i="118" s="1"/>
  <c r="AO20" i="118"/>
  <c r="BU20" i="118" s="1"/>
  <c r="BT20" i="118" s="1"/>
  <c r="AO19" i="118"/>
  <c r="BU19" i="118" s="1"/>
  <c r="BT19" i="118" s="1"/>
  <c r="AO18" i="118"/>
  <c r="BU18" i="118" s="1"/>
  <c r="BT18" i="118" s="1"/>
  <c r="AO17" i="118"/>
  <c r="BU17" i="118" s="1"/>
  <c r="BT17" i="118" s="1"/>
  <c r="AO16" i="118"/>
  <c r="BU16" i="118" s="1"/>
  <c r="BT16" i="118" s="1"/>
  <c r="AO15" i="118"/>
  <c r="BU15" i="118" s="1"/>
  <c r="BT15" i="118" s="1"/>
  <c r="AO14" i="118"/>
  <c r="BU14" i="118" s="1"/>
  <c r="BT14" i="118" s="1"/>
  <c r="AO13" i="118"/>
  <c r="BU13" i="118" s="1"/>
  <c r="BT13" i="118" s="1"/>
  <c r="AO12" i="118"/>
  <c r="BU12" i="118" s="1"/>
  <c r="BT12" i="118" s="1"/>
  <c r="AO11" i="118"/>
  <c r="BU11" i="118" s="1"/>
  <c r="BT11" i="118" s="1"/>
  <c r="AO10" i="118"/>
  <c r="BU10" i="118" s="1"/>
  <c r="BT10" i="118" s="1"/>
  <c r="AO9" i="118"/>
  <c r="BU9" i="118" s="1"/>
  <c r="BT9" i="118" s="1"/>
  <c r="AO8" i="118"/>
  <c r="BU8" i="118" s="1"/>
  <c r="BT8" i="118" s="1"/>
  <c r="AO7" i="118"/>
  <c r="BU7" i="118" s="1"/>
  <c r="BT7" i="118" s="1"/>
  <c r="AO6" i="118"/>
  <c r="BU6" i="118" s="1"/>
  <c r="BT6" i="118" s="1"/>
  <c r="AO5" i="118"/>
  <c r="BU5" i="118" s="1"/>
  <c r="BT5" i="118" s="1"/>
  <c r="AN36" i="118"/>
  <c r="BS36" i="118" s="1"/>
  <c r="BR36" i="118" s="1"/>
  <c r="AN35" i="118"/>
  <c r="BS35" i="118" s="1"/>
  <c r="BR35" i="118" s="1"/>
  <c r="AN34" i="118"/>
  <c r="BS34" i="118" s="1"/>
  <c r="BR34" i="118" s="1"/>
  <c r="AN33" i="118"/>
  <c r="BS33" i="118" s="1"/>
  <c r="BR33" i="118" s="1"/>
  <c r="AN32" i="118"/>
  <c r="BS32" i="118" s="1"/>
  <c r="BR32" i="118" s="1"/>
  <c r="AN31" i="118"/>
  <c r="BS31" i="118" s="1"/>
  <c r="BR31" i="118" s="1"/>
  <c r="AN30" i="118"/>
  <c r="BS30" i="118" s="1"/>
  <c r="BR30" i="118" s="1"/>
  <c r="AN29" i="118"/>
  <c r="BS29" i="118" s="1"/>
  <c r="BR29" i="118" s="1"/>
  <c r="AN28" i="118"/>
  <c r="BS28" i="118" s="1"/>
  <c r="BR28" i="118" s="1"/>
  <c r="AN27" i="118"/>
  <c r="BS27" i="118" s="1"/>
  <c r="BR27" i="118" s="1"/>
  <c r="AN26" i="118"/>
  <c r="BS26" i="118" s="1"/>
  <c r="BR26" i="118" s="1"/>
  <c r="AN25" i="118"/>
  <c r="BS25" i="118" s="1"/>
  <c r="BR25" i="118" s="1"/>
  <c r="AN24" i="118"/>
  <c r="BS24" i="118" s="1"/>
  <c r="BR24" i="118" s="1"/>
  <c r="AN23" i="118"/>
  <c r="BS23" i="118" s="1"/>
  <c r="BR23" i="118" s="1"/>
  <c r="AN22" i="118"/>
  <c r="BS22" i="118" s="1"/>
  <c r="BR22" i="118" s="1"/>
  <c r="AN21" i="118"/>
  <c r="BS21" i="118" s="1"/>
  <c r="BR21" i="118" s="1"/>
  <c r="AN20" i="118"/>
  <c r="BS20" i="118" s="1"/>
  <c r="BR20" i="118" s="1"/>
  <c r="AN19" i="118"/>
  <c r="BS19" i="118" s="1"/>
  <c r="BR19" i="118" s="1"/>
  <c r="AN18" i="118"/>
  <c r="BS18" i="118" s="1"/>
  <c r="BR18" i="118" s="1"/>
  <c r="AN17" i="118"/>
  <c r="BS17" i="118" s="1"/>
  <c r="BR17" i="118" s="1"/>
  <c r="AN16" i="118"/>
  <c r="BS16" i="118" s="1"/>
  <c r="BR16" i="118" s="1"/>
  <c r="AN15" i="118"/>
  <c r="BS15" i="118" s="1"/>
  <c r="BR15" i="118" s="1"/>
  <c r="AN14" i="118"/>
  <c r="BS14" i="118" s="1"/>
  <c r="BR14" i="118" s="1"/>
  <c r="AN13" i="118"/>
  <c r="BS13" i="118" s="1"/>
  <c r="BR13" i="118" s="1"/>
  <c r="AN12" i="118"/>
  <c r="BS12" i="118" s="1"/>
  <c r="BR12" i="118" s="1"/>
  <c r="AN11" i="118"/>
  <c r="BS11" i="118" s="1"/>
  <c r="BR11" i="118" s="1"/>
  <c r="AN10" i="118"/>
  <c r="BS10" i="118" s="1"/>
  <c r="BR10" i="118" s="1"/>
  <c r="AN9" i="118"/>
  <c r="BS9" i="118" s="1"/>
  <c r="BR9" i="118" s="1"/>
  <c r="AN8" i="118"/>
  <c r="BS8" i="118" s="1"/>
  <c r="BR8" i="118" s="1"/>
  <c r="AN7" i="118"/>
  <c r="BS7" i="118" s="1"/>
  <c r="BR7" i="118" s="1"/>
  <c r="AN6" i="118"/>
  <c r="BS6" i="118" s="1"/>
  <c r="BR6" i="118" s="1"/>
  <c r="AN5" i="118"/>
  <c r="BS5" i="118" s="1"/>
  <c r="BR5" i="118" s="1"/>
  <c r="AE36" i="118"/>
  <c r="BP36" i="118" s="1"/>
  <c r="BO36" i="118" s="1"/>
  <c r="AE35" i="118"/>
  <c r="BP35" i="118" s="1"/>
  <c r="BO35" i="118" s="1"/>
  <c r="AE34" i="118"/>
  <c r="BP34" i="118" s="1"/>
  <c r="BO34" i="118" s="1"/>
  <c r="AE33" i="118"/>
  <c r="BP33" i="118" s="1"/>
  <c r="BO33" i="118" s="1"/>
  <c r="AE32" i="118"/>
  <c r="BP32" i="118" s="1"/>
  <c r="BO32" i="118" s="1"/>
  <c r="AE31" i="118"/>
  <c r="BP31" i="118" s="1"/>
  <c r="BO31" i="118" s="1"/>
  <c r="AE30" i="118"/>
  <c r="BP30" i="118" s="1"/>
  <c r="BO30" i="118" s="1"/>
  <c r="AE29" i="118"/>
  <c r="BP29" i="118" s="1"/>
  <c r="BO29" i="118" s="1"/>
  <c r="AE28" i="118"/>
  <c r="BP28" i="118" s="1"/>
  <c r="BO28" i="118" s="1"/>
  <c r="AE27" i="118"/>
  <c r="BP27" i="118" s="1"/>
  <c r="BO27" i="118" s="1"/>
  <c r="AE26" i="118"/>
  <c r="BP26" i="118" s="1"/>
  <c r="BO26" i="118" s="1"/>
  <c r="AE25" i="118"/>
  <c r="BP25" i="118" s="1"/>
  <c r="BO25" i="118" s="1"/>
  <c r="AE24" i="118"/>
  <c r="BP24" i="118" s="1"/>
  <c r="BO24" i="118" s="1"/>
  <c r="AE23" i="118"/>
  <c r="BP23" i="118" s="1"/>
  <c r="BO23" i="118" s="1"/>
  <c r="AE22" i="118"/>
  <c r="BP22" i="118" s="1"/>
  <c r="BO22" i="118" s="1"/>
  <c r="AE21" i="118"/>
  <c r="BP21" i="118" s="1"/>
  <c r="BO21" i="118" s="1"/>
  <c r="AE20" i="118"/>
  <c r="BP20" i="118" s="1"/>
  <c r="BO20" i="118" s="1"/>
  <c r="AE19" i="118"/>
  <c r="BP19" i="118" s="1"/>
  <c r="BO19" i="118" s="1"/>
  <c r="AE18" i="118"/>
  <c r="BP18" i="118" s="1"/>
  <c r="BO18" i="118" s="1"/>
  <c r="AE17" i="118"/>
  <c r="BP17" i="118" s="1"/>
  <c r="BO17" i="118" s="1"/>
  <c r="AE16" i="118"/>
  <c r="BP16" i="118" s="1"/>
  <c r="BO16" i="118" s="1"/>
  <c r="AE15" i="118"/>
  <c r="BP15" i="118" s="1"/>
  <c r="BO15" i="118" s="1"/>
  <c r="AE14" i="118"/>
  <c r="BP14" i="118" s="1"/>
  <c r="BO14" i="118" s="1"/>
  <c r="AE13" i="118"/>
  <c r="BP13" i="118" s="1"/>
  <c r="BO13" i="118" s="1"/>
  <c r="AE12" i="118"/>
  <c r="BP12" i="118" s="1"/>
  <c r="BO12" i="118" s="1"/>
  <c r="AE11" i="118"/>
  <c r="BP11" i="118" s="1"/>
  <c r="BO11" i="118" s="1"/>
  <c r="AE10" i="118"/>
  <c r="BP10" i="118" s="1"/>
  <c r="BO10" i="118" s="1"/>
  <c r="AE9" i="118"/>
  <c r="BP9" i="118" s="1"/>
  <c r="BO9" i="118" s="1"/>
  <c r="AE8" i="118"/>
  <c r="BP8" i="118" s="1"/>
  <c r="BO8" i="118" s="1"/>
  <c r="AE7" i="118"/>
  <c r="BP7" i="118" s="1"/>
  <c r="BO7" i="118" s="1"/>
  <c r="AE6" i="118"/>
  <c r="BP6" i="118" s="1"/>
  <c r="BO6" i="118" s="1"/>
  <c r="AE5" i="118"/>
  <c r="BP5" i="118" s="1"/>
  <c r="BO5" i="118" s="1"/>
  <c r="AD36" i="118"/>
  <c r="BN36" i="118" s="1"/>
  <c r="BM36" i="118" s="1"/>
  <c r="AD35" i="118"/>
  <c r="BN35" i="118" s="1"/>
  <c r="BM35" i="118" s="1"/>
  <c r="AD34" i="118"/>
  <c r="BN34" i="118" s="1"/>
  <c r="BM34" i="118" s="1"/>
  <c r="AD33" i="118"/>
  <c r="BN33" i="118" s="1"/>
  <c r="BM33" i="118" s="1"/>
  <c r="AD32" i="118"/>
  <c r="BN32" i="118" s="1"/>
  <c r="BM32" i="118" s="1"/>
  <c r="AD31" i="118"/>
  <c r="BN31" i="118" s="1"/>
  <c r="BM31" i="118" s="1"/>
  <c r="AD30" i="118"/>
  <c r="BN30" i="118" s="1"/>
  <c r="BM30" i="118" s="1"/>
  <c r="AD29" i="118"/>
  <c r="BN29" i="118" s="1"/>
  <c r="BM29" i="118" s="1"/>
  <c r="AD28" i="118"/>
  <c r="BN28" i="118" s="1"/>
  <c r="BM28" i="118" s="1"/>
  <c r="AD27" i="118"/>
  <c r="BN27" i="118" s="1"/>
  <c r="BM27" i="118" s="1"/>
  <c r="AD26" i="118"/>
  <c r="BN26" i="118" s="1"/>
  <c r="BM26" i="118" s="1"/>
  <c r="AD25" i="118"/>
  <c r="BN25" i="118" s="1"/>
  <c r="BM25" i="118" s="1"/>
  <c r="AD24" i="118"/>
  <c r="BN24" i="118" s="1"/>
  <c r="BM24" i="118" s="1"/>
  <c r="AD23" i="118"/>
  <c r="BN23" i="118" s="1"/>
  <c r="BM23" i="118" s="1"/>
  <c r="AD22" i="118"/>
  <c r="BN22" i="118" s="1"/>
  <c r="BM22" i="118" s="1"/>
  <c r="AD21" i="118"/>
  <c r="BN21" i="118" s="1"/>
  <c r="BM21" i="118" s="1"/>
  <c r="AD20" i="118"/>
  <c r="BN20" i="118" s="1"/>
  <c r="BM20" i="118" s="1"/>
  <c r="AD19" i="118"/>
  <c r="BN19" i="118" s="1"/>
  <c r="BM19" i="118" s="1"/>
  <c r="AD18" i="118"/>
  <c r="BN18" i="118" s="1"/>
  <c r="BM18" i="118" s="1"/>
  <c r="AD17" i="118"/>
  <c r="BN17" i="118" s="1"/>
  <c r="BM17" i="118" s="1"/>
  <c r="AD16" i="118"/>
  <c r="BN16" i="118" s="1"/>
  <c r="BM16" i="118" s="1"/>
  <c r="AD15" i="118"/>
  <c r="BN15" i="118" s="1"/>
  <c r="BM15" i="118" s="1"/>
  <c r="AD14" i="118"/>
  <c r="BN14" i="118" s="1"/>
  <c r="BM14" i="118" s="1"/>
  <c r="AD13" i="118"/>
  <c r="BN13" i="118" s="1"/>
  <c r="BM13" i="118" s="1"/>
  <c r="AD12" i="118"/>
  <c r="BN12" i="118" s="1"/>
  <c r="BM12" i="118" s="1"/>
  <c r="AD11" i="118"/>
  <c r="BN11" i="118" s="1"/>
  <c r="BM11" i="118" s="1"/>
  <c r="AD10" i="118"/>
  <c r="BN10" i="118" s="1"/>
  <c r="BM10" i="118" s="1"/>
  <c r="AD9" i="118"/>
  <c r="BN9" i="118" s="1"/>
  <c r="BM9" i="118" s="1"/>
  <c r="AD8" i="118"/>
  <c r="BN8" i="118" s="1"/>
  <c r="BM8" i="118" s="1"/>
  <c r="AD7" i="118"/>
  <c r="BN7" i="118" s="1"/>
  <c r="BM7" i="118" s="1"/>
  <c r="AD6" i="118"/>
  <c r="BN6" i="118" s="1"/>
  <c r="BM6" i="118" s="1"/>
  <c r="AD5" i="118"/>
  <c r="BN5" i="118" s="1"/>
  <c r="BM5" i="118" s="1"/>
  <c r="U36" i="118"/>
  <c r="BK36" i="118" s="1"/>
  <c r="BJ36" i="118" s="1"/>
  <c r="U35" i="118"/>
  <c r="BK35" i="118" s="1"/>
  <c r="BJ35" i="118" s="1"/>
  <c r="U34" i="118"/>
  <c r="BK34" i="118" s="1"/>
  <c r="BJ34" i="118" s="1"/>
  <c r="U33" i="118"/>
  <c r="BK33" i="118" s="1"/>
  <c r="BJ33" i="118" s="1"/>
  <c r="U32" i="118"/>
  <c r="BK32" i="118" s="1"/>
  <c r="BJ32" i="118" s="1"/>
  <c r="U31" i="118"/>
  <c r="BK31" i="118" s="1"/>
  <c r="BJ31" i="118" s="1"/>
  <c r="U30" i="118"/>
  <c r="BK30" i="118" s="1"/>
  <c r="BJ30" i="118" s="1"/>
  <c r="U29" i="118"/>
  <c r="BK29" i="118" s="1"/>
  <c r="BJ29" i="118" s="1"/>
  <c r="U28" i="118"/>
  <c r="BK28" i="118" s="1"/>
  <c r="BJ28" i="118" s="1"/>
  <c r="U27" i="118"/>
  <c r="BK27" i="118" s="1"/>
  <c r="BJ27" i="118" s="1"/>
  <c r="U26" i="118"/>
  <c r="BK26" i="118" s="1"/>
  <c r="BJ26" i="118" s="1"/>
  <c r="U25" i="118"/>
  <c r="BK25" i="118" s="1"/>
  <c r="BJ25" i="118" s="1"/>
  <c r="U24" i="118"/>
  <c r="BK24" i="118" s="1"/>
  <c r="BJ24" i="118" s="1"/>
  <c r="U23" i="118"/>
  <c r="BK23" i="118" s="1"/>
  <c r="BJ23" i="118" s="1"/>
  <c r="U22" i="118"/>
  <c r="BK22" i="118" s="1"/>
  <c r="BJ22" i="118" s="1"/>
  <c r="U21" i="118"/>
  <c r="BK21" i="118" s="1"/>
  <c r="BJ21" i="118" s="1"/>
  <c r="U20" i="118"/>
  <c r="BK20" i="118" s="1"/>
  <c r="BJ20" i="118" s="1"/>
  <c r="U19" i="118"/>
  <c r="BK19" i="118" s="1"/>
  <c r="BJ19" i="118" s="1"/>
  <c r="U18" i="118"/>
  <c r="BK18" i="118" s="1"/>
  <c r="BJ18" i="118" s="1"/>
  <c r="U17" i="118"/>
  <c r="BK17" i="118" s="1"/>
  <c r="BJ17" i="118" s="1"/>
  <c r="U16" i="118"/>
  <c r="BK16" i="118" s="1"/>
  <c r="BJ16" i="118" s="1"/>
  <c r="U15" i="118"/>
  <c r="BK15" i="118" s="1"/>
  <c r="BJ15" i="118" s="1"/>
  <c r="U14" i="118"/>
  <c r="BK14" i="118" s="1"/>
  <c r="BJ14" i="118" s="1"/>
  <c r="U13" i="118"/>
  <c r="BK13" i="118" s="1"/>
  <c r="BJ13" i="118" s="1"/>
  <c r="U12" i="118"/>
  <c r="BK12" i="118" s="1"/>
  <c r="BJ12" i="118" s="1"/>
  <c r="U11" i="118"/>
  <c r="BK11" i="118" s="1"/>
  <c r="BJ11" i="118" s="1"/>
  <c r="U10" i="118"/>
  <c r="BK10" i="118" s="1"/>
  <c r="BJ10" i="118" s="1"/>
  <c r="U9" i="118"/>
  <c r="BK9" i="118" s="1"/>
  <c r="BJ9" i="118" s="1"/>
  <c r="U8" i="118"/>
  <c r="BK8" i="118" s="1"/>
  <c r="BJ8" i="118" s="1"/>
  <c r="U7" i="118"/>
  <c r="BK7" i="118" s="1"/>
  <c r="BJ7" i="118" s="1"/>
  <c r="U6" i="118"/>
  <c r="BK6" i="118" s="1"/>
  <c r="BJ6" i="118" s="1"/>
  <c r="U5" i="118"/>
  <c r="BK5" i="118" s="1"/>
  <c r="BJ5" i="118" s="1"/>
  <c r="T36" i="118"/>
  <c r="BI36" i="118" s="1"/>
  <c r="BH36" i="118" s="1"/>
  <c r="T35" i="118"/>
  <c r="BI35" i="118" s="1"/>
  <c r="BH35" i="118" s="1"/>
  <c r="T34" i="118"/>
  <c r="BI34" i="118" s="1"/>
  <c r="BH34" i="118" s="1"/>
  <c r="T33" i="118"/>
  <c r="BI33" i="118" s="1"/>
  <c r="BH33" i="118" s="1"/>
  <c r="T32" i="118"/>
  <c r="BI32" i="118" s="1"/>
  <c r="BH32" i="118" s="1"/>
  <c r="T31" i="118"/>
  <c r="BI31" i="118" s="1"/>
  <c r="BH31" i="118" s="1"/>
  <c r="T30" i="118"/>
  <c r="BI30" i="118" s="1"/>
  <c r="BH30" i="118" s="1"/>
  <c r="T29" i="118"/>
  <c r="BI29" i="118" s="1"/>
  <c r="BH29" i="118" s="1"/>
  <c r="T28" i="118"/>
  <c r="BI28" i="118" s="1"/>
  <c r="BH28" i="118" s="1"/>
  <c r="T27" i="118"/>
  <c r="BI27" i="118" s="1"/>
  <c r="BH27" i="118" s="1"/>
  <c r="T26" i="118"/>
  <c r="BI26" i="118" s="1"/>
  <c r="BH26" i="118" s="1"/>
  <c r="T25" i="118"/>
  <c r="BI25" i="118" s="1"/>
  <c r="BH25" i="118" s="1"/>
  <c r="T24" i="118"/>
  <c r="BI24" i="118" s="1"/>
  <c r="BH24" i="118" s="1"/>
  <c r="T23" i="118"/>
  <c r="BI23" i="118" s="1"/>
  <c r="BH23" i="118" s="1"/>
  <c r="T22" i="118"/>
  <c r="BI22" i="118" s="1"/>
  <c r="BH22" i="118" s="1"/>
  <c r="T21" i="118"/>
  <c r="BI21" i="118" s="1"/>
  <c r="BH21" i="118" s="1"/>
  <c r="T20" i="118"/>
  <c r="BI20" i="118" s="1"/>
  <c r="BH20" i="118" s="1"/>
  <c r="T19" i="118"/>
  <c r="BI19" i="118" s="1"/>
  <c r="BH19" i="118" s="1"/>
  <c r="T18" i="118"/>
  <c r="BI18" i="118" s="1"/>
  <c r="BH18" i="118" s="1"/>
  <c r="T17" i="118"/>
  <c r="BI17" i="118" s="1"/>
  <c r="BH17" i="118" s="1"/>
  <c r="T16" i="118"/>
  <c r="BI16" i="118" s="1"/>
  <c r="BH16" i="118" s="1"/>
  <c r="T15" i="118"/>
  <c r="BI15" i="118" s="1"/>
  <c r="BH15" i="118" s="1"/>
  <c r="T14" i="118"/>
  <c r="BI14" i="118" s="1"/>
  <c r="BH14" i="118" s="1"/>
  <c r="T13" i="118"/>
  <c r="BI13" i="118" s="1"/>
  <c r="BH13" i="118" s="1"/>
  <c r="T12" i="118"/>
  <c r="BI12" i="118" s="1"/>
  <c r="BH12" i="118" s="1"/>
  <c r="T11" i="118"/>
  <c r="BI11" i="118" s="1"/>
  <c r="BH11" i="118" s="1"/>
  <c r="T10" i="118"/>
  <c r="BI10" i="118" s="1"/>
  <c r="BH10" i="118" s="1"/>
  <c r="T9" i="118"/>
  <c r="BI9" i="118" s="1"/>
  <c r="BH9" i="118" s="1"/>
  <c r="T8" i="118"/>
  <c r="BI8" i="118" s="1"/>
  <c r="BH8" i="118" s="1"/>
  <c r="T7" i="118"/>
  <c r="BI7" i="118" s="1"/>
  <c r="BH7" i="118" s="1"/>
  <c r="T6" i="118"/>
  <c r="BI6" i="118" s="1"/>
  <c r="BH6" i="118" s="1"/>
  <c r="T5" i="118"/>
  <c r="BI5" i="118" s="1"/>
  <c r="BH5" i="118" s="1"/>
  <c r="K36" i="118"/>
  <c r="BE36" i="118" s="1"/>
  <c r="BD36" i="118" s="1"/>
  <c r="K35" i="118"/>
  <c r="BE35" i="118" s="1"/>
  <c r="BD35" i="118" s="1"/>
  <c r="K34" i="118"/>
  <c r="BE34" i="118" s="1"/>
  <c r="BD34" i="118" s="1"/>
  <c r="K33" i="118"/>
  <c r="BE33" i="118" s="1"/>
  <c r="BD33" i="118" s="1"/>
  <c r="K32" i="118"/>
  <c r="BE32" i="118" s="1"/>
  <c r="BD32" i="118" s="1"/>
  <c r="K31" i="118"/>
  <c r="BE31" i="118" s="1"/>
  <c r="BD31" i="118" s="1"/>
  <c r="K30" i="118"/>
  <c r="BE30" i="118" s="1"/>
  <c r="BD30" i="118" s="1"/>
  <c r="K29" i="118"/>
  <c r="BE29" i="118" s="1"/>
  <c r="BD29" i="118" s="1"/>
  <c r="K28" i="118"/>
  <c r="BE28" i="118" s="1"/>
  <c r="BD28" i="118" s="1"/>
  <c r="K27" i="118"/>
  <c r="BE27" i="118" s="1"/>
  <c r="BD27" i="118" s="1"/>
  <c r="K26" i="118"/>
  <c r="BE26" i="118" s="1"/>
  <c r="BD26" i="118" s="1"/>
  <c r="K25" i="118"/>
  <c r="BE25" i="118" s="1"/>
  <c r="BD25" i="118" s="1"/>
  <c r="K24" i="118"/>
  <c r="BE24" i="118" s="1"/>
  <c r="BD24" i="118" s="1"/>
  <c r="K23" i="118"/>
  <c r="BE23" i="118" s="1"/>
  <c r="BD23" i="118" s="1"/>
  <c r="K22" i="118"/>
  <c r="BE22" i="118" s="1"/>
  <c r="BD22" i="118" s="1"/>
  <c r="K21" i="118"/>
  <c r="BE21" i="118" s="1"/>
  <c r="BD21" i="118" s="1"/>
  <c r="K20" i="118"/>
  <c r="BE20" i="118" s="1"/>
  <c r="BD20" i="118" s="1"/>
  <c r="K19" i="118"/>
  <c r="BE19" i="118" s="1"/>
  <c r="BD19" i="118" s="1"/>
  <c r="K18" i="118"/>
  <c r="BE18" i="118" s="1"/>
  <c r="BD18" i="118" s="1"/>
  <c r="K17" i="118"/>
  <c r="BE17" i="118" s="1"/>
  <c r="BD17" i="118" s="1"/>
  <c r="K16" i="118"/>
  <c r="BE16" i="118" s="1"/>
  <c r="BD16" i="118" s="1"/>
  <c r="K15" i="118"/>
  <c r="BE15" i="118" s="1"/>
  <c r="BD15" i="118" s="1"/>
  <c r="K14" i="118"/>
  <c r="BE14" i="118" s="1"/>
  <c r="BD14" i="118" s="1"/>
  <c r="K13" i="118"/>
  <c r="BE13" i="118" s="1"/>
  <c r="BD13" i="118" s="1"/>
  <c r="K12" i="118"/>
  <c r="BE12" i="118" s="1"/>
  <c r="BD12" i="118" s="1"/>
  <c r="K11" i="118"/>
  <c r="BE11" i="118" s="1"/>
  <c r="BD11" i="118" s="1"/>
  <c r="K10" i="118"/>
  <c r="BE10" i="118" s="1"/>
  <c r="BD10" i="118" s="1"/>
  <c r="K9" i="118"/>
  <c r="BE9" i="118" s="1"/>
  <c r="BD9" i="118" s="1"/>
  <c r="K8" i="118"/>
  <c r="BE8" i="118" s="1"/>
  <c r="BD8" i="118" s="1"/>
  <c r="K7" i="118"/>
  <c r="BE7" i="118" s="1"/>
  <c r="BD7" i="118" s="1"/>
  <c r="K6" i="118"/>
  <c r="BE6" i="118" s="1"/>
  <c r="BD6" i="118" s="1"/>
  <c r="K5" i="118"/>
  <c r="BE5" i="118" s="1"/>
  <c r="BD5" i="118" s="1"/>
  <c r="J36" i="118"/>
  <c r="BC36" i="118" s="1"/>
  <c r="BB36" i="118" s="1"/>
  <c r="J35" i="118"/>
  <c r="BC35" i="118" s="1"/>
  <c r="BB35" i="118" s="1"/>
  <c r="J34" i="118"/>
  <c r="BC34" i="118" s="1"/>
  <c r="BB34" i="118" s="1"/>
  <c r="J33" i="118"/>
  <c r="BC33" i="118" s="1"/>
  <c r="BB33" i="118" s="1"/>
  <c r="J32" i="118"/>
  <c r="BC32" i="118" s="1"/>
  <c r="BB32" i="118" s="1"/>
  <c r="J31" i="118"/>
  <c r="BC31" i="118" s="1"/>
  <c r="BB31" i="118" s="1"/>
  <c r="J30" i="118"/>
  <c r="BC30" i="118" s="1"/>
  <c r="BB30" i="118" s="1"/>
  <c r="J29" i="118"/>
  <c r="BC29" i="118" s="1"/>
  <c r="BB29" i="118" s="1"/>
  <c r="J28" i="118"/>
  <c r="BC28" i="118" s="1"/>
  <c r="BB28" i="118" s="1"/>
  <c r="J27" i="118"/>
  <c r="BC27" i="118" s="1"/>
  <c r="BB27" i="118" s="1"/>
  <c r="J26" i="118"/>
  <c r="BC26" i="118" s="1"/>
  <c r="BB26" i="118" s="1"/>
  <c r="J25" i="118"/>
  <c r="BC25" i="118" s="1"/>
  <c r="BB25" i="118" s="1"/>
  <c r="J24" i="118"/>
  <c r="BC24" i="118" s="1"/>
  <c r="BB24" i="118" s="1"/>
  <c r="J23" i="118"/>
  <c r="BC23" i="118" s="1"/>
  <c r="BB23" i="118" s="1"/>
  <c r="J22" i="118"/>
  <c r="BC22" i="118" s="1"/>
  <c r="BB22" i="118" s="1"/>
  <c r="J21" i="118"/>
  <c r="BC21" i="118" s="1"/>
  <c r="BB21" i="118" s="1"/>
  <c r="J20" i="118"/>
  <c r="BC20" i="118" s="1"/>
  <c r="BB20" i="118" s="1"/>
  <c r="J19" i="118"/>
  <c r="BC19" i="118" s="1"/>
  <c r="BB19" i="118" s="1"/>
  <c r="J18" i="118"/>
  <c r="BC18" i="118" s="1"/>
  <c r="BB18" i="118" s="1"/>
  <c r="J17" i="118"/>
  <c r="BC17" i="118" s="1"/>
  <c r="BB17" i="118" s="1"/>
  <c r="J16" i="118"/>
  <c r="BC16" i="118" s="1"/>
  <c r="BB16" i="118" s="1"/>
  <c r="J15" i="118"/>
  <c r="BC15" i="118" s="1"/>
  <c r="BB15" i="118" s="1"/>
  <c r="J14" i="118"/>
  <c r="BC14" i="118" s="1"/>
  <c r="BB14" i="118" s="1"/>
  <c r="J13" i="118"/>
  <c r="BC13" i="118" s="1"/>
  <c r="BB13" i="118" s="1"/>
  <c r="J12" i="118"/>
  <c r="BC12" i="118" s="1"/>
  <c r="BB12" i="118" s="1"/>
  <c r="J11" i="118"/>
  <c r="BC11" i="118" s="1"/>
  <c r="BB11" i="118" s="1"/>
  <c r="J10" i="118"/>
  <c r="BC10" i="118" s="1"/>
  <c r="BB10" i="118" s="1"/>
  <c r="J9" i="118"/>
  <c r="BC9" i="118" s="1"/>
  <c r="BB9" i="118" s="1"/>
  <c r="J8" i="118"/>
  <c r="BC8" i="118" s="1"/>
  <c r="BB8" i="118" s="1"/>
  <c r="J7" i="118"/>
  <c r="BC7" i="118" s="1"/>
  <c r="BB7" i="118" s="1"/>
  <c r="J6" i="118"/>
  <c r="BC6" i="118" s="1"/>
  <c r="BB6" i="118" s="1"/>
  <c r="J5" i="118"/>
  <c r="BC5" i="118" s="1"/>
  <c r="BB5" i="118" s="1"/>
  <c r="AE36" i="117"/>
  <c r="AE35" i="117"/>
  <c r="AE34" i="117"/>
  <c r="AE33" i="117"/>
  <c r="AE32" i="117"/>
  <c r="AE31" i="117"/>
  <c r="AE30" i="117"/>
  <c r="AE29" i="117"/>
  <c r="AE28" i="117"/>
  <c r="AE27" i="117"/>
  <c r="AE26" i="117"/>
  <c r="AE25" i="117"/>
  <c r="AE24" i="117"/>
  <c r="AE23" i="117"/>
  <c r="AE22" i="117"/>
  <c r="AE21" i="117"/>
  <c r="AE20" i="117"/>
  <c r="AE19" i="117"/>
  <c r="AE18" i="117"/>
  <c r="AE17" i="117"/>
  <c r="AE16" i="117"/>
  <c r="AE15" i="117"/>
  <c r="AE14" i="117"/>
  <c r="AE13" i="117"/>
  <c r="AE12" i="117"/>
  <c r="AE11" i="117"/>
  <c r="AE10" i="117"/>
  <c r="AE9" i="117"/>
  <c r="AE8" i="117"/>
  <c r="AE7" i="117"/>
  <c r="AE6" i="117"/>
  <c r="AE5" i="117"/>
  <c r="AD36" i="117"/>
  <c r="AD35" i="117"/>
  <c r="AD34" i="117"/>
  <c r="AD33" i="117"/>
  <c r="AD32" i="117"/>
  <c r="AD31" i="117"/>
  <c r="AD30" i="117"/>
  <c r="AD29" i="117"/>
  <c r="AD28" i="117"/>
  <c r="AD27" i="117"/>
  <c r="AD26" i="117"/>
  <c r="AD25" i="117"/>
  <c r="AD24" i="117"/>
  <c r="AD23" i="117"/>
  <c r="AD22" i="117"/>
  <c r="AD21" i="117"/>
  <c r="AD20" i="117"/>
  <c r="AD19" i="117"/>
  <c r="AD18" i="117"/>
  <c r="AD17" i="117"/>
  <c r="AD16" i="117"/>
  <c r="AD15" i="117"/>
  <c r="AD14" i="117"/>
  <c r="AD13" i="117"/>
  <c r="AD12" i="117"/>
  <c r="AD11" i="117"/>
  <c r="AD10" i="117"/>
  <c r="AD9" i="117"/>
  <c r="AD8" i="117"/>
  <c r="AD7" i="117"/>
  <c r="AD6" i="117"/>
  <c r="AD5" i="117"/>
  <c r="T36" i="117"/>
  <c r="AM36" i="117" s="1"/>
  <c r="AL36" i="117" s="1"/>
  <c r="T35" i="117"/>
  <c r="AM35" i="117" s="1"/>
  <c r="AL35" i="117" s="1"/>
  <c r="T34" i="117"/>
  <c r="AM34" i="117" s="1"/>
  <c r="AL34" i="117" s="1"/>
  <c r="T33" i="117"/>
  <c r="AM33" i="117" s="1"/>
  <c r="AL33" i="117" s="1"/>
  <c r="T32" i="117"/>
  <c r="AM32" i="117" s="1"/>
  <c r="AL32" i="117" s="1"/>
  <c r="T31" i="117"/>
  <c r="AM31" i="117" s="1"/>
  <c r="AL31" i="117" s="1"/>
  <c r="T30" i="117"/>
  <c r="AM30" i="117" s="1"/>
  <c r="AL30" i="117" s="1"/>
  <c r="T29" i="117"/>
  <c r="AM29" i="117" s="1"/>
  <c r="AL29" i="117" s="1"/>
  <c r="T28" i="117"/>
  <c r="AM28" i="117" s="1"/>
  <c r="AL28" i="117" s="1"/>
  <c r="T27" i="117"/>
  <c r="AM27" i="117" s="1"/>
  <c r="AL27" i="117" s="1"/>
  <c r="T26" i="117"/>
  <c r="AM26" i="117" s="1"/>
  <c r="AL26" i="117" s="1"/>
  <c r="T25" i="117"/>
  <c r="AM25" i="117" s="1"/>
  <c r="AL25" i="117" s="1"/>
  <c r="T24" i="117"/>
  <c r="AM24" i="117" s="1"/>
  <c r="AL24" i="117" s="1"/>
  <c r="T23" i="117"/>
  <c r="AM23" i="117" s="1"/>
  <c r="AL23" i="117" s="1"/>
  <c r="T22" i="117"/>
  <c r="AM22" i="117" s="1"/>
  <c r="AL22" i="117" s="1"/>
  <c r="T21" i="117"/>
  <c r="AM21" i="117" s="1"/>
  <c r="AL21" i="117" s="1"/>
  <c r="T20" i="117"/>
  <c r="AM20" i="117" s="1"/>
  <c r="AL20" i="117" s="1"/>
  <c r="T19" i="117"/>
  <c r="AM19" i="117" s="1"/>
  <c r="AL19" i="117" s="1"/>
  <c r="T18" i="117"/>
  <c r="AM18" i="117" s="1"/>
  <c r="AL18" i="117" s="1"/>
  <c r="T17" i="117"/>
  <c r="AM17" i="117" s="1"/>
  <c r="AL17" i="117" s="1"/>
  <c r="T16" i="117"/>
  <c r="AM16" i="117" s="1"/>
  <c r="AL16" i="117" s="1"/>
  <c r="T15" i="117"/>
  <c r="AM15" i="117" s="1"/>
  <c r="AL15" i="117" s="1"/>
  <c r="T14" i="117"/>
  <c r="AM14" i="117" s="1"/>
  <c r="AL14" i="117" s="1"/>
  <c r="T13" i="117"/>
  <c r="AM13" i="117" s="1"/>
  <c r="AL13" i="117" s="1"/>
  <c r="T12" i="117"/>
  <c r="AM12" i="117" s="1"/>
  <c r="AL12" i="117" s="1"/>
  <c r="T11" i="117"/>
  <c r="AM11" i="117" s="1"/>
  <c r="AL11" i="117" s="1"/>
  <c r="T10" i="117"/>
  <c r="AM10" i="117" s="1"/>
  <c r="AL10" i="117" s="1"/>
  <c r="T9" i="117"/>
  <c r="AM9" i="117" s="1"/>
  <c r="AL9" i="117" s="1"/>
  <c r="T8" i="117"/>
  <c r="AM8" i="117" s="1"/>
  <c r="AL8" i="117" s="1"/>
  <c r="T7" i="117"/>
  <c r="AM7" i="117" s="1"/>
  <c r="AL7" i="117" s="1"/>
  <c r="T6" i="117"/>
  <c r="AM6" i="117" s="1"/>
  <c r="AL6" i="117" s="1"/>
  <c r="T5" i="117"/>
  <c r="AM5" i="117" s="1"/>
  <c r="AL5" i="117" s="1"/>
  <c r="U36" i="117"/>
  <c r="AO36" i="117" s="1"/>
  <c r="AN36" i="117" s="1"/>
  <c r="U35" i="117"/>
  <c r="AO35" i="117" s="1"/>
  <c r="AN35" i="117" s="1"/>
  <c r="U34" i="117"/>
  <c r="AO34" i="117" s="1"/>
  <c r="AN34" i="117" s="1"/>
  <c r="U33" i="117"/>
  <c r="AO33" i="117" s="1"/>
  <c r="AN33" i="117" s="1"/>
  <c r="U32" i="117"/>
  <c r="AO32" i="117" s="1"/>
  <c r="AN32" i="117" s="1"/>
  <c r="U31" i="117"/>
  <c r="AO31" i="117" s="1"/>
  <c r="AN31" i="117" s="1"/>
  <c r="U30" i="117"/>
  <c r="AO30" i="117" s="1"/>
  <c r="AN30" i="117" s="1"/>
  <c r="U29" i="117"/>
  <c r="AO29" i="117" s="1"/>
  <c r="AN29" i="117" s="1"/>
  <c r="U28" i="117"/>
  <c r="AO28" i="117" s="1"/>
  <c r="AN28" i="117" s="1"/>
  <c r="U27" i="117"/>
  <c r="AO27" i="117" s="1"/>
  <c r="AN27" i="117" s="1"/>
  <c r="U26" i="117"/>
  <c r="AO26" i="117" s="1"/>
  <c r="AN26" i="117" s="1"/>
  <c r="U25" i="117"/>
  <c r="AO25" i="117" s="1"/>
  <c r="AN25" i="117" s="1"/>
  <c r="U24" i="117"/>
  <c r="AO24" i="117" s="1"/>
  <c r="AN24" i="117" s="1"/>
  <c r="U23" i="117"/>
  <c r="AO23" i="117" s="1"/>
  <c r="AN23" i="117" s="1"/>
  <c r="U22" i="117"/>
  <c r="AO22" i="117" s="1"/>
  <c r="AN22" i="117" s="1"/>
  <c r="U21" i="117"/>
  <c r="AO21" i="117" s="1"/>
  <c r="AN21" i="117" s="1"/>
  <c r="U20" i="117"/>
  <c r="AO20" i="117" s="1"/>
  <c r="AN20" i="117" s="1"/>
  <c r="U19" i="117"/>
  <c r="AO19" i="117" s="1"/>
  <c r="AN19" i="117" s="1"/>
  <c r="U18" i="117"/>
  <c r="AO18" i="117" s="1"/>
  <c r="AN18" i="117" s="1"/>
  <c r="U17" i="117"/>
  <c r="AO17" i="117" s="1"/>
  <c r="AN17" i="117" s="1"/>
  <c r="U16" i="117"/>
  <c r="AO16" i="117" s="1"/>
  <c r="AN16" i="117" s="1"/>
  <c r="U15" i="117"/>
  <c r="AO15" i="117" s="1"/>
  <c r="AN15" i="117" s="1"/>
  <c r="U14" i="117"/>
  <c r="AO14" i="117" s="1"/>
  <c r="AN14" i="117" s="1"/>
  <c r="U13" i="117"/>
  <c r="AO13" i="117" s="1"/>
  <c r="AN13" i="117" s="1"/>
  <c r="U12" i="117"/>
  <c r="AO12" i="117" s="1"/>
  <c r="AN12" i="117" s="1"/>
  <c r="U11" i="117"/>
  <c r="AO11" i="117" s="1"/>
  <c r="AN11" i="117" s="1"/>
  <c r="U10" i="117"/>
  <c r="AO10" i="117" s="1"/>
  <c r="AN10" i="117" s="1"/>
  <c r="U9" i="117"/>
  <c r="AO9" i="117" s="1"/>
  <c r="AN9" i="117" s="1"/>
  <c r="U8" i="117"/>
  <c r="AO8" i="117" s="1"/>
  <c r="AN8" i="117" s="1"/>
  <c r="U7" i="117"/>
  <c r="AO7" i="117" s="1"/>
  <c r="AN7" i="117" s="1"/>
  <c r="U6" i="117"/>
  <c r="AO6" i="117" s="1"/>
  <c r="AN6" i="117" s="1"/>
  <c r="U5" i="117"/>
  <c r="AO5" i="117" s="1"/>
  <c r="AN5" i="117" s="1"/>
  <c r="K36" i="117"/>
  <c r="AJ36" i="117" s="1"/>
  <c r="AI36" i="117" s="1"/>
  <c r="K35" i="117"/>
  <c r="AJ35" i="117" s="1"/>
  <c r="AI35" i="117" s="1"/>
  <c r="K34" i="117"/>
  <c r="AJ34" i="117" s="1"/>
  <c r="AI34" i="117" s="1"/>
  <c r="K33" i="117"/>
  <c r="AJ33" i="117" s="1"/>
  <c r="AI33" i="117" s="1"/>
  <c r="K32" i="117"/>
  <c r="AJ32" i="117" s="1"/>
  <c r="AI32" i="117" s="1"/>
  <c r="K31" i="117"/>
  <c r="AJ31" i="117" s="1"/>
  <c r="AI31" i="117" s="1"/>
  <c r="K30" i="117"/>
  <c r="AJ30" i="117" s="1"/>
  <c r="AI30" i="117" s="1"/>
  <c r="K29" i="117"/>
  <c r="AJ29" i="117" s="1"/>
  <c r="AI29" i="117" s="1"/>
  <c r="K28" i="117"/>
  <c r="AJ28" i="117" s="1"/>
  <c r="AI28" i="117" s="1"/>
  <c r="K27" i="117"/>
  <c r="AJ27" i="117" s="1"/>
  <c r="AI27" i="117" s="1"/>
  <c r="K26" i="117"/>
  <c r="AJ26" i="117" s="1"/>
  <c r="AI26" i="117" s="1"/>
  <c r="K25" i="117"/>
  <c r="AJ25" i="117" s="1"/>
  <c r="AI25" i="117" s="1"/>
  <c r="K24" i="117"/>
  <c r="AJ24" i="117" s="1"/>
  <c r="AI24" i="117" s="1"/>
  <c r="K23" i="117"/>
  <c r="AJ23" i="117" s="1"/>
  <c r="AI23" i="117" s="1"/>
  <c r="K22" i="117"/>
  <c r="AJ22" i="117" s="1"/>
  <c r="AI22" i="117" s="1"/>
  <c r="K21" i="117"/>
  <c r="AJ21" i="117" s="1"/>
  <c r="AI21" i="117" s="1"/>
  <c r="K20" i="117"/>
  <c r="AJ20" i="117" s="1"/>
  <c r="AI20" i="117" s="1"/>
  <c r="K19" i="117"/>
  <c r="AJ19" i="117" s="1"/>
  <c r="AI19" i="117" s="1"/>
  <c r="K18" i="117"/>
  <c r="AJ18" i="117" s="1"/>
  <c r="AI18" i="117" s="1"/>
  <c r="K17" i="117"/>
  <c r="AJ17" i="117" s="1"/>
  <c r="AI17" i="117" s="1"/>
  <c r="K16" i="117"/>
  <c r="AJ16" i="117" s="1"/>
  <c r="AI16" i="117" s="1"/>
  <c r="K15" i="117"/>
  <c r="AJ15" i="117" s="1"/>
  <c r="AI15" i="117" s="1"/>
  <c r="K14" i="117"/>
  <c r="AJ14" i="117" s="1"/>
  <c r="AI14" i="117" s="1"/>
  <c r="K13" i="117"/>
  <c r="AJ13" i="117" s="1"/>
  <c r="AI13" i="117" s="1"/>
  <c r="K12" i="117"/>
  <c r="AJ12" i="117" s="1"/>
  <c r="AI12" i="117" s="1"/>
  <c r="K11" i="117"/>
  <c r="AJ11" i="117" s="1"/>
  <c r="AI11" i="117" s="1"/>
  <c r="K10" i="117"/>
  <c r="AJ10" i="117" s="1"/>
  <c r="AI10" i="117" s="1"/>
  <c r="K9" i="117"/>
  <c r="AJ9" i="117" s="1"/>
  <c r="AI9" i="117" s="1"/>
  <c r="K8" i="117"/>
  <c r="AJ8" i="117" s="1"/>
  <c r="AI8" i="117" s="1"/>
  <c r="K7" i="117"/>
  <c r="AJ7" i="117" s="1"/>
  <c r="AI7" i="117" s="1"/>
  <c r="K6" i="117"/>
  <c r="AJ6" i="117" s="1"/>
  <c r="AI6" i="117" s="1"/>
  <c r="K5" i="117"/>
  <c r="AJ5" i="117" s="1"/>
  <c r="AI5" i="117" s="1"/>
  <c r="J36" i="117"/>
  <c r="AH36" i="117" s="1"/>
  <c r="AG36" i="117" s="1"/>
  <c r="J35" i="117"/>
  <c r="AH35" i="117" s="1"/>
  <c r="AG35" i="117" s="1"/>
  <c r="J34" i="117"/>
  <c r="AH34" i="117" s="1"/>
  <c r="AG34" i="117" s="1"/>
  <c r="J33" i="117"/>
  <c r="AH33" i="117" s="1"/>
  <c r="AG33" i="117" s="1"/>
  <c r="J32" i="117"/>
  <c r="AH32" i="117" s="1"/>
  <c r="AG32" i="117" s="1"/>
  <c r="J31" i="117"/>
  <c r="AH31" i="117" s="1"/>
  <c r="AG31" i="117" s="1"/>
  <c r="J30" i="117"/>
  <c r="AH30" i="117" s="1"/>
  <c r="AG30" i="117" s="1"/>
  <c r="J29" i="117"/>
  <c r="AH29" i="117" s="1"/>
  <c r="AG29" i="117" s="1"/>
  <c r="J28" i="117"/>
  <c r="AH28" i="117" s="1"/>
  <c r="AG28" i="117" s="1"/>
  <c r="J27" i="117"/>
  <c r="AH27" i="117" s="1"/>
  <c r="AG27" i="117" s="1"/>
  <c r="J26" i="117"/>
  <c r="AH26" i="117" s="1"/>
  <c r="AG26" i="117" s="1"/>
  <c r="J25" i="117"/>
  <c r="AH25" i="117" s="1"/>
  <c r="AG25" i="117" s="1"/>
  <c r="J24" i="117"/>
  <c r="AH24" i="117" s="1"/>
  <c r="AG24" i="117" s="1"/>
  <c r="J23" i="117"/>
  <c r="AH23" i="117" s="1"/>
  <c r="AG23" i="117" s="1"/>
  <c r="J22" i="117"/>
  <c r="AH22" i="117" s="1"/>
  <c r="AG22" i="117" s="1"/>
  <c r="J21" i="117"/>
  <c r="AH21" i="117" s="1"/>
  <c r="AG21" i="117" s="1"/>
  <c r="J20" i="117"/>
  <c r="AH20" i="117" s="1"/>
  <c r="AG20" i="117" s="1"/>
  <c r="J19" i="117"/>
  <c r="AH19" i="117" s="1"/>
  <c r="AG19" i="117" s="1"/>
  <c r="J18" i="117"/>
  <c r="AH18" i="117" s="1"/>
  <c r="AG18" i="117" s="1"/>
  <c r="J17" i="117"/>
  <c r="AH17" i="117" s="1"/>
  <c r="AG17" i="117" s="1"/>
  <c r="J16" i="117"/>
  <c r="AH16" i="117" s="1"/>
  <c r="AG16" i="117" s="1"/>
  <c r="J15" i="117"/>
  <c r="AH15" i="117" s="1"/>
  <c r="AG15" i="117" s="1"/>
  <c r="J14" i="117"/>
  <c r="AH14" i="117" s="1"/>
  <c r="AG14" i="117" s="1"/>
  <c r="J13" i="117"/>
  <c r="AH13" i="117" s="1"/>
  <c r="AG13" i="117" s="1"/>
  <c r="J12" i="117"/>
  <c r="AH12" i="117" s="1"/>
  <c r="AG12" i="117" s="1"/>
  <c r="J11" i="117"/>
  <c r="AH11" i="117" s="1"/>
  <c r="AG11" i="117" s="1"/>
  <c r="J10" i="117"/>
  <c r="AH10" i="117" s="1"/>
  <c r="AG10" i="117" s="1"/>
  <c r="J9" i="117"/>
  <c r="AH9" i="117" s="1"/>
  <c r="AG9" i="117" s="1"/>
  <c r="J8" i="117"/>
  <c r="AH8" i="117" s="1"/>
  <c r="AG8" i="117" s="1"/>
  <c r="J7" i="117"/>
  <c r="AH7" i="117" s="1"/>
  <c r="AG7" i="117" s="1"/>
  <c r="J6" i="117"/>
  <c r="AH6" i="117" s="1"/>
  <c r="AG6" i="117" s="1"/>
  <c r="J5" i="117"/>
  <c r="AH5" i="117" s="1"/>
  <c r="AG5" i="117" s="1"/>
  <c r="AD36" i="116"/>
  <c r="AD35" i="116"/>
  <c r="AD34" i="116"/>
  <c r="AD33" i="116"/>
  <c r="AD32" i="116"/>
  <c r="AD31" i="116"/>
  <c r="AD30" i="116"/>
  <c r="AD29" i="116"/>
  <c r="AD28" i="116"/>
  <c r="AD27" i="116"/>
  <c r="AD26" i="116"/>
  <c r="AD25" i="116"/>
  <c r="AD24" i="116"/>
  <c r="AD23" i="116"/>
  <c r="AD22" i="116"/>
  <c r="AD21" i="116"/>
  <c r="AD20" i="116"/>
  <c r="AD19" i="116"/>
  <c r="AD18" i="116"/>
  <c r="AD17" i="116"/>
  <c r="AD16" i="116"/>
  <c r="AD15" i="116"/>
  <c r="AD14" i="116"/>
  <c r="AD13" i="116"/>
  <c r="AD12" i="116"/>
  <c r="AD11" i="116"/>
  <c r="AD10" i="116"/>
  <c r="AD9" i="116"/>
  <c r="AD8" i="116"/>
  <c r="AD7" i="116"/>
  <c r="AD6" i="116"/>
  <c r="AD5" i="116"/>
  <c r="AE36" i="116"/>
  <c r="AE35" i="116"/>
  <c r="AE34" i="116"/>
  <c r="AE33" i="116"/>
  <c r="AE32" i="116"/>
  <c r="AE31" i="116"/>
  <c r="AE30" i="116"/>
  <c r="AE29" i="116"/>
  <c r="AE28" i="116"/>
  <c r="AE27" i="116"/>
  <c r="AE26" i="116"/>
  <c r="AE25" i="116"/>
  <c r="AE24" i="116"/>
  <c r="AE23" i="116"/>
  <c r="AE22" i="116"/>
  <c r="AE21" i="116"/>
  <c r="AE20" i="116"/>
  <c r="AE19" i="116"/>
  <c r="AE18" i="116"/>
  <c r="AE17" i="116"/>
  <c r="AE16" i="116"/>
  <c r="AE15" i="116"/>
  <c r="AE14" i="116"/>
  <c r="AE13" i="116"/>
  <c r="AE12" i="116"/>
  <c r="AE11" i="116"/>
  <c r="AE10" i="116"/>
  <c r="AE9" i="116"/>
  <c r="AE8" i="116"/>
  <c r="AE7" i="116"/>
  <c r="AE6" i="116"/>
  <c r="AE5" i="116"/>
  <c r="U36" i="116"/>
  <c r="AP36" i="116" s="1"/>
  <c r="AO36" i="116" s="1"/>
  <c r="U35" i="116"/>
  <c r="AP35" i="116" s="1"/>
  <c r="AO35" i="116" s="1"/>
  <c r="U34" i="116"/>
  <c r="AP34" i="116" s="1"/>
  <c r="AO34" i="116" s="1"/>
  <c r="U33" i="116"/>
  <c r="AP33" i="116" s="1"/>
  <c r="AO33" i="116" s="1"/>
  <c r="U32" i="116"/>
  <c r="AP32" i="116" s="1"/>
  <c r="AO32" i="116" s="1"/>
  <c r="U31" i="116"/>
  <c r="AP31" i="116" s="1"/>
  <c r="AO31" i="116" s="1"/>
  <c r="U30" i="116"/>
  <c r="AP30" i="116" s="1"/>
  <c r="AO30" i="116" s="1"/>
  <c r="U29" i="116"/>
  <c r="AP29" i="116" s="1"/>
  <c r="AO29" i="116" s="1"/>
  <c r="U28" i="116"/>
  <c r="AP28" i="116" s="1"/>
  <c r="AO28" i="116" s="1"/>
  <c r="U27" i="116"/>
  <c r="AP27" i="116" s="1"/>
  <c r="AO27" i="116" s="1"/>
  <c r="U26" i="116"/>
  <c r="AP26" i="116" s="1"/>
  <c r="AO26" i="116" s="1"/>
  <c r="U25" i="116"/>
  <c r="AP25" i="116" s="1"/>
  <c r="AO25" i="116" s="1"/>
  <c r="U24" i="116"/>
  <c r="AP24" i="116" s="1"/>
  <c r="AO24" i="116" s="1"/>
  <c r="U23" i="116"/>
  <c r="AP23" i="116" s="1"/>
  <c r="AO23" i="116" s="1"/>
  <c r="U22" i="116"/>
  <c r="AP22" i="116" s="1"/>
  <c r="AO22" i="116" s="1"/>
  <c r="U21" i="116"/>
  <c r="AP21" i="116" s="1"/>
  <c r="AO21" i="116" s="1"/>
  <c r="U20" i="116"/>
  <c r="AP20" i="116" s="1"/>
  <c r="AO20" i="116" s="1"/>
  <c r="U19" i="116"/>
  <c r="AP19" i="116" s="1"/>
  <c r="AO19" i="116" s="1"/>
  <c r="U18" i="116"/>
  <c r="AP18" i="116" s="1"/>
  <c r="AO18" i="116" s="1"/>
  <c r="U17" i="116"/>
  <c r="AP17" i="116" s="1"/>
  <c r="AO17" i="116" s="1"/>
  <c r="U16" i="116"/>
  <c r="AP16" i="116" s="1"/>
  <c r="AO16" i="116" s="1"/>
  <c r="U15" i="116"/>
  <c r="AP15" i="116" s="1"/>
  <c r="AO15" i="116" s="1"/>
  <c r="U14" i="116"/>
  <c r="AP14" i="116" s="1"/>
  <c r="AO14" i="116" s="1"/>
  <c r="U13" i="116"/>
  <c r="AP13" i="116" s="1"/>
  <c r="AO13" i="116" s="1"/>
  <c r="U12" i="116"/>
  <c r="AP12" i="116" s="1"/>
  <c r="AO12" i="116" s="1"/>
  <c r="U11" i="116"/>
  <c r="AP11" i="116" s="1"/>
  <c r="AO11" i="116" s="1"/>
  <c r="U10" i="116"/>
  <c r="AP10" i="116" s="1"/>
  <c r="AO10" i="116" s="1"/>
  <c r="U9" i="116"/>
  <c r="AP9" i="116" s="1"/>
  <c r="AO9" i="116" s="1"/>
  <c r="U8" i="116"/>
  <c r="AP8" i="116" s="1"/>
  <c r="AO8" i="116" s="1"/>
  <c r="U7" i="116"/>
  <c r="AP7" i="116" s="1"/>
  <c r="AO7" i="116" s="1"/>
  <c r="U6" i="116"/>
  <c r="AP6" i="116" s="1"/>
  <c r="AO6" i="116" s="1"/>
  <c r="U5" i="116"/>
  <c r="AP5" i="116" s="1"/>
  <c r="AO5" i="116" s="1"/>
  <c r="T36" i="116"/>
  <c r="AN36" i="116" s="1"/>
  <c r="AM36" i="116" s="1"/>
  <c r="T35" i="116"/>
  <c r="AN35" i="116" s="1"/>
  <c r="AM35" i="116" s="1"/>
  <c r="T34" i="116"/>
  <c r="AN34" i="116" s="1"/>
  <c r="AM34" i="116" s="1"/>
  <c r="T33" i="116"/>
  <c r="AN33" i="116" s="1"/>
  <c r="AM33" i="116" s="1"/>
  <c r="T32" i="116"/>
  <c r="AN32" i="116" s="1"/>
  <c r="AM32" i="116" s="1"/>
  <c r="T31" i="116"/>
  <c r="AN31" i="116" s="1"/>
  <c r="AM31" i="116" s="1"/>
  <c r="T30" i="116"/>
  <c r="AN30" i="116" s="1"/>
  <c r="AM30" i="116" s="1"/>
  <c r="T29" i="116"/>
  <c r="AN29" i="116" s="1"/>
  <c r="AM29" i="116" s="1"/>
  <c r="T28" i="116"/>
  <c r="AN28" i="116" s="1"/>
  <c r="AM28" i="116" s="1"/>
  <c r="T27" i="116"/>
  <c r="AN27" i="116" s="1"/>
  <c r="AM27" i="116" s="1"/>
  <c r="T26" i="116"/>
  <c r="AN26" i="116" s="1"/>
  <c r="AM26" i="116" s="1"/>
  <c r="T25" i="116"/>
  <c r="AN25" i="116" s="1"/>
  <c r="AM25" i="116" s="1"/>
  <c r="T24" i="116"/>
  <c r="AN24" i="116" s="1"/>
  <c r="AM24" i="116" s="1"/>
  <c r="T23" i="116"/>
  <c r="AN23" i="116" s="1"/>
  <c r="AM23" i="116" s="1"/>
  <c r="T22" i="116"/>
  <c r="AN22" i="116" s="1"/>
  <c r="AM22" i="116" s="1"/>
  <c r="T21" i="116"/>
  <c r="AN21" i="116" s="1"/>
  <c r="AM21" i="116" s="1"/>
  <c r="T20" i="116"/>
  <c r="AN20" i="116" s="1"/>
  <c r="AM20" i="116" s="1"/>
  <c r="T19" i="116"/>
  <c r="AN19" i="116" s="1"/>
  <c r="AM19" i="116" s="1"/>
  <c r="T18" i="116"/>
  <c r="AN18" i="116" s="1"/>
  <c r="AM18" i="116" s="1"/>
  <c r="T17" i="116"/>
  <c r="AN17" i="116" s="1"/>
  <c r="AM17" i="116" s="1"/>
  <c r="T16" i="116"/>
  <c r="AN16" i="116" s="1"/>
  <c r="AM16" i="116" s="1"/>
  <c r="T15" i="116"/>
  <c r="AN15" i="116" s="1"/>
  <c r="AM15" i="116" s="1"/>
  <c r="T14" i="116"/>
  <c r="AN14" i="116" s="1"/>
  <c r="AM14" i="116" s="1"/>
  <c r="T13" i="116"/>
  <c r="AN13" i="116" s="1"/>
  <c r="AM13" i="116" s="1"/>
  <c r="T12" i="116"/>
  <c r="AN12" i="116" s="1"/>
  <c r="AM12" i="116" s="1"/>
  <c r="T11" i="116"/>
  <c r="AN11" i="116" s="1"/>
  <c r="AM11" i="116" s="1"/>
  <c r="T10" i="116"/>
  <c r="AN10" i="116" s="1"/>
  <c r="AM10" i="116" s="1"/>
  <c r="T9" i="116"/>
  <c r="AN9" i="116" s="1"/>
  <c r="AM9" i="116" s="1"/>
  <c r="T8" i="116"/>
  <c r="AN8" i="116" s="1"/>
  <c r="AM8" i="116" s="1"/>
  <c r="T7" i="116"/>
  <c r="AN7" i="116" s="1"/>
  <c r="AM7" i="116" s="1"/>
  <c r="T6" i="116"/>
  <c r="AN6" i="116" s="1"/>
  <c r="AM6" i="116" s="1"/>
  <c r="T5" i="116"/>
  <c r="AN5" i="116" s="1"/>
  <c r="AM5" i="116" s="1"/>
  <c r="K36" i="116"/>
  <c r="AK36" i="116" s="1"/>
  <c r="AJ36" i="116" s="1"/>
  <c r="K35" i="116"/>
  <c r="AK35" i="116" s="1"/>
  <c r="AJ35" i="116" s="1"/>
  <c r="K34" i="116"/>
  <c r="AK34" i="116" s="1"/>
  <c r="AJ34" i="116" s="1"/>
  <c r="K33" i="116"/>
  <c r="AK33" i="116" s="1"/>
  <c r="AJ33" i="116" s="1"/>
  <c r="K32" i="116"/>
  <c r="AK32" i="116" s="1"/>
  <c r="AJ32" i="116" s="1"/>
  <c r="K31" i="116"/>
  <c r="AK31" i="116" s="1"/>
  <c r="AJ31" i="116" s="1"/>
  <c r="K30" i="116"/>
  <c r="AK30" i="116" s="1"/>
  <c r="AJ30" i="116" s="1"/>
  <c r="K29" i="116"/>
  <c r="AK29" i="116" s="1"/>
  <c r="AJ29" i="116" s="1"/>
  <c r="K28" i="116"/>
  <c r="AK28" i="116" s="1"/>
  <c r="AJ28" i="116" s="1"/>
  <c r="K27" i="116"/>
  <c r="AK27" i="116" s="1"/>
  <c r="AJ27" i="116" s="1"/>
  <c r="K26" i="116"/>
  <c r="AK26" i="116" s="1"/>
  <c r="AJ26" i="116" s="1"/>
  <c r="K25" i="116"/>
  <c r="AK25" i="116" s="1"/>
  <c r="AJ25" i="116" s="1"/>
  <c r="K24" i="116"/>
  <c r="AK24" i="116" s="1"/>
  <c r="AJ24" i="116" s="1"/>
  <c r="K23" i="116"/>
  <c r="AK23" i="116" s="1"/>
  <c r="AJ23" i="116" s="1"/>
  <c r="K22" i="116"/>
  <c r="AK22" i="116" s="1"/>
  <c r="AJ22" i="116" s="1"/>
  <c r="K21" i="116"/>
  <c r="AK21" i="116" s="1"/>
  <c r="AJ21" i="116" s="1"/>
  <c r="K20" i="116"/>
  <c r="AK20" i="116" s="1"/>
  <c r="AJ20" i="116" s="1"/>
  <c r="K19" i="116"/>
  <c r="AK19" i="116" s="1"/>
  <c r="AJ19" i="116" s="1"/>
  <c r="K18" i="116"/>
  <c r="AK18" i="116" s="1"/>
  <c r="AJ18" i="116" s="1"/>
  <c r="K17" i="116"/>
  <c r="AK17" i="116" s="1"/>
  <c r="AJ17" i="116" s="1"/>
  <c r="K16" i="116"/>
  <c r="AK16" i="116" s="1"/>
  <c r="AJ16" i="116" s="1"/>
  <c r="K15" i="116"/>
  <c r="AK15" i="116" s="1"/>
  <c r="AJ15" i="116" s="1"/>
  <c r="K14" i="116"/>
  <c r="AK14" i="116" s="1"/>
  <c r="AJ14" i="116" s="1"/>
  <c r="K13" i="116"/>
  <c r="AK13" i="116" s="1"/>
  <c r="AJ13" i="116" s="1"/>
  <c r="K12" i="116"/>
  <c r="AK12" i="116" s="1"/>
  <c r="AJ12" i="116" s="1"/>
  <c r="K11" i="116"/>
  <c r="AK11" i="116" s="1"/>
  <c r="AJ11" i="116" s="1"/>
  <c r="K10" i="116"/>
  <c r="AK10" i="116" s="1"/>
  <c r="AJ10" i="116" s="1"/>
  <c r="K9" i="116"/>
  <c r="AK9" i="116" s="1"/>
  <c r="AJ9" i="116" s="1"/>
  <c r="K8" i="116"/>
  <c r="AK8" i="116" s="1"/>
  <c r="AJ8" i="116" s="1"/>
  <c r="K7" i="116"/>
  <c r="AK7" i="116" s="1"/>
  <c r="AJ7" i="116" s="1"/>
  <c r="K6" i="116"/>
  <c r="AK6" i="116" s="1"/>
  <c r="AJ6" i="116" s="1"/>
  <c r="K5" i="116"/>
  <c r="AK5" i="116" s="1"/>
  <c r="AJ5" i="116" s="1"/>
  <c r="J36" i="116"/>
  <c r="AI36" i="116" s="1"/>
  <c r="AH36" i="116" s="1"/>
  <c r="J35" i="116"/>
  <c r="AI35" i="116" s="1"/>
  <c r="AH35" i="116" s="1"/>
  <c r="J34" i="116"/>
  <c r="AI34" i="116" s="1"/>
  <c r="AH34" i="116" s="1"/>
  <c r="J33" i="116"/>
  <c r="AI33" i="116" s="1"/>
  <c r="AH33" i="116" s="1"/>
  <c r="J32" i="116"/>
  <c r="AI32" i="116" s="1"/>
  <c r="AH32" i="116" s="1"/>
  <c r="J31" i="116"/>
  <c r="AI31" i="116" s="1"/>
  <c r="AH31" i="116" s="1"/>
  <c r="J30" i="116"/>
  <c r="AI30" i="116" s="1"/>
  <c r="AH30" i="116" s="1"/>
  <c r="J29" i="116"/>
  <c r="AI29" i="116" s="1"/>
  <c r="AH29" i="116" s="1"/>
  <c r="J28" i="116"/>
  <c r="AI28" i="116" s="1"/>
  <c r="AH28" i="116" s="1"/>
  <c r="J27" i="116"/>
  <c r="AI27" i="116" s="1"/>
  <c r="AH27" i="116" s="1"/>
  <c r="J26" i="116"/>
  <c r="AI26" i="116" s="1"/>
  <c r="AH26" i="116" s="1"/>
  <c r="J25" i="116"/>
  <c r="AI25" i="116" s="1"/>
  <c r="AH25" i="116" s="1"/>
  <c r="J24" i="116"/>
  <c r="AI24" i="116" s="1"/>
  <c r="AH24" i="116" s="1"/>
  <c r="J23" i="116"/>
  <c r="AI23" i="116" s="1"/>
  <c r="AH23" i="116" s="1"/>
  <c r="J22" i="116"/>
  <c r="AI22" i="116" s="1"/>
  <c r="AH22" i="116" s="1"/>
  <c r="J21" i="116"/>
  <c r="AI21" i="116" s="1"/>
  <c r="AH21" i="116" s="1"/>
  <c r="J20" i="116"/>
  <c r="AI20" i="116" s="1"/>
  <c r="AH20" i="116" s="1"/>
  <c r="J19" i="116"/>
  <c r="AI19" i="116" s="1"/>
  <c r="AH19" i="116" s="1"/>
  <c r="J18" i="116"/>
  <c r="AI18" i="116" s="1"/>
  <c r="AH18" i="116" s="1"/>
  <c r="J17" i="116"/>
  <c r="AI17" i="116" s="1"/>
  <c r="AH17" i="116" s="1"/>
  <c r="J16" i="116"/>
  <c r="AI16" i="116" s="1"/>
  <c r="AH16" i="116" s="1"/>
  <c r="J15" i="116"/>
  <c r="AI15" i="116" s="1"/>
  <c r="AH15" i="116" s="1"/>
  <c r="J14" i="116"/>
  <c r="AI14" i="116" s="1"/>
  <c r="AH14" i="116" s="1"/>
  <c r="J13" i="116"/>
  <c r="AI13" i="116" s="1"/>
  <c r="AH13" i="116" s="1"/>
  <c r="J12" i="116"/>
  <c r="AI12" i="116" s="1"/>
  <c r="AH12" i="116" s="1"/>
  <c r="J11" i="116"/>
  <c r="AI11" i="116" s="1"/>
  <c r="AH11" i="116" s="1"/>
  <c r="J10" i="116"/>
  <c r="AI10" i="116" s="1"/>
  <c r="AH10" i="116" s="1"/>
  <c r="J9" i="116"/>
  <c r="AI9" i="116" s="1"/>
  <c r="AH9" i="116" s="1"/>
  <c r="J8" i="116"/>
  <c r="AI8" i="116" s="1"/>
  <c r="AH8" i="116" s="1"/>
  <c r="J7" i="116"/>
  <c r="AI7" i="116" s="1"/>
  <c r="AH7" i="116" s="1"/>
  <c r="J6" i="116"/>
  <c r="AI6" i="116" s="1"/>
  <c r="AH6" i="116" s="1"/>
  <c r="J5" i="116"/>
  <c r="AI5" i="116" s="1"/>
  <c r="AH5" i="116" s="1"/>
  <c r="T22" i="109"/>
  <c r="T31" i="109"/>
  <c r="T34" i="109"/>
  <c r="P36" i="109"/>
  <c r="T36" i="109" s="1"/>
  <c r="P35" i="109"/>
  <c r="T35" i="109" s="1"/>
  <c r="P34" i="109"/>
  <c r="R34" i="109" s="1"/>
  <c r="P33" i="109"/>
  <c r="T33" i="109" s="1"/>
  <c r="P32" i="109"/>
  <c r="R32" i="109" s="1"/>
  <c r="P31" i="109"/>
  <c r="R31" i="109" s="1"/>
  <c r="P30" i="109"/>
  <c r="R30" i="109" s="1"/>
  <c r="P29" i="109"/>
  <c r="T29" i="109" s="1"/>
  <c r="P28" i="109"/>
  <c r="R28" i="109" s="1"/>
  <c r="P27" i="109"/>
  <c r="T27" i="109" s="1"/>
  <c r="P26" i="109"/>
  <c r="R26" i="109" s="1"/>
  <c r="P25" i="109"/>
  <c r="R25" i="109" s="1"/>
  <c r="P24" i="109"/>
  <c r="R24" i="109" s="1"/>
  <c r="P23" i="109"/>
  <c r="T23" i="109" s="1"/>
  <c r="P22" i="109"/>
  <c r="R22" i="109" s="1"/>
  <c r="P21" i="109"/>
  <c r="T21" i="109" s="1"/>
  <c r="P20" i="109"/>
  <c r="T20" i="109" s="1"/>
  <c r="P19" i="109"/>
  <c r="R19" i="109" s="1"/>
  <c r="P18" i="109"/>
  <c r="R18" i="109" s="1"/>
  <c r="P17" i="109"/>
  <c r="R17" i="109" s="1"/>
  <c r="P16" i="109"/>
  <c r="T16" i="109" s="1"/>
  <c r="P15" i="109"/>
  <c r="R15" i="109" s="1"/>
  <c r="P14" i="109"/>
  <c r="R14" i="109" s="1"/>
  <c r="P13" i="109"/>
  <c r="R13" i="109" s="1"/>
  <c r="P12" i="109"/>
  <c r="R12" i="109" s="1"/>
  <c r="P11" i="109"/>
  <c r="R11" i="109" s="1"/>
  <c r="P10" i="109"/>
  <c r="R10" i="109" s="1"/>
  <c r="P9" i="109"/>
  <c r="R9" i="109" s="1"/>
  <c r="P8" i="109"/>
  <c r="R8" i="109" s="1"/>
  <c r="P7" i="109"/>
  <c r="T7" i="109" s="1"/>
  <c r="P6" i="109"/>
  <c r="R6" i="109" s="1"/>
  <c r="P5" i="109"/>
  <c r="R5" i="109" s="1"/>
  <c r="J24" i="109"/>
  <c r="H36" i="109"/>
  <c r="F36" i="109"/>
  <c r="J36" i="109" s="1"/>
  <c r="F35" i="109"/>
  <c r="H35" i="109" s="1"/>
  <c r="F34" i="109"/>
  <c r="H34" i="109" s="1"/>
  <c r="F33" i="109"/>
  <c r="H33" i="109" s="1"/>
  <c r="F32" i="109"/>
  <c r="H32" i="109" s="1"/>
  <c r="F31" i="109"/>
  <c r="H31" i="109" s="1"/>
  <c r="F30" i="109"/>
  <c r="H30" i="109" s="1"/>
  <c r="F29" i="109"/>
  <c r="H29" i="109" s="1"/>
  <c r="F28" i="109"/>
  <c r="H28" i="109" s="1"/>
  <c r="F27" i="109"/>
  <c r="H27" i="109" s="1"/>
  <c r="F26" i="109"/>
  <c r="J26" i="109" s="1"/>
  <c r="F25" i="109"/>
  <c r="J25" i="109" s="1"/>
  <c r="F24" i="109"/>
  <c r="H24" i="109" s="1"/>
  <c r="F23" i="109"/>
  <c r="H23" i="109" s="1"/>
  <c r="F22" i="109"/>
  <c r="H22" i="109" s="1"/>
  <c r="F21" i="109"/>
  <c r="H21" i="109" s="1"/>
  <c r="F20" i="109"/>
  <c r="H20" i="109" s="1"/>
  <c r="F19" i="109"/>
  <c r="H19" i="109" s="1"/>
  <c r="F18" i="109"/>
  <c r="J18" i="109" s="1"/>
  <c r="F17" i="109"/>
  <c r="J17" i="109" s="1"/>
  <c r="F16" i="109"/>
  <c r="H16" i="109" s="1"/>
  <c r="F15" i="109"/>
  <c r="H15" i="109" s="1"/>
  <c r="F14" i="109"/>
  <c r="H14" i="109" s="1"/>
  <c r="F13" i="109"/>
  <c r="H13" i="109" s="1"/>
  <c r="F12" i="109"/>
  <c r="J12" i="109" s="1"/>
  <c r="F11" i="109"/>
  <c r="H11" i="109" s="1"/>
  <c r="F10" i="109"/>
  <c r="J10" i="109" s="1"/>
  <c r="F9" i="109"/>
  <c r="J9" i="109" s="1"/>
  <c r="F8" i="109"/>
  <c r="H8" i="109" s="1"/>
  <c r="F7" i="109"/>
  <c r="H7" i="109" s="1"/>
  <c r="F6" i="109"/>
  <c r="H6" i="109" s="1"/>
  <c r="F5" i="109"/>
  <c r="H5" i="109" s="1"/>
  <c r="O34" i="119" l="1"/>
  <c r="O33" i="119"/>
  <c r="J31" i="109"/>
  <c r="N31" i="119"/>
  <c r="J28" i="109"/>
  <c r="T28" i="109"/>
  <c r="M28" i="119"/>
  <c r="H25" i="109"/>
  <c r="T24" i="109"/>
  <c r="N24" i="119"/>
  <c r="H17" i="109"/>
  <c r="N17" i="119"/>
  <c r="T13" i="109"/>
  <c r="M13" i="119"/>
  <c r="R29" i="109"/>
  <c r="O29" i="119"/>
  <c r="J29" i="109"/>
  <c r="N29" i="119"/>
  <c r="R36" i="109"/>
  <c r="N26" i="119"/>
  <c r="T26" i="109"/>
  <c r="R33" i="109"/>
  <c r="R20" i="109"/>
  <c r="J20" i="109"/>
  <c r="T5" i="109"/>
  <c r="N5" i="119"/>
  <c r="J8" i="109"/>
  <c r="T8" i="109"/>
  <c r="N32" i="119"/>
  <c r="P25" i="119"/>
  <c r="R23" i="109"/>
  <c r="H9" i="109"/>
  <c r="M9" i="119"/>
  <c r="J11" i="109"/>
  <c r="M35" i="119"/>
  <c r="R35" i="109"/>
  <c r="H12" i="109"/>
  <c r="O12" i="119"/>
  <c r="P13" i="119"/>
  <c r="J13" i="109"/>
  <c r="J32" i="109"/>
  <c r="T32" i="109"/>
  <c r="P32" i="119"/>
  <c r="R7" i="109"/>
  <c r="P7" i="119"/>
  <c r="J7" i="109"/>
  <c r="N7" i="119"/>
  <c r="H10" i="109"/>
  <c r="M10" i="119"/>
  <c r="T10" i="109"/>
  <c r="P10" i="119"/>
  <c r="P9" i="119"/>
  <c r="T9" i="109"/>
  <c r="P28" i="119"/>
  <c r="O11" i="119"/>
  <c r="T11" i="109"/>
  <c r="N11" i="119"/>
  <c r="M14" i="119"/>
  <c r="J14" i="109"/>
  <c r="P14" i="119"/>
  <c r="T14" i="109"/>
  <c r="J22" i="109"/>
  <c r="N22" i="119"/>
  <c r="P22" i="119"/>
  <c r="M20" i="119"/>
  <c r="O20" i="119"/>
  <c r="J34" i="109"/>
  <c r="N34" i="119"/>
  <c r="R16" i="109"/>
  <c r="M16" i="119"/>
  <c r="J16" i="109"/>
  <c r="P16" i="119"/>
  <c r="R21" i="109"/>
  <c r="N21" i="119"/>
  <c r="J21" i="109"/>
  <c r="P21" i="119"/>
  <c r="T30" i="109"/>
  <c r="M30" i="119"/>
  <c r="P30" i="119"/>
  <c r="J30" i="109"/>
  <c r="N8" i="119"/>
  <c r="P8" i="119"/>
  <c r="O15" i="119"/>
  <c r="J15" i="109"/>
  <c r="T15" i="109"/>
  <c r="N15" i="119"/>
  <c r="N12" i="119"/>
  <c r="T12" i="109"/>
  <c r="J27" i="109"/>
  <c r="R27" i="109"/>
  <c r="M27" i="119"/>
  <c r="P27" i="119"/>
  <c r="J6" i="109"/>
  <c r="O6" i="119"/>
  <c r="T6" i="109"/>
  <c r="N6" i="119"/>
  <c r="J5" i="109"/>
  <c r="P5" i="119"/>
  <c r="H26" i="109"/>
  <c r="P26" i="119"/>
  <c r="N33" i="119"/>
  <c r="J33" i="109"/>
  <c r="T25" i="109"/>
  <c r="N25" i="119"/>
  <c r="H18" i="109"/>
  <c r="T18" i="109"/>
  <c r="N18" i="119"/>
  <c r="O18" i="119"/>
  <c r="J23" i="109"/>
  <c r="M23" i="119"/>
  <c r="P23" i="119"/>
  <c r="T17" i="109"/>
  <c r="P17" i="119"/>
  <c r="P24" i="119"/>
  <c r="P31" i="119"/>
  <c r="J35" i="109"/>
  <c r="P35" i="119"/>
  <c r="O19" i="119"/>
  <c r="J19" i="109"/>
  <c r="T19" i="109"/>
  <c r="M19" i="119"/>
  <c r="N36" i="119"/>
  <c r="P36" i="119"/>
  <c r="AR76" i="102"/>
  <c r="AU76" i="102" s="1"/>
  <c r="AR75" i="102"/>
  <c r="AU75" i="102" s="1"/>
  <c r="AR74" i="102"/>
  <c r="AU74" i="102" s="1"/>
  <c r="AR73" i="102"/>
  <c r="AV73" i="102" s="1"/>
  <c r="AR72" i="102"/>
  <c r="AU72" i="102" s="1"/>
  <c r="AR71" i="102"/>
  <c r="AV71" i="102" s="1"/>
  <c r="AR70" i="102"/>
  <c r="AV70" i="102" s="1"/>
  <c r="AR69" i="102"/>
  <c r="AU69" i="102" s="1"/>
  <c r="AR68" i="102"/>
  <c r="AU68" i="102" s="1"/>
  <c r="AR67" i="102"/>
  <c r="AU67" i="102" s="1"/>
  <c r="AR66" i="102"/>
  <c r="AU66" i="102" s="1"/>
  <c r="AR65" i="102"/>
  <c r="AU65" i="102" s="1"/>
  <c r="AR64" i="102"/>
  <c r="AU64" i="102" s="1"/>
  <c r="AR63" i="102"/>
  <c r="AU63" i="102" s="1"/>
  <c r="AR62" i="102"/>
  <c r="AV62" i="102" s="1"/>
  <c r="AR61" i="102"/>
  <c r="AU61" i="102" s="1"/>
  <c r="AR60" i="102"/>
  <c r="AU60" i="102" s="1"/>
  <c r="AR59" i="102"/>
  <c r="AV59" i="102" s="1"/>
  <c r="AR58" i="102"/>
  <c r="AU58" i="102" s="1"/>
  <c r="AR57" i="102"/>
  <c r="AV57" i="102" s="1"/>
  <c r="AR56" i="102"/>
  <c r="AU56" i="102" s="1"/>
  <c r="AR55" i="102"/>
  <c r="AV55" i="102" s="1"/>
  <c r="AR54" i="102"/>
  <c r="AU54" i="102" s="1"/>
  <c r="AR53" i="102"/>
  <c r="AV53" i="102" s="1"/>
  <c r="AR52" i="102"/>
  <c r="AV52" i="102" s="1"/>
  <c r="AR51" i="102"/>
  <c r="AU51" i="102" s="1"/>
  <c r="AR50" i="102"/>
  <c r="AU50" i="102" s="1"/>
  <c r="AR49" i="102"/>
  <c r="AU49" i="102" s="1"/>
  <c r="AR48" i="102"/>
  <c r="AU48" i="102" s="1"/>
  <c r="AR47" i="102"/>
  <c r="AV47" i="102" s="1"/>
  <c r="AR46" i="102"/>
  <c r="AU46" i="102" s="1"/>
  <c r="AR45" i="102"/>
  <c r="AU45" i="102" s="1"/>
  <c r="AJ76" i="102"/>
  <c r="AM76" i="102" s="1"/>
  <c r="AJ75" i="102"/>
  <c r="AM75" i="102" s="1"/>
  <c r="AJ74" i="102"/>
  <c r="AM74" i="102" s="1"/>
  <c r="AJ73" i="102"/>
  <c r="AN73" i="102" s="1"/>
  <c r="AJ72" i="102"/>
  <c r="AM72" i="102" s="1"/>
  <c r="AJ71" i="102"/>
  <c r="AN71" i="102" s="1"/>
  <c r="AJ70" i="102"/>
  <c r="AM70" i="102" s="1"/>
  <c r="AJ69" i="102"/>
  <c r="AM69" i="102" s="1"/>
  <c r="AJ68" i="102"/>
  <c r="AN68" i="102" s="1"/>
  <c r="AJ67" i="102"/>
  <c r="AM67" i="102" s="1"/>
  <c r="AJ66" i="102"/>
  <c r="AM66" i="102" s="1"/>
  <c r="AJ65" i="102"/>
  <c r="AM65" i="102" s="1"/>
  <c r="AJ64" i="102"/>
  <c r="AM64" i="102" s="1"/>
  <c r="AJ63" i="102"/>
  <c r="AM63" i="102" s="1"/>
  <c r="AJ62" i="102"/>
  <c r="AM62" i="102" s="1"/>
  <c r="AJ61" i="102"/>
  <c r="AM61" i="102" s="1"/>
  <c r="AJ60" i="102"/>
  <c r="AM60" i="102" s="1"/>
  <c r="AJ59" i="102"/>
  <c r="AM59" i="102" s="1"/>
  <c r="AJ58" i="102"/>
  <c r="AM58" i="102" s="1"/>
  <c r="AJ57" i="102"/>
  <c r="AN57" i="102" s="1"/>
  <c r="AJ56" i="102"/>
  <c r="AM56" i="102" s="1"/>
  <c r="AJ55" i="102"/>
  <c r="AN55" i="102" s="1"/>
  <c r="AJ54" i="102"/>
  <c r="AM54" i="102" s="1"/>
  <c r="AJ53" i="102"/>
  <c r="AM53" i="102" s="1"/>
  <c r="AJ52" i="102"/>
  <c r="AM52" i="102" s="1"/>
  <c r="AJ51" i="102"/>
  <c r="AM51" i="102" s="1"/>
  <c r="AJ50" i="102"/>
  <c r="AN50" i="102" s="1"/>
  <c r="AJ49" i="102"/>
  <c r="AM49" i="102" s="1"/>
  <c r="AJ48" i="102"/>
  <c r="AM48" i="102" s="1"/>
  <c r="AJ47" i="102"/>
  <c r="AM47" i="102" s="1"/>
  <c r="AJ46" i="102"/>
  <c r="AM46" i="102" s="1"/>
  <c r="AJ45" i="102"/>
  <c r="AN45" i="102" s="1"/>
  <c r="AB76" i="102"/>
  <c r="AE76" i="102" s="1"/>
  <c r="AB75" i="102"/>
  <c r="AE75" i="102" s="1"/>
  <c r="AB74" i="102"/>
  <c r="AF74" i="102" s="1"/>
  <c r="AB73" i="102"/>
  <c r="AE73" i="102" s="1"/>
  <c r="AB72" i="102"/>
  <c r="AE72" i="102" s="1"/>
  <c r="AB71" i="102"/>
  <c r="AF71" i="102" s="1"/>
  <c r="AB70" i="102"/>
  <c r="AE70" i="102" s="1"/>
  <c r="AB69" i="102"/>
  <c r="AE69" i="102" s="1"/>
  <c r="AB68" i="102"/>
  <c r="AF68" i="102" s="1"/>
  <c r="AB67" i="102"/>
  <c r="AE67" i="102" s="1"/>
  <c r="AB66" i="102"/>
  <c r="AE66" i="102" s="1"/>
  <c r="AB65" i="102"/>
  <c r="AE65" i="102" s="1"/>
  <c r="AB64" i="102"/>
  <c r="AE64" i="102" s="1"/>
  <c r="AB63" i="102"/>
  <c r="AE63" i="102" s="1"/>
  <c r="AB62" i="102"/>
  <c r="AE62" i="102" s="1"/>
  <c r="AB61" i="102"/>
  <c r="AE61" i="102" s="1"/>
  <c r="AB60" i="102"/>
  <c r="AE60" i="102" s="1"/>
  <c r="AB59" i="102"/>
  <c r="AF59" i="102" s="1"/>
  <c r="AB58" i="102"/>
  <c r="AE58" i="102" s="1"/>
  <c r="AB57" i="102"/>
  <c r="AF57" i="102" s="1"/>
  <c r="AB56" i="102"/>
  <c r="AF56" i="102" s="1"/>
  <c r="AB55" i="102"/>
  <c r="AE55" i="102" s="1"/>
  <c r="AB54" i="102"/>
  <c r="AE54" i="102" s="1"/>
  <c r="AB53" i="102"/>
  <c r="AE53" i="102" s="1"/>
  <c r="AB52" i="102"/>
  <c r="AE52" i="102" s="1"/>
  <c r="AB51" i="102"/>
  <c r="AE51" i="102" s="1"/>
  <c r="AB50" i="102"/>
  <c r="AE50" i="102" s="1"/>
  <c r="AB49" i="102"/>
  <c r="AE49" i="102" s="1"/>
  <c r="AB48" i="102"/>
  <c r="AF48" i="102" s="1"/>
  <c r="AB47" i="102"/>
  <c r="AE47" i="102" s="1"/>
  <c r="AB46" i="102"/>
  <c r="AE46" i="102" s="1"/>
  <c r="AB45" i="102"/>
  <c r="AE45" i="102" s="1"/>
  <c r="T76" i="102"/>
  <c r="W76" i="102" s="1"/>
  <c r="T75" i="102"/>
  <c r="W75" i="102" s="1"/>
  <c r="T74" i="102"/>
  <c r="W74" i="102" s="1"/>
  <c r="T73" i="102"/>
  <c r="X73" i="102" s="1"/>
  <c r="T72" i="102"/>
  <c r="W72" i="102" s="1"/>
  <c r="T71" i="102"/>
  <c r="X71" i="102" s="1"/>
  <c r="T70" i="102"/>
  <c r="X70" i="102" s="1"/>
  <c r="T69" i="102"/>
  <c r="X69" i="102" s="1"/>
  <c r="T68" i="102"/>
  <c r="X68" i="102" s="1"/>
  <c r="T67" i="102"/>
  <c r="W67" i="102" s="1"/>
  <c r="T66" i="102"/>
  <c r="W66" i="102" s="1"/>
  <c r="T65" i="102"/>
  <c r="W65" i="102" s="1"/>
  <c r="T64" i="102"/>
  <c r="X64" i="102" s="1"/>
  <c r="T63" i="102"/>
  <c r="X63" i="102" s="1"/>
  <c r="T62" i="102"/>
  <c r="W62" i="102" s="1"/>
  <c r="T61" i="102"/>
  <c r="W61" i="102" s="1"/>
  <c r="T60" i="102"/>
  <c r="X60" i="102" s="1"/>
  <c r="T59" i="102"/>
  <c r="W59" i="102" s="1"/>
  <c r="T58" i="102"/>
  <c r="W58" i="102" s="1"/>
  <c r="T57" i="102"/>
  <c r="W57" i="102" s="1"/>
  <c r="T56" i="102"/>
  <c r="W56" i="102" s="1"/>
  <c r="T55" i="102"/>
  <c r="W55" i="102" s="1"/>
  <c r="T54" i="102"/>
  <c r="W54" i="102" s="1"/>
  <c r="T53" i="102"/>
  <c r="W53" i="102" s="1"/>
  <c r="T52" i="102"/>
  <c r="W52" i="102" s="1"/>
  <c r="T51" i="102"/>
  <c r="W51" i="102" s="1"/>
  <c r="T50" i="102"/>
  <c r="W50" i="102" s="1"/>
  <c r="T49" i="102"/>
  <c r="X49" i="102" s="1"/>
  <c r="T48" i="102"/>
  <c r="W48" i="102" s="1"/>
  <c r="T47" i="102"/>
  <c r="W47" i="102" s="1"/>
  <c r="T46" i="102"/>
  <c r="W46" i="102" s="1"/>
  <c r="T45" i="102"/>
  <c r="W45" i="102" s="1"/>
  <c r="L76" i="102"/>
  <c r="O76" i="102" s="1"/>
  <c r="L75" i="102"/>
  <c r="O75" i="102" s="1"/>
  <c r="L74" i="102"/>
  <c r="O74" i="102" s="1"/>
  <c r="L73" i="102"/>
  <c r="O73" i="102" s="1"/>
  <c r="L72" i="102"/>
  <c r="O72" i="102" s="1"/>
  <c r="L71" i="102"/>
  <c r="P71" i="102" s="1"/>
  <c r="L70" i="102"/>
  <c r="O70" i="102" s="1"/>
  <c r="L69" i="102"/>
  <c r="O69" i="102" s="1"/>
  <c r="L68" i="102"/>
  <c r="P68" i="102" s="1"/>
  <c r="L67" i="102"/>
  <c r="O67" i="102" s="1"/>
  <c r="L66" i="102"/>
  <c r="O66" i="102" s="1"/>
  <c r="L65" i="102"/>
  <c r="P65" i="102" s="1"/>
  <c r="L64" i="102"/>
  <c r="P64" i="102" s="1"/>
  <c r="L63" i="102"/>
  <c r="O63" i="102" s="1"/>
  <c r="L62" i="102"/>
  <c r="P62" i="102" s="1"/>
  <c r="L61" i="102"/>
  <c r="P61" i="102" s="1"/>
  <c r="L60" i="102"/>
  <c r="O60" i="102" s="1"/>
  <c r="L59" i="102"/>
  <c r="P59" i="102" s="1"/>
  <c r="L58" i="102"/>
  <c r="P58" i="102" s="1"/>
  <c r="L57" i="102"/>
  <c r="P57" i="102" s="1"/>
  <c r="L56" i="102"/>
  <c r="P56" i="102" s="1"/>
  <c r="L55" i="102"/>
  <c r="O55" i="102" s="1"/>
  <c r="L54" i="102"/>
  <c r="O54" i="102" s="1"/>
  <c r="L53" i="102"/>
  <c r="P53" i="102" s="1"/>
  <c r="L52" i="102"/>
  <c r="O52" i="102" s="1"/>
  <c r="L51" i="102"/>
  <c r="O51" i="102" s="1"/>
  <c r="L50" i="102"/>
  <c r="O50" i="102" s="1"/>
  <c r="L49" i="102"/>
  <c r="O49" i="102" s="1"/>
  <c r="L48" i="102"/>
  <c r="O48" i="102" s="1"/>
  <c r="L47" i="102"/>
  <c r="O47" i="102" s="1"/>
  <c r="L46" i="102"/>
  <c r="O46" i="102" s="1"/>
  <c r="L45" i="102"/>
  <c r="P45" i="102" s="1"/>
  <c r="D76" i="102"/>
  <c r="G76" i="102" s="1"/>
  <c r="D75" i="102"/>
  <c r="G75" i="102" s="1"/>
  <c r="D74" i="102"/>
  <c r="G74" i="102" s="1"/>
  <c r="D73" i="102"/>
  <c r="G73" i="102" s="1"/>
  <c r="D72" i="102"/>
  <c r="H72" i="102" s="1"/>
  <c r="D71" i="102"/>
  <c r="H71" i="102" s="1"/>
  <c r="D70" i="102"/>
  <c r="G70" i="102" s="1"/>
  <c r="D69" i="102"/>
  <c r="H69" i="102" s="1"/>
  <c r="D68" i="102"/>
  <c r="G68" i="102" s="1"/>
  <c r="D67" i="102"/>
  <c r="G67" i="102" s="1"/>
  <c r="D66" i="102"/>
  <c r="G66" i="102" s="1"/>
  <c r="D65" i="102"/>
  <c r="G65" i="102" s="1"/>
  <c r="D64" i="102"/>
  <c r="G64" i="102" s="1"/>
  <c r="D63" i="102"/>
  <c r="G63" i="102" s="1"/>
  <c r="D62" i="102"/>
  <c r="H62" i="102" s="1"/>
  <c r="D61" i="102"/>
  <c r="G61" i="102" s="1"/>
  <c r="D60" i="102"/>
  <c r="G60" i="102" s="1"/>
  <c r="D59" i="102"/>
  <c r="G59" i="102" s="1"/>
  <c r="D58" i="102"/>
  <c r="G58" i="102" s="1"/>
  <c r="D57" i="102"/>
  <c r="H57" i="102" s="1"/>
  <c r="D56" i="102"/>
  <c r="G56" i="102" s="1"/>
  <c r="D55" i="102"/>
  <c r="H55" i="102" s="1"/>
  <c r="D54" i="102"/>
  <c r="H54" i="102" s="1"/>
  <c r="D53" i="102"/>
  <c r="G53" i="102" s="1"/>
  <c r="D52" i="102"/>
  <c r="G52" i="102" s="1"/>
  <c r="D51" i="102"/>
  <c r="G51" i="102" s="1"/>
  <c r="D50" i="102"/>
  <c r="G50" i="102" s="1"/>
  <c r="D49" i="102"/>
  <c r="G49" i="102" s="1"/>
  <c r="D48" i="102"/>
  <c r="G48" i="102" s="1"/>
  <c r="D47" i="102"/>
  <c r="G47" i="102" s="1"/>
  <c r="D46" i="102"/>
  <c r="G46" i="102" s="1"/>
  <c r="D45" i="102"/>
  <c r="G45" i="102" s="1"/>
  <c r="W28" i="102"/>
  <c r="AR37" i="102"/>
  <c r="AU37" i="102" s="1"/>
  <c r="AR36" i="102"/>
  <c r="AU36" i="102" s="1"/>
  <c r="AR35" i="102"/>
  <c r="AU35" i="102" s="1"/>
  <c r="AR34" i="102"/>
  <c r="AU34" i="102" s="1"/>
  <c r="AR33" i="102"/>
  <c r="AV33" i="102" s="1"/>
  <c r="AR32" i="102"/>
  <c r="AV32" i="102" s="1"/>
  <c r="AR31" i="102"/>
  <c r="AU31" i="102" s="1"/>
  <c r="AR30" i="102"/>
  <c r="AV30" i="102" s="1"/>
  <c r="AR29" i="102"/>
  <c r="AU29" i="102" s="1"/>
  <c r="AR28" i="102"/>
  <c r="AU28" i="102" s="1"/>
  <c r="AR27" i="102"/>
  <c r="AV27" i="102" s="1"/>
  <c r="AR26" i="102"/>
  <c r="AU26" i="102" s="1"/>
  <c r="AR25" i="102"/>
  <c r="AU25" i="102" s="1"/>
  <c r="AR24" i="102"/>
  <c r="AU24" i="102" s="1"/>
  <c r="AR23" i="102"/>
  <c r="AU23" i="102" s="1"/>
  <c r="AR22" i="102"/>
  <c r="AU22" i="102" s="1"/>
  <c r="AR21" i="102"/>
  <c r="AV21" i="102" s="1"/>
  <c r="AR20" i="102"/>
  <c r="AV20" i="102" s="1"/>
  <c r="AR19" i="102"/>
  <c r="AU19" i="102" s="1"/>
  <c r="AR18" i="102"/>
  <c r="AU18" i="102" s="1"/>
  <c r="AR17" i="102"/>
  <c r="AV17" i="102" s="1"/>
  <c r="AR16" i="102"/>
  <c r="AV16" i="102" s="1"/>
  <c r="AR15" i="102"/>
  <c r="AV15" i="102" s="1"/>
  <c r="AR14" i="102"/>
  <c r="AU14" i="102" s="1"/>
  <c r="AR13" i="102"/>
  <c r="AU13" i="102" s="1"/>
  <c r="AR12" i="102"/>
  <c r="AU12" i="102" s="1"/>
  <c r="AR11" i="102"/>
  <c r="AU11" i="102" s="1"/>
  <c r="AR10" i="102"/>
  <c r="AU10" i="102" s="1"/>
  <c r="AR9" i="102"/>
  <c r="AV9" i="102" s="1"/>
  <c r="AR8" i="102"/>
  <c r="AU8" i="102" s="1"/>
  <c r="AR7" i="102"/>
  <c r="AV7" i="102" s="1"/>
  <c r="AR6" i="102"/>
  <c r="AU6" i="102" s="1"/>
  <c r="AJ37" i="102"/>
  <c r="AM37" i="102" s="1"/>
  <c r="AJ36" i="102"/>
  <c r="AM36" i="102" s="1"/>
  <c r="AJ35" i="102"/>
  <c r="AM35" i="102" s="1"/>
  <c r="AJ34" i="102"/>
  <c r="AM34" i="102" s="1"/>
  <c r="AJ33" i="102"/>
  <c r="AN33" i="102" s="1"/>
  <c r="AJ32" i="102"/>
  <c r="AN32" i="102" s="1"/>
  <c r="AJ31" i="102"/>
  <c r="AM31" i="102" s="1"/>
  <c r="AJ30" i="102"/>
  <c r="AM30" i="102" s="1"/>
  <c r="AJ29" i="102"/>
  <c r="AM29" i="102" s="1"/>
  <c r="AJ28" i="102"/>
  <c r="AM28" i="102" s="1"/>
  <c r="AJ27" i="102"/>
  <c r="AM27" i="102" s="1"/>
  <c r="AJ26" i="102"/>
  <c r="AN26" i="102" s="1"/>
  <c r="AJ25" i="102"/>
  <c r="AN25" i="102" s="1"/>
  <c r="AJ24" i="102"/>
  <c r="AM24" i="102" s="1"/>
  <c r="AJ23" i="102"/>
  <c r="AM23" i="102" s="1"/>
  <c r="AJ22" i="102"/>
  <c r="AM22" i="102" s="1"/>
  <c r="AJ21" i="102"/>
  <c r="AM21" i="102" s="1"/>
  <c r="AJ20" i="102"/>
  <c r="AM20" i="102" s="1"/>
  <c r="AJ19" i="102"/>
  <c r="AM19" i="102" s="1"/>
  <c r="AJ18" i="102"/>
  <c r="AM18" i="102" s="1"/>
  <c r="AJ17" i="102"/>
  <c r="AM17" i="102" s="1"/>
  <c r="AJ16" i="102"/>
  <c r="AN16" i="102" s="1"/>
  <c r="AJ15" i="102"/>
  <c r="AM15" i="102" s="1"/>
  <c r="AJ14" i="102"/>
  <c r="AM14" i="102" s="1"/>
  <c r="AJ13" i="102"/>
  <c r="AM13" i="102" s="1"/>
  <c r="AJ12" i="102"/>
  <c r="AN12" i="102" s="1"/>
  <c r="AJ11" i="102"/>
  <c r="AM11" i="102" s="1"/>
  <c r="AJ10" i="102"/>
  <c r="AM10" i="102" s="1"/>
  <c r="AJ9" i="102"/>
  <c r="AM9" i="102" s="1"/>
  <c r="AJ8" i="102"/>
  <c r="AM8" i="102" s="1"/>
  <c r="AJ7" i="102"/>
  <c r="AM7" i="102" s="1"/>
  <c r="AJ6" i="102"/>
  <c r="AM6" i="102" s="1"/>
  <c r="AB37" i="102"/>
  <c r="AE37" i="102" s="1"/>
  <c r="AB36" i="102"/>
  <c r="AE36" i="102" s="1"/>
  <c r="AB35" i="102"/>
  <c r="AE35" i="102" s="1"/>
  <c r="AB34" i="102"/>
  <c r="AE34" i="102" s="1"/>
  <c r="AB33" i="102"/>
  <c r="AE33" i="102" s="1"/>
  <c r="AB32" i="102"/>
  <c r="AF32" i="102" s="1"/>
  <c r="AB31" i="102"/>
  <c r="AF31" i="102" s="1"/>
  <c r="AB30" i="102"/>
  <c r="AE30" i="102" s="1"/>
  <c r="AB29" i="102"/>
  <c r="AE29" i="102" s="1"/>
  <c r="AB28" i="102"/>
  <c r="AF28" i="102" s="1"/>
  <c r="AB27" i="102"/>
  <c r="AF27" i="102" s="1"/>
  <c r="AB26" i="102"/>
  <c r="AE26" i="102" s="1"/>
  <c r="AB25" i="102"/>
  <c r="AE25" i="102" s="1"/>
  <c r="AB24" i="102"/>
  <c r="AE24" i="102" s="1"/>
  <c r="AB23" i="102"/>
  <c r="AE23" i="102" s="1"/>
  <c r="AB22" i="102"/>
  <c r="AE22" i="102" s="1"/>
  <c r="AB21" i="102"/>
  <c r="AE21" i="102" s="1"/>
  <c r="AB20" i="102"/>
  <c r="AF20" i="102" s="1"/>
  <c r="AB19" i="102"/>
  <c r="AF19" i="102" s="1"/>
  <c r="AB18" i="102"/>
  <c r="AF18" i="102" s="1"/>
  <c r="AB17" i="102"/>
  <c r="AF17" i="102" s="1"/>
  <c r="AB16" i="102"/>
  <c r="AE16" i="102" s="1"/>
  <c r="AB15" i="102"/>
  <c r="AE15" i="102" s="1"/>
  <c r="AB14" i="102"/>
  <c r="AE14" i="102" s="1"/>
  <c r="AB13" i="102"/>
  <c r="AE13" i="102" s="1"/>
  <c r="AB12" i="102"/>
  <c r="AE12" i="102" s="1"/>
  <c r="AB11" i="102"/>
  <c r="AE11" i="102" s="1"/>
  <c r="AB10" i="102"/>
  <c r="AE10" i="102" s="1"/>
  <c r="AB9" i="102"/>
  <c r="AF9" i="102" s="1"/>
  <c r="AB8" i="102"/>
  <c r="AE8" i="102" s="1"/>
  <c r="AB7" i="102"/>
  <c r="AF7" i="102" s="1"/>
  <c r="AB6" i="102"/>
  <c r="AE6" i="102" s="1"/>
  <c r="T37" i="102"/>
  <c r="W37" i="102" s="1"/>
  <c r="T36" i="102"/>
  <c r="W36" i="102" s="1"/>
  <c r="T35" i="102"/>
  <c r="X35" i="102" s="1"/>
  <c r="T34" i="102"/>
  <c r="W34" i="102" s="1"/>
  <c r="T33" i="102"/>
  <c r="W33" i="102" s="1"/>
  <c r="T32" i="102"/>
  <c r="W32" i="102" s="1"/>
  <c r="T31" i="102"/>
  <c r="W31" i="102" s="1"/>
  <c r="T30" i="102"/>
  <c r="W30" i="102" s="1"/>
  <c r="T29" i="102"/>
  <c r="W29" i="102" s="1"/>
  <c r="T28" i="102"/>
  <c r="X28" i="102" s="1"/>
  <c r="T27" i="102"/>
  <c r="W27" i="102" s="1"/>
  <c r="T26" i="102"/>
  <c r="X26" i="102" s="1"/>
  <c r="T25" i="102"/>
  <c r="W25" i="102" s="1"/>
  <c r="T24" i="102"/>
  <c r="W24" i="102" s="1"/>
  <c r="T23" i="102"/>
  <c r="W23" i="102" s="1"/>
  <c r="T22" i="102"/>
  <c r="W22" i="102" s="1"/>
  <c r="T21" i="102"/>
  <c r="W21" i="102" s="1"/>
  <c r="T20" i="102"/>
  <c r="W20" i="102" s="1"/>
  <c r="T19" i="102"/>
  <c r="W19" i="102" s="1"/>
  <c r="T18" i="102"/>
  <c r="W18" i="102" s="1"/>
  <c r="T17" i="102"/>
  <c r="W17" i="102" s="1"/>
  <c r="T16" i="102"/>
  <c r="X16" i="102" s="1"/>
  <c r="T15" i="102"/>
  <c r="W15" i="102" s="1"/>
  <c r="T14" i="102"/>
  <c r="X14" i="102" s="1"/>
  <c r="T13" i="102"/>
  <c r="W13" i="102" s="1"/>
  <c r="T12" i="102"/>
  <c r="W12" i="102" s="1"/>
  <c r="T11" i="102"/>
  <c r="X11" i="102" s="1"/>
  <c r="T10" i="102"/>
  <c r="W10" i="102" s="1"/>
  <c r="T9" i="102"/>
  <c r="W9" i="102" s="1"/>
  <c r="T8" i="102"/>
  <c r="W8" i="102" s="1"/>
  <c r="T7" i="102"/>
  <c r="X7" i="102" s="1"/>
  <c r="T6" i="102"/>
  <c r="W6" i="102" s="1"/>
  <c r="L37" i="102"/>
  <c r="O37" i="102" s="1"/>
  <c r="L36" i="102"/>
  <c r="O36" i="102" s="1"/>
  <c r="L35" i="102"/>
  <c r="P35" i="102" s="1"/>
  <c r="L34" i="102"/>
  <c r="O34" i="102" s="1"/>
  <c r="L33" i="102"/>
  <c r="O33" i="102" s="1"/>
  <c r="L32" i="102"/>
  <c r="P32" i="102" s="1"/>
  <c r="L31" i="102"/>
  <c r="P31" i="102" s="1"/>
  <c r="L30" i="102"/>
  <c r="O30" i="102" s="1"/>
  <c r="L29" i="102"/>
  <c r="O29" i="102" s="1"/>
  <c r="L28" i="102"/>
  <c r="O28" i="102" s="1"/>
  <c r="L27" i="102"/>
  <c r="O27" i="102" s="1"/>
  <c r="L26" i="102"/>
  <c r="O26" i="102" s="1"/>
  <c r="L25" i="102"/>
  <c r="P25" i="102" s="1"/>
  <c r="L24" i="102"/>
  <c r="O24" i="102" s="1"/>
  <c r="L23" i="102"/>
  <c r="O23" i="102" s="1"/>
  <c r="L22" i="102"/>
  <c r="O22" i="102" s="1"/>
  <c r="L21" i="102"/>
  <c r="O21" i="102" s="1"/>
  <c r="L20" i="102"/>
  <c r="P20" i="102" s="1"/>
  <c r="L19" i="102"/>
  <c r="O19" i="102" s="1"/>
  <c r="L18" i="102"/>
  <c r="P18" i="102" s="1"/>
  <c r="L17" i="102"/>
  <c r="O17" i="102" s="1"/>
  <c r="L16" i="102"/>
  <c r="O16" i="102" s="1"/>
  <c r="L15" i="102"/>
  <c r="O15" i="102" s="1"/>
  <c r="L14" i="102"/>
  <c r="O14" i="102" s="1"/>
  <c r="L13" i="102"/>
  <c r="O13" i="102" s="1"/>
  <c r="L12" i="102"/>
  <c r="O12" i="102" s="1"/>
  <c r="L11" i="102"/>
  <c r="P11" i="102" s="1"/>
  <c r="L10" i="102"/>
  <c r="P10" i="102" s="1"/>
  <c r="L9" i="102"/>
  <c r="P9" i="102" s="1"/>
  <c r="L8" i="102"/>
  <c r="O8" i="102" s="1"/>
  <c r="L7" i="102"/>
  <c r="P7" i="102" s="1"/>
  <c r="L6" i="102"/>
  <c r="P6" i="102" s="1"/>
  <c r="D37" i="102"/>
  <c r="G37" i="102" s="1"/>
  <c r="D36" i="102"/>
  <c r="G36" i="102" s="1"/>
  <c r="D35" i="102"/>
  <c r="G35" i="102" s="1"/>
  <c r="D34" i="102"/>
  <c r="G34" i="102" s="1"/>
  <c r="D33" i="102"/>
  <c r="G33" i="102" s="1"/>
  <c r="D32" i="102"/>
  <c r="G32" i="102" s="1"/>
  <c r="D31" i="102"/>
  <c r="G31" i="102" s="1"/>
  <c r="D30" i="102"/>
  <c r="G30" i="102" s="1"/>
  <c r="D29" i="102"/>
  <c r="H29" i="102" s="1"/>
  <c r="D28" i="102"/>
  <c r="G28" i="102" s="1"/>
  <c r="D27" i="102"/>
  <c r="H27" i="102" s="1"/>
  <c r="D26" i="102"/>
  <c r="H26" i="102" s="1"/>
  <c r="D25" i="102"/>
  <c r="H25" i="102" s="1"/>
  <c r="D24" i="102"/>
  <c r="H24" i="102" s="1"/>
  <c r="D23" i="102"/>
  <c r="G23" i="102" s="1"/>
  <c r="D22" i="102"/>
  <c r="H22" i="102" s="1"/>
  <c r="D21" i="102"/>
  <c r="G21" i="102" s="1"/>
  <c r="D20" i="102"/>
  <c r="G20" i="102" s="1"/>
  <c r="D19" i="102"/>
  <c r="G19" i="102" s="1"/>
  <c r="D18" i="102"/>
  <c r="H18" i="102" s="1"/>
  <c r="D17" i="102"/>
  <c r="H17" i="102" s="1"/>
  <c r="D16" i="102"/>
  <c r="G16" i="102" s="1"/>
  <c r="D15" i="102"/>
  <c r="G15" i="102" s="1"/>
  <c r="D14" i="102"/>
  <c r="G14" i="102" s="1"/>
  <c r="D13" i="102"/>
  <c r="G13" i="102" s="1"/>
  <c r="D12" i="102"/>
  <c r="G12" i="102" s="1"/>
  <c r="D11" i="102"/>
  <c r="G11" i="102" s="1"/>
  <c r="D10" i="102"/>
  <c r="G10" i="102" s="1"/>
  <c r="D9" i="102"/>
  <c r="G9" i="102" s="1"/>
  <c r="D8" i="102"/>
  <c r="G8" i="102" s="1"/>
  <c r="D7" i="102"/>
  <c r="G7" i="102" s="1"/>
  <c r="D6" i="102"/>
  <c r="G6" i="102" s="1"/>
  <c r="O35" i="102" l="1"/>
  <c r="AE74" i="102"/>
  <c r="W35" i="102"/>
  <c r="H35" i="102"/>
  <c r="X74" i="102"/>
  <c r="G72" i="102"/>
  <c r="AU32" i="102"/>
  <c r="AE71" i="102"/>
  <c r="O32" i="102"/>
  <c r="O71" i="102"/>
  <c r="AU71" i="102"/>
  <c r="AE32" i="102"/>
  <c r="O68" i="102"/>
  <c r="AE68" i="102"/>
  <c r="G29" i="102"/>
  <c r="H68" i="102"/>
  <c r="W68" i="102"/>
  <c r="AM68" i="102"/>
  <c r="AN28" i="102"/>
  <c r="X67" i="102"/>
  <c r="AF67" i="102"/>
  <c r="P67" i="102"/>
  <c r="AE28" i="102"/>
  <c r="AV64" i="102"/>
  <c r="O64" i="102"/>
  <c r="W64" i="102"/>
  <c r="AN64" i="102"/>
  <c r="AF64" i="102"/>
  <c r="O57" i="102"/>
  <c r="AU57" i="102"/>
  <c r="G57" i="102"/>
  <c r="AE57" i="102"/>
  <c r="AM57" i="102"/>
  <c r="W69" i="102"/>
  <c r="AV69" i="102"/>
  <c r="G69" i="102"/>
  <c r="P69" i="102"/>
  <c r="AN30" i="102"/>
  <c r="H30" i="102"/>
  <c r="X30" i="102"/>
  <c r="AF30" i="102"/>
  <c r="AU30" i="102"/>
  <c r="AN69" i="102"/>
  <c r="P30" i="102"/>
  <c r="AF69" i="102"/>
  <c r="O7" i="102"/>
  <c r="W7" i="102"/>
  <c r="H7" i="102"/>
  <c r="AE7" i="102"/>
  <c r="AN7" i="102"/>
  <c r="AU7" i="102"/>
  <c r="X46" i="102"/>
  <c r="AN46" i="102"/>
  <c r="P46" i="102"/>
  <c r="H66" i="102"/>
  <c r="AE56" i="102"/>
  <c r="O56" i="102"/>
  <c r="P21" i="102"/>
  <c r="AU21" i="102"/>
  <c r="W60" i="102"/>
  <c r="AV60" i="102"/>
  <c r="AF21" i="102"/>
  <c r="AN60" i="102"/>
  <c r="X21" i="102"/>
  <c r="AN21" i="102"/>
  <c r="H60" i="102"/>
  <c r="AN6" i="102"/>
  <c r="O45" i="102"/>
  <c r="AM45" i="102"/>
  <c r="O6" i="102"/>
  <c r="X45" i="102"/>
  <c r="X6" i="102"/>
  <c r="AV6" i="102"/>
  <c r="H45" i="102"/>
  <c r="AE48" i="102"/>
  <c r="AN48" i="102"/>
  <c r="AV48" i="102"/>
  <c r="X48" i="102"/>
  <c r="AM33" i="102"/>
  <c r="AF72" i="102"/>
  <c r="X72" i="102"/>
  <c r="P33" i="102"/>
  <c r="H33" i="102"/>
  <c r="AU33" i="102"/>
  <c r="O65" i="102"/>
  <c r="AV63" i="102"/>
  <c r="G24" i="102"/>
  <c r="P24" i="102"/>
  <c r="X24" i="102"/>
  <c r="W63" i="102"/>
  <c r="H10" i="102"/>
  <c r="X10" i="102"/>
  <c r="AN10" i="102"/>
  <c r="AF10" i="102"/>
  <c r="O10" i="102"/>
  <c r="X19" i="102"/>
  <c r="O58" i="102"/>
  <c r="AE19" i="102"/>
  <c r="AV19" i="102"/>
  <c r="X58" i="102"/>
  <c r="AV58" i="102"/>
  <c r="P52" i="102"/>
  <c r="AU52" i="102"/>
  <c r="X13" i="102"/>
  <c r="AN52" i="102"/>
  <c r="AV12" i="102"/>
  <c r="AF12" i="102"/>
  <c r="AM12" i="102"/>
  <c r="P12" i="102"/>
  <c r="W14" i="102"/>
  <c r="AF14" i="102"/>
  <c r="O53" i="102"/>
  <c r="AN53" i="102"/>
  <c r="AU53" i="102"/>
  <c r="H14" i="102"/>
  <c r="P14" i="102"/>
  <c r="AN14" i="102"/>
  <c r="AV14" i="102"/>
  <c r="H53" i="102"/>
  <c r="X53" i="102"/>
  <c r="AF53" i="102"/>
  <c r="AF33" i="102"/>
  <c r="AV72" i="102"/>
  <c r="X33" i="102"/>
  <c r="P72" i="102"/>
  <c r="AN72" i="102"/>
  <c r="X8" i="102"/>
  <c r="AV8" i="102"/>
  <c r="P47" i="102"/>
  <c r="AN47" i="102"/>
  <c r="AU47" i="102"/>
  <c r="AF8" i="102"/>
  <c r="AF47" i="102"/>
  <c r="H8" i="102"/>
  <c r="P8" i="102"/>
  <c r="AN8" i="102"/>
  <c r="H47" i="102"/>
  <c r="X47" i="102"/>
  <c r="O11" i="102"/>
  <c r="W11" i="102"/>
  <c r="AM50" i="102"/>
  <c r="AV50" i="102"/>
  <c r="H11" i="102"/>
  <c r="AN11" i="102"/>
  <c r="X50" i="102"/>
  <c r="AF11" i="102"/>
  <c r="AV11" i="102"/>
  <c r="H50" i="102"/>
  <c r="P50" i="102"/>
  <c r="AF50" i="102"/>
  <c r="H49" i="102"/>
  <c r="W49" i="102"/>
  <c r="AV49" i="102"/>
  <c r="AN49" i="102"/>
  <c r="AV10" i="102"/>
  <c r="P49" i="102"/>
  <c r="AF49" i="102"/>
  <c r="AF29" i="102"/>
  <c r="AN29" i="102"/>
  <c r="AV29" i="102"/>
  <c r="P29" i="102"/>
  <c r="X29" i="102"/>
  <c r="AV68" i="102"/>
  <c r="AF51" i="102"/>
  <c r="X12" i="102"/>
  <c r="H51" i="102"/>
  <c r="AV51" i="102"/>
  <c r="H12" i="102"/>
  <c r="P51" i="102"/>
  <c r="X51" i="102"/>
  <c r="AN51" i="102"/>
  <c r="AM16" i="102"/>
  <c r="P55" i="102"/>
  <c r="AM55" i="102"/>
  <c r="G55" i="102"/>
  <c r="X15" i="102"/>
  <c r="AN15" i="102"/>
  <c r="AU15" i="102"/>
  <c r="G54" i="102"/>
  <c r="X54" i="102"/>
  <c r="AF54" i="102"/>
  <c r="AN54" i="102"/>
  <c r="H15" i="102"/>
  <c r="P15" i="102"/>
  <c r="AF15" i="102"/>
  <c r="P54" i="102"/>
  <c r="AV54" i="102"/>
  <c r="X23" i="102"/>
  <c r="AF23" i="102"/>
  <c r="G62" i="102"/>
  <c r="O62" i="102"/>
  <c r="AF62" i="102"/>
  <c r="AU62" i="102"/>
  <c r="H23" i="102"/>
  <c r="AN23" i="102"/>
  <c r="AN62" i="102"/>
  <c r="P23" i="102"/>
  <c r="AV23" i="102"/>
  <c r="X62" i="102"/>
  <c r="H21" i="102"/>
  <c r="P60" i="102"/>
  <c r="AF60" i="102"/>
  <c r="AF35" i="102"/>
  <c r="AN35" i="102"/>
  <c r="AV35" i="102"/>
  <c r="H74" i="102"/>
  <c r="P74" i="102"/>
  <c r="AN74" i="102"/>
  <c r="AV74" i="102"/>
  <c r="P34" i="102"/>
  <c r="AF34" i="102"/>
  <c r="X34" i="102"/>
  <c r="AN34" i="102"/>
  <c r="G17" i="102"/>
  <c r="AE17" i="102"/>
  <c r="AN17" i="102"/>
  <c r="AU17" i="102"/>
  <c r="H56" i="102"/>
  <c r="X56" i="102"/>
  <c r="AN56" i="102"/>
  <c r="AV56" i="102"/>
  <c r="P17" i="102"/>
  <c r="X17" i="102"/>
  <c r="G22" i="102"/>
  <c r="P22" i="102"/>
  <c r="AF22" i="102"/>
  <c r="AN22" i="102"/>
  <c r="AV22" i="102"/>
  <c r="H61" i="102"/>
  <c r="O61" i="102"/>
  <c r="X61" i="102"/>
  <c r="AF61" i="102"/>
  <c r="AN61" i="102"/>
  <c r="X22" i="102"/>
  <c r="AV61" i="102"/>
  <c r="H31" i="102"/>
  <c r="O31" i="102"/>
  <c r="AE31" i="102"/>
  <c r="AV31" i="102"/>
  <c r="P70" i="102"/>
  <c r="W70" i="102"/>
  <c r="AN70" i="102"/>
  <c r="AU70" i="102"/>
  <c r="X31" i="102"/>
  <c r="AN31" i="102"/>
  <c r="H70" i="102"/>
  <c r="AF70" i="102"/>
  <c r="AN9" i="102"/>
  <c r="AE9" i="102"/>
  <c r="AU9" i="102"/>
  <c r="H48" i="102"/>
  <c r="H9" i="102"/>
  <c r="X9" i="102"/>
  <c r="P48" i="102"/>
  <c r="O9" i="102"/>
  <c r="P16" i="102"/>
  <c r="X55" i="102"/>
  <c r="H16" i="102"/>
  <c r="W16" i="102"/>
  <c r="AF16" i="102"/>
  <c r="AU16" i="102"/>
  <c r="AF55" i="102"/>
  <c r="AU55" i="102"/>
  <c r="H13" i="102"/>
  <c r="AN13" i="102"/>
  <c r="AV13" i="102"/>
  <c r="H52" i="102"/>
  <c r="AF52" i="102"/>
  <c r="P13" i="102"/>
  <c r="AF13" i="102"/>
  <c r="X52" i="102"/>
  <c r="P28" i="102"/>
  <c r="AV28" i="102"/>
  <c r="AN67" i="102"/>
  <c r="AV67" i="102"/>
  <c r="H28" i="102"/>
  <c r="H67" i="102"/>
  <c r="AF46" i="102"/>
  <c r="H46" i="102"/>
  <c r="AV46" i="102"/>
  <c r="AF6" i="102"/>
  <c r="H6" i="102"/>
  <c r="AF45" i="102"/>
  <c r="AV45" i="102"/>
  <c r="X27" i="102"/>
  <c r="AU27" i="102"/>
  <c r="AE27" i="102"/>
  <c r="AN66" i="102"/>
  <c r="AV66" i="102"/>
  <c r="G27" i="102"/>
  <c r="P27" i="102"/>
  <c r="AN27" i="102"/>
  <c r="P66" i="102"/>
  <c r="X66" i="102"/>
  <c r="AF66" i="102"/>
  <c r="AM73" i="102"/>
  <c r="H34" i="102"/>
  <c r="P73" i="102"/>
  <c r="W73" i="102"/>
  <c r="AF73" i="102"/>
  <c r="AU73" i="102"/>
  <c r="AV34" i="102"/>
  <c r="H73" i="102"/>
  <c r="AV26" i="102"/>
  <c r="G26" i="102"/>
  <c r="H65" i="102"/>
  <c r="AN65" i="102"/>
  <c r="AV65" i="102"/>
  <c r="P26" i="102"/>
  <c r="AF26" i="102"/>
  <c r="X65" i="102"/>
  <c r="AF65" i="102"/>
  <c r="W26" i="102"/>
  <c r="AM26" i="102"/>
  <c r="H19" i="102"/>
  <c r="P19" i="102"/>
  <c r="AN19" i="102"/>
  <c r="AF58" i="102"/>
  <c r="H58" i="102"/>
  <c r="AN58" i="102"/>
  <c r="AF24" i="102"/>
  <c r="AN24" i="102"/>
  <c r="P63" i="102"/>
  <c r="AN63" i="102"/>
  <c r="AV24" i="102"/>
  <c r="H63" i="102"/>
  <c r="AF63" i="102"/>
  <c r="O18" i="102"/>
  <c r="G18" i="102"/>
  <c r="X18" i="102"/>
  <c r="AE18" i="102"/>
  <c r="AV18" i="102"/>
  <c r="X57" i="102"/>
  <c r="AN18" i="102"/>
  <c r="X25" i="102"/>
  <c r="O25" i="102"/>
  <c r="AF25" i="102"/>
  <c r="AM25" i="102"/>
  <c r="AV25" i="102"/>
  <c r="H64" i="102"/>
  <c r="G25" i="102"/>
  <c r="H32" i="102"/>
  <c r="X32" i="102"/>
  <c r="AM32" i="102"/>
  <c r="G71" i="102"/>
  <c r="W71" i="102"/>
  <c r="AM71" i="102"/>
  <c r="H36" i="102"/>
  <c r="P36" i="102"/>
  <c r="X36" i="102"/>
  <c r="AF36" i="102"/>
  <c r="AN36" i="102"/>
  <c r="AV36" i="102"/>
  <c r="H75" i="102"/>
  <c r="P75" i="102"/>
  <c r="X75" i="102"/>
  <c r="AF75" i="102"/>
  <c r="AN75" i="102"/>
  <c r="AV75" i="102"/>
  <c r="O20" i="102"/>
  <c r="AU20" i="102"/>
  <c r="AE59" i="102"/>
  <c r="X20" i="102"/>
  <c r="H59" i="102"/>
  <c r="AN59" i="102"/>
  <c r="AE20" i="102"/>
  <c r="O59" i="102"/>
  <c r="AU59" i="102"/>
  <c r="H20" i="102"/>
  <c r="AN20" i="102"/>
  <c r="X59" i="102"/>
  <c r="H37" i="102"/>
  <c r="P37" i="102"/>
  <c r="X37" i="102"/>
  <c r="AF37" i="102"/>
  <c r="AN37" i="102"/>
  <c r="AV37" i="102"/>
  <c r="H76" i="102"/>
  <c r="P76" i="102"/>
  <c r="X76" i="102"/>
  <c r="AF76" i="102"/>
  <c r="AN76" i="102"/>
  <c r="AV76" i="102"/>
  <c r="AM4" i="92" l="1"/>
  <c r="AN4" i="92"/>
  <c r="AM5" i="92"/>
  <c r="AN5" i="92"/>
  <c r="AM6" i="92"/>
  <c r="AN6" i="92"/>
  <c r="AM7" i="92"/>
  <c r="AN7" i="92"/>
  <c r="AM8" i="92"/>
  <c r="AN8" i="92"/>
  <c r="AM9" i="92"/>
  <c r="AN9" i="92"/>
  <c r="AM10" i="92"/>
  <c r="AN10" i="92"/>
  <c r="AM11" i="92"/>
  <c r="AN11" i="92"/>
  <c r="AM12" i="92"/>
  <c r="AN12" i="92"/>
  <c r="AM13" i="92"/>
  <c r="AN13" i="92"/>
  <c r="AM14" i="92"/>
  <c r="AN14" i="92"/>
  <c r="AM15" i="92"/>
  <c r="AN15" i="92"/>
  <c r="AM16" i="92"/>
  <c r="AN16" i="92"/>
  <c r="AM17" i="92"/>
  <c r="AN17" i="92"/>
  <c r="AM18" i="92"/>
  <c r="AN18" i="92"/>
  <c r="AM19" i="92"/>
  <c r="AN19" i="92"/>
  <c r="AM20" i="92"/>
  <c r="AN20" i="92"/>
  <c r="AM21" i="92"/>
  <c r="AN21" i="92"/>
  <c r="AM22" i="92"/>
  <c r="AN22" i="92"/>
  <c r="AM23" i="92"/>
  <c r="AN23" i="92"/>
  <c r="AM24" i="92"/>
  <c r="AN24" i="92"/>
  <c r="AM25" i="92"/>
  <c r="AN25" i="92"/>
  <c r="AM26" i="92"/>
  <c r="AN26" i="92"/>
  <c r="AM27" i="92"/>
  <c r="AN27" i="92"/>
  <c r="AM28" i="92"/>
  <c r="AN28" i="92"/>
  <c r="AM29" i="92"/>
  <c r="AN29" i="92"/>
  <c r="AM30" i="92"/>
  <c r="AN30" i="92"/>
  <c r="AM31" i="92"/>
  <c r="AN31" i="92"/>
  <c r="AM32" i="92"/>
  <c r="AN32" i="92"/>
  <c r="AM33" i="92"/>
  <c r="AN33" i="92"/>
  <c r="AM34" i="92"/>
  <c r="AN34" i="92"/>
  <c r="AM35" i="92"/>
  <c r="AN35" i="92"/>
  <c r="AM36" i="92"/>
  <c r="AN36" i="92"/>
  <c r="Q4" i="92"/>
  <c r="R4" i="92"/>
  <c r="Q5" i="92"/>
  <c r="R5" i="92"/>
  <c r="Q6" i="92"/>
  <c r="R6" i="92"/>
  <c r="Q7" i="92"/>
  <c r="R7" i="92"/>
  <c r="Q8" i="92"/>
  <c r="R8" i="92"/>
  <c r="Q9" i="92"/>
  <c r="R9" i="92"/>
  <c r="Q10" i="92"/>
  <c r="R10" i="92"/>
  <c r="Q11" i="92"/>
  <c r="R11" i="92"/>
  <c r="Q12" i="92"/>
  <c r="R12" i="92"/>
  <c r="Q13" i="92"/>
  <c r="R13" i="92"/>
  <c r="Q14" i="92"/>
  <c r="R14" i="92"/>
  <c r="Q15" i="92"/>
  <c r="R15" i="92"/>
  <c r="Q16" i="92"/>
  <c r="R16" i="92"/>
  <c r="Q17" i="92"/>
  <c r="R17" i="92"/>
  <c r="Q18" i="92"/>
  <c r="R18" i="92"/>
  <c r="Q19" i="92"/>
  <c r="R19" i="92"/>
  <c r="Q20" i="92"/>
  <c r="R20" i="92"/>
  <c r="Q21" i="92"/>
  <c r="R21" i="92"/>
  <c r="Q22" i="92"/>
  <c r="R22" i="92"/>
  <c r="Q23" i="92"/>
  <c r="R23" i="92"/>
  <c r="Q24" i="92"/>
  <c r="R24" i="92"/>
  <c r="Q25" i="92"/>
  <c r="R25" i="92"/>
  <c r="Q26" i="92"/>
  <c r="R26" i="92"/>
  <c r="Q27" i="92"/>
  <c r="R27" i="92"/>
  <c r="Q28" i="92"/>
  <c r="R28" i="92"/>
  <c r="Q29" i="92"/>
  <c r="R29" i="92"/>
  <c r="Q30" i="92"/>
  <c r="R30" i="92"/>
  <c r="Q31" i="92"/>
  <c r="R31" i="92"/>
  <c r="Q32" i="92"/>
  <c r="R32" i="92"/>
  <c r="Q33" i="92"/>
  <c r="R33" i="92"/>
  <c r="Q34" i="92"/>
  <c r="R34" i="92"/>
  <c r="Q35" i="92"/>
  <c r="R35" i="92"/>
  <c r="Q36" i="92"/>
  <c r="R36" i="92"/>
  <c r="Q39" i="92" l="1"/>
  <c r="Q38" i="92"/>
  <c r="Q40" i="92" s="1"/>
  <c r="AM39" i="92"/>
  <c r="AM38" i="92"/>
  <c r="AM40" i="92" s="1"/>
  <c r="R39" i="92"/>
  <c r="R38" i="92"/>
  <c r="R40" i="92" s="1"/>
  <c r="AN39" i="92"/>
  <c r="AN38" i="92"/>
  <c r="AN40" i="92" s="1"/>
  <c r="E363" i="67" l="1"/>
  <c r="E362" i="67"/>
  <c r="E361" i="67"/>
  <c r="E360" i="67"/>
  <c r="E359" i="67"/>
  <c r="E358" i="67"/>
  <c r="E357" i="67"/>
  <c r="E356" i="67"/>
  <c r="E355" i="67"/>
  <c r="E354" i="67"/>
  <c r="E353" i="67"/>
  <c r="D114" i="124" l="1"/>
  <c r="D113" i="124"/>
  <c r="D111" i="124"/>
  <c r="D110" i="124"/>
  <c r="D107" i="124"/>
  <c r="D104" i="124"/>
  <c r="D103" i="124"/>
  <c r="D101" i="124"/>
  <c r="D98" i="124"/>
  <c r="D97" i="124"/>
  <c r="D96" i="124"/>
  <c r="D94" i="124"/>
  <c r="D93" i="124"/>
  <c r="D89" i="124"/>
  <c r="D88" i="124"/>
  <c r="D87" i="124"/>
  <c r="D86" i="124"/>
  <c r="D85" i="124"/>
  <c r="D84" i="124"/>
  <c r="D83" i="124"/>
  <c r="D76" i="124" l="1"/>
  <c r="D75" i="124"/>
  <c r="D73" i="124"/>
  <c r="D72" i="124"/>
  <c r="D69" i="124"/>
  <c r="D66" i="124"/>
  <c r="D65" i="124"/>
  <c r="D63" i="124"/>
  <c r="D60" i="124"/>
  <c r="D59" i="124"/>
  <c r="D58" i="124"/>
  <c r="D56" i="124"/>
  <c r="D55" i="124"/>
  <c r="D51" i="124"/>
  <c r="D50" i="124"/>
  <c r="D49" i="124"/>
  <c r="D48" i="124"/>
  <c r="D47" i="124"/>
  <c r="D46" i="124"/>
  <c r="D45" i="124"/>
  <c r="I113" i="124" l="1"/>
  <c r="I110" i="124"/>
  <c r="I109" i="124"/>
  <c r="I107" i="124"/>
  <c r="I105" i="124"/>
  <c r="I100" i="124"/>
  <c r="I99" i="124"/>
  <c r="I98" i="124"/>
  <c r="I97" i="124"/>
  <c r="I96" i="124"/>
  <c r="I94" i="124"/>
  <c r="I92" i="124"/>
  <c r="I91" i="124"/>
  <c r="I90" i="124"/>
  <c r="I87" i="124"/>
  <c r="I85" i="124"/>
  <c r="I84" i="124"/>
  <c r="I83" i="124"/>
  <c r="I89" i="124"/>
  <c r="I88" i="124"/>
  <c r="I101" i="124"/>
  <c r="I86" i="124"/>
  <c r="I95" i="124"/>
  <c r="I102" i="124"/>
  <c r="I103" i="124"/>
  <c r="I104" i="124"/>
  <c r="I108" i="124"/>
  <c r="I111" i="124"/>
  <c r="I112" i="124"/>
  <c r="I114" i="124"/>
  <c r="F83" i="124"/>
  <c r="F84" i="124"/>
  <c r="F85" i="124"/>
  <c r="F86" i="124"/>
  <c r="F87" i="124"/>
  <c r="F88" i="124"/>
  <c r="F89" i="124"/>
  <c r="F90" i="124"/>
  <c r="F91" i="124"/>
  <c r="F92" i="124"/>
  <c r="F93" i="124"/>
  <c r="F94" i="124"/>
  <c r="F95" i="124"/>
  <c r="F96" i="124"/>
  <c r="F97" i="124"/>
  <c r="F98" i="124"/>
  <c r="F99" i="124"/>
  <c r="F100" i="124"/>
  <c r="F101" i="124"/>
  <c r="F102" i="124"/>
  <c r="F103" i="124"/>
  <c r="F104" i="124"/>
  <c r="F105" i="124"/>
  <c r="F106" i="124"/>
  <c r="F107" i="124"/>
  <c r="F108" i="124"/>
  <c r="F109" i="124"/>
  <c r="F110" i="124"/>
  <c r="F111" i="124"/>
  <c r="F112" i="124"/>
  <c r="F113" i="124"/>
  <c r="F114" i="124"/>
  <c r="F45" i="124"/>
  <c r="F46" i="124"/>
  <c r="F47" i="124"/>
  <c r="F48" i="124"/>
  <c r="F49" i="124"/>
  <c r="F50" i="124"/>
  <c r="F51" i="124"/>
  <c r="F52" i="124"/>
  <c r="F53" i="124"/>
  <c r="F54" i="124"/>
  <c r="F55" i="124"/>
  <c r="F56" i="124"/>
  <c r="F57" i="124"/>
  <c r="F58" i="124"/>
  <c r="F59" i="124"/>
  <c r="F60" i="124"/>
  <c r="F61" i="124"/>
  <c r="F62" i="124"/>
  <c r="F63" i="124"/>
  <c r="F64" i="124"/>
  <c r="F65" i="124"/>
  <c r="F66" i="124"/>
  <c r="F67" i="124"/>
  <c r="F68" i="124"/>
  <c r="F69" i="124"/>
  <c r="F70" i="124"/>
  <c r="F71" i="124"/>
  <c r="F72" i="124"/>
  <c r="F73" i="124"/>
  <c r="F74" i="124"/>
  <c r="F75" i="124"/>
  <c r="F76" i="124"/>
  <c r="F44" i="124"/>
  <c r="N15" i="124" l="1"/>
  <c r="M15" i="124"/>
  <c r="N35" i="124"/>
  <c r="M35" i="124"/>
  <c r="M6" i="124"/>
  <c r="N6" i="124"/>
  <c r="M10" i="124"/>
  <c r="N10" i="124"/>
  <c r="M14" i="124"/>
  <c r="N14" i="124"/>
  <c r="M18" i="124"/>
  <c r="N18" i="124"/>
  <c r="M22" i="124"/>
  <c r="N22" i="124"/>
  <c r="M26" i="124"/>
  <c r="N26" i="124"/>
  <c r="M30" i="124"/>
  <c r="N30" i="124"/>
  <c r="M34" i="124"/>
  <c r="N34" i="124"/>
  <c r="N7" i="124"/>
  <c r="M7" i="124"/>
  <c r="N19" i="124"/>
  <c r="M19" i="124"/>
  <c r="N27" i="124"/>
  <c r="M27" i="124"/>
  <c r="M8" i="124"/>
  <c r="N8" i="124"/>
  <c r="M12" i="124"/>
  <c r="N12" i="124"/>
  <c r="M20" i="124"/>
  <c r="N20" i="124"/>
  <c r="M24" i="124"/>
  <c r="N24" i="124"/>
  <c r="M28" i="124"/>
  <c r="N28" i="124"/>
  <c r="M32" i="124"/>
  <c r="N32" i="124"/>
  <c r="M36" i="124"/>
  <c r="N36" i="124"/>
  <c r="N11" i="124"/>
  <c r="M11" i="124"/>
  <c r="N23" i="124"/>
  <c r="M23" i="124"/>
  <c r="N31" i="124"/>
  <c r="M31" i="124"/>
  <c r="N9" i="124"/>
  <c r="M9" i="124"/>
  <c r="N13" i="124"/>
  <c r="M13" i="124"/>
  <c r="N17" i="124"/>
  <c r="M17" i="124"/>
  <c r="N21" i="124"/>
  <c r="M21" i="124"/>
  <c r="N33" i="124"/>
  <c r="M33" i="124"/>
  <c r="N37" i="124"/>
  <c r="M37" i="124"/>
  <c r="K7" i="124"/>
  <c r="J7" i="124"/>
  <c r="K23" i="124"/>
  <c r="J23" i="124"/>
  <c r="K35" i="124"/>
  <c r="J35" i="124"/>
  <c r="K8" i="124"/>
  <c r="J8" i="124"/>
  <c r="J17" i="124"/>
  <c r="K17" i="124"/>
  <c r="J10" i="124"/>
  <c r="K10" i="124"/>
  <c r="J14" i="124"/>
  <c r="K14" i="124"/>
  <c r="J22" i="124"/>
  <c r="K22" i="124"/>
  <c r="J26" i="124"/>
  <c r="K26" i="124"/>
  <c r="J30" i="124"/>
  <c r="K30" i="124"/>
  <c r="J34" i="124"/>
  <c r="K34" i="124"/>
  <c r="K15" i="124"/>
  <c r="J15" i="124"/>
  <c r="K19" i="124"/>
  <c r="J19" i="124"/>
  <c r="K31" i="124"/>
  <c r="J31" i="124"/>
  <c r="K12" i="124"/>
  <c r="J12" i="124"/>
  <c r="K20" i="124"/>
  <c r="J20" i="124"/>
  <c r="K24" i="124"/>
  <c r="J24" i="124"/>
  <c r="K28" i="124"/>
  <c r="J28" i="124"/>
  <c r="K32" i="124"/>
  <c r="J32" i="124"/>
  <c r="K36" i="124"/>
  <c r="J36" i="124"/>
  <c r="J9" i="124"/>
  <c r="K9" i="124"/>
  <c r="J13" i="124"/>
  <c r="K13" i="124"/>
  <c r="K21" i="124"/>
  <c r="J21" i="124"/>
  <c r="J33" i="124"/>
  <c r="K33" i="124"/>
  <c r="K37" i="124"/>
  <c r="J37" i="124"/>
  <c r="K11" i="124" l="1"/>
  <c r="J11" i="124"/>
  <c r="L114" i="124" l="1"/>
  <c r="L113" i="124"/>
  <c r="L112" i="124"/>
  <c r="L111" i="124"/>
  <c r="L110" i="124"/>
  <c r="L109" i="124"/>
  <c r="L108" i="124"/>
  <c r="L107" i="124"/>
  <c r="L105" i="124"/>
  <c r="L104" i="124"/>
  <c r="L103" i="124"/>
  <c r="L102" i="124"/>
  <c r="L101" i="124"/>
  <c r="L100" i="124"/>
  <c r="L99" i="124"/>
  <c r="L98" i="124"/>
  <c r="L97" i="124"/>
  <c r="L96" i="124"/>
  <c r="L95" i="124"/>
  <c r="L94" i="124"/>
  <c r="L92" i="124"/>
  <c r="L91" i="124"/>
  <c r="L90" i="124"/>
  <c r="L89" i="124"/>
  <c r="L88" i="124"/>
  <c r="L87" i="124"/>
  <c r="L86" i="124"/>
  <c r="L85" i="124"/>
  <c r="L84" i="124"/>
  <c r="L83" i="124"/>
  <c r="H114" i="124"/>
  <c r="J114" i="124" s="1"/>
  <c r="K114" i="124" s="1"/>
  <c r="H113" i="124"/>
  <c r="J113" i="124" s="1"/>
  <c r="K113" i="124" s="1"/>
  <c r="H112" i="124"/>
  <c r="J112" i="124" s="1"/>
  <c r="K112" i="124" s="1"/>
  <c r="H111" i="124"/>
  <c r="J111" i="124" s="1"/>
  <c r="K111" i="124" s="1"/>
  <c r="H110" i="124"/>
  <c r="J110" i="124" s="1"/>
  <c r="K110" i="124" s="1"/>
  <c r="H109" i="124"/>
  <c r="J109" i="124" s="1"/>
  <c r="K109" i="124" s="1"/>
  <c r="H108" i="124"/>
  <c r="J108" i="124" s="1"/>
  <c r="K108" i="124" s="1"/>
  <c r="H107" i="124"/>
  <c r="J107" i="124" s="1"/>
  <c r="K107" i="124" s="1"/>
  <c r="H106" i="124"/>
  <c r="H105" i="124"/>
  <c r="J105" i="124" s="1"/>
  <c r="K105" i="124" s="1"/>
  <c r="H104" i="124"/>
  <c r="J104" i="124" s="1"/>
  <c r="K104" i="124" s="1"/>
  <c r="H103" i="124"/>
  <c r="J103" i="124" s="1"/>
  <c r="K103" i="124" s="1"/>
  <c r="H102" i="124"/>
  <c r="J102" i="124" s="1"/>
  <c r="K102" i="124" s="1"/>
  <c r="H101" i="124"/>
  <c r="J101" i="124" s="1"/>
  <c r="K101" i="124" s="1"/>
  <c r="H100" i="124"/>
  <c r="J100" i="124" s="1"/>
  <c r="K100" i="124" s="1"/>
  <c r="H99" i="124"/>
  <c r="J99" i="124" s="1"/>
  <c r="K99" i="124" s="1"/>
  <c r="H98" i="124"/>
  <c r="J98" i="124" s="1"/>
  <c r="K98" i="124" s="1"/>
  <c r="H97" i="124"/>
  <c r="J97" i="124" s="1"/>
  <c r="K97" i="124" s="1"/>
  <c r="H96" i="124"/>
  <c r="J96" i="124" s="1"/>
  <c r="K96" i="124" s="1"/>
  <c r="H95" i="124"/>
  <c r="J95" i="124" s="1"/>
  <c r="K95" i="124" s="1"/>
  <c r="H94" i="124"/>
  <c r="J94" i="124" s="1"/>
  <c r="K94" i="124" s="1"/>
  <c r="H92" i="124"/>
  <c r="J92" i="124" s="1"/>
  <c r="K92" i="124" s="1"/>
  <c r="H91" i="124"/>
  <c r="J91" i="124" s="1"/>
  <c r="K91" i="124" s="1"/>
  <c r="H90" i="124"/>
  <c r="J90" i="124" s="1"/>
  <c r="K90" i="124" s="1"/>
  <c r="H89" i="124"/>
  <c r="J89" i="124" s="1"/>
  <c r="K89" i="124" s="1"/>
  <c r="H88" i="124"/>
  <c r="J88" i="124" s="1"/>
  <c r="K88" i="124" s="1"/>
  <c r="H87" i="124"/>
  <c r="J87" i="124" s="1"/>
  <c r="K87" i="124" s="1"/>
  <c r="H86" i="124"/>
  <c r="J86" i="124" s="1"/>
  <c r="K86" i="124" s="1"/>
  <c r="H85" i="124"/>
  <c r="J85" i="124" s="1"/>
  <c r="K85" i="124" s="1"/>
  <c r="H84" i="124"/>
  <c r="J84" i="124" s="1"/>
  <c r="K84" i="124" s="1"/>
  <c r="H83" i="124"/>
  <c r="J83" i="124" s="1"/>
  <c r="K83" i="124" s="1"/>
  <c r="I93" i="124" l="1"/>
  <c r="L93" i="124"/>
  <c r="H93" i="124"/>
  <c r="J93" i="124" s="1"/>
  <c r="K93" i="124" s="1"/>
  <c r="M16" i="124" l="1"/>
  <c r="N16" i="124"/>
  <c r="K16" i="124"/>
  <c r="J16" i="124"/>
  <c r="K27" i="124" l="1"/>
  <c r="J27" i="124"/>
  <c r="L76" i="124" l="1"/>
  <c r="L75" i="124"/>
  <c r="L74" i="124"/>
  <c r="L73" i="124"/>
  <c r="L72" i="124"/>
  <c r="L71" i="124"/>
  <c r="L70" i="124"/>
  <c r="L69" i="124"/>
  <c r="L67" i="124"/>
  <c r="L66" i="124"/>
  <c r="L65" i="124"/>
  <c r="L64" i="124"/>
  <c r="L63" i="124"/>
  <c r="L62" i="124"/>
  <c r="L61" i="124"/>
  <c r="L60" i="124"/>
  <c r="L59" i="124"/>
  <c r="L58" i="124"/>
  <c r="L57" i="124"/>
  <c r="L56" i="124"/>
  <c r="L55" i="124"/>
  <c r="L54" i="124"/>
  <c r="L53" i="124"/>
  <c r="L52" i="124"/>
  <c r="L51" i="124"/>
  <c r="L50" i="124"/>
  <c r="L49" i="124"/>
  <c r="L48" i="124"/>
  <c r="L47" i="124"/>
  <c r="L46" i="124"/>
  <c r="L45" i="124"/>
  <c r="I76" i="124"/>
  <c r="I75" i="124"/>
  <c r="I74" i="124"/>
  <c r="I73" i="124"/>
  <c r="I72" i="124"/>
  <c r="I71" i="124"/>
  <c r="I70" i="124"/>
  <c r="I69" i="124"/>
  <c r="I67" i="124"/>
  <c r="I66" i="124"/>
  <c r="I65" i="124"/>
  <c r="I64" i="124"/>
  <c r="I63" i="124"/>
  <c r="I62" i="124"/>
  <c r="I61" i="124"/>
  <c r="I60" i="124"/>
  <c r="I59" i="124"/>
  <c r="I58" i="124"/>
  <c r="I57" i="124"/>
  <c r="I56" i="124"/>
  <c r="I55" i="124"/>
  <c r="I54" i="124"/>
  <c r="I53" i="124"/>
  <c r="I52" i="124"/>
  <c r="I51" i="124"/>
  <c r="I50" i="124"/>
  <c r="I49" i="124"/>
  <c r="I48" i="124"/>
  <c r="I47" i="124"/>
  <c r="I46" i="124"/>
  <c r="I45" i="124"/>
  <c r="H76" i="124"/>
  <c r="J76" i="124" s="1"/>
  <c r="K76" i="124" s="1"/>
  <c r="H75" i="124"/>
  <c r="J75" i="124" s="1"/>
  <c r="K75" i="124" s="1"/>
  <c r="H74" i="124"/>
  <c r="J74" i="124" s="1"/>
  <c r="K74" i="124" s="1"/>
  <c r="H73" i="124"/>
  <c r="J73" i="124" s="1"/>
  <c r="K73" i="124" s="1"/>
  <c r="H72" i="124"/>
  <c r="J72" i="124" s="1"/>
  <c r="K72" i="124" s="1"/>
  <c r="H71" i="124"/>
  <c r="J71" i="124" s="1"/>
  <c r="K71" i="124" s="1"/>
  <c r="H70" i="124"/>
  <c r="J70" i="124" s="1"/>
  <c r="K70" i="124" s="1"/>
  <c r="H69" i="124"/>
  <c r="H67" i="124"/>
  <c r="J67" i="124" s="1"/>
  <c r="K67" i="124" s="1"/>
  <c r="H66" i="124"/>
  <c r="J66" i="124" s="1"/>
  <c r="K66" i="124" s="1"/>
  <c r="H65" i="124"/>
  <c r="H63" i="124"/>
  <c r="J63" i="124" s="1"/>
  <c r="K63" i="124" s="1"/>
  <c r="H62" i="124"/>
  <c r="J62" i="124" s="1"/>
  <c r="K62" i="124" s="1"/>
  <c r="H61" i="124"/>
  <c r="J61" i="124" s="1"/>
  <c r="K61" i="124" s="1"/>
  <c r="H60" i="124"/>
  <c r="J60" i="124" s="1"/>
  <c r="K60" i="124" s="1"/>
  <c r="H59" i="124"/>
  <c r="J59" i="124" s="1"/>
  <c r="K59" i="124" s="1"/>
  <c r="H58" i="124"/>
  <c r="J58" i="124" s="1"/>
  <c r="K58" i="124" s="1"/>
  <c r="H56" i="124"/>
  <c r="J56" i="124" s="1"/>
  <c r="K56" i="124" s="1"/>
  <c r="H55" i="124"/>
  <c r="H54" i="124"/>
  <c r="J54" i="124" s="1"/>
  <c r="K54" i="124" s="1"/>
  <c r="H53" i="124"/>
  <c r="J53" i="124" s="1"/>
  <c r="K53" i="124" s="1"/>
  <c r="H52" i="124"/>
  <c r="J52" i="124" s="1"/>
  <c r="K52" i="124" s="1"/>
  <c r="H51" i="124"/>
  <c r="H50" i="124"/>
  <c r="J50" i="124" s="1"/>
  <c r="K50" i="124" s="1"/>
  <c r="H49" i="124"/>
  <c r="J49" i="124" s="1"/>
  <c r="K49" i="124" s="1"/>
  <c r="H48" i="124"/>
  <c r="J48" i="124" s="1"/>
  <c r="K48" i="124" s="1"/>
  <c r="H47" i="124"/>
  <c r="H46" i="124"/>
  <c r="J46" i="124" s="1"/>
  <c r="K46" i="124" s="1"/>
  <c r="H45" i="124"/>
  <c r="J45" i="124" s="1"/>
  <c r="K45" i="124" s="1"/>
  <c r="C76" i="124"/>
  <c r="C75" i="124"/>
  <c r="C74" i="124"/>
  <c r="C73" i="124"/>
  <c r="C72" i="124"/>
  <c r="C71" i="124"/>
  <c r="C70" i="124"/>
  <c r="C69" i="124"/>
  <c r="C68" i="124"/>
  <c r="C67" i="124"/>
  <c r="C66" i="124"/>
  <c r="C65" i="124"/>
  <c r="C64" i="124"/>
  <c r="C63" i="124"/>
  <c r="C62" i="124"/>
  <c r="C61" i="124"/>
  <c r="C60" i="124"/>
  <c r="C59" i="124"/>
  <c r="C58" i="124"/>
  <c r="C57" i="124"/>
  <c r="C56" i="124"/>
  <c r="C55" i="124"/>
  <c r="C54" i="124"/>
  <c r="C53" i="124"/>
  <c r="C52" i="124"/>
  <c r="C51" i="124"/>
  <c r="C50" i="124"/>
  <c r="C49" i="124"/>
  <c r="C48" i="124"/>
  <c r="C47" i="124"/>
  <c r="C46" i="124"/>
  <c r="C45" i="124"/>
  <c r="J69" i="124" l="1"/>
  <c r="K69" i="124" s="1"/>
  <c r="M69" i="124" s="1"/>
  <c r="C107" i="124" s="1"/>
  <c r="M107" i="124" s="1"/>
  <c r="J55" i="124"/>
  <c r="K55" i="124" s="1"/>
  <c r="M55" i="124" s="1"/>
  <c r="C93" i="124" s="1"/>
  <c r="M93" i="124" s="1"/>
  <c r="J65" i="124"/>
  <c r="K65" i="124" s="1"/>
  <c r="M65" i="124" s="1"/>
  <c r="C103" i="124" s="1"/>
  <c r="M103" i="124" s="1"/>
  <c r="J51" i="124"/>
  <c r="K51" i="124" s="1"/>
  <c r="M51" i="124" s="1"/>
  <c r="C89" i="124" s="1"/>
  <c r="M89" i="124" s="1"/>
  <c r="J47" i="124"/>
  <c r="K47" i="124" s="1"/>
  <c r="M47" i="124" s="1"/>
  <c r="C85" i="124" s="1"/>
  <c r="M85" i="124" s="1"/>
  <c r="M70" i="124"/>
  <c r="C108" i="124" s="1"/>
  <c r="M108" i="124" s="1"/>
  <c r="M58" i="124"/>
  <c r="C96" i="124" s="1"/>
  <c r="M96" i="124" s="1"/>
  <c r="M54" i="124"/>
  <c r="C92" i="124" s="1"/>
  <c r="M92" i="124" s="1"/>
  <c r="M50" i="124"/>
  <c r="C88" i="124" s="1"/>
  <c r="M88" i="124" s="1"/>
  <c r="M66" i="124"/>
  <c r="C104" i="124" s="1"/>
  <c r="M104" i="124" s="1"/>
  <c r="M61" i="124"/>
  <c r="C99" i="124" s="1"/>
  <c r="M99" i="124" s="1"/>
  <c r="M46" i="124"/>
  <c r="C84" i="124" s="1"/>
  <c r="M84" i="124" s="1"/>
  <c r="M52" i="124"/>
  <c r="C90" i="124" s="1"/>
  <c r="M90" i="124" s="1"/>
  <c r="M72" i="124"/>
  <c r="C110" i="124" s="1"/>
  <c r="M110" i="124" s="1"/>
  <c r="M45" i="124"/>
  <c r="C83" i="124" s="1"/>
  <c r="M83" i="124" s="1"/>
  <c r="M49" i="124"/>
  <c r="C87" i="124" s="1"/>
  <c r="M87" i="124" s="1"/>
  <c r="M53" i="124"/>
  <c r="C91" i="124" s="1"/>
  <c r="M91" i="124" s="1"/>
  <c r="M73" i="124"/>
  <c r="C111" i="124" s="1"/>
  <c r="M111" i="124" s="1"/>
  <c r="M59" i="124"/>
  <c r="C97" i="124" s="1"/>
  <c r="M97" i="124" s="1"/>
  <c r="M63" i="124"/>
  <c r="C101" i="124" s="1"/>
  <c r="M101" i="124" s="1"/>
  <c r="M67" i="124"/>
  <c r="C105" i="124" s="1"/>
  <c r="M105" i="124" s="1"/>
  <c r="M71" i="124"/>
  <c r="C109" i="124" s="1"/>
  <c r="M109" i="124" s="1"/>
  <c r="M74" i="124"/>
  <c r="C112" i="124" s="1"/>
  <c r="M112" i="124" s="1"/>
  <c r="M48" i="124"/>
  <c r="C86" i="124" s="1"/>
  <c r="M86" i="124" s="1"/>
  <c r="M56" i="124"/>
  <c r="C94" i="124" s="1"/>
  <c r="M94" i="124" s="1"/>
  <c r="M76" i="124"/>
  <c r="C114" i="124" s="1"/>
  <c r="M114" i="124" s="1"/>
  <c r="M75" i="124"/>
  <c r="C113" i="124" s="1"/>
  <c r="M113" i="124" s="1"/>
  <c r="M62" i="124"/>
  <c r="C100" i="124" s="1"/>
  <c r="M100" i="124" s="1"/>
  <c r="M60" i="124"/>
  <c r="C98" i="124" s="1"/>
  <c r="M98" i="124" s="1"/>
  <c r="L68" i="124" l="1"/>
  <c r="I106" i="124"/>
  <c r="J106" i="124" s="1"/>
  <c r="K106" i="124" s="1"/>
  <c r="H68" i="124"/>
  <c r="J68" i="124" s="1"/>
  <c r="K68" i="124" s="1"/>
  <c r="L106" i="124"/>
  <c r="I68" i="124"/>
  <c r="N29" i="124" l="1"/>
  <c r="M29" i="124"/>
  <c r="K29" i="124"/>
  <c r="J29" i="124"/>
  <c r="M68" i="124" l="1"/>
  <c r="C106" i="124" s="1"/>
  <c r="M106" i="124" l="1"/>
  <c r="H64" i="124" l="1"/>
  <c r="J64" i="124" s="1"/>
  <c r="K64" i="124" s="1"/>
  <c r="J25" i="124" l="1"/>
  <c r="K25" i="124"/>
  <c r="N25" i="124"/>
  <c r="M25" i="124"/>
  <c r="M64" i="124" l="1"/>
  <c r="C102" i="124" s="1"/>
  <c r="M102" i="124" l="1"/>
  <c r="E347" i="67" l="1"/>
  <c r="E320" i="67"/>
  <c r="E319" i="67"/>
  <c r="E318" i="67"/>
  <c r="E317" i="67"/>
  <c r="E316" i="67"/>
  <c r="E315" i="67"/>
  <c r="E314" i="67"/>
  <c r="E313" i="67"/>
  <c r="E312" i="67"/>
  <c r="E311" i="67"/>
  <c r="E302" i="67"/>
  <c r="E301" i="67"/>
  <c r="E300" i="67"/>
  <c r="E299" i="67"/>
  <c r="E298" i="67"/>
  <c r="E297" i="67"/>
  <c r="E296" i="67"/>
  <c r="E295" i="67"/>
  <c r="E294" i="67"/>
  <c r="E293" i="67"/>
  <c r="E292" i="67"/>
  <c r="E291" i="67"/>
  <c r="E290" i="67"/>
  <c r="E289" i="67"/>
  <c r="E288" i="67"/>
  <c r="E287" i="67"/>
  <c r="E286" i="67"/>
  <c r="E276" i="67"/>
  <c r="E275" i="67"/>
  <c r="E274" i="67"/>
  <c r="E273" i="67"/>
  <c r="E272" i="67"/>
  <c r="E271" i="67"/>
  <c r="E270" i="67"/>
  <c r="E269" i="67"/>
  <c r="E268" i="67"/>
  <c r="E267" i="67"/>
  <c r="E257" i="67"/>
  <c r="E254" i="67"/>
  <c r="E253" i="67"/>
  <c r="E252" i="67"/>
  <c r="E251" i="67"/>
  <c r="E250" i="67"/>
  <c r="E247" i="67"/>
  <c r="E246" i="67"/>
  <c r="E245" i="67"/>
  <c r="E241" i="67"/>
  <c r="E240" i="67"/>
  <c r="E230" i="67"/>
  <c r="E229" i="67"/>
  <c r="E228" i="67"/>
  <c r="E227" i="67"/>
  <c r="E226" i="67"/>
  <c r="E214" i="67"/>
  <c r="E180" i="67"/>
  <c r="E179" i="67"/>
  <c r="E172" i="67"/>
  <c r="E171" i="67"/>
  <c r="E168" i="67"/>
  <c r="E167" i="67"/>
  <c r="E150" i="67"/>
  <c r="E135" i="67"/>
  <c r="E125" i="67"/>
  <c r="E115" i="67"/>
  <c r="E106" i="67"/>
  <c r="E105" i="67"/>
  <c r="E102" i="67"/>
  <c r="E100" i="67"/>
  <c r="E98" i="67"/>
  <c r="E97" i="67"/>
  <c r="E96" i="67"/>
  <c r="E77" i="67"/>
  <c r="E61" i="67"/>
  <c r="E60" i="67"/>
  <c r="E58" i="67"/>
  <c r="E54" i="67"/>
  <c r="E53" i="67"/>
  <c r="E52" i="67"/>
  <c r="E49" i="67"/>
  <c r="E44" i="67"/>
  <c r="E43" i="67"/>
  <c r="E38" i="67"/>
  <c r="E37" i="67"/>
  <c r="E35" i="67"/>
  <c r="E33" i="67"/>
  <c r="E32" i="67"/>
  <c r="E30" i="67"/>
  <c r="E29" i="67"/>
  <c r="E28" i="67"/>
  <c r="E47" i="67" l="1"/>
  <c r="E75" i="67"/>
  <c r="E81" i="67"/>
  <c r="E85" i="67"/>
  <c r="E31" i="67"/>
  <c r="E45" i="67"/>
  <c r="E73" i="67"/>
  <c r="E83" i="67"/>
  <c r="E87" i="67"/>
  <c r="E103" i="67"/>
  <c r="E112" i="67"/>
  <c r="E120" i="67"/>
  <c r="E123" i="67"/>
  <c r="E139" i="67"/>
  <c r="E142" i="67"/>
  <c r="E159" i="67"/>
  <c r="E161" i="67"/>
  <c r="E163" i="67"/>
  <c r="E176" i="67"/>
  <c r="E184" i="67"/>
  <c r="E200" i="67"/>
  <c r="E212" i="67"/>
  <c r="H57" i="124"/>
  <c r="J57" i="124" s="1"/>
  <c r="K57" i="124" s="1"/>
  <c r="F44" i="67"/>
  <c r="E46" i="67"/>
  <c r="E72" i="67"/>
  <c r="E76" i="67"/>
  <c r="E82" i="67"/>
  <c r="E86" i="67"/>
  <c r="E99" i="67"/>
  <c r="E111" i="67"/>
  <c r="E119" i="67"/>
  <c r="E129" i="67"/>
  <c r="E132" i="67"/>
  <c r="E134" i="67"/>
  <c r="E141" i="67"/>
  <c r="E148" i="67"/>
  <c r="E169" i="67"/>
  <c r="E183" i="67"/>
  <c r="E186" i="67"/>
  <c r="E189" i="67"/>
  <c r="E199" i="67"/>
  <c r="E204" i="67"/>
  <c r="E207" i="67"/>
  <c r="E211" i="67"/>
  <c r="E217" i="67"/>
  <c r="E57" i="67"/>
  <c r="E59" i="67"/>
  <c r="E110" i="67"/>
  <c r="E122" i="67"/>
  <c r="E131" i="67"/>
  <c r="E138" i="67"/>
  <c r="E143" i="67"/>
  <c r="E162" i="67"/>
  <c r="E166" i="67"/>
  <c r="E178" i="67"/>
  <c r="E242" i="67"/>
  <c r="E277" i="67"/>
  <c r="F43" i="67"/>
  <c r="E71" i="67"/>
  <c r="E104" i="67"/>
  <c r="E114" i="67"/>
  <c r="E118" i="67"/>
  <c r="E124" i="67"/>
  <c r="E140" i="67"/>
  <c r="E147" i="67"/>
  <c r="E160" i="67"/>
  <c r="E175" i="67"/>
  <c r="E188" i="67"/>
  <c r="E206" i="67"/>
  <c r="E231" i="67"/>
  <c r="E34" i="67"/>
  <c r="E36" i="67"/>
  <c r="E48" i="67"/>
  <c r="E74" i="67"/>
  <c r="E80" i="67"/>
  <c r="E84" i="67"/>
  <c r="E88" i="67"/>
  <c r="E101" i="67"/>
  <c r="E113" i="67"/>
  <c r="E121" i="67"/>
  <c r="E128" i="67"/>
  <c r="E130" i="67"/>
  <c r="E133" i="67"/>
  <c r="E146" i="67"/>
  <c r="E149" i="67"/>
  <c r="E177" i="67"/>
  <c r="E185" i="67"/>
  <c r="E187" i="67"/>
  <c r="E190" i="67"/>
  <c r="E201" i="67"/>
  <c r="E205" i="67"/>
  <c r="E210" i="67"/>
  <c r="E213" i="67"/>
  <c r="E218" i="67"/>
  <c r="E256" i="67"/>
  <c r="C5" i="124" l="1"/>
  <c r="J18" i="124"/>
  <c r="K18" i="124"/>
  <c r="J5" i="124" l="1"/>
  <c r="K5" i="124"/>
  <c r="M57" i="124" l="1"/>
  <c r="C95" i="124" s="1"/>
  <c r="M95" i="124" s="1"/>
  <c r="B299" i="121" l="1"/>
  <c r="B300" i="121"/>
  <c r="B301" i="121"/>
  <c r="B302" i="121"/>
  <c r="B303" i="121"/>
  <c r="B304" i="121"/>
  <c r="B305" i="121"/>
  <c r="B306" i="121"/>
  <c r="B307" i="121" l="1"/>
  <c r="B225" i="121"/>
  <c r="B224" i="121"/>
  <c r="B223" i="121"/>
  <c r="B222" i="121"/>
  <c r="B221" i="121"/>
  <c r="B220" i="121"/>
  <c r="B219" i="121"/>
  <c r="B218" i="121"/>
  <c r="B217" i="121"/>
  <c r="H77" i="121"/>
  <c r="H73" i="121"/>
  <c r="H71" i="121"/>
  <c r="H70" i="121"/>
  <c r="H67" i="121"/>
  <c r="H65" i="121"/>
  <c r="H61" i="121"/>
  <c r="H60" i="121"/>
  <c r="H57" i="121"/>
  <c r="H55" i="121"/>
  <c r="H52" i="121"/>
  <c r="H74" i="121"/>
  <c r="H56" i="121"/>
  <c r="H54" i="121"/>
  <c r="I77" i="121"/>
  <c r="I74" i="121"/>
  <c r="I73" i="121"/>
  <c r="I67" i="121"/>
  <c r="I65" i="121"/>
  <c r="I64" i="121"/>
  <c r="I61" i="121"/>
  <c r="I60" i="121"/>
  <c r="I57" i="121"/>
  <c r="I52" i="121"/>
  <c r="I71" i="121"/>
  <c r="I70" i="121"/>
  <c r="I56" i="121"/>
  <c r="I55" i="121"/>
  <c r="I54" i="121"/>
  <c r="I28" i="121"/>
  <c r="I34" i="121"/>
  <c r="I30" i="121"/>
  <c r="I27" i="121"/>
  <c r="I24" i="121"/>
  <c r="I22" i="121"/>
  <c r="I21" i="121"/>
  <c r="I18" i="121"/>
  <c r="I17" i="121"/>
  <c r="I14" i="121"/>
  <c r="I13" i="121"/>
  <c r="I12" i="121"/>
  <c r="I9" i="121"/>
  <c r="H34" i="121"/>
  <c r="H31" i="121"/>
  <c r="H30" i="121"/>
  <c r="H28" i="121"/>
  <c r="H27" i="121"/>
  <c r="H24" i="121"/>
  <c r="H22" i="121"/>
  <c r="H21" i="121"/>
  <c r="H18" i="121"/>
  <c r="H17" i="121"/>
  <c r="H14" i="121"/>
  <c r="H13" i="121"/>
  <c r="H12" i="121"/>
  <c r="H11" i="121"/>
  <c r="H9" i="121"/>
  <c r="H29" i="121" l="1"/>
  <c r="I29" i="121"/>
  <c r="I72" i="121"/>
  <c r="H36" i="121"/>
  <c r="I36" i="121"/>
  <c r="I79" i="121"/>
  <c r="H79" i="121"/>
  <c r="H6" i="121"/>
  <c r="I6" i="121"/>
  <c r="I49" i="121"/>
  <c r="H49" i="121"/>
  <c r="I26" i="121"/>
  <c r="H26" i="121"/>
  <c r="H69" i="121"/>
  <c r="I69" i="121"/>
  <c r="H58" i="121"/>
  <c r="I15" i="121"/>
  <c r="I58" i="121"/>
  <c r="H15" i="121"/>
  <c r="H7" i="121"/>
  <c r="I7" i="121"/>
  <c r="I50" i="121"/>
  <c r="H50" i="121"/>
  <c r="H16" i="121"/>
  <c r="H59" i="121"/>
  <c r="I16" i="121"/>
  <c r="I59" i="121"/>
  <c r="H33" i="121"/>
  <c r="I33" i="121"/>
  <c r="I76" i="121"/>
  <c r="H76" i="121"/>
  <c r="I63" i="121"/>
  <c r="H63" i="121"/>
  <c r="H20" i="121"/>
  <c r="I20" i="121"/>
  <c r="I5" i="121"/>
  <c r="I48" i="121"/>
  <c r="H5" i="121"/>
  <c r="I51" i="121"/>
  <c r="I8" i="121"/>
  <c r="H8" i="121"/>
  <c r="H51" i="121"/>
  <c r="I32" i="121"/>
  <c r="I75" i="121"/>
  <c r="H75" i="121"/>
  <c r="H32" i="121"/>
  <c r="H10" i="121"/>
  <c r="I10" i="121"/>
  <c r="I53" i="121"/>
  <c r="H62" i="121"/>
  <c r="I19" i="121"/>
  <c r="I62" i="121"/>
  <c r="H19" i="121"/>
  <c r="I68" i="121"/>
  <c r="H68" i="121"/>
  <c r="H25" i="121"/>
  <c r="I25" i="121"/>
  <c r="I78" i="121"/>
  <c r="H78" i="121"/>
  <c r="H35" i="121"/>
  <c r="I35" i="121"/>
  <c r="I66" i="121"/>
  <c r="H23" i="121"/>
  <c r="H66" i="121"/>
  <c r="H64" i="121"/>
  <c r="I31" i="121"/>
  <c r="I11" i="121"/>
  <c r="H72" i="121" l="1"/>
  <c r="H48" i="121"/>
  <c r="H53" i="121"/>
  <c r="I23" i="121"/>
  <c r="AL36" i="92" l="1"/>
  <c r="AL35" i="92"/>
  <c r="AL34" i="92"/>
  <c r="AL33" i="92"/>
  <c r="AL32" i="92"/>
  <c r="AL31" i="92"/>
  <c r="AL30" i="92"/>
  <c r="AL29" i="92"/>
  <c r="AL28" i="92"/>
  <c r="AL27" i="92"/>
  <c r="AL26" i="92"/>
  <c r="AL25" i="92"/>
  <c r="AL24" i="92"/>
  <c r="AL23" i="92"/>
  <c r="AL22" i="92"/>
  <c r="AL21" i="92"/>
  <c r="AL20" i="92"/>
  <c r="AL19" i="92"/>
  <c r="AL18" i="92"/>
  <c r="AL17" i="92"/>
  <c r="AL16" i="92"/>
  <c r="AL15" i="92"/>
  <c r="AL14" i="92"/>
  <c r="AL13" i="92"/>
  <c r="AL12" i="92"/>
  <c r="AL11" i="92"/>
  <c r="AL10" i="92"/>
  <c r="AL9" i="92"/>
  <c r="AL8" i="92"/>
  <c r="AL7" i="92"/>
  <c r="AL6" i="92"/>
  <c r="AL5" i="92"/>
  <c r="AL4" i="92"/>
  <c r="P36" i="92"/>
  <c r="P35" i="92"/>
  <c r="P34" i="92"/>
  <c r="P33" i="92"/>
  <c r="P32" i="92"/>
  <c r="P31" i="92"/>
  <c r="P30" i="92"/>
  <c r="P29" i="92"/>
  <c r="P28" i="92"/>
  <c r="P27" i="92"/>
  <c r="P26" i="92"/>
  <c r="P25" i="92"/>
  <c r="P24" i="92"/>
  <c r="P23" i="92"/>
  <c r="P22" i="92"/>
  <c r="P21" i="92"/>
  <c r="P20" i="92"/>
  <c r="P19" i="92"/>
  <c r="P18" i="92"/>
  <c r="P17" i="92"/>
  <c r="P16" i="92"/>
  <c r="P15" i="92"/>
  <c r="P14" i="92"/>
  <c r="P13" i="92"/>
  <c r="P12" i="92"/>
  <c r="P11" i="92"/>
  <c r="P10" i="92"/>
  <c r="P9" i="92"/>
  <c r="P8" i="92"/>
  <c r="P7" i="92"/>
  <c r="P6" i="92"/>
  <c r="P5" i="92"/>
  <c r="P4" i="92"/>
  <c r="AL39" i="92" l="1"/>
  <c r="AL38" i="92"/>
  <c r="AL40" i="92" s="1"/>
  <c r="P38" i="92"/>
  <c r="P40" i="92" s="1"/>
  <c r="P39" i="92"/>
  <c r="G77" i="121" l="1"/>
  <c r="G74" i="121"/>
  <c r="G73" i="121"/>
  <c r="G71" i="121"/>
  <c r="G70" i="121"/>
  <c r="G67" i="121"/>
  <c r="G65" i="121"/>
  <c r="G64" i="121"/>
  <c r="G61" i="121"/>
  <c r="G60" i="121"/>
  <c r="G57" i="121"/>
  <c r="G56" i="121"/>
  <c r="G55" i="121"/>
  <c r="G54" i="121"/>
  <c r="G52" i="121"/>
  <c r="F77" i="121"/>
  <c r="F74" i="121"/>
  <c r="F73" i="121"/>
  <c r="F71" i="121"/>
  <c r="F70" i="121"/>
  <c r="F67" i="121"/>
  <c r="F65" i="121"/>
  <c r="F64" i="121"/>
  <c r="F61" i="121"/>
  <c r="F60" i="121"/>
  <c r="F57" i="121"/>
  <c r="F56" i="121"/>
  <c r="F55" i="121"/>
  <c r="F54" i="121"/>
  <c r="F52" i="121"/>
  <c r="E77" i="121"/>
  <c r="E74" i="121"/>
  <c r="E73" i="121"/>
  <c r="E71" i="121"/>
  <c r="E70" i="121"/>
  <c r="E67" i="121"/>
  <c r="E65" i="121"/>
  <c r="E64" i="121"/>
  <c r="E61" i="121"/>
  <c r="E60" i="121"/>
  <c r="E57" i="121"/>
  <c r="E56" i="121"/>
  <c r="E55" i="121"/>
  <c r="E54" i="121"/>
  <c r="E52" i="121"/>
  <c r="D77" i="121"/>
  <c r="D74" i="121"/>
  <c r="D73" i="121"/>
  <c r="D71" i="121"/>
  <c r="D70" i="121"/>
  <c r="D67" i="121"/>
  <c r="D65" i="121"/>
  <c r="D64" i="121"/>
  <c r="D61" i="121"/>
  <c r="D60" i="121"/>
  <c r="D57" i="121"/>
  <c r="D56" i="121"/>
  <c r="D55" i="121"/>
  <c r="D54" i="121"/>
  <c r="D52" i="121"/>
  <c r="C77" i="121"/>
  <c r="C74" i="121"/>
  <c r="C73" i="121"/>
  <c r="C71" i="121"/>
  <c r="C70" i="121"/>
  <c r="C67" i="121"/>
  <c r="C65" i="121"/>
  <c r="C64" i="121"/>
  <c r="C61" i="121"/>
  <c r="C60" i="121"/>
  <c r="C57" i="121"/>
  <c r="C56" i="121"/>
  <c r="C55" i="121"/>
  <c r="C54" i="121"/>
  <c r="C52" i="121"/>
  <c r="C72" i="121" l="1"/>
  <c r="D72" i="121"/>
  <c r="E72" i="121"/>
  <c r="F72" i="121"/>
  <c r="G72" i="121"/>
  <c r="D79" i="121"/>
  <c r="F79" i="121"/>
  <c r="E79" i="121"/>
  <c r="C79" i="121"/>
  <c r="G79" i="121"/>
  <c r="C49" i="121"/>
  <c r="D49" i="121"/>
  <c r="E49" i="121"/>
  <c r="F49" i="121"/>
  <c r="G49" i="121"/>
  <c r="C69" i="121"/>
  <c r="D69" i="121"/>
  <c r="E69" i="121"/>
  <c r="F69" i="121"/>
  <c r="G69" i="121"/>
  <c r="C58" i="121"/>
  <c r="D58" i="121"/>
  <c r="E58" i="121"/>
  <c r="F58" i="121"/>
  <c r="G58" i="121"/>
  <c r="C50" i="121"/>
  <c r="D50" i="121"/>
  <c r="E50" i="121"/>
  <c r="F50" i="121"/>
  <c r="G50" i="121"/>
  <c r="D59" i="121"/>
  <c r="E59" i="121"/>
  <c r="F59" i="121"/>
  <c r="G59" i="121"/>
  <c r="C59" i="121"/>
  <c r="C76" i="121"/>
  <c r="F76" i="121"/>
  <c r="G76" i="121"/>
  <c r="D76" i="121"/>
  <c r="E76" i="121"/>
  <c r="D63" i="121"/>
  <c r="E63" i="121"/>
  <c r="C63" i="121"/>
  <c r="G63" i="121"/>
  <c r="F63" i="121"/>
  <c r="C48" i="121"/>
  <c r="E48" i="121"/>
  <c r="F48" i="121"/>
  <c r="G48" i="121"/>
  <c r="D48" i="121"/>
  <c r="E51" i="121"/>
  <c r="F51" i="121"/>
  <c r="G51" i="121"/>
  <c r="D51" i="121"/>
  <c r="C51" i="121"/>
  <c r="D75" i="121"/>
  <c r="E75" i="121"/>
  <c r="F75" i="121"/>
  <c r="G75" i="121"/>
  <c r="C75" i="121"/>
  <c r="C53" i="121"/>
  <c r="D53" i="121"/>
  <c r="E53" i="121"/>
  <c r="F53" i="121"/>
  <c r="G53" i="121"/>
  <c r="C62" i="121"/>
  <c r="D62" i="121"/>
  <c r="E62" i="121"/>
  <c r="F62" i="121"/>
  <c r="G62" i="121"/>
  <c r="C68" i="121"/>
  <c r="D68" i="121"/>
  <c r="E68" i="121"/>
  <c r="F68" i="121"/>
  <c r="G68" i="121"/>
  <c r="C78" i="121"/>
  <c r="D78" i="121"/>
  <c r="E78" i="121"/>
  <c r="F78" i="121"/>
  <c r="G78" i="121"/>
  <c r="C66" i="121"/>
  <c r="D66" i="121"/>
  <c r="E66" i="121"/>
  <c r="F66" i="121"/>
  <c r="G66" i="121"/>
  <c r="B57" i="121"/>
  <c r="J57" i="121"/>
  <c r="B54" i="121"/>
  <c r="J54" i="121"/>
  <c r="B71" i="121"/>
  <c r="J71" i="121"/>
  <c r="B56" i="121"/>
  <c r="J56" i="121"/>
  <c r="B60" i="121"/>
  <c r="J60" i="121"/>
  <c r="B61" i="121"/>
  <c r="J61" i="121"/>
  <c r="B65" i="121"/>
  <c r="J65" i="121"/>
  <c r="B77" i="121"/>
  <c r="J77" i="121"/>
  <c r="B70" i="121"/>
  <c r="J70" i="121"/>
  <c r="B67" i="121"/>
  <c r="J67" i="121"/>
  <c r="B74" i="121"/>
  <c r="J74" i="121"/>
  <c r="B73" i="121"/>
  <c r="J73" i="121"/>
  <c r="J64" i="121"/>
  <c r="B64" i="121"/>
  <c r="B55" i="121"/>
  <c r="J55" i="121"/>
  <c r="B52" i="121"/>
  <c r="J52" i="121"/>
  <c r="J72" i="121" l="1"/>
  <c r="B72" i="121"/>
  <c r="J79" i="121"/>
  <c r="B79" i="121"/>
  <c r="J49" i="121"/>
  <c r="B49" i="121"/>
  <c r="J69" i="121"/>
  <c r="B69" i="121"/>
  <c r="B58" i="121"/>
  <c r="J58" i="121"/>
  <c r="J50" i="121"/>
  <c r="B50" i="121"/>
  <c r="J59" i="121"/>
  <c r="B59" i="121"/>
  <c r="B76" i="121"/>
  <c r="J76" i="121"/>
  <c r="J63" i="121"/>
  <c r="B63" i="121"/>
  <c r="B48" i="121"/>
  <c r="J48" i="121"/>
  <c r="J51" i="121"/>
  <c r="B51" i="121"/>
  <c r="B75" i="121"/>
  <c r="J75" i="121"/>
  <c r="J53" i="121"/>
  <c r="B53" i="121"/>
  <c r="J62" i="121"/>
  <c r="B62" i="121"/>
  <c r="J68" i="121"/>
  <c r="B68" i="121"/>
  <c r="J78" i="121"/>
  <c r="B78" i="121"/>
  <c r="J66" i="121"/>
  <c r="B66" i="121"/>
  <c r="G34" i="121"/>
  <c r="G31" i="121"/>
  <c r="G30" i="121"/>
  <c r="G28" i="121"/>
  <c r="G27" i="121"/>
  <c r="G24" i="121"/>
  <c r="G22" i="121"/>
  <c r="G21" i="121"/>
  <c r="G18" i="121"/>
  <c r="G17" i="121"/>
  <c r="G14" i="121"/>
  <c r="G13" i="121"/>
  <c r="G12" i="121"/>
  <c r="G11" i="121"/>
  <c r="G9" i="121"/>
  <c r="F34" i="121"/>
  <c r="F31" i="121"/>
  <c r="F30" i="121"/>
  <c r="F28" i="121"/>
  <c r="F27" i="121"/>
  <c r="F24" i="121"/>
  <c r="F22" i="121"/>
  <c r="F21" i="121"/>
  <c r="F18" i="121"/>
  <c r="F17" i="121"/>
  <c r="F14" i="121"/>
  <c r="F13" i="121"/>
  <c r="F12" i="121"/>
  <c r="F11" i="121"/>
  <c r="F9" i="121"/>
  <c r="E34" i="121"/>
  <c r="E31" i="121"/>
  <c r="E30" i="121"/>
  <c r="E28" i="121"/>
  <c r="E27" i="121"/>
  <c r="E24" i="121"/>
  <c r="E22" i="121"/>
  <c r="E21" i="121"/>
  <c r="E18" i="121"/>
  <c r="E17" i="121"/>
  <c r="E14" i="121"/>
  <c r="E13" i="121"/>
  <c r="E12" i="121"/>
  <c r="E11" i="121"/>
  <c r="E9" i="121"/>
  <c r="D34" i="121"/>
  <c r="D31" i="121"/>
  <c r="D30" i="121"/>
  <c r="D28" i="121"/>
  <c r="D27" i="121"/>
  <c r="D24" i="121"/>
  <c r="D22" i="121"/>
  <c r="D21" i="121"/>
  <c r="D18" i="121"/>
  <c r="D17" i="121"/>
  <c r="D14" i="121"/>
  <c r="D13" i="121"/>
  <c r="D12" i="121"/>
  <c r="D11" i="121"/>
  <c r="D9" i="121"/>
  <c r="C34" i="121"/>
  <c r="C31" i="121"/>
  <c r="C30" i="121"/>
  <c r="C28" i="121"/>
  <c r="C27" i="121"/>
  <c r="C24" i="121"/>
  <c r="C22" i="121"/>
  <c r="C21" i="121"/>
  <c r="C18" i="121"/>
  <c r="C17" i="121"/>
  <c r="C14" i="121"/>
  <c r="C13" i="121"/>
  <c r="C12" i="121"/>
  <c r="C11" i="121"/>
  <c r="C9" i="121"/>
  <c r="C29" i="121" l="1"/>
  <c r="D29" i="121"/>
  <c r="F29" i="121"/>
  <c r="G29" i="121"/>
  <c r="E29" i="121"/>
  <c r="C36" i="121"/>
  <c r="D36" i="121"/>
  <c r="E36" i="121"/>
  <c r="F36" i="121"/>
  <c r="G36" i="121"/>
  <c r="D6" i="121"/>
  <c r="E6" i="121"/>
  <c r="F6" i="121"/>
  <c r="G6" i="121"/>
  <c r="C6" i="121"/>
  <c r="C26" i="121"/>
  <c r="F26" i="121"/>
  <c r="G26" i="121"/>
  <c r="E26" i="121"/>
  <c r="D26" i="121"/>
  <c r="C15" i="121"/>
  <c r="D15" i="121"/>
  <c r="E15" i="121"/>
  <c r="F15" i="121"/>
  <c r="G15" i="121"/>
  <c r="C7" i="121"/>
  <c r="E7" i="121"/>
  <c r="F7" i="121"/>
  <c r="G7" i="121"/>
  <c r="D7" i="121"/>
  <c r="C16" i="121"/>
  <c r="D16" i="121"/>
  <c r="E16" i="121"/>
  <c r="F16" i="121"/>
  <c r="G16" i="121"/>
  <c r="C33" i="121"/>
  <c r="D33" i="121"/>
  <c r="E33" i="121"/>
  <c r="F33" i="121"/>
  <c r="G33" i="121"/>
  <c r="C20" i="121"/>
  <c r="D20" i="121"/>
  <c r="E20" i="121"/>
  <c r="F20" i="121"/>
  <c r="G20" i="121"/>
  <c r="D5" i="121"/>
  <c r="E5" i="121"/>
  <c r="F5" i="121"/>
  <c r="G5" i="121"/>
  <c r="C5" i="121"/>
  <c r="C8" i="121"/>
  <c r="D8" i="121"/>
  <c r="E8" i="121"/>
  <c r="F8" i="121"/>
  <c r="G8" i="121"/>
  <c r="C32" i="121"/>
  <c r="D32" i="121"/>
  <c r="E32" i="121"/>
  <c r="F32" i="121"/>
  <c r="G32" i="121"/>
  <c r="E10" i="121"/>
  <c r="F10" i="121"/>
  <c r="G10" i="121"/>
  <c r="D10" i="121"/>
  <c r="C10" i="121"/>
  <c r="C19" i="121"/>
  <c r="D19" i="121"/>
  <c r="E19" i="121"/>
  <c r="F19" i="121"/>
  <c r="G19" i="121"/>
  <c r="C25" i="121"/>
  <c r="E25" i="121"/>
  <c r="F25" i="121"/>
  <c r="G25" i="121"/>
  <c r="D25" i="121"/>
  <c r="C35" i="121"/>
  <c r="E35" i="121"/>
  <c r="F35" i="121"/>
  <c r="G35" i="121"/>
  <c r="D35" i="121"/>
  <c r="D23" i="121"/>
  <c r="E23" i="121"/>
  <c r="F23" i="121"/>
  <c r="G23" i="121"/>
  <c r="C23" i="121"/>
  <c r="J9" i="121"/>
  <c r="J11" i="121"/>
  <c r="B11" i="121"/>
  <c r="B9" i="121"/>
  <c r="B17" i="121"/>
  <c r="J17" i="121"/>
  <c r="B21" i="121"/>
  <c r="J21" i="121"/>
  <c r="B31" i="121"/>
  <c r="J31" i="121"/>
  <c r="B14" i="121"/>
  <c r="J14" i="121"/>
  <c r="B18" i="121"/>
  <c r="J18" i="121"/>
  <c r="B22" i="121"/>
  <c r="J22" i="121"/>
  <c r="B30" i="121"/>
  <c r="J30" i="121"/>
  <c r="B34" i="121"/>
  <c r="J34" i="121"/>
  <c r="B27" i="121"/>
  <c r="J27" i="121"/>
  <c r="B12" i="121"/>
  <c r="J12" i="121"/>
  <c r="B24" i="121"/>
  <c r="J24" i="121"/>
  <c r="B28" i="121"/>
  <c r="J28" i="121"/>
  <c r="J29" i="121" l="1"/>
  <c r="B29" i="121"/>
  <c r="B36" i="121"/>
  <c r="J36" i="121"/>
  <c r="J6" i="121"/>
  <c r="B6" i="121"/>
  <c r="J26" i="121"/>
  <c r="B26" i="121"/>
  <c r="J15" i="121"/>
  <c r="B15" i="121"/>
  <c r="B7" i="121"/>
  <c r="J7" i="121"/>
  <c r="B16" i="121"/>
  <c r="J16" i="121"/>
  <c r="J33" i="121"/>
  <c r="B33" i="121"/>
  <c r="J20" i="121"/>
  <c r="B20" i="121"/>
  <c r="J5" i="121"/>
  <c r="B5" i="121"/>
  <c r="J8" i="121"/>
  <c r="B8" i="121"/>
  <c r="J32" i="121"/>
  <c r="B32" i="121"/>
  <c r="J10" i="121"/>
  <c r="B10" i="121"/>
  <c r="J19" i="121"/>
  <c r="B19" i="121"/>
  <c r="J25" i="121"/>
  <c r="B25" i="121"/>
  <c r="B35" i="121"/>
  <c r="J35" i="121"/>
  <c r="B23" i="121"/>
  <c r="J23" i="121"/>
  <c r="B13" i="121"/>
  <c r="J13" i="121"/>
  <c r="AF6" i="92" l="1"/>
  <c r="AF21" i="92"/>
  <c r="AF24" i="92"/>
  <c r="AF36" i="92"/>
  <c r="F161" i="121"/>
  <c r="D161" i="121"/>
  <c r="C161" i="121"/>
  <c r="B161" i="121"/>
  <c r="F158" i="121"/>
  <c r="D158" i="121"/>
  <c r="C158" i="121"/>
  <c r="B158" i="121"/>
  <c r="F157" i="121"/>
  <c r="D157" i="121"/>
  <c r="C157" i="121"/>
  <c r="B157" i="121"/>
  <c r="F155" i="121"/>
  <c r="D155" i="121"/>
  <c r="C155" i="121"/>
  <c r="B155" i="121"/>
  <c r="F154" i="121"/>
  <c r="D154" i="121"/>
  <c r="C154" i="121"/>
  <c r="B154" i="121"/>
  <c r="F151" i="121"/>
  <c r="D151" i="121"/>
  <c r="C151" i="121"/>
  <c r="B151" i="121"/>
  <c r="F149" i="121"/>
  <c r="D149" i="121"/>
  <c r="C149" i="121"/>
  <c r="B149" i="121"/>
  <c r="F148" i="121"/>
  <c r="D148" i="121"/>
  <c r="C148" i="121"/>
  <c r="B148" i="121"/>
  <c r="F145" i="121"/>
  <c r="D145" i="121"/>
  <c r="C145" i="121"/>
  <c r="B145" i="121"/>
  <c r="F144" i="121"/>
  <c r="D144" i="121"/>
  <c r="C144" i="121"/>
  <c r="B144" i="121"/>
  <c r="F141" i="121"/>
  <c r="D141" i="121"/>
  <c r="C141" i="121"/>
  <c r="B141" i="121"/>
  <c r="F140" i="121"/>
  <c r="D140" i="121"/>
  <c r="C140" i="121"/>
  <c r="B140" i="121"/>
  <c r="F139" i="121"/>
  <c r="D139" i="121"/>
  <c r="C139" i="121"/>
  <c r="B139" i="121"/>
  <c r="F138" i="121"/>
  <c r="D138" i="121"/>
  <c r="C138" i="121"/>
  <c r="B138" i="121"/>
  <c r="F136" i="121"/>
  <c r="E136" i="121"/>
  <c r="D136" i="121"/>
  <c r="B136" i="121"/>
  <c r="F120" i="121"/>
  <c r="E120" i="121"/>
  <c r="D120" i="121"/>
  <c r="C120" i="121"/>
  <c r="F117" i="121"/>
  <c r="E117" i="121"/>
  <c r="D117" i="121"/>
  <c r="C117" i="121"/>
  <c r="F116" i="121"/>
  <c r="E116" i="121"/>
  <c r="D116" i="121"/>
  <c r="C116" i="121"/>
  <c r="F114" i="121"/>
  <c r="E114" i="121"/>
  <c r="D114" i="121"/>
  <c r="C114" i="121"/>
  <c r="F113" i="121"/>
  <c r="E113" i="121"/>
  <c r="D113" i="121"/>
  <c r="F110" i="121"/>
  <c r="E110" i="121"/>
  <c r="D110" i="121"/>
  <c r="C110" i="121"/>
  <c r="F108" i="121"/>
  <c r="E108" i="121"/>
  <c r="D108" i="121"/>
  <c r="C108" i="121"/>
  <c r="F107" i="121"/>
  <c r="E107" i="121"/>
  <c r="D107" i="121"/>
  <c r="F104" i="121"/>
  <c r="D104" i="121"/>
  <c r="C104" i="121"/>
  <c r="F103" i="121"/>
  <c r="E103" i="121"/>
  <c r="D103" i="121"/>
  <c r="C103" i="121"/>
  <c r="F100" i="121"/>
  <c r="E100" i="121"/>
  <c r="D100" i="121"/>
  <c r="C100" i="121"/>
  <c r="F99" i="121"/>
  <c r="E99" i="121"/>
  <c r="D99" i="121"/>
  <c r="C99" i="121"/>
  <c r="F98" i="121"/>
  <c r="E98" i="121"/>
  <c r="D98" i="121"/>
  <c r="C98" i="121"/>
  <c r="F97" i="121"/>
  <c r="E97" i="121"/>
  <c r="D97" i="121"/>
  <c r="C97" i="121"/>
  <c r="F95" i="121"/>
  <c r="E95" i="121"/>
  <c r="D95" i="121"/>
  <c r="AF35" i="92"/>
  <c r="AF34" i="92"/>
  <c r="AF33" i="92"/>
  <c r="AF32" i="92"/>
  <c r="AF31" i="92"/>
  <c r="AF30" i="92"/>
  <c r="AF29" i="92"/>
  <c r="AF28" i="92"/>
  <c r="AF27" i="92"/>
  <c r="AF26" i="92"/>
  <c r="AF25" i="92"/>
  <c r="AF23" i="92"/>
  <c r="AF22" i="92"/>
  <c r="AF20" i="92"/>
  <c r="AF19" i="92"/>
  <c r="AF18" i="92"/>
  <c r="AF17" i="92"/>
  <c r="AF16" i="92"/>
  <c r="AF15" i="92"/>
  <c r="AF14" i="92"/>
  <c r="AF13" i="92"/>
  <c r="AF12" i="92"/>
  <c r="AF11" i="92"/>
  <c r="AF10" i="92"/>
  <c r="AF9" i="92"/>
  <c r="AF8" i="92"/>
  <c r="AF7" i="92"/>
  <c r="AF5" i="92"/>
  <c r="J36" i="92"/>
  <c r="J35" i="92"/>
  <c r="J34" i="92"/>
  <c r="J33" i="92"/>
  <c r="J32" i="92"/>
  <c r="J31" i="92"/>
  <c r="J30" i="92"/>
  <c r="J29" i="92"/>
  <c r="J28" i="92"/>
  <c r="J27" i="92"/>
  <c r="J26" i="92"/>
  <c r="J25" i="92"/>
  <c r="J24" i="92"/>
  <c r="J21" i="92"/>
  <c r="J20" i="92"/>
  <c r="J19" i="92"/>
  <c r="J18" i="92"/>
  <c r="J17" i="92"/>
  <c r="J16" i="92"/>
  <c r="J14" i="92"/>
  <c r="J13" i="92"/>
  <c r="J12" i="92"/>
  <c r="J11" i="92"/>
  <c r="J10" i="92"/>
  <c r="J9" i="92"/>
  <c r="J8" i="92"/>
  <c r="J7" i="92"/>
  <c r="J6" i="92"/>
  <c r="J5" i="92"/>
  <c r="J15" i="92"/>
  <c r="F115" i="121" l="1"/>
  <c r="C156" i="121"/>
  <c r="F156" i="121"/>
  <c r="D156" i="121"/>
  <c r="C115" i="121"/>
  <c r="D115" i="121"/>
  <c r="E115" i="121"/>
  <c r="B156" i="121"/>
  <c r="C163" i="121"/>
  <c r="D163" i="121"/>
  <c r="F163" i="121"/>
  <c r="C122" i="121"/>
  <c r="D122" i="121"/>
  <c r="B163" i="121"/>
  <c r="F122" i="121"/>
  <c r="F92" i="121"/>
  <c r="F133" i="121"/>
  <c r="B133" i="121"/>
  <c r="C133" i="121"/>
  <c r="D133" i="121"/>
  <c r="C92" i="121"/>
  <c r="D92" i="121"/>
  <c r="E112" i="121"/>
  <c r="F112" i="121"/>
  <c r="B153" i="121"/>
  <c r="C153" i="121"/>
  <c r="D153" i="121"/>
  <c r="C112" i="121"/>
  <c r="D112" i="121"/>
  <c r="F153" i="121"/>
  <c r="B142" i="121"/>
  <c r="D142" i="121"/>
  <c r="C101" i="121"/>
  <c r="C142" i="121"/>
  <c r="F101" i="121"/>
  <c r="F142" i="121"/>
  <c r="D101" i="121"/>
  <c r="B134" i="121"/>
  <c r="F93" i="121"/>
  <c r="C93" i="121"/>
  <c r="D93" i="121"/>
  <c r="D134" i="121"/>
  <c r="E93" i="121"/>
  <c r="F134" i="121"/>
  <c r="F102" i="121"/>
  <c r="F143" i="121"/>
  <c r="C143" i="121"/>
  <c r="E102" i="121"/>
  <c r="D143" i="121"/>
  <c r="C102" i="121"/>
  <c r="D102" i="121"/>
  <c r="B143" i="121"/>
  <c r="D119" i="121"/>
  <c r="B160" i="121"/>
  <c r="E119" i="121"/>
  <c r="C160" i="121"/>
  <c r="D160" i="121"/>
  <c r="F119" i="121"/>
  <c r="F160" i="121"/>
  <c r="F147" i="121"/>
  <c r="C106" i="121"/>
  <c r="D106" i="121"/>
  <c r="B147" i="121"/>
  <c r="E106" i="121"/>
  <c r="C147" i="121"/>
  <c r="D147" i="121"/>
  <c r="E91" i="121"/>
  <c r="F132" i="121"/>
  <c r="F91" i="121"/>
  <c r="B132" i="121"/>
  <c r="C91" i="121"/>
  <c r="D91" i="121"/>
  <c r="C132" i="121"/>
  <c r="D132" i="121"/>
  <c r="B135" i="121"/>
  <c r="C94" i="121"/>
  <c r="D94" i="121"/>
  <c r="C135" i="121"/>
  <c r="D135" i="121"/>
  <c r="E94" i="121"/>
  <c r="F94" i="121"/>
  <c r="F135" i="121"/>
  <c r="F118" i="121"/>
  <c r="F159" i="121"/>
  <c r="D159" i="121"/>
  <c r="E118" i="121"/>
  <c r="C159" i="121"/>
  <c r="C118" i="121"/>
  <c r="D118" i="121"/>
  <c r="B159" i="121"/>
  <c r="C96" i="121"/>
  <c r="D96" i="121"/>
  <c r="B137" i="121"/>
  <c r="E96" i="121"/>
  <c r="C137" i="121"/>
  <c r="D137" i="121"/>
  <c r="F96" i="121"/>
  <c r="F137" i="121"/>
  <c r="F105" i="121"/>
  <c r="F146" i="121"/>
  <c r="C105" i="121"/>
  <c r="D105" i="121"/>
  <c r="B146" i="121"/>
  <c r="E105" i="121"/>
  <c r="C146" i="121"/>
  <c r="D146" i="121"/>
  <c r="F111" i="121"/>
  <c r="E111" i="121"/>
  <c r="F152" i="121"/>
  <c r="B152" i="121"/>
  <c r="C111" i="121"/>
  <c r="D111" i="121"/>
  <c r="C152" i="121"/>
  <c r="D152" i="121"/>
  <c r="C121" i="121"/>
  <c r="D121" i="121"/>
  <c r="B162" i="121"/>
  <c r="D162" i="121"/>
  <c r="F121" i="121"/>
  <c r="F162" i="121"/>
  <c r="E109" i="121"/>
  <c r="C150" i="121"/>
  <c r="D150" i="121"/>
  <c r="F109" i="121"/>
  <c r="F150" i="121"/>
  <c r="D109" i="121"/>
  <c r="B150" i="121"/>
  <c r="AO42" i="92"/>
  <c r="AR29" i="92"/>
  <c r="AO29" i="92"/>
  <c r="AP29" i="92" s="1"/>
  <c r="AO10" i="92"/>
  <c r="AP10" i="92" s="1"/>
  <c r="AR10" i="92"/>
  <c r="AR32" i="92"/>
  <c r="AO32" i="92"/>
  <c r="AP32" i="92" s="1"/>
  <c r="AR9" i="92"/>
  <c r="AO9" i="92"/>
  <c r="AR7" i="92"/>
  <c r="AO7" i="92"/>
  <c r="AR13" i="92"/>
  <c r="AO13" i="92"/>
  <c r="AP13" i="92" s="1"/>
  <c r="AR28" i="92"/>
  <c r="AO28" i="92"/>
  <c r="AP28" i="92" s="1"/>
  <c r="AR11" i="92"/>
  <c r="AO11" i="92"/>
  <c r="AP11" i="92" s="1"/>
  <c r="AR14" i="92"/>
  <c r="AO14" i="92"/>
  <c r="AP14" i="92" s="1"/>
  <c r="AR22" i="92"/>
  <c r="AO22" i="92"/>
  <c r="AP22" i="92" s="1"/>
  <c r="AR20" i="92"/>
  <c r="AO20" i="92"/>
  <c r="AP20" i="92" s="1"/>
  <c r="AO34" i="92"/>
  <c r="AP34" i="92" s="1"/>
  <c r="AR34" i="92"/>
  <c r="AR16" i="92"/>
  <c r="AO16" i="92"/>
  <c r="AP16" i="92" s="1"/>
  <c r="AR21" i="92"/>
  <c r="AO21" i="92"/>
  <c r="AP21" i="92" s="1"/>
  <c r="AR30" i="92"/>
  <c r="AO30" i="92"/>
  <c r="AP30" i="92" s="1"/>
  <c r="AO8" i="92"/>
  <c r="AP8" i="92" s="1"/>
  <c r="AR8" i="92"/>
  <c r="AR15" i="92"/>
  <c r="AO15" i="92"/>
  <c r="AP15" i="92" s="1"/>
  <c r="AR12" i="92"/>
  <c r="AO12" i="92"/>
  <c r="AP12" i="92" s="1"/>
  <c r="AO27" i="92"/>
  <c r="AP27" i="92" s="1"/>
  <c r="AR27" i="92"/>
  <c r="AR6" i="92"/>
  <c r="AO6" i="92"/>
  <c r="AO5" i="92"/>
  <c r="AP5" i="92" s="1"/>
  <c r="AR5" i="92"/>
  <c r="AR26" i="92"/>
  <c r="AO26" i="92"/>
  <c r="AP26" i="92" s="1"/>
  <c r="AO33" i="92"/>
  <c r="AP33" i="92" s="1"/>
  <c r="AR33" i="92"/>
  <c r="AR25" i="92"/>
  <c r="AO25" i="92"/>
  <c r="AP25" i="92" s="1"/>
  <c r="AR18" i="92"/>
  <c r="AO18" i="92"/>
  <c r="AP18" i="92" s="1"/>
  <c r="AR23" i="92"/>
  <c r="AO23" i="92"/>
  <c r="AP23" i="92" s="1"/>
  <c r="AO17" i="92"/>
  <c r="AP17" i="92" s="1"/>
  <c r="AR17" i="92"/>
  <c r="AR24" i="92"/>
  <c r="AO24" i="92"/>
  <c r="AP24" i="92" s="1"/>
  <c r="AR31" i="92"/>
  <c r="AO31" i="92"/>
  <c r="AP31" i="92" s="1"/>
  <c r="AR35" i="92"/>
  <c r="AO35" i="92"/>
  <c r="AP35" i="92" s="1"/>
  <c r="AR19" i="92"/>
  <c r="AO19" i="92"/>
  <c r="AP19" i="92" s="1"/>
  <c r="AR36" i="92"/>
  <c r="AO36" i="92"/>
  <c r="AP36" i="92" s="1"/>
  <c r="S18" i="92"/>
  <c r="T18" i="92" s="1"/>
  <c r="V18" i="92"/>
  <c r="V29" i="92"/>
  <c r="S29" i="92"/>
  <c r="T29" i="92" s="1"/>
  <c r="S32" i="92"/>
  <c r="T32" i="92" s="1"/>
  <c r="V32" i="92"/>
  <c r="V33" i="92"/>
  <c r="S33" i="92"/>
  <c r="T33" i="92" s="1"/>
  <c r="V34" i="92"/>
  <c r="S34" i="92"/>
  <c r="T34" i="92" s="1"/>
  <c r="S8" i="92"/>
  <c r="T8" i="92" s="1"/>
  <c r="V8" i="92"/>
  <c r="V14" i="92"/>
  <c r="S14" i="92"/>
  <c r="T14" i="92" s="1"/>
  <c r="V17" i="92"/>
  <c r="S17" i="92"/>
  <c r="T17" i="92" s="1"/>
  <c r="V25" i="92"/>
  <c r="S25" i="92"/>
  <c r="T25" i="92" s="1"/>
  <c r="S28" i="92"/>
  <c r="T28" i="92" s="1"/>
  <c r="V28" i="92"/>
  <c r="S31" i="92"/>
  <c r="T31" i="92" s="1"/>
  <c r="V31" i="92"/>
  <c r="S36" i="92"/>
  <c r="T36" i="92" s="1"/>
  <c r="V36" i="92"/>
  <c r="S15" i="92"/>
  <c r="T15" i="92" s="1"/>
  <c r="V15" i="92"/>
  <c r="S7" i="92"/>
  <c r="V7" i="92"/>
  <c r="S12" i="92"/>
  <c r="T12" i="92" s="1"/>
  <c r="V12" i="92"/>
  <c r="V13" i="92"/>
  <c r="S13" i="92"/>
  <c r="T13" i="92" s="1"/>
  <c r="S16" i="92"/>
  <c r="T16" i="92" s="1"/>
  <c r="V16" i="92"/>
  <c r="S20" i="92"/>
  <c r="T20" i="92" s="1"/>
  <c r="V20" i="92"/>
  <c r="S24" i="92"/>
  <c r="T24" i="92" s="1"/>
  <c r="V24" i="92"/>
  <c r="S27" i="92"/>
  <c r="T27" i="92" s="1"/>
  <c r="V27" i="92"/>
  <c r="S30" i="92"/>
  <c r="T30" i="92" s="1"/>
  <c r="V30" i="92"/>
  <c r="V5" i="92"/>
  <c r="S5" i="92"/>
  <c r="T5" i="92" s="1"/>
  <c r="V9" i="92"/>
  <c r="S9" i="92"/>
  <c r="T9" i="92" s="1"/>
  <c r="V21" i="92"/>
  <c r="S21" i="92"/>
  <c r="T21" i="92" s="1"/>
  <c r="S6" i="92"/>
  <c r="V6" i="92"/>
  <c r="S10" i="92"/>
  <c r="T10" i="92" s="1"/>
  <c r="V10" i="92"/>
  <c r="S11" i="92"/>
  <c r="T11" i="92" s="1"/>
  <c r="V11" i="92"/>
  <c r="S19" i="92"/>
  <c r="T19" i="92" s="1"/>
  <c r="V19" i="92"/>
  <c r="S26" i="92"/>
  <c r="T26" i="92" s="1"/>
  <c r="V26" i="92"/>
  <c r="S35" i="92"/>
  <c r="T35" i="92" s="1"/>
  <c r="V35" i="92"/>
  <c r="E157" i="121"/>
  <c r="E151" i="121"/>
  <c r="E148" i="121"/>
  <c r="E145" i="121"/>
  <c r="E144" i="121"/>
  <c r="E141" i="121"/>
  <c r="E140" i="121"/>
  <c r="E139" i="121"/>
  <c r="C136" i="121"/>
  <c r="G136" i="121"/>
  <c r="H136" i="121" s="1"/>
  <c r="G95" i="121"/>
  <c r="G98" i="121"/>
  <c r="G99" i="121"/>
  <c r="G100" i="121"/>
  <c r="G103" i="121"/>
  <c r="G104" i="121"/>
  <c r="G107" i="121"/>
  <c r="G108" i="121"/>
  <c r="G110" i="121"/>
  <c r="G113" i="121"/>
  <c r="G114" i="121"/>
  <c r="G116" i="121"/>
  <c r="G117" i="121"/>
  <c r="G120" i="121"/>
  <c r="E154" i="121"/>
  <c r="E155" i="121"/>
  <c r="E138" i="121"/>
  <c r="E161" i="121"/>
  <c r="E158" i="121"/>
  <c r="E149" i="121"/>
  <c r="B95" i="121"/>
  <c r="B97" i="121"/>
  <c r="B99" i="121"/>
  <c r="B103" i="121"/>
  <c r="E104" i="121"/>
  <c r="B107" i="121"/>
  <c r="B113" i="121"/>
  <c r="B117" i="121"/>
  <c r="B98" i="121"/>
  <c r="B100" i="121"/>
  <c r="B104" i="121"/>
  <c r="B108" i="121"/>
  <c r="B110" i="121"/>
  <c r="B114" i="121"/>
  <c r="B116" i="121"/>
  <c r="B120" i="121"/>
  <c r="C95" i="121"/>
  <c r="C107" i="121"/>
  <c r="C113" i="121"/>
  <c r="J23" i="92"/>
  <c r="S42" i="92" s="1"/>
  <c r="J22" i="92"/>
  <c r="E156" i="121" l="1"/>
  <c r="G115" i="121"/>
  <c r="B115" i="121"/>
  <c r="G122" i="121"/>
  <c r="B122" i="121"/>
  <c r="E122" i="121"/>
  <c r="E163" i="121"/>
  <c r="G92" i="121"/>
  <c r="E133" i="121"/>
  <c r="B92" i="121"/>
  <c r="E92" i="121"/>
  <c r="E153" i="121"/>
  <c r="G112" i="121"/>
  <c r="B112" i="121"/>
  <c r="E101" i="121"/>
  <c r="B101" i="121"/>
  <c r="E142" i="121"/>
  <c r="C134" i="121"/>
  <c r="B93" i="121"/>
  <c r="E134" i="121"/>
  <c r="G102" i="121"/>
  <c r="B102" i="121"/>
  <c r="E143" i="121"/>
  <c r="C119" i="121"/>
  <c r="E160" i="121"/>
  <c r="B119" i="121"/>
  <c r="B106" i="121"/>
  <c r="E147" i="121"/>
  <c r="F106" i="121"/>
  <c r="G106" i="121"/>
  <c r="G91" i="121"/>
  <c r="E132" i="121"/>
  <c r="B91" i="121"/>
  <c r="B94" i="121"/>
  <c r="E135" i="121"/>
  <c r="G94" i="121"/>
  <c r="E159" i="121"/>
  <c r="G118" i="121"/>
  <c r="B118" i="121"/>
  <c r="B96" i="121"/>
  <c r="E137" i="121"/>
  <c r="G96" i="121"/>
  <c r="B105" i="121"/>
  <c r="G105" i="121"/>
  <c r="E146" i="121"/>
  <c r="G111" i="121"/>
  <c r="E152" i="121"/>
  <c r="B111" i="121"/>
  <c r="E162" i="121"/>
  <c r="E121" i="121"/>
  <c r="B121" i="121"/>
  <c r="C162" i="121"/>
  <c r="C109" i="121"/>
  <c r="E150" i="121"/>
  <c r="G109" i="121"/>
  <c r="B109" i="121"/>
  <c r="AO41" i="92" a="1"/>
  <c r="AO41" i="92" s="1"/>
  <c r="AP9" i="92"/>
  <c r="AP6" i="92"/>
  <c r="T7" i="92"/>
  <c r="AO39" i="92"/>
  <c r="AO38" i="92"/>
  <c r="AP7" i="92"/>
  <c r="T6" i="92"/>
  <c r="V22" i="92"/>
  <c r="S22" i="92"/>
  <c r="T22" i="92" s="1"/>
  <c r="S23" i="92"/>
  <c r="T23" i="92" s="1"/>
  <c r="V23" i="92"/>
  <c r="H120" i="121"/>
  <c r="H115" i="121"/>
  <c r="H111" i="121"/>
  <c r="H107" i="121"/>
  <c r="H103" i="121"/>
  <c r="H98" i="121"/>
  <c r="H92" i="121"/>
  <c r="H118" i="121"/>
  <c r="H114" i="121"/>
  <c r="H110" i="121"/>
  <c r="H96" i="121"/>
  <c r="H91" i="121"/>
  <c r="H100" i="121"/>
  <c r="H95" i="121"/>
  <c r="H122" i="121"/>
  <c r="H116" i="121"/>
  <c r="H108" i="121"/>
  <c r="H104" i="121"/>
  <c r="H99" i="121"/>
  <c r="H94" i="121"/>
  <c r="H106" i="121"/>
  <c r="H102" i="121"/>
  <c r="H117" i="121"/>
  <c r="H113" i="121"/>
  <c r="H109" i="121"/>
  <c r="H105" i="121"/>
  <c r="G161" i="121"/>
  <c r="H161" i="121" s="1"/>
  <c r="G158" i="121"/>
  <c r="H158" i="121" s="1"/>
  <c r="G157" i="121"/>
  <c r="H157" i="121" s="1"/>
  <c r="G155" i="121"/>
  <c r="H155" i="121" s="1"/>
  <c r="G154" i="121"/>
  <c r="H154" i="121" s="1"/>
  <c r="G151" i="121"/>
  <c r="H151" i="121" s="1"/>
  <c r="G149" i="121"/>
  <c r="H149" i="121" s="1"/>
  <c r="G148" i="121"/>
  <c r="H148" i="121" s="1"/>
  <c r="G145" i="121"/>
  <c r="H145" i="121" s="1"/>
  <c r="G144" i="121"/>
  <c r="H144" i="121" s="1"/>
  <c r="G141" i="121"/>
  <c r="H141" i="121" s="1"/>
  <c r="G140" i="121"/>
  <c r="H140" i="121" s="1"/>
  <c r="G139" i="121"/>
  <c r="H139" i="121" s="1"/>
  <c r="G138" i="121"/>
  <c r="H138" i="121" s="1"/>
  <c r="G97" i="121"/>
  <c r="H97" i="121" s="1"/>
  <c r="H112" i="121" l="1"/>
  <c r="G156" i="121"/>
  <c r="H156" i="121" s="1"/>
  <c r="G163" i="121"/>
  <c r="H163" i="121" s="1"/>
  <c r="G133" i="121"/>
  <c r="H133" i="121" s="1"/>
  <c r="G153" i="121"/>
  <c r="H153" i="121" s="1"/>
  <c r="G101" i="121"/>
  <c r="H101" i="121" s="1"/>
  <c r="G142" i="121"/>
  <c r="H142" i="121" s="1"/>
  <c r="G93" i="121"/>
  <c r="H93" i="121" s="1"/>
  <c r="G134" i="121"/>
  <c r="H134" i="121" s="1"/>
  <c r="G143" i="121"/>
  <c r="H143" i="121" s="1"/>
  <c r="G160" i="121"/>
  <c r="H160" i="121" s="1"/>
  <c r="G119" i="121"/>
  <c r="H119" i="121" s="1"/>
  <c r="G147" i="121"/>
  <c r="H147" i="121" s="1"/>
  <c r="G132" i="121"/>
  <c r="H132" i="121" s="1"/>
  <c r="G135" i="121"/>
  <c r="H135" i="121" s="1"/>
  <c r="G159" i="121"/>
  <c r="H159" i="121" s="1"/>
  <c r="G137" i="121"/>
  <c r="H137" i="121" s="1"/>
  <c r="G146" i="121"/>
  <c r="H146" i="121" s="1"/>
  <c r="G152" i="121"/>
  <c r="H152" i="121" s="1"/>
  <c r="G162" i="121"/>
  <c r="H162" i="121" s="1"/>
  <c r="G121" i="121"/>
  <c r="H121" i="121" s="1"/>
  <c r="G150" i="121"/>
  <c r="H150" i="121" s="1"/>
  <c r="S41" i="92" a="1"/>
  <c r="S41" i="92" s="1"/>
  <c r="S39" i="92"/>
  <c r="AO40" i="92"/>
  <c r="S38" i="92"/>
  <c r="K96" i="121"/>
  <c r="K97" i="121"/>
  <c r="K98" i="121"/>
  <c r="K137" i="121"/>
  <c r="K138" i="121"/>
  <c r="K136" i="121"/>
  <c r="S40" i="92" l="1"/>
  <c r="F317" i="67"/>
  <c r="F313" i="67"/>
  <c r="F312" i="67"/>
  <c r="F300" i="67"/>
  <c r="F290" i="67"/>
  <c r="F274" i="67"/>
  <c r="F314" i="67"/>
  <c r="F272" i="67"/>
  <c r="F271" i="67"/>
  <c r="F270" i="67"/>
  <c r="F269" i="67"/>
  <c r="F217" i="67"/>
  <c r="F205" i="67"/>
  <c r="F190" i="67"/>
  <c r="F185" i="67"/>
  <c r="F167" i="67"/>
  <c r="F162" i="67"/>
  <c r="F160" i="67"/>
  <c r="F218" i="67"/>
  <c r="F210" i="67"/>
  <c r="F253" i="67"/>
  <c r="F211" i="67"/>
  <c r="F200" i="67"/>
  <c r="F184" i="67"/>
  <c r="F301" i="67"/>
  <c r="F295" i="67"/>
  <c r="F60" i="67"/>
  <c r="F318" i="67"/>
  <c r="F296" i="67"/>
  <c r="F288" i="67"/>
  <c r="F276" i="67"/>
  <c r="F268" i="67"/>
  <c r="F228" i="67"/>
  <c r="F177" i="67"/>
  <c r="F171" i="67"/>
  <c r="F176" i="67"/>
  <c r="F168" i="67"/>
  <c r="F251" i="67"/>
  <c r="F187" i="67"/>
  <c r="F206" i="67"/>
  <c r="F297" i="67"/>
  <c r="F293" i="67"/>
  <c r="F229" i="67"/>
  <c r="F291" i="67"/>
  <c r="F188" i="67"/>
  <c r="F287" i="67"/>
  <c r="F46" i="67"/>
  <c r="F298" i="67"/>
  <c r="F246" i="67"/>
  <c r="F161" i="67"/>
  <c r="F189" i="67"/>
  <c r="F250" i="67"/>
  <c r="F230" i="67"/>
  <c r="F252" i="67"/>
  <c r="F186" i="67"/>
  <c r="F289" i="67"/>
  <c r="F227" i="67"/>
  <c r="F294" i="67"/>
  <c r="F36" i="67"/>
  <c r="F275" i="67"/>
  <c r="F245" i="67"/>
  <c r="F299" i="67"/>
  <c r="F166" i="67"/>
  <c r="F213" i="67"/>
  <c r="F212" i="67"/>
  <c r="F273" i="67"/>
  <c r="F292" i="67"/>
  <c r="F315" i="67"/>
  <c r="F316" i="67"/>
  <c r="F286" i="67"/>
  <c r="F241" i="67"/>
  <c r="F175" i="67"/>
  <c r="F204" i="67"/>
  <c r="F172" i="67"/>
  <c r="F362" i="67"/>
  <c r="F359" i="67"/>
  <c r="H358" i="67"/>
  <c r="F84" i="67"/>
  <c r="F256" i="67"/>
  <c r="H362" i="67"/>
  <c r="G74" i="67"/>
  <c r="G81" i="67"/>
  <c r="F129" i="67"/>
  <c r="F356" i="67"/>
  <c r="F130" i="67"/>
  <c r="F358" i="67"/>
  <c r="E328" i="67"/>
  <c r="F123" i="67"/>
  <c r="G327" i="67"/>
  <c r="H329" i="67"/>
  <c r="F355" i="67"/>
  <c r="D328" i="67"/>
  <c r="G85" i="67"/>
  <c r="F85" i="67"/>
  <c r="F103" i="67"/>
  <c r="H46" i="67"/>
  <c r="F75" i="67"/>
  <c r="H356" i="67"/>
  <c r="G73" i="67"/>
  <c r="H355" i="67"/>
  <c r="H289" i="67"/>
  <c r="C326" i="67"/>
  <c r="H317" i="67"/>
  <c r="F329" i="67"/>
  <c r="E327" i="67"/>
  <c r="D326" i="67"/>
  <c r="H357" i="67"/>
  <c r="F333" i="67"/>
  <c r="H276" i="67"/>
  <c r="H149" i="67"/>
  <c r="F148" i="67"/>
  <c r="F82" i="67"/>
  <c r="F347" i="67"/>
  <c r="F361" i="67"/>
  <c r="D329" i="67"/>
  <c r="H361" i="67"/>
  <c r="H359" i="67"/>
  <c r="H328" i="67"/>
  <c r="F353" i="67"/>
  <c r="F83" i="67"/>
  <c r="C334" i="67"/>
  <c r="F326" i="67"/>
  <c r="G80" i="67"/>
  <c r="H354" i="67"/>
  <c r="G326" i="67"/>
  <c r="F131" i="67"/>
  <c r="H288" i="67"/>
  <c r="F88" i="67"/>
  <c r="I76" i="67"/>
  <c r="F328" i="67"/>
  <c r="H129" i="67"/>
  <c r="C327" i="67"/>
  <c r="F357" i="67"/>
  <c r="C328" i="67"/>
  <c r="E326" i="67"/>
  <c r="F132" i="67"/>
  <c r="F119" i="67"/>
  <c r="F147" i="67"/>
  <c r="D336" i="67"/>
  <c r="I72" i="67"/>
  <c r="F106" i="67"/>
  <c r="I85" i="67"/>
  <c r="F104" i="67"/>
  <c r="G76" i="67"/>
  <c r="G82" i="67"/>
  <c r="F327" i="67"/>
  <c r="G88" i="67"/>
  <c r="F80" i="67"/>
  <c r="H217" i="67"/>
  <c r="H212" i="67"/>
  <c r="H316" i="67"/>
  <c r="E329" i="67"/>
  <c r="G75" i="67"/>
  <c r="F72" i="67"/>
  <c r="F311" i="67"/>
  <c r="G84" i="67"/>
  <c r="G328" i="67"/>
  <c r="H200" i="67"/>
  <c r="F141" i="67"/>
  <c r="F73" i="67"/>
  <c r="E334" i="67"/>
  <c r="F112" i="67"/>
  <c r="H291" i="67"/>
  <c r="D333" i="67"/>
  <c r="I82" i="67"/>
  <c r="I73" i="67"/>
  <c r="F139" i="67"/>
  <c r="H250" i="67"/>
  <c r="H160" i="67"/>
  <c r="H295" i="67"/>
  <c r="H292" i="67"/>
  <c r="I81" i="67"/>
  <c r="H353" i="67"/>
  <c r="H80" i="67"/>
  <c r="H319" i="67"/>
  <c r="G336" i="67"/>
  <c r="F121" i="67"/>
  <c r="H271" i="67"/>
  <c r="H268" i="67"/>
  <c r="F47" i="67"/>
  <c r="F120" i="67"/>
  <c r="I80" i="67"/>
  <c r="F335" i="67"/>
  <c r="H122" i="67"/>
  <c r="H132" i="67"/>
  <c r="G72" i="67"/>
  <c r="F87" i="67"/>
  <c r="H133" i="67"/>
  <c r="H326" i="67"/>
  <c r="F360" i="67"/>
  <c r="C329" i="67"/>
  <c r="H206" i="67"/>
  <c r="H186" i="67"/>
  <c r="H327" i="67"/>
  <c r="H72" i="67"/>
  <c r="I75" i="67"/>
  <c r="H315" i="67"/>
  <c r="C333" i="67"/>
  <c r="H75" i="67"/>
  <c r="H188" i="67"/>
  <c r="F122" i="67"/>
  <c r="H48" i="67"/>
  <c r="H270" i="67"/>
  <c r="I84" i="67"/>
  <c r="H131" i="67"/>
  <c r="H313" i="67"/>
  <c r="H360" i="67"/>
  <c r="G87" i="67"/>
  <c r="G83" i="67"/>
  <c r="H213" i="67"/>
  <c r="H256" i="67"/>
  <c r="H253" i="67"/>
  <c r="G329" i="67"/>
  <c r="F354" i="67"/>
  <c r="H47" i="67"/>
  <c r="G333" i="67"/>
  <c r="H296" i="67"/>
  <c r="H45" i="67"/>
  <c r="H297" i="67"/>
  <c r="F111" i="67"/>
  <c r="H60" i="67"/>
  <c r="H241" i="67"/>
  <c r="H74" i="67"/>
  <c r="H118" i="67"/>
  <c r="H82" i="67"/>
  <c r="H36" i="67"/>
  <c r="H166" i="67"/>
  <c r="H123" i="67"/>
  <c r="G71" i="67"/>
  <c r="H335" i="67"/>
  <c r="F183" i="67"/>
  <c r="H293" i="67"/>
  <c r="H183" i="67"/>
  <c r="H162" i="67"/>
  <c r="H146" i="67"/>
  <c r="H83" i="67"/>
  <c r="D327" i="67"/>
  <c r="H228" i="67"/>
  <c r="G334" i="67"/>
  <c r="H287" i="67"/>
  <c r="H84" i="67"/>
  <c r="H59" i="67"/>
  <c r="H312" i="67"/>
  <c r="H85" i="67"/>
  <c r="F334" i="67"/>
  <c r="H119" i="67"/>
  <c r="H245" i="67"/>
  <c r="D334" i="67"/>
  <c r="H275" i="67"/>
  <c r="H148" i="67"/>
  <c r="H161" i="67"/>
  <c r="H185" i="67"/>
  <c r="G335" i="67"/>
  <c r="I86" i="67"/>
  <c r="H44" i="67"/>
  <c r="H300" i="67"/>
  <c r="I74" i="67"/>
  <c r="H204" i="67"/>
  <c r="H176" i="67"/>
  <c r="H210" i="67"/>
  <c r="H205" i="67"/>
  <c r="H120" i="67"/>
  <c r="H81" i="67"/>
  <c r="C336" i="67"/>
  <c r="H299" i="67"/>
  <c r="F336" i="67"/>
  <c r="F97" i="67"/>
  <c r="I71" i="67"/>
  <c r="H177" i="67"/>
  <c r="H286" i="67"/>
  <c r="F45" i="67"/>
  <c r="F118" i="67"/>
  <c r="F133" i="67"/>
  <c r="H187" i="67"/>
  <c r="I87" i="67"/>
  <c r="H189" i="67"/>
  <c r="H290" i="67"/>
  <c r="H227" i="67"/>
  <c r="F142" i="67"/>
  <c r="H294" i="67"/>
  <c r="H211" i="67"/>
  <c r="H167" i="67"/>
  <c r="H229" i="67"/>
  <c r="H111" i="67"/>
  <c r="H334" i="67"/>
  <c r="F134" i="67"/>
  <c r="F114" i="67"/>
  <c r="H134" i="67"/>
  <c r="G86" i="67"/>
  <c r="H147" i="67"/>
  <c r="H274" i="67"/>
  <c r="F124" i="67"/>
  <c r="H171" i="67"/>
  <c r="H269" i="67"/>
  <c r="F81" i="67"/>
  <c r="F199" i="67"/>
  <c r="C335" i="67"/>
  <c r="H139" i="67"/>
  <c r="H141" i="67"/>
  <c r="H273" i="67"/>
  <c r="H314" i="67"/>
  <c r="H130" i="67"/>
  <c r="H88" i="67"/>
  <c r="H230" i="67"/>
  <c r="F113" i="67"/>
  <c r="I83" i="67"/>
  <c r="H86" i="67"/>
  <c r="H104" i="67"/>
  <c r="F110" i="67"/>
  <c r="H113" i="67"/>
  <c r="H318" i="67"/>
  <c r="H142" i="67"/>
  <c r="H114" i="67"/>
  <c r="H76" i="67"/>
  <c r="H190" i="67"/>
  <c r="H87" i="67"/>
  <c r="H175" i="67"/>
  <c r="H218" i="67"/>
  <c r="H140" i="67"/>
  <c r="H272" i="67"/>
  <c r="F74" i="67"/>
  <c r="H97" i="67"/>
  <c r="I88" i="67"/>
  <c r="H298" i="67"/>
  <c r="F140" i="67"/>
  <c r="H246" i="67"/>
  <c r="F138" i="67"/>
  <c r="F59" i="67"/>
  <c r="F86" i="67"/>
  <c r="H311" i="67"/>
  <c r="F128" i="67"/>
  <c r="H138" i="67"/>
  <c r="F48" i="67"/>
  <c r="H301" i="67"/>
  <c r="F76" i="67"/>
  <c r="F149" i="67"/>
  <c r="H159" i="67"/>
  <c r="H333" i="67"/>
  <c r="H336" i="67"/>
  <c r="H106" i="67"/>
  <c r="D335" i="67"/>
  <c r="F146" i="67"/>
  <c r="H184" i="67"/>
  <c r="H73" i="67"/>
  <c r="H172" i="67"/>
  <c r="H199" i="67"/>
  <c r="E333" i="67"/>
  <c r="H240" i="67"/>
  <c r="H121" i="67"/>
  <c r="E336" i="67"/>
  <c r="H124" i="67"/>
  <c r="H168" i="67"/>
  <c r="H251" i="67"/>
  <c r="H252" i="67"/>
  <c r="H112" i="67"/>
  <c r="F96" i="67"/>
  <c r="E335" i="67"/>
  <c r="H226" i="67"/>
  <c r="F57" i="67"/>
  <c r="F240" i="67"/>
  <c r="H128" i="67"/>
  <c r="H96" i="67"/>
  <c r="H43" i="67"/>
  <c r="H110" i="67"/>
  <c r="H71" i="67"/>
  <c r="H267" i="67"/>
  <c r="F159" i="67"/>
  <c r="F267" i="67"/>
  <c r="H347" i="67"/>
  <c r="F71" i="67"/>
  <c r="H103" i="67"/>
  <c r="AB5" i="102" l="1"/>
  <c r="L44" i="102"/>
  <c r="L5" i="102"/>
  <c r="D5" i="124"/>
  <c r="AB44" i="102"/>
  <c r="T44" i="102"/>
  <c r="K4" i="118"/>
  <c r="BE4" i="118" s="1"/>
  <c r="BD4" i="118" s="1"/>
  <c r="J4" i="118"/>
  <c r="BC4" i="118" s="1"/>
  <c r="BB4" i="118" s="1"/>
  <c r="AR5" i="102"/>
  <c r="T4" i="116"/>
  <c r="AN4" i="116" s="1"/>
  <c r="AM4" i="116" s="1"/>
  <c r="AR44" i="102"/>
  <c r="AJ5" i="102"/>
  <c r="J4" i="117"/>
  <c r="AH4" i="117" s="1"/>
  <c r="AG4" i="117" s="1"/>
  <c r="AN4" i="118"/>
  <c r="BS4" i="118" s="1"/>
  <c r="BR4" i="118" s="1"/>
  <c r="G44" i="124"/>
  <c r="G82" i="124"/>
  <c r="K4" i="116"/>
  <c r="AK4" i="116" s="1"/>
  <c r="AJ4" i="116" s="1"/>
  <c r="T5" i="102"/>
  <c r="AO4" i="118"/>
  <c r="BU4" i="118" s="1"/>
  <c r="BT4" i="118" s="1"/>
  <c r="AE4" i="118"/>
  <c r="BP4" i="118" s="1"/>
  <c r="BO4" i="118" s="1"/>
  <c r="K4" i="117"/>
  <c r="AJ4" i="117" s="1"/>
  <c r="AI4" i="117" s="1"/>
  <c r="F4" i="109"/>
  <c r="K4" i="119"/>
  <c r="J4" i="119"/>
  <c r="U4" i="118"/>
  <c r="BK4" i="118" s="1"/>
  <c r="BJ4" i="118" s="1"/>
  <c r="U4" i="117"/>
  <c r="AO4" i="117" s="1"/>
  <c r="AN4" i="117" s="1"/>
  <c r="AJ44" i="102"/>
  <c r="U4" i="116"/>
  <c r="AP4" i="116" s="1"/>
  <c r="AO4" i="116" s="1"/>
  <c r="AD4" i="118"/>
  <c r="BN4" i="118" s="1"/>
  <c r="BM4" i="118" s="1"/>
  <c r="T4" i="118"/>
  <c r="BI4" i="118" s="1"/>
  <c r="BH4" i="118" s="1"/>
  <c r="J4" i="116"/>
  <c r="AI4" i="116" s="1"/>
  <c r="AH4" i="116" s="1"/>
  <c r="P4" i="109"/>
  <c r="T4" i="117"/>
  <c r="AM4" i="117" s="1"/>
  <c r="AL4" i="117" s="1"/>
  <c r="C230" i="121"/>
  <c r="F49" i="67"/>
  <c r="C229" i="121"/>
  <c r="H231" i="67"/>
  <c r="F254" i="67"/>
  <c r="H302" i="67"/>
  <c r="H49" i="67"/>
  <c r="H320" i="67"/>
  <c r="F207" i="67"/>
  <c r="G77" i="67"/>
  <c r="F277" i="67"/>
  <c r="F242" i="67"/>
  <c r="C311" i="121"/>
  <c r="F201" i="67"/>
  <c r="H363" i="67"/>
  <c r="F150" i="67"/>
  <c r="H163" i="67"/>
  <c r="F169" i="67"/>
  <c r="G332" i="67"/>
  <c r="F163" i="67"/>
  <c r="H201" i="67"/>
  <c r="H135" i="67"/>
  <c r="H143" i="67"/>
  <c r="H254" i="67"/>
  <c r="H77" i="67"/>
  <c r="H325" i="67"/>
  <c r="F77" i="67"/>
  <c r="H115" i="67"/>
  <c r="E332" i="67"/>
  <c r="F143" i="67"/>
  <c r="H178" i="67"/>
  <c r="C312" i="121"/>
  <c r="I77" i="67"/>
  <c r="C332" i="67"/>
  <c r="H277" i="67"/>
  <c r="H169" i="67"/>
  <c r="F42" i="67"/>
  <c r="C228" i="121"/>
  <c r="H242" i="67"/>
  <c r="H150" i="67"/>
  <c r="H125" i="67"/>
  <c r="E325" i="67"/>
  <c r="F135" i="67"/>
  <c r="H247" i="67"/>
  <c r="C310" i="121"/>
  <c r="F231" i="67"/>
  <c r="H332" i="67"/>
  <c r="L44" i="124"/>
  <c r="F115" i="67"/>
  <c r="F125" i="67"/>
  <c r="F332" i="67"/>
  <c r="F320" i="67"/>
  <c r="H207" i="67"/>
  <c r="D332" i="67"/>
  <c r="G325" i="67"/>
  <c r="F363" i="67"/>
  <c r="D325" i="67"/>
  <c r="C325" i="67"/>
  <c r="F325" i="67"/>
  <c r="F178" i="67"/>
  <c r="F302" i="67"/>
  <c r="F247" i="67"/>
  <c r="N5" i="124" l="1"/>
  <c r="M5" i="124"/>
  <c r="T4" i="109"/>
  <c r="R4" i="109"/>
  <c r="AN5" i="102"/>
  <c r="AM5" i="102"/>
  <c r="P5" i="102"/>
  <c r="O5" i="102"/>
  <c r="N4" i="119"/>
  <c r="M4" i="119"/>
  <c r="X5" i="102"/>
  <c r="W5" i="102"/>
  <c r="AV44" i="102"/>
  <c r="AU44" i="102"/>
  <c r="P4" i="119"/>
  <c r="O4" i="119"/>
  <c r="AF44" i="102"/>
  <c r="AE44" i="102"/>
  <c r="P44" i="102"/>
  <c r="O44" i="102"/>
  <c r="AF5" i="102"/>
  <c r="AE5" i="102"/>
  <c r="AN44" i="102"/>
  <c r="AM44" i="102"/>
  <c r="J4" i="109"/>
  <c r="H4" i="109"/>
  <c r="AV5" i="102"/>
  <c r="AU5" i="102"/>
  <c r="X44" i="102"/>
  <c r="W44" i="102"/>
  <c r="H82" i="124"/>
  <c r="AE4" i="116"/>
  <c r="AD4" i="116"/>
  <c r="H44" i="124"/>
  <c r="AX4" i="118"/>
  <c r="I82" i="124"/>
  <c r="AE4" i="117"/>
  <c r="AY4" i="118"/>
  <c r="L82" i="124"/>
  <c r="C44" i="124"/>
  <c r="I44" i="124"/>
  <c r="AD4" i="117"/>
  <c r="F34" i="67"/>
  <c r="F179" i="67"/>
  <c r="H37" i="67"/>
  <c r="F53" i="67"/>
  <c r="D230" i="121"/>
  <c r="H35" i="67"/>
  <c r="H53" i="67"/>
  <c r="H32" i="67"/>
  <c r="F214" i="67"/>
  <c r="F102" i="67"/>
  <c r="D310" i="121"/>
  <c r="F32" i="67"/>
  <c r="I47" i="121"/>
  <c r="I84" i="121" s="1"/>
  <c r="H98" i="67"/>
  <c r="F35" i="67"/>
  <c r="I4" i="121"/>
  <c r="I41" i="121" s="1"/>
  <c r="F99" i="67"/>
  <c r="D311" i="121"/>
  <c r="F100" i="67"/>
  <c r="H257" i="67"/>
  <c r="F101" i="67"/>
  <c r="H214" i="67"/>
  <c r="F37" i="67"/>
  <c r="H102" i="67"/>
  <c r="D228" i="121"/>
  <c r="D229" i="121"/>
  <c r="H34" i="67"/>
  <c r="F28" i="67"/>
  <c r="H101" i="67"/>
  <c r="H100" i="67"/>
  <c r="H28" i="67"/>
  <c r="F98" i="67"/>
  <c r="H179" i="67"/>
  <c r="D312" i="121"/>
  <c r="H99" i="67"/>
  <c r="F257" i="67"/>
  <c r="J82" i="124" l="1"/>
  <c r="J44" i="124"/>
  <c r="F105" i="67"/>
  <c r="F90" i="121"/>
  <c r="F125" i="121" s="1"/>
  <c r="F126" i="121" s="1"/>
  <c r="D44" i="102"/>
  <c r="D5" i="102"/>
  <c r="F180" i="67"/>
  <c r="F31" i="67"/>
  <c r="B185" i="121"/>
  <c r="C224" i="121"/>
  <c r="I42" i="121"/>
  <c r="F33" i="67"/>
  <c r="H33" i="67"/>
  <c r="B264" i="121"/>
  <c r="I85" i="121"/>
  <c r="C306" i="121"/>
  <c r="H180" i="67"/>
  <c r="H31" i="67"/>
  <c r="H105" i="67"/>
  <c r="B90" i="121" l="1"/>
  <c r="B125" i="121" s="1"/>
  <c r="B126" i="121" s="1"/>
  <c r="H5" i="102"/>
  <c r="G5" i="102"/>
  <c r="H44" i="102"/>
  <c r="G44" i="102"/>
  <c r="F131" i="121"/>
  <c r="F166" i="121" s="1"/>
  <c r="F167" i="121" s="1"/>
  <c r="F30" i="67"/>
  <c r="H29" i="67"/>
  <c r="D306" i="121"/>
  <c r="E306" i="121"/>
  <c r="H4" i="121"/>
  <c r="H41" i="121" s="1"/>
  <c r="H30" i="67"/>
  <c r="AF4" i="92"/>
  <c r="E224" i="121"/>
  <c r="D224" i="121"/>
  <c r="J4" i="92"/>
  <c r="H47" i="121"/>
  <c r="H84" i="121" s="1"/>
  <c r="F29" i="67"/>
  <c r="D90" i="121" l="1"/>
  <c r="D125" i="121" s="1"/>
  <c r="D126" i="121" s="1"/>
  <c r="D131" i="121"/>
  <c r="D166" i="121" s="1"/>
  <c r="D167" i="121" s="1"/>
  <c r="F47" i="121"/>
  <c r="F84" i="121" s="1"/>
  <c r="F85" i="121" s="1"/>
  <c r="AR4" i="92"/>
  <c r="AO4" i="92"/>
  <c r="AP4" i="92" s="1"/>
  <c r="V4" i="92"/>
  <c r="S4" i="92"/>
  <c r="T4" i="92" s="1"/>
  <c r="H38" i="67"/>
  <c r="B263" i="121"/>
  <c r="C305" i="121"/>
  <c r="H85" i="121"/>
  <c r="B184" i="121"/>
  <c r="C223" i="121"/>
  <c r="H42" i="121"/>
  <c r="F4" i="121"/>
  <c r="F41" i="121" s="1"/>
  <c r="C303" i="121" l="1"/>
  <c r="B261" i="121"/>
  <c r="E4" i="121"/>
  <c r="E41" i="121" s="1"/>
  <c r="E42" i="121" s="1"/>
  <c r="G47" i="121"/>
  <c r="G84" i="121" s="1"/>
  <c r="E47" i="121"/>
  <c r="E84" i="121" s="1"/>
  <c r="D223" i="121"/>
  <c r="E223" i="121"/>
  <c r="B4" i="121"/>
  <c r="D82" i="124"/>
  <c r="K82" i="124" s="1"/>
  <c r="H52" i="67"/>
  <c r="B312" i="121"/>
  <c r="B310" i="121"/>
  <c r="B311" i="121"/>
  <c r="E303" i="121"/>
  <c r="D303" i="121"/>
  <c r="D305" i="121"/>
  <c r="E305" i="121"/>
  <c r="B182" i="121"/>
  <c r="C221" i="121"/>
  <c r="F42" i="121"/>
  <c r="B47" i="121"/>
  <c r="B84" i="121" s="1"/>
  <c r="B229" i="121"/>
  <c r="F52" i="67"/>
  <c r="D44" i="124"/>
  <c r="K44" i="124" s="1"/>
  <c r="M44" i="124" s="1"/>
  <c r="B230" i="121"/>
  <c r="B228" i="121"/>
  <c r="G4" i="121"/>
  <c r="G41" i="121" s="1"/>
  <c r="D4" i="121" l="1"/>
  <c r="D41" i="121" s="1"/>
  <c r="D42" i="121" s="1"/>
  <c r="B181" i="121"/>
  <c r="C82" i="124"/>
  <c r="M82" i="124" s="1"/>
  <c r="C220" i="121"/>
  <c r="E220" i="121" s="1"/>
  <c r="B262" i="121"/>
  <c r="G85" i="121"/>
  <c r="C304" i="121"/>
  <c r="F54" i="67"/>
  <c r="B257" i="121"/>
  <c r="B85" i="121"/>
  <c r="C299" i="121"/>
  <c r="E221" i="121"/>
  <c r="D221" i="121"/>
  <c r="D47" i="121"/>
  <c r="D84" i="121" s="1"/>
  <c r="B178" i="121"/>
  <c r="C217" i="121"/>
  <c r="B41" i="121"/>
  <c r="B42" i="121" s="1"/>
  <c r="B183" i="121"/>
  <c r="C222" i="121"/>
  <c r="G42" i="121"/>
  <c r="H54" i="67"/>
  <c r="B260" i="121"/>
  <c r="C302" i="121"/>
  <c r="E85" i="121"/>
  <c r="B180" i="121" l="1"/>
  <c r="C219" i="121"/>
  <c r="D220" i="121"/>
  <c r="D217" i="121"/>
  <c r="E217" i="121"/>
  <c r="J47" i="121"/>
  <c r="B231" i="121"/>
  <c r="C231" i="121"/>
  <c r="F58" i="67"/>
  <c r="E302" i="121"/>
  <c r="D302" i="121"/>
  <c r="C47" i="121"/>
  <c r="C84" i="121" s="1"/>
  <c r="C4" i="121"/>
  <c r="C41" i="121" s="1"/>
  <c r="C313" i="121"/>
  <c r="B313" i="121"/>
  <c r="H58" i="67"/>
  <c r="B259" i="121"/>
  <c r="D85" i="121"/>
  <c r="C301" i="121"/>
  <c r="E299" i="121"/>
  <c r="D299" i="121"/>
  <c r="J4" i="121"/>
  <c r="J41" i="121" s="1"/>
  <c r="E222" i="121"/>
  <c r="D222" i="121"/>
  <c r="E304" i="121"/>
  <c r="D304" i="121"/>
  <c r="E219" i="121" l="1"/>
  <c r="D219" i="121"/>
  <c r="C90" i="121"/>
  <c r="C125" i="121" s="1"/>
  <c r="C126" i="121" s="1"/>
  <c r="C131" i="121"/>
  <c r="C166" i="121" s="1"/>
  <c r="C167" i="121" s="1"/>
  <c r="D82" i="121"/>
  <c r="J84" i="121"/>
  <c r="J85" i="121" s="1"/>
  <c r="C85" i="121"/>
  <c r="B258" i="121"/>
  <c r="C82" i="121"/>
  <c r="C300" i="121"/>
  <c r="F61" i="67"/>
  <c r="D301" i="121"/>
  <c r="E301" i="121"/>
  <c r="J39" i="121"/>
  <c r="C225" i="121"/>
  <c r="B186" i="121"/>
  <c r="J42" i="121"/>
  <c r="I39" i="121"/>
  <c r="H39" i="121"/>
  <c r="F39" i="121"/>
  <c r="E39" i="121"/>
  <c r="D39" i="121"/>
  <c r="B39" i="121"/>
  <c r="G39" i="121"/>
  <c r="C39" i="121"/>
  <c r="B179" i="121"/>
  <c r="C218" i="121"/>
  <c r="C42" i="121"/>
  <c r="B265" i="121"/>
  <c r="J82" i="121"/>
  <c r="C307" i="121"/>
  <c r="F301" i="121" s="1"/>
  <c r="I82" i="121"/>
  <c r="F82" i="121"/>
  <c r="H82" i="121"/>
  <c r="B82" i="121"/>
  <c r="G82" i="121"/>
  <c r="E82" i="121"/>
  <c r="F218" i="121" l="1"/>
  <c r="E218" i="121"/>
  <c r="D218" i="121"/>
  <c r="F225" i="121"/>
  <c r="E225" i="121"/>
  <c r="D225" i="121"/>
  <c r="F224" i="121"/>
  <c r="F223" i="121"/>
  <c r="F221" i="121"/>
  <c r="F220" i="121"/>
  <c r="F222" i="121"/>
  <c r="F219" i="121"/>
  <c r="F217" i="121"/>
  <c r="H57" i="67"/>
  <c r="F300" i="121"/>
  <c r="E300" i="121"/>
  <c r="D300" i="121"/>
  <c r="F307" i="121"/>
  <c r="E307" i="121"/>
  <c r="D307" i="121"/>
  <c r="F306" i="121"/>
  <c r="F303" i="121"/>
  <c r="F305" i="121"/>
  <c r="F302" i="121"/>
  <c r="F299" i="121"/>
  <c r="F304" i="121"/>
  <c r="E90" i="121" l="1"/>
  <c r="E125" i="121" s="1"/>
  <c r="E126" i="121" s="1"/>
  <c r="E131" i="121"/>
  <c r="E166" i="121" s="1"/>
  <c r="E167" i="121" s="1"/>
  <c r="H61" i="67"/>
  <c r="B131" i="121" l="1"/>
  <c r="B166" i="121" s="1"/>
  <c r="B167" i="121" s="1"/>
  <c r="G90" i="121"/>
  <c r="G125" i="121" l="1"/>
  <c r="G126" i="121" s="1"/>
  <c r="H90" i="121"/>
  <c r="H125" i="121" s="1"/>
  <c r="H126" i="121" s="1"/>
  <c r="J90" i="121"/>
  <c r="K90" i="121" s="1"/>
  <c r="G131" i="121" l="1"/>
  <c r="H131" i="121" s="1"/>
  <c r="H166" i="121" s="1"/>
  <c r="H167" i="121" s="1"/>
  <c r="G166" i="121" l="1"/>
  <c r="G167" i="121" s="1"/>
  <c r="J131" i="121"/>
  <c r="K131" i="121" s="1"/>
</calcChain>
</file>

<file path=xl/sharedStrings.xml><?xml version="1.0" encoding="utf-8"?>
<sst xmlns="http://schemas.openxmlformats.org/spreadsheetml/2006/main" count="13366" uniqueCount="462">
  <si>
    <t xml:space="preserve">Authority:   </t>
  </si>
  <si>
    <r>
      <t>Guidance notes</t>
    </r>
    <r>
      <rPr>
        <sz val="10"/>
        <rFont val="Verdana"/>
        <family val="2"/>
      </rPr>
      <t xml:space="preserve"> on the completion of the form are available from: </t>
    </r>
  </si>
  <si>
    <r>
      <t>Enquiries</t>
    </r>
    <r>
      <rPr>
        <sz val="10"/>
        <rFont val="Verdana"/>
        <family val="2"/>
      </rPr>
      <t xml:space="preserve"> about the completion of the form can be made to: Euan Smith 0131 244 7033 or e-mail:</t>
    </r>
  </si>
  <si>
    <t>Aberdeen City</t>
  </si>
  <si>
    <t>Aberdeenshire</t>
  </si>
  <si>
    <t>Angus</t>
  </si>
  <si>
    <t>Argyll &amp; Bute</t>
  </si>
  <si>
    <t>Please click on the links below to jump directly to each area of the form:</t>
  </si>
  <si>
    <t>Clackmannanshire</t>
  </si>
  <si>
    <t>Dumfries &amp; Galloway</t>
  </si>
  <si>
    <t>Sheet 5. PLANNING AND DEVELOPMENT SERVICES</t>
  </si>
  <si>
    <t>Dundee City</t>
  </si>
  <si>
    <t>Sheet 6. CULTURAL AND RELATED SERVICES</t>
  </si>
  <si>
    <t>East Ayrshire</t>
  </si>
  <si>
    <t>Sheet 1. EDUCATION</t>
  </si>
  <si>
    <t>Sheet 7. HOUSING</t>
  </si>
  <si>
    <t>East Dunbartonshire</t>
  </si>
  <si>
    <t>Sheet 2. SOCIAL WORK</t>
  </si>
  <si>
    <t>Sheet 8. CENTRAL SERVICES</t>
  </si>
  <si>
    <t>East Lothian</t>
  </si>
  <si>
    <t>Sheet 3. ROADS AND TRANSPORT</t>
  </si>
  <si>
    <t>Sheet 9. OTHER EXPENDITURE</t>
  </si>
  <si>
    <t>East Renfrewshire</t>
  </si>
  <si>
    <t>Sheet 4. ENVIRONMENTAL SERVICES</t>
  </si>
  <si>
    <t>Sheet 10. - PUBLIC PRIVATE PARTNERSHIPS/PRIVATE FINANCE INITIATIVES</t>
  </si>
  <si>
    <t>Edinburgh, City of</t>
  </si>
  <si>
    <t>Eilean Siar</t>
  </si>
  <si>
    <t>£ thousands</t>
  </si>
  <si>
    <t>Falkirk</t>
  </si>
  <si>
    <t>Fife</t>
  </si>
  <si>
    <t>Part 1 - Expenditure</t>
  </si>
  <si>
    <t>Glasgow City</t>
  </si>
  <si>
    <t>Highland</t>
  </si>
  <si>
    <t>Inverclyde</t>
  </si>
  <si>
    <t>Midlothian</t>
  </si>
  <si>
    <t>Moray</t>
  </si>
  <si>
    <t>North Ayrshire</t>
  </si>
  <si>
    <t>North Lanarkshire</t>
  </si>
  <si>
    <t>Orkney Islands</t>
  </si>
  <si>
    <t>Perth &amp; Kinross</t>
  </si>
  <si>
    <t>Renfrewshire</t>
  </si>
  <si>
    <t>Scottish Borders</t>
  </si>
  <si>
    <t>Shetland Islands</t>
  </si>
  <si>
    <t>South Ayrshire</t>
  </si>
  <si>
    <t>South Lanarkshire</t>
  </si>
  <si>
    <t>Stirling</t>
  </si>
  <si>
    <t>West Dunbartonshire</t>
  </si>
  <si>
    <t>West Lothian</t>
  </si>
  <si>
    <t>Item no.</t>
  </si>
  <si>
    <t>Service</t>
  </si>
  <si>
    <t>TOTAL NET EXPENDITURE AT ESTIMATED OUTTURN PRICES</t>
  </si>
  <si>
    <t>TOTAL NET EXPENDITURE</t>
  </si>
  <si>
    <t>Education</t>
  </si>
  <si>
    <t>Social Work</t>
  </si>
  <si>
    <t>Roads &amp; Transport</t>
  </si>
  <si>
    <t>Environmental Services</t>
  </si>
  <si>
    <t>Planning &amp; Development Services</t>
  </si>
  <si>
    <t>Cultural &amp; Related Services</t>
  </si>
  <si>
    <t>Housing</t>
  </si>
  <si>
    <t>Central Services</t>
  </si>
  <si>
    <t>General Fund Contributions to Trading Services</t>
  </si>
  <si>
    <t>Other expenditure</t>
  </si>
  <si>
    <t>TOTAL EXPENDITURE</t>
  </si>
  <si>
    <t>Part 2 - Income and Balances</t>
  </si>
  <si>
    <t>A</t>
  </si>
  <si>
    <t>FUNDING</t>
  </si>
  <si>
    <t>General Revenue Funding</t>
  </si>
  <si>
    <t>Redistributed Non-domestic Rate Income</t>
  </si>
  <si>
    <t>Non-domestic rate income retained - BRIS</t>
  </si>
  <si>
    <t>Ring-fenced Revenue Grants</t>
  </si>
  <si>
    <t>Non-domestic rate income retained - TIF</t>
  </si>
  <si>
    <t>TOTAL (1 + 2 + 3 + 4 + 5 + 6)</t>
  </si>
  <si>
    <t>B</t>
  </si>
  <si>
    <t>Total Expenditure (Item 11 of Part 1)</t>
  </si>
  <si>
    <t>Total Income (Item A7 of Part 2)</t>
  </si>
  <si>
    <t>C</t>
  </si>
  <si>
    <t>General Fund Opening Balance at 1 April</t>
  </si>
  <si>
    <t>Transfers to or from (-) Housing Revenue Account</t>
  </si>
  <si>
    <t>Transfers to or from (-) Other Reserves</t>
  </si>
  <si>
    <t>General Fund Closing Balance at 31 March</t>
  </si>
  <si>
    <t>SERVICE BREAKDOWN SHEETS</t>
  </si>
  <si>
    <t>Sum Devolved to Head Teacher</t>
  </si>
  <si>
    <t>Please provide below an allocation of expenditure shown against Part 1, item 1</t>
  </si>
  <si>
    <t>into the following categories:-</t>
  </si>
  <si>
    <t>Row no.</t>
  </si>
  <si>
    <t>Pre-primary education</t>
  </si>
  <si>
    <t>Primary Education</t>
  </si>
  <si>
    <t>Secondary Education</t>
  </si>
  <si>
    <t>Special Education</t>
  </si>
  <si>
    <t>Non-school Funding</t>
  </si>
  <si>
    <t>a) Community Learning</t>
  </si>
  <si>
    <t>b) Other non-school funding</t>
  </si>
  <si>
    <t>TOTAL EDUCATION</t>
  </si>
  <si>
    <t>Additional Information:</t>
  </si>
  <si>
    <t>Pre-primary Teaching Staff</t>
  </si>
  <si>
    <t>Primary School Teaching Staff</t>
  </si>
  <si>
    <t>Secondary School Teaching Staff</t>
  </si>
  <si>
    <t>Additional Support for Learning</t>
  </si>
  <si>
    <t>School transport incurred under section 50-51</t>
  </si>
  <si>
    <t>School Meals</t>
  </si>
  <si>
    <t>School Non-Teaching staff</t>
  </si>
  <si>
    <t>School Hostels</t>
  </si>
  <si>
    <t>Transfer Payments - 
Further Education: Residual Travel &amp; Bursaries</t>
  </si>
  <si>
    <t>Please provide below an allocation of expenditure shown against Part 1, item 2</t>
  </si>
  <si>
    <t>Service Strategy</t>
  </si>
  <si>
    <t>Children's Panel</t>
  </si>
  <si>
    <t>Children and Families</t>
  </si>
  <si>
    <t>Older Persons (aged over 65)</t>
  </si>
  <si>
    <t>Adults with physical or sensory disabilities (aged 18-64)</t>
  </si>
  <si>
    <t>Adults with learning disabilities (aged 18-64)</t>
  </si>
  <si>
    <t>Adults with mental health needs (aged 18-64)</t>
  </si>
  <si>
    <t>Adults with other needs (aged 18-64)</t>
  </si>
  <si>
    <t>Criminal justice social work services</t>
  </si>
  <si>
    <t>10</t>
  </si>
  <si>
    <t xml:space="preserve">TOTAL SOCIAL WORK </t>
  </si>
  <si>
    <r>
      <t xml:space="preserve">Supported employment </t>
    </r>
    <r>
      <rPr>
        <b/>
        <sz val="10"/>
        <rFont val="Verdana"/>
        <family val="2"/>
      </rPr>
      <t>(additional information</t>
    </r>
    <r>
      <rPr>
        <sz val="10"/>
        <rFont val="Verdana"/>
        <family val="2"/>
      </rPr>
      <t xml:space="preserve"> - </t>
    </r>
    <r>
      <rPr>
        <b/>
        <sz val="10"/>
        <rFont val="Verdana"/>
        <family val="2"/>
      </rPr>
      <t>included within item 10)</t>
    </r>
  </si>
  <si>
    <t>Additional information:</t>
  </si>
  <si>
    <t>Fieldwork services</t>
  </si>
  <si>
    <t>Community placements</t>
  </si>
  <si>
    <t>Accommodation-based services</t>
  </si>
  <si>
    <t>Day Care</t>
  </si>
  <si>
    <t>Other</t>
  </si>
  <si>
    <t>Total Children and Families (to equal item 3)</t>
  </si>
  <si>
    <t>Assessment and Care Management</t>
  </si>
  <si>
    <t>Home care</t>
  </si>
  <si>
    <t>Equipment and adaptations</t>
  </si>
  <si>
    <t>Direct Payments</t>
  </si>
  <si>
    <t>Total Older Persons (to equal item 4)</t>
  </si>
  <si>
    <t>Total Adults with physical or sensory disabilities (to equal item 5)</t>
  </si>
  <si>
    <t>Total Adults with Learning Disabilities (to equal item 6)</t>
  </si>
  <si>
    <t>Total Adults with Mental Health Needs (to equal item 7)</t>
  </si>
  <si>
    <t>Please provide below an allocation of expenditure shown against Part 1, item 3</t>
  </si>
  <si>
    <t>Roads</t>
  </si>
  <si>
    <t xml:space="preserve"> </t>
  </si>
  <si>
    <t>Construction</t>
  </si>
  <si>
    <t>Winter Maintenance</t>
  </si>
  <si>
    <t>Structural, environmental and safety maintenance and routine repairs</t>
  </si>
  <si>
    <t>Lighting</t>
  </si>
  <si>
    <t>Total Roads (1 to 4)</t>
  </si>
  <si>
    <t>Network and traffic management</t>
  </si>
  <si>
    <t>School crossing patrols</t>
  </si>
  <si>
    <t>Road Safety and Traffic Calming</t>
  </si>
  <si>
    <t>Total Network and traffic management (6 to 8)</t>
  </si>
  <si>
    <t>Parking services</t>
  </si>
  <si>
    <t xml:space="preserve">Local authority public transport </t>
  </si>
  <si>
    <t>Non-LA public transport</t>
  </si>
  <si>
    <t>Concessionary Fares</t>
  </si>
  <si>
    <t>Support to operators and voluntary groups</t>
  </si>
  <si>
    <t>Co-ordination</t>
  </si>
  <si>
    <t xml:space="preserve">Total Non-LA public transport (12 to 14) </t>
  </si>
  <si>
    <t>Total Public Transport (11 + 15)</t>
  </si>
  <si>
    <t xml:space="preserve">TOTAL ROADS AND TRANSPORT </t>
  </si>
  <si>
    <t>Additional info on General Fund subsidy of non-LA transport in Items 13-14:</t>
  </si>
  <si>
    <t>Buses - annual bus subsidy for tendered mileage</t>
  </si>
  <si>
    <t>Buses - other costs</t>
  </si>
  <si>
    <t>Rail</t>
  </si>
  <si>
    <t>Ferries</t>
  </si>
  <si>
    <t>Underground</t>
  </si>
  <si>
    <t xml:space="preserve">Air </t>
  </si>
  <si>
    <t>Piers and Harbours</t>
  </si>
  <si>
    <t>SPT not included above</t>
  </si>
  <si>
    <t>Please provide below an allocation of expenditure shown against Part 1, item 4</t>
  </si>
  <si>
    <t>Trading Standards</t>
  </si>
  <si>
    <t>Citizens Advice</t>
  </si>
  <si>
    <t>Other (Consumer Protection)</t>
  </si>
  <si>
    <t>Total Trading Standards (1+2)</t>
  </si>
  <si>
    <t>Waste Management</t>
  </si>
  <si>
    <t>Waste Collection</t>
  </si>
  <si>
    <t>Waste Disposal</t>
  </si>
  <si>
    <t>Other waste management (not chargeable to roads)</t>
  </si>
  <si>
    <t>Total Waste Management (4 to 6)</t>
  </si>
  <si>
    <t>Cemetery, cremation and mortuary services</t>
  </si>
  <si>
    <t>Coast Protection</t>
  </si>
  <si>
    <t>Flood defence and land drainage</t>
  </si>
  <si>
    <t>Environmental Health</t>
  </si>
  <si>
    <t>TOTAL ENVIRONMENTAL SERVICES</t>
  </si>
  <si>
    <t xml:space="preserve">Additional Information: </t>
  </si>
  <si>
    <t>Public Conveniences</t>
  </si>
  <si>
    <t>Street Cleaning</t>
  </si>
  <si>
    <t>Please provide below an allocation of expenditure shown against Part 1, item 5</t>
  </si>
  <si>
    <t>Building Control</t>
  </si>
  <si>
    <t>Development Control</t>
  </si>
  <si>
    <t>Planning Policy</t>
  </si>
  <si>
    <t>Environmental initiatives</t>
  </si>
  <si>
    <t>Economic Development</t>
  </si>
  <si>
    <t>TOTAL PLANNING AND DEVELOPMENT SERVICES</t>
  </si>
  <si>
    <t>Please provide below an allocation of expenditure shown against Part 1, item 6</t>
  </si>
  <si>
    <t xml:space="preserve">Culture and Heritage </t>
  </si>
  <si>
    <t>Museums and Galleries</t>
  </si>
  <si>
    <t>Other cultural and heritage</t>
  </si>
  <si>
    <t>Total Culture and Heritage (1+2)</t>
  </si>
  <si>
    <t>Tourism</t>
  </si>
  <si>
    <t>Promotional events</t>
  </si>
  <si>
    <t>Other tourism</t>
  </si>
  <si>
    <t>Total Tourism (4+5)</t>
  </si>
  <si>
    <t>Recreation and Sport</t>
  </si>
  <si>
    <t>Countryside recreation and management</t>
  </si>
  <si>
    <t>Sport facilities</t>
  </si>
  <si>
    <t>Community parks and open spaces</t>
  </si>
  <si>
    <t>Other recreation and sport</t>
  </si>
  <si>
    <t>Total Recreation and Sport (7 to 10)</t>
  </si>
  <si>
    <t>Library Service</t>
  </si>
  <si>
    <t xml:space="preserve">TOTAL CULTURAL AND RELATED SERVICES </t>
  </si>
  <si>
    <t>Please provide below an allocation of expenditure shown against Part 1, item 7</t>
  </si>
  <si>
    <t>Administration of Housing Advances</t>
  </si>
  <si>
    <t>Renovation and Improvement Grants (excl admin costs)</t>
  </si>
  <si>
    <t>Administration of Renovation and Improvement Grants</t>
  </si>
  <si>
    <t>Other Private Sector Housing Renewal</t>
  </si>
  <si>
    <t>Housing Benefits: Rent Allowance</t>
  </si>
  <si>
    <t>Housing Benefits: Rent Rebate</t>
  </si>
  <si>
    <t>Homelessness</t>
  </si>
  <si>
    <t>Housing Support Services</t>
  </si>
  <si>
    <t>Welfare Services</t>
  </si>
  <si>
    <t>Other non-HRA Housing (excl. admin of Housing Benefits)</t>
  </si>
  <si>
    <t>TOTAL HOUSING</t>
  </si>
  <si>
    <t>Please provide below an allocation of expenditure shown against Part 1, item 8</t>
  </si>
  <si>
    <t xml:space="preserve">Council Tax Collection </t>
  </si>
  <si>
    <t>Non-Domestic Rates Collection</t>
  </si>
  <si>
    <t>Administration of Council Tax Reduction &amp; Housing Benefit</t>
  </si>
  <si>
    <t>Emergency Planning</t>
  </si>
  <si>
    <t>Licensing</t>
  </si>
  <si>
    <t>Conducting Elections</t>
  </si>
  <si>
    <t>Registration of Electors</t>
  </si>
  <si>
    <t>Non-Domestic Lands Valuation</t>
  </si>
  <si>
    <t>Council Tax Valuation</t>
  </si>
  <si>
    <t>Non-Road Lighting</t>
  </si>
  <si>
    <t>General Grants, Bequests &amp; Donations</t>
  </si>
  <si>
    <t>Registration of Births, Deaths &amp; Marriages</t>
  </si>
  <si>
    <t>Corporate and Democratic Core</t>
  </si>
  <si>
    <t>Equal Pay/Single Status (prior year cost/provision only)</t>
  </si>
  <si>
    <t>Non Distributed Costs</t>
  </si>
  <si>
    <t>Miscellaneous</t>
  </si>
  <si>
    <t>TOTAL CENTRAL SERVICES</t>
  </si>
  <si>
    <t>Please provide below an allocation of expenditure shown against Part 1, item 10</t>
  </si>
  <si>
    <t>Capital expenditure charged to the General Fund</t>
  </si>
  <si>
    <t>Statutory repayment of debt - Loans fund</t>
  </si>
  <si>
    <t>Statutory repayment of debt - Credit arrangements (Finance leases / PPP/PFI)</t>
  </si>
  <si>
    <t>Interest payable and similar charges</t>
  </si>
  <si>
    <t>Premiums and discounts</t>
  </si>
  <si>
    <t>Debt Management Expenses</t>
  </si>
  <si>
    <t>Sheet 10. PPI/PFI</t>
  </si>
  <si>
    <t>Cultural and Related Services</t>
  </si>
  <si>
    <t>Total for year</t>
  </si>
  <si>
    <t>Fair value of services</t>
  </si>
  <si>
    <t>Interest Payments and similar charges</t>
  </si>
  <si>
    <t>Statutory repayment of debt</t>
  </si>
  <si>
    <t>Capital expenditure charged to GF</t>
  </si>
  <si>
    <t>Roads and Transport</t>
  </si>
  <si>
    <t>Planning and Development Services</t>
  </si>
  <si>
    <t>http://www.gov.scot/Topics/Statistics/Browse/Local-Government-Finance/ReturnPOBE</t>
  </si>
  <si>
    <t>lgfstats@gov.scot</t>
  </si>
  <si>
    <t>Scotland</t>
  </si>
  <si>
    <t>Difference</t>
  </si>
  <si>
    <t>Council Tax Income</t>
  </si>
  <si>
    <t>SURPLUS / DEFICIT (contribution to / from General Fund)</t>
  </si>
  <si>
    <t>SURPLUS / DEFICIT (contribution to / from General Fund) (9 - 8)</t>
  </si>
  <si>
    <t>GENERAL FUND</t>
  </si>
  <si>
    <t>Surplus / Deficit (contribution to / from General Fund) (Item B10 Part 2)</t>
  </si>
  <si>
    <t xml:space="preserve">Surplus(-)/Deficit(+) on trading operations not already included </t>
  </si>
  <si>
    <t>Interest and Investment income (record a credit as a negative value)</t>
  </si>
  <si>
    <t>Contingency</t>
  </si>
  <si>
    <t>Memorandum Items</t>
  </si>
  <si>
    <t>Please provide the amount of income forgone under Council Tax Reduction.</t>
  </si>
  <si>
    <t>Council Tax Reduction</t>
  </si>
  <si>
    <t>Culture and Related Services</t>
  </si>
  <si>
    <t>% change</t>
  </si>
  <si>
    <t>Culture</t>
  </si>
  <si>
    <t>Planning</t>
  </si>
  <si>
    <t>Council Tax</t>
  </si>
  <si>
    <t>Total Expenditure</t>
  </si>
  <si>
    <t>2014-15</t>
  </si>
  <si>
    <t>2015-16</t>
  </si>
  <si>
    <t>2016-17</t>
  </si>
  <si>
    <t>BE</t>
  </si>
  <si>
    <t>2010-11</t>
  </si>
  <si>
    <t>2011-12</t>
  </si>
  <si>
    <t>2012-13</t>
  </si>
  <si>
    <t>2013-14</t>
  </si>
  <si>
    <t>PO</t>
  </si>
  <si>
    <t>H240</t>
  </si>
  <si>
    <t>change</t>
  </si>
  <si>
    <t>10-11 to 11-12</t>
  </si>
  <si>
    <t>11-12 to 12-13</t>
  </si>
  <si>
    <t>12-13 to 13-14</t>
  </si>
  <si>
    <t>13-14 to 14-15</t>
  </si>
  <si>
    <t>14-15 to 15-16</t>
  </si>
  <si>
    <t>15-16 to 16-17</t>
  </si>
  <si>
    <t>Surplus (+) / Deficit (-)</t>
  </si>
  <si>
    <t>F98</t>
  </si>
  <si>
    <t>H98</t>
  </si>
  <si>
    <t>E98</t>
  </si>
  <si>
    <t>E110</t>
  </si>
  <si>
    <t>H110</t>
  </si>
  <si>
    <t>E111</t>
  </si>
  <si>
    <t>H111</t>
  </si>
  <si>
    <t>E112</t>
  </si>
  <si>
    <t>H112</t>
  </si>
  <si>
    <t>E113</t>
  </si>
  <si>
    <t>H113</t>
  </si>
  <si>
    <t>E114</t>
  </si>
  <si>
    <t>H114</t>
  </si>
  <si>
    <t>Fieldwork Services</t>
  </si>
  <si>
    <t>Community Placements</t>
  </si>
  <si>
    <t>Accomodation-based services</t>
  </si>
  <si>
    <t>Children &amp; Families (including additional info) - BE v BE</t>
  </si>
  <si>
    <t>F110</t>
  </si>
  <si>
    <t>F111</t>
  </si>
  <si>
    <t>F112</t>
  </si>
  <si>
    <t>F113</t>
  </si>
  <si>
    <t>F114</t>
  </si>
  <si>
    <t>Children &amp; Families (including additional info) - PO v PO</t>
  </si>
  <si>
    <t>Children &amp; Families Total</t>
  </si>
  <si>
    <t>PO 15-16</t>
  </si>
  <si>
    <t>BE 16-17</t>
  </si>
  <si>
    <t>I've used 20%/1m (+outliers)</t>
  </si>
  <si>
    <t>Buses - annual bus subsidy for tendered mileage (Sheet 3, Row 18)</t>
  </si>
  <si>
    <t>F183</t>
  </si>
  <si>
    <t>E183</t>
  </si>
  <si>
    <t>H183</t>
  </si>
  <si>
    <t>There will be interest in these figures. Was lead to believe that the Early Years bill would result in increases here, but not entirely sure where to expect this.  Community Placements seems be showing strong growth, so perhaps that is what they meant.  Either way, education/children will get attention, so extra checks here are worthwhile. - ES</t>
  </si>
  <si>
    <t>PO 14-15</t>
  </si>
  <si>
    <t>BE 15-16</t>
  </si>
  <si>
    <t>Reserves</t>
  </si>
  <si>
    <t>Total Funding</t>
  </si>
  <si>
    <t>(Surplus) / Deficit</t>
  </si>
  <si>
    <t>Environmental</t>
  </si>
  <si>
    <t>GRF</t>
  </si>
  <si>
    <t>NDR</t>
  </si>
  <si>
    <t>Part 1 - EXPENDITURE</t>
  </si>
  <si>
    <t>Part 2 - INCOME AND BALANCES</t>
  </si>
  <si>
    <t>This will be combined with council tax income in Part 2 to calculate council tax before CTR.</t>
  </si>
  <si>
    <t>2017-18</t>
  </si>
  <si>
    <t>Funding</t>
  </si>
  <si>
    <t>16-17 to 17-18</t>
  </si>
  <si>
    <t>Outliers</t>
  </si>
  <si>
    <t>F240</t>
  </si>
  <si>
    <t>F241</t>
  </si>
  <si>
    <t>H241</t>
  </si>
  <si>
    <t>F242</t>
  </si>
  <si>
    <t>H242</t>
  </si>
  <si>
    <t>F245</t>
  </si>
  <si>
    <t>H245</t>
  </si>
  <si>
    <t>F246</t>
  </si>
  <si>
    <t>H246</t>
  </si>
  <si>
    <t>F247</t>
  </si>
  <si>
    <t>H247</t>
  </si>
  <si>
    <t>F250</t>
  </si>
  <si>
    <t>H250</t>
  </si>
  <si>
    <t>F251</t>
  </si>
  <si>
    <t>H251</t>
  </si>
  <si>
    <t>F252</t>
  </si>
  <si>
    <t>H252</t>
  </si>
  <si>
    <t>F253</t>
  </si>
  <si>
    <t>H253</t>
  </si>
  <si>
    <t>F254</t>
  </si>
  <si>
    <t>H254</t>
  </si>
  <si>
    <t>Library Service and Total</t>
  </si>
  <si>
    <t>F256</t>
  </si>
  <si>
    <t>H256</t>
  </si>
  <si>
    <t>PO 16-17</t>
  </si>
  <si>
    <t>BE 17-18</t>
  </si>
  <si>
    <t>PO to PO</t>
  </si>
  <si>
    <t>BE to BE</t>
  </si>
  <si>
    <t>Transfers to or (from) other reserves and the General Fund</t>
  </si>
  <si>
    <t>Total Net Revenue Expenditure</t>
  </si>
  <si>
    <t>Chart 1</t>
  </si>
  <si>
    <t>Chart 2</t>
  </si>
  <si>
    <t>% share</t>
  </si>
  <si>
    <t>Last Year's Scotland figure</t>
  </si>
  <si>
    <t>Chart 3</t>
  </si>
  <si>
    <t>Chart 4</t>
  </si>
  <si>
    <t>using</t>
  </si>
  <si>
    <t>balanced</t>
  </si>
  <si>
    <t>increasing</t>
  </si>
  <si>
    <t>Non-Service</t>
  </si>
  <si>
    <t>Grants</t>
  </si>
  <si>
    <t>2018-19 BUDGET ESTIMATES</t>
  </si>
  <si>
    <t>Budget Estimate
2018-19
Net Expenditure</t>
  </si>
  <si>
    <t>Revenue Contributions to Capital</t>
  </si>
  <si>
    <t>Please provide Revenue Contributions to Capital by service.</t>
  </si>
  <si>
    <t>Total Revenue Contributions to Capital</t>
  </si>
  <si>
    <t>2018-19</t>
  </si>
  <si>
    <t>General Fund Opening Balance at 1 April 2018</t>
  </si>
  <si>
    <t>General Fund Closing Balance at 31 March 2019</t>
  </si>
  <si>
    <t>17-18 to 18-19</t>
  </si>
  <si>
    <t>PO 17-18</t>
  </si>
  <si>
    <t>BE 18-19</t>
  </si>
  <si>
    <t>Outliers - looking for a double digit % change and at least a £1m movement</t>
  </si>
  <si>
    <t>Museums and galleries</t>
  </si>
  <si>
    <t>%</t>
  </si>
  <si>
    <t>movement</t>
  </si>
  <si>
    <t>Other Culture and Heritage</t>
  </si>
  <si>
    <t>outliers</t>
  </si>
  <si>
    <t>Promotional Events</t>
  </si>
  <si>
    <t>Change</t>
  </si>
  <si>
    <t>Other Tourism</t>
  </si>
  <si>
    <t>outliers or double digit % change and more than a million</t>
  </si>
  <si>
    <t>double digit % change and a movement of more than a million</t>
  </si>
  <si>
    <r>
      <t>Other Services</t>
    </r>
    <r>
      <rPr>
        <b/>
        <vertAlign val="superscript"/>
        <sz val="10"/>
        <rFont val="Arial"/>
        <family val="2"/>
      </rPr>
      <t>1</t>
    </r>
  </si>
  <si>
    <t>1) Other Services includes non-HRA housing and Central Services. Non-Service includes Debt and Interest Net Expenditure and Revenue Contributions to Capital.</t>
  </si>
  <si>
    <r>
      <t>Non-Service</t>
    </r>
    <r>
      <rPr>
        <b/>
        <vertAlign val="superscript"/>
        <sz val="10"/>
        <rFont val="Arial"/>
        <family val="2"/>
      </rPr>
      <t>1</t>
    </r>
    <r>
      <rPr>
        <b/>
        <sz val="10"/>
        <rFont val="Arial"/>
        <family val="2"/>
      </rPr>
      <t xml:space="preserve"> Expenditure</t>
    </r>
  </si>
  <si>
    <t>% Change in Reserves</t>
  </si>
  <si>
    <t>Provisional Outturn
2018-19
Net Expenditure</t>
  </si>
  <si>
    <t>Budget Estimate
2019-20
Net Expenditure</t>
  </si>
  <si>
    <t>Budget Estimate 2019-20</t>
  </si>
  <si>
    <t>Provisional Outturn 2018-19</t>
  </si>
  <si>
    <t>2019-20 BUDGET ESTIMATES</t>
  </si>
  <si>
    <t>2018-19 PROVISIONAL OUTTURN</t>
  </si>
  <si>
    <r>
      <rPr>
        <sz val="10"/>
        <rFont val="Verdana"/>
        <family val="2"/>
      </rPr>
      <t>Selecting your</t>
    </r>
    <r>
      <rPr>
        <b/>
        <sz val="10"/>
        <rFont val="Verdana"/>
        <family val="2"/>
      </rPr>
      <t xml:space="preserve"> Authority </t>
    </r>
    <r>
      <rPr>
        <sz val="10"/>
        <rFont val="Verdana"/>
        <family val="2"/>
      </rPr>
      <t xml:space="preserve">(above) will prepopulate column E with the </t>
    </r>
    <r>
      <rPr>
        <b/>
        <sz val="10"/>
        <rFont val="Verdana"/>
        <family val="2"/>
      </rPr>
      <t>2018-19 Budget Estimates</t>
    </r>
    <r>
      <rPr>
        <sz val="10"/>
        <rFont val="Verdana"/>
        <family val="2"/>
      </rPr>
      <t xml:space="preserve"> supplied previously.</t>
    </r>
  </si>
  <si>
    <r>
      <t>Please e-mail</t>
    </r>
    <r>
      <rPr>
        <sz val="10"/>
        <rFont val="Verdana"/>
        <family val="2"/>
      </rPr>
      <t xml:space="preserve"> completed return </t>
    </r>
    <r>
      <rPr>
        <b/>
        <sz val="10"/>
        <rFont val="Verdana"/>
        <family val="2"/>
      </rPr>
      <t>by 26 March 2019</t>
    </r>
    <r>
      <rPr>
        <sz val="10"/>
        <rFont val="Verdana"/>
        <family val="2"/>
      </rPr>
      <t xml:space="preserve"> to:</t>
    </r>
  </si>
  <si>
    <r>
      <t xml:space="preserve">POBE 2019 </t>
    </r>
    <r>
      <rPr>
        <b/>
        <sz val="10"/>
        <rFont val="Verdana"/>
        <family val="2"/>
      </rPr>
      <t xml:space="preserve"> </t>
    </r>
    <r>
      <rPr>
        <b/>
        <sz val="12"/>
        <rFont val="Verdana"/>
        <family val="2"/>
      </rPr>
      <t>Provisional Outturn 2018-19 and Budget Estimates 2019-20</t>
    </r>
  </si>
  <si>
    <t>Where conditional formatting highlights large differences between the 2018-19 Budget Estimates and the 2018-19 Provisional Outturn, please enter an explanation for the difference in the comments box at the end.</t>
  </si>
  <si>
    <t>2019-20</t>
  </si>
  <si>
    <t>2078-18</t>
  </si>
  <si>
    <t>General Fund Opening Balance at 1 April 2019</t>
  </si>
  <si>
    <t>General Fund Closing Balance at 31 March 2020</t>
  </si>
  <si>
    <t>18-19 to 19-20</t>
  </si>
  <si>
    <t>PO 18-19</t>
  </si>
  <si>
    <t>BE 19-20</t>
  </si>
  <si>
    <r>
      <t>Enquiries</t>
    </r>
    <r>
      <rPr>
        <sz val="10"/>
        <rFont val="Verdana"/>
        <family val="2"/>
      </rPr>
      <t xml:space="preserve"> about the completion of the form can be made to: 0131 244 7033 or e-mail:</t>
    </r>
  </si>
  <si>
    <t>Where conditional formatting highlights large differences between the 2018-19 Budget Estimates and the 2018-19 Provisional Outturn, please enter an explanation for the variation in the comments box.</t>
  </si>
  <si>
    <t>Budget Estimate 
2018-19
Net Expenditure</t>
  </si>
  <si>
    <t>Max change</t>
  </si>
  <si>
    <t>Min change</t>
  </si>
  <si>
    <t>Range</t>
  </si>
  <si>
    <t>Std Dev</t>
  </si>
  <si>
    <t>PO 
14-15</t>
  </si>
  <si>
    <t>PO 
15-16</t>
  </si>
  <si>
    <t>PO 
16-17</t>
  </si>
  <si>
    <t>PO 
17-18</t>
  </si>
  <si>
    <t>PO 
18-19</t>
  </si>
  <si>
    <t>BE
15-16</t>
  </si>
  <si>
    <t>BE 
16-17</t>
  </si>
  <si>
    <t>BE 
17-18</t>
  </si>
  <si>
    <t>BE 
18-19</t>
  </si>
  <si>
    <t>BE 
19-20</t>
  </si>
  <si>
    <t>Scotland Exc.</t>
  </si>
  <si>
    <t>18-19 
PO GRF</t>
  </si>
  <si>
    <t>19-20 
BE GRF</t>
  </si>
  <si>
    <t>18-19 RSG</t>
  </si>
  <si>
    <t>19-20 RSG</t>
  </si>
  <si>
    <t>Stage 1 paid in 18-19</t>
  </si>
  <si>
    <t>Exc.
Stage 1</t>
  </si>
  <si>
    <t>Inc. 
Stage 1</t>
  </si>
  <si>
    <t>Reject if 0</t>
  </si>
  <si>
    <t>Should be 0</t>
  </si>
  <si>
    <r>
      <t xml:space="preserve">PO Summary with GRF excluding the Stage 1 money - </t>
    </r>
    <r>
      <rPr>
        <b/>
        <sz val="10"/>
        <rFont val="Arial"/>
        <family val="2"/>
      </rPr>
      <t>this is just for info and should not be used</t>
    </r>
  </si>
  <si>
    <t>General Fund OB at 1 April</t>
  </si>
  <si>
    <t>Ring-fenced
Rev. Grants</t>
  </si>
  <si>
    <t>Redistributed NDRI 
(inc. BRIS and TIF)</t>
  </si>
  <si>
    <t>CT Income (inc. Comm. Charge)</t>
  </si>
  <si>
    <t>Total 
Funding</t>
  </si>
  <si>
    <t>Transfers to or 
from (-) other 
Reserves to GF</t>
  </si>
  <si>
    <t>General Fund 
CB at 31 March</t>
  </si>
  <si>
    <r>
      <t xml:space="preserve">BE Summary with GRF excluding the Stage 1 money - </t>
    </r>
    <r>
      <rPr>
        <b/>
        <sz val="10"/>
        <rFont val="Arial"/>
        <family val="2"/>
      </rPr>
      <t>this is just for info and should not be used</t>
    </r>
  </si>
  <si>
    <r>
      <t xml:space="preserve">Part of the Revenue Support Grant (RSG) is paid to LAs in the previous financial year. This money must be recorded as money in year -1 in the LA accounts and must </t>
    </r>
    <r>
      <rPr>
        <b/>
        <sz val="10"/>
        <rFont val="Arial"/>
        <family val="2"/>
      </rPr>
      <t xml:space="preserve">not </t>
    </r>
    <r>
      <rPr>
        <sz val="10"/>
        <rFont val="Arial"/>
        <family val="2"/>
      </rPr>
      <t>be recorded against year 0.</t>
    </r>
  </si>
  <si>
    <t>Culture and 
Related 
Services</t>
  </si>
  <si>
    <r>
      <t>Other 
Services</t>
    </r>
    <r>
      <rPr>
        <b/>
        <vertAlign val="superscript"/>
        <sz val="10"/>
        <rFont val="Arial"/>
        <family val="2"/>
      </rPr>
      <t>1</t>
    </r>
  </si>
  <si>
    <t>Provisional Outturn 2018-19: Net Revenue Expenditure by Local Authority and Service, £ thousands</t>
  </si>
  <si>
    <t>Budget Estimates 2019-20: Net Revenue Expenditure by Local Authority and Service, £ thousands</t>
  </si>
  <si>
    <t>Provisional Outturn 2018-19: Summary of General Fund Expenditure, Funding and Balances, £ thousands</t>
  </si>
  <si>
    <t>Budget Estimates 2019-20: Summary of General Fund Expenditure, Funding and Balances, £ thousands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</si>
</sst>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1">
    <numFmt numFmtId="43" formatCode="_-* #,##0.00_-;\-* #,##0.00_-;_-* &quot;-&quot;??_-;_-@_-"/>
    <numFmt numFmtId="164" formatCode="#,##0_ ;\-#,##0\ "/>
    <numFmt numFmtId="165" formatCode="_-* #,##0_-;\-* #,##0_-;_-* &quot;-&quot;??_-;_-@_-"/>
    <numFmt numFmtId="166" formatCode="0.0%"/>
    <numFmt numFmtId="167" formatCode="#,##0_);\(#,##0\)"/>
    <numFmt numFmtId="168" formatCode="&quot;£&quot;#,##0.0&quot;bn&quot;;\-&quot;£&quot;#,##0.0&quot;bn&quot;"/>
    <numFmt numFmtId="169" formatCode="0.000"/>
    <numFmt numFmtId="170" formatCode="#,##0.000"/>
    <numFmt numFmtId="171" formatCode="&quot;£&quot;#,##0.000&quot;bn&quot;;\-&quot;£&quot;#,##0.000&quot;bn&quot;"/>
    <numFmt numFmtId="172" formatCode="&quot;£&quot;#,##0&quot;bn&quot;;\-&quot;£&quot;#,##0&quot;bn&quot;"/>
    <numFmt numFmtId="173" formatCode="\+#,##0.0&quot;%&quot;;\-#,##0.0&quot;%&quot;"/>
  </numFmts>
  <fonts count="39">
    <font>
      <sz val="10"/>
      <name val="Arial"/>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0"/>
      <name val="Arial"/>
      <family val="2"/>
    </font>
    <font>
      <u/>
      <sz val="10"/>
      <color indexed="12"/>
      <name val="Arial"/>
      <family val="2"/>
    </font>
    <font>
      <sz val="8"/>
      <name val="Arial"/>
      <family val="2"/>
    </font>
    <font>
      <b/>
      <sz val="28"/>
      <name val="Verdana"/>
      <family val="2"/>
    </font>
    <font>
      <b/>
      <sz val="10"/>
      <name val="Verdana"/>
      <family val="2"/>
    </font>
    <font>
      <b/>
      <sz val="12"/>
      <name val="Verdana"/>
      <family val="2"/>
    </font>
    <font>
      <sz val="12"/>
      <name val="Verdana"/>
      <family val="2"/>
    </font>
    <font>
      <b/>
      <sz val="16"/>
      <color indexed="10"/>
      <name val="Arial"/>
      <family val="2"/>
    </font>
    <font>
      <sz val="10"/>
      <name val="Arial"/>
      <family val="2"/>
    </font>
    <font>
      <sz val="10"/>
      <name val="Verdana"/>
      <family val="2"/>
    </font>
    <font>
      <b/>
      <sz val="10"/>
      <color indexed="10"/>
      <name val="Verdana"/>
      <family val="2"/>
    </font>
    <font>
      <u/>
      <sz val="10"/>
      <color indexed="12"/>
      <name val="Verdana"/>
      <family val="2"/>
    </font>
    <font>
      <b/>
      <sz val="16"/>
      <name val="Verdana"/>
      <family val="2"/>
    </font>
    <font>
      <b/>
      <sz val="8"/>
      <name val="Verdana"/>
      <family val="2"/>
    </font>
    <font>
      <sz val="8"/>
      <name val="Verdana"/>
      <family val="2"/>
    </font>
    <font>
      <sz val="10"/>
      <color indexed="22"/>
      <name val="Verdana"/>
      <family val="2"/>
    </font>
    <font>
      <sz val="9"/>
      <name val="Arial"/>
      <family val="2"/>
    </font>
    <font>
      <b/>
      <sz val="10"/>
      <name val="Arial"/>
      <family val="2"/>
    </font>
    <font>
      <sz val="10"/>
      <color indexed="8"/>
      <name val="Arial"/>
      <family val="2"/>
    </font>
    <font>
      <b/>
      <i/>
      <sz val="10"/>
      <name val="Arial"/>
      <family val="2"/>
    </font>
    <font>
      <b/>
      <sz val="9"/>
      <name val="Arial"/>
      <family val="2"/>
    </font>
    <font>
      <sz val="10"/>
      <name val="Geneva"/>
    </font>
    <font>
      <sz val="10"/>
      <name val="Arial"/>
      <family val="2"/>
    </font>
    <font>
      <sz val="10"/>
      <color theme="1"/>
      <name val="Arial"/>
      <family val="2"/>
    </font>
    <font>
      <b/>
      <sz val="10"/>
      <color theme="1"/>
      <name val="Arial"/>
      <family val="2"/>
    </font>
    <font>
      <sz val="10"/>
      <color rgb="FFFF0000"/>
      <name val="Arial"/>
      <family val="2"/>
    </font>
    <font>
      <b/>
      <sz val="24"/>
      <color rgb="FFFF0000"/>
      <name val="Arial"/>
      <family val="2"/>
    </font>
    <font>
      <u/>
      <sz val="7.5"/>
      <color indexed="12"/>
      <name val="Arial"/>
      <family val="2"/>
    </font>
    <font>
      <b/>
      <vertAlign val="superscript"/>
      <sz val="10"/>
      <name val="Arial"/>
      <family val="2"/>
    </font>
    <font>
      <sz val="10"/>
      <name val="Verdana"/>
      <family val="2"/>
    </font>
    <font>
      <sz val="9"/>
      <color rgb="FFFF0000"/>
      <name val="Arial"/>
      <family val="2"/>
    </font>
  </fonts>
  <fills count="10">
    <fill>
      <patternFill patternType="none"/>
    </fill>
    <fill>
      <patternFill patternType="gray125"/>
    </fill>
    <fill>
      <patternFill patternType="solid">
        <fgColor indexed="65"/>
        <bgColor indexed="64"/>
      </patternFill>
    </fill>
    <fill>
      <patternFill patternType="solid">
        <fgColor indexed="9"/>
        <bgColor indexed="64"/>
      </patternFill>
    </fill>
    <fill>
      <patternFill patternType="solid">
        <fgColor indexed="47"/>
        <bgColor indexed="64"/>
      </patternFill>
    </fill>
    <fill>
      <patternFill patternType="solid">
        <fgColor indexed="43"/>
        <bgColor indexed="64"/>
      </patternFill>
    </fill>
    <fill>
      <patternFill patternType="solid">
        <fgColor indexed="42"/>
        <bgColor indexed="64"/>
      </patternFill>
    </fill>
    <fill>
      <patternFill patternType="solid">
        <fgColor indexed="22"/>
        <bgColor indexed="64"/>
      </patternFill>
    </fill>
    <fill>
      <patternFill patternType="solid">
        <fgColor theme="0"/>
        <bgColor indexed="64"/>
      </patternFill>
    </fill>
    <fill>
      <patternFill patternType="solid">
        <fgColor indexed="65"/>
        <bgColor rgb="FF000000"/>
      </patternFill>
    </fill>
  </fills>
  <borders count="55">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hair">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hair">
        <color indexed="64"/>
      </top>
      <bottom/>
      <diagonal/>
    </border>
    <border>
      <left/>
      <right/>
      <top style="thin">
        <color indexed="64"/>
      </top>
      <bottom style="thin">
        <color indexed="64"/>
      </bottom>
      <diagonal/>
    </border>
    <border>
      <left style="thin">
        <color indexed="64"/>
      </left>
      <right style="hair">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hair">
        <color indexed="64"/>
      </bottom>
      <diagonal/>
    </border>
    <border>
      <left/>
      <right/>
      <top/>
      <bottom style="hair">
        <color indexed="64"/>
      </bottom>
      <diagonal/>
    </border>
    <border>
      <left/>
      <right/>
      <top style="hair">
        <color indexed="64"/>
      </top>
      <bottom style="hair">
        <color indexed="64"/>
      </bottom>
      <diagonal/>
    </border>
    <border>
      <left style="hair">
        <color indexed="64"/>
      </left>
      <right/>
      <top style="thin">
        <color indexed="64"/>
      </top>
      <bottom style="thin">
        <color indexed="64"/>
      </bottom>
      <diagonal/>
    </border>
    <border>
      <left/>
      <right style="hair">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hair">
        <color indexed="64"/>
      </top>
      <bottom style="hair">
        <color indexed="64"/>
      </bottom>
      <diagonal/>
    </border>
    <border>
      <left/>
      <right style="thin">
        <color indexed="64"/>
      </right>
      <top style="hair">
        <color indexed="64"/>
      </top>
      <bottom style="thin">
        <color indexed="64"/>
      </bottom>
      <diagonal/>
    </border>
    <border>
      <left style="hair">
        <color indexed="64"/>
      </left>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style="hair">
        <color indexed="64"/>
      </left>
      <right style="thin">
        <color indexed="64"/>
      </right>
      <top style="thin">
        <color indexed="64"/>
      </top>
      <bottom style="hair">
        <color indexed="64"/>
      </bottom>
      <diagonal/>
    </border>
    <border>
      <left style="hair">
        <color indexed="64"/>
      </left>
      <right style="thin">
        <color indexed="64"/>
      </right>
      <top style="hair">
        <color indexed="64"/>
      </top>
      <bottom style="hair">
        <color indexed="64"/>
      </bottom>
      <diagonal/>
    </border>
    <border>
      <left style="hair">
        <color indexed="64"/>
      </left>
      <right style="thin">
        <color indexed="64"/>
      </right>
      <top style="hair">
        <color indexed="64"/>
      </top>
      <bottom/>
      <diagonal/>
    </border>
    <border>
      <left/>
      <right style="hair">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hair">
        <color indexed="64"/>
      </right>
      <top style="thin">
        <color indexed="64"/>
      </top>
      <bottom style="hair">
        <color indexed="64"/>
      </bottom>
      <diagonal/>
    </border>
    <border>
      <left style="thin">
        <color indexed="64"/>
      </left>
      <right style="thin">
        <color indexed="64"/>
      </right>
      <top style="medium">
        <color indexed="64"/>
      </top>
      <bottom style="medium">
        <color indexed="64"/>
      </bottom>
      <diagonal/>
    </border>
    <border>
      <left style="thin">
        <color indexed="64"/>
      </left>
      <right style="hair">
        <color indexed="64"/>
      </right>
      <top style="thin">
        <color indexed="64"/>
      </top>
      <bottom/>
      <diagonal/>
    </border>
    <border>
      <left style="hair">
        <color indexed="64"/>
      </left>
      <right style="thin">
        <color indexed="64"/>
      </right>
      <top style="thin">
        <color indexed="64"/>
      </top>
      <bottom/>
      <diagonal/>
    </border>
    <border>
      <left style="thin">
        <color indexed="64"/>
      </left>
      <right style="hair">
        <color indexed="64"/>
      </right>
      <top/>
      <bottom/>
      <diagonal/>
    </border>
    <border>
      <left style="hair">
        <color indexed="64"/>
      </left>
      <right style="thin">
        <color indexed="64"/>
      </right>
      <top/>
      <bottom/>
      <diagonal/>
    </border>
    <border>
      <left style="thin">
        <color indexed="64"/>
      </left>
      <right style="hair">
        <color indexed="64"/>
      </right>
      <top/>
      <bottom style="thin">
        <color indexed="64"/>
      </bottom>
      <diagonal/>
    </border>
    <border>
      <left style="hair">
        <color indexed="64"/>
      </left>
      <right style="thin">
        <color indexed="64"/>
      </right>
      <top/>
      <bottom style="thin">
        <color indexed="64"/>
      </bottom>
      <diagonal/>
    </border>
    <border>
      <left style="thin">
        <color indexed="64"/>
      </left>
      <right style="hair">
        <color indexed="64"/>
      </right>
      <top style="hair">
        <color indexed="64"/>
      </top>
      <bottom style="hair">
        <color indexed="64"/>
      </bottom>
      <diagonal/>
    </border>
    <border>
      <left/>
      <right style="hair">
        <color indexed="64"/>
      </right>
      <top style="thin">
        <color indexed="64"/>
      </top>
      <bottom style="hair">
        <color indexed="64"/>
      </bottom>
      <diagonal/>
    </border>
    <border>
      <left/>
      <right style="hair">
        <color indexed="64"/>
      </right>
      <top style="hair">
        <color indexed="64"/>
      </top>
      <bottom/>
      <diagonal/>
    </border>
    <border>
      <left style="hair">
        <color indexed="64"/>
      </left>
      <right style="thin">
        <color indexed="64"/>
      </right>
      <top style="thin">
        <color indexed="64"/>
      </top>
      <bottom style="thin">
        <color indexed="64"/>
      </bottom>
      <diagonal/>
    </border>
    <border>
      <left style="thin">
        <color indexed="64"/>
      </left>
      <right style="hair">
        <color indexed="64"/>
      </right>
      <top style="hair">
        <color indexed="64"/>
      </top>
      <bottom style="thin">
        <color indexed="64"/>
      </bottom>
      <diagonal/>
    </border>
    <border>
      <left/>
      <right style="hair">
        <color indexed="64"/>
      </right>
      <top style="hair">
        <color indexed="64"/>
      </top>
      <bottom style="thin">
        <color indexed="64"/>
      </bottom>
      <diagonal/>
    </border>
    <border>
      <left/>
      <right style="thin">
        <color indexed="64"/>
      </right>
      <top style="hair">
        <color indexed="64"/>
      </top>
      <bottom/>
      <diagonal/>
    </border>
    <border>
      <left/>
      <right/>
      <top style="thin">
        <color indexed="64"/>
      </top>
      <bottom style="hair">
        <color indexed="64"/>
      </bottom>
      <diagonal/>
    </border>
    <border>
      <left/>
      <right/>
      <top style="hair">
        <color indexed="64"/>
      </top>
      <bottom style="thin">
        <color indexed="64"/>
      </bottom>
      <diagonal/>
    </border>
    <border>
      <left style="thin">
        <color indexed="64"/>
      </left>
      <right style="thin">
        <color indexed="64"/>
      </right>
      <top style="medium">
        <color indexed="64"/>
      </top>
      <bottom/>
      <diagonal/>
    </border>
  </borders>
  <cellStyleXfs count="26">
    <xf numFmtId="0" fontId="0" fillId="0" borderId="0"/>
    <xf numFmtId="0" fontId="16" fillId="0" borderId="0"/>
    <xf numFmtId="43" fontId="8" fillId="0" borderId="0" applyFont="0" applyFill="0" applyBorder="0" applyAlignment="0" applyProtection="0"/>
    <xf numFmtId="43" fontId="26" fillId="0" borderId="0" applyFont="0" applyFill="0" applyBorder="0" applyAlignment="0" applyProtection="0"/>
    <xf numFmtId="0" fontId="31" fillId="0" borderId="0"/>
    <xf numFmtId="0" fontId="8" fillId="0" borderId="0"/>
    <xf numFmtId="0" fontId="8" fillId="0" borderId="0"/>
    <xf numFmtId="0" fontId="31" fillId="0" borderId="0"/>
    <xf numFmtId="0" fontId="8" fillId="0" borderId="0"/>
    <xf numFmtId="0" fontId="31" fillId="0" borderId="0"/>
    <xf numFmtId="9" fontId="8" fillId="0" borderId="0" applyFont="0" applyFill="0" applyBorder="0" applyAlignment="0" applyProtection="0"/>
    <xf numFmtId="9" fontId="26" fillId="0" borderId="0" applyFont="0" applyFill="0" applyBorder="0" applyAlignment="0" applyProtection="0"/>
    <xf numFmtId="0" fontId="29" fillId="0" borderId="0"/>
    <xf numFmtId="0" fontId="7" fillId="0" borderId="0"/>
    <xf numFmtId="9" fontId="7" fillId="0" borderId="0" applyFont="0" applyFill="0" applyBorder="0" applyAlignment="0" applyProtection="0"/>
    <xf numFmtId="43" fontId="7" fillId="0" borderId="0" applyFont="0" applyFill="0" applyBorder="0" applyAlignment="0" applyProtection="0"/>
    <xf numFmtId="0" fontId="6" fillId="0" borderId="0"/>
    <xf numFmtId="43" fontId="8" fillId="0" borderId="0" applyFont="0" applyFill="0" applyBorder="0" applyAlignment="0" applyProtection="0"/>
    <xf numFmtId="0" fontId="3" fillId="0" borderId="0"/>
    <xf numFmtId="0" fontId="35" fillId="0" borderId="0" applyNumberFormat="0" applyFill="0" applyBorder="0" applyAlignment="0" applyProtection="0">
      <alignment vertical="top"/>
      <protection locked="0"/>
    </xf>
    <xf numFmtId="43" fontId="3" fillId="0" borderId="0" applyFont="0" applyFill="0" applyBorder="0" applyAlignment="0" applyProtection="0"/>
    <xf numFmtId="9" fontId="3"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1" fillId="0" borderId="0"/>
  </cellStyleXfs>
  <cellXfs count="981">
    <xf numFmtId="0" fontId="0" fillId="0" borderId="0" xfId="0"/>
    <xf numFmtId="0" fontId="0" fillId="0" borderId="0" xfId="0" applyProtection="1"/>
    <xf numFmtId="0" fontId="0" fillId="0" borderId="0" xfId="0" applyBorder="1" applyProtection="1"/>
    <xf numFmtId="0" fontId="11" fillId="3" borderId="1" xfId="0" quotePrefix="1" applyFont="1" applyFill="1" applyBorder="1" applyAlignment="1" applyProtection="1">
      <alignment horizontal="left" vertical="center"/>
    </xf>
    <xf numFmtId="0" fontId="14" fillId="0" borderId="2" xfId="0" applyFont="1" applyBorder="1" applyAlignment="1" applyProtection="1">
      <alignment vertical="center"/>
    </xf>
    <xf numFmtId="0" fontId="0" fillId="3" borderId="2" xfId="0" applyFill="1" applyBorder="1" applyAlignment="1">
      <alignment horizontal="left"/>
    </xf>
    <xf numFmtId="0" fontId="34" fillId="3" borderId="2" xfId="0" applyFont="1" applyFill="1" applyBorder="1" applyAlignment="1">
      <alignment horizontal="left"/>
    </xf>
    <xf numFmtId="0" fontId="15" fillId="3" borderId="2" xfId="0" applyFont="1" applyFill="1" applyBorder="1" applyAlignment="1">
      <alignment horizontal="left"/>
    </xf>
    <xf numFmtId="0" fontId="0" fillId="8" borderId="0" xfId="0" applyFill="1" applyProtection="1"/>
    <xf numFmtId="0" fontId="11" fillId="3" borderId="4" xfId="0" applyFont="1" applyFill="1" applyBorder="1" applyAlignment="1" applyProtection="1">
      <alignment horizontal="center" vertical="center"/>
    </xf>
    <xf numFmtId="0" fontId="11" fillId="3" borderId="0" xfId="0" applyFont="1" applyFill="1" applyBorder="1" applyAlignment="1" applyProtection="1">
      <alignment horizontal="center" vertical="center"/>
    </xf>
    <xf numFmtId="0" fontId="0" fillId="8" borderId="0" xfId="0" applyFill="1" applyBorder="1" applyAlignment="1" applyProtection="1">
      <alignment vertical="center"/>
    </xf>
    <xf numFmtId="0" fontId="14" fillId="0" borderId="4" xfId="0" applyFont="1" applyBorder="1" applyAlignment="1" applyProtection="1">
      <alignment vertical="center"/>
    </xf>
    <xf numFmtId="0" fontId="14" fillId="2" borderId="0" xfId="0" applyFont="1" applyFill="1" applyBorder="1" applyAlignment="1" applyProtection="1">
      <alignment vertical="center"/>
    </xf>
    <xf numFmtId="0" fontId="0" fillId="8" borderId="0" xfId="0" applyFill="1" applyBorder="1" applyProtection="1"/>
    <xf numFmtId="0" fontId="17" fillId="8" borderId="0" xfId="0" applyFont="1" applyFill="1" applyBorder="1" applyAlignment="1" applyProtection="1">
      <alignment vertical="center"/>
    </xf>
    <xf numFmtId="0" fontId="0" fillId="8" borderId="5" xfId="0" applyFill="1" applyBorder="1"/>
    <xf numFmtId="0" fontId="13" fillId="2" borderId="4" xfId="0" applyFont="1" applyFill="1" applyBorder="1" applyAlignment="1" applyProtection="1">
      <alignment horizontal="left" vertical="center" indent="1"/>
    </xf>
    <xf numFmtId="0" fontId="13" fillId="2" borderId="0" xfId="0" applyFont="1" applyFill="1" applyBorder="1" applyAlignment="1" applyProtection="1">
      <alignment horizontal="right" vertical="center"/>
    </xf>
    <xf numFmtId="0" fontId="12" fillId="2" borderId="4" xfId="0" applyFont="1" applyFill="1" applyBorder="1" applyAlignment="1" applyProtection="1">
      <alignment horizontal="left" vertical="center" indent="2"/>
    </xf>
    <xf numFmtId="0" fontId="12" fillId="3" borderId="0" xfId="0" applyFont="1" applyFill="1" applyBorder="1" applyAlignment="1" applyProtection="1">
      <alignment horizontal="center" vertical="center"/>
    </xf>
    <xf numFmtId="164" fontId="17" fillId="3" borderId="0" xfId="0" applyNumberFormat="1" applyFont="1" applyFill="1" applyBorder="1" applyAlignment="1" applyProtection="1">
      <alignment vertical="center"/>
    </xf>
    <xf numFmtId="0" fontId="12" fillId="2" borderId="4" xfId="0" quotePrefix="1" applyFont="1" applyFill="1" applyBorder="1" applyAlignment="1" applyProtection="1">
      <alignment horizontal="left" vertical="center" indent="2"/>
    </xf>
    <xf numFmtId="0" fontId="17" fillId="3" borderId="4" xfId="0" applyFont="1" applyFill="1" applyBorder="1" applyAlignment="1" applyProtection="1">
      <alignment vertical="center"/>
    </xf>
    <xf numFmtId="0" fontId="17" fillId="2" borderId="4" xfId="0" applyFont="1" applyFill="1" applyBorder="1" applyAlignment="1" applyProtection="1">
      <alignment vertical="center"/>
    </xf>
    <xf numFmtId="0" fontId="17" fillId="8" borderId="1" xfId="0" applyFont="1" applyFill="1" applyBorder="1" applyAlignment="1" applyProtection="1">
      <alignment horizontal="left" vertical="center" indent="1"/>
    </xf>
    <xf numFmtId="0" fontId="12" fillId="8" borderId="2" xfId="0" applyFont="1" applyFill="1" applyBorder="1" applyAlignment="1" applyProtection="1">
      <alignment horizontal="center" vertical="center"/>
    </xf>
    <xf numFmtId="0" fontId="12" fillId="8" borderId="4" xfId="0" applyFont="1" applyFill="1" applyBorder="1" applyAlignment="1" applyProtection="1">
      <alignment horizontal="left" vertical="center" indent="1"/>
    </xf>
    <xf numFmtId="0" fontId="0" fillId="0" borderId="4" xfId="0" applyBorder="1"/>
    <xf numFmtId="0" fontId="17" fillId="2" borderId="0" xfId="0" applyFont="1" applyFill="1" applyBorder="1" applyAlignment="1" applyProtection="1">
      <alignment vertical="center"/>
    </xf>
    <xf numFmtId="0" fontId="20" fillId="2" borderId="4" xfId="0" applyFont="1" applyFill="1" applyBorder="1" applyAlignment="1" applyProtection="1">
      <alignment horizontal="left" vertical="center"/>
    </xf>
    <xf numFmtId="0" fontId="12" fillId="2" borderId="7" xfId="0" applyFont="1" applyFill="1" applyBorder="1" applyAlignment="1" applyProtection="1">
      <alignment horizontal="right" vertical="center"/>
    </xf>
    <xf numFmtId="0" fontId="12" fillId="2" borderId="4" xfId="0" applyFont="1" applyFill="1" applyBorder="1" applyAlignment="1" applyProtection="1">
      <alignment horizontal="left" vertical="center"/>
    </xf>
    <xf numFmtId="0" fontId="12" fillId="4" borderId="8" xfId="0" applyFont="1" applyFill="1" applyBorder="1" applyAlignment="1" applyProtection="1">
      <alignment horizontal="center" vertical="center"/>
    </xf>
    <xf numFmtId="0" fontId="12" fillId="3" borderId="4" xfId="0" applyFont="1" applyFill="1" applyBorder="1" applyAlignment="1" applyProtection="1">
      <alignment horizontal="center" vertical="center"/>
    </xf>
    <xf numFmtId="0" fontId="12" fillId="3" borderId="9" xfId="0" applyFont="1" applyFill="1" applyBorder="1" applyAlignment="1" applyProtection="1">
      <alignment horizontal="center" vertical="center"/>
    </xf>
    <xf numFmtId="0" fontId="12" fillId="3" borderId="4" xfId="0" applyFont="1" applyFill="1" applyBorder="1" applyAlignment="1" applyProtection="1">
      <alignment horizontal="center" vertical="center" wrapText="1"/>
    </xf>
    <xf numFmtId="0" fontId="12" fillId="3" borderId="9" xfId="0" applyFont="1" applyFill="1" applyBorder="1" applyAlignment="1" applyProtection="1">
      <alignment horizontal="center" vertical="center" wrapText="1"/>
    </xf>
    <xf numFmtId="0" fontId="17" fillId="4" borderId="1" xfId="0" applyFont="1" applyFill="1" applyBorder="1" applyAlignment="1" applyProtection="1">
      <alignment horizontal="center" vertical="center"/>
    </xf>
    <xf numFmtId="0" fontId="17" fillId="4" borderId="2" xfId="0" applyFont="1" applyFill="1" applyBorder="1" applyAlignment="1" applyProtection="1">
      <alignment vertical="center"/>
    </xf>
    <xf numFmtId="0" fontId="17" fillId="4" borderId="3" xfId="0" applyFont="1" applyFill="1" applyBorder="1" applyAlignment="1" applyProtection="1">
      <alignment vertical="center"/>
    </xf>
    <xf numFmtId="3" fontId="17" fillId="4" borderId="10" xfId="2" applyNumberFormat="1" applyFont="1" applyFill="1" applyBorder="1" applyAlignment="1" applyProtection="1">
      <alignment horizontal="right" vertical="center"/>
    </xf>
    <xf numFmtId="164" fontId="17" fillId="5" borderId="11" xfId="0" applyNumberFormat="1" applyFont="1" applyFill="1" applyBorder="1" applyAlignment="1" applyProtection="1">
      <alignment vertical="center"/>
    </xf>
    <xf numFmtId="164" fontId="17" fillId="3" borderId="4" xfId="0" applyNumberFormat="1" applyFont="1" applyFill="1" applyBorder="1" applyAlignment="1" applyProtection="1">
      <alignment vertical="center"/>
    </xf>
    <xf numFmtId="164" fontId="17" fillId="5" borderId="12" xfId="0" applyNumberFormat="1" applyFont="1" applyFill="1" applyBorder="1" applyAlignment="1" applyProtection="1">
      <alignment vertical="center"/>
    </xf>
    <xf numFmtId="164" fontId="17" fillId="3" borderId="9" xfId="0" applyNumberFormat="1" applyFont="1" applyFill="1" applyBorder="1" applyAlignment="1" applyProtection="1">
      <alignment vertical="center"/>
    </xf>
    <xf numFmtId="0" fontId="17" fillId="4" borderId="4" xfId="0" applyFont="1" applyFill="1" applyBorder="1" applyAlignment="1" applyProtection="1">
      <alignment horizontal="center" vertical="center"/>
    </xf>
    <xf numFmtId="0" fontId="17" fillId="4" borderId="0" xfId="0" applyFont="1" applyFill="1" applyBorder="1" applyAlignment="1" applyProtection="1">
      <alignment vertical="center"/>
    </xf>
    <xf numFmtId="0" fontId="17" fillId="4" borderId="5" xfId="0" applyFont="1" applyFill="1" applyBorder="1" applyAlignment="1" applyProtection="1">
      <alignment vertical="center"/>
    </xf>
    <xf numFmtId="3" fontId="17" fillId="4" borderId="9" xfId="2" applyNumberFormat="1" applyFont="1" applyFill="1" applyBorder="1" applyAlignment="1" applyProtection="1">
      <alignment horizontal="right" vertical="center"/>
    </xf>
    <xf numFmtId="164" fontId="17" fillId="5" borderId="13" xfId="0" applyNumberFormat="1" applyFont="1" applyFill="1" applyBorder="1" applyAlignment="1" applyProtection="1">
      <alignment vertical="center"/>
    </xf>
    <xf numFmtId="164" fontId="17" fillId="5" borderId="14" xfId="0" applyNumberFormat="1" applyFont="1" applyFill="1" applyBorder="1" applyAlignment="1" applyProtection="1">
      <alignment vertical="center"/>
    </xf>
    <xf numFmtId="164" fontId="17" fillId="2" borderId="13" xfId="0" applyNumberFormat="1" applyFont="1" applyFill="1" applyBorder="1" applyAlignment="1" applyProtection="1">
      <alignment vertical="center"/>
      <protection locked="0"/>
    </xf>
    <xf numFmtId="0" fontId="17" fillId="4" borderId="6" xfId="0" applyFont="1" applyFill="1" applyBorder="1" applyAlignment="1" applyProtection="1">
      <alignment horizontal="center" vertical="center"/>
    </xf>
    <xf numFmtId="0" fontId="17" fillId="4" borderId="7" xfId="0" applyFont="1" applyFill="1" applyBorder="1" applyAlignment="1" applyProtection="1">
      <alignment vertical="center"/>
    </xf>
    <xf numFmtId="0" fontId="17" fillId="4" borderId="15" xfId="0" applyFont="1" applyFill="1" applyBorder="1" applyAlignment="1" applyProtection="1">
      <alignment vertical="center"/>
    </xf>
    <xf numFmtId="3" fontId="17" fillId="4" borderId="16" xfId="2" applyNumberFormat="1" applyFont="1" applyFill="1" applyBorder="1" applyAlignment="1" applyProtection="1">
      <alignment horizontal="right" vertical="center"/>
    </xf>
    <xf numFmtId="164" fontId="17" fillId="5" borderId="17" xfId="0" applyNumberFormat="1" applyFont="1" applyFill="1" applyBorder="1" applyAlignment="1" applyProtection="1">
      <alignment vertical="center"/>
    </xf>
    <xf numFmtId="0" fontId="12" fillId="4" borderId="18" xfId="0" applyFont="1" applyFill="1" applyBorder="1" applyAlignment="1" applyProtection="1">
      <alignment vertical="center"/>
    </xf>
    <xf numFmtId="0" fontId="17" fillId="4" borderId="18" xfId="0" applyFont="1" applyFill="1" applyBorder="1" applyAlignment="1" applyProtection="1">
      <alignment vertical="center"/>
    </xf>
    <xf numFmtId="3" fontId="12" fillId="4" borderId="19" xfId="2" applyNumberFormat="1" applyFont="1" applyFill="1" applyBorder="1" applyAlignment="1" applyProtection="1">
      <alignment horizontal="right" vertical="center"/>
    </xf>
    <xf numFmtId="164" fontId="12" fillId="6" borderId="20" xfId="0" applyNumberFormat="1" applyFont="1" applyFill="1" applyBorder="1" applyAlignment="1" applyProtection="1">
      <alignment vertical="center"/>
    </xf>
    <xf numFmtId="164" fontId="12" fillId="6" borderId="8" xfId="0" applyNumberFormat="1" applyFont="1" applyFill="1" applyBorder="1" applyAlignment="1" applyProtection="1">
      <alignment vertical="center"/>
    </xf>
    <xf numFmtId="0" fontId="12" fillId="3" borderId="8" xfId="0" applyFont="1" applyFill="1" applyBorder="1" applyAlignment="1" applyProtection="1">
      <alignment horizontal="center" vertical="center"/>
    </xf>
    <xf numFmtId="0" fontId="12" fillId="3" borderId="18" xfId="0" applyFont="1" applyFill="1" applyBorder="1" applyAlignment="1" applyProtection="1">
      <alignment vertical="center"/>
    </xf>
    <xf numFmtId="0" fontId="17" fillId="3" borderId="18" xfId="0" applyFont="1" applyFill="1" applyBorder="1" applyAlignment="1" applyProtection="1">
      <alignment vertical="center"/>
    </xf>
    <xf numFmtId="0" fontId="17" fillId="0" borderId="2" xfId="0" applyFont="1" applyFill="1" applyBorder="1" applyAlignment="1" applyProtection="1">
      <alignment vertical="center"/>
    </xf>
    <xf numFmtId="164" fontId="12" fillId="3" borderId="18" xfId="0" applyNumberFormat="1" applyFont="1" applyFill="1" applyBorder="1" applyAlignment="1" applyProtection="1">
      <alignment vertical="center"/>
    </xf>
    <xf numFmtId="0" fontId="12" fillId="3" borderId="0" xfId="0" applyFont="1" applyFill="1" applyBorder="1" applyAlignment="1" applyProtection="1">
      <alignment horizontal="center" vertical="center" wrapText="1"/>
    </xf>
    <xf numFmtId="0" fontId="12" fillId="4" borderId="2" xfId="0" applyFont="1" applyFill="1" applyBorder="1" applyAlignment="1" applyProtection="1">
      <alignment vertical="center"/>
    </xf>
    <xf numFmtId="0" fontId="12" fillId="4" borderId="3" xfId="0" applyFont="1" applyFill="1" applyBorder="1" applyAlignment="1" applyProtection="1">
      <alignment vertical="center"/>
    </xf>
    <xf numFmtId="0" fontId="12" fillId="4" borderId="11" xfId="0" applyFont="1" applyFill="1" applyBorder="1" applyAlignment="1" applyProtection="1">
      <alignment horizontal="center" vertical="center"/>
    </xf>
    <xf numFmtId="164" fontId="23" fillId="7" borderId="12" xfId="0" applyNumberFormat="1" applyFont="1" applyFill="1" applyBorder="1" applyAlignment="1" applyProtection="1">
      <alignment vertical="center"/>
    </xf>
    <xf numFmtId="164" fontId="23" fillId="7" borderId="21" xfId="0" applyNumberFormat="1" applyFont="1" applyFill="1" applyBorder="1" applyAlignment="1" applyProtection="1">
      <alignment vertical="center"/>
    </xf>
    <xf numFmtId="3" fontId="17" fillId="4" borderId="17" xfId="2" applyNumberFormat="1" applyFont="1" applyFill="1" applyBorder="1" applyAlignment="1" applyProtection="1">
      <alignment horizontal="right" vertical="center"/>
    </xf>
    <xf numFmtId="164" fontId="17" fillId="2" borderId="22" xfId="0" applyNumberFormat="1" applyFont="1" applyFill="1" applyBorder="1" applyAlignment="1" applyProtection="1">
      <alignment vertical="center"/>
      <protection locked="0"/>
    </xf>
    <xf numFmtId="164" fontId="17" fillId="2" borderId="23" xfId="0" applyNumberFormat="1" applyFont="1" applyFill="1" applyBorder="1" applyAlignment="1" applyProtection="1">
      <alignment vertical="center"/>
      <protection locked="0"/>
    </xf>
    <xf numFmtId="0" fontId="12" fillId="4" borderId="19" xfId="0" applyFont="1" applyFill="1" applyBorder="1" applyAlignment="1" applyProtection="1">
      <alignment horizontal="center" vertical="center"/>
    </xf>
    <xf numFmtId="0" fontId="12" fillId="4" borderId="24" xfId="0" quotePrefix="1" applyFont="1" applyFill="1" applyBorder="1" applyAlignment="1" applyProtection="1">
      <alignment horizontal="left" vertical="center"/>
    </xf>
    <xf numFmtId="0" fontId="12" fillId="4" borderId="25" xfId="0" applyFont="1" applyFill="1" applyBorder="1" applyAlignment="1" applyProtection="1">
      <alignment vertical="center"/>
    </xf>
    <xf numFmtId="3" fontId="12" fillId="4" borderId="20" xfId="2" applyNumberFormat="1" applyFont="1" applyFill="1" applyBorder="1" applyAlignment="1" applyProtection="1">
      <alignment horizontal="right" vertical="center"/>
    </xf>
    <xf numFmtId="164" fontId="12" fillId="6" borderId="26" xfId="0" applyNumberFormat="1" applyFont="1" applyFill="1" applyBorder="1" applyAlignment="1" applyProtection="1">
      <alignment vertical="center"/>
    </xf>
    <xf numFmtId="164" fontId="12" fillId="3" borderId="9" xfId="0" applyNumberFormat="1" applyFont="1" applyFill="1" applyBorder="1" applyAlignment="1" applyProtection="1">
      <alignment vertical="center"/>
    </xf>
    <xf numFmtId="0" fontId="17" fillId="8" borderId="8" xfId="0" applyFont="1" applyFill="1" applyBorder="1" applyAlignment="1" applyProtection="1">
      <alignment vertical="center"/>
    </xf>
    <xf numFmtId="0" fontId="0" fillId="8" borderId="18" xfId="0" applyFill="1" applyBorder="1" applyAlignment="1">
      <alignment vertical="center"/>
    </xf>
    <xf numFmtId="3" fontId="17" fillId="8" borderId="18" xfId="0" applyNumberFormat="1" applyFont="1" applyFill="1" applyBorder="1" applyAlignment="1" applyProtection="1">
      <alignment horizontal="right" vertical="center"/>
    </xf>
    <xf numFmtId="164" fontId="17" fillId="8" borderId="0" xfId="0" applyNumberFormat="1" applyFont="1" applyFill="1" applyBorder="1" applyAlignment="1" applyProtection="1">
      <alignment vertical="center"/>
    </xf>
    <xf numFmtId="3" fontId="12" fillId="4" borderId="11" xfId="0" applyNumberFormat="1" applyFont="1" applyFill="1" applyBorder="1" applyAlignment="1" applyProtection="1">
      <alignment horizontal="right" vertical="center"/>
    </xf>
    <xf numFmtId="164" fontId="17" fillId="7" borderId="12" xfId="0" applyNumberFormat="1" applyFont="1" applyFill="1" applyBorder="1" applyAlignment="1" applyProtection="1">
      <alignment vertical="center"/>
    </xf>
    <xf numFmtId="164" fontId="17" fillId="7" borderId="21" xfId="0" applyNumberFormat="1" applyFont="1" applyFill="1" applyBorder="1" applyAlignment="1" applyProtection="1">
      <alignment vertical="center"/>
    </xf>
    <xf numFmtId="0" fontId="17" fillId="4" borderId="0" xfId="0" quotePrefix="1" applyFont="1" applyFill="1" applyBorder="1" applyAlignment="1" applyProtection="1">
      <alignment horizontal="left" vertical="center"/>
    </xf>
    <xf numFmtId="164" fontId="17" fillId="5" borderId="22" xfId="0" applyNumberFormat="1" applyFont="1" applyFill="1" applyBorder="1" applyAlignment="1" applyProtection="1">
      <alignment vertical="center"/>
    </xf>
    <xf numFmtId="164" fontId="17" fillId="5" borderId="27" xfId="0" applyNumberFormat="1" applyFont="1" applyFill="1" applyBorder="1" applyAlignment="1" applyProtection="1">
      <alignment vertical="center"/>
    </xf>
    <xf numFmtId="0" fontId="12" fillId="4" borderId="7" xfId="0" quotePrefix="1" applyFont="1" applyFill="1" applyBorder="1" applyAlignment="1" applyProtection="1">
      <alignment horizontal="left" vertical="center"/>
    </xf>
    <xf numFmtId="0" fontId="12" fillId="4" borderId="7" xfId="0" applyFont="1" applyFill="1" applyBorder="1" applyAlignment="1" applyProtection="1">
      <alignment vertical="center"/>
    </xf>
    <xf numFmtId="3" fontId="12" fillId="4" borderId="16" xfId="2" applyNumberFormat="1" applyFont="1" applyFill="1" applyBorder="1" applyAlignment="1" applyProtection="1">
      <alignment horizontal="right" vertical="center"/>
    </xf>
    <xf numFmtId="164" fontId="12" fillId="5" borderId="28" xfId="0" applyNumberFormat="1" applyFont="1" applyFill="1" applyBorder="1" applyAlignment="1" applyProtection="1">
      <alignment vertical="center"/>
    </xf>
    <xf numFmtId="164" fontId="12" fillId="5" borderId="29" xfId="0" applyNumberFormat="1" applyFont="1" applyFill="1" applyBorder="1" applyAlignment="1" applyProtection="1">
      <alignment vertical="center"/>
    </xf>
    <xf numFmtId="164" fontId="17" fillId="5" borderId="23" xfId="0" applyNumberFormat="1" applyFont="1" applyFill="1" applyBorder="1" applyAlignment="1" applyProtection="1">
      <alignment vertical="center"/>
    </xf>
    <xf numFmtId="164" fontId="17" fillId="0" borderId="17" xfId="0" applyNumberFormat="1" applyFont="1" applyFill="1" applyBorder="1" applyAlignment="1" applyProtection="1">
      <alignment vertical="center"/>
      <protection locked="0"/>
    </xf>
    <xf numFmtId="164" fontId="17" fillId="0" borderId="30" xfId="0" applyNumberFormat="1" applyFont="1" applyFill="1" applyBorder="1" applyAlignment="1" applyProtection="1">
      <alignment vertical="center"/>
      <protection locked="0"/>
    </xf>
    <xf numFmtId="164" fontId="12" fillId="5" borderId="31" xfId="0" applyNumberFormat="1" applyFont="1" applyFill="1" applyBorder="1" applyAlignment="1" applyProtection="1">
      <alignment vertical="center"/>
    </xf>
    <xf numFmtId="0" fontId="17" fillId="3" borderId="4" xfId="0" applyFont="1" applyFill="1" applyBorder="1" applyAlignment="1" applyProtection="1">
      <alignment horizontal="center" vertical="center"/>
    </xf>
    <xf numFmtId="0" fontId="17" fillId="8" borderId="2" xfId="0" applyFont="1" applyFill="1" applyBorder="1" applyAlignment="1" applyProtection="1">
      <alignment vertical="center"/>
    </xf>
    <xf numFmtId="0" fontId="13" fillId="2" borderId="4" xfId="0" applyFont="1" applyFill="1" applyBorder="1" applyAlignment="1" applyProtection="1">
      <alignment horizontal="left" vertical="center"/>
    </xf>
    <xf numFmtId="0" fontId="17" fillId="8" borderId="7" xfId="0" applyFont="1" applyFill="1" applyBorder="1" applyAlignment="1" applyProtection="1">
      <alignment vertical="center"/>
    </xf>
    <xf numFmtId="49" fontId="12" fillId="4" borderId="1" xfId="0" applyNumberFormat="1" applyFont="1" applyFill="1" applyBorder="1" applyAlignment="1" applyProtection="1">
      <alignment horizontal="left" vertical="center"/>
    </xf>
    <xf numFmtId="49" fontId="12" fillId="4" borderId="2" xfId="0" applyNumberFormat="1" applyFont="1" applyFill="1" applyBorder="1" applyAlignment="1" applyProtection="1">
      <alignment vertical="center"/>
    </xf>
    <xf numFmtId="0" fontId="12" fillId="4" borderId="4" xfId="0" applyFont="1" applyFill="1" applyBorder="1" applyAlignment="1" applyProtection="1">
      <alignment horizontal="left" vertical="center"/>
    </xf>
    <xf numFmtId="49" fontId="17" fillId="4" borderId="4" xfId="0" applyNumberFormat="1" applyFont="1" applyFill="1" applyBorder="1" applyAlignment="1" applyProtection="1">
      <alignment horizontal="left" vertical="center"/>
    </xf>
    <xf numFmtId="0" fontId="12" fillId="4" borderId="4" xfId="0" applyFont="1" applyFill="1" applyBorder="1" applyAlignment="1" applyProtection="1">
      <alignment horizontal="left"/>
    </xf>
    <xf numFmtId="49" fontId="12" fillId="4" borderId="4" xfId="0" applyNumberFormat="1" applyFont="1" applyFill="1" applyBorder="1" applyAlignment="1" applyProtection="1">
      <alignment horizontal="center" vertical="center"/>
    </xf>
    <xf numFmtId="164" fontId="17" fillId="0" borderId="32" xfId="0" applyNumberFormat="1" applyFont="1" applyFill="1" applyBorder="1" applyAlignment="1" applyProtection="1">
      <alignment vertical="center"/>
      <protection locked="0"/>
    </xf>
    <xf numFmtId="164" fontId="17" fillId="0" borderId="33" xfId="0" applyNumberFormat="1" applyFont="1" applyFill="1" applyBorder="1" applyAlignment="1" applyProtection="1">
      <alignment vertical="center"/>
      <protection locked="0"/>
    </xf>
    <xf numFmtId="3" fontId="17" fillId="4" borderId="4" xfId="2" applyNumberFormat="1" applyFont="1" applyFill="1" applyBorder="1" applyAlignment="1" applyProtection="1">
      <alignment horizontal="right" vertical="center"/>
    </xf>
    <xf numFmtId="164" fontId="17" fillId="0" borderId="34" xfId="0" applyNumberFormat="1" applyFont="1" applyFill="1" applyBorder="1" applyAlignment="1" applyProtection="1">
      <alignment vertical="center"/>
      <protection locked="0"/>
    </xf>
    <xf numFmtId="0" fontId="12" fillId="4" borderId="0" xfId="0" applyFont="1" applyFill="1" applyBorder="1" applyAlignment="1" applyProtection="1">
      <alignment vertical="center"/>
    </xf>
    <xf numFmtId="3" fontId="12" fillId="4" borderId="0" xfId="2" applyNumberFormat="1" applyFont="1" applyFill="1" applyBorder="1" applyAlignment="1" applyProtection="1">
      <alignment horizontal="right" vertical="center"/>
    </xf>
    <xf numFmtId="164" fontId="17" fillId="2" borderId="0" xfId="0" applyNumberFormat="1" applyFont="1" applyFill="1" applyBorder="1" applyAlignment="1" applyProtection="1">
      <alignment vertical="center"/>
    </xf>
    <xf numFmtId="0" fontId="12" fillId="4" borderId="4" xfId="0" applyFont="1" applyFill="1" applyBorder="1" applyAlignment="1" applyProtection="1">
      <alignment vertical="center"/>
    </xf>
    <xf numFmtId="0" fontId="12" fillId="4" borderId="4" xfId="0" applyNumberFormat="1" applyFont="1" applyFill="1" applyBorder="1" applyAlignment="1" applyProtection="1">
      <alignment horizontal="center" vertical="center"/>
    </xf>
    <xf numFmtId="164" fontId="17" fillId="2" borderId="11" xfId="0" applyNumberFormat="1" applyFont="1" applyFill="1" applyBorder="1" applyAlignment="1" applyProtection="1">
      <alignment vertical="center"/>
      <protection locked="0"/>
    </xf>
    <xf numFmtId="164" fontId="17" fillId="0" borderId="13" xfId="0" applyNumberFormat="1" applyFont="1" applyFill="1" applyBorder="1" applyAlignment="1" applyProtection="1">
      <alignment vertical="center"/>
      <protection locked="0"/>
    </xf>
    <xf numFmtId="164" fontId="17" fillId="0" borderId="35" xfId="0" applyNumberFormat="1" applyFont="1" applyFill="1" applyBorder="1" applyAlignment="1" applyProtection="1">
      <alignment vertical="center"/>
      <protection locked="0"/>
    </xf>
    <xf numFmtId="0" fontId="12" fillId="4" borderId="6" xfId="0" applyNumberFormat="1" applyFont="1" applyFill="1" applyBorder="1" applyAlignment="1" applyProtection="1">
      <alignment horizontal="center" vertical="center"/>
    </xf>
    <xf numFmtId="0" fontId="17" fillId="4" borderId="7" xfId="0" quotePrefix="1" applyFont="1" applyFill="1" applyBorder="1" applyAlignment="1" applyProtection="1">
      <alignment horizontal="left" vertical="center"/>
    </xf>
    <xf numFmtId="164" fontId="17" fillId="2" borderId="30" xfId="0" applyNumberFormat="1" applyFont="1" applyFill="1" applyBorder="1" applyAlignment="1" applyProtection="1">
      <alignment vertical="center"/>
      <protection locked="0"/>
    </xf>
    <xf numFmtId="164" fontId="17" fillId="0" borderId="31" xfId="0" applyNumberFormat="1" applyFont="1" applyFill="1" applyBorder="1" applyAlignment="1" applyProtection="1">
      <alignment vertical="center"/>
      <protection locked="0"/>
    </xf>
    <xf numFmtId="49" fontId="17" fillId="2" borderId="4" xfId="0" applyNumberFormat="1" applyFont="1" applyFill="1" applyBorder="1" applyAlignment="1" applyProtection="1">
      <alignment horizontal="left" vertical="center"/>
    </xf>
    <xf numFmtId="49" fontId="17" fillId="2" borderId="0" xfId="0" applyNumberFormat="1" applyFont="1" applyFill="1" applyBorder="1" applyAlignment="1" applyProtection="1">
      <alignment vertical="center"/>
    </xf>
    <xf numFmtId="0" fontId="12" fillId="2" borderId="0" xfId="0" applyFont="1" applyFill="1" applyBorder="1" applyAlignment="1" applyProtection="1">
      <alignment horizontal="center" vertical="center"/>
    </xf>
    <xf numFmtId="0" fontId="12" fillId="2" borderId="0" xfId="0" applyFont="1" applyFill="1" applyBorder="1" applyAlignment="1" applyProtection="1">
      <alignment horizontal="right" vertical="center"/>
    </xf>
    <xf numFmtId="49" fontId="17" fillId="4" borderId="0" xfId="0" applyNumberFormat="1" applyFont="1" applyFill="1" applyBorder="1" applyAlignment="1" applyProtection="1">
      <alignment vertical="center"/>
    </xf>
    <xf numFmtId="164" fontId="17" fillId="0" borderId="11" xfId="0" applyNumberFormat="1" applyFont="1" applyFill="1" applyBorder="1" applyAlignment="1" applyProtection="1">
      <alignment vertical="center"/>
      <protection locked="0"/>
    </xf>
    <xf numFmtId="3" fontId="12" fillId="4" borderId="1" xfId="2" applyNumberFormat="1" applyFont="1" applyFill="1" applyBorder="1" applyAlignment="1" applyProtection="1">
      <alignment horizontal="right" vertical="center"/>
    </xf>
    <xf numFmtId="3" fontId="17" fillId="4" borderId="20" xfId="2" applyNumberFormat="1" applyFont="1" applyFill="1" applyBorder="1" applyAlignment="1" applyProtection="1">
      <alignment horizontal="right" vertical="center"/>
    </xf>
    <xf numFmtId="164" fontId="17" fillId="2" borderId="20" xfId="0" applyNumberFormat="1" applyFont="1" applyFill="1" applyBorder="1" applyAlignment="1" applyProtection="1">
      <alignment vertical="center"/>
      <protection locked="0"/>
    </xf>
    <xf numFmtId="164" fontId="17" fillId="0" borderId="16" xfId="0" applyNumberFormat="1" applyFont="1" applyFill="1" applyBorder="1" applyAlignment="1" applyProtection="1">
      <alignment vertical="center"/>
      <protection locked="0"/>
    </xf>
    <xf numFmtId="0" fontId="12" fillId="4" borderId="0" xfId="0" applyFont="1" applyFill="1" applyBorder="1" applyAlignment="1" applyProtection="1">
      <alignment horizontal="right" vertical="center"/>
    </xf>
    <xf numFmtId="3" fontId="17" fillId="2" borderId="0" xfId="0" applyNumberFormat="1" applyFont="1" applyFill="1" applyBorder="1" applyAlignment="1" applyProtection="1">
      <alignment vertical="center"/>
    </xf>
    <xf numFmtId="3" fontId="12" fillId="4" borderId="11" xfId="2" applyNumberFormat="1" applyFont="1" applyFill="1" applyBorder="1" applyAlignment="1" applyProtection="1">
      <alignment horizontal="right" vertical="center"/>
    </xf>
    <xf numFmtId="3" fontId="17" fillId="7" borderId="11" xfId="0" applyNumberFormat="1" applyFont="1" applyFill="1" applyBorder="1" applyAlignment="1" applyProtection="1">
      <alignment vertical="center"/>
    </xf>
    <xf numFmtId="164" fontId="12" fillId="5" borderId="20" xfId="0" applyNumberFormat="1" applyFont="1" applyFill="1" applyBorder="1" applyAlignment="1" applyProtection="1">
      <alignment vertical="center"/>
    </xf>
    <xf numFmtId="165" fontId="12" fillId="4" borderId="0" xfId="2" applyNumberFormat="1" applyFont="1" applyFill="1" applyBorder="1" applyAlignment="1" applyProtection="1">
      <alignment horizontal="center" vertical="center"/>
    </xf>
    <xf numFmtId="0" fontId="12" fillId="4" borderId="4" xfId="0" quotePrefix="1" applyFont="1" applyFill="1" applyBorder="1" applyAlignment="1" applyProtection="1">
      <alignment horizontal="left" vertical="center"/>
    </xf>
    <xf numFmtId="165" fontId="12" fillId="4" borderId="11" xfId="2" applyNumberFormat="1" applyFont="1" applyFill="1" applyBorder="1" applyAlignment="1" applyProtection="1">
      <alignment vertical="center"/>
    </xf>
    <xf numFmtId="164" fontId="17" fillId="7" borderId="11" xfId="0" applyNumberFormat="1" applyFont="1" applyFill="1" applyBorder="1" applyAlignment="1" applyProtection="1">
      <alignment vertical="center"/>
    </xf>
    <xf numFmtId="49" fontId="12" fillId="4" borderId="0" xfId="0" applyNumberFormat="1" applyFont="1" applyFill="1" applyBorder="1" applyAlignment="1" applyProtection="1">
      <alignment horizontal="left" vertical="center"/>
    </xf>
    <xf numFmtId="0" fontId="17" fillId="2" borderId="4" xfId="0" applyFont="1" applyFill="1" applyBorder="1" applyAlignment="1" applyProtection="1">
      <alignment horizontal="left" vertical="center"/>
    </xf>
    <xf numFmtId="49" fontId="17" fillId="2" borderId="2" xfId="0" applyNumberFormat="1" applyFont="1" applyFill="1" applyBorder="1" applyAlignment="1" applyProtection="1">
      <alignment vertical="center"/>
    </xf>
    <xf numFmtId="0" fontId="17" fillId="2" borderId="2" xfId="0" applyFont="1" applyFill="1" applyBorder="1" applyAlignment="1" applyProtection="1">
      <alignment horizontal="left" vertical="center"/>
    </xf>
    <xf numFmtId="49" fontId="17" fillId="2" borderId="7" xfId="0" applyNumberFormat="1" applyFont="1" applyFill="1" applyBorder="1" applyAlignment="1" applyProtection="1">
      <alignment vertical="center"/>
    </xf>
    <xf numFmtId="0" fontId="17" fillId="2" borderId="7" xfId="0" applyFont="1" applyFill="1" applyBorder="1" applyAlignment="1" applyProtection="1">
      <alignment horizontal="left" vertical="center"/>
    </xf>
    <xf numFmtId="49" fontId="12" fillId="4" borderId="4" xfId="0" applyNumberFormat="1" applyFont="1" applyFill="1" applyBorder="1" applyAlignment="1" applyProtection="1">
      <alignment horizontal="left" vertical="center"/>
    </xf>
    <xf numFmtId="49" fontId="17" fillId="4" borderId="4" xfId="0" quotePrefix="1" applyNumberFormat="1" applyFont="1" applyFill="1" applyBorder="1" applyAlignment="1" applyProtection="1">
      <alignment horizontal="left" vertical="center"/>
    </xf>
    <xf numFmtId="0" fontId="12" fillId="4" borderId="11" xfId="0" applyFont="1" applyFill="1" applyBorder="1" applyAlignment="1" applyProtection="1">
      <alignment vertical="center"/>
    </xf>
    <xf numFmtId="3" fontId="17" fillId="4" borderId="0" xfId="2" applyNumberFormat="1" applyFont="1" applyFill="1" applyBorder="1" applyAlignment="1" applyProtection="1">
      <alignment horizontal="right" vertical="center"/>
    </xf>
    <xf numFmtId="3" fontId="17" fillId="4" borderId="11" xfId="2" applyNumberFormat="1" applyFont="1" applyFill="1" applyBorder="1" applyAlignment="1" applyProtection="1">
      <alignment horizontal="right" vertical="center"/>
    </xf>
    <xf numFmtId="164" fontId="12" fillId="5" borderId="10" xfId="0" applyNumberFormat="1" applyFont="1" applyFill="1" applyBorder="1" applyAlignment="1" applyProtection="1">
      <alignment vertical="center"/>
    </xf>
    <xf numFmtId="3" fontId="12" fillId="4" borderId="8" xfId="2" applyNumberFormat="1" applyFont="1" applyFill="1" applyBorder="1" applyAlignment="1" applyProtection="1">
      <alignment horizontal="right" vertical="center"/>
    </xf>
    <xf numFmtId="164" fontId="17" fillId="2" borderId="7" xfId="0" applyNumberFormat="1" applyFont="1" applyFill="1" applyBorder="1" applyAlignment="1" applyProtection="1">
      <alignment vertical="center"/>
    </xf>
    <xf numFmtId="49" fontId="12" fillId="2" borderId="4" xfId="0" applyNumberFormat="1" applyFont="1" applyFill="1" applyBorder="1" applyAlignment="1" applyProtection="1">
      <alignment horizontal="left" vertical="center"/>
    </xf>
    <xf numFmtId="49" fontId="12" fillId="2" borderId="2" xfId="0" applyNumberFormat="1" applyFont="1" applyFill="1" applyBorder="1" applyAlignment="1" applyProtection="1">
      <alignment horizontal="left" vertical="center"/>
    </xf>
    <xf numFmtId="49" fontId="12" fillId="2" borderId="7" xfId="0" applyNumberFormat="1" applyFont="1" applyFill="1" applyBorder="1" applyAlignment="1" applyProtection="1">
      <alignment horizontal="left" vertical="center"/>
    </xf>
    <xf numFmtId="49" fontId="17" fillId="4" borderId="2" xfId="0" applyNumberFormat="1" applyFont="1" applyFill="1" applyBorder="1" applyAlignment="1" applyProtection="1">
      <alignment vertical="center"/>
    </xf>
    <xf numFmtId="0" fontId="17" fillId="4" borderId="4" xfId="0" applyFont="1" applyFill="1" applyBorder="1" applyAlignment="1" applyProtection="1">
      <alignment horizontal="left" vertical="center"/>
    </xf>
    <xf numFmtId="0" fontId="17" fillId="4" borderId="0" xfId="0" applyFont="1" applyFill="1" applyBorder="1" applyAlignment="1" applyProtection="1">
      <alignment horizontal="left" vertical="center"/>
    </xf>
    <xf numFmtId="49" fontId="12" fillId="4" borderId="11" xfId="0" applyNumberFormat="1" applyFont="1" applyFill="1" applyBorder="1" applyAlignment="1" applyProtection="1">
      <alignment horizontal="left" vertical="center"/>
    </xf>
    <xf numFmtId="0" fontId="12" fillId="4" borderId="0" xfId="0" applyFont="1" applyFill="1" applyBorder="1" applyAlignment="1" applyProtection="1">
      <alignment horizontal="left" vertical="center"/>
    </xf>
    <xf numFmtId="164" fontId="17" fillId="0" borderId="36" xfId="0" applyNumberFormat="1" applyFont="1" applyFill="1" applyBorder="1" applyAlignment="1" applyProtection="1">
      <alignment vertical="center"/>
      <protection locked="0"/>
    </xf>
    <xf numFmtId="0" fontId="17" fillId="2" borderId="2" xfId="0" applyFont="1" applyFill="1" applyBorder="1" applyAlignment="1" applyProtection="1">
      <alignment vertical="center"/>
    </xf>
    <xf numFmtId="3" fontId="17" fillId="2" borderId="2" xfId="0" applyNumberFormat="1" applyFont="1" applyFill="1" applyBorder="1" applyAlignment="1" applyProtection="1">
      <alignment horizontal="right" vertical="center"/>
    </xf>
    <xf numFmtId="0" fontId="17" fillId="2" borderId="7" xfId="0" applyFont="1" applyFill="1" applyBorder="1" applyAlignment="1" applyProtection="1">
      <alignment vertical="center"/>
    </xf>
    <xf numFmtId="49" fontId="12" fillId="4" borderId="7" xfId="0" applyNumberFormat="1" applyFont="1" applyFill="1" applyBorder="1" applyAlignment="1" applyProtection="1">
      <alignment vertical="center"/>
    </xf>
    <xf numFmtId="0" fontId="17" fillId="4" borderId="0" xfId="0" applyNumberFormat="1" applyFont="1" applyFill="1" applyBorder="1" applyAlignment="1" applyProtection="1">
      <alignment vertical="center"/>
    </xf>
    <xf numFmtId="164" fontId="17" fillId="7" borderId="20" xfId="0" applyNumberFormat="1" applyFont="1" applyFill="1" applyBorder="1" applyAlignment="1" applyProtection="1">
      <alignment vertical="center"/>
    </xf>
    <xf numFmtId="3" fontId="17" fillId="4" borderId="37" xfId="2" applyNumberFormat="1" applyFont="1" applyFill="1" applyBorder="1" applyAlignment="1" applyProtection="1">
      <alignment horizontal="right" vertical="center"/>
    </xf>
    <xf numFmtId="164" fontId="17" fillId="0" borderId="10" xfId="0" applyNumberFormat="1" applyFont="1" applyFill="1" applyBorder="1" applyAlignment="1" applyProtection="1">
      <alignment vertical="center"/>
      <protection locked="0"/>
    </xf>
    <xf numFmtId="0" fontId="12" fillId="4" borderId="11" xfId="0" applyFont="1" applyFill="1" applyBorder="1" applyAlignment="1" applyProtection="1">
      <alignment horizontal="left"/>
    </xf>
    <xf numFmtId="0" fontId="12" fillId="3" borderId="4" xfId="0" applyNumberFormat="1" applyFont="1" applyFill="1" applyBorder="1" applyAlignment="1" applyProtection="1">
      <alignment horizontal="center" vertical="center"/>
    </xf>
    <xf numFmtId="0" fontId="12" fillId="3" borderId="0" xfId="0" applyFont="1" applyFill="1" applyBorder="1" applyAlignment="1" applyProtection="1">
      <alignment vertical="center"/>
    </xf>
    <xf numFmtId="0" fontId="12" fillId="3" borderId="2" xfId="0" applyFont="1" applyFill="1" applyBorder="1" applyAlignment="1" applyProtection="1">
      <alignment vertical="center"/>
    </xf>
    <xf numFmtId="0" fontId="12" fillId="3" borderId="2" xfId="0" applyNumberFormat="1" applyFont="1" applyFill="1" applyBorder="1" applyAlignment="1" applyProtection="1">
      <alignment horizontal="center" vertical="center"/>
    </xf>
    <xf numFmtId="164" fontId="12" fillId="3" borderId="0" xfId="0" applyNumberFormat="1" applyFont="1" applyFill="1" applyBorder="1" applyAlignment="1" applyProtection="1">
      <alignment vertical="center"/>
    </xf>
    <xf numFmtId="0" fontId="17" fillId="3" borderId="4" xfId="0" applyFont="1" applyFill="1" applyBorder="1" applyAlignment="1" applyProtection="1">
      <alignment horizontal="left" vertical="center"/>
    </xf>
    <xf numFmtId="0" fontId="17" fillId="3" borderId="7" xfId="0" applyFont="1" applyFill="1" applyBorder="1" applyAlignment="1" applyProtection="1">
      <alignment horizontal="left" vertical="center"/>
    </xf>
    <xf numFmtId="0" fontId="12" fillId="4" borderId="5" xfId="0" applyNumberFormat="1" applyFont="1" applyFill="1" applyBorder="1" applyAlignment="1" applyProtection="1">
      <alignment horizontal="center" vertical="center"/>
    </xf>
    <xf numFmtId="164" fontId="17" fillId="0" borderId="0" xfId="0" applyNumberFormat="1" applyFont="1" applyFill="1" applyBorder="1" applyAlignment="1" applyProtection="1">
      <alignment vertical="center"/>
    </xf>
    <xf numFmtId="164" fontId="17" fillId="7" borderId="17" xfId="0" applyNumberFormat="1" applyFont="1" applyFill="1" applyBorder="1" applyAlignment="1" applyProtection="1">
      <alignment vertical="center"/>
    </xf>
    <xf numFmtId="164" fontId="17" fillId="2" borderId="17" xfId="0" applyNumberFormat="1" applyFont="1" applyFill="1" applyBorder="1" applyAlignment="1" applyProtection="1">
      <alignment vertical="center"/>
      <protection locked="0"/>
    </xf>
    <xf numFmtId="49" fontId="12" fillId="4" borderId="1" xfId="0" applyNumberFormat="1" applyFont="1" applyFill="1" applyBorder="1" applyAlignment="1" applyProtection="1">
      <alignment horizontal="left" vertical="top"/>
    </xf>
    <xf numFmtId="0" fontId="24" fillId="4" borderId="3" xfId="0" applyFont="1" applyFill="1" applyBorder="1" applyAlignment="1">
      <alignment vertical="center" wrapText="1"/>
    </xf>
    <xf numFmtId="0" fontId="22" fillId="8" borderId="0" xfId="0" applyFont="1" applyFill="1" applyBorder="1" applyAlignment="1" applyProtection="1">
      <alignment vertical="center"/>
    </xf>
    <xf numFmtId="164" fontId="12" fillId="5" borderId="38" xfId="0" applyNumberFormat="1" applyFont="1" applyFill="1" applyBorder="1" applyAlignment="1" applyProtection="1">
      <alignment vertical="center"/>
    </xf>
    <xf numFmtId="0" fontId="33" fillId="8" borderId="0" xfId="0" applyFont="1" applyFill="1"/>
    <xf numFmtId="0" fontId="17" fillId="4" borderId="5" xfId="0" applyFont="1" applyFill="1" applyBorder="1" applyAlignment="1" applyProtection="1">
      <alignment horizontal="center" vertical="center"/>
    </xf>
    <xf numFmtId="0" fontId="12" fillId="4" borderId="2" xfId="0" quotePrefix="1" applyFont="1" applyFill="1" applyBorder="1" applyAlignment="1" applyProtection="1">
      <alignment horizontal="left" vertical="center"/>
    </xf>
    <xf numFmtId="0" fontId="12" fillId="4" borderId="1" xfId="0" applyFont="1" applyFill="1" applyBorder="1" applyAlignment="1" applyProtection="1">
      <alignment vertical="center"/>
    </xf>
    <xf numFmtId="0" fontId="17" fillId="4" borderId="4" xfId="0" quotePrefix="1" applyFont="1" applyFill="1" applyBorder="1" applyAlignment="1" applyProtection="1">
      <alignment horizontal="left" vertical="center"/>
    </xf>
    <xf numFmtId="0" fontId="17" fillId="8" borderId="4" xfId="0" applyFont="1" applyFill="1" applyBorder="1" applyAlignment="1" applyProtection="1">
      <alignment vertical="center"/>
    </xf>
    <xf numFmtId="0" fontId="17" fillId="8" borderId="0" xfId="0" applyFont="1" applyFill="1" applyBorder="1" applyAlignment="1" applyProtection="1">
      <alignment vertical="center" wrapText="1"/>
    </xf>
    <xf numFmtId="0" fontId="12" fillId="8" borderId="0" xfId="0" quotePrefix="1" applyNumberFormat="1" applyFont="1" applyFill="1" applyBorder="1" applyAlignment="1" applyProtection="1">
      <alignment horizontal="center" vertical="center"/>
    </xf>
    <xf numFmtId="0" fontId="17" fillId="8" borderId="0" xfId="0" applyNumberFormat="1" applyFont="1" applyFill="1" applyBorder="1" applyAlignment="1" applyProtection="1">
      <alignment vertical="center"/>
    </xf>
    <xf numFmtId="0" fontId="0" fillId="0" borderId="0" xfId="0" applyProtection="1">
      <protection locked="0"/>
    </xf>
    <xf numFmtId="164" fontId="17" fillId="2" borderId="36" xfId="0" applyNumberFormat="1" applyFont="1" applyFill="1" applyBorder="1" applyAlignment="1" applyProtection="1">
      <alignment vertical="center"/>
      <protection locked="0"/>
    </xf>
    <xf numFmtId="0" fontId="8" fillId="8" borderId="0" xfId="0" applyFont="1" applyFill="1"/>
    <xf numFmtId="0" fontId="0" fillId="3" borderId="0" xfId="0" applyFill="1" applyBorder="1" applyProtection="1"/>
    <xf numFmtId="0" fontId="17" fillId="3" borderId="0" xfId="0" applyFont="1" applyFill="1" applyBorder="1" applyAlignment="1" applyProtection="1">
      <alignment vertical="center"/>
    </xf>
    <xf numFmtId="0" fontId="17" fillId="3" borderId="2" xfId="0" applyFont="1" applyFill="1" applyBorder="1" applyAlignment="1" applyProtection="1">
      <alignment vertical="center"/>
    </xf>
    <xf numFmtId="0" fontId="17" fillId="3" borderId="7" xfId="0" applyFont="1" applyFill="1" applyBorder="1" applyAlignment="1" applyProtection="1">
      <alignment vertical="center"/>
    </xf>
    <xf numFmtId="0" fontId="22" fillId="3" borderId="0" xfId="0" applyFont="1" applyFill="1" applyBorder="1" applyAlignment="1" applyProtection="1">
      <alignment vertical="center"/>
    </xf>
    <xf numFmtId="167" fontId="24" fillId="8" borderId="0" xfId="12" applyNumberFormat="1" applyFont="1" applyFill="1" applyBorder="1" applyAlignment="1">
      <alignment vertical="center"/>
    </xf>
    <xf numFmtId="167" fontId="24" fillId="8" borderId="7" xfId="12" applyNumberFormat="1" applyFont="1" applyFill="1" applyBorder="1" applyAlignment="1">
      <alignment vertical="center"/>
    </xf>
    <xf numFmtId="167" fontId="24" fillId="8" borderId="9" xfId="12" applyNumberFormat="1" applyFont="1" applyFill="1" applyBorder="1" applyAlignment="1">
      <alignment vertical="center"/>
    </xf>
    <xf numFmtId="167" fontId="24" fillId="8" borderId="16" xfId="12" applyNumberFormat="1" applyFont="1" applyFill="1" applyBorder="1" applyAlignment="1">
      <alignment vertical="center"/>
    </xf>
    <xf numFmtId="167" fontId="28" fillId="8" borderId="0" xfId="12" applyNumberFormat="1" applyFont="1" applyFill="1" applyBorder="1" applyAlignment="1">
      <alignment vertical="center"/>
    </xf>
    <xf numFmtId="0" fontId="25" fillId="8" borderId="18" xfId="0" quotePrefix="1" applyFont="1" applyFill="1" applyBorder="1" applyAlignment="1">
      <alignment horizontal="center" vertical="center" wrapText="1"/>
    </xf>
    <xf numFmtId="0" fontId="25" fillId="8" borderId="18" xfId="0" applyFont="1" applyFill="1" applyBorder="1" applyAlignment="1">
      <alignment horizontal="center" vertical="center" wrapText="1"/>
    </xf>
    <xf numFmtId="0" fontId="27" fillId="8" borderId="20" xfId="0" applyFont="1" applyFill="1" applyBorder="1" applyAlignment="1">
      <alignment horizontal="left" vertical="center" wrapText="1"/>
    </xf>
    <xf numFmtId="0" fontId="25" fillId="8" borderId="9" xfId="0" applyFont="1" applyFill="1" applyBorder="1" applyAlignment="1">
      <alignment horizontal="left" vertical="center"/>
    </xf>
    <xf numFmtId="0" fontId="8" fillId="8" borderId="9" xfId="0" applyFont="1" applyFill="1" applyBorder="1" applyAlignment="1">
      <alignment horizontal="left" vertical="center"/>
    </xf>
    <xf numFmtId="0" fontId="8" fillId="8" borderId="16" xfId="0" applyFont="1" applyFill="1" applyBorder="1" applyAlignment="1">
      <alignment horizontal="left" vertical="center"/>
    </xf>
    <xf numFmtId="0" fontId="25" fillId="8" borderId="20" xfId="0" quotePrefix="1" applyFont="1" applyFill="1" applyBorder="1" applyAlignment="1">
      <alignment horizontal="center" vertical="center" wrapText="1"/>
    </xf>
    <xf numFmtId="167" fontId="28" fillId="8" borderId="9" xfId="12" applyNumberFormat="1" applyFont="1" applyFill="1" applyBorder="1" applyAlignment="1">
      <alignment vertical="center"/>
    </xf>
    <xf numFmtId="0" fontId="0" fillId="3" borderId="2" xfId="0" applyFill="1" applyBorder="1" applyAlignment="1" applyProtection="1">
      <alignment horizontal="left"/>
    </xf>
    <xf numFmtId="0" fontId="34" fillId="3" borderId="2" xfId="0" applyFont="1" applyFill="1" applyBorder="1" applyAlignment="1" applyProtection="1">
      <alignment horizontal="left"/>
    </xf>
    <xf numFmtId="0" fontId="15" fillId="3" borderId="2" xfId="0" applyFont="1" applyFill="1" applyBorder="1" applyAlignment="1" applyProtection="1">
      <alignment horizontal="left"/>
    </xf>
    <xf numFmtId="0" fontId="0" fillId="0" borderId="2" xfId="0" applyBorder="1" applyAlignment="1" applyProtection="1"/>
    <xf numFmtId="0" fontId="0" fillId="8" borderId="2" xfId="0" applyFill="1" applyBorder="1" applyAlignment="1" applyProtection="1"/>
    <xf numFmtId="0" fontId="8" fillId="8" borderId="0" xfId="0" quotePrefix="1" applyFont="1" applyFill="1" applyBorder="1" applyAlignment="1" applyProtection="1">
      <alignment horizontal="left" wrapText="1"/>
    </xf>
    <xf numFmtId="0" fontId="33" fillId="8" borderId="0" xfId="0" applyFont="1" applyFill="1" applyAlignment="1" applyProtection="1">
      <alignment wrapText="1"/>
    </xf>
    <xf numFmtId="0" fontId="0" fillId="8" borderId="0" xfId="0" applyFill="1" applyProtection="1">
      <protection locked="0"/>
    </xf>
    <xf numFmtId="0" fontId="0" fillId="3" borderId="0" xfId="0" applyFill="1" applyBorder="1" applyAlignment="1" applyProtection="1">
      <alignment vertical="center"/>
    </xf>
    <xf numFmtId="0" fontId="8" fillId="8" borderId="0" xfId="0" applyFont="1" applyFill="1" applyProtection="1"/>
    <xf numFmtId="0" fontId="14" fillId="8" borderId="0" xfId="0" applyFont="1" applyFill="1" applyBorder="1" applyAlignment="1" applyProtection="1">
      <alignment vertical="center"/>
    </xf>
    <xf numFmtId="0" fontId="17" fillId="8" borderId="0" xfId="0" quotePrefix="1" applyFont="1" applyFill="1" applyBorder="1" applyAlignment="1" applyProtection="1">
      <alignment horizontal="left" vertical="center" wrapText="1" indent="2"/>
    </xf>
    <xf numFmtId="0" fontId="0" fillId="0" borderId="4" xfId="0" applyBorder="1" applyProtection="1"/>
    <xf numFmtId="0" fontId="21" fillId="3" borderId="0" xfId="0" applyFont="1" applyFill="1" applyBorder="1" applyAlignment="1" applyProtection="1">
      <alignment horizontal="right" vertical="center"/>
    </xf>
    <xf numFmtId="0" fontId="21" fillId="8" borderId="0" xfId="0" applyFont="1" applyFill="1" applyBorder="1" applyAlignment="1" applyProtection="1">
      <alignment horizontal="right" vertical="center"/>
    </xf>
    <xf numFmtId="0" fontId="12" fillId="8" borderId="0" xfId="0" applyFont="1" applyFill="1" applyBorder="1" applyAlignment="1" applyProtection="1">
      <alignment horizontal="center" vertical="center"/>
    </xf>
    <xf numFmtId="0" fontId="12" fillId="8" borderId="0" xfId="0" applyFont="1" applyFill="1" applyBorder="1" applyAlignment="1" applyProtection="1">
      <alignment horizontal="center" vertical="center" wrapText="1"/>
    </xf>
    <xf numFmtId="164" fontId="17" fillId="5" borderId="13" xfId="0" applyNumberFormat="1" applyFont="1" applyFill="1" applyBorder="1" applyAlignment="1" applyProtection="1">
      <alignment vertical="center"/>
      <protection locked="0"/>
    </xf>
    <xf numFmtId="164" fontId="12" fillId="3" borderId="4" xfId="0" applyNumberFormat="1" applyFont="1" applyFill="1" applyBorder="1" applyAlignment="1" applyProtection="1">
      <alignment vertical="center"/>
    </xf>
    <xf numFmtId="164" fontId="12" fillId="8" borderId="0" xfId="0" applyNumberFormat="1" applyFont="1" applyFill="1" applyBorder="1" applyAlignment="1" applyProtection="1">
      <alignment vertical="center"/>
    </xf>
    <xf numFmtId="0" fontId="0" fillId="8" borderId="18" xfId="0" applyFill="1" applyBorder="1" applyAlignment="1" applyProtection="1">
      <alignment vertical="center"/>
    </xf>
    <xf numFmtId="1" fontId="22" fillId="8" borderId="0" xfId="0" applyNumberFormat="1" applyFont="1" applyFill="1" applyBorder="1" applyAlignment="1" applyProtection="1">
      <alignment vertical="center"/>
    </xf>
    <xf numFmtId="0" fontId="12" fillId="8" borderId="0" xfId="0" applyFont="1" applyFill="1" applyBorder="1" applyAlignment="1" applyProtection="1">
      <alignment horizontal="right" vertical="center"/>
    </xf>
    <xf numFmtId="164" fontId="17" fillId="2" borderId="45" xfId="0" applyNumberFormat="1" applyFont="1" applyFill="1" applyBorder="1" applyAlignment="1" applyProtection="1">
      <alignment vertical="center"/>
      <protection locked="0"/>
    </xf>
    <xf numFmtId="164" fontId="17" fillId="0" borderId="46" xfId="0" applyNumberFormat="1" applyFont="1" applyFill="1" applyBorder="1" applyAlignment="1" applyProtection="1">
      <alignment vertical="center"/>
      <protection locked="0"/>
    </xf>
    <xf numFmtId="164" fontId="17" fillId="0" borderId="47" xfId="0" applyNumberFormat="1" applyFont="1" applyFill="1" applyBorder="1" applyAlignment="1" applyProtection="1">
      <alignment vertical="center"/>
      <protection locked="0"/>
    </xf>
    <xf numFmtId="164" fontId="12" fillId="6" borderId="19" xfId="0" applyNumberFormat="1" applyFont="1" applyFill="1" applyBorder="1" applyAlignment="1" applyProtection="1">
      <alignment vertical="center"/>
    </xf>
    <xf numFmtId="164" fontId="12" fillId="6" borderId="48" xfId="0" applyNumberFormat="1" applyFont="1" applyFill="1" applyBorder="1" applyAlignment="1" applyProtection="1">
      <alignment vertical="center"/>
    </xf>
    <xf numFmtId="164" fontId="12" fillId="6" borderId="25" xfId="0" applyNumberFormat="1" applyFont="1" applyFill="1" applyBorder="1" applyAlignment="1" applyProtection="1">
      <alignment vertical="center"/>
    </xf>
    <xf numFmtId="164" fontId="17" fillId="2" borderId="37" xfId="0" applyNumberFormat="1" applyFont="1" applyFill="1" applyBorder="1" applyAlignment="1" applyProtection="1">
      <alignment vertical="center"/>
      <protection locked="0"/>
    </xf>
    <xf numFmtId="164" fontId="17" fillId="2" borderId="49" xfId="0" applyNumberFormat="1" applyFont="1" applyFill="1" applyBorder="1" applyAlignment="1" applyProtection="1">
      <alignment vertical="center"/>
      <protection locked="0"/>
    </xf>
    <xf numFmtId="164" fontId="17" fillId="0" borderId="50" xfId="0" applyNumberFormat="1" applyFont="1" applyFill="1" applyBorder="1" applyAlignment="1" applyProtection="1">
      <alignment vertical="center"/>
      <protection locked="0"/>
    </xf>
    <xf numFmtId="164" fontId="17" fillId="8" borderId="0" xfId="0" applyNumberFormat="1" applyFont="1" applyFill="1" applyBorder="1" applyAlignment="1" applyProtection="1">
      <alignment vertical="center"/>
      <protection locked="0"/>
    </xf>
    <xf numFmtId="0" fontId="12" fillId="2" borderId="0" xfId="0" applyFont="1" applyFill="1" applyBorder="1" applyAlignment="1" applyProtection="1">
      <alignment horizontal="centerContinuous" vertical="center"/>
    </xf>
    <xf numFmtId="3" fontId="17" fillId="8" borderId="0" xfId="0" applyNumberFormat="1" applyFont="1" applyFill="1" applyBorder="1" applyAlignment="1" applyProtection="1">
      <alignment vertical="center"/>
    </xf>
    <xf numFmtId="164" fontId="17" fillId="2" borderId="9" xfId="0" applyNumberFormat="1" applyFont="1" applyFill="1" applyBorder="1" applyAlignment="1" applyProtection="1">
      <alignment vertical="center"/>
    </xf>
    <xf numFmtId="49" fontId="12" fillId="2" borderId="0" xfId="0" applyNumberFormat="1" applyFont="1" applyFill="1" applyBorder="1" applyAlignment="1" applyProtection="1">
      <alignment horizontal="center" vertical="center"/>
    </xf>
    <xf numFmtId="49" fontId="12" fillId="8" borderId="0" xfId="0" applyNumberFormat="1" applyFont="1" applyFill="1" applyBorder="1" applyAlignment="1" applyProtection="1">
      <alignment horizontal="center" vertical="center"/>
    </xf>
    <xf numFmtId="0" fontId="12" fillId="4" borderId="10" xfId="0" applyFont="1" applyFill="1" applyBorder="1" applyAlignment="1" applyProtection="1">
      <alignment horizontal="left"/>
    </xf>
    <xf numFmtId="0" fontId="24" fillId="4" borderId="3" xfId="0" applyFont="1" applyFill="1" applyBorder="1" applyAlignment="1" applyProtection="1">
      <alignment vertical="center" wrapText="1"/>
    </xf>
    <xf numFmtId="164" fontId="17" fillId="7" borderId="10" xfId="0" applyNumberFormat="1" applyFont="1" applyFill="1" applyBorder="1" applyAlignment="1" applyProtection="1">
      <alignment vertical="center"/>
    </xf>
    <xf numFmtId="164" fontId="17" fillId="2" borderId="15" xfId="0" applyNumberFormat="1" applyFont="1" applyFill="1" applyBorder="1" applyAlignment="1" applyProtection="1">
      <alignment vertical="center"/>
      <protection locked="0"/>
    </xf>
    <xf numFmtId="0" fontId="17" fillId="8" borderId="0" xfId="0" applyFont="1" applyFill="1" applyBorder="1" applyAlignment="1" applyProtection="1">
      <alignment horizontal="center" vertical="center" wrapText="1"/>
    </xf>
    <xf numFmtId="9" fontId="0" fillId="8" borderId="0" xfId="10" applyFont="1" applyFill="1" applyBorder="1"/>
    <xf numFmtId="9" fontId="32" fillId="8" borderId="0" xfId="10" applyFont="1" applyFill="1" applyBorder="1"/>
    <xf numFmtId="3" fontId="0" fillId="8" borderId="5" xfId="10" applyNumberFormat="1" applyFont="1" applyFill="1" applyBorder="1"/>
    <xf numFmtId="0" fontId="32" fillId="8" borderId="0" xfId="0" quotePrefix="1" applyFont="1" applyFill="1" applyAlignment="1">
      <alignment horizontal="left"/>
    </xf>
    <xf numFmtId="0" fontId="0" fillId="8" borderId="0" xfId="0" applyFill="1"/>
    <xf numFmtId="0" fontId="0" fillId="8" borderId="7" xfId="0" applyFill="1" applyBorder="1"/>
    <xf numFmtId="0" fontId="0" fillId="8" borderId="10" xfId="0" applyFont="1" applyFill="1" applyBorder="1"/>
    <xf numFmtId="0" fontId="0" fillId="8" borderId="7" xfId="0" applyFont="1" applyFill="1" applyBorder="1" applyAlignment="1">
      <alignment horizontal="center"/>
    </xf>
    <xf numFmtId="0" fontId="0" fillId="8" borderId="26" xfId="0" applyFont="1" applyFill="1" applyBorder="1" applyAlignment="1">
      <alignment horizontal="center"/>
    </xf>
    <xf numFmtId="0" fontId="0" fillId="8" borderId="0" xfId="0" applyFont="1" applyFill="1" applyAlignment="1">
      <alignment horizontal="center"/>
    </xf>
    <xf numFmtId="0" fontId="0" fillId="8" borderId="16" xfId="0" applyFont="1" applyFill="1" applyBorder="1"/>
    <xf numFmtId="0" fontId="0" fillId="8" borderId="7" xfId="0" applyFont="1" applyFill="1" applyBorder="1" applyAlignment="1">
      <alignment horizontal="center" wrapText="1"/>
    </xf>
    <xf numFmtId="0" fontId="0" fillId="8" borderId="7" xfId="0" applyFont="1" applyFill="1" applyBorder="1"/>
    <xf numFmtId="0" fontId="8" fillId="8" borderId="7" xfId="0" applyFont="1" applyFill="1" applyBorder="1" applyAlignment="1">
      <alignment horizontal="center" wrapText="1"/>
    </xf>
    <xf numFmtId="0" fontId="8" fillId="8" borderId="15" xfId="0" applyFont="1" applyFill="1" applyBorder="1" applyAlignment="1">
      <alignment horizontal="center" wrapText="1"/>
    </xf>
    <xf numFmtId="0" fontId="0" fillId="8" borderId="0" xfId="0" applyFont="1" applyFill="1"/>
    <xf numFmtId="0" fontId="25" fillId="8" borderId="9" xfId="5" applyFont="1" applyFill="1" applyBorder="1"/>
    <xf numFmtId="3" fontId="32" fillId="8" borderId="0" xfId="0" applyNumberFormat="1" applyFont="1" applyFill="1" applyBorder="1"/>
    <xf numFmtId="3" fontId="32" fillId="8" borderId="5" xfId="10" applyNumberFormat="1" applyFont="1" applyFill="1" applyBorder="1"/>
    <xf numFmtId="3" fontId="32" fillId="8" borderId="0" xfId="0" applyNumberFormat="1" applyFont="1" applyFill="1"/>
    <xf numFmtId="3" fontId="32" fillId="8" borderId="4" xfId="0" applyNumberFormat="1" applyFont="1" applyFill="1" applyBorder="1"/>
    <xf numFmtId="0" fontId="8" fillId="8" borderId="9" xfId="5" applyFont="1" applyFill="1" applyBorder="1"/>
    <xf numFmtId="3" fontId="0" fillId="8" borderId="0" xfId="0" applyNumberFormat="1" applyFont="1" applyFill="1" applyBorder="1"/>
    <xf numFmtId="3" fontId="0" fillId="8" borderId="0" xfId="0" applyNumberFormat="1" applyFont="1" applyFill="1"/>
    <xf numFmtId="3" fontId="0" fillId="8" borderId="4" xfId="0" applyNumberFormat="1" applyFont="1" applyFill="1" applyBorder="1"/>
    <xf numFmtId="0" fontId="8" fillId="8" borderId="16" xfId="5" applyFont="1" applyFill="1" applyBorder="1"/>
    <xf numFmtId="3" fontId="0" fillId="8" borderId="7" xfId="0" applyNumberFormat="1" applyFont="1" applyFill="1" applyBorder="1"/>
    <xf numFmtId="9" fontId="0" fillId="8" borderId="7" xfId="10" applyFont="1" applyFill="1" applyBorder="1"/>
    <xf numFmtId="3" fontId="0" fillId="8" borderId="15" xfId="10" applyNumberFormat="1" applyFont="1" applyFill="1" applyBorder="1"/>
    <xf numFmtId="3" fontId="0" fillId="8" borderId="6" xfId="0" applyNumberFormat="1" applyFont="1" applyFill="1" applyBorder="1"/>
    <xf numFmtId="0" fontId="8" fillId="8" borderId="0" xfId="0" quotePrefix="1" applyFont="1" applyFill="1" applyAlignment="1">
      <alignment horizontal="left"/>
    </xf>
    <xf numFmtId="0" fontId="25" fillId="8" borderId="0" xfId="0" applyFont="1" applyFill="1"/>
    <xf numFmtId="0" fontId="0" fillId="8" borderId="0" xfId="0" applyFill="1" applyBorder="1"/>
    <xf numFmtId="0" fontId="0" fillId="8" borderId="10" xfId="0" applyFill="1" applyBorder="1"/>
    <xf numFmtId="0" fontId="0" fillId="8" borderId="2" xfId="0" applyFill="1" applyBorder="1"/>
    <xf numFmtId="0" fontId="0" fillId="8" borderId="3" xfId="0" applyFill="1" applyBorder="1"/>
    <xf numFmtId="0" fontId="0" fillId="8" borderId="20" xfId="0" applyFill="1" applyBorder="1"/>
    <xf numFmtId="0" fontId="0" fillId="8" borderId="6" xfId="0" applyFont="1" applyFill="1" applyBorder="1" applyAlignment="1">
      <alignment horizontal="center"/>
    </xf>
    <xf numFmtId="0" fontId="0" fillId="8" borderId="15" xfId="0" applyFont="1" applyFill="1" applyBorder="1" applyAlignment="1">
      <alignment horizontal="center" wrapText="1"/>
    </xf>
    <xf numFmtId="9" fontId="30" fillId="8" borderId="0" xfId="10" applyFont="1" applyFill="1" applyBorder="1"/>
    <xf numFmtId="3" fontId="30" fillId="8" borderId="5" xfId="10" applyNumberFormat="1" applyFont="1" applyFill="1" applyBorder="1"/>
    <xf numFmtId="0" fontId="0" fillId="8" borderId="15" xfId="0" applyFill="1" applyBorder="1"/>
    <xf numFmtId="0" fontId="33" fillId="8" borderId="0" xfId="0" applyFont="1" applyFill="1" applyBorder="1"/>
    <xf numFmtId="0" fontId="8" fillId="8" borderId="0" xfId="0" applyFont="1" applyFill="1" applyBorder="1"/>
    <xf numFmtId="0" fontId="8" fillId="8" borderId="7" xfId="0" applyFont="1" applyFill="1" applyBorder="1"/>
    <xf numFmtId="0" fontId="8" fillId="8" borderId="0" xfId="0" applyFont="1" applyFill="1" applyBorder="1" applyAlignment="1">
      <alignment horizontal="right"/>
    </xf>
    <xf numFmtId="0" fontId="8" fillId="8" borderId="7" xfId="0" applyFont="1" applyFill="1" applyBorder="1" applyAlignment="1">
      <alignment horizontal="center"/>
    </xf>
    <xf numFmtId="0" fontId="8" fillId="8" borderId="4" xfId="5" applyFont="1" applyFill="1" applyBorder="1"/>
    <xf numFmtId="49" fontId="12" fillId="8" borderId="9" xfId="16" applyNumberFormat="1" applyFont="1" applyFill="1" applyBorder="1" applyAlignment="1" applyProtection="1">
      <alignment horizontal="left" vertical="center"/>
    </xf>
    <xf numFmtId="0" fontId="6" fillId="8" borderId="0" xfId="16" applyFill="1"/>
    <xf numFmtId="0" fontId="6" fillId="8" borderId="5" xfId="16" applyFill="1" applyBorder="1"/>
    <xf numFmtId="0" fontId="6" fillId="8" borderId="15" xfId="16" applyFill="1" applyBorder="1"/>
    <xf numFmtId="0" fontId="17" fillId="8" borderId="7" xfId="16" quotePrefix="1" applyFont="1" applyFill="1" applyBorder="1" applyAlignment="1" applyProtection="1">
      <alignment vertical="center" wrapText="1"/>
    </xf>
    <xf numFmtId="0" fontId="17" fillId="8" borderId="6" xfId="16" quotePrefix="1" applyFont="1" applyFill="1" applyBorder="1" applyAlignment="1" applyProtection="1">
      <alignment vertical="center" wrapText="1"/>
    </xf>
    <xf numFmtId="0" fontId="12" fillId="8" borderId="7" xfId="16" quotePrefix="1" applyFont="1" applyFill="1" applyBorder="1" applyAlignment="1" applyProtection="1">
      <alignment vertical="center" wrapText="1"/>
    </xf>
    <xf numFmtId="0" fontId="32" fillId="8" borderId="0" xfId="16" applyFont="1" applyFill="1"/>
    <xf numFmtId="3" fontId="32" fillId="8" borderId="4" xfId="16" applyNumberFormat="1" applyFont="1" applyFill="1" applyBorder="1"/>
    <xf numFmtId="3" fontId="32" fillId="8" borderId="0" xfId="16" applyNumberFormat="1" applyFont="1" applyFill="1" applyBorder="1"/>
    <xf numFmtId="3" fontId="32" fillId="8" borderId="2" xfId="16" applyNumberFormat="1" applyFont="1" applyFill="1" applyBorder="1"/>
    <xf numFmtId="3" fontId="6" fillId="8" borderId="0" xfId="16" applyNumberFormat="1" applyFill="1"/>
    <xf numFmtId="3" fontId="6" fillId="8" borderId="4" xfId="16" applyNumberFormat="1" applyFill="1" applyBorder="1"/>
    <xf numFmtId="3" fontId="6" fillId="8" borderId="0" xfId="16" applyNumberFormat="1" applyFill="1" applyBorder="1"/>
    <xf numFmtId="0" fontId="6" fillId="8" borderId="0" xfId="16" applyFill="1" applyBorder="1"/>
    <xf numFmtId="49" fontId="12" fillId="8" borderId="4" xfId="16" applyNumberFormat="1" applyFont="1" applyFill="1" applyBorder="1" applyAlignment="1" applyProtection="1">
      <alignment horizontal="left" vertical="center"/>
    </xf>
    <xf numFmtId="0" fontId="6" fillId="8" borderId="7" xfId="16" applyFill="1" applyBorder="1"/>
    <xf numFmtId="3" fontId="32" fillId="8" borderId="1" xfId="0" applyNumberFormat="1" applyFont="1" applyFill="1" applyBorder="1"/>
    <xf numFmtId="3" fontId="32" fillId="8" borderId="2" xfId="0" applyNumberFormat="1" applyFont="1" applyFill="1" applyBorder="1"/>
    <xf numFmtId="9" fontId="0" fillId="8" borderId="0" xfId="10" applyFont="1" applyFill="1"/>
    <xf numFmtId="0" fontId="5" fillId="8" borderId="0" xfId="16" applyFont="1" applyFill="1"/>
    <xf numFmtId="9" fontId="6" fillId="8" borderId="0" xfId="10" applyFont="1" applyFill="1"/>
    <xf numFmtId="165" fontId="6" fillId="8" borderId="0" xfId="2" applyNumberFormat="1" applyFont="1" applyFill="1"/>
    <xf numFmtId="0" fontId="4" fillId="8" borderId="0" xfId="16" applyFont="1" applyFill="1"/>
    <xf numFmtId="3" fontId="24" fillId="8" borderId="4" xfId="6" applyNumberFormat="1" applyFont="1" applyFill="1" applyBorder="1"/>
    <xf numFmtId="3" fontId="24" fillId="8" borderId="9" xfId="6" applyNumberFormat="1" applyFont="1" applyFill="1" applyBorder="1"/>
    <xf numFmtId="0" fontId="19" fillId="3" borderId="0" xfId="19" quotePrefix="1" applyFont="1" applyFill="1" applyBorder="1" applyAlignment="1" applyProtection="1">
      <alignment horizontal="right" vertical="center"/>
    </xf>
    <xf numFmtId="0" fontId="19" fillId="8" borderId="2" xfId="19" applyFont="1" applyFill="1" applyBorder="1" applyAlignment="1" applyProtection="1">
      <alignment vertical="center"/>
    </xf>
    <xf numFmtId="0" fontId="19" fillId="8" borderId="3" xfId="19" applyFont="1" applyFill="1" applyBorder="1" applyAlignment="1" applyProtection="1">
      <alignment vertical="center"/>
    </xf>
    <xf numFmtId="0" fontId="19" fillId="8" borderId="0" xfId="19" applyFont="1" applyFill="1" applyBorder="1" applyAlignment="1" applyProtection="1">
      <alignment horizontal="left" vertical="center"/>
    </xf>
    <xf numFmtId="0" fontId="19" fillId="8" borderId="5" xfId="19" applyFont="1" applyFill="1" applyBorder="1" applyAlignment="1" applyProtection="1">
      <alignment vertical="center"/>
    </xf>
    <xf numFmtId="0" fontId="9" fillId="8" borderId="4" xfId="19" quotePrefix="1" applyFont="1" applyFill="1" applyBorder="1" applyAlignment="1" applyProtection="1">
      <alignment horizontal="left"/>
    </xf>
    <xf numFmtId="0" fontId="9" fillId="8" borderId="4" xfId="19" applyFont="1" applyFill="1" applyBorder="1" applyAlignment="1" applyProtection="1"/>
    <xf numFmtId="0" fontId="9" fillId="8" borderId="6" xfId="19" applyFont="1" applyFill="1" applyBorder="1" applyAlignment="1" applyProtection="1"/>
    <xf numFmtId="0" fontId="12" fillId="4" borderId="1" xfId="0" applyFont="1" applyFill="1" applyBorder="1" applyAlignment="1" applyProtection="1">
      <alignment horizontal="center" vertical="center"/>
    </xf>
    <xf numFmtId="0" fontId="12" fillId="4" borderId="4" xfId="0" applyFont="1" applyFill="1" applyBorder="1" applyAlignment="1" applyProtection="1">
      <alignment horizontal="center" vertical="center"/>
    </xf>
    <xf numFmtId="0" fontId="12" fillId="4" borderId="6" xfId="0" applyFont="1" applyFill="1" applyBorder="1" applyAlignment="1" applyProtection="1">
      <alignment horizontal="center" vertical="center"/>
    </xf>
    <xf numFmtId="0" fontId="12" fillId="4" borderId="0" xfId="0" applyFont="1" applyFill="1" applyBorder="1" applyAlignment="1" applyProtection="1">
      <alignment horizontal="center" vertical="center"/>
    </xf>
    <xf numFmtId="0" fontId="19" fillId="3" borderId="0" xfId="19" applyFont="1" applyFill="1" applyBorder="1" applyAlignment="1" applyProtection="1">
      <alignment horizontal="center" vertical="center"/>
    </xf>
    <xf numFmtId="3" fontId="12" fillId="4" borderId="30" xfId="0" applyNumberFormat="1" applyFont="1" applyFill="1" applyBorder="1" applyAlignment="1" applyProtection="1">
      <alignment horizontal="right" vertical="center"/>
    </xf>
    <xf numFmtId="3" fontId="12" fillId="4" borderId="9" xfId="0" applyNumberFormat="1" applyFont="1" applyFill="1" applyBorder="1" applyAlignment="1" applyProtection="1">
      <alignment horizontal="right" vertical="center"/>
    </xf>
    <xf numFmtId="0" fontId="19" fillId="8" borderId="2" xfId="19" applyFont="1" applyFill="1" applyBorder="1" applyAlignment="1" applyProtection="1">
      <alignment vertical="center"/>
    </xf>
    <xf numFmtId="0" fontId="19" fillId="8" borderId="3" xfId="19" applyFont="1" applyFill="1" applyBorder="1" applyAlignment="1" applyProtection="1">
      <alignment vertical="center"/>
    </xf>
    <xf numFmtId="0" fontId="19" fillId="8" borderId="0" xfId="19" applyFont="1" applyFill="1" applyBorder="1" applyAlignment="1" applyProtection="1">
      <alignment horizontal="left" vertical="center"/>
    </xf>
    <xf numFmtId="0" fontId="19" fillId="8" borderId="5" xfId="19" applyFont="1" applyFill="1" applyBorder="1" applyAlignment="1" applyProtection="1">
      <alignment vertical="center"/>
    </xf>
    <xf numFmtId="0" fontId="9" fillId="8" borderId="4" xfId="19" applyFont="1" applyFill="1" applyBorder="1" applyAlignment="1" applyProtection="1"/>
    <xf numFmtId="0" fontId="9" fillId="8" borderId="6" xfId="19" applyFont="1" applyFill="1" applyBorder="1" applyAlignment="1" applyProtection="1"/>
    <xf numFmtId="0" fontId="19" fillId="3" borderId="0" xfId="19" quotePrefix="1" applyFont="1" applyFill="1" applyBorder="1" applyAlignment="1" applyProtection="1">
      <alignment horizontal="right" vertical="center"/>
    </xf>
    <xf numFmtId="0" fontId="9" fillId="8" borderId="4" xfId="19" quotePrefix="1" applyFont="1" applyFill="1" applyBorder="1" applyAlignment="1" applyProtection="1">
      <alignment horizontal="left"/>
    </xf>
    <xf numFmtId="0" fontId="0" fillId="8" borderId="0" xfId="0" applyFont="1" applyFill="1" applyBorder="1"/>
    <xf numFmtId="0" fontId="8" fillId="8" borderId="0" xfId="0" applyFont="1" applyFill="1" applyBorder="1" applyAlignment="1">
      <alignment horizontal="center" wrapText="1"/>
    </xf>
    <xf numFmtId="0" fontId="8" fillId="8" borderId="5" xfId="0" applyFont="1" applyFill="1" applyBorder="1" applyAlignment="1">
      <alignment horizontal="center" wrapText="1"/>
    </xf>
    <xf numFmtId="9" fontId="32" fillId="8" borderId="2" xfId="10" applyFont="1" applyFill="1" applyBorder="1"/>
    <xf numFmtId="3" fontId="32" fillId="8" borderId="3" xfId="10" applyNumberFormat="1" applyFont="1" applyFill="1" applyBorder="1"/>
    <xf numFmtId="0" fontId="0" fillId="8" borderId="2" xfId="0" applyFont="1" applyFill="1" applyBorder="1"/>
    <xf numFmtId="0" fontId="8" fillId="8" borderId="2" xfId="0" applyFont="1" applyFill="1" applyBorder="1" applyAlignment="1">
      <alignment horizontal="center" wrapText="1"/>
    </xf>
    <xf numFmtId="0" fontId="8" fillId="8" borderId="3" xfId="0" applyFont="1" applyFill="1" applyBorder="1" applyAlignment="1">
      <alignment horizontal="center" wrapText="1"/>
    </xf>
    <xf numFmtId="0" fontId="25" fillId="8" borderId="10" xfId="5" applyFont="1" applyFill="1" applyBorder="1"/>
    <xf numFmtId="3" fontId="32" fillId="8" borderId="5" xfId="0" applyNumberFormat="1" applyFont="1" applyFill="1" applyBorder="1"/>
    <xf numFmtId="3" fontId="0" fillId="8" borderId="5" xfId="0" applyNumberFormat="1" applyFont="1" applyFill="1" applyBorder="1"/>
    <xf numFmtId="0" fontId="12" fillId="8" borderId="6" xfId="16" quotePrefix="1" applyFont="1" applyFill="1" applyBorder="1" applyAlignment="1" applyProtection="1">
      <alignment vertical="center" wrapText="1"/>
    </xf>
    <xf numFmtId="165" fontId="25" fillId="8" borderId="0" xfId="2" applyNumberFormat="1" applyFont="1" applyFill="1" applyBorder="1"/>
    <xf numFmtId="0" fontId="8" fillId="8" borderId="0" xfId="0" applyFont="1" applyFill="1" applyBorder="1" applyAlignment="1">
      <alignment wrapText="1"/>
    </xf>
    <xf numFmtId="0" fontId="25" fillId="8" borderId="0" xfId="6" applyFont="1" applyFill="1" applyBorder="1"/>
    <xf numFmtId="165" fontId="8" fillId="8" borderId="0" xfId="2" applyNumberFormat="1" applyFont="1" applyFill="1" applyBorder="1" applyAlignment="1" applyProtection="1">
      <alignment horizontal="left"/>
    </xf>
    <xf numFmtId="165" fontId="8" fillId="8" borderId="0" xfId="2" applyNumberFormat="1" applyFont="1" applyFill="1" applyBorder="1"/>
    <xf numFmtId="0" fontId="8" fillId="8" borderId="0" xfId="6" applyFont="1" applyFill="1" applyBorder="1"/>
    <xf numFmtId="165" fontId="8" fillId="8" borderId="0" xfId="2" applyNumberFormat="1" applyFont="1" applyFill="1" applyBorder="1" applyProtection="1"/>
    <xf numFmtId="170" fontId="8" fillId="8" borderId="0" xfId="0" applyNumberFormat="1" applyFont="1" applyFill="1" applyBorder="1" applyProtection="1"/>
    <xf numFmtId="170" fontId="8" fillId="8" borderId="0" xfId="0" applyNumberFormat="1" applyFont="1" applyFill="1" applyBorder="1" applyAlignment="1">
      <alignment horizontal="center"/>
    </xf>
    <xf numFmtId="169" fontId="8" fillId="8" borderId="0" xfId="2" applyNumberFormat="1" applyFont="1" applyFill="1" applyBorder="1" applyAlignment="1">
      <alignment horizontal="right"/>
    </xf>
    <xf numFmtId="3" fontId="24" fillId="8" borderId="0" xfId="6" applyNumberFormat="1" applyFont="1" applyFill="1" applyBorder="1"/>
    <xf numFmtId="3" fontId="28" fillId="8" borderId="0" xfId="6" applyNumberFormat="1" applyFont="1" applyFill="1" applyBorder="1"/>
    <xf numFmtId="165" fontId="28" fillId="8" borderId="4" xfId="2" applyNumberFormat="1" applyFont="1" applyFill="1" applyBorder="1"/>
    <xf numFmtId="165" fontId="28" fillId="8" borderId="5" xfId="2" applyNumberFormat="1" applyFont="1" applyFill="1" applyBorder="1"/>
    <xf numFmtId="165" fontId="24" fillId="8" borderId="4" xfId="2" applyNumberFormat="1" applyFont="1" applyFill="1" applyBorder="1"/>
    <xf numFmtId="165" fontId="24" fillId="8" borderId="5" xfId="2" applyNumberFormat="1" applyFont="1" applyFill="1" applyBorder="1"/>
    <xf numFmtId="165" fontId="25" fillId="8" borderId="4" xfId="2" applyNumberFormat="1" applyFont="1" applyFill="1" applyBorder="1"/>
    <xf numFmtId="165" fontId="25" fillId="8" borderId="5" xfId="2" applyNumberFormat="1" applyFont="1" applyFill="1" applyBorder="1"/>
    <xf numFmtId="165" fontId="8" fillId="8" borderId="4" xfId="2" applyNumberFormat="1" applyFont="1" applyFill="1" applyBorder="1"/>
    <xf numFmtId="165" fontId="8" fillId="8" borderId="5" xfId="2" applyNumberFormat="1" applyFont="1" applyFill="1" applyBorder="1"/>
    <xf numFmtId="0" fontId="27" fillId="8" borderId="15" xfId="6" applyFont="1" applyFill="1" applyBorder="1" applyAlignment="1">
      <alignment horizontal="left" wrapText="1"/>
    </xf>
    <xf numFmtId="0" fontId="25" fillId="8" borderId="5" xfId="6" applyFont="1" applyFill="1" applyBorder="1"/>
    <xf numFmtId="0" fontId="8" fillId="8" borderId="5" xfId="6" applyFill="1" applyBorder="1"/>
    <xf numFmtId="3" fontId="28" fillId="8" borderId="4" xfId="6" applyNumberFormat="1" applyFont="1" applyFill="1" applyBorder="1"/>
    <xf numFmtId="3" fontId="28" fillId="8" borderId="5" xfId="6" applyNumberFormat="1" applyFont="1" applyFill="1" applyBorder="1"/>
    <xf numFmtId="3" fontId="24" fillId="8" borderId="5" xfId="6" applyNumberFormat="1" applyFont="1" applyFill="1" applyBorder="1"/>
    <xf numFmtId="0" fontId="1" fillId="8" borderId="0" xfId="16" applyFont="1" applyFill="1"/>
    <xf numFmtId="166" fontId="6" fillId="8" borderId="0" xfId="10" applyNumberFormat="1" applyFont="1" applyFill="1"/>
    <xf numFmtId="173" fontId="28" fillId="8" borderId="9" xfId="10" applyNumberFormat="1" applyFont="1" applyFill="1" applyBorder="1" applyAlignment="1">
      <alignment vertical="center"/>
    </xf>
    <xf numFmtId="173" fontId="24" fillId="8" borderId="9" xfId="10" applyNumberFormat="1" applyFont="1" applyFill="1" applyBorder="1" applyAlignment="1">
      <alignment vertical="center"/>
    </xf>
    <xf numFmtId="173" fontId="24" fillId="8" borderId="16" xfId="10" applyNumberFormat="1" applyFont="1" applyFill="1" applyBorder="1" applyAlignment="1">
      <alignment vertical="center"/>
    </xf>
    <xf numFmtId="3" fontId="28" fillId="8" borderId="3" xfId="6" applyNumberFormat="1" applyFont="1" applyFill="1" applyBorder="1"/>
    <xf numFmtId="0" fontId="8" fillId="8" borderId="1" xfId="0" applyFont="1" applyFill="1" applyBorder="1" applyAlignment="1">
      <alignment horizontal="center"/>
    </xf>
    <xf numFmtId="0" fontId="8" fillId="8" borderId="2" xfId="0" applyFont="1" applyFill="1" applyBorder="1" applyAlignment="1">
      <alignment horizontal="center"/>
    </xf>
    <xf numFmtId="0" fontId="8" fillId="8" borderId="4" xfId="0" applyFont="1" applyFill="1" applyBorder="1" applyAlignment="1">
      <alignment horizontal="center"/>
    </xf>
    <xf numFmtId="0" fontId="8" fillId="8" borderId="0" xfId="0" applyFont="1" applyFill="1" applyBorder="1" applyAlignment="1">
      <alignment horizontal="center"/>
    </xf>
    <xf numFmtId="0" fontId="0" fillId="8" borderId="8" xfId="0" applyFont="1" applyFill="1" applyBorder="1" applyAlignment="1">
      <alignment horizontal="center"/>
    </xf>
    <xf numFmtId="0" fontId="0" fillId="8" borderId="18" xfId="0" applyFont="1" applyFill="1" applyBorder="1" applyAlignment="1">
      <alignment horizontal="center"/>
    </xf>
    <xf numFmtId="3" fontId="8" fillId="8" borderId="4" xfId="5" applyNumberFormat="1" applyFont="1" applyFill="1" applyBorder="1"/>
    <xf numFmtId="3" fontId="8" fillId="8" borderId="6" xfId="5" applyNumberFormat="1" applyFont="1" applyFill="1" applyBorder="1"/>
    <xf numFmtId="9" fontId="32" fillId="8" borderId="7" xfId="10" applyFont="1" applyFill="1" applyBorder="1"/>
    <xf numFmtId="3" fontId="25" fillId="8" borderId="4" xfId="5" applyNumberFormat="1" applyFont="1" applyFill="1" applyBorder="1"/>
    <xf numFmtId="0" fontId="0" fillId="8" borderId="8" xfId="0" applyFont="1" applyFill="1" applyBorder="1" applyAlignment="1">
      <alignment horizontal="center"/>
    </xf>
    <xf numFmtId="0" fontId="0" fillId="8" borderId="18" xfId="0" applyFont="1" applyFill="1" applyBorder="1" applyAlignment="1">
      <alignment horizontal="center"/>
    </xf>
    <xf numFmtId="0" fontId="1" fillId="8" borderId="0" xfId="16" applyFont="1" applyFill="1" applyAlignment="1">
      <alignment horizontal="center"/>
    </xf>
    <xf numFmtId="3" fontId="32" fillId="8" borderId="5" xfId="16" applyNumberFormat="1" applyFont="1" applyFill="1" applyBorder="1"/>
    <xf numFmtId="3" fontId="6" fillId="8" borderId="5" xfId="16" applyNumberFormat="1" applyFill="1" applyBorder="1"/>
    <xf numFmtId="0" fontId="12" fillId="8" borderId="7" xfId="16" quotePrefix="1" applyFont="1" applyFill="1" applyBorder="1" applyAlignment="1" applyProtection="1">
      <alignment horizontal="center" vertical="center" wrapText="1"/>
    </xf>
    <xf numFmtId="0" fontId="12" fillId="8" borderId="6" xfId="16" quotePrefix="1" applyFont="1" applyFill="1" applyBorder="1" applyAlignment="1" applyProtection="1">
      <alignment horizontal="center" vertical="center" wrapText="1"/>
    </xf>
    <xf numFmtId="0" fontId="12" fillId="8" borderId="7" xfId="16" quotePrefix="1" applyFont="1" applyFill="1" applyBorder="1" applyAlignment="1" applyProtection="1">
      <alignment horizontal="left" vertical="center" wrapText="1"/>
    </xf>
    <xf numFmtId="0" fontId="12" fillId="8" borderId="15" xfId="16" quotePrefix="1" applyFont="1" applyFill="1" applyBorder="1" applyAlignment="1" applyProtection="1">
      <alignment horizontal="left" vertical="center" wrapText="1"/>
    </xf>
    <xf numFmtId="0" fontId="19" fillId="3" borderId="0" xfId="19" applyFont="1" applyFill="1" applyBorder="1" applyAlignment="1" applyProtection="1">
      <alignment horizontal="center" vertical="center"/>
    </xf>
    <xf numFmtId="0" fontId="12" fillId="4" borderId="1" xfId="0" applyFont="1" applyFill="1" applyBorder="1" applyAlignment="1" applyProtection="1">
      <alignment horizontal="center" vertical="center"/>
    </xf>
    <xf numFmtId="0" fontId="12" fillId="4" borderId="4" xfId="0" applyFont="1" applyFill="1" applyBorder="1" applyAlignment="1" applyProtection="1">
      <alignment horizontal="center" vertical="center"/>
    </xf>
    <xf numFmtId="0" fontId="12" fillId="4" borderId="6" xfId="0" applyFont="1" applyFill="1" applyBorder="1" applyAlignment="1" applyProtection="1">
      <alignment horizontal="center" vertical="center"/>
    </xf>
    <xf numFmtId="0" fontId="12" fillId="4" borderId="0" xfId="0" applyFont="1" applyFill="1" applyBorder="1" applyAlignment="1" applyProtection="1">
      <alignment horizontal="center" vertical="center"/>
    </xf>
    <xf numFmtId="0" fontId="12" fillId="4" borderId="1" xfId="0" applyFont="1" applyFill="1" applyBorder="1" applyAlignment="1" applyProtection="1">
      <alignment horizontal="center" vertical="center"/>
    </xf>
    <xf numFmtId="0" fontId="12" fillId="4" borderId="4" xfId="0" applyFont="1" applyFill="1" applyBorder="1" applyAlignment="1" applyProtection="1">
      <alignment horizontal="center" vertical="center"/>
    </xf>
    <xf numFmtId="0" fontId="12" fillId="4" borderId="6" xfId="0" applyFont="1" applyFill="1" applyBorder="1" applyAlignment="1" applyProtection="1">
      <alignment horizontal="center" vertical="center"/>
    </xf>
    <xf numFmtId="0" fontId="12" fillId="4" borderId="0" xfId="0" applyFont="1" applyFill="1" applyBorder="1" applyAlignment="1" applyProtection="1">
      <alignment horizontal="center" vertical="center"/>
    </xf>
    <xf numFmtId="0" fontId="19" fillId="3" borderId="0" xfId="19" applyFont="1" applyFill="1" applyBorder="1" applyAlignment="1" applyProtection="1">
      <alignment horizontal="center" vertical="center"/>
    </xf>
    <xf numFmtId="0" fontId="19" fillId="3" borderId="0" xfId="19" applyFont="1" applyFill="1" applyBorder="1" applyAlignment="1" applyProtection="1">
      <alignment horizontal="center" vertical="center"/>
    </xf>
    <xf numFmtId="0" fontId="12" fillId="4" borderId="1" xfId="0" applyFont="1" applyFill="1" applyBorder="1" applyAlignment="1" applyProtection="1">
      <alignment horizontal="center" vertical="center"/>
    </xf>
    <xf numFmtId="0" fontId="12" fillId="4" borderId="4" xfId="0" applyFont="1" applyFill="1" applyBorder="1" applyAlignment="1" applyProtection="1">
      <alignment horizontal="center" vertical="center"/>
    </xf>
    <xf numFmtId="0" fontId="12" fillId="4" borderId="6" xfId="0" applyFont="1" applyFill="1" applyBorder="1" applyAlignment="1" applyProtection="1">
      <alignment horizontal="center" vertical="center"/>
    </xf>
    <xf numFmtId="0" fontId="12" fillId="4" borderId="0" xfId="0" applyFont="1" applyFill="1" applyBorder="1" applyAlignment="1" applyProtection="1">
      <alignment horizontal="center" vertical="center"/>
    </xf>
    <xf numFmtId="0" fontId="11" fillId="3" borderId="1" xfId="0" quotePrefix="1" applyFont="1" applyFill="1" applyBorder="1" applyAlignment="1">
      <alignment horizontal="left" vertical="center"/>
    </xf>
    <xf numFmtId="0" fontId="14" fillId="0" borderId="2" xfId="0" applyFont="1" applyBorder="1" applyAlignment="1">
      <alignment vertical="center"/>
    </xf>
    <xf numFmtId="0" fontId="0" fillId="0" borderId="2" xfId="0" applyBorder="1"/>
    <xf numFmtId="0" fontId="11" fillId="3" borderId="4" xfId="0" applyFont="1" applyFill="1" applyBorder="1" applyAlignment="1">
      <alignment horizontal="center" vertical="center"/>
    </xf>
    <xf numFmtId="0" fontId="11" fillId="3" borderId="0" xfId="0" applyFont="1" applyFill="1" applyAlignment="1">
      <alignment horizontal="center" vertical="center"/>
    </xf>
    <xf numFmtId="0" fontId="0" fillId="3" borderId="0" xfId="0" applyFill="1" applyAlignment="1">
      <alignment vertical="center"/>
    </xf>
    <xf numFmtId="0" fontId="0" fillId="8" borderId="0" xfId="0" applyFill="1" applyAlignment="1">
      <alignment vertical="center"/>
    </xf>
    <xf numFmtId="0" fontId="14" fillId="8" borderId="0" xfId="0" applyFont="1" applyFill="1" applyAlignment="1">
      <alignment vertical="center"/>
    </xf>
    <xf numFmtId="0" fontId="14" fillId="0" borderId="4" xfId="0" applyFont="1" applyBorder="1" applyAlignment="1">
      <alignment vertical="center"/>
    </xf>
    <xf numFmtId="0" fontId="14" fillId="2" borderId="0" xfId="0" applyFont="1" applyFill="1" applyAlignment="1">
      <alignment vertical="center"/>
    </xf>
    <xf numFmtId="0" fontId="17" fillId="8" borderId="0" xfId="0" applyFont="1" applyFill="1" applyAlignment="1">
      <alignment vertical="center"/>
    </xf>
    <xf numFmtId="0" fontId="13" fillId="2" borderId="4" xfId="0" applyFont="1" applyFill="1" applyBorder="1" applyAlignment="1">
      <alignment horizontal="left" vertical="center" indent="1"/>
    </xf>
    <xf numFmtId="0" fontId="13" fillId="2" borderId="0" xfId="0" applyFont="1" applyFill="1" applyAlignment="1">
      <alignment horizontal="right" vertical="center"/>
    </xf>
    <xf numFmtId="0" fontId="0" fillId="3" borderId="0" xfId="0" applyFill="1"/>
    <xf numFmtId="0" fontId="12" fillId="2" borderId="4" xfId="0" applyFont="1" applyFill="1" applyBorder="1" applyAlignment="1">
      <alignment horizontal="left" vertical="center" indent="2"/>
    </xf>
    <xf numFmtId="0" fontId="17" fillId="3" borderId="0" xfId="0" applyFont="1" applyFill="1" applyAlignment="1">
      <alignment vertical="center"/>
    </xf>
    <xf numFmtId="0" fontId="12" fillId="3" borderId="0" xfId="0" applyFont="1" applyFill="1" applyAlignment="1">
      <alignment horizontal="center" vertical="center"/>
    </xf>
    <xf numFmtId="0" fontId="17" fillId="2" borderId="0" xfId="0" applyFont="1" applyFill="1" applyAlignment="1">
      <alignment vertical="center"/>
    </xf>
    <xf numFmtId="0" fontId="19" fillId="3" borderId="0" xfId="19" quotePrefix="1" applyFont="1" applyFill="1" applyAlignment="1" applyProtection="1">
      <alignment horizontal="right" vertical="center"/>
    </xf>
    <xf numFmtId="164" fontId="17" fillId="3" borderId="0" xfId="0" applyNumberFormat="1" applyFont="1" applyFill="1" applyAlignment="1">
      <alignment vertical="center"/>
    </xf>
    <xf numFmtId="0" fontId="12" fillId="2" borderId="4" xfId="0" quotePrefix="1" applyFont="1" applyFill="1" applyBorder="1" applyAlignment="1">
      <alignment horizontal="left" vertical="center" indent="2"/>
    </xf>
    <xf numFmtId="0" fontId="17" fillId="8" borderId="0" xfId="0" quotePrefix="1" applyFont="1" applyFill="1" applyAlignment="1">
      <alignment horizontal="left" vertical="center" wrapText="1" indent="2"/>
    </xf>
    <xf numFmtId="0" fontId="17" fillId="3" borderId="4" xfId="0" applyFont="1" applyFill="1" applyBorder="1" applyAlignment="1">
      <alignment vertical="center"/>
    </xf>
    <xf numFmtId="0" fontId="17" fillId="2" borderId="4" xfId="0" applyFont="1" applyFill="1" applyBorder="1" applyAlignment="1">
      <alignment vertical="center"/>
    </xf>
    <xf numFmtId="0" fontId="17" fillId="8" borderId="1" xfId="0" applyFont="1" applyFill="1" applyBorder="1" applyAlignment="1">
      <alignment horizontal="left" vertical="center" indent="1"/>
    </xf>
    <xf numFmtId="0" fontId="12" fillId="8" borderId="2" xfId="0" applyFont="1" applyFill="1" applyBorder="1" applyAlignment="1">
      <alignment horizontal="center" vertical="center"/>
    </xf>
    <xf numFmtId="0" fontId="12" fillId="8" borderId="4" xfId="0" applyFont="1" applyFill="1" applyBorder="1" applyAlignment="1">
      <alignment horizontal="left" vertical="center" indent="1"/>
    </xf>
    <xf numFmtId="0" fontId="19" fillId="8" borderId="0" xfId="19" applyFont="1" applyFill="1" applyAlignment="1" applyProtection="1">
      <alignment horizontal="left" vertical="center"/>
    </xf>
    <xf numFmtId="0" fontId="20" fillId="2" borderId="4" xfId="0" applyFont="1" applyFill="1" applyBorder="1" applyAlignment="1">
      <alignment horizontal="left" vertical="center"/>
    </xf>
    <xf numFmtId="0" fontId="12" fillId="2" borderId="7" xfId="0" applyFont="1" applyFill="1" applyBorder="1" applyAlignment="1">
      <alignment horizontal="right" vertical="center"/>
    </xf>
    <xf numFmtId="0" fontId="21" fillId="3" borderId="0" xfId="0" applyFont="1" applyFill="1" applyAlignment="1">
      <alignment horizontal="right" vertical="center"/>
    </xf>
    <xf numFmtId="0" fontId="21" fillId="8" borderId="0" xfId="0" applyFont="1" applyFill="1" applyAlignment="1">
      <alignment horizontal="right" vertical="center"/>
    </xf>
    <xf numFmtId="0" fontId="12" fillId="2" borderId="4" xfId="0" applyFont="1" applyFill="1" applyBorder="1" applyAlignment="1">
      <alignment horizontal="left" vertical="center"/>
    </xf>
    <xf numFmtId="0" fontId="12" fillId="4" borderId="8" xfId="0" applyFont="1" applyFill="1" applyBorder="1" applyAlignment="1">
      <alignment horizontal="center" vertical="center"/>
    </xf>
    <xf numFmtId="0" fontId="12" fillId="3" borderId="4" xfId="0" applyFont="1" applyFill="1" applyBorder="1" applyAlignment="1">
      <alignment horizontal="center" vertical="center"/>
    </xf>
    <xf numFmtId="0" fontId="12" fillId="8" borderId="0" xfId="0" applyFont="1" applyFill="1" applyAlignment="1">
      <alignment horizontal="center" vertical="center"/>
    </xf>
    <xf numFmtId="0" fontId="12" fillId="3" borderId="4" xfId="0" applyFont="1" applyFill="1" applyBorder="1" applyAlignment="1">
      <alignment horizontal="center" vertical="center" wrapText="1"/>
    </xf>
    <xf numFmtId="0" fontId="12" fillId="8" borderId="0" xfId="0" applyFont="1" applyFill="1" applyAlignment="1">
      <alignment horizontal="center" vertical="center" wrapText="1"/>
    </xf>
    <xf numFmtId="0" fontId="22" fillId="8" borderId="0" xfId="0" applyFont="1" applyFill="1" applyAlignment="1">
      <alignment vertical="center"/>
    </xf>
    <xf numFmtId="0" fontId="17" fillId="4" borderId="1" xfId="0" applyFont="1" applyFill="1" applyBorder="1" applyAlignment="1">
      <alignment horizontal="center" vertical="center"/>
    </xf>
    <xf numFmtId="0" fontId="17" fillId="4" borderId="2" xfId="0" applyFont="1" applyFill="1" applyBorder="1" applyAlignment="1">
      <alignment vertical="center"/>
    </xf>
    <xf numFmtId="0" fontId="17" fillId="4" borderId="3" xfId="0" applyFont="1" applyFill="1" applyBorder="1" applyAlignment="1">
      <alignment vertical="center"/>
    </xf>
    <xf numFmtId="3" fontId="17" fillId="4" borderId="10" xfId="2" applyNumberFormat="1" applyFont="1" applyFill="1" applyBorder="1" applyAlignment="1">
      <alignment horizontal="right" vertical="center"/>
    </xf>
    <xf numFmtId="164" fontId="17" fillId="5" borderId="11" xfId="0" applyNumberFormat="1" applyFont="1" applyFill="1" applyBorder="1" applyAlignment="1">
      <alignment vertical="center"/>
    </xf>
    <xf numFmtId="164" fontId="17" fillId="3" borderId="4" xfId="0" applyNumberFormat="1" applyFont="1" applyFill="1" applyBorder="1" applyAlignment="1">
      <alignment vertical="center"/>
    </xf>
    <xf numFmtId="164" fontId="17" fillId="5" borderId="12" xfId="0" applyNumberFormat="1" applyFont="1" applyFill="1" applyBorder="1" applyAlignment="1">
      <alignment vertical="center"/>
    </xf>
    <xf numFmtId="164" fontId="17" fillId="8" borderId="0" xfId="0" applyNumberFormat="1" applyFont="1" applyFill="1" applyAlignment="1">
      <alignment vertical="center"/>
    </xf>
    <xf numFmtId="0" fontId="17" fillId="4" borderId="4" xfId="0" applyFont="1" applyFill="1" applyBorder="1" applyAlignment="1">
      <alignment horizontal="center" vertical="center"/>
    </xf>
    <xf numFmtId="0" fontId="17" fillId="4" borderId="0" xfId="0" applyFont="1" applyFill="1" applyAlignment="1">
      <alignment vertical="center"/>
    </xf>
    <xf numFmtId="0" fontId="17" fillId="4" borderId="5" xfId="0" applyFont="1" applyFill="1" applyBorder="1" applyAlignment="1">
      <alignment vertical="center"/>
    </xf>
    <xf numFmtId="3" fontId="17" fillId="4" borderId="9" xfId="2" applyNumberFormat="1" applyFont="1" applyFill="1" applyBorder="1" applyAlignment="1">
      <alignment horizontal="right" vertical="center"/>
    </xf>
    <xf numFmtId="164" fontId="17" fillId="5" borderId="13" xfId="0" applyNumberFormat="1" applyFont="1" applyFill="1" applyBorder="1" applyAlignment="1">
      <alignment vertical="center"/>
    </xf>
    <xf numFmtId="164" fontId="17" fillId="5" borderId="14" xfId="0" applyNumberFormat="1" applyFont="1" applyFill="1" applyBorder="1" applyAlignment="1">
      <alignment vertical="center"/>
    </xf>
    <xf numFmtId="0" fontId="17" fillId="4" borderId="6" xfId="0" applyFont="1" applyFill="1" applyBorder="1" applyAlignment="1">
      <alignment horizontal="center" vertical="center"/>
    </xf>
    <xf numFmtId="0" fontId="17" fillId="4" borderId="7" xfId="0" applyFont="1" applyFill="1" applyBorder="1" applyAlignment="1">
      <alignment vertical="center"/>
    </xf>
    <xf numFmtId="0" fontId="17" fillId="4" borderId="15" xfId="0" applyFont="1" applyFill="1" applyBorder="1" applyAlignment="1">
      <alignment vertical="center"/>
    </xf>
    <xf numFmtId="3" fontId="17" fillId="4" borderId="16" xfId="2" applyNumberFormat="1" applyFont="1" applyFill="1" applyBorder="1" applyAlignment="1">
      <alignment horizontal="right" vertical="center"/>
    </xf>
    <xf numFmtId="164" fontId="17" fillId="5" borderId="17" xfId="0" applyNumberFormat="1" applyFont="1" applyFill="1" applyBorder="1" applyAlignment="1">
      <alignment vertical="center"/>
    </xf>
    <xf numFmtId="0" fontId="12" fillId="4" borderId="18" xfId="0" applyFont="1" applyFill="1" applyBorder="1" applyAlignment="1">
      <alignment vertical="center"/>
    </xf>
    <xf numFmtId="0" fontId="17" fillId="4" borderId="18" xfId="0" applyFont="1" applyFill="1" applyBorder="1" applyAlignment="1">
      <alignment vertical="center"/>
    </xf>
    <xf numFmtId="3" fontId="12" fillId="4" borderId="19" xfId="2" applyNumberFormat="1" applyFont="1" applyFill="1" applyBorder="1" applyAlignment="1">
      <alignment horizontal="right" vertical="center"/>
    </xf>
    <xf numFmtId="164" fontId="12" fillId="6" borderId="20" xfId="0" applyNumberFormat="1" applyFont="1" applyFill="1" applyBorder="1" applyAlignment="1">
      <alignment vertical="center"/>
    </xf>
    <xf numFmtId="0" fontId="12" fillId="3" borderId="0" xfId="0" applyFont="1" applyFill="1" applyAlignment="1">
      <alignment horizontal="center" vertical="center" wrapText="1"/>
    </xf>
    <xf numFmtId="0" fontId="12" fillId="3" borderId="8" xfId="0" applyFont="1" applyFill="1" applyBorder="1" applyAlignment="1">
      <alignment horizontal="center" vertical="center"/>
    </xf>
    <xf numFmtId="0" fontId="12" fillId="3" borderId="18" xfId="0" applyFont="1" applyFill="1" applyBorder="1" applyAlignment="1">
      <alignment vertical="center"/>
    </xf>
    <xf numFmtId="0" fontId="17" fillId="3" borderId="18" xfId="0" applyFont="1" applyFill="1" applyBorder="1" applyAlignment="1">
      <alignment vertical="center"/>
    </xf>
    <xf numFmtId="0" fontId="17" fillId="0" borderId="2" xfId="0" applyFont="1" applyBorder="1" applyAlignment="1">
      <alignment vertical="center"/>
    </xf>
    <xf numFmtId="164" fontId="12" fillId="3" borderId="18" xfId="0" applyNumberFormat="1" applyFont="1" applyFill="1" applyBorder="1" applyAlignment="1">
      <alignment vertical="center"/>
    </xf>
    <xf numFmtId="0" fontId="12" fillId="4" borderId="2" xfId="0" applyFont="1" applyFill="1" applyBorder="1" applyAlignment="1">
      <alignment vertical="center"/>
    </xf>
    <xf numFmtId="0" fontId="12" fillId="4" borderId="3" xfId="0" applyFont="1" applyFill="1" applyBorder="1" applyAlignment="1">
      <alignment vertical="center"/>
    </xf>
    <xf numFmtId="0" fontId="12" fillId="4" borderId="11" xfId="0" applyFont="1" applyFill="1" applyBorder="1" applyAlignment="1">
      <alignment horizontal="center" vertical="center"/>
    </xf>
    <xf numFmtId="164" fontId="23" fillId="7" borderId="12" xfId="0" applyNumberFormat="1" applyFont="1" applyFill="1" applyBorder="1" applyAlignment="1">
      <alignment vertical="center"/>
    </xf>
    <xf numFmtId="164" fontId="17" fillId="3" borderId="9" xfId="0" applyNumberFormat="1" applyFont="1" applyFill="1" applyBorder="1" applyAlignment="1">
      <alignment vertical="center"/>
    </xf>
    <xf numFmtId="164" fontId="23" fillId="7" borderId="21" xfId="0" applyNumberFormat="1" applyFont="1" applyFill="1" applyBorder="1" applyAlignment="1">
      <alignment vertical="center"/>
    </xf>
    <xf numFmtId="3" fontId="17" fillId="4" borderId="17" xfId="2" applyNumberFormat="1" applyFont="1" applyFill="1" applyBorder="1" applyAlignment="1">
      <alignment horizontal="right" vertical="center"/>
    </xf>
    <xf numFmtId="0" fontId="17" fillId="4" borderId="0" xfId="0" quotePrefix="1" applyFont="1" applyFill="1" applyAlignment="1">
      <alignment horizontal="left" vertical="center"/>
    </xf>
    <xf numFmtId="0" fontId="17" fillId="4" borderId="5" xfId="0" applyFont="1" applyFill="1" applyBorder="1" applyAlignment="1">
      <alignment horizontal="center" vertical="center"/>
    </xf>
    <xf numFmtId="0" fontId="12" fillId="4" borderId="19" xfId="0" applyFont="1" applyFill="1" applyBorder="1" applyAlignment="1">
      <alignment horizontal="center" vertical="center"/>
    </xf>
    <xf numFmtId="0" fontId="12" fillId="4" borderId="24" xfId="0" quotePrefix="1" applyFont="1" applyFill="1" applyBorder="1" applyAlignment="1">
      <alignment horizontal="left" vertical="center"/>
    </xf>
    <xf numFmtId="0" fontId="12" fillId="4" borderId="25" xfId="0" applyFont="1" applyFill="1" applyBorder="1" applyAlignment="1">
      <alignment vertical="center"/>
    </xf>
    <xf numFmtId="3" fontId="12" fillId="4" borderId="20" xfId="2" applyNumberFormat="1" applyFont="1" applyFill="1" applyBorder="1" applyAlignment="1">
      <alignment horizontal="right" vertical="center"/>
    </xf>
    <xf numFmtId="164" fontId="12" fillId="6" borderId="26" xfId="0" applyNumberFormat="1" applyFont="1" applyFill="1" applyBorder="1" applyAlignment="1">
      <alignment vertical="center"/>
    </xf>
    <xf numFmtId="164" fontId="12" fillId="3" borderId="9" xfId="0" applyNumberFormat="1" applyFont="1" applyFill="1" applyBorder="1" applyAlignment="1">
      <alignment vertical="center"/>
    </xf>
    <xf numFmtId="164" fontId="12" fillId="6" borderId="8" xfId="0" applyNumberFormat="1" applyFont="1" applyFill="1" applyBorder="1" applyAlignment="1">
      <alignment vertical="center"/>
    </xf>
    <xf numFmtId="164" fontId="12" fillId="3" borderId="4" xfId="0" applyNumberFormat="1" applyFont="1" applyFill="1" applyBorder="1" applyAlignment="1">
      <alignment vertical="center"/>
    </xf>
    <xf numFmtId="164" fontId="12" fillId="8" borderId="0" xfId="0" applyNumberFormat="1" applyFont="1" applyFill="1" applyAlignment="1">
      <alignment vertical="center"/>
    </xf>
    <xf numFmtId="0" fontId="17" fillId="8" borderId="8" xfId="0" applyFont="1" applyFill="1" applyBorder="1" applyAlignment="1">
      <alignment vertical="center"/>
    </xf>
    <xf numFmtId="3" fontId="17" fillId="8" borderId="18" xfId="0" applyNumberFormat="1" applyFont="1" applyFill="1" applyBorder="1" applyAlignment="1">
      <alignment horizontal="right" vertical="center"/>
    </xf>
    <xf numFmtId="0" fontId="12" fillId="4" borderId="2" xfId="0" quotePrefix="1" applyFont="1" applyFill="1" applyBorder="1" applyAlignment="1">
      <alignment horizontal="left" vertical="center"/>
    </xf>
    <xf numFmtId="3" fontId="12" fillId="4" borderId="11" xfId="0" applyNumberFormat="1" applyFont="1" applyFill="1" applyBorder="1" applyAlignment="1">
      <alignment horizontal="right" vertical="center"/>
    </xf>
    <xf numFmtId="164" fontId="17" fillId="7" borderId="12" xfId="0" applyNumberFormat="1" applyFont="1" applyFill="1" applyBorder="1" applyAlignment="1">
      <alignment vertical="center"/>
    </xf>
    <xf numFmtId="164" fontId="17" fillId="7" borderId="21" xfId="0" applyNumberFormat="1" applyFont="1" applyFill="1" applyBorder="1" applyAlignment="1">
      <alignment vertical="center"/>
    </xf>
    <xf numFmtId="164" fontId="17" fillId="7" borderId="11" xfId="0" applyNumberFormat="1" applyFont="1" applyFill="1" applyBorder="1" applyAlignment="1">
      <alignment vertical="center"/>
    </xf>
    <xf numFmtId="164" fontId="17" fillId="5" borderId="22" xfId="0" applyNumberFormat="1" applyFont="1" applyFill="1" applyBorder="1" applyAlignment="1">
      <alignment vertical="center"/>
    </xf>
    <xf numFmtId="164" fontId="17" fillId="5" borderId="27" xfId="0" applyNumberFormat="1" applyFont="1" applyFill="1" applyBorder="1" applyAlignment="1">
      <alignment vertical="center"/>
    </xf>
    <xf numFmtId="0" fontId="12" fillId="4" borderId="7" xfId="0" quotePrefix="1" applyFont="1" applyFill="1" applyBorder="1" applyAlignment="1">
      <alignment horizontal="left" vertical="center"/>
    </xf>
    <xf numFmtId="0" fontId="12" fillId="4" borderId="7" xfId="0" applyFont="1" applyFill="1" applyBorder="1" applyAlignment="1">
      <alignment vertical="center"/>
    </xf>
    <xf numFmtId="3" fontId="12" fillId="4" borderId="16" xfId="2" applyNumberFormat="1" applyFont="1" applyFill="1" applyBorder="1" applyAlignment="1">
      <alignment horizontal="right" vertical="center"/>
    </xf>
    <xf numFmtId="164" fontId="12" fillId="5" borderId="28" xfId="0" applyNumberFormat="1" applyFont="1" applyFill="1" applyBorder="1" applyAlignment="1">
      <alignment vertical="center"/>
    </xf>
    <xf numFmtId="164" fontId="12" fillId="5" borderId="29" xfId="0" applyNumberFormat="1" applyFont="1" applyFill="1" applyBorder="1" applyAlignment="1">
      <alignment vertical="center"/>
    </xf>
    <xf numFmtId="164" fontId="17" fillId="5" borderId="23" xfId="0" applyNumberFormat="1" applyFont="1" applyFill="1" applyBorder="1" applyAlignment="1">
      <alignment vertical="center"/>
    </xf>
    <xf numFmtId="164" fontId="17" fillId="0" borderId="17" xfId="0" applyNumberFormat="1" applyFont="1" applyBorder="1" applyAlignment="1" applyProtection="1">
      <alignment vertical="center"/>
      <protection locked="0"/>
    </xf>
    <xf numFmtId="164" fontId="17" fillId="0" borderId="30" xfId="0" applyNumberFormat="1" applyFont="1" applyBorder="1" applyAlignment="1" applyProtection="1">
      <alignment vertical="center"/>
      <protection locked="0"/>
    </xf>
    <xf numFmtId="164" fontId="12" fillId="5" borderId="31" xfId="0" applyNumberFormat="1" applyFont="1" applyFill="1" applyBorder="1" applyAlignment="1">
      <alignment vertical="center"/>
    </xf>
    <xf numFmtId="0" fontId="17" fillId="3" borderId="4" xfId="0" applyFont="1" applyFill="1" applyBorder="1" applyAlignment="1">
      <alignment horizontal="center" vertical="center"/>
    </xf>
    <xf numFmtId="0" fontId="17" fillId="8" borderId="2" xfId="0" applyFont="1" applyFill="1" applyBorder="1" applyAlignment="1">
      <alignment vertical="center"/>
    </xf>
    <xf numFmtId="0" fontId="13" fillId="2" borderId="4" xfId="0" applyFont="1" applyFill="1" applyBorder="1" applyAlignment="1">
      <alignment horizontal="left" vertical="center"/>
    </xf>
    <xf numFmtId="0" fontId="17" fillId="8" borderId="7" xfId="0" applyFont="1" applyFill="1" applyBorder="1" applyAlignment="1">
      <alignment vertical="center"/>
    </xf>
    <xf numFmtId="0" fontId="12" fillId="2" borderId="0" xfId="0" applyFont="1" applyFill="1" applyAlignment="1">
      <alignment horizontal="right" vertical="center"/>
    </xf>
    <xf numFmtId="0" fontId="12" fillId="8" borderId="0" xfId="0" applyFont="1" applyFill="1" applyAlignment="1">
      <alignment horizontal="right" vertical="center"/>
    </xf>
    <xf numFmtId="49" fontId="12" fillId="4" borderId="1" xfId="0" applyNumberFormat="1" applyFont="1" applyFill="1" applyBorder="1" applyAlignment="1">
      <alignment horizontal="left" vertical="center"/>
    </xf>
    <xf numFmtId="49" fontId="12" fillId="4" borderId="2" xfId="0" applyNumberFormat="1" applyFont="1" applyFill="1" applyBorder="1" applyAlignment="1">
      <alignment vertical="center"/>
    </xf>
    <xf numFmtId="0" fontId="12" fillId="4" borderId="4" xfId="0" applyFont="1" applyFill="1" applyBorder="1" applyAlignment="1">
      <alignment horizontal="left" vertical="center"/>
    </xf>
    <xf numFmtId="49" fontId="17" fillId="4" borderId="4" xfId="0" applyNumberFormat="1" applyFont="1" applyFill="1" applyBorder="1" applyAlignment="1">
      <alignment horizontal="left" vertical="center"/>
    </xf>
    <xf numFmtId="0" fontId="12" fillId="4" borderId="4" xfId="0" applyFont="1" applyFill="1" applyBorder="1" applyAlignment="1">
      <alignment horizontal="left"/>
    </xf>
    <xf numFmtId="49" fontId="12" fillId="4" borderId="4" xfId="0" applyNumberFormat="1" applyFont="1" applyFill="1" applyBorder="1" applyAlignment="1">
      <alignment horizontal="center" vertical="center"/>
    </xf>
    <xf numFmtId="164" fontId="17" fillId="0" borderId="32" xfId="0" applyNumberFormat="1" applyFont="1" applyBorder="1" applyAlignment="1" applyProtection="1">
      <alignment vertical="center"/>
      <protection locked="0"/>
    </xf>
    <xf numFmtId="164" fontId="17" fillId="0" borderId="46" xfId="0" applyNumberFormat="1" applyFont="1" applyBorder="1" applyAlignment="1" applyProtection="1">
      <alignment vertical="center"/>
      <protection locked="0"/>
    </xf>
    <xf numFmtId="164" fontId="17" fillId="0" borderId="11" xfId="0" applyNumberFormat="1" applyFont="1" applyBorder="1" applyAlignment="1" applyProtection="1">
      <alignment vertical="center"/>
      <protection locked="0"/>
    </xf>
    <xf numFmtId="164" fontId="17" fillId="0" borderId="33" xfId="0" applyNumberFormat="1" applyFont="1" applyBorder="1" applyAlignment="1" applyProtection="1">
      <alignment vertical="center"/>
      <protection locked="0"/>
    </xf>
    <xf numFmtId="164" fontId="17" fillId="0" borderId="35" xfId="0" applyNumberFormat="1" applyFont="1" applyBorder="1" applyAlignment="1" applyProtection="1">
      <alignment vertical="center"/>
      <protection locked="0"/>
    </xf>
    <xf numFmtId="164" fontId="17" fillId="0" borderId="13" xfId="0" applyNumberFormat="1" applyFont="1" applyBorder="1" applyAlignment="1" applyProtection="1">
      <alignment vertical="center"/>
      <protection locked="0"/>
    </xf>
    <xf numFmtId="3" fontId="17" fillId="4" borderId="4" xfId="2" applyNumberFormat="1" applyFont="1" applyFill="1" applyBorder="1" applyAlignment="1">
      <alignment horizontal="right" vertical="center"/>
    </xf>
    <xf numFmtId="164" fontId="17" fillId="0" borderId="34" xfId="0" applyNumberFormat="1" applyFont="1" applyBorder="1" applyAlignment="1" applyProtection="1">
      <alignment vertical="center"/>
      <protection locked="0"/>
    </xf>
    <xf numFmtId="164" fontId="17" fillId="0" borderId="47" xfId="0" applyNumberFormat="1" applyFont="1" applyBorder="1" applyAlignment="1" applyProtection="1">
      <alignment vertical="center"/>
      <protection locked="0"/>
    </xf>
    <xf numFmtId="0" fontId="12" fillId="4" borderId="0" xfId="0" applyFont="1" applyFill="1" applyAlignment="1">
      <alignment vertical="center"/>
    </xf>
    <xf numFmtId="164" fontId="12" fillId="6" borderId="19" xfId="0" applyNumberFormat="1" applyFont="1" applyFill="1" applyBorder="1" applyAlignment="1">
      <alignment vertical="center"/>
    </xf>
    <xf numFmtId="164" fontId="12" fillId="6" borderId="48" xfId="0" applyNumberFormat="1" applyFont="1" applyFill="1" applyBorder="1" applyAlignment="1">
      <alignment vertical="center"/>
    </xf>
    <xf numFmtId="164" fontId="12" fillId="6" borderId="25" xfId="0" applyNumberFormat="1" applyFont="1" applyFill="1" applyBorder="1" applyAlignment="1">
      <alignment vertical="center"/>
    </xf>
    <xf numFmtId="3" fontId="12" fillId="4" borderId="0" xfId="2" applyNumberFormat="1" applyFont="1" applyFill="1" applyAlignment="1">
      <alignment horizontal="right" vertical="center"/>
    </xf>
    <xf numFmtId="164" fontId="17" fillId="2" borderId="0" xfId="0" applyNumberFormat="1" applyFont="1" applyFill="1" applyAlignment="1">
      <alignment vertical="center"/>
    </xf>
    <xf numFmtId="0" fontId="12" fillId="4" borderId="4" xfId="0" applyFont="1" applyFill="1" applyBorder="1" applyAlignment="1">
      <alignment vertical="center"/>
    </xf>
    <xf numFmtId="0" fontId="17" fillId="4" borderId="7" xfId="0" quotePrefix="1" applyFont="1" applyFill="1" applyBorder="1" applyAlignment="1">
      <alignment horizontal="left" vertical="center"/>
    </xf>
    <xf numFmtId="164" fontId="17" fillId="0" borderId="31" xfId="0" applyNumberFormat="1" applyFont="1" applyBorder="1" applyAlignment="1" applyProtection="1">
      <alignment vertical="center"/>
      <protection locked="0"/>
    </xf>
    <xf numFmtId="164" fontId="17" fillId="0" borderId="50" xfId="0" applyNumberFormat="1" applyFont="1" applyBorder="1" applyAlignment="1" applyProtection="1">
      <alignment vertical="center"/>
      <protection locked="0"/>
    </xf>
    <xf numFmtId="49" fontId="17" fillId="2" borderId="4" xfId="0" applyNumberFormat="1" applyFont="1" applyFill="1" applyBorder="1" applyAlignment="1">
      <alignment horizontal="left" vertical="center"/>
    </xf>
    <xf numFmtId="49" fontId="17" fillId="2" borderId="0" xfId="0" applyNumberFormat="1" applyFont="1" applyFill="1" applyAlignment="1">
      <alignment vertical="center"/>
    </xf>
    <xf numFmtId="0" fontId="12" fillId="2" borderId="0" xfId="0" applyFont="1" applyFill="1" applyAlignment="1">
      <alignment horizontal="center" vertical="center"/>
    </xf>
    <xf numFmtId="0" fontId="12" fillId="2" borderId="0" xfId="0" applyFont="1" applyFill="1" applyAlignment="1">
      <alignment horizontal="centerContinuous" vertical="center"/>
    </xf>
    <xf numFmtId="49" fontId="17" fillId="4" borderId="0" xfId="0" applyNumberFormat="1" applyFont="1" applyFill="1" applyAlignment="1">
      <alignment vertical="center"/>
    </xf>
    <xf numFmtId="3" fontId="17" fillId="2" borderId="0" xfId="0" applyNumberFormat="1" applyFont="1" applyFill="1" applyAlignment="1">
      <alignment vertical="center"/>
    </xf>
    <xf numFmtId="3" fontId="17" fillId="8" borderId="0" xfId="0" applyNumberFormat="1" applyFont="1" applyFill="1" applyAlignment="1">
      <alignment vertical="center"/>
    </xf>
    <xf numFmtId="3" fontId="12" fillId="4" borderId="1" xfId="2" applyNumberFormat="1" applyFont="1" applyFill="1" applyBorder="1" applyAlignment="1">
      <alignment horizontal="right" vertical="center"/>
    </xf>
    <xf numFmtId="3" fontId="17" fillId="4" borderId="20" xfId="2" applyNumberFormat="1" applyFont="1" applyFill="1" applyBorder="1" applyAlignment="1">
      <alignment horizontal="right" vertical="center"/>
    </xf>
    <xf numFmtId="164" fontId="17" fillId="0" borderId="16" xfId="0" applyNumberFormat="1" applyFont="1" applyBorder="1" applyAlignment="1" applyProtection="1">
      <alignment vertical="center"/>
      <protection locked="0"/>
    </xf>
    <xf numFmtId="0" fontId="12" fillId="4" borderId="0" xfId="0" applyFont="1" applyFill="1" applyAlignment="1">
      <alignment horizontal="right" vertical="center"/>
    </xf>
    <xf numFmtId="3" fontId="12" fillId="4" borderId="11" xfId="2" applyNumberFormat="1" applyFont="1" applyFill="1" applyBorder="1" applyAlignment="1">
      <alignment horizontal="right" vertical="center"/>
    </xf>
    <xf numFmtId="3" fontId="17" fillId="7" borderId="11" xfId="0" applyNumberFormat="1" applyFont="1" applyFill="1" applyBorder="1" applyAlignment="1">
      <alignment vertical="center"/>
    </xf>
    <xf numFmtId="164" fontId="12" fillId="5" borderId="20" xfId="0" applyNumberFormat="1" applyFont="1" applyFill="1" applyBorder="1" applyAlignment="1">
      <alignment vertical="center"/>
    </xf>
    <xf numFmtId="165" fontId="12" fillId="4" borderId="0" xfId="2" applyNumberFormat="1" applyFont="1" applyFill="1" applyAlignment="1">
      <alignment horizontal="center" vertical="center"/>
    </xf>
    <xf numFmtId="0" fontId="12" fillId="4" borderId="4" xfId="0" quotePrefix="1" applyFont="1" applyFill="1" applyBorder="1" applyAlignment="1">
      <alignment horizontal="left" vertical="center"/>
    </xf>
    <xf numFmtId="165" fontId="12" fillId="4" borderId="11" xfId="2" applyNumberFormat="1" applyFont="1" applyFill="1" applyBorder="1" applyAlignment="1">
      <alignment vertical="center"/>
    </xf>
    <xf numFmtId="49" fontId="12" fillId="4" borderId="0" xfId="0" applyNumberFormat="1" applyFont="1" applyFill="1" applyAlignment="1">
      <alignment horizontal="left" vertical="center"/>
    </xf>
    <xf numFmtId="164" fontId="17" fillId="2" borderId="9" xfId="0" applyNumberFormat="1" applyFont="1" applyFill="1" applyBorder="1" applyAlignment="1">
      <alignment vertical="center"/>
    </xf>
    <xf numFmtId="0" fontId="17" fillId="2" borderId="4" xfId="0" applyFont="1" applyFill="1" applyBorder="1" applyAlignment="1">
      <alignment horizontal="left" vertical="center"/>
    </xf>
    <xf numFmtId="49" fontId="17" fillId="2" borderId="2" xfId="0" applyNumberFormat="1" applyFont="1" applyFill="1" applyBorder="1" applyAlignment="1">
      <alignment vertical="center"/>
    </xf>
    <xf numFmtId="0" fontId="17" fillId="2" borderId="2" xfId="0" applyFont="1" applyFill="1" applyBorder="1" applyAlignment="1">
      <alignment horizontal="left" vertical="center"/>
    </xf>
    <xf numFmtId="49" fontId="17" fillId="2" borderId="7" xfId="0" applyNumberFormat="1" applyFont="1" applyFill="1" applyBorder="1" applyAlignment="1">
      <alignment vertical="center"/>
    </xf>
    <xf numFmtId="0" fontId="17" fillId="2" borderId="7" xfId="0" applyFont="1" applyFill="1" applyBorder="1" applyAlignment="1">
      <alignment horizontal="left" vertical="center"/>
    </xf>
    <xf numFmtId="49" fontId="12" fillId="4" borderId="4" xfId="0" applyNumberFormat="1" applyFont="1" applyFill="1" applyBorder="1" applyAlignment="1">
      <alignment horizontal="left" vertical="center"/>
    </xf>
    <xf numFmtId="49" fontId="17" fillId="4" borderId="4" xfId="0" quotePrefix="1" applyNumberFormat="1" applyFont="1" applyFill="1" applyBorder="1" applyAlignment="1">
      <alignment horizontal="left" vertical="center"/>
    </xf>
    <xf numFmtId="0" fontId="12" fillId="4" borderId="11" xfId="0" applyFont="1" applyFill="1" applyBorder="1" applyAlignment="1">
      <alignment vertical="center"/>
    </xf>
    <xf numFmtId="3" fontId="17" fillId="4" borderId="0" xfId="2" applyNumberFormat="1" applyFont="1" applyFill="1" applyAlignment="1">
      <alignment horizontal="right" vertical="center"/>
    </xf>
    <xf numFmtId="3" fontId="17" fillId="4" borderId="11" xfId="2" applyNumberFormat="1" applyFont="1" applyFill="1" applyBorder="1" applyAlignment="1">
      <alignment horizontal="right" vertical="center"/>
    </xf>
    <xf numFmtId="164" fontId="12" fillId="5" borderId="10" xfId="0" applyNumberFormat="1" applyFont="1" applyFill="1" applyBorder="1" applyAlignment="1">
      <alignment vertical="center"/>
    </xf>
    <xf numFmtId="3" fontId="12" fillId="4" borderId="8" xfId="2" applyNumberFormat="1" applyFont="1" applyFill="1" applyBorder="1" applyAlignment="1">
      <alignment horizontal="right" vertical="center"/>
    </xf>
    <xf numFmtId="49" fontId="12" fillId="2" borderId="4" xfId="0" applyNumberFormat="1" applyFont="1" applyFill="1" applyBorder="1" applyAlignment="1">
      <alignment horizontal="left" vertical="center"/>
    </xf>
    <xf numFmtId="49" fontId="12" fillId="2" borderId="2" xfId="0" applyNumberFormat="1" applyFont="1" applyFill="1" applyBorder="1" applyAlignment="1">
      <alignment horizontal="left" vertical="center"/>
    </xf>
    <xf numFmtId="49" fontId="12" fillId="2" borderId="7" xfId="0" applyNumberFormat="1" applyFont="1" applyFill="1" applyBorder="1" applyAlignment="1">
      <alignment horizontal="left" vertical="center"/>
    </xf>
    <xf numFmtId="49" fontId="17" fillId="4" borderId="2" xfId="0" applyNumberFormat="1" applyFont="1" applyFill="1" applyBorder="1" applyAlignment="1">
      <alignment vertical="center"/>
    </xf>
    <xf numFmtId="0" fontId="17" fillId="4" borderId="4" xfId="0" applyFont="1" applyFill="1" applyBorder="1" applyAlignment="1">
      <alignment horizontal="left" vertical="center"/>
    </xf>
    <xf numFmtId="0" fontId="17" fillId="4" borderId="0" xfId="0" applyFont="1" applyFill="1" applyAlignment="1">
      <alignment horizontal="left" vertical="center"/>
    </xf>
    <xf numFmtId="49" fontId="12" fillId="4" borderId="11" xfId="0" applyNumberFormat="1" applyFont="1" applyFill="1" applyBorder="1" applyAlignment="1">
      <alignment horizontal="left" vertical="center"/>
    </xf>
    <xf numFmtId="0" fontId="12" fillId="4" borderId="0" xfId="0" applyFont="1" applyFill="1" applyAlignment="1">
      <alignment horizontal="left" vertical="center"/>
    </xf>
    <xf numFmtId="164" fontId="17" fillId="2" borderId="7" xfId="0" applyNumberFormat="1" applyFont="1" applyFill="1" applyBorder="1" applyAlignment="1">
      <alignment vertical="center"/>
    </xf>
    <xf numFmtId="164" fontId="17" fillId="0" borderId="36" xfId="0" applyNumberFormat="1" applyFont="1" applyBorder="1" applyAlignment="1" applyProtection="1">
      <alignment vertical="center"/>
      <protection locked="0"/>
    </xf>
    <xf numFmtId="0" fontId="17" fillId="2" borderId="2" xfId="0" applyFont="1" applyFill="1" applyBorder="1" applyAlignment="1">
      <alignment vertical="center"/>
    </xf>
    <xf numFmtId="3" fontId="17" fillId="2" borderId="2" xfId="0" applyNumberFormat="1" applyFont="1" applyFill="1" applyBorder="1" applyAlignment="1">
      <alignment horizontal="right" vertical="center"/>
    </xf>
    <xf numFmtId="0" fontId="17" fillId="2" borderId="7" xfId="0" applyFont="1" applyFill="1" applyBorder="1" applyAlignment="1">
      <alignment vertical="center"/>
    </xf>
    <xf numFmtId="49" fontId="12" fillId="4" borderId="7" xfId="0" applyNumberFormat="1" applyFont="1" applyFill="1" applyBorder="1" applyAlignment="1">
      <alignment vertical="center"/>
    </xf>
    <xf numFmtId="49" fontId="12" fillId="2" borderId="0" xfId="0" applyNumberFormat="1" applyFont="1" applyFill="1" applyAlignment="1">
      <alignment horizontal="center" vertical="center"/>
    </xf>
    <xf numFmtId="49" fontId="12" fillId="8" borderId="0" xfId="0" applyNumberFormat="1" applyFont="1" applyFill="1" applyAlignment="1">
      <alignment horizontal="center" vertical="center"/>
    </xf>
    <xf numFmtId="3" fontId="17" fillId="4" borderId="37" xfId="2" applyNumberFormat="1" applyFont="1" applyFill="1" applyBorder="1" applyAlignment="1">
      <alignment horizontal="right" vertical="center"/>
    </xf>
    <xf numFmtId="164" fontId="17" fillId="0" borderId="10" xfId="0" applyNumberFormat="1" applyFont="1" applyBorder="1" applyAlignment="1" applyProtection="1">
      <alignment vertical="center"/>
      <protection locked="0"/>
    </xf>
    <xf numFmtId="0" fontId="17" fillId="3" borderId="2" xfId="0" applyFont="1" applyFill="1" applyBorder="1" applyAlignment="1">
      <alignment vertical="center"/>
    </xf>
    <xf numFmtId="0" fontId="12" fillId="4" borderId="11" xfId="0" applyFont="1" applyFill="1" applyBorder="1" applyAlignment="1">
      <alignment horizontal="left"/>
    </xf>
    <xf numFmtId="0" fontId="12" fillId="3" borderId="0" xfId="0" applyFont="1" applyFill="1" applyAlignment="1">
      <alignment vertical="center"/>
    </xf>
    <xf numFmtId="0" fontId="12" fillId="3" borderId="2" xfId="0" applyFont="1" applyFill="1" applyBorder="1" applyAlignment="1">
      <alignment vertical="center"/>
    </xf>
    <xf numFmtId="0" fontId="12" fillId="3" borderId="2" xfId="0" applyFont="1" applyFill="1" applyBorder="1" applyAlignment="1">
      <alignment horizontal="center" vertical="center"/>
    </xf>
    <xf numFmtId="164" fontId="12" fillId="3" borderId="0" xfId="0" applyNumberFormat="1" applyFont="1" applyFill="1" applyAlignment="1">
      <alignment vertical="center"/>
    </xf>
    <xf numFmtId="0" fontId="17" fillId="3" borderId="4" xfId="0" applyFont="1" applyFill="1" applyBorder="1" applyAlignment="1">
      <alignment horizontal="left" vertical="center"/>
    </xf>
    <xf numFmtId="0" fontId="17" fillId="3" borderId="7" xfId="0" applyFont="1" applyFill="1" applyBorder="1" applyAlignment="1">
      <alignment vertical="center"/>
    </xf>
    <xf numFmtId="0" fontId="17" fillId="3" borderId="7" xfId="0" applyFont="1" applyFill="1" applyBorder="1" applyAlignment="1">
      <alignment horizontal="left" vertical="center"/>
    </xf>
    <xf numFmtId="0" fontId="12" fillId="4" borderId="10" xfId="0" applyFont="1" applyFill="1" applyBorder="1" applyAlignment="1">
      <alignment horizontal="left"/>
    </xf>
    <xf numFmtId="164" fontId="17" fillId="0" borderId="0" xfId="0" applyNumberFormat="1" applyFont="1" applyAlignment="1">
      <alignment vertical="center"/>
    </xf>
    <xf numFmtId="164" fontId="17" fillId="7" borderId="17" xfId="0" applyNumberFormat="1" applyFont="1" applyFill="1" applyBorder="1" applyAlignment="1">
      <alignment vertical="center"/>
    </xf>
    <xf numFmtId="49" fontId="12" fillId="4" borderId="1" xfId="0" applyNumberFormat="1" applyFont="1" applyFill="1" applyBorder="1" applyAlignment="1">
      <alignment horizontal="left" vertical="top"/>
    </xf>
    <xf numFmtId="0" fontId="22" fillId="3" borderId="0" xfId="0" applyFont="1" applyFill="1" applyAlignment="1">
      <alignment vertical="center"/>
    </xf>
    <xf numFmtId="0" fontId="12" fillId="3" borderId="9" xfId="0" applyFont="1" applyFill="1" applyBorder="1" applyAlignment="1">
      <alignment horizontal="center" vertical="center"/>
    </xf>
    <xf numFmtId="0" fontId="12" fillId="3" borderId="9" xfId="0" applyFont="1" applyFill="1" applyBorder="1" applyAlignment="1">
      <alignment horizontal="center" vertical="center" wrapText="1"/>
    </xf>
    <xf numFmtId="164" fontId="12" fillId="5" borderId="38" xfId="0" applyNumberFormat="1" applyFont="1" applyFill="1" applyBorder="1" applyAlignment="1">
      <alignment vertical="center"/>
    </xf>
    <xf numFmtId="0" fontId="12" fillId="4" borderId="1" xfId="0" applyFont="1" applyFill="1" applyBorder="1" applyAlignment="1">
      <alignment vertical="center"/>
    </xf>
    <xf numFmtId="0" fontId="17" fillId="4" borderId="4" xfId="0" quotePrefix="1" applyFont="1" applyFill="1" applyBorder="1" applyAlignment="1">
      <alignment horizontal="left" vertical="center"/>
    </xf>
    <xf numFmtId="164" fontId="17" fillId="7" borderId="10" xfId="0" applyNumberFormat="1" applyFont="1" applyFill="1" applyBorder="1" applyAlignment="1">
      <alignment vertical="center"/>
    </xf>
    <xf numFmtId="3" fontId="12" fillId="4" borderId="30" xfId="0" applyNumberFormat="1" applyFont="1" applyFill="1" applyBorder="1" applyAlignment="1">
      <alignment horizontal="right" vertical="center"/>
    </xf>
    <xf numFmtId="3" fontId="12" fillId="4" borderId="9" xfId="0" applyNumberFormat="1" applyFont="1" applyFill="1" applyBorder="1" applyAlignment="1">
      <alignment horizontal="right" vertical="center"/>
    </xf>
    <xf numFmtId="0" fontId="17" fillId="8" borderId="4" xfId="0" applyFont="1" applyFill="1" applyBorder="1" applyAlignment="1">
      <alignment vertical="center"/>
    </xf>
    <xf numFmtId="0" fontId="8" fillId="8" borderId="0" xfId="0" applyFont="1" applyFill="1" applyAlignment="1">
      <alignment vertical="center"/>
    </xf>
    <xf numFmtId="0" fontId="19" fillId="3" borderId="0" xfId="19" applyFont="1" applyFill="1" applyBorder="1" applyAlignment="1" applyProtection="1">
      <alignment horizontal="center" vertical="center"/>
    </xf>
    <xf numFmtId="0" fontId="12" fillId="4" borderId="1" xfId="0" applyFont="1" applyFill="1" applyBorder="1" applyAlignment="1" applyProtection="1">
      <alignment horizontal="center" vertical="center"/>
    </xf>
    <xf numFmtId="0" fontId="12" fillId="4" borderId="4" xfId="0" applyFont="1" applyFill="1" applyBorder="1" applyAlignment="1" applyProtection="1">
      <alignment horizontal="center" vertical="center"/>
    </xf>
    <xf numFmtId="0" fontId="12" fillId="4" borderId="6" xfId="0" applyFont="1" applyFill="1" applyBorder="1" applyAlignment="1" applyProtection="1">
      <alignment horizontal="center" vertical="center"/>
    </xf>
    <xf numFmtId="0" fontId="12" fillId="4" borderId="0" xfId="0" applyFont="1" applyFill="1" applyBorder="1" applyAlignment="1" applyProtection="1">
      <alignment horizontal="center" vertical="center"/>
    </xf>
    <xf numFmtId="0" fontId="12" fillId="4" borderId="1" xfId="0" applyFont="1" applyFill="1" applyBorder="1" applyAlignment="1" applyProtection="1">
      <alignment horizontal="center" vertical="center"/>
    </xf>
    <xf numFmtId="0" fontId="12" fillId="4" borderId="4" xfId="0" applyFont="1" applyFill="1" applyBorder="1" applyAlignment="1" applyProtection="1">
      <alignment horizontal="center" vertical="center"/>
    </xf>
    <xf numFmtId="0" fontId="12" fillId="4" borderId="6" xfId="0" applyFont="1" applyFill="1" applyBorder="1" applyAlignment="1" applyProtection="1">
      <alignment horizontal="center" vertical="center"/>
    </xf>
    <xf numFmtId="0" fontId="12" fillId="4" borderId="0" xfId="0" applyFont="1" applyFill="1" applyBorder="1" applyAlignment="1" applyProtection="1">
      <alignment horizontal="center" vertical="center"/>
    </xf>
    <xf numFmtId="0" fontId="19" fillId="3" borderId="0" xfId="19" applyFont="1" applyFill="1" applyBorder="1" applyAlignment="1" applyProtection="1">
      <alignment horizontal="center" vertical="center"/>
    </xf>
    <xf numFmtId="164" fontId="17" fillId="0" borderId="21" xfId="0" applyNumberFormat="1" applyFont="1" applyBorder="1" applyAlignment="1" applyProtection="1">
      <alignment vertical="center"/>
      <protection locked="0"/>
    </xf>
    <xf numFmtId="164" fontId="17" fillId="9" borderId="45" xfId="0" applyNumberFormat="1" applyFont="1" applyFill="1" applyBorder="1" applyAlignment="1" applyProtection="1">
      <alignment vertical="center"/>
      <protection locked="0"/>
    </xf>
    <xf numFmtId="164" fontId="17" fillId="0" borderId="27" xfId="0" applyNumberFormat="1" applyFont="1" applyBorder="1" applyAlignment="1" applyProtection="1">
      <alignment vertical="center"/>
      <protection locked="0"/>
    </xf>
    <xf numFmtId="0" fontId="19" fillId="3" borderId="0" xfId="19" applyFont="1" applyFill="1" applyBorder="1" applyAlignment="1" applyProtection="1">
      <alignment horizontal="center" vertical="center"/>
    </xf>
    <xf numFmtId="0" fontId="12" fillId="4" borderId="1" xfId="0" applyFont="1" applyFill="1" applyBorder="1" applyAlignment="1" applyProtection="1">
      <alignment horizontal="center" vertical="center"/>
    </xf>
    <xf numFmtId="0" fontId="12" fillId="4" borderId="4" xfId="0" applyFont="1" applyFill="1" applyBorder="1" applyAlignment="1" applyProtection="1">
      <alignment horizontal="center" vertical="center"/>
    </xf>
    <xf numFmtId="0" fontId="12" fillId="4" borderId="6" xfId="0" applyFont="1" applyFill="1" applyBorder="1" applyAlignment="1" applyProtection="1">
      <alignment horizontal="center" vertical="center"/>
    </xf>
    <xf numFmtId="0" fontId="12" fillId="4" borderId="0" xfId="0" applyFont="1" applyFill="1" applyBorder="1" applyAlignment="1" applyProtection="1">
      <alignment horizontal="center" vertical="center"/>
    </xf>
    <xf numFmtId="0" fontId="19" fillId="3" borderId="0" xfId="19" applyFont="1" applyFill="1" applyBorder="1" applyAlignment="1" applyProtection="1">
      <alignment horizontal="center" vertical="center"/>
    </xf>
    <xf numFmtId="0" fontId="12" fillId="4" borderId="1" xfId="0" applyFont="1" applyFill="1" applyBorder="1" applyAlignment="1" applyProtection="1">
      <alignment horizontal="center" vertical="center"/>
    </xf>
    <xf numFmtId="0" fontId="12" fillId="4" borderId="4" xfId="0" applyFont="1" applyFill="1" applyBorder="1" applyAlignment="1" applyProtection="1">
      <alignment horizontal="center" vertical="center"/>
    </xf>
    <xf numFmtId="0" fontId="12" fillId="4" borderId="6" xfId="0" applyFont="1" applyFill="1" applyBorder="1" applyAlignment="1" applyProtection="1">
      <alignment horizontal="center" vertical="center"/>
    </xf>
    <xf numFmtId="0" fontId="12" fillId="4" borderId="0" xfId="0" applyFont="1" applyFill="1" applyBorder="1" applyAlignment="1" applyProtection="1">
      <alignment horizontal="center" vertical="center"/>
    </xf>
    <xf numFmtId="0" fontId="12" fillId="4" borderId="1" xfId="0" applyFont="1" applyFill="1" applyBorder="1" applyAlignment="1" applyProtection="1">
      <alignment horizontal="center" vertical="center"/>
    </xf>
    <xf numFmtId="0" fontId="12" fillId="4" borderId="4" xfId="0" applyFont="1" applyFill="1" applyBorder="1" applyAlignment="1" applyProtection="1">
      <alignment horizontal="center" vertical="center"/>
    </xf>
    <xf numFmtId="0" fontId="12" fillId="4" borderId="6" xfId="0" applyFont="1" applyFill="1" applyBorder="1" applyAlignment="1" applyProtection="1">
      <alignment horizontal="center" vertical="center"/>
    </xf>
    <xf numFmtId="0" fontId="12" fillId="4" borderId="0" xfId="0" applyFont="1" applyFill="1" applyBorder="1" applyAlignment="1" applyProtection="1">
      <alignment horizontal="center" vertical="center"/>
    </xf>
    <xf numFmtId="0" fontId="19" fillId="3" borderId="0" xfId="19" applyFont="1" applyFill="1" applyBorder="1" applyAlignment="1" applyProtection="1">
      <alignment horizontal="center" vertical="center"/>
    </xf>
    <xf numFmtId="0" fontId="12" fillId="4" borderId="1" xfId="0" applyFont="1" applyFill="1" applyBorder="1" applyAlignment="1" applyProtection="1">
      <alignment horizontal="center" vertical="center"/>
    </xf>
    <xf numFmtId="0" fontId="12" fillId="4" borderId="4" xfId="0" applyFont="1" applyFill="1" applyBorder="1" applyAlignment="1" applyProtection="1">
      <alignment horizontal="center" vertical="center"/>
    </xf>
    <xf numFmtId="0" fontId="12" fillId="4" borderId="6" xfId="0" applyFont="1" applyFill="1" applyBorder="1" applyAlignment="1" applyProtection="1">
      <alignment horizontal="center" vertical="center"/>
    </xf>
    <xf numFmtId="0" fontId="12" fillId="4" borderId="0" xfId="0" applyFont="1" applyFill="1" applyBorder="1" applyAlignment="1" applyProtection="1">
      <alignment horizontal="center" vertical="center"/>
    </xf>
    <xf numFmtId="0" fontId="19" fillId="3" borderId="0" xfId="19" applyFont="1" applyFill="1" applyBorder="1" applyAlignment="1" applyProtection="1">
      <alignment horizontal="center" vertical="center"/>
    </xf>
    <xf numFmtId="164" fontId="37" fillId="2" borderId="13" xfId="0" applyNumberFormat="1" applyFont="1" applyFill="1" applyBorder="1" applyAlignment="1" applyProtection="1">
      <alignment vertical="center"/>
      <protection locked="0"/>
    </xf>
    <xf numFmtId="1" fontId="8" fillId="2" borderId="13" xfId="6" applyNumberFormat="1" applyFont="1" applyFill="1" applyBorder="1" applyAlignment="1" applyProtection="1">
      <alignment vertical="center"/>
      <protection locked="0"/>
    </xf>
    <xf numFmtId="0" fontId="12" fillId="4" borderId="1" xfId="0" applyFont="1" applyFill="1" applyBorder="1" applyAlignment="1" applyProtection="1">
      <alignment horizontal="center" vertical="center"/>
    </xf>
    <xf numFmtId="0" fontId="12" fillId="4" borderId="4" xfId="0" applyFont="1" applyFill="1" applyBorder="1" applyAlignment="1" applyProtection="1">
      <alignment horizontal="center" vertical="center"/>
    </xf>
    <xf numFmtId="0" fontId="12" fillId="4" borderId="6" xfId="0" applyFont="1" applyFill="1" applyBorder="1" applyAlignment="1" applyProtection="1">
      <alignment horizontal="center" vertical="center"/>
    </xf>
    <xf numFmtId="0" fontId="12" fillId="4" borderId="0" xfId="0" applyFont="1" applyFill="1" applyBorder="1" applyAlignment="1" applyProtection="1">
      <alignment horizontal="center" vertical="center"/>
    </xf>
    <xf numFmtId="0" fontId="19" fillId="3" borderId="0" xfId="19" applyFont="1" applyFill="1" applyBorder="1" applyAlignment="1" applyProtection="1">
      <alignment horizontal="center" vertical="center"/>
    </xf>
    <xf numFmtId="37" fontId="8" fillId="0" borderId="0" xfId="0" applyNumberFormat="1" applyFont="1" applyProtection="1">
      <protection locked="0"/>
    </xf>
    <xf numFmtId="0" fontId="19" fillId="3" borderId="0" xfId="19" applyFont="1" applyFill="1" applyBorder="1" applyAlignment="1" applyProtection="1">
      <alignment horizontal="center" vertical="center"/>
    </xf>
    <xf numFmtId="0" fontId="12" fillId="4" borderId="1" xfId="0" applyFont="1" applyFill="1" applyBorder="1" applyAlignment="1" applyProtection="1">
      <alignment horizontal="center" vertical="center"/>
    </xf>
    <xf numFmtId="0" fontId="12" fillId="4" borderId="4" xfId="0" applyFont="1" applyFill="1" applyBorder="1" applyAlignment="1" applyProtection="1">
      <alignment horizontal="center" vertical="center"/>
    </xf>
    <xf numFmtId="0" fontId="12" fillId="4" borderId="6" xfId="0" applyFont="1" applyFill="1" applyBorder="1" applyAlignment="1" applyProtection="1">
      <alignment horizontal="center" vertical="center"/>
    </xf>
    <xf numFmtId="0" fontId="12" fillId="4" borderId="0" xfId="0" applyFont="1" applyFill="1" applyBorder="1" applyAlignment="1" applyProtection="1">
      <alignment horizontal="center" vertical="center"/>
    </xf>
    <xf numFmtId="0" fontId="25" fillId="8" borderId="4" xfId="5" quotePrefix="1" applyFont="1" applyFill="1" applyBorder="1" applyAlignment="1">
      <alignment horizontal="left"/>
    </xf>
    <xf numFmtId="9" fontId="0" fillId="8" borderId="0" xfId="0" applyNumberFormat="1" applyFill="1"/>
    <xf numFmtId="0" fontId="25" fillId="8" borderId="7" xfId="16" quotePrefix="1" applyFont="1" applyFill="1" applyBorder="1" applyAlignment="1" applyProtection="1">
      <alignment horizontal="right" vertical="center" wrapText="1"/>
    </xf>
    <xf numFmtId="0" fontId="32" fillId="8" borderId="0" xfId="16" applyFont="1" applyFill="1" applyAlignment="1">
      <alignment horizontal="right"/>
    </xf>
    <xf numFmtId="0" fontId="32" fillId="8" borderId="0" xfId="16" applyFont="1" applyFill="1" applyBorder="1" applyAlignment="1">
      <alignment horizontal="right"/>
    </xf>
    <xf numFmtId="0" fontId="25" fillId="8" borderId="15" xfId="16" quotePrefix="1" applyFont="1" applyFill="1" applyBorder="1" applyAlignment="1" applyProtection="1">
      <alignment horizontal="right" vertical="center" wrapText="1"/>
    </xf>
    <xf numFmtId="9" fontId="0" fillId="8" borderId="0" xfId="10" applyFont="1" applyFill="1" applyAlignment="1">
      <alignment vertical="center"/>
    </xf>
    <xf numFmtId="3" fontId="0" fillId="8" borderId="0" xfId="0" applyNumberFormat="1" applyFill="1" applyAlignment="1">
      <alignment vertical="center"/>
    </xf>
    <xf numFmtId="0" fontId="25" fillId="8" borderId="0" xfId="0" applyFont="1" applyFill="1" applyAlignment="1">
      <alignment vertical="center"/>
    </xf>
    <xf numFmtId="0" fontId="8" fillId="8" borderId="0" xfId="0" quotePrefix="1" applyFont="1" applyFill="1" applyAlignment="1">
      <alignment horizontal="left" vertical="center"/>
    </xf>
    <xf numFmtId="0" fontId="12" fillId="4" borderId="1" xfId="0" applyFont="1" applyFill="1" applyBorder="1" applyAlignment="1" applyProtection="1">
      <alignment horizontal="center" vertical="center"/>
    </xf>
    <xf numFmtId="0" fontId="12" fillId="4" borderId="4" xfId="0" applyFont="1" applyFill="1" applyBorder="1" applyAlignment="1" applyProtection="1">
      <alignment horizontal="center" vertical="center"/>
    </xf>
    <xf numFmtId="0" fontId="12" fillId="4" borderId="6" xfId="0" applyFont="1" applyFill="1" applyBorder="1" applyAlignment="1" applyProtection="1">
      <alignment horizontal="center" vertical="center"/>
    </xf>
    <xf numFmtId="0" fontId="12" fillId="4" borderId="0" xfId="0" applyFont="1" applyFill="1" applyBorder="1" applyAlignment="1" applyProtection="1">
      <alignment horizontal="center" vertical="center"/>
    </xf>
    <xf numFmtId="0" fontId="19" fillId="3" borderId="0" xfId="19" applyFont="1" applyFill="1" applyBorder="1" applyAlignment="1" applyProtection="1">
      <alignment horizontal="center" vertical="center"/>
    </xf>
    <xf numFmtId="9" fontId="17" fillId="2" borderId="0" xfId="10" applyFont="1" applyFill="1" applyBorder="1" applyAlignment="1" applyProtection="1">
      <alignment vertical="center"/>
    </xf>
    <xf numFmtId="0" fontId="8" fillId="8" borderId="7" xfId="0" applyFont="1" applyFill="1" applyBorder="1" applyAlignment="1">
      <alignment horizontal="right" wrapText="1"/>
    </xf>
    <xf numFmtId="0" fontId="8" fillId="8" borderId="15" xfId="0" applyFont="1" applyFill="1" applyBorder="1" applyAlignment="1">
      <alignment horizontal="right" wrapText="1"/>
    </xf>
    <xf numFmtId="0" fontId="33" fillId="8" borderId="0" xfId="6" applyFont="1" applyFill="1" applyBorder="1"/>
    <xf numFmtId="165" fontId="38" fillId="8" borderId="4" xfId="2" applyNumberFormat="1" applyFont="1" applyFill="1" applyBorder="1"/>
    <xf numFmtId="165" fontId="38" fillId="8" borderId="5" xfId="2" applyNumberFormat="1" applyFont="1" applyFill="1" applyBorder="1"/>
    <xf numFmtId="165" fontId="33" fillId="8" borderId="0" xfId="2" applyNumberFormat="1" applyFont="1" applyFill="1" applyBorder="1" applyAlignment="1" applyProtection="1">
      <alignment horizontal="left"/>
    </xf>
    <xf numFmtId="165" fontId="33" fillId="8" borderId="4" xfId="2" applyNumberFormat="1" applyFont="1" applyFill="1" applyBorder="1"/>
    <xf numFmtId="165" fontId="33" fillId="8" borderId="0" xfId="2" applyNumberFormat="1" applyFont="1" applyFill="1" applyBorder="1"/>
    <xf numFmtId="165" fontId="33" fillId="8" borderId="5" xfId="2" applyNumberFormat="1" applyFont="1" applyFill="1" applyBorder="1"/>
    <xf numFmtId="0" fontId="25" fillId="8" borderId="6" xfId="6" applyFont="1" applyFill="1" applyBorder="1" applyAlignment="1">
      <alignment horizontal="right" wrapText="1"/>
    </xf>
    <xf numFmtId="0" fontId="25" fillId="8" borderId="15" xfId="6" applyFont="1" applyFill="1" applyBorder="1" applyAlignment="1">
      <alignment horizontal="right" wrapText="1"/>
    </xf>
    <xf numFmtId="0" fontId="8" fillId="8" borderId="6" xfId="0" applyFont="1" applyFill="1" applyBorder="1" applyAlignment="1">
      <alignment horizontal="right" wrapText="1"/>
    </xf>
    <xf numFmtId="0" fontId="25" fillId="8" borderId="7" xfId="6" applyFont="1" applyFill="1" applyBorder="1" applyAlignment="1">
      <alignment horizontal="right" wrapText="1"/>
    </xf>
    <xf numFmtId="0" fontId="25" fillId="8" borderId="16" xfId="6" applyFont="1" applyFill="1" applyBorder="1" applyAlignment="1">
      <alignment horizontal="center" wrapText="1"/>
    </xf>
    <xf numFmtId="3" fontId="28" fillId="8" borderId="9" xfId="6" applyNumberFormat="1" applyFont="1" applyFill="1" applyBorder="1"/>
    <xf numFmtId="0" fontId="25" fillId="8" borderId="7" xfId="6" quotePrefix="1" applyFont="1" applyFill="1" applyBorder="1" applyAlignment="1">
      <alignment horizontal="right" wrapText="1"/>
    </xf>
    <xf numFmtId="165" fontId="25" fillId="8" borderId="9" xfId="2" applyNumberFormat="1" applyFont="1" applyFill="1" applyBorder="1"/>
    <xf numFmtId="0" fontId="25" fillId="8" borderId="0" xfId="0" applyFont="1" applyFill="1" applyBorder="1" applyAlignment="1">
      <alignment horizontal="left"/>
    </xf>
    <xf numFmtId="165" fontId="25" fillId="8" borderId="9" xfId="2" applyNumberFormat="1" applyFont="1" applyFill="1" applyBorder="1" applyAlignment="1" applyProtection="1">
      <alignment horizontal="left"/>
    </xf>
    <xf numFmtId="9" fontId="17" fillId="8" borderId="0" xfId="10" applyFont="1" applyFill="1" applyBorder="1" applyAlignment="1" applyProtection="1">
      <alignment vertical="center"/>
    </xf>
    <xf numFmtId="0" fontId="12" fillId="4" borderId="1" xfId="0" applyFont="1" applyFill="1" applyBorder="1" applyAlignment="1" applyProtection="1">
      <alignment horizontal="center" vertical="center"/>
    </xf>
    <xf numFmtId="0" fontId="12" fillId="4" borderId="4" xfId="0" applyFont="1" applyFill="1" applyBorder="1" applyAlignment="1" applyProtection="1">
      <alignment horizontal="center" vertical="center"/>
    </xf>
    <xf numFmtId="0" fontId="12" fillId="4" borderId="6" xfId="0" applyFont="1" applyFill="1" applyBorder="1" applyAlignment="1" applyProtection="1">
      <alignment horizontal="center" vertical="center"/>
    </xf>
    <xf numFmtId="0" fontId="12" fillId="4" borderId="0" xfId="0" applyFont="1" applyFill="1" applyBorder="1" applyAlignment="1" applyProtection="1">
      <alignment horizontal="center" vertical="center"/>
    </xf>
    <xf numFmtId="0" fontId="19" fillId="3" borderId="0" xfId="19" applyFont="1" applyFill="1" applyBorder="1" applyAlignment="1" applyProtection="1">
      <alignment horizontal="center" vertical="center"/>
    </xf>
    <xf numFmtId="0" fontId="19" fillId="3" borderId="0" xfId="19" applyFont="1" applyFill="1" applyBorder="1" applyAlignment="1" applyProtection="1">
      <alignment horizontal="center" vertical="center"/>
    </xf>
    <xf numFmtId="0" fontId="12" fillId="4" borderId="1" xfId="0" applyFont="1" applyFill="1" applyBorder="1" applyAlignment="1" applyProtection="1">
      <alignment horizontal="center" vertical="center"/>
    </xf>
    <xf numFmtId="0" fontId="12" fillId="4" borderId="4" xfId="0" applyFont="1" applyFill="1" applyBorder="1" applyAlignment="1" applyProtection="1">
      <alignment horizontal="center" vertical="center"/>
    </xf>
    <xf numFmtId="0" fontId="12" fillId="4" borderId="6" xfId="0" applyFont="1" applyFill="1" applyBorder="1" applyAlignment="1" applyProtection="1">
      <alignment horizontal="center" vertical="center"/>
    </xf>
    <xf numFmtId="0" fontId="12" fillId="4" borderId="0" xfId="0" applyFont="1" applyFill="1" applyBorder="1" applyAlignment="1" applyProtection="1">
      <alignment horizontal="center" vertical="center"/>
    </xf>
    <xf numFmtId="0" fontId="12" fillId="4" borderId="1" xfId="0" applyFont="1" applyFill="1" applyBorder="1" applyAlignment="1" applyProtection="1">
      <alignment horizontal="center" vertical="center"/>
    </xf>
    <xf numFmtId="0" fontId="12" fillId="4" borderId="4" xfId="0" applyFont="1" applyFill="1" applyBorder="1" applyAlignment="1" applyProtection="1">
      <alignment horizontal="center" vertical="center"/>
    </xf>
    <xf numFmtId="0" fontId="12" fillId="4" borderId="6" xfId="0" applyFont="1" applyFill="1" applyBorder="1" applyAlignment="1" applyProtection="1">
      <alignment horizontal="center" vertical="center"/>
    </xf>
    <xf numFmtId="0" fontId="12" fillId="4" borderId="0" xfId="0" applyFont="1" applyFill="1" applyBorder="1" applyAlignment="1" applyProtection="1">
      <alignment horizontal="center" vertical="center"/>
    </xf>
    <xf numFmtId="0" fontId="19" fillId="3" borderId="0" xfId="19" applyFont="1" applyFill="1" applyBorder="1" applyAlignment="1" applyProtection="1">
      <alignment horizontal="center" vertical="center"/>
    </xf>
    <xf numFmtId="0" fontId="12" fillId="4" borderId="1" xfId="0" applyFont="1" applyFill="1" applyBorder="1" applyAlignment="1" applyProtection="1">
      <alignment horizontal="center" vertical="center"/>
    </xf>
    <xf numFmtId="0" fontId="12" fillId="4" borderId="4" xfId="0" applyFont="1" applyFill="1" applyBorder="1" applyAlignment="1" applyProtection="1">
      <alignment horizontal="center" vertical="center"/>
    </xf>
    <xf numFmtId="0" fontId="12" fillId="4" borderId="6" xfId="0" applyFont="1" applyFill="1" applyBorder="1" applyAlignment="1" applyProtection="1">
      <alignment horizontal="center" vertical="center"/>
    </xf>
    <xf numFmtId="0" fontId="12" fillId="4" borderId="0" xfId="0" applyFont="1" applyFill="1" applyBorder="1" applyAlignment="1" applyProtection="1">
      <alignment horizontal="center" vertical="center"/>
    </xf>
    <xf numFmtId="0" fontId="19" fillId="3" borderId="0" xfId="19" applyFont="1" applyFill="1" applyBorder="1" applyAlignment="1" applyProtection="1">
      <alignment horizontal="center" vertical="center"/>
    </xf>
    <xf numFmtId="0" fontId="25" fillId="8" borderId="0" xfId="6" quotePrefix="1" applyFont="1" applyFill="1" applyAlignment="1">
      <alignment horizontal="left" vertical="center"/>
    </xf>
    <xf numFmtId="0" fontId="8" fillId="8" borderId="0" xfId="6" applyFill="1" applyAlignment="1">
      <alignment vertical="center"/>
    </xf>
    <xf numFmtId="0" fontId="27" fillId="8" borderId="20" xfId="6" applyFont="1" applyFill="1" applyBorder="1" applyAlignment="1">
      <alignment horizontal="left" vertical="center" wrapText="1"/>
    </xf>
    <xf numFmtId="0" fontId="25" fillId="8" borderId="10" xfId="6" applyFont="1" applyFill="1" applyBorder="1" applyAlignment="1">
      <alignment horizontal="right" vertical="center" wrapText="1"/>
    </xf>
    <xf numFmtId="0" fontId="25" fillId="8" borderId="10" xfId="6" quotePrefix="1" applyFont="1" applyFill="1" applyBorder="1" applyAlignment="1">
      <alignment horizontal="right" vertical="center" wrapText="1"/>
    </xf>
    <xf numFmtId="0" fontId="25" fillId="8" borderId="1" xfId="6" applyFont="1" applyFill="1" applyBorder="1" applyAlignment="1">
      <alignment vertical="center"/>
    </xf>
    <xf numFmtId="3" fontId="28" fillId="8" borderId="1" xfId="6" applyNumberFormat="1" applyFont="1" applyFill="1" applyBorder="1" applyAlignment="1">
      <alignment vertical="center"/>
    </xf>
    <xf numFmtId="3" fontId="28" fillId="8" borderId="10" xfId="6" applyNumberFormat="1" applyFont="1" applyFill="1" applyBorder="1" applyAlignment="1">
      <alignment vertical="center"/>
    </xf>
    <xf numFmtId="0" fontId="8" fillId="8" borderId="4" xfId="6" applyFill="1" applyBorder="1" applyAlignment="1">
      <alignment vertical="center"/>
    </xf>
    <xf numFmtId="3" fontId="24" fillId="8" borderId="4" xfId="6" applyNumberFormat="1" applyFont="1" applyFill="1" applyBorder="1" applyAlignment="1">
      <alignment vertical="center"/>
    </xf>
    <xf numFmtId="3" fontId="24" fillId="8" borderId="9" xfId="6" applyNumberFormat="1" applyFont="1" applyFill="1" applyBorder="1" applyAlignment="1">
      <alignment vertical="center"/>
    </xf>
    <xf numFmtId="0" fontId="8" fillId="8" borderId="6" xfId="6" applyFill="1" applyBorder="1" applyAlignment="1">
      <alignment vertical="center"/>
    </xf>
    <xf numFmtId="3" fontId="24" fillId="8" borderId="6" xfId="6" applyNumberFormat="1" applyFont="1" applyFill="1" applyBorder="1" applyAlignment="1">
      <alignment vertical="center"/>
    </xf>
    <xf numFmtId="3" fontId="24" fillId="8" borderId="16" xfId="6" applyNumberFormat="1" applyFont="1" applyFill="1" applyBorder="1" applyAlignment="1">
      <alignment vertical="center"/>
    </xf>
    <xf numFmtId="166" fontId="8" fillId="8" borderId="0" xfId="10" applyNumberFormat="1" applyFill="1" applyAlignment="1">
      <alignment vertical="center"/>
    </xf>
    <xf numFmtId="0" fontId="8" fillId="8" borderId="0" xfId="6" quotePrefix="1" applyFill="1" applyAlignment="1">
      <alignment horizontal="left" vertical="center"/>
    </xf>
    <xf numFmtId="165" fontId="8" fillId="8" borderId="0" xfId="2" applyNumberFormat="1" applyFill="1" applyAlignment="1">
      <alignment vertical="center"/>
    </xf>
    <xf numFmtId="0" fontId="25" fillId="8" borderId="10" xfId="6" applyFont="1" applyFill="1" applyBorder="1" applyAlignment="1">
      <alignment horizontal="center" vertical="center" wrapText="1"/>
    </xf>
    <xf numFmtId="0" fontId="25" fillId="8" borderId="10" xfId="6" quotePrefix="1" applyFont="1" applyFill="1" applyBorder="1" applyAlignment="1">
      <alignment horizontal="center" vertical="center" wrapText="1"/>
    </xf>
    <xf numFmtId="167" fontId="0" fillId="8" borderId="0" xfId="0" applyNumberFormat="1" applyFill="1" applyAlignment="1">
      <alignment vertical="center"/>
    </xf>
    <xf numFmtId="166" fontId="0" fillId="8" borderId="0" xfId="10" applyNumberFormat="1" applyFont="1" applyFill="1" applyAlignment="1">
      <alignment vertical="center"/>
    </xf>
    <xf numFmtId="167" fontId="8" fillId="8" borderId="0" xfId="6" applyNumberFormat="1" applyFill="1" applyAlignment="1">
      <alignment vertical="center"/>
    </xf>
    <xf numFmtId="0" fontId="8" fillId="8" borderId="0" xfId="5" applyFill="1" applyAlignment="1">
      <alignment vertical="center"/>
    </xf>
    <xf numFmtId="167" fontId="8" fillId="8" borderId="0" xfId="5" applyNumberFormat="1" applyFill="1" applyAlignment="1">
      <alignment vertical="center"/>
    </xf>
    <xf numFmtId="168" fontId="0" fillId="8" borderId="0" xfId="0" applyNumberFormat="1" applyFill="1" applyAlignment="1">
      <alignment vertical="center"/>
    </xf>
    <xf numFmtId="172" fontId="0" fillId="8" borderId="0" xfId="0" applyNumberFormat="1" applyFill="1" applyAlignment="1">
      <alignment vertical="center"/>
    </xf>
    <xf numFmtId="171" fontId="0" fillId="8" borderId="0" xfId="0" applyNumberFormat="1" applyFill="1" applyAlignment="1">
      <alignment vertical="center"/>
    </xf>
    <xf numFmtId="170" fontId="0" fillId="8" borderId="0" xfId="10" applyNumberFormat="1" applyFont="1" applyFill="1" applyAlignment="1">
      <alignment vertical="center"/>
    </xf>
    <xf numFmtId="0" fontId="8" fillId="8" borderId="0" xfId="6" applyFill="1" applyAlignment="1"/>
    <xf numFmtId="0" fontId="0" fillId="8" borderId="0" xfId="0" applyFill="1" applyAlignment="1"/>
    <xf numFmtId="0" fontId="19" fillId="3" borderId="0" xfId="19" applyFont="1" applyFill="1" applyBorder="1" applyAlignment="1" applyProtection="1">
      <alignment horizontal="center" vertical="center"/>
    </xf>
    <xf numFmtId="0" fontId="12" fillId="4" borderId="1" xfId="0" applyFont="1" applyFill="1" applyBorder="1" applyAlignment="1" applyProtection="1">
      <alignment horizontal="center" vertical="center"/>
    </xf>
    <xf numFmtId="0" fontId="12" fillId="4" borderId="4" xfId="0" applyFont="1" applyFill="1" applyBorder="1" applyAlignment="1" applyProtection="1">
      <alignment horizontal="center" vertical="center"/>
    </xf>
    <xf numFmtId="0" fontId="12" fillId="4" borderId="6" xfId="0" applyFont="1" applyFill="1" applyBorder="1" applyAlignment="1" applyProtection="1">
      <alignment horizontal="center" vertical="center"/>
    </xf>
    <xf numFmtId="0" fontId="12" fillId="4" borderId="0" xfId="0" applyFont="1" applyFill="1" applyBorder="1" applyAlignment="1" applyProtection="1">
      <alignment horizontal="center" vertical="center"/>
    </xf>
    <xf numFmtId="0" fontId="12" fillId="4" borderId="1" xfId="0" applyFont="1" applyFill="1" applyBorder="1" applyAlignment="1" applyProtection="1">
      <alignment horizontal="center" vertical="center"/>
    </xf>
    <xf numFmtId="0" fontId="12" fillId="4" borderId="4" xfId="0" applyFont="1" applyFill="1" applyBorder="1" applyAlignment="1" applyProtection="1">
      <alignment horizontal="center" vertical="center"/>
    </xf>
    <xf numFmtId="0" fontId="12" fillId="4" borderId="6" xfId="0" applyFont="1" applyFill="1" applyBorder="1" applyAlignment="1" applyProtection="1">
      <alignment horizontal="center" vertical="center"/>
    </xf>
    <xf numFmtId="0" fontId="12" fillId="4" borderId="0" xfId="0" applyFont="1" applyFill="1" applyBorder="1" applyAlignment="1" applyProtection="1">
      <alignment horizontal="center" vertical="center"/>
    </xf>
    <xf numFmtId="0" fontId="19" fillId="3" borderId="0" xfId="19" applyFont="1" applyFill="1" applyBorder="1" applyAlignment="1" applyProtection="1">
      <alignment horizontal="center" vertical="center"/>
    </xf>
    <xf numFmtId="0" fontId="19" fillId="3" borderId="0" xfId="19" applyFont="1" applyFill="1" applyBorder="1" applyAlignment="1" applyProtection="1">
      <alignment horizontal="center" vertical="center"/>
    </xf>
    <xf numFmtId="0" fontId="12" fillId="4" borderId="1" xfId="0" applyFont="1" applyFill="1" applyBorder="1" applyAlignment="1" applyProtection="1">
      <alignment horizontal="center" vertical="center"/>
    </xf>
    <xf numFmtId="0" fontId="12" fillId="4" borderId="4" xfId="0" applyFont="1" applyFill="1" applyBorder="1" applyAlignment="1" applyProtection="1">
      <alignment horizontal="center" vertical="center"/>
    </xf>
    <xf numFmtId="0" fontId="12" fillId="4" borderId="6" xfId="0" applyFont="1" applyFill="1" applyBorder="1" applyAlignment="1" applyProtection="1">
      <alignment horizontal="center" vertical="center"/>
    </xf>
    <xf numFmtId="0" fontId="12" fillId="4" borderId="0" xfId="0" applyFont="1" applyFill="1" applyBorder="1" applyAlignment="1" applyProtection="1">
      <alignment horizontal="center" vertical="center"/>
    </xf>
    <xf numFmtId="0" fontId="19" fillId="3" borderId="0" xfId="19" applyFont="1" applyFill="1" applyAlignment="1" applyProtection="1">
      <alignment horizontal="center" vertical="center"/>
    </xf>
    <xf numFmtId="0" fontId="12" fillId="4" borderId="1" xfId="0" applyFont="1" applyFill="1" applyBorder="1" applyAlignment="1">
      <alignment horizontal="center" vertical="center"/>
    </xf>
    <xf numFmtId="0" fontId="12" fillId="4" borderId="4" xfId="0" applyFont="1" applyFill="1" applyBorder="1" applyAlignment="1">
      <alignment horizontal="center" vertical="center"/>
    </xf>
    <xf numFmtId="0" fontId="12" fillId="4" borderId="6" xfId="0" applyFont="1" applyFill="1" applyBorder="1" applyAlignment="1">
      <alignment horizontal="center" vertical="center"/>
    </xf>
    <xf numFmtId="0" fontId="12" fillId="4" borderId="0" xfId="0" applyFont="1" applyFill="1" applyAlignment="1">
      <alignment horizontal="center" vertical="center"/>
    </xf>
    <xf numFmtId="0" fontId="12" fillId="4" borderId="5" xfId="0" applyFont="1" applyFill="1" applyBorder="1" applyAlignment="1">
      <alignment horizontal="center" vertical="center"/>
    </xf>
    <xf numFmtId="0" fontId="19" fillId="3" borderId="0" xfId="19" applyFont="1" applyFill="1" applyBorder="1" applyAlignment="1" applyProtection="1">
      <alignment horizontal="center" vertical="center"/>
    </xf>
    <xf numFmtId="0" fontId="12" fillId="4" borderId="1" xfId="0" applyFont="1" applyFill="1" applyBorder="1" applyAlignment="1" applyProtection="1">
      <alignment horizontal="center" vertical="center"/>
    </xf>
    <xf numFmtId="0" fontId="12" fillId="4" borderId="4" xfId="0" applyFont="1" applyFill="1" applyBorder="1" applyAlignment="1" applyProtection="1">
      <alignment horizontal="center" vertical="center"/>
    </xf>
    <xf numFmtId="0" fontId="12" fillId="4" borderId="6" xfId="0" applyFont="1" applyFill="1" applyBorder="1" applyAlignment="1" applyProtection="1">
      <alignment horizontal="center" vertical="center"/>
    </xf>
    <xf numFmtId="0" fontId="12" fillId="4" borderId="0" xfId="0" applyFont="1" applyFill="1" applyBorder="1" applyAlignment="1" applyProtection="1">
      <alignment horizontal="center" vertical="center"/>
    </xf>
    <xf numFmtId="0" fontId="12" fillId="4" borderId="1" xfId="0" applyFont="1" applyFill="1" applyBorder="1" applyAlignment="1" applyProtection="1">
      <alignment horizontal="center" vertical="center"/>
    </xf>
    <xf numFmtId="0" fontId="12" fillId="4" borderId="4" xfId="0" applyFont="1" applyFill="1" applyBorder="1" applyAlignment="1" applyProtection="1">
      <alignment horizontal="center" vertical="center"/>
    </xf>
    <xf numFmtId="0" fontId="12" fillId="4" borderId="6" xfId="0" applyFont="1" applyFill="1" applyBorder="1" applyAlignment="1" applyProtection="1">
      <alignment horizontal="center" vertical="center"/>
    </xf>
    <xf numFmtId="0" fontId="12" fillId="4" borderId="0" xfId="0" applyFont="1" applyFill="1" applyBorder="1" applyAlignment="1" applyProtection="1">
      <alignment horizontal="center" vertical="center"/>
    </xf>
    <xf numFmtId="0" fontId="19" fillId="3" borderId="0" xfId="19" applyFont="1" applyFill="1" applyBorder="1" applyAlignment="1" applyProtection="1">
      <alignment horizontal="center" vertical="center"/>
    </xf>
    <xf numFmtId="0" fontId="19" fillId="3" borderId="0" xfId="19" applyFont="1" applyFill="1" applyBorder="1" applyAlignment="1" applyProtection="1">
      <alignment horizontal="center" vertical="center"/>
    </xf>
    <xf numFmtId="0" fontId="12" fillId="4" borderId="1" xfId="0" applyFont="1" applyFill="1" applyBorder="1" applyAlignment="1" applyProtection="1">
      <alignment horizontal="center" vertical="center"/>
    </xf>
    <xf numFmtId="0" fontId="12" fillId="4" borderId="4" xfId="0" applyFont="1" applyFill="1" applyBorder="1" applyAlignment="1" applyProtection="1">
      <alignment horizontal="center" vertical="center"/>
    </xf>
    <xf numFmtId="0" fontId="12" fillId="4" borderId="6" xfId="0" applyFont="1" applyFill="1" applyBorder="1" applyAlignment="1" applyProtection="1">
      <alignment horizontal="center" vertical="center"/>
    </xf>
    <xf numFmtId="0" fontId="12" fillId="4" borderId="0" xfId="0" applyFont="1" applyFill="1" applyBorder="1" applyAlignment="1" applyProtection="1">
      <alignment horizontal="center" vertical="center"/>
    </xf>
    <xf numFmtId="0" fontId="12" fillId="4" borderId="1" xfId="0" applyFont="1" applyFill="1" applyBorder="1" applyAlignment="1">
      <alignment horizontal="center" vertical="center"/>
    </xf>
    <xf numFmtId="0" fontId="12" fillId="4" borderId="4" xfId="0" applyFont="1" applyFill="1" applyBorder="1" applyAlignment="1">
      <alignment horizontal="center" vertical="center"/>
    </xf>
    <xf numFmtId="0" fontId="12" fillId="4" borderId="6" xfId="0" applyFont="1" applyFill="1" applyBorder="1" applyAlignment="1">
      <alignment horizontal="center" vertical="center"/>
    </xf>
    <xf numFmtId="0" fontId="12" fillId="4" borderId="0" xfId="0" applyFont="1" applyFill="1" applyAlignment="1">
      <alignment horizontal="center" vertical="center"/>
    </xf>
    <xf numFmtId="0" fontId="12" fillId="4" borderId="5" xfId="0" applyFont="1" applyFill="1" applyBorder="1" applyAlignment="1">
      <alignment horizontal="center" vertical="center"/>
    </xf>
    <xf numFmtId="0" fontId="19" fillId="3" borderId="0" xfId="19" applyFont="1" applyFill="1" applyAlignment="1" applyProtection="1">
      <alignment horizontal="center" vertical="center"/>
    </xf>
    <xf numFmtId="0" fontId="19" fillId="3" borderId="0" xfId="19" applyFont="1" applyFill="1" applyBorder="1" applyAlignment="1" applyProtection="1">
      <alignment horizontal="center" vertical="center"/>
    </xf>
    <xf numFmtId="0" fontId="12" fillId="4" borderId="1" xfId="0" applyFont="1" applyFill="1" applyBorder="1" applyAlignment="1" applyProtection="1">
      <alignment horizontal="center" vertical="center"/>
    </xf>
    <xf numFmtId="0" fontId="12" fillId="4" borderId="4" xfId="0" applyFont="1" applyFill="1" applyBorder="1" applyAlignment="1" applyProtection="1">
      <alignment horizontal="center" vertical="center"/>
    </xf>
    <xf numFmtId="0" fontId="12" fillId="4" borderId="6" xfId="0" applyFont="1" applyFill="1" applyBorder="1" applyAlignment="1" applyProtection="1">
      <alignment horizontal="center" vertical="center"/>
    </xf>
    <xf numFmtId="0" fontId="12" fillId="4" borderId="0" xfId="0" applyFont="1" applyFill="1" applyBorder="1" applyAlignment="1" applyProtection="1">
      <alignment horizontal="center" vertical="center"/>
    </xf>
    <xf numFmtId="0" fontId="12" fillId="4" borderId="1" xfId="0" applyFont="1" applyFill="1" applyBorder="1" applyAlignment="1" applyProtection="1">
      <alignment horizontal="center" vertical="center"/>
    </xf>
    <xf numFmtId="0" fontId="12" fillId="4" borderId="4" xfId="0" applyFont="1" applyFill="1" applyBorder="1" applyAlignment="1" applyProtection="1">
      <alignment horizontal="center" vertical="center"/>
    </xf>
    <xf numFmtId="0" fontId="12" fillId="4" borderId="6" xfId="0" applyFont="1" applyFill="1" applyBorder="1" applyAlignment="1" applyProtection="1">
      <alignment horizontal="center" vertical="center"/>
    </xf>
    <xf numFmtId="0" fontId="12" fillId="4" borderId="0" xfId="0" applyFont="1" applyFill="1" applyBorder="1" applyAlignment="1" applyProtection="1">
      <alignment horizontal="center" vertical="center"/>
    </xf>
    <xf numFmtId="0" fontId="19" fillId="3" borderId="0" xfId="19" applyFont="1" applyFill="1" applyBorder="1" applyAlignment="1" applyProtection="1">
      <alignment horizontal="center" vertical="center"/>
    </xf>
    <xf numFmtId="164" fontId="17" fillId="2" borderId="16" xfId="0" applyNumberFormat="1" applyFont="1" applyFill="1" applyBorder="1" applyAlignment="1" applyProtection="1">
      <alignment vertical="center"/>
      <protection locked="0"/>
    </xf>
    <xf numFmtId="164" fontId="17" fillId="7" borderId="30" xfId="0" applyNumberFormat="1" applyFont="1" applyFill="1" applyBorder="1" applyAlignment="1" applyProtection="1">
      <alignment vertical="center"/>
    </xf>
    <xf numFmtId="3" fontId="17" fillId="4" borderId="1" xfId="2" applyNumberFormat="1" applyFont="1" applyFill="1" applyBorder="1" applyAlignment="1" applyProtection="1">
      <alignment horizontal="right" vertical="center"/>
    </xf>
    <xf numFmtId="3" fontId="17" fillId="4" borderId="6" xfId="2" applyNumberFormat="1" applyFont="1" applyFill="1" applyBorder="1" applyAlignment="1" applyProtection="1">
      <alignment horizontal="right" vertical="center"/>
    </xf>
    <xf numFmtId="164" fontId="12" fillId="5" borderId="16" xfId="0" applyNumberFormat="1" applyFont="1" applyFill="1" applyBorder="1" applyAlignment="1" applyProtection="1">
      <alignment vertical="center"/>
    </xf>
    <xf numFmtId="164" fontId="17" fillId="2" borderId="14" xfId="0" applyNumberFormat="1" applyFont="1" applyFill="1" applyBorder="1" applyAlignment="1" applyProtection="1">
      <alignment vertical="center"/>
      <protection locked="0"/>
    </xf>
    <xf numFmtId="164" fontId="17" fillId="0" borderId="21" xfId="0" applyNumberFormat="1" applyFont="1" applyFill="1" applyBorder="1" applyAlignment="1" applyProtection="1">
      <alignment vertical="center"/>
      <protection locked="0"/>
    </xf>
    <xf numFmtId="164" fontId="17" fillId="0" borderId="27" xfId="0" applyNumberFormat="1" applyFont="1" applyFill="1" applyBorder="1" applyAlignment="1" applyProtection="1">
      <alignment vertical="center"/>
      <protection locked="0"/>
    </xf>
    <xf numFmtId="164" fontId="17" fillId="0" borderId="51" xfId="0" applyNumberFormat="1" applyFont="1" applyFill="1" applyBorder="1" applyAlignment="1" applyProtection="1">
      <alignment vertical="center"/>
      <protection locked="0"/>
    </xf>
    <xf numFmtId="164" fontId="17" fillId="0" borderId="28" xfId="0" applyNumberFormat="1" applyFont="1" applyFill="1" applyBorder="1" applyAlignment="1" applyProtection="1">
      <alignment vertical="center"/>
      <protection locked="0"/>
    </xf>
    <xf numFmtId="164" fontId="17" fillId="0" borderId="52" xfId="0" applyNumberFormat="1" applyFont="1" applyFill="1" applyBorder="1" applyAlignment="1" applyProtection="1">
      <alignment vertical="center"/>
      <protection locked="0"/>
    </xf>
    <xf numFmtId="164" fontId="17" fillId="0" borderId="23" xfId="0" applyNumberFormat="1" applyFont="1" applyFill="1" applyBorder="1" applyAlignment="1" applyProtection="1">
      <alignment vertical="center"/>
      <protection locked="0"/>
    </xf>
    <xf numFmtId="164" fontId="17" fillId="0" borderId="53" xfId="0" applyNumberFormat="1" applyFont="1" applyFill="1" applyBorder="1" applyAlignment="1" applyProtection="1">
      <alignment vertical="center"/>
      <protection locked="0"/>
    </xf>
    <xf numFmtId="164" fontId="12" fillId="6" borderId="43" xfId="0" applyNumberFormat="1" applyFont="1" applyFill="1" applyBorder="1" applyAlignment="1" applyProtection="1">
      <alignment vertical="center"/>
    </xf>
    <xf numFmtId="164" fontId="12" fillId="6" borderId="44" xfId="0" applyNumberFormat="1" applyFont="1" applyFill="1" applyBorder="1" applyAlignment="1" applyProtection="1">
      <alignment vertical="center"/>
    </xf>
    <xf numFmtId="164" fontId="12" fillId="5" borderId="54" xfId="0" applyNumberFormat="1" applyFont="1" applyFill="1" applyBorder="1" applyAlignment="1" applyProtection="1">
      <alignment vertical="center"/>
    </xf>
    <xf numFmtId="37" fontId="8" fillId="0" borderId="10" xfId="0" applyNumberFormat="1" applyFont="1" applyBorder="1" applyProtection="1">
      <protection locked="0"/>
    </xf>
    <xf numFmtId="37" fontId="8" fillId="0" borderId="9" xfId="0" applyNumberFormat="1" applyFont="1" applyBorder="1" applyProtection="1">
      <protection locked="0"/>
    </xf>
    <xf numFmtId="37" fontId="8" fillId="0" borderId="16" xfId="0" applyNumberFormat="1" applyFont="1" applyBorder="1" applyProtection="1">
      <protection locked="0"/>
    </xf>
    <xf numFmtId="0" fontId="12" fillId="4" borderId="3" xfId="0" quotePrefix="1" applyFont="1" applyFill="1" applyBorder="1" applyAlignment="1" applyProtection="1">
      <alignment horizontal="center" vertical="center" wrapText="1"/>
    </xf>
    <xf numFmtId="0" fontId="12" fillId="4" borderId="5" xfId="0" applyFont="1" applyFill="1" applyBorder="1" applyAlignment="1" applyProtection="1">
      <alignment horizontal="center" vertical="center" wrapText="1"/>
    </xf>
    <xf numFmtId="0" fontId="12" fillId="4" borderId="15" xfId="0" applyFont="1" applyFill="1" applyBorder="1" applyAlignment="1" applyProtection="1">
      <alignment horizontal="center" vertical="center" wrapText="1"/>
    </xf>
    <xf numFmtId="0" fontId="12" fillId="4" borderId="10" xfId="0" quotePrefix="1" applyFont="1" applyFill="1" applyBorder="1" applyAlignment="1" applyProtection="1">
      <alignment horizontal="center" vertical="center" wrapText="1"/>
    </xf>
    <xf numFmtId="0" fontId="12" fillId="4" borderId="9" xfId="0" quotePrefix="1" applyFont="1" applyFill="1" applyBorder="1" applyAlignment="1" applyProtection="1">
      <alignment horizontal="center" vertical="center" wrapText="1"/>
    </xf>
    <xf numFmtId="0" fontId="12" fillId="4" borderId="16" xfId="0" quotePrefix="1" applyFont="1" applyFill="1" applyBorder="1" applyAlignment="1" applyProtection="1">
      <alignment horizontal="center" vertical="center" wrapText="1"/>
    </xf>
    <xf numFmtId="0" fontId="12" fillId="4" borderId="9" xfId="0" applyFont="1" applyFill="1" applyBorder="1" applyAlignment="1" applyProtection="1">
      <alignment horizontal="center" vertical="center" wrapText="1"/>
    </xf>
    <xf numFmtId="0" fontId="12" fillId="4" borderId="16" xfId="0" applyFont="1" applyFill="1" applyBorder="1" applyAlignment="1" applyProtection="1">
      <alignment horizontal="center" vertical="center" wrapText="1"/>
    </xf>
    <xf numFmtId="0" fontId="12" fillId="4" borderId="8" xfId="0" quotePrefix="1" applyFont="1" applyFill="1" applyBorder="1" applyAlignment="1" applyProtection="1">
      <alignment horizontal="center" vertical="center" wrapText="1"/>
    </xf>
    <xf numFmtId="0" fontId="12" fillId="4" borderId="18" xfId="0" applyFont="1" applyFill="1" applyBorder="1" applyAlignment="1" applyProtection="1">
      <alignment horizontal="center" vertical="center" wrapText="1"/>
    </xf>
    <xf numFmtId="0" fontId="12" fillId="4" borderId="26" xfId="0" applyFont="1" applyFill="1" applyBorder="1" applyAlignment="1" applyProtection="1">
      <alignment horizontal="center" vertical="center" wrapText="1"/>
    </xf>
    <xf numFmtId="164" fontId="12" fillId="4" borderId="8" xfId="0" quotePrefix="1" applyNumberFormat="1" applyFont="1" applyFill="1" applyBorder="1" applyAlignment="1" applyProtection="1">
      <alignment horizontal="center" vertical="center" wrapText="1"/>
    </xf>
    <xf numFmtId="164" fontId="12" fillId="4" borderId="18" xfId="0" applyNumberFormat="1" applyFont="1" applyFill="1" applyBorder="1" applyAlignment="1" applyProtection="1">
      <alignment horizontal="center" vertical="center" wrapText="1"/>
    </xf>
    <xf numFmtId="164" fontId="12" fillId="4" borderId="26" xfId="0" applyNumberFormat="1" applyFont="1" applyFill="1" applyBorder="1" applyAlignment="1" applyProtection="1">
      <alignment horizontal="center" vertical="center" wrapText="1"/>
    </xf>
    <xf numFmtId="0" fontId="12" fillId="5" borderId="40" xfId="0" applyFont="1" applyFill="1" applyBorder="1" applyAlignment="1" applyProtection="1">
      <alignment horizontal="center" vertical="center" wrapText="1"/>
    </xf>
    <xf numFmtId="0" fontId="12" fillId="5" borderId="42" xfId="0" applyFont="1" applyFill="1" applyBorder="1" applyAlignment="1" applyProtection="1">
      <alignment horizontal="center" vertical="center" wrapText="1"/>
    </xf>
    <xf numFmtId="0" fontId="12" fillId="5" borderId="44" xfId="0" applyFont="1" applyFill="1" applyBorder="1" applyAlignment="1" applyProtection="1">
      <alignment horizontal="center" vertical="center" wrapText="1"/>
    </xf>
    <xf numFmtId="0" fontId="9" fillId="8" borderId="0" xfId="19" applyFont="1" applyFill="1" applyBorder="1" applyAlignment="1" applyProtection="1"/>
    <xf numFmtId="0" fontId="9" fillId="8" borderId="5" xfId="19" applyFont="1" applyFill="1" applyBorder="1" applyAlignment="1" applyProtection="1"/>
    <xf numFmtId="0" fontId="9" fillId="8" borderId="7" xfId="19" applyFont="1" applyFill="1" applyBorder="1" applyAlignment="1" applyProtection="1"/>
    <xf numFmtId="0" fontId="9" fillId="8" borderId="15" xfId="19" applyFont="1" applyFill="1" applyBorder="1" applyAlignment="1" applyProtection="1"/>
    <xf numFmtId="0" fontId="13" fillId="4" borderId="1" xfId="0" applyFont="1" applyFill="1" applyBorder="1" applyAlignment="1" applyProtection="1">
      <alignment horizontal="center" vertical="center"/>
    </xf>
    <xf numFmtId="0" fontId="13" fillId="4" borderId="2" xfId="0" applyFont="1" applyFill="1" applyBorder="1" applyAlignment="1" applyProtection="1">
      <alignment horizontal="center" vertical="center"/>
    </xf>
    <xf numFmtId="0" fontId="13" fillId="4" borderId="6" xfId="0" applyFont="1" applyFill="1" applyBorder="1" applyAlignment="1" applyProtection="1">
      <alignment horizontal="center" vertical="center"/>
    </xf>
    <xf numFmtId="0" fontId="13" fillId="4" borderId="7" xfId="0" applyFont="1" applyFill="1" applyBorder="1" applyAlignment="1" applyProtection="1">
      <alignment horizontal="center" vertical="center"/>
    </xf>
    <xf numFmtId="0" fontId="12" fillId="4" borderId="1" xfId="0" quotePrefix="1" applyFont="1" applyFill="1" applyBorder="1" applyAlignment="1" applyProtection="1">
      <alignment horizontal="center" vertical="center" wrapText="1"/>
    </xf>
    <xf numFmtId="0" fontId="12" fillId="4" borderId="6" xfId="0" applyFont="1" applyFill="1" applyBorder="1" applyAlignment="1" applyProtection="1">
      <alignment horizontal="center" vertical="center" wrapText="1"/>
    </xf>
    <xf numFmtId="0" fontId="19" fillId="3" borderId="0" xfId="19" quotePrefix="1" applyFont="1" applyFill="1" applyBorder="1" applyAlignment="1" applyProtection="1">
      <alignment horizontal="center" vertical="center"/>
    </xf>
    <xf numFmtId="0" fontId="19" fillId="3" borderId="0" xfId="19" applyFont="1" applyFill="1" applyBorder="1" applyAlignment="1" applyProtection="1">
      <alignment horizontal="center" vertical="center"/>
    </xf>
    <xf numFmtId="0" fontId="13" fillId="2" borderId="5" xfId="0" applyFont="1" applyFill="1" applyBorder="1" applyAlignment="1" applyProtection="1">
      <alignment horizontal="right" vertical="center" indent="1"/>
    </xf>
    <xf numFmtId="0" fontId="0" fillId="0" borderId="5" xfId="0" applyBorder="1" applyAlignment="1" applyProtection="1">
      <alignment horizontal="right" vertical="center" indent="1"/>
    </xf>
    <xf numFmtId="0" fontId="13" fillId="0" borderId="1" xfId="0" applyFont="1" applyBorder="1" applyAlignment="1" applyProtection="1">
      <alignment horizontal="center" vertical="center"/>
      <protection locked="0"/>
    </xf>
    <xf numFmtId="0" fontId="0" fillId="0" borderId="3" xfId="0" applyBorder="1" applyAlignment="1" applyProtection="1">
      <alignment horizontal="center" vertical="center"/>
      <protection locked="0"/>
    </xf>
    <xf numFmtId="0" fontId="0" fillId="0" borderId="6" xfId="0" applyBorder="1" applyAlignment="1" applyProtection="1">
      <alignment horizontal="center" vertical="center"/>
      <protection locked="0"/>
    </xf>
    <xf numFmtId="0" fontId="0" fillId="0" borderId="15" xfId="0" applyBorder="1" applyAlignment="1" applyProtection="1">
      <alignment horizontal="center" vertical="center"/>
      <protection locked="0"/>
    </xf>
    <xf numFmtId="0" fontId="18" fillId="2" borderId="4" xfId="0" applyFont="1" applyFill="1" applyBorder="1" applyAlignment="1" applyProtection="1">
      <alignment horizontal="left" vertical="center"/>
    </xf>
    <xf numFmtId="0" fontId="18" fillId="2" borderId="0" xfId="0" applyFont="1" applyFill="1" applyBorder="1" applyAlignment="1" applyProtection="1">
      <alignment horizontal="left" vertical="center"/>
    </xf>
    <xf numFmtId="0" fontId="19" fillId="3" borderId="0" xfId="19" applyFont="1" applyFill="1" applyBorder="1" applyAlignment="1" applyProtection="1">
      <alignment horizontal="left" vertical="center"/>
    </xf>
    <xf numFmtId="0" fontId="17" fillId="2" borderId="4" xfId="0" quotePrefix="1" applyFont="1" applyFill="1" applyBorder="1" applyAlignment="1" applyProtection="1">
      <alignment horizontal="left" vertical="center" wrapText="1" indent="2"/>
    </xf>
    <xf numFmtId="0" fontId="17" fillId="2" borderId="0" xfId="0" quotePrefix="1" applyFont="1" applyFill="1" applyBorder="1" applyAlignment="1" applyProtection="1">
      <alignment horizontal="left" vertical="center" wrapText="1" indent="2"/>
    </xf>
    <xf numFmtId="0" fontId="13" fillId="4" borderId="4" xfId="0" applyFont="1" applyFill="1" applyBorder="1" applyAlignment="1" applyProtection="1">
      <alignment horizontal="center" vertical="center"/>
    </xf>
    <xf numFmtId="0" fontId="13" fillId="4" borderId="0" xfId="0" applyFont="1" applyFill="1" applyBorder="1" applyAlignment="1" applyProtection="1">
      <alignment horizontal="center" vertical="center"/>
    </xf>
    <xf numFmtId="0" fontId="13" fillId="4" borderId="5" xfId="0" applyFont="1" applyFill="1" applyBorder="1" applyAlignment="1" applyProtection="1">
      <alignment horizontal="center" vertical="center"/>
    </xf>
    <xf numFmtId="0" fontId="13" fillId="4" borderId="15" xfId="0" applyFont="1" applyFill="1" applyBorder="1" applyAlignment="1" applyProtection="1">
      <alignment horizontal="center" vertical="center"/>
    </xf>
    <xf numFmtId="0" fontId="12" fillId="4" borderId="4" xfId="0" quotePrefix="1" applyFont="1" applyFill="1" applyBorder="1" applyAlignment="1" applyProtection="1">
      <alignment horizontal="center" vertical="center" wrapText="1"/>
    </xf>
    <xf numFmtId="0" fontId="12" fillId="4" borderId="1" xfId="0" applyFont="1" applyFill="1" applyBorder="1" applyAlignment="1" applyProtection="1">
      <alignment horizontal="center" vertical="center"/>
    </xf>
    <xf numFmtId="0" fontId="12" fillId="4" borderId="4" xfId="0" applyFont="1" applyFill="1" applyBorder="1" applyAlignment="1" applyProtection="1">
      <alignment horizontal="center" vertical="center"/>
    </xf>
    <xf numFmtId="0" fontId="12" fillId="4" borderId="6" xfId="0" applyFont="1" applyFill="1" applyBorder="1" applyAlignment="1" applyProtection="1">
      <alignment horizontal="center" vertical="center"/>
    </xf>
    <xf numFmtId="0" fontId="12" fillId="4" borderId="2" xfId="0" applyFont="1" applyFill="1" applyBorder="1" applyAlignment="1" applyProtection="1">
      <alignment horizontal="center" vertical="center"/>
    </xf>
    <xf numFmtId="0" fontId="12" fillId="4" borderId="3" xfId="0" applyFont="1" applyFill="1" applyBorder="1" applyAlignment="1" applyProtection="1">
      <alignment horizontal="center" vertical="center"/>
    </xf>
    <xf numFmtId="0" fontId="12" fillId="4" borderId="0" xfId="0" applyFont="1" applyFill="1" applyBorder="1" applyAlignment="1" applyProtection="1">
      <alignment horizontal="center" vertical="center"/>
    </xf>
    <xf numFmtId="0" fontId="12" fillId="4" borderId="5" xfId="0" applyFont="1" applyFill="1" applyBorder="1" applyAlignment="1" applyProtection="1">
      <alignment horizontal="center" vertical="center"/>
    </xf>
    <xf numFmtId="0" fontId="12" fillId="4" borderId="7" xfId="0" applyFont="1" applyFill="1" applyBorder="1" applyAlignment="1" applyProtection="1">
      <alignment horizontal="center" vertical="center"/>
    </xf>
    <xf numFmtId="0" fontId="12" fillId="4" borderId="15" xfId="0" applyFont="1" applyFill="1" applyBorder="1" applyAlignment="1" applyProtection="1">
      <alignment horizontal="center" vertical="center"/>
    </xf>
    <xf numFmtId="0" fontId="12" fillId="4" borderId="1" xfId="0" applyFont="1" applyFill="1" applyBorder="1" applyAlignment="1" applyProtection="1">
      <alignment horizontal="center" vertical="center" wrapText="1"/>
    </xf>
    <xf numFmtId="0" fontId="12" fillId="4" borderId="4" xfId="0" applyFont="1" applyFill="1" applyBorder="1" applyAlignment="1" applyProtection="1">
      <alignment horizontal="center" vertical="center" wrapText="1"/>
    </xf>
    <xf numFmtId="0" fontId="12" fillId="4" borderId="10" xfId="0" applyFont="1" applyFill="1" applyBorder="1" applyAlignment="1" applyProtection="1">
      <alignment horizontal="center" vertical="center" wrapText="1"/>
    </xf>
    <xf numFmtId="0" fontId="12" fillId="4" borderId="10" xfId="0" quotePrefix="1" applyFont="1" applyFill="1" applyBorder="1" applyAlignment="1">
      <alignment horizontal="center" vertical="center" wrapText="1"/>
    </xf>
    <xf numFmtId="0" fontId="12" fillId="4" borderId="9" xfId="0" applyFont="1" applyFill="1" applyBorder="1" applyAlignment="1">
      <alignment horizontal="center" vertical="center" wrapText="1"/>
    </xf>
    <xf numFmtId="0" fontId="12" fillId="4" borderId="16" xfId="0" applyFont="1" applyFill="1" applyBorder="1" applyAlignment="1">
      <alignment horizontal="center" vertical="center" wrapText="1"/>
    </xf>
    <xf numFmtId="0" fontId="12" fillId="4" borderId="3" xfId="0" quotePrefix="1" applyFont="1" applyFill="1" applyBorder="1" applyAlignment="1">
      <alignment horizontal="center" vertical="center" wrapText="1"/>
    </xf>
    <xf numFmtId="0" fontId="12" fillId="4" borderId="5" xfId="0" applyFont="1" applyFill="1" applyBorder="1" applyAlignment="1">
      <alignment horizontal="center" vertical="center" wrapText="1"/>
    </xf>
    <xf numFmtId="0" fontId="12" fillId="4" borderId="15" xfId="0" applyFont="1" applyFill="1" applyBorder="1" applyAlignment="1">
      <alignment horizontal="center" vertical="center" wrapText="1"/>
    </xf>
    <xf numFmtId="0" fontId="12" fillId="4" borderId="9" xfId="0" quotePrefix="1" applyFont="1" applyFill="1" applyBorder="1" applyAlignment="1">
      <alignment horizontal="center" vertical="center" wrapText="1"/>
    </xf>
    <xf numFmtId="0" fontId="12" fillId="4" borderId="16" xfId="0" quotePrefix="1" applyFont="1" applyFill="1" applyBorder="1" applyAlignment="1">
      <alignment horizontal="center" vertical="center" wrapText="1"/>
    </xf>
    <xf numFmtId="0" fontId="12" fillId="4" borderId="8" xfId="0" quotePrefix="1" applyFont="1" applyFill="1" applyBorder="1" applyAlignment="1">
      <alignment horizontal="center" vertical="center" wrapText="1"/>
    </xf>
    <xf numFmtId="0" fontId="12" fillId="4" borderId="18" xfId="0" applyFont="1" applyFill="1" applyBorder="1" applyAlignment="1">
      <alignment horizontal="center" vertical="center" wrapText="1"/>
    </xf>
    <xf numFmtId="0" fontId="12" fillId="4" borderId="26" xfId="0" applyFont="1" applyFill="1" applyBorder="1" applyAlignment="1">
      <alignment horizontal="center" vertical="center" wrapText="1"/>
    </xf>
    <xf numFmtId="164" fontId="12" fillId="4" borderId="8" xfId="0" quotePrefix="1" applyNumberFormat="1" applyFont="1" applyFill="1" applyBorder="1" applyAlignment="1">
      <alignment horizontal="center" vertical="center" wrapText="1"/>
    </xf>
    <xf numFmtId="164" fontId="12" fillId="4" borderId="18" xfId="0" applyNumberFormat="1" applyFont="1" applyFill="1" applyBorder="1" applyAlignment="1">
      <alignment horizontal="center" vertical="center" wrapText="1"/>
    </xf>
    <xf numFmtId="164" fontId="12" fillId="4" borderId="26" xfId="0" applyNumberFormat="1" applyFont="1" applyFill="1" applyBorder="1" applyAlignment="1">
      <alignment horizontal="center" vertical="center" wrapText="1"/>
    </xf>
    <xf numFmtId="0" fontId="12" fillId="5" borderId="40" xfId="0" applyFont="1" applyFill="1" applyBorder="1" applyAlignment="1">
      <alignment horizontal="center" vertical="center" wrapText="1"/>
    </xf>
    <xf numFmtId="0" fontId="12" fillId="5" borderId="42" xfId="0" applyFont="1" applyFill="1" applyBorder="1" applyAlignment="1">
      <alignment horizontal="center" vertical="center" wrapText="1"/>
    </xf>
    <xf numFmtId="0" fontId="12" fillId="5" borderId="44" xfId="0" applyFont="1" applyFill="1" applyBorder="1" applyAlignment="1">
      <alignment horizontal="center" vertical="center" wrapText="1"/>
    </xf>
    <xf numFmtId="0" fontId="13" fillId="4" borderId="4" xfId="0" applyFont="1" applyFill="1" applyBorder="1" applyAlignment="1">
      <alignment horizontal="center" vertical="center"/>
    </xf>
    <xf numFmtId="0" fontId="13" fillId="4" borderId="0" xfId="0" applyFont="1" applyFill="1" applyAlignment="1">
      <alignment horizontal="center" vertical="center"/>
    </xf>
    <xf numFmtId="0" fontId="13" fillId="4" borderId="5" xfId="0" applyFont="1" applyFill="1" applyBorder="1" applyAlignment="1">
      <alignment horizontal="center" vertical="center"/>
    </xf>
    <xf numFmtId="0" fontId="13" fillId="4" borderId="6" xfId="0" applyFont="1" applyFill="1" applyBorder="1" applyAlignment="1">
      <alignment horizontal="center" vertical="center"/>
    </xf>
    <xf numFmtId="0" fontId="13" fillId="4" borderId="7" xfId="0" applyFont="1" applyFill="1" applyBorder="1" applyAlignment="1">
      <alignment horizontal="center" vertical="center"/>
    </xf>
    <xf numFmtId="0" fontId="13" fillId="4" borderId="15" xfId="0" applyFont="1" applyFill="1" applyBorder="1" applyAlignment="1">
      <alignment horizontal="center" vertical="center"/>
    </xf>
    <xf numFmtId="0" fontId="12" fillId="4" borderId="1" xfId="0" quotePrefix="1" applyFont="1" applyFill="1" applyBorder="1" applyAlignment="1">
      <alignment horizontal="center" vertical="center" wrapText="1"/>
    </xf>
    <xf numFmtId="0" fontId="12" fillId="4" borderId="6" xfId="0" applyFont="1" applyFill="1" applyBorder="1" applyAlignment="1">
      <alignment horizontal="center" vertical="center" wrapText="1"/>
    </xf>
    <xf numFmtId="0" fontId="12" fillId="4" borderId="39" xfId="0" quotePrefix="1" applyFont="1" applyFill="1" applyBorder="1" applyAlignment="1">
      <alignment horizontal="center" vertical="center" wrapText="1"/>
    </xf>
    <xf numFmtId="0" fontId="12" fillId="4" borderId="41" xfId="0" applyFont="1" applyFill="1" applyBorder="1" applyAlignment="1">
      <alignment horizontal="center" vertical="center" wrapText="1"/>
    </xf>
    <xf numFmtId="0" fontId="12" fillId="4" borderId="43" xfId="0" applyFont="1" applyFill="1" applyBorder="1" applyAlignment="1">
      <alignment horizontal="center" vertical="center" wrapText="1"/>
    </xf>
    <xf numFmtId="0" fontId="13" fillId="4" borderId="1" xfId="0" applyFont="1" applyFill="1" applyBorder="1" applyAlignment="1">
      <alignment horizontal="center" vertical="center"/>
    </xf>
    <xf numFmtId="0" fontId="13" fillId="4" borderId="2" xfId="0" applyFont="1" applyFill="1" applyBorder="1" applyAlignment="1">
      <alignment horizontal="center" vertical="center"/>
    </xf>
    <xf numFmtId="0" fontId="12" fillId="4" borderId="1" xfId="0" applyFont="1" applyFill="1" applyBorder="1" applyAlignment="1">
      <alignment horizontal="center" vertical="center"/>
    </xf>
    <xf numFmtId="0" fontId="12" fillId="4" borderId="4" xfId="0" applyFont="1" applyFill="1" applyBorder="1" applyAlignment="1">
      <alignment horizontal="center" vertical="center"/>
    </xf>
    <xf numFmtId="0" fontId="12" fillId="4" borderId="6" xfId="0" applyFont="1" applyFill="1" applyBorder="1" applyAlignment="1">
      <alignment horizontal="center" vertical="center"/>
    </xf>
    <xf numFmtId="0" fontId="12" fillId="4" borderId="2" xfId="0" applyFont="1" applyFill="1" applyBorder="1" applyAlignment="1">
      <alignment horizontal="center" vertical="center"/>
    </xf>
    <xf numFmtId="0" fontId="12" fillId="4" borderId="3" xfId="0" applyFont="1" applyFill="1" applyBorder="1" applyAlignment="1">
      <alignment horizontal="center" vertical="center"/>
    </xf>
    <xf numFmtId="0" fontId="12" fillId="4" borderId="0" xfId="0" applyFont="1" applyFill="1" applyAlignment="1">
      <alignment horizontal="center" vertical="center"/>
    </xf>
    <xf numFmtId="0" fontId="12" fillId="4" borderId="5" xfId="0" applyFont="1" applyFill="1" applyBorder="1" applyAlignment="1">
      <alignment horizontal="center" vertical="center"/>
    </xf>
    <xf numFmtId="0" fontId="12" fillId="4" borderId="7" xfId="0" applyFont="1" applyFill="1" applyBorder="1" applyAlignment="1">
      <alignment horizontal="center" vertical="center"/>
    </xf>
    <xf numFmtId="0" fontId="12" fillId="4" borderId="15" xfId="0" applyFont="1" applyFill="1" applyBorder="1" applyAlignment="1">
      <alignment horizontal="center" vertical="center"/>
    </xf>
    <xf numFmtId="0" fontId="12" fillId="4" borderId="1" xfId="0" applyFont="1" applyFill="1" applyBorder="1" applyAlignment="1">
      <alignment horizontal="center" vertical="center" wrapText="1"/>
    </xf>
    <xf numFmtId="0" fontId="12" fillId="4" borderId="4" xfId="0" applyFont="1" applyFill="1" applyBorder="1" applyAlignment="1">
      <alignment horizontal="center" vertical="center" wrapText="1"/>
    </xf>
    <xf numFmtId="0" fontId="12" fillId="4" borderId="10" xfId="0" applyFont="1" applyFill="1" applyBorder="1" applyAlignment="1">
      <alignment horizontal="center" vertical="center" wrapText="1"/>
    </xf>
    <xf numFmtId="0" fontId="13" fillId="2" borderId="5" xfId="0" applyFont="1" applyFill="1" applyBorder="1" applyAlignment="1">
      <alignment horizontal="right" vertical="center" indent="1"/>
    </xf>
    <xf numFmtId="0" fontId="0" fillId="0" borderId="5" xfId="0" applyBorder="1" applyAlignment="1">
      <alignment horizontal="right" vertical="center" indent="1"/>
    </xf>
    <xf numFmtId="0" fontId="18" fillId="2" borderId="4" xfId="0" applyFont="1" applyFill="1" applyBorder="1" applyAlignment="1">
      <alignment horizontal="left" vertical="center"/>
    </xf>
    <xf numFmtId="0" fontId="18" fillId="2" borderId="0" xfId="0" applyFont="1" applyFill="1" applyAlignment="1">
      <alignment horizontal="left" vertical="center"/>
    </xf>
    <xf numFmtId="0" fontId="19" fillId="3" borderId="0" xfId="19" applyFont="1" applyFill="1" applyAlignment="1" applyProtection="1">
      <alignment horizontal="left" vertical="center"/>
    </xf>
    <xf numFmtId="0" fontId="17" fillId="2" borderId="4" xfId="0" quotePrefix="1" applyFont="1" applyFill="1" applyBorder="1" applyAlignment="1">
      <alignment horizontal="left" vertical="center" wrapText="1" indent="2"/>
    </xf>
    <xf numFmtId="0" fontId="17" fillId="2" borderId="0" xfId="0" quotePrefix="1" applyFont="1" applyFill="1" applyAlignment="1">
      <alignment horizontal="left" vertical="center" wrapText="1" indent="2"/>
    </xf>
    <xf numFmtId="0" fontId="19" fillId="3" borderId="0" xfId="19" quotePrefix="1" applyFont="1" applyFill="1" applyAlignment="1" applyProtection="1">
      <alignment horizontal="center" vertical="center"/>
    </xf>
    <xf numFmtId="0" fontId="19" fillId="3" borderId="0" xfId="19" applyFont="1" applyFill="1" applyAlignment="1" applyProtection="1">
      <alignment horizontal="center" vertical="center"/>
    </xf>
    <xf numFmtId="0" fontId="9" fillId="8" borderId="0" xfId="19" applyFont="1" applyFill="1" applyAlignment="1" applyProtection="1"/>
    <xf numFmtId="0" fontId="12" fillId="4" borderId="39" xfId="0" quotePrefix="1" applyFont="1" applyFill="1" applyBorder="1" applyAlignment="1" applyProtection="1">
      <alignment horizontal="center" vertical="center" wrapText="1"/>
    </xf>
    <xf numFmtId="0" fontId="12" fillId="4" borderId="41" xfId="0" applyFont="1" applyFill="1" applyBorder="1" applyAlignment="1" applyProtection="1">
      <alignment horizontal="center" vertical="center" wrapText="1"/>
    </xf>
    <xf numFmtId="0" fontId="12" fillId="4" borderId="43" xfId="0" applyFont="1" applyFill="1" applyBorder="1" applyAlignment="1" applyProtection="1">
      <alignment horizontal="center" vertical="center" wrapText="1"/>
    </xf>
    <xf numFmtId="0" fontId="8" fillId="8" borderId="8" xfId="0" applyFont="1" applyFill="1" applyBorder="1" applyAlignment="1">
      <alignment horizontal="center"/>
    </xf>
    <xf numFmtId="0" fontId="8" fillId="8" borderId="18" xfId="0" applyFont="1" applyFill="1" applyBorder="1" applyAlignment="1">
      <alignment horizontal="center"/>
    </xf>
    <xf numFmtId="0" fontId="8" fillId="8" borderId="26" xfId="0" applyFont="1" applyFill="1" applyBorder="1" applyAlignment="1">
      <alignment horizontal="center"/>
    </xf>
    <xf numFmtId="0" fontId="12" fillId="8" borderId="0" xfId="16" applyFont="1" applyFill="1" applyBorder="1" applyAlignment="1" applyProtection="1">
      <alignment horizontal="center" vertical="center"/>
    </xf>
    <xf numFmtId="0" fontId="17" fillId="8" borderId="4" xfId="16" applyFont="1" applyFill="1" applyBorder="1" applyAlignment="1" applyProtection="1">
      <alignment horizontal="center" vertical="center"/>
    </xf>
    <xf numFmtId="0" fontId="17" fillId="8" borderId="0" xfId="16" applyFont="1" applyFill="1" applyBorder="1" applyAlignment="1" applyProtection="1">
      <alignment horizontal="center" vertical="center"/>
    </xf>
    <xf numFmtId="0" fontId="17" fillId="8" borderId="5" xfId="16" applyFont="1" applyFill="1" applyBorder="1" applyAlignment="1" applyProtection="1">
      <alignment horizontal="center" vertical="center"/>
    </xf>
    <xf numFmtId="0" fontId="12" fillId="8" borderId="4" xfId="16" applyNumberFormat="1" applyFont="1" applyFill="1" applyBorder="1" applyAlignment="1" applyProtection="1">
      <alignment horizontal="center" vertical="center"/>
    </xf>
    <xf numFmtId="0" fontId="12" fillId="8" borderId="0" xfId="16" applyNumberFormat="1" applyFont="1" applyFill="1" applyBorder="1" applyAlignment="1" applyProtection="1">
      <alignment horizontal="center" vertical="center"/>
    </xf>
    <xf numFmtId="0" fontId="12" fillId="8" borderId="5" xfId="16" applyNumberFormat="1" applyFont="1" applyFill="1" applyBorder="1" applyAlignment="1" applyProtection="1">
      <alignment horizontal="center" vertical="center"/>
    </xf>
    <xf numFmtId="0" fontId="12" fillId="8" borderId="4" xfId="16" applyFont="1" applyFill="1" applyBorder="1" applyAlignment="1" applyProtection="1">
      <alignment horizontal="center" vertical="center"/>
    </xf>
    <xf numFmtId="0" fontId="12" fillId="8" borderId="5" xfId="16" applyFont="1" applyFill="1" applyBorder="1" applyAlignment="1" applyProtection="1">
      <alignment horizontal="center" vertical="center"/>
    </xf>
    <xf numFmtId="0" fontId="1" fillId="8" borderId="0" xfId="16" applyFont="1" applyFill="1" applyAlignment="1">
      <alignment horizontal="center"/>
    </xf>
    <xf numFmtId="0" fontId="6" fillId="8" borderId="0" xfId="16" applyFill="1" applyAlignment="1">
      <alignment horizontal="center"/>
    </xf>
    <xf numFmtId="0" fontId="8" fillId="8" borderId="4" xfId="0" applyFont="1" applyFill="1" applyBorder="1" applyAlignment="1">
      <alignment horizontal="center"/>
    </xf>
    <xf numFmtId="0" fontId="8" fillId="8" borderId="5" xfId="0" applyFont="1" applyFill="1" applyBorder="1" applyAlignment="1">
      <alignment horizontal="center"/>
    </xf>
  </cellXfs>
  <cellStyles count="26">
    <cellStyle name="%" xfId="1"/>
    <cellStyle name="Comma" xfId="2" builtinId="3"/>
    <cellStyle name="Comma 2" xfId="3"/>
    <cellStyle name="Comma 2 2" xfId="17"/>
    <cellStyle name="Comma 3" xfId="15"/>
    <cellStyle name="Comma 4" xfId="20"/>
    <cellStyle name="Comma 5" xfId="23"/>
    <cellStyle name="Hyperlink 2" xfId="19"/>
    <cellStyle name="Normal" xfId="0" builtinId="0"/>
    <cellStyle name="Normal 10" xfId="25"/>
    <cellStyle name="Normal 17" xfId="4"/>
    <cellStyle name="Normal 2" xfId="5"/>
    <cellStyle name="Normal 3" xfId="6"/>
    <cellStyle name="Normal 3 2" xfId="7"/>
    <cellStyle name="Normal 4" xfId="8"/>
    <cellStyle name="Normal 5" xfId="13"/>
    <cellStyle name="Normal 6" xfId="9"/>
    <cellStyle name="Normal 7" xfId="16"/>
    <cellStyle name="Normal 8" xfId="18"/>
    <cellStyle name="Normal 9" xfId="22"/>
    <cellStyle name="Percent" xfId="10" builtinId="5"/>
    <cellStyle name="Percent 2" xfId="14"/>
    <cellStyle name="Percent 3" xfId="11"/>
    <cellStyle name="Percent 4" xfId="21"/>
    <cellStyle name="Percent 5" xfId="24"/>
    <cellStyle name="Style 1" xfId="12"/>
  </cellStyles>
  <dxfs count="67">
    <dxf>
      <font>
        <color theme="5" tint="-0.24994659260841701"/>
      </font>
      <fill>
        <patternFill>
          <bgColor theme="5" tint="0.79998168889431442"/>
        </patternFill>
      </fill>
    </dxf>
    <dxf>
      <fill>
        <patternFill>
          <bgColor theme="5" tint="0.59996337778862885"/>
        </patternFill>
      </fill>
    </dxf>
    <dxf>
      <fill>
        <patternFill patternType="none">
          <bgColor auto="1"/>
        </patternFill>
      </fill>
    </dxf>
    <dxf>
      <fill>
        <patternFill>
          <bgColor theme="5" tint="0.59996337778862885"/>
        </patternFill>
      </fill>
    </dxf>
    <dxf>
      <fill>
        <patternFill patternType="none">
          <bgColor auto="1"/>
        </patternFill>
      </fill>
    </dxf>
    <dxf>
      <fill>
        <patternFill>
          <bgColor theme="5" tint="0.59996337778862885"/>
        </patternFill>
      </fill>
    </dxf>
    <dxf>
      <fill>
        <patternFill patternType="none">
          <bgColor auto="1"/>
        </patternFill>
      </fill>
    </dxf>
    <dxf>
      <fill>
        <patternFill>
          <bgColor theme="5" tint="0.59996337778862885"/>
        </patternFill>
      </fill>
    </dxf>
    <dxf>
      <fill>
        <patternFill patternType="none">
          <bgColor auto="1"/>
        </patternFill>
      </fill>
    </dxf>
    <dxf>
      <fill>
        <patternFill>
          <bgColor theme="5" tint="0.59996337778862885"/>
        </patternFill>
      </fill>
    </dxf>
    <dxf>
      <fill>
        <patternFill patternType="none">
          <bgColor auto="1"/>
        </patternFill>
      </fill>
    </dxf>
    <dxf>
      <fill>
        <patternFill>
          <bgColor theme="5" tint="0.59996337778862885"/>
        </patternFill>
      </fill>
    </dxf>
    <dxf>
      <fill>
        <patternFill patternType="none">
          <bgColor auto="1"/>
        </patternFill>
      </fill>
    </dxf>
    <dxf>
      <fill>
        <patternFill>
          <bgColor theme="5" tint="0.59996337778862885"/>
        </patternFill>
      </fill>
    </dxf>
    <dxf>
      <fill>
        <patternFill patternType="none">
          <bgColor auto="1"/>
        </patternFill>
      </fill>
    </dxf>
    <dxf>
      <fill>
        <patternFill>
          <bgColor theme="5" tint="0.59996337778862885"/>
        </patternFill>
      </fill>
    </dxf>
    <dxf>
      <fill>
        <patternFill patternType="none">
          <bgColor auto="1"/>
        </patternFill>
      </fill>
    </dxf>
    <dxf>
      <fill>
        <patternFill>
          <bgColor theme="5" tint="0.59996337778862885"/>
        </patternFill>
      </fill>
    </dxf>
    <dxf>
      <fill>
        <patternFill patternType="none">
          <bgColor auto="1"/>
        </patternFill>
      </fill>
    </dxf>
    <dxf>
      <fill>
        <patternFill>
          <bgColor theme="5" tint="0.59996337778862885"/>
        </patternFill>
      </fill>
    </dxf>
    <dxf>
      <fill>
        <patternFill patternType="none">
          <bgColor auto="1"/>
        </patternFill>
      </fill>
    </dxf>
    <dxf>
      <fill>
        <patternFill>
          <bgColor theme="5" tint="0.59996337778862885"/>
        </patternFill>
      </fill>
    </dxf>
    <dxf>
      <fill>
        <patternFill patternType="none">
          <bgColor auto="1"/>
        </patternFill>
      </fill>
    </dxf>
    <dxf>
      <fill>
        <patternFill>
          <bgColor theme="5" tint="0.59996337778862885"/>
        </patternFill>
      </fill>
    </dxf>
    <dxf>
      <fill>
        <patternFill patternType="none">
          <bgColor auto="1"/>
        </patternFill>
      </fill>
    </dxf>
    <dxf>
      <fill>
        <patternFill>
          <bgColor theme="5" tint="0.59996337778862885"/>
        </patternFill>
      </fill>
    </dxf>
    <dxf>
      <fill>
        <patternFill patternType="none">
          <bgColor auto="1"/>
        </patternFill>
      </fill>
    </dxf>
    <dxf>
      <fill>
        <patternFill>
          <bgColor theme="5" tint="0.59996337778862885"/>
        </patternFill>
      </fill>
    </dxf>
    <dxf>
      <fill>
        <patternFill patternType="none">
          <bgColor auto="1"/>
        </patternFill>
      </fill>
    </dxf>
    <dxf>
      <fill>
        <patternFill>
          <bgColor theme="5" tint="0.59996337778862885"/>
        </patternFill>
      </fill>
    </dxf>
    <dxf>
      <fill>
        <patternFill patternType="none">
          <bgColor auto="1"/>
        </patternFill>
      </fill>
    </dxf>
    <dxf>
      <fill>
        <patternFill>
          <bgColor theme="5" tint="0.59996337778862885"/>
        </patternFill>
      </fill>
    </dxf>
    <dxf>
      <fill>
        <patternFill patternType="none">
          <bgColor auto="1"/>
        </patternFill>
      </fill>
    </dxf>
    <dxf>
      <fill>
        <patternFill>
          <bgColor theme="5" tint="0.59996337778862885"/>
        </patternFill>
      </fill>
    </dxf>
    <dxf>
      <fill>
        <patternFill patternType="none">
          <bgColor auto="1"/>
        </patternFill>
      </fill>
    </dxf>
    <dxf>
      <fill>
        <patternFill>
          <bgColor theme="5" tint="0.59996337778862885"/>
        </patternFill>
      </fill>
    </dxf>
    <dxf>
      <fill>
        <patternFill patternType="none">
          <bgColor auto="1"/>
        </patternFill>
      </fill>
    </dxf>
    <dxf>
      <fill>
        <patternFill>
          <bgColor theme="5" tint="0.59996337778862885"/>
        </patternFill>
      </fill>
    </dxf>
    <dxf>
      <fill>
        <patternFill patternType="none">
          <bgColor auto="1"/>
        </patternFill>
      </fill>
    </dxf>
    <dxf>
      <fill>
        <patternFill>
          <bgColor theme="5" tint="0.59996337778862885"/>
        </patternFill>
      </fill>
    </dxf>
    <dxf>
      <fill>
        <patternFill patternType="none">
          <bgColor auto="1"/>
        </patternFill>
      </fill>
    </dxf>
    <dxf>
      <fill>
        <patternFill>
          <bgColor theme="5" tint="0.59996337778862885"/>
        </patternFill>
      </fill>
    </dxf>
    <dxf>
      <fill>
        <patternFill patternType="none">
          <bgColor auto="1"/>
        </patternFill>
      </fill>
    </dxf>
    <dxf>
      <fill>
        <patternFill>
          <bgColor theme="5" tint="0.59996337778862885"/>
        </patternFill>
      </fill>
    </dxf>
    <dxf>
      <fill>
        <patternFill patternType="none">
          <bgColor auto="1"/>
        </patternFill>
      </fill>
    </dxf>
    <dxf>
      <fill>
        <patternFill>
          <bgColor theme="5" tint="0.59996337778862885"/>
        </patternFill>
      </fill>
    </dxf>
    <dxf>
      <fill>
        <patternFill patternType="none">
          <bgColor auto="1"/>
        </patternFill>
      </fill>
    </dxf>
    <dxf>
      <fill>
        <patternFill>
          <bgColor theme="5" tint="0.59996337778862885"/>
        </patternFill>
      </fill>
    </dxf>
    <dxf>
      <fill>
        <patternFill patternType="none">
          <bgColor auto="1"/>
        </patternFill>
      </fill>
    </dxf>
    <dxf>
      <fill>
        <patternFill>
          <bgColor theme="5" tint="0.59996337778862885"/>
        </patternFill>
      </fill>
    </dxf>
    <dxf>
      <fill>
        <patternFill patternType="none">
          <bgColor auto="1"/>
        </patternFill>
      </fill>
    </dxf>
    <dxf>
      <fill>
        <patternFill>
          <bgColor theme="5" tint="0.59996337778862885"/>
        </patternFill>
      </fill>
    </dxf>
    <dxf>
      <fill>
        <patternFill patternType="none">
          <bgColor auto="1"/>
        </patternFill>
      </fill>
    </dxf>
    <dxf>
      <fill>
        <patternFill>
          <bgColor theme="5" tint="0.59996337778862885"/>
        </patternFill>
      </fill>
    </dxf>
    <dxf>
      <fill>
        <patternFill patternType="none">
          <bgColor auto="1"/>
        </patternFill>
      </fill>
    </dxf>
    <dxf>
      <fill>
        <patternFill>
          <bgColor theme="5" tint="0.59996337778862885"/>
        </patternFill>
      </fill>
    </dxf>
    <dxf>
      <fill>
        <patternFill patternType="none">
          <bgColor auto="1"/>
        </patternFill>
      </fill>
    </dxf>
    <dxf>
      <fill>
        <patternFill>
          <bgColor theme="5" tint="0.59996337778862885"/>
        </patternFill>
      </fill>
    </dxf>
    <dxf>
      <fill>
        <patternFill patternType="none">
          <bgColor auto="1"/>
        </patternFill>
      </fill>
    </dxf>
    <dxf>
      <fill>
        <patternFill>
          <bgColor theme="5" tint="0.59996337778862885"/>
        </patternFill>
      </fill>
    </dxf>
    <dxf>
      <fill>
        <patternFill patternType="none">
          <bgColor auto="1"/>
        </patternFill>
      </fill>
    </dxf>
    <dxf>
      <fill>
        <patternFill>
          <bgColor theme="5" tint="0.59996337778862885"/>
        </patternFill>
      </fill>
    </dxf>
    <dxf>
      <fill>
        <patternFill patternType="none">
          <bgColor auto="1"/>
        </patternFill>
      </fill>
    </dxf>
    <dxf>
      <fill>
        <patternFill>
          <bgColor theme="5" tint="0.59996337778862885"/>
        </patternFill>
      </fill>
    </dxf>
    <dxf>
      <fill>
        <patternFill patternType="none">
          <bgColor auto="1"/>
        </patternFill>
      </fill>
    </dxf>
    <dxf>
      <fill>
        <patternFill>
          <bgColor theme="5" tint="0.59996337778862885"/>
        </patternFill>
      </fill>
    </dxf>
    <dxf>
      <fill>
        <patternFill patternType="none">
          <bgColor auto="1"/>
        </patternFill>
      </fill>
    </dxf>
  </dxfs>
  <tableStyles count="0" defaultTableStyle="TableStyleMedium2" defaultPivotStyle="PivotStyleLight16"/>
  <colors>
    <mruColors>
      <color rgb="FFFCFCD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theme" Target="theme/theme1.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0"/>
    <c:plotArea>
      <c:layout>
        <c:manualLayout>
          <c:layoutTarget val="inner"/>
          <c:xMode val="edge"/>
          <c:yMode val="edge"/>
          <c:x val="0.18558058083648635"/>
          <c:y val="4.3650460882671382E-2"/>
          <c:w val="0.6174752019633909"/>
          <c:h val="0.89620585325816327"/>
        </c:manualLayout>
      </c:layout>
      <c:doughnutChart>
        <c:varyColors val="1"/>
        <c:ser>
          <c:idx val="0"/>
          <c:order val="0"/>
          <c:dPt>
            <c:idx val="0"/>
            <c:bubble3D val="0"/>
            <c:extLst>
              <c:ext xmlns:c16="http://schemas.microsoft.com/office/drawing/2014/chart" uri="{C3380CC4-5D6E-409C-BE32-E72D297353CC}">
                <c16:uniqueId val="{00000000-C7B6-4211-AB31-67F65D7E8F9B}"/>
              </c:ext>
            </c:extLst>
          </c:dPt>
          <c:dPt>
            <c:idx val="1"/>
            <c:bubble3D val="0"/>
            <c:extLst>
              <c:ext xmlns:c16="http://schemas.microsoft.com/office/drawing/2014/chart" uri="{C3380CC4-5D6E-409C-BE32-E72D297353CC}">
                <c16:uniqueId val="{00000001-C7B6-4211-AB31-67F65D7E8F9B}"/>
              </c:ext>
            </c:extLst>
          </c:dPt>
          <c:dPt>
            <c:idx val="2"/>
            <c:bubble3D val="0"/>
            <c:extLst>
              <c:ext xmlns:c16="http://schemas.microsoft.com/office/drawing/2014/chart" uri="{C3380CC4-5D6E-409C-BE32-E72D297353CC}">
                <c16:uniqueId val="{00000002-C7B6-4211-AB31-67F65D7E8F9B}"/>
              </c:ext>
            </c:extLst>
          </c:dPt>
          <c:dPt>
            <c:idx val="3"/>
            <c:bubble3D val="0"/>
            <c:extLst>
              <c:ext xmlns:c16="http://schemas.microsoft.com/office/drawing/2014/chart" uri="{C3380CC4-5D6E-409C-BE32-E72D297353CC}">
                <c16:uniqueId val="{00000003-C7B6-4211-AB31-67F65D7E8F9B}"/>
              </c:ext>
            </c:extLst>
          </c:dPt>
          <c:dPt>
            <c:idx val="4"/>
            <c:bubble3D val="0"/>
            <c:extLst>
              <c:ext xmlns:c16="http://schemas.microsoft.com/office/drawing/2014/chart" uri="{C3380CC4-5D6E-409C-BE32-E72D297353CC}">
                <c16:uniqueId val="{00000004-C7B6-4211-AB31-67F65D7E8F9B}"/>
              </c:ext>
            </c:extLst>
          </c:dPt>
          <c:dPt>
            <c:idx val="5"/>
            <c:bubble3D val="0"/>
            <c:extLst>
              <c:ext xmlns:c16="http://schemas.microsoft.com/office/drawing/2014/chart" uri="{C3380CC4-5D6E-409C-BE32-E72D297353CC}">
                <c16:uniqueId val="{00000005-C7B6-4211-AB31-67F65D7E8F9B}"/>
              </c:ext>
            </c:extLst>
          </c:dPt>
          <c:dPt>
            <c:idx val="6"/>
            <c:bubble3D val="0"/>
            <c:extLst>
              <c:ext xmlns:c16="http://schemas.microsoft.com/office/drawing/2014/chart" uri="{C3380CC4-5D6E-409C-BE32-E72D297353CC}">
                <c16:uniqueId val="{00000006-C7B6-4211-AB31-67F65D7E8F9B}"/>
              </c:ext>
            </c:extLst>
          </c:dPt>
          <c:dLbls>
            <c:dLbl>
              <c:idx val="0"/>
              <c:layout>
                <c:manualLayout>
                  <c:x val="0.14176286229062199"/>
                  <c:y val="-1.6171957570895526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0-C7B6-4211-AB31-67F65D7E8F9B}"/>
                </c:ext>
              </c:extLst>
            </c:dLbl>
            <c:dLbl>
              <c:idx val="1"/>
              <c:layout>
                <c:manualLayout>
                  <c:x val="-4.9939190125105469E-2"/>
                  <c:y val="0.1478578977910452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7B6-4211-AB31-67F65D7E8F9B}"/>
                </c:ext>
              </c:extLst>
            </c:dLbl>
            <c:dLbl>
              <c:idx val="2"/>
              <c:layout>
                <c:manualLayout>
                  <c:x val="-0.16914886977858304"/>
                  <c:y val="6.2377550630597196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7B6-4211-AB31-67F65D7E8F9B}"/>
                </c:ext>
              </c:extLst>
            </c:dLbl>
            <c:dLbl>
              <c:idx val="3"/>
              <c:layout>
                <c:manualLayout>
                  <c:x val="-0.14498474552449975"/>
                  <c:y val="1.1551398264925407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7B6-4211-AB31-67F65D7E8F9B}"/>
                </c:ext>
              </c:extLst>
            </c:dLbl>
            <c:dLbl>
              <c:idx val="4"/>
              <c:layout>
                <c:manualLayout>
                  <c:x val="-0.12082062127041647"/>
                  <c:y val="-2.7723355835820977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7B6-4211-AB31-67F65D7E8F9B}"/>
                </c:ext>
              </c:extLst>
            </c:dLbl>
            <c:dLbl>
              <c:idx val="5"/>
              <c:layout>
                <c:manualLayout>
                  <c:x val="-0.11277770984480669"/>
                  <c:y val="-6.0452196311920496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7B6-4211-AB31-67F65D7E8F9B}"/>
                </c:ext>
              </c:extLst>
            </c:dLbl>
            <c:dLbl>
              <c:idx val="6"/>
              <c:layout>
                <c:manualLayout>
                  <c:x val="-9.0177340571323622E-2"/>
                  <c:y val="-0.10486122859580475"/>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6-C7B6-4211-AB31-67F65D7E8F9B}"/>
                </c:ext>
              </c:extLst>
            </c:dLbl>
            <c:dLbl>
              <c:idx val="7"/>
              <c:layout>
                <c:manualLayout>
                  <c:x val="-4.6717306891227703E-2"/>
                  <c:y val="-0.14554761813806014"/>
                </c:manualLayout>
              </c:layou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7-C7B6-4211-AB31-67F65D7E8F9B}"/>
                </c:ext>
              </c:extLst>
            </c:dLbl>
            <c:spPr>
              <a:noFill/>
              <a:ln>
                <a:noFill/>
              </a:ln>
              <a:effectLst/>
            </c:spPr>
            <c:txPr>
              <a:bodyPr/>
              <a:lstStyle/>
              <a:p>
                <a:pPr>
                  <a:defRPr sz="1100" b="1">
                    <a:solidFill>
                      <a:sysClr val="windowText" lastClr="000000"/>
                    </a:solidFill>
                    <a:latin typeface="Arial" panose="020B0604020202020204" pitchFamily="34" charset="0"/>
                    <a:cs typeface="Arial" panose="020B0604020202020204" pitchFamily="34" charset="0"/>
                  </a:defRPr>
                </a:pPr>
                <a:endParaRPr lang="en-US"/>
              </a:p>
            </c:txPr>
            <c:showLegendKey val="0"/>
            <c:showVal val="1"/>
            <c:showCatName val="1"/>
            <c:showSerName val="0"/>
            <c:showPercent val="0"/>
            <c:showBubbleSize val="0"/>
            <c:separator>
</c:separator>
            <c:showLeaderLines val="0"/>
            <c:extLst>
              <c:ext xmlns:c15="http://schemas.microsoft.com/office/drawing/2012/chart" uri="{CE6537A1-D6FC-4f65-9D91-7224C49458BB}"/>
            </c:extLst>
          </c:dLbls>
          <c:cat>
            <c:strRef>
              <c:f>'Publication Tables - Original'!$A$178:$A$185</c:f>
              <c:strCache>
                <c:ptCount val="8"/>
                <c:pt idx="0">
                  <c:v>Education</c:v>
                </c:pt>
                <c:pt idx="1">
                  <c:v>Social Work</c:v>
                </c:pt>
                <c:pt idx="2">
                  <c:v>Roads and Transport</c:v>
                </c:pt>
                <c:pt idx="3">
                  <c:v>Environmental</c:v>
                </c:pt>
                <c:pt idx="4">
                  <c:v>Planning</c:v>
                </c:pt>
                <c:pt idx="5">
                  <c:v>Culture</c:v>
                </c:pt>
                <c:pt idx="6">
                  <c:v>Other</c:v>
                </c:pt>
                <c:pt idx="7">
                  <c:v>Non-Service</c:v>
                </c:pt>
              </c:strCache>
            </c:strRef>
          </c:cat>
          <c:val>
            <c:numRef>
              <c:f>'Publication Tables - Original'!$B$178:$B$185</c:f>
              <c:numCache>
                <c:formatCode>"£"#,##0.0"bn";\-"£"#,##0.0"bn"</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8-C7B6-4211-AB31-67F65D7E8F9B}"/>
            </c:ext>
          </c:extLst>
        </c:ser>
        <c:dLbls>
          <c:showLegendKey val="0"/>
          <c:showVal val="0"/>
          <c:showCatName val="0"/>
          <c:showSerName val="0"/>
          <c:showPercent val="0"/>
          <c:showBubbleSize val="0"/>
          <c:showLeaderLines val="0"/>
        </c:dLbls>
        <c:firstSliceAng val="0"/>
        <c:holeSize val="50"/>
      </c:doughnutChart>
    </c:plotArea>
    <c:plotVisOnly val="1"/>
    <c:dispBlanksAs val="gap"/>
    <c:showDLblsOverMax val="0"/>
  </c:chart>
  <c:spPr>
    <a:ln>
      <a:noFill/>
    </a:ln>
  </c:spPr>
  <c:printSettings>
    <c:headerFooter/>
    <c:pageMargins b="0.75" l="0.7" r="0.7" t="0.75" header="0.3" footer="0.3"/>
    <c:pageSetup/>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'Publication Tables - Original'!$B$216</c:f>
              <c:strCache>
                <c:ptCount val="1"/>
                <c:pt idx="0">
                  <c:v>2078-18</c:v>
                </c:pt>
              </c:strCache>
            </c:strRef>
          </c:tx>
          <c:invertIfNegative val="0"/>
          <c:cat>
            <c:strRef>
              <c:f>'Publication Tables - Original'!$A$217:$A$224</c:f>
              <c:strCache>
                <c:ptCount val="8"/>
                <c:pt idx="0">
                  <c:v>Education</c:v>
                </c:pt>
                <c:pt idx="1">
                  <c:v>Social Work</c:v>
                </c:pt>
                <c:pt idx="2">
                  <c:v>Roads and Transport</c:v>
                </c:pt>
                <c:pt idx="3">
                  <c:v>Environmental</c:v>
                </c:pt>
                <c:pt idx="4">
                  <c:v>Planning</c:v>
                </c:pt>
                <c:pt idx="5">
                  <c:v>Culture</c:v>
                </c:pt>
                <c:pt idx="6">
                  <c:v>Other</c:v>
                </c:pt>
                <c:pt idx="7">
                  <c:v>Non-Service</c:v>
                </c:pt>
              </c:strCache>
            </c:strRef>
          </c:cat>
          <c:val>
            <c:numRef>
              <c:f>'Publication Tables - Original'!$B$217:$B$224</c:f>
              <c:numCache>
                <c:formatCode>"£"#,##0"bn";\-"£"#,##0"bn"</c:formatCode>
                <c:ptCount val="8"/>
                <c:pt idx="0">
                  <c:v>5.0370607797273816</c:v>
                </c:pt>
                <c:pt idx="1">
                  <c:v>3.2161207955525337</c:v>
                </c:pt>
                <c:pt idx="2">
                  <c:v>0.4194872366746345</c:v>
                </c:pt>
                <c:pt idx="3">
                  <c:v>0.70397054159291284</c:v>
                </c:pt>
                <c:pt idx="4">
                  <c:v>0.23366896247223934</c:v>
                </c:pt>
                <c:pt idx="5">
                  <c:v>0.54792494382069168</c:v>
                </c:pt>
                <c:pt idx="6">
                  <c:v>0.70674959472046539</c:v>
                </c:pt>
                <c:pt idx="7">
                  <c:v>1.1425497473915642</c:v>
                </c:pt>
              </c:numCache>
            </c:numRef>
          </c:val>
          <c:extLst>
            <c:ext xmlns:c16="http://schemas.microsoft.com/office/drawing/2014/chart" uri="{C3380CC4-5D6E-409C-BE32-E72D297353CC}">
              <c16:uniqueId val="{00000000-F726-46AA-B59E-15C1AF8EF7AF}"/>
            </c:ext>
          </c:extLst>
        </c:ser>
        <c:ser>
          <c:idx val="1"/>
          <c:order val="1"/>
          <c:tx>
            <c:strRef>
              <c:f>'Publication Tables - Original'!$C$216</c:f>
              <c:strCache>
                <c:ptCount val="1"/>
                <c:pt idx="0">
                  <c:v>2018-19</c:v>
                </c:pt>
              </c:strCache>
            </c:strRef>
          </c:tx>
          <c:invertIfNegative val="0"/>
          <c:cat>
            <c:strRef>
              <c:f>'Publication Tables - Original'!$A$217:$A$224</c:f>
              <c:strCache>
                <c:ptCount val="8"/>
                <c:pt idx="0">
                  <c:v>Education</c:v>
                </c:pt>
                <c:pt idx="1">
                  <c:v>Social Work</c:v>
                </c:pt>
                <c:pt idx="2">
                  <c:v>Roads and Transport</c:v>
                </c:pt>
                <c:pt idx="3">
                  <c:v>Environmental</c:v>
                </c:pt>
                <c:pt idx="4">
                  <c:v>Planning</c:v>
                </c:pt>
                <c:pt idx="5">
                  <c:v>Culture</c:v>
                </c:pt>
                <c:pt idx="6">
                  <c:v>Other</c:v>
                </c:pt>
                <c:pt idx="7">
                  <c:v>Non-Service</c:v>
                </c:pt>
              </c:strCache>
            </c:strRef>
          </c:cat>
          <c:val>
            <c:numRef>
              <c:f>'Publication Tables - Original'!$C$217:$C$224</c:f>
              <c:numCache>
                <c:formatCode>"£"#,##0"bn";\-"£"#,##0"bn"</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1-F726-46AA-B59E-15C1AF8EF7AF}"/>
            </c:ext>
          </c:extLst>
        </c:ser>
        <c:dLbls>
          <c:showLegendKey val="0"/>
          <c:showVal val="0"/>
          <c:showCatName val="0"/>
          <c:showSerName val="0"/>
          <c:showPercent val="0"/>
          <c:showBubbleSize val="0"/>
        </c:dLbls>
        <c:gapWidth val="150"/>
        <c:axId val="405895040"/>
        <c:axId val="405896576"/>
      </c:barChart>
      <c:catAx>
        <c:axId val="405895040"/>
        <c:scaling>
          <c:orientation val="minMax"/>
        </c:scaling>
        <c:delete val="0"/>
        <c:axPos val="b"/>
        <c:numFmt formatCode="General" sourceLinked="0"/>
        <c:majorTickMark val="out"/>
        <c:minorTickMark val="none"/>
        <c:tickLblPos val="nextTo"/>
        <c:crossAx val="405896576"/>
        <c:crosses val="autoZero"/>
        <c:auto val="1"/>
        <c:lblAlgn val="ctr"/>
        <c:lblOffset val="100"/>
        <c:noMultiLvlLbl val="0"/>
      </c:catAx>
      <c:valAx>
        <c:axId val="405896576"/>
        <c:scaling>
          <c:orientation val="minMax"/>
        </c:scaling>
        <c:delete val="0"/>
        <c:axPos val="l"/>
        <c:majorGridlines/>
        <c:numFmt formatCode="&quot;£&quot;#,##0&quot;bn&quot;;\-&quot;£&quot;#,##0&quot;bn&quot;" sourceLinked="1"/>
        <c:majorTickMark val="out"/>
        <c:minorTickMark val="none"/>
        <c:tickLblPos val="nextTo"/>
        <c:crossAx val="405895040"/>
        <c:crosses val="autoZero"/>
        <c:crossBetween val="between"/>
      </c:valAx>
    </c:plotArea>
    <c:legend>
      <c:legendPos val="r"/>
      <c:overlay val="0"/>
    </c:legend>
    <c:plotVisOnly val="1"/>
    <c:dispBlanksAs val="gap"/>
    <c:showDLblsOverMax val="0"/>
  </c:chart>
  <c:spPr>
    <a:ln>
      <a:noFill/>
    </a:ln>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0"/>
    <c:plotArea>
      <c:layout>
        <c:manualLayout>
          <c:layoutTarget val="inner"/>
          <c:xMode val="edge"/>
          <c:yMode val="edge"/>
          <c:x val="0.18558058083648635"/>
          <c:y val="4.3650460882671382E-2"/>
          <c:w val="0.6174752019633909"/>
          <c:h val="0.89620585325816327"/>
        </c:manualLayout>
      </c:layout>
      <c:doughnutChart>
        <c:varyColors val="1"/>
        <c:ser>
          <c:idx val="0"/>
          <c:order val="0"/>
          <c:dPt>
            <c:idx val="0"/>
            <c:bubble3D val="0"/>
            <c:extLst>
              <c:ext xmlns:c16="http://schemas.microsoft.com/office/drawing/2014/chart" uri="{C3380CC4-5D6E-409C-BE32-E72D297353CC}">
                <c16:uniqueId val="{00000000-B10D-42EA-8CFF-C69685337A28}"/>
              </c:ext>
            </c:extLst>
          </c:dPt>
          <c:dPt>
            <c:idx val="1"/>
            <c:bubble3D val="0"/>
            <c:extLst>
              <c:ext xmlns:c16="http://schemas.microsoft.com/office/drawing/2014/chart" uri="{C3380CC4-5D6E-409C-BE32-E72D297353CC}">
                <c16:uniqueId val="{00000001-B10D-42EA-8CFF-C69685337A28}"/>
              </c:ext>
            </c:extLst>
          </c:dPt>
          <c:dPt>
            <c:idx val="2"/>
            <c:bubble3D val="0"/>
            <c:extLst>
              <c:ext xmlns:c16="http://schemas.microsoft.com/office/drawing/2014/chart" uri="{C3380CC4-5D6E-409C-BE32-E72D297353CC}">
                <c16:uniqueId val="{00000002-B10D-42EA-8CFF-C69685337A28}"/>
              </c:ext>
            </c:extLst>
          </c:dPt>
          <c:dPt>
            <c:idx val="3"/>
            <c:bubble3D val="0"/>
            <c:extLst>
              <c:ext xmlns:c16="http://schemas.microsoft.com/office/drawing/2014/chart" uri="{C3380CC4-5D6E-409C-BE32-E72D297353CC}">
                <c16:uniqueId val="{00000003-B10D-42EA-8CFF-C69685337A28}"/>
              </c:ext>
            </c:extLst>
          </c:dPt>
          <c:dPt>
            <c:idx val="4"/>
            <c:bubble3D val="0"/>
            <c:extLst>
              <c:ext xmlns:c16="http://schemas.microsoft.com/office/drawing/2014/chart" uri="{C3380CC4-5D6E-409C-BE32-E72D297353CC}">
                <c16:uniqueId val="{00000004-B10D-42EA-8CFF-C69685337A28}"/>
              </c:ext>
            </c:extLst>
          </c:dPt>
          <c:dPt>
            <c:idx val="5"/>
            <c:bubble3D val="0"/>
            <c:extLst>
              <c:ext xmlns:c16="http://schemas.microsoft.com/office/drawing/2014/chart" uri="{C3380CC4-5D6E-409C-BE32-E72D297353CC}">
                <c16:uniqueId val="{00000005-B10D-42EA-8CFF-C69685337A28}"/>
              </c:ext>
            </c:extLst>
          </c:dPt>
          <c:dPt>
            <c:idx val="6"/>
            <c:bubble3D val="0"/>
            <c:extLst>
              <c:ext xmlns:c16="http://schemas.microsoft.com/office/drawing/2014/chart" uri="{C3380CC4-5D6E-409C-BE32-E72D297353CC}">
                <c16:uniqueId val="{00000006-B10D-42EA-8CFF-C69685337A28}"/>
              </c:ext>
            </c:extLst>
          </c:dPt>
          <c:dLbls>
            <c:dLbl>
              <c:idx val="0"/>
              <c:layout>
                <c:manualLayout>
                  <c:x val="0.14176286229062199"/>
                  <c:y val="-1.6171957570895526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0-B10D-42EA-8CFF-C69685337A28}"/>
                </c:ext>
              </c:extLst>
            </c:dLbl>
            <c:dLbl>
              <c:idx val="1"/>
              <c:layout>
                <c:manualLayout>
                  <c:x val="-4.9939190125105469E-2"/>
                  <c:y val="0.1478578977910452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10D-42EA-8CFF-C69685337A28}"/>
                </c:ext>
              </c:extLst>
            </c:dLbl>
            <c:dLbl>
              <c:idx val="2"/>
              <c:layout>
                <c:manualLayout>
                  <c:x val="-0.16914886977858304"/>
                  <c:y val="6.2377550630597196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10D-42EA-8CFF-C69685337A28}"/>
                </c:ext>
              </c:extLst>
            </c:dLbl>
            <c:dLbl>
              <c:idx val="3"/>
              <c:layout>
                <c:manualLayout>
                  <c:x val="-0.14498474552449975"/>
                  <c:y val="1.1551398264925407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10D-42EA-8CFF-C69685337A28}"/>
                </c:ext>
              </c:extLst>
            </c:dLbl>
            <c:dLbl>
              <c:idx val="4"/>
              <c:layout>
                <c:manualLayout>
                  <c:x val="-0.12082062127041647"/>
                  <c:y val="-2.7723355835820977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4-B10D-42EA-8CFF-C69685337A28}"/>
                </c:ext>
              </c:extLst>
            </c:dLbl>
            <c:dLbl>
              <c:idx val="5"/>
              <c:layout>
                <c:manualLayout>
                  <c:x val="-0.11277770984480669"/>
                  <c:y val="-6.0452196311920496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10D-42EA-8CFF-C69685337A28}"/>
                </c:ext>
              </c:extLst>
            </c:dLbl>
            <c:dLbl>
              <c:idx val="6"/>
              <c:layout>
                <c:manualLayout>
                  <c:x val="-9.0177340571323622E-2"/>
                  <c:y val="-0.10486122859580475"/>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6-B10D-42EA-8CFF-C69685337A28}"/>
                </c:ext>
              </c:extLst>
            </c:dLbl>
            <c:dLbl>
              <c:idx val="7"/>
              <c:layout>
                <c:manualLayout>
                  <c:x val="-4.6717306891227703E-2"/>
                  <c:y val="-0.14554761813806014"/>
                </c:manualLayout>
              </c:layou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7-B10D-42EA-8CFF-C69685337A28}"/>
                </c:ext>
              </c:extLst>
            </c:dLbl>
            <c:spPr>
              <a:noFill/>
              <a:ln>
                <a:noFill/>
              </a:ln>
              <a:effectLst/>
            </c:spPr>
            <c:txPr>
              <a:bodyPr/>
              <a:lstStyle/>
              <a:p>
                <a:pPr>
                  <a:defRPr sz="1100" b="1">
                    <a:solidFill>
                      <a:sysClr val="windowText" lastClr="000000"/>
                    </a:solidFill>
                    <a:latin typeface="Arial" panose="020B0604020202020204" pitchFamily="34" charset="0"/>
                    <a:cs typeface="Arial" panose="020B0604020202020204" pitchFamily="34" charset="0"/>
                  </a:defRPr>
                </a:pPr>
                <a:endParaRPr lang="en-US"/>
              </a:p>
            </c:txPr>
            <c:showLegendKey val="0"/>
            <c:showVal val="1"/>
            <c:showCatName val="1"/>
            <c:showSerName val="0"/>
            <c:showPercent val="0"/>
            <c:showBubbleSize val="0"/>
            <c:separator>
</c:separator>
            <c:showLeaderLines val="0"/>
            <c:extLst>
              <c:ext xmlns:c15="http://schemas.microsoft.com/office/drawing/2012/chart" uri="{CE6537A1-D6FC-4f65-9D91-7224C49458BB}"/>
            </c:extLst>
          </c:dLbls>
          <c:cat>
            <c:strRef>
              <c:f>'Publication Tables - Original'!$A$257:$A$264</c:f>
              <c:strCache>
                <c:ptCount val="8"/>
                <c:pt idx="0">
                  <c:v>Education</c:v>
                </c:pt>
                <c:pt idx="1">
                  <c:v>Social Work</c:v>
                </c:pt>
                <c:pt idx="2">
                  <c:v>Roads and Transport</c:v>
                </c:pt>
                <c:pt idx="3">
                  <c:v>Environmental</c:v>
                </c:pt>
                <c:pt idx="4">
                  <c:v>Planning</c:v>
                </c:pt>
                <c:pt idx="5">
                  <c:v>Culture</c:v>
                </c:pt>
                <c:pt idx="6">
                  <c:v>Other</c:v>
                </c:pt>
                <c:pt idx="7">
                  <c:v>Non-Service</c:v>
                </c:pt>
              </c:strCache>
            </c:strRef>
          </c:cat>
          <c:val>
            <c:numRef>
              <c:f>'Publication Tables - Original'!$B$257:$B$264</c:f>
              <c:numCache>
                <c:formatCode>"£"#,##0.0"bn";\-"£"#,##0.0"bn"</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8-B10D-42EA-8CFF-C69685337A28}"/>
            </c:ext>
          </c:extLst>
        </c:ser>
        <c:dLbls>
          <c:showLegendKey val="0"/>
          <c:showVal val="0"/>
          <c:showCatName val="0"/>
          <c:showSerName val="0"/>
          <c:showPercent val="0"/>
          <c:showBubbleSize val="0"/>
          <c:showLeaderLines val="0"/>
        </c:dLbls>
        <c:firstSliceAng val="0"/>
        <c:holeSize val="50"/>
      </c:doughnutChart>
    </c:plotArea>
    <c:plotVisOnly val="1"/>
    <c:dispBlanksAs val="gap"/>
    <c:showDLblsOverMax val="0"/>
  </c:chart>
  <c:spPr>
    <a:ln>
      <a:noFill/>
    </a:ln>
  </c:spPr>
  <c:printSettings>
    <c:headerFooter/>
    <c:pageMargins b="0.75" l="0.7" r="0.7" t="0.75" header="0.3" footer="0.3"/>
    <c:pageSetup/>
  </c:printSettings>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'Publication Tables - Original'!$B$298</c:f>
              <c:strCache>
                <c:ptCount val="1"/>
                <c:pt idx="0">
                  <c:v>2018-19</c:v>
                </c:pt>
              </c:strCache>
            </c:strRef>
          </c:tx>
          <c:invertIfNegative val="0"/>
          <c:cat>
            <c:strRef>
              <c:f>'Publication Tables - Original'!$A$299:$A$306</c:f>
              <c:strCache>
                <c:ptCount val="8"/>
                <c:pt idx="0">
                  <c:v>Education</c:v>
                </c:pt>
                <c:pt idx="1">
                  <c:v>Social Work</c:v>
                </c:pt>
                <c:pt idx="2">
                  <c:v>Roads and Transport</c:v>
                </c:pt>
                <c:pt idx="3">
                  <c:v>Environmental</c:v>
                </c:pt>
                <c:pt idx="4">
                  <c:v>Planning</c:v>
                </c:pt>
                <c:pt idx="5">
                  <c:v>Culture</c:v>
                </c:pt>
                <c:pt idx="6">
                  <c:v>Other</c:v>
                </c:pt>
                <c:pt idx="7">
                  <c:v>Non-Service</c:v>
                </c:pt>
              </c:strCache>
            </c:strRef>
          </c:cat>
          <c:val>
            <c:numRef>
              <c:f>'Publication Tables - Original'!$B$299:$B$306</c:f>
              <c:numCache>
                <c:formatCode>"£"#,##0"bn";\-"£"#,##0"bn"</c:formatCode>
                <c:ptCount val="8"/>
                <c:pt idx="0">
                  <c:v>5.1590340977718663</c:v>
                </c:pt>
                <c:pt idx="1">
                  <c:v>3.2600204094301195</c:v>
                </c:pt>
                <c:pt idx="2">
                  <c:v>0.38846941949792524</c:v>
                </c:pt>
                <c:pt idx="3">
                  <c:v>0.6789783432624813</c:v>
                </c:pt>
                <c:pt idx="4">
                  <c:v>0.24128842553764449</c:v>
                </c:pt>
                <c:pt idx="5">
                  <c:v>0.537534410688009</c:v>
                </c:pt>
                <c:pt idx="6">
                  <c:v>0.71675860266432445</c:v>
                </c:pt>
                <c:pt idx="7">
                  <c:v>1.1551683368833112</c:v>
                </c:pt>
              </c:numCache>
            </c:numRef>
          </c:val>
          <c:extLst>
            <c:ext xmlns:c16="http://schemas.microsoft.com/office/drawing/2014/chart" uri="{C3380CC4-5D6E-409C-BE32-E72D297353CC}">
              <c16:uniqueId val="{00000000-496C-4376-9788-2922C025F4BB}"/>
            </c:ext>
          </c:extLst>
        </c:ser>
        <c:ser>
          <c:idx val="1"/>
          <c:order val="1"/>
          <c:tx>
            <c:strRef>
              <c:f>'Publication Tables - Original'!$C$298</c:f>
              <c:strCache>
                <c:ptCount val="1"/>
                <c:pt idx="0">
                  <c:v>2019-20</c:v>
                </c:pt>
              </c:strCache>
            </c:strRef>
          </c:tx>
          <c:invertIfNegative val="0"/>
          <c:cat>
            <c:strRef>
              <c:f>'Publication Tables - Original'!$A$299:$A$306</c:f>
              <c:strCache>
                <c:ptCount val="8"/>
                <c:pt idx="0">
                  <c:v>Education</c:v>
                </c:pt>
                <c:pt idx="1">
                  <c:v>Social Work</c:v>
                </c:pt>
                <c:pt idx="2">
                  <c:v>Roads and Transport</c:v>
                </c:pt>
                <c:pt idx="3">
                  <c:v>Environmental</c:v>
                </c:pt>
                <c:pt idx="4">
                  <c:v>Planning</c:v>
                </c:pt>
                <c:pt idx="5">
                  <c:v>Culture</c:v>
                </c:pt>
                <c:pt idx="6">
                  <c:v>Other</c:v>
                </c:pt>
                <c:pt idx="7">
                  <c:v>Non-Service</c:v>
                </c:pt>
              </c:strCache>
            </c:strRef>
          </c:cat>
          <c:val>
            <c:numRef>
              <c:f>'Publication Tables - Original'!$C$299:$C$306</c:f>
              <c:numCache>
                <c:formatCode>"£"#,##0"bn";\-"£"#,##0"bn"</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1-496C-4376-9788-2922C025F4BB}"/>
            </c:ext>
          </c:extLst>
        </c:ser>
        <c:dLbls>
          <c:showLegendKey val="0"/>
          <c:showVal val="0"/>
          <c:showCatName val="0"/>
          <c:showSerName val="0"/>
          <c:showPercent val="0"/>
          <c:showBubbleSize val="0"/>
        </c:dLbls>
        <c:gapWidth val="150"/>
        <c:axId val="400889728"/>
        <c:axId val="400891264"/>
      </c:barChart>
      <c:catAx>
        <c:axId val="400889728"/>
        <c:scaling>
          <c:orientation val="minMax"/>
        </c:scaling>
        <c:delete val="0"/>
        <c:axPos val="b"/>
        <c:numFmt formatCode="General" sourceLinked="0"/>
        <c:majorTickMark val="out"/>
        <c:minorTickMark val="none"/>
        <c:tickLblPos val="nextTo"/>
        <c:crossAx val="400891264"/>
        <c:crosses val="autoZero"/>
        <c:auto val="1"/>
        <c:lblAlgn val="ctr"/>
        <c:lblOffset val="100"/>
        <c:noMultiLvlLbl val="0"/>
      </c:catAx>
      <c:valAx>
        <c:axId val="400891264"/>
        <c:scaling>
          <c:orientation val="minMax"/>
        </c:scaling>
        <c:delete val="0"/>
        <c:axPos val="l"/>
        <c:majorGridlines/>
        <c:numFmt formatCode="&quot;£&quot;#,##0&quot;bn&quot;;\-&quot;£&quot;#,##0&quot;bn&quot;" sourceLinked="1"/>
        <c:majorTickMark val="out"/>
        <c:minorTickMark val="none"/>
        <c:tickLblPos val="nextTo"/>
        <c:crossAx val="400889728"/>
        <c:crosses val="autoZero"/>
        <c:crossBetween val="between"/>
      </c:valAx>
    </c:plotArea>
    <c:legend>
      <c:legendPos val="r"/>
      <c:overlay val="0"/>
    </c:legend>
    <c:plotVisOnly val="1"/>
    <c:dispBlanksAs val="gap"/>
    <c:showDLblsOverMax val="0"/>
  </c:chart>
  <c:spPr>
    <a:ln>
      <a:noFill/>
    </a:ln>
  </c:sp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285750</xdr:colOff>
      <xdr:row>171</xdr:row>
      <xdr:rowOff>47625</xdr:rowOff>
    </xdr:from>
    <xdr:to>
      <xdr:col>11</xdr:col>
      <xdr:colOff>473138</xdr:colOff>
      <xdr:row>205</xdr:row>
      <xdr:rowOff>39345</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57150</xdr:colOff>
      <xdr:row>212</xdr:row>
      <xdr:rowOff>38100</xdr:rowOff>
    </xdr:from>
    <xdr:to>
      <xdr:col>18</xdr:col>
      <xdr:colOff>18489</xdr:colOff>
      <xdr:row>245</xdr:row>
      <xdr:rowOff>150721</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523875</xdr:colOff>
      <xdr:row>249</xdr:row>
      <xdr:rowOff>142875</xdr:rowOff>
    </xdr:from>
    <xdr:to>
      <xdr:col>12</xdr:col>
      <xdr:colOff>101663</xdr:colOff>
      <xdr:row>283</xdr:row>
      <xdr:rowOff>134595</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800100</xdr:colOff>
      <xdr:row>292</xdr:row>
      <xdr:rowOff>142875</xdr:rowOff>
    </xdr:from>
    <xdr:to>
      <xdr:col>19</xdr:col>
      <xdr:colOff>275664</xdr:colOff>
      <xdr:row>326</xdr:row>
      <xdr:rowOff>93571</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0.38745</cdr:x>
      <cdr:y>0.31671</cdr:y>
    </cdr:from>
    <cdr:to>
      <cdr:x>0.61472</cdr:x>
      <cdr:y>0.68388</cdr:y>
    </cdr:to>
    <cdr:sp macro="" textlink="">
      <cdr:nvSpPr>
        <cdr:cNvPr id="2" name="TextBox 1"/>
        <cdr:cNvSpPr txBox="1"/>
      </cdr:nvSpPr>
      <cdr:spPr>
        <a:xfrm xmlns:a="http://schemas.openxmlformats.org/drawingml/2006/main">
          <a:off x="3031066" y="1707092"/>
          <a:ext cx="1777999" cy="1979083"/>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marL="0" marR="0" indent="0" algn="ctr" defTabSz="914400" eaLnBrk="1" fontAlgn="auto" latinLnBrk="0" hangingPunct="1">
            <a:lnSpc>
              <a:spcPct val="100000"/>
            </a:lnSpc>
            <a:spcBef>
              <a:spcPts val="0"/>
            </a:spcBef>
            <a:spcAft>
              <a:spcPts val="0"/>
            </a:spcAft>
            <a:buClrTx/>
            <a:buSzTx/>
            <a:buFontTx/>
            <a:buNone/>
            <a:tabLst/>
            <a:defRPr/>
          </a:pPr>
          <a:r>
            <a:rPr lang="en-GB" sz="2000" b="1">
              <a:effectLst/>
              <a:latin typeface="Serif"/>
              <a:ea typeface="+mn-ea"/>
              <a:cs typeface="+mn-cs"/>
            </a:rPr>
            <a:t>2018-19:</a:t>
          </a:r>
          <a:r>
            <a:rPr lang="en-GB" sz="2000" b="1" baseline="0">
              <a:effectLst/>
              <a:latin typeface="Serif"/>
              <a:ea typeface="+mn-ea"/>
              <a:cs typeface="+mn-cs"/>
            </a:rPr>
            <a:t> Provisional Outturn £xx.xbn</a:t>
          </a:r>
          <a:endParaRPr lang="en-GB" sz="2000" b="1">
            <a:effectLst/>
            <a:latin typeface="Serif"/>
          </a:endParaRPr>
        </a:p>
        <a:p xmlns:a="http://schemas.openxmlformats.org/drawingml/2006/main">
          <a:endParaRPr lang="en-GB" sz="1100" b="1"/>
        </a:p>
      </cdr:txBody>
    </cdr:sp>
  </cdr:relSizeAnchor>
</c:userShapes>
</file>

<file path=xl/drawings/drawing3.xml><?xml version="1.0" encoding="utf-8"?>
<c:userShapes xmlns:c="http://schemas.openxmlformats.org/drawingml/2006/chart">
  <cdr:relSizeAnchor xmlns:cdr="http://schemas.openxmlformats.org/drawingml/2006/chartDrawing">
    <cdr:from>
      <cdr:x>0.38745</cdr:x>
      <cdr:y>0.31671</cdr:y>
    </cdr:from>
    <cdr:to>
      <cdr:x>0.61472</cdr:x>
      <cdr:y>0.68388</cdr:y>
    </cdr:to>
    <cdr:sp macro="" textlink="">
      <cdr:nvSpPr>
        <cdr:cNvPr id="2" name="TextBox 1"/>
        <cdr:cNvSpPr txBox="1"/>
      </cdr:nvSpPr>
      <cdr:spPr>
        <a:xfrm xmlns:a="http://schemas.openxmlformats.org/drawingml/2006/main">
          <a:off x="3031066" y="1707092"/>
          <a:ext cx="1777999" cy="1979083"/>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marL="0" marR="0" indent="0" algn="ctr" defTabSz="914400" eaLnBrk="1" fontAlgn="auto" latinLnBrk="0" hangingPunct="1">
            <a:lnSpc>
              <a:spcPct val="100000"/>
            </a:lnSpc>
            <a:spcBef>
              <a:spcPts val="0"/>
            </a:spcBef>
            <a:spcAft>
              <a:spcPts val="0"/>
            </a:spcAft>
            <a:buClrTx/>
            <a:buSzTx/>
            <a:buFontTx/>
            <a:buNone/>
            <a:tabLst/>
            <a:defRPr/>
          </a:pPr>
          <a:r>
            <a:rPr lang="en-GB" sz="2000" b="1">
              <a:effectLst/>
              <a:latin typeface="Serif"/>
              <a:ea typeface="+mn-ea"/>
              <a:cs typeface="+mn-cs"/>
            </a:rPr>
            <a:t>2019-20:</a:t>
          </a:r>
          <a:r>
            <a:rPr lang="en-GB" sz="2000" b="1" baseline="0">
              <a:effectLst/>
              <a:latin typeface="Serif"/>
              <a:ea typeface="+mn-ea"/>
              <a:cs typeface="+mn-cs"/>
            </a:rPr>
            <a:t> Budget Estimate £xx.xbn</a:t>
          </a:r>
          <a:endParaRPr lang="en-GB" sz="2000" b="1">
            <a:effectLst/>
            <a:latin typeface="Serif"/>
          </a:endParaRPr>
        </a:p>
        <a:p xmlns:a="http://schemas.openxmlformats.org/drawingml/2006/main">
          <a:endParaRPr lang="en-GB" sz="1100" b="1"/>
        </a:p>
      </cdr:txBody>
    </cdr:sp>
  </cdr:relSizeAnchor>
</c:userShape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mailto:%5Elgfstats@gov.scot" TargetMode="External"/><Relationship Id="rId2" Type="http://schemas.openxmlformats.org/officeDocument/2006/relationships/hyperlink" Target="http://www.gov.scot/Topics/Statistics/Browse/Local-Government-Finance/ReturnPOBE" TargetMode="External"/><Relationship Id="rId1" Type="http://schemas.openxmlformats.org/officeDocument/2006/relationships/hyperlink" Target="mailto:lgfstats@scotland.gsi.gov.uk" TargetMode="Externa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hyperlink" Target="mailto:%5Elgfstats@gov.scot" TargetMode="External"/><Relationship Id="rId2" Type="http://schemas.openxmlformats.org/officeDocument/2006/relationships/hyperlink" Target="http://www.gov.scot/Topics/Statistics/Browse/Local-Government-Finance/ReturnPOBE" TargetMode="External"/><Relationship Id="rId1" Type="http://schemas.openxmlformats.org/officeDocument/2006/relationships/hyperlink" Target="mailto:lgfstats@scotland.gsi.gov.uk" TargetMode="External"/><Relationship Id="rId4"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hyperlink" Target="mailto:%5Elgfstats@gov.scot" TargetMode="External"/><Relationship Id="rId2" Type="http://schemas.openxmlformats.org/officeDocument/2006/relationships/hyperlink" Target="http://www.gov.scot/Topics/Statistics/Browse/Local-Government-Finance/ReturnPOBE" TargetMode="External"/><Relationship Id="rId1" Type="http://schemas.openxmlformats.org/officeDocument/2006/relationships/hyperlink" Target="mailto:lgfstats@scotland.gsi.gov.uk" TargetMode="External"/><Relationship Id="rId4"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hyperlink" Target="mailto:%5Elgfstats@gov.scot" TargetMode="External"/><Relationship Id="rId2" Type="http://schemas.openxmlformats.org/officeDocument/2006/relationships/hyperlink" Target="http://www.gov.scot/Topics/Statistics/Browse/Local-Government-Finance/ReturnPOBE" TargetMode="External"/><Relationship Id="rId1" Type="http://schemas.openxmlformats.org/officeDocument/2006/relationships/hyperlink" Target="mailto:lgfstats@scotland.gsi.gov.uk" TargetMode="External"/><Relationship Id="rId4"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hyperlink" Target="mailto:%5Elgfstats@gov.scot" TargetMode="External"/><Relationship Id="rId2" Type="http://schemas.openxmlformats.org/officeDocument/2006/relationships/hyperlink" Target="http://www.gov.scot/Topics/Statistics/Browse/Local-Government-Finance/ReturnPOBE" TargetMode="External"/><Relationship Id="rId1" Type="http://schemas.openxmlformats.org/officeDocument/2006/relationships/hyperlink" Target="mailto:lgfstats@scotland.gsi.gov.uk" TargetMode="External"/><Relationship Id="rId4"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hyperlink" Target="mailto:%5Elgfstats@gov.scot" TargetMode="External"/><Relationship Id="rId2" Type="http://schemas.openxmlformats.org/officeDocument/2006/relationships/hyperlink" Target="http://www.gov.scot/Topics/Statistics/Browse/Local-Government-Finance/ReturnPOBE" TargetMode="External"/><Relationship Id="rId1" Type="http://schemas.openxmlformats.org/officeDocument/2006/relationships/hyperlink" Target="mailto:lgfstats@scotland.gsi.gov.uk" TargetMode="External"/><Relationship Id="rId4"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hyperlink" Target="mailto:%5Elgfstats@gov.scot" TargetMode="External"/><Relationship Id="rId2" Type="http://schemas.openxmlformats.org/officeDocument/2006/relationships/hyperlink" Target="http://www.gov.scot/Topics/Statistics/Browse/Local-Government-Finance/ReturnPOBE" TargetMode="External"/><Relationship Id="rId1" Type="http://schemas.openxmlformats.org/officeDocument/2006/relationships/hyperlink" Target="mailto:lgfstats@scotland.gsi.gov.uk" TargetMode="External"/><Relationship Id="rId4"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hyperlink" Target="mailto:%5Elgfstats@gov.scot" TargetMode="External"/><Relationship Id="rId2" Type="http://schemas.openxmlformats.org/officeDocument/2006/relationships/hyperlink" Target="http://www.gov.scot/Topics/Statistics/Browse/Local-Government-Finance/ReturnPOBE" TargetMode="External"/><Relationship Id="rId1" Type="http://schemas.openxmlformats.org/officeDocument/2006/relationships/hyperlink" Target="mailto:lgfstats@scotland.gsi.gov.uk" TargetMode="External"/><Relationship Id="rId4"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hyperlink" Target="mailto:%5Elgfstats@gov.scot" TargetMode="External"/><Relationship Id="rId2" Type="http://schemas.openxmlformats.org/officeDocument/2006/relationships/hyperlink" Target="http://www.gov.scot/Topics/Statistics/Browse/Local-Government-Finance/ReturnPOBE" TargetMode="External"/><Relationship Id="rId1" Type="http://schemas.openxmlformats.org/officeDocument/2006/relationships/hyperlink" Target="mailto:lgfstats@scotland.gsi.gov.uk" TargetMode="External"/><Relationship Id="rId4"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hyperlink" Target="mailto:%5Elgfstats@gov.scot" TargetMode="External"/><Relationship Id="rId2" Type="http://schemas.openxmlformats.org/officeDocument/2006/relationships/hyperlink" Target="http://www.gov.scot/Topics/Statistics/Browse/Local-Government-Finance/ReturnPOBE" TargetMode="External"/><Relationship Id="rId1" Type="http://schemas.openxmlformats.org/officeDocument/2006/relationships/hyperlink" Target="mailto:lgfstats@scotland.gsi.gov.uk" TargetMode="External"/><Relationship Id="rId4"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hyperlink" Target="mailto:%5Elgfstats@gov.scot" TargetMode="External"/><Relationship Id="rId2" Type="http://schemas.openxmlformats.org/officeDocument/2006/relationships/hyperlink" Target="http://www.gov.scot/Topics/Statistics/Browse/Local-Government-Finance/ReturnPOBE" TargetMode="External"/><Relationship Id="rId1" Type="http://schemas.openxmlformats.org/officeDocument/2006/relationships/hyperlink" Target="mailto:lgfstats@scotland.gsi.gov.uk" TargetMode="External"/><Relationship Id="rId4"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hyperlink" Target="mailto:%5Elgfstats@gov.scot" TargetMode="External"/><Relationship Id="rId2" Type="http://schemas.openxmlformats.org/officeDocument/2006/relationships/hyperlink" Target="http://www.gov.scot/Topics/Statistics/Browse/Local-Government-Finance/ReturnPOBE" TargetMode="External"/><Relationship Id="rId1" Type="http://schemas.openxmlformats.org/officeDocument/2006/relationships/hyperlink" Target="mailto:lgfstats@scotland.gsi.gov.uk" TargetMode="External"/><Relationship Id="rId4"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hyperlink" Target="mailto:%5Elgfstats@gov.scot" TargetMode="External"/><Relationship Id="rId2" Type="http://schemas.openxmlformats.org/officeDocument/2006/relationships/hyperlink" Target="http://www.gov.scot/Topics/Statistics/Browse/Local-Government-Finance/ReturnPOBE" TargetMode="External"/><Relationship Id="rId1" Type="http://schemas.openxmlformats.org/officeDocument/2006/relationships/hyperlink" Target="mailto:lgfstats@scotland.gsi.gov.uk" TargetMode="External"/><Relationship Id="rId4"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hyperlink" Target="mailto:%5Elgfstats@gov.scot" TargetMode="External"/><Relationship Id="rId2" Type="http://schemas.openxmlformats.org/officeDocument/2006/relationships/hyperlink" Target="http://www.gov.scot/Topics/Statistics/Browse/Local-Government-Finance/ReturnPOBE" TargetMode="External"/><Relationship Id="rId1" Type="http://schemas.openxmlformats.org/officeDocument/2006/relationships/hyperlink" Target="mailto:lgfstats@scotland.gsi.gov.uk" TargetMode="External"/><Relationship Id="rId4"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hyperlink" Target="mailto:%5Elgfstats@gov.scot" TargetMode="External"/><Relationship Id="rId2" Type="http://schemas.openxmlformats.org/officeDocument/2006/relationships/hyperlink" Target="http://www.gov.scot/Topics/Statistics/Browse/Local-Government-Finance/ReturnPOBE" TargetMode="External"/><Relationship Id="rId1" Type="http://schemas.openxmlformats.org/officeDocument/2006/relationships/hyperlink" Target="mailto:lgfstats@scotland.gsi.gov.uk" TargetMode="External"/><Relationship Id="rId4"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3" Type="http://schemas.openxmlformats.org/officeDocument/2006/relationships/hyperlink" Target="mailto:%5Elgfstats@gov.scot" TargetMode="External"/><Relationship Id="rId2" Type="http://schemas.openxmlformats.org/officeDocument/2006/relationships/hyperlink" Target="http://www.gov.scot/Topics/Statistics/Browse/Local-Government-Finance/ReturnPOBE" TargetMode="External"/><Relationship Id="rId1" Type="http://schemas.openxmlformats.org/officeDocument/2006/relationships/hyperlink" Target="mailto:lgfstats@scotland.gsi.gov.uk" TargetMode="External"/><Relationship Id="rId4"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3" Type="http://schemas.openxmlformats.org/officeDocument/2006/relationships/hyperlink" Target="mailto:%5Elgfstats@gov.scot" TargetMode="External"/><Relationship Id="rId2" Type="http://schemas.openxmlformats.org/officeDocument/2006/relationships/hyperlink" Target="http://www.gov.scot/Topics/Statistics/Browse/Local-Government-Finance/ReturnPOBE" TargetMode="External"/><Relationship Id="rId1" Type="http://schemas.openxmlformats.org/officeDocument/2006/relationships/hyperlink" Target="mailto:lgfstats@scotland.gsi.gov.uk" TargetMode="External"/><Relationship Id="rId4"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3" Type="http://schemas.openxmlformats.org/officeDocument/2006/relationships/hyperlink" Target="mailto:%5Elgfstats@gov.scot" TargetMode="External"/><Relationship Id="rId2" Type="http://schemas.openxmlformats.org/officeDocument/2006/relationships/hyperlink" Target="http://www.gov.scot/Topics/Statistics/Browse/Local-Government-Finance/ReturnPOBE" TargetMode="External"/><Relationship Id="rId1" Type="http://schemas.openxmlformats.org/officeDocument/2006/relationships/hyperlink" Target="mailto:lgfstats@scotland.gsi.gov.uk" TargetMode="External"/><Relationship Id="rId4"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openxmlformats.org/officeDocument/2006/relationships/hyperlink" Target="mailto:%5Elgfstats@gov.scot" TargetMode="External"/><Relationship Id="rId2" Type="http://schemas.openxmlformats.org/officeDocument/2006/relationships/hyperlink" Target="http://www.gov.scot/Topics/Statistics/Browse/Local-Government-Finance/ReturnPOBE" TargetMode="External"/><Relationship Id="rId1" Type="http://schemas.openxmlformats.org/officeDocument/2006/relationships/hyperlink" Target="mailto:lgfstats@scotland.gsi.gov.uk" TargetMode="External"/><Relationship Id="rId4"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3" Type="http://schemas.openxmlformats.org/officeDocument/2006/relationships/hyperlink" Target="mailto:%5Elgfstats@gov.scot" TargetMode="External"/><Relationship Id="rId2" Type="http://schemas.openxmlformats.org/officeDocument/2006/relationships/hyperlink" Target="http://www.gov.scot/Topics/Statistics/Browse/Local-Government-Finance/ReturnPOBE" TargetMode="External"/><Relationship Id="rId1" Type="http://schemas.openxmlformats.org/officeDocument/2006/relationships/hyperlink" Target="mailto:lgfstats@scotland.gsi.gov.uk" TargetMode="External"/><Relationship Id="rId4"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3" Type="http://schemas.openxmlformats.org/officeDocument/2006/relationships/hyperlink" Target="mailto:%5Elgfstats@gov.scot" TargetMode="External"/><Relationship Id="rId2" Type="http://schemas.openxmlformats.org/officeDocument/2006/relationships/hyperlink" Target="http://www.gov.scot/Topics/Statistics/Browse/Local-Government-Finance/ReturnPOBE" TargetMode="External"/><Relationship Id="rId1" Type="http://schemas.openxmlformats.org/officeDocument/2006/relationships/hyperlink" Target="mailto:lgfstats@scotland.gsi.gov.uk" TargetMode="External"/><Relationship Id="rId4"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3" Type="http://schemas.openxmlformats.org/officeDocument/2006/relationships/hyperlink" Target="mailto:%5Elgfstats@gov.scot" TargetMode="External"/><Relationship Id="rId2" Type="http://schemas.openxmlformats.org/officeDocument/2006/relationships/hyperlink" Target="http://www.gov.scot/Topics/Statistics/Browse/Local-Government-Finance/ReturnPOBE" TargetMode="External"/><Relationship Id="rId1" Type="http://schemas.openxmlformats.org/officeDocument/2006/relationships/hyperlink" Target="mailto:lgfstats@scotland.gsi.gov.uk" TargetMode="External"/><Relationship Id="rId4"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3" Type="http://schemas.openxmlformats.org/officeDocument/2006/relationships/hyperlink" Target="mailto:%5Elgfstats@gov.scot" TargetMode="External"/><Relationship Id="rId2" Type="http://schemas.openxmlformats.org/officeDocument/2006/relationships/hyperlink" Target="http://www.gov.scot/Topics/Statistics/Browse/Local-Government-Finance/ReturnPOBE" TargetMode="External"/><Relationship Id="rId1" Type="http://schemas.openxmlformats.org/officeDocument/2006/relationships/hyperlink" Target="mailto:lgfstats@scotland.gsi.gov.uk" TargetMode="External"/><Relationship Id="rId4"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3" Type="http://schemas.openxmlformats.org/officeDocument/2006/relationships/hyperlink" Target="mailto:%5Elgfstats@gov.scot" TargetMode="External"/><Relationship Id="rId2" Type="http://schemas.openxmlformats.org/officeDocument/2006/relationships/hyperlink" Target="http://www.gov.scot/Topics/Statistics/Browse/Local-Government-Finance/ReturnPOBE" TargetMode="External"/><Relationship Id="rId1" Type="http://schemas.openxmlformats.org/officeDocument/2006/relationships/hyperlink" Target="mailto:lgfstats@scotland.gsi.gov.uk" TargetMode="External"/><Relationship Id="rId4"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3" Type="http://schemas.openxmlformats.org/officeDocument/2006/relationships/hyperlink" Target="mailto:%5Elgfstats@gov.scot" TargetMode="External"/><Relationship Id="rId2" Type="http://schemas.openxmlformats.org/officeDocument/2006/relationships/hyperlink" Target="http://www.gov.scot/Topics/Statistics/Browse/Local-Government-Finance/ReturnPOBE" TargetMode="External"/><Relationship Id="rId1" Type="http://schemas.openxmlformats.org/officeDocument/2006/relationships/hyperlink" Target="mailto:lgfstats@scotland.gsi.gov.uk" TargetMode="External"/><Relationship Id="rId4"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3" Type="http://schemas.openxmlformats.org/officeDocument/2006/relationships/hyperlink" Target="mailto:%5Elgfstats@gov.scot" TargetMode="External"/><Relationship Id="rId2" Type="http://schemas.openxmlformats.org/officeDocument/2006/relationships/hyperlink" Target="http://www.gov.scot/Topics/Statistics/Browse/Local-Government-Finance/ReturnPOBE" TargetMode="External"/><Relationship Id="rId1" Type="http://schemas.openxmlformats.org/officeDocument/2006/relationships/hyperlink" Target="mailto:lgfstats@scotland.gsi.gov.uk" TargetMode="External"/><Relationship Id="rId4"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3" Type="http://schemas.openxmlformats.org/officeDocument/2006/relationships/hyperlink" Target="mailto:%5Elgfstats@gov.scot" TargetMode="External"/><Relationship Id="rId2" Type="http://schemas.openxmlformats.org/officeDocument/2006/relationships/hyperlink" Target="http://www.gov.scot/Topics/Statistics/Browse/Local-Government-Finance/ReturnPOBE" TargetMode="External"/><Relationship Id="rId1" Type="http://schemas.openxmlformats.org/officeDocument/2006/relationships/hyperlink" Target="mailto:lgfstats@scotland.gsi.gov.uk" TargetMode="External"/><Relationship Id="rId4"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3" Type="http://schemas.openxmlformats.org/officeDocument/2006/relationships/hyperlink" Target="mailto:%5Elgfstats@gov.scot" TargetMode="External"/><Relationship Id="rId2" Type="http://schemas.openxmlformats.org/officeDocument/2006/relationships/hyperlink" Target="http://www.gov.scot/Topics/Statistics/Browse/Local-Government-Finance/ReturnPOBE" TargetMode="External"/><Relationship Id="rId1" Type="http://schemas.openxmlformats.org/officeDocument/2006/relationships/hyperlink" Target="mailto:lgfstats@scotland.gsi.gov.uk" TargetMode="External"/><Relationship Id="rId4"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3" Type="http://schemas.openxmlformats.org/officeDocument/2006/relationships/hyperlink" Target="mailto:%5Elgfstats@gov.scot" TargetMode="External"/><Relationship Id="rId2" Type="http://schemas.openxmlformats.org/officeDocument/2006/relationships/hyperlink" Target="http://www.gov.scot/Topics/Statistics/Browse/Local-Government-Finance/ReturnPOBE" TargetMode="External"/><Relationship Id="rId1" Type="http://schemas.openxmlformats.org/officeDocument/2006/relationships/hyperlink" Target="mailto:lgfstats@scotland.gsi.gov.uk" TargetMode="External"/><Relationship Id="rId4"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3" Type="http://schemas.openxmlformats.org/officeDocument/2006/relationships/hyperlink" Target="mailto:%5Elgfstats@gov.scot" TargetMode="External"/><Relationship Id="rId2" Type="http://schemas.openxmlformats.org/officeDocument/2006/relationships/hyperlink" Target="http://www.gov.scot/Topics/Statistics/Browse/Local-Government-Finance/ReturnPOBE" TargetMode="External"/><Relationship Id="rId1" Type="http://schemas.openxmlformats.org/officeDocument/2006/relationships/hyperlink" Target="mailto:lgfstats@scotland.gsi.gov.uk" TargetMode="External"/><Relationship Id="rId4"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3" Type="http://schemas.openxmlformats.org/officeDocument/2006/relationships/hyperlink" Target="mailto:%5Elgfstats@gov.scot" TargetMode="External"/><Relationship Id="rId2" Type="http://schemas.openxmlformats.org/officeDocument/2006/relationships/hyperlink" Target="http://www.gov.scot/Topics/Statistics/Browse/Local-Government-Finance/ReturnPOBE" TargetMode="External"/><Relationship Id="rId1" Type="http://schemas.openxmlformats.org/officeDocument/2006/relationships/hyperlink" Target="mailto:lgfstats@scotland.gsi.gov.uk" TargetMode="External"/><Relationship Id="rId4"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3" Type="http://schemas.openxmlformats.org/officeDocument/2006/relationships/hyperlink" Target="mailto:%5Elgfstats@gov.scot" TargetMode="External"/><Relationship Id="rId2" Type="http://schemas.openxmlformats.org/officeDocument/2006/relationships/hyperlink" Target="http://www.gov.scot/Topics/Statistics/Browse/Local-Government-Finance/ReturnPOBE" TargetMode="External"/><Relationship Id="rId1" Type="http://schemas.openxmlformats.org/officeDocument/2006/relationships/hyperlink" Target="mailto:lgfstats@scotland.gsi.gov.uk" TargetMode="External"/><Relationship Id="rId4"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3" Type="http://schemas.openxmlformats.org/officeDocument/2006/relationships/hyperlink" Target="mailto:%5Elgfstats@gov.scot" TargetMode="External"/><Relationship Id="rId2" Type="http://schemas.openxmlformats.org/officeDocument/2006/relationships/hyperlink" Target="http://www.gov.scot/Topics/Statistics/Browse/Local-Government-Finance/ReturnPOBE" TargetMode="External"/><Relationship Id="rId1" Type="http://schemas.openxmlformats.org/officeDocument/2006/relationships/hyperlink" Target="mailto:lgfstats@scotland.gsi.gov.uk" TargetMode="External"/><Relationship Id="rId4" Type="http://schemas.openxmlformats.org/officeDocument/2006/relationships/printerSettings" Target="../printerSettings/printerSettings34.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2:K313"/>
  <sheetViews>
    <sheetView topLeftCell="A142" zoomScaleNormal="100" workbookViewId="0">
      <selection activeCell="L162" sqref="L162"/>
    </sheetView>
  </sheetViews>
  <sheetFormatPr defaultColWidth="9.140625" defaultRowHeight="12.75"/>
  <cols>
    <col min="1" max="1" width="22" style="448" customWidth="1"/>
    <col min="2" max="10" width="16" style="448" customWidth="1"/>
    <col min="11" max="16384" width="9.140625" style="448"/>
  </cols>
  <sheetData>
    <row r="2" spans="1:10">
      <c r="A2" s="752" t="s">
        <v>458</v>
      </c>
      <c r="B2" s="753"/>
      <c r="C2" s="753"/>
      <c r="D2" s="753"/>
      <c r="E2" s="753"/>
      <c r="F2" s="753"/>
      <c r="G2" s="753"/>
      <c r="H2" s="753"/>
      <c r="I2" s="753"/>
      <c r="J2" s="753"/>
    </row>
    <row r="3" spans="1:10" ht="38.25">
      <c r="A3" s="754"/>
      <c r="B3" s="755" t="s">
        <v>52</v>
      </c>
      <c r="C3" s="755" t="s">
        <v>53</v>
      </c>
      <c r="D3" s="755" t="s">
        <v>247</v>
      </c>
      <c r="E3" s="755" t="s">
        <v>55</v>
      </c>
      <c r="F3" s="756" t="s">
        <v>248</v>
      </c>
      <c r="G3" s="755" t="s">
        <v>456</v>
      </c>
      <c r="H3" s="755" t="s">
        <v>457</v>
      </c>
      <c r="I3" s="756" t="s">
        <v>400</v>
      </c>
      <c r="J3" s="756" t="s">
        <v>364</v>
      </c>
    </row>
    <row r="4" spans="1:10">
      <c r="A4" s="757" t="s">
        <v>251</v>
      </c>
      <c r="B4" s="758" t="e">
        <f>#REF!</f>
        <v>#REF!</v>
      </c>
      <c r="C4" s="758" t="e">
        <f>#REF!</f>
        <v>#REF!</v>
      </c>
      <c r="D4" s="758" t="e">
        <f>#REF!</f>
        <v>#REF!</v>
      </c>
      <c r="E4" s="758" t="e">
        <f>#REF!</f>
        <v>#REF!</v>
      </c>
      <c r="F4" s="758" t="e">
        <f>#REF!</f>
        <v>#REF!</v>
      </c>
      <c r="G4" s="759" t="e">
        <f>#REF!</f>
        <v>#REF!</v>
      </c>
      <c r="H4" s="759" t="e">
        <f>#REF!</f>
        <v>#REF!</v>
      </c>
      <c r="I4" s="759" t="e">
        <f>#REF!</f>
        <v>#REF!</v>
      </c>
      <c r="J4" s="759" t="e">
        <f>#REF!</f>
        <v>#REF!</v>
      </c>
    </row>
    <row r="5" spans="1:10">
      <c r="A5" s="760" t="s">
        <v>3</v>
      </c>
      <c r="B5" s="761" t="e">
        <f>#REF!</f>
        <v>#REF!</v>
      </c>
      <c r="C5" s="761" t="e">
        <f>#REF!</f>
        <v>#REF!</v>
      </c>
      <c r="D5" s="761" t="e">
        <f>#REF!</f>
        <v>#REF!</v>
      </c>
      <c r="E5" s="761" t="e">
        <f>#REF!</f>
        <v>#REF!</v>
      </c>
      <c r="F5" s="761" t="e">
        <f>#REF!</f>
        <v>#REF!</v>
      </c>
      <c r="G5" s="762" t="e">
        <f>#REF!</f>
        <v>#REF!</v>
      </c>
      <c r="H5" s="762" t="e">
        <f>#REF!</f>
        <v>#REF!</v>
      </c>
      <c r="I5" s="762" t="e">
        <f>#REF!</f>
        <v>#REF!</v>
      </c>
      <c r="J5" s="762" t="e">
        <f>#REF!</f>
        <v>#REF!</v>
      </c>
    </row>
    <row r="6" spans="1:10">
      <c r="A6" s="760" t="s">
        <v>4</v>
      </c>
      <c r="B6" s="761" t="e">
        <f>#REF!</f>
        <v>#REF!</v>
      </c>
      <c r="C6" s="761" t="e">
        <f>#REF!</f>
        <v>#REF!</v>
      </c>
      <c r="D6" s="761" t="e">
        <f>#REF!</f>
        <v>#REF!</v>
      </c>
      <c r="E6" s="761" t="e">
        <f>#REF!</f>
        <v>#REF!</v>
      </c>
      <c r="F6" s="761" t="e">
        <f>#REF!</f>
        <v>#REF!</v>
      </c>
      <c r="G6" s="762" t="e">
        <f>#REF!</f>
        <v>#REF!</v>
      </c>
      <c r="H6" s="762" t="e">
        <f>#REF!</f>
        <v>#REF!</v>
      </c>
      <c r="I6" s="762" t="e">
        <f>#REF!</f>
        <v>#REF!</v>
      </c>
      <c r="J6" s="762" t="e">
        <f>#REF!</f>
        <v>#REF!</v>
      </c>
    </row>
    <row r="7" spans="1:10">
      <c r="A7" s="760" t="s">
        <v>5</v>
      </c>
      <c r="B7" s="761" t="e">
        <f>#REF!</f>
        <v>#REF!</v>
      </c>
      <c r="C7" s="761" t="e">
        <f>#REF!</f>
        <v>#REF!</v>
      </c>
      <c r="D7" s="761" t="e">
        <f>#REF!</f>
        <v>#REF!</v>
      </c>
      <c r="E7" s="761" t="e">
        <f>#REF!</f>
        <v>#REF!</v>
      </c>
      <c r="F7" s="761" t="e">
        <f>#REF!</f>
        <v>#REF!</v>
      </c>
      <c r="G7" s="762" t="e">
        <f>#REF!</f>
        <v>#REF!</v>
      </c>
      <c r="H7" s="762" t="e">
        <f>#REF!</f>
        <v>#REF!</v>
      </c>
      <c r="I7" s="762" t="e">
        <f>#REF!</f>
        <v>#REF!</v>
      </c>
      <c r="J7" s="762" t="e">
        <f>#REF!</f>
        <v>#REF!</v>
      </c>
    </row>
    <row r="8" spans="1:10">
      <c r="A8" s="760" t="s">
        <v>6</v>
      </c>
      <c r="B8" s="761" t="e">
        <f>#REF!</f>
        <v>#REF!</v>
      </c>
      <c r="C8" s="761" t="e">
        <f>#REF!</f>
        <v>#REF!</v>
      </c>
      <c r="D8" s="761" t="e">
        <f>#REF!</f>
        <v>#REF!</v>
      </c>
      <c r="E8" s="761" t="e">
        <f>#REF!</f>
        <v>#REF!</v>
      </c>
      <c r="F8" s="761" t="e">
        <f>#REF!</f>
        <v>#REF!</v>
      </c>
      <c r="G8" s="762" t="e">
        <f>#REF!</f>
        <v>#REF!</v>
      </c>
      <c r="H8" s="762" t="e">
        <f>#REF!</f>
        <v>#REF!</v>
      </c>
      <c r="I8" s="762" t="e">
        <f>#REF!</f>
        <v>#REF!</v>
      </c>
      <c r="J8" s="762" t="e">
        <f>#REF!</f>
        <v>#REF!</v>
      </c>
    </row>
    <row r="9" spans="1:10">
      <c r="A9" s="760" t="s">
        <v>8</v>
      </c>
      <c r="B9" s="761" t="e">
        <f>#REF!</f>
        <v>#REF!</v>
      </c>
      <c r="C9" s="761" t="e">
        <f>#REF!</f>
        <v>#REF!</v>
      </c>
      <c r="D9" s="761" t="e">
        <f>#REF!</f>
        <v>#REF!</v>
      </c>
      <c r="E9" s="761" t="e">
        <f>#REF!</f>
        <v>#REF!</v>
      </c>
      <c r="F9" s="761" t="e">
        <f>#REF!</f>
        <v>#REF!</v>
      </c>
      <c r="G9" s="762" t="e">
        <f>#REF!</f>
        <v>#REF!</v>
      </c>
      <c r="H9" s="762" t="e">
        <f>#REF!</f>
        <v>#REF!</v>
      </c>
      <c r="I9" s="762" t="e">
        <f>#REF!</f>
        <v>#REF!</v>
      </c>
      <c r="J9" s="762" t="e">
        <f>#REF!</f>
        <v>#REF!</v>
      </c>
    </row>
    <row r="10" spans="1:10">
      <c r="A10" s="760" t="s">
        <v>9</v>
      </c>
      <c r="B10" s="761" t="e">
        <f>#REF!</f>
        <v>#REF!</v>
      </c>
      <c r="C10" s="761" t="e">
        <f>#REF!</f>
        <v>#REF!</v>
      </c>
      <c r="D10" s="761" t="e">
        <f>#REF!</f>
        <v>#REF!</v>
      </c>
      <c r="E10" s="761" t="e">
        <f>#REF!</f>
        <v>#REF!</v>
      </c>
      <c r="F10" s="761" t="e">
        <f>#REF!</f>
        <v>#REF!</v>
      </c>
      <c r="G10" s="762" t="e">
        <f>#REF!</f>
        <v>#REF!</v>
      </c>
      <c r="H10" s="762" t="e">
        <f>#REF!</f>
        <v>#REF!</v>
      </c>
      <c r="I10" s="762" t="e">
        <f>#REF!</f>
        <v>#REF!</v>
      </c>
      <c r="J10" s="762" t="e">
        <f>#REF!</f>
        <v>#REF!</v>
      </c>
    </row>
    <row r="11" spans="1:10">
      <c r="A11" s="760" t="s">
        <v>11</v>
      </c>
      <c r="B11" s="761" t="e">
        <f>#REF!</f>
        <v>#REF!</v>
      </c>
      <c r="C11" s="761" t="e">
        <f>#REF!</f>
        <v>#REF!</v>
      </c>
      <c r="D11" s="761" t="e">
        <f>#REF!</f>
        <v>#REF!</v>
      </c>
      <c r="E11" s="761" t="e">
        <f>#REF!</f>
        <v>#REF!</v>
      </c>
      <c r="F11" s="761" t="e">
        <f>#REF!</f>
        <v>#REF!</v>
      </c>
      <c r="G11" s="762" t="e">
        <f>#REF!</f>
        <v>#REF!</v>
      </c>
      <c r="H11" s="762" t="e">
        <f>#REF!</f>
        <v>#REF!</v>
      </c>
      <c r="I11" s="762" t="e">
        <f>#REF!</f>
        <v>#REF!</v>
      </c>
      <c r="J11" s="762" t="e">
        <f>#REF!</f>
        <v>#REF!</v>
      </c>
    </row>
    <row r="12" spans="1:10">
      <c r="A12" s="760" t="s">
        <v>13</v>
      </c>
      <c r="B12" s="761" t="e">
        <f>#REF!</f>
        <v>#REF!</v>
      </c>
      <c r="C12" s="761" t="e">
        <f>#REF!</f>
        <v>#REF!</v>
      </c>
      <c r="D12" s="761" t="e">
        <f>#REF!</f>
        <v>#REF!</v>
      </c>
      <c r="E12" s="761" t="e">
        <f>#REF!</f>
        <v>#REF!</v>
      </c>
      <c r="F12" s="761" t="e">
        <f>#REF!</f>
        <v>#REF!</v>
      </c>
      <c r="G12" s="762" t="e">
        <f>#REF!</f>
        <v>#REF!</v>
      </c>
      <c r="H12" s="762" t="e">
        <f>#REF!</f>
        <v>#REF!</v>
      </c>
      <c r="I12" s="762" t="e">
        <f>#REF!</f>
        <v>#REF!</v>
      </c>
      <c r="J12" s="762" t="e">
        <f>#REF!</f>
        <v>#REF!</v>
      </c>
    </row>
    <row r="13" spans="1:10">
      <c r="A13" s="760" t="s">
        <v>16</v>
      </c>
      <c r="B13" s="761" t="e">
        <f>#REF!</f>
        <v>#REF!</v>
      </c>
      <c r="C13" s="761" t="e">
        <f>#REF!</f>
        <v>#REF!</v>
      </c>
      <c r="D13" s="761" t="e">
        <f>#REF!</f>
        <v>#REF!</v>
      </c>
      <c r="E13" s="761" t="e">
        <f>#REF!</f>
        <v>#REF!</v>
      </c>
      <c r="F13" s="761" t="e">
        <f>#REF!</f>
        <v>#REF!</v>
      </c>
      <c r="G13" s="762" t="e">
        <f>#REF!</f>
        <v>#REF!</v>
      </c>
      <c r="H13" s="762" t="e">
        <f>#REF!</f>
        <v>#REF!</v>
      </c>
      <c r="I13" s="762" t="e">
        <f>#REF!</f>
        <v>#REF!</v>
      </c>
      <c r="J13" s="762" t="e">
        <f>#REF!</f>
        <v>#REF!</v>
      </c>
    </row>
    <row r="14" spans="1:10">
      <c r="A14" s="760" t="s">
        <v>19</v>
      </c>
      <c r="B14" s="761" t="e">
        <f>#REF!</f>
        <v>#REF!</v>
      </c>
      <c r="C14" s="761" t="e">
        <f>#REF!</f>
        <v>#REF!</v>
      </c>
      <c r="D14" s="761" t="e">
        <f>#REF!</f>
        <v>#REF!</v>
      </c>
      <c r="E14" s="761" t="e">
        <f>#REF!</f>
        <v>#REF!</v>
      </c>
      <c r="F14" s="761" t="e">
        <f>#REF!</f>
        <v>#REF!</v>
      </c>
      <c r="G14" s="762" t="e">
        <f>#REF!</f>
        <v>#REF!</v>
      </c>
      <c r="H14" s="762" t="e">
        <f>#REF!</f>
        <v>#REF!</v>
      </c>
      <c r="I14" s="762" t="e">
        <f>#REF!</f>
        <v>#REF!</v>
      </c>
      <c r="J14" s="762" t="e">
        <f>#REF!</f>
        <v>#REF!</v>
      </c>
    </row>
    <row r="15" spans="1:10">
      <c r="A15" s="760" t="s">
        <v>22</v>
      </c>
      <c r="B15" s="761" t="e">
        <f>#REF!</f>
        <v>#REF!</v>
      </c>
      <c r="C15" s="761" t="e">
        <f>#REF!</f>
        <v>#REF!</v>
      </c>
      <c r="D15" s="761" t="e">
        <f>#REF!</f>
        <v>#REF!</v>
      </c>
      <c r="E15" s="761" t="e">
        <f>#REF!</f>
        <v>#REF!</v>
      </c>
      <c r="F15" s="761" t="e">
        <f>#REF!</f>
        <v>#REF!</v>
      </c>
      <c r="G15" s="762" t="e">
        <f>#REF!</f>
        <v>#REF!</v>
      </c>
      <c r="H15" s="762" t="e">
        <f>#REF!</f>
        <v>#REF!</v>
      </c>
      <c r="I15" s="762" t="e">
        <f>#REF!</f>
        <v>#REF!</v>
      </c>
      <c r="J15" s="762" t="e">
        <f>#REF!</f>
        <v>#REF!</v>
      </c>
    </row>
    <row r="16" spans="1:10">
      <c r="A16" s="760" t="s">
        <v>25</v>
      </c>
      <c r="B16" s="761" t="e">
        <f>#REF!</f>
        <v>#REF!</v>
      </c>
      <c r="C16" s="761" t="e">
        <f>#REF!</f>
        <v>#REF!</v>
      </c>
      <c r="D16" s="761" t="e">
        <f>#REF!</f>
        <v>#REF!</v>
      </c>
      <c r="E16" s="761" t="e">
        <f>#REF!</f>
        <v>#REF!</v>
      </c>
      <c r="F16" s="761" t="e">
        <f>#REF!</f>
        <v>#REF!</v>
      </c>
      <c r="G16" s="762" t="e">
        <f>#REF!</f>
        <v>#REF!</v>
      </c>
      <c r="H16" s="762" t="e">
        <f>#REF!</f>
        <v>#REF!</v>
      </c>
      <c r="I16" s="762" t="e">
        <f>#REF!</f>
        <v>#REF!</v>
      </c>
      <c r="J16" s="762" t="e">
        <f>#REF!</f>
        <v>#REF!</v>
      </c>
    </row>
    <row r="17" spans="1:10">
      <c r="A17" s="760" t="s">
        <v>26</v>
      </c>
      <c r="B17" s="761" t="e">
        <f>#REF!</f>
        <v>#REF!</v>
      </c>
      <c r="C17" s="761" t="e">
        <f>#REF!</f>
        <v>#REF!</v>
      </c>
      <c r="D17" s="761" t="e">
        <f>#REF!</f>
        <v>#REF!</v>
      </c>
      <c r="E17" s="761" t="e">
        <f>#REF!</f>
        <v>#REF!</v>
      </c>
      <c r="F17" s="761" t="e">
        <f>#REF!</f>
        <v>#REF!</v>
      </c>
      <c r="G17" s="762" t="e">
        <f>#REF!</f>
        <v>#REF!</v>
      </c>
      <c r="H17" s="762" t="e">
        <f>#REF!</f>
        <v>#REF!</v>
      </c>
      <c r="I17" s="762" t="e">
        <f>#REF!</f>
        <v>#REF!</v>
      </c>
      <c r="J17" s="762" t="e">
        <f>#REF!</f>
        <v>#REF!</v>
      </c>
    </row>
    <row r="18" spans="1:10">
      <c r="A18" s="760" t="s">
        <v>28</v>
      </c>
      <c r="B18" s="761" t="e">
        <f>#REF!</f>
        <v>#REF!</v>
      </c>
      <c r="C18" s="761" t="e">
        <f>#REF!</f>
        <v>#REF!</v>
      </c>
      <c r="D18" s="761" t="e">
        <f>#REF!</f>
        <v>#REF!</v>
      </c>
      <c r="E18" s="761" t="e">
        <f>#REF!</f>
        <v>#REF!</v>
      </c>
      <c r="F18" s="761" t="e">
        <f>#REF!</f>
        <v>#REF!</v>
      </c>
      <c r="G18" s="762" t="e">
        <f>#REF!</f>
        <v>#REF!</v>
      </c>
      <c r="H18" s="762" t="e">
        <f>#REF!</f>
        <v>#REF!</v>
      </c>
      <c r="I18" s="762" t="e">
        <f>#REF!</f>
        <v>#REF!</v>
      </c>
      <c r="J18" s="762" t="e">
        <f>#REF!</f>
        <v>#REF!</v>
      </c>
    </row>
    <row r="19" spans="1:10">
      <c r="A19" s="760" t="s">
        <v>29</v>
      </c>
      <c r="B19" s="761" t="e">
        <f>#REF!</f>
        <v>#REF!</v>
      </c>
      <c r="C19" s="761" t="e">
        <f>#REF!</f>
        <v>#REF!</v>
      </c>
      <c r="D19" s="761" t="e">
        <f>#REF!</f>
        <v>#REF!</v>
      </c>
      <c r="E19" s="761" t="e">
        <f>#REF!</f>
        <v>#REF!</v>
      </c>
      <c r="F19" s="761" t="e">
        <f>#REF!</f>
        <v>#REF!</v>
      </c>
      <c r="G19" s="762" t="e">
        <f>#REF!</f>
        <v>#REF!</v>
      </c>
      <c r="H19" s="762" t="e">
        <f>#REF!</f>
        <v>#REF!</v>
      </c>
      <c r="I19" s="762" t="e">
        <f>#REF!</f>
        <v>#REF!</v>
      </c>
      <c r="J19" s="762" t="e">
        <f>#REF!</f>
        <v>#REF!</v>
      </c>
    </row>
    <row r="20" spans="1:10">
      <c r="A20" s="760" t="s">
        <v>31</v>
      </c>
      <c r="B20" s="761" t="e">
        <f>#REF!</f>
        <v>#REF!</v>
      </c>
      <c r="C20" s="761" t="e">
        <f>#REF!</f>
        <v>#REF!</v>
      </c>
      <c r="D20" s="761" t="e">
        <f>#REF!</f>
        <v>#REF!</v>
      </c>
      <c r="E20" s="761" t="e">
        <f>#REF!</f>
        <v>#REF!</v>
      </c>
      <c r="F20" s="761" t="e">
        <f>#REF!</f>
        <v>#REF!</v>
      </c>
      <c r="G20" s="762" t="e">
        <f>#REF!</f>
        <v>#REF!</v>
      </c>
      <c r="H20" s="762" t="e">
        <f>#REF!</f>
        <v>#REF!</v>
      </c>
      <c r="I20" s="762" t="e">
        <f>#REF!</f>
        <v>#REF!</v>
      </c>
      <c r="J20" s="762" t="e">
        <f>#REF!</f>
        <v>#REF!</v>
      </c>
    </row>
    <row r="21" spans="1:10">
      <c r="A21" s="760" t="s">
        <v>32</v>
      </c>
      <c r="B21" s="761" t="e">
        <f>#REF!</f>
        <v>#REF!</v>
      </c>
      <c r="C21" s="761" t="e">
        <f>#REF!</f>
        <v>#REF!</v>
      </c>
      <c r="D21" s="761" t="e">
        <f>#REF!</f>
        <v>#REF!</v>
      </c>
      <c r="E21" s="761" t="e">
        <f>#REF!</f>
        <v>#REF!</v>
      </c>
      <c r="F21" s="761" t="e">
        <f>#REF!</f>
        <v>#REF!</v>
      </c>
      <c r="G21" s="762" t="e">
        <f>#REF!</f>
        <v>#REF!</v>
      </c>
      <c r="H21" s="762" t="e">
        <f>#REF!</f>
        <v>#REF!</v>
      </c>
      <c r="I21" s="762" t="e">
        <f>#REF!</f>
        <v>#REF!</v>
      </c>
      <c r="J21" s="762" t="e">
        <f>#REF!</f>
        <v>#REF!</v>
      </c>
    </row>
    <row r="22" spans="1:10">
      <c r="A22" s="760" t="s">
        <v>33</v>
      </c>
      <c r="B22" s="761" t="e">
        <f>#REF!</f>
        <v>#REF!</v>
      </c>
      <c r="C22" s="761" t="e">
        <f>#REF!</f>
        <v>#REF!</v>
      </c>
      <c r="D22" s="761" t="e">
        <f>#REF!</f>
        <v>#REF!</v>
      </c>
      <c r="E22" s="761" t="e">
        <f>#REF!</f>
        <v>#REF!</v>
      </c>
      <c r="F22" s="761" t="e">
        <f>#REF!</f>
        <v>#REF!</v>
      </c>
      <c r="G22" s="762" t="e">
        <f>#REF!</f>
        <v>#REF!</v>
      </c>
      <c r="H22" s="762" t="e">
        <f>#REF!</f>
        <v>#REF!</v>
      </c>
      <c r="I22" s="762" t="e">
        <f>#REF!</f>
        <v>#REF!</v>
      </c>
      <c r="J22" s="762" t="e">
        <f>#REF!</f>
        <v>#REF!</v>
      </c>
    </row>
    <row r="23" spans="1:10">
      <c r="A23" s="760" t="s">
        <v>34</v>
      </c>
      <c r="B23" s="761" t="e">
        <f>#REF!</f>
        <v>#REF!</v>
      </c>
      <c r="C23" s="761" t="e">
        <f>#REF!</f>
        <v>#REF!</v>
      </c>
      <c r="D23" s="761" t="e">
        <f>#REF!</f>
        <v>#REF!</v>
      </c>
      <c r="E23" s="761" t="e">
        <f>#REF!</f>
        <v>#REF!</v>
      </c>
      <c r="F23" s="761" t="e">
        <f>#REF!</f>
        <v>#REF!</v>
      </c>
      <c r="G23" s="762" t="e">
        <f>#REF!</f>
        <v>#REF!</v>
      </c>
      <c r="H23" s="762" t="e">
        <f>#REF!</f>
        <v>#REF!</v>
      </c>
      <c r="I23" s="762" t="e">
        <f>#REF!</f>
        <v>#REF!</v>
      </c>
      <c r="J23" s="762" t="e">
        <f>#REF!</f>
        <v>#REF!</v>
      </c>
    </row>
    <row r="24" spans="1:10">
      <c r="A24" s="760" t="s">
        <v>35</v>
      </c>
      <c r="B24" s="761" t="e">
        <f>#REF!</f>
        <v>#REF!</v>
      </c>
      <c r="C24" s="761" t="e">
        <f>#REF!</f>
        <v>#REF!</v>
      </c>
      <c r="D24" s="761" t="e">
        <f>#REF!</f>
        <v>#REF!</v>
      </c>
      <c r="E24" s="761" t="e">
        <f>#REF!</f>
        <v>#REF!</v>
      </c>
      <c r="F24" s="761" t="e">
        <f>#REF!</f>
        <v>#REF!</v>
      </c>
      <c r="G24" s="762" t="e">
        <f>#REF!</f>
        <v>#REF!</v>
      </c>
      <c r="H24" s="762" t="e">
        <f>#REF!</f>
        <v>#REF!</v>
      </c>
      <c r="I24" s="762" t="e">
        <f>#REF!</f>
        <v>#REF!</v>
      </c>
      <c r="J24" s="762" t="e">
        <f>#REF!</f>
        <v>#REF!</v>
      </c>
    </row>
    <row r="25" spans="1:10">
      <c r="A25" s="760" t="s">
        <v>36</v>
      </c>
      <c r="B25" s="761" t="e">
        <f>#REF!</f>
        <v>#REF!</v>
      </c>
      <c r="C25" s="761" t="e">
        <f>#REF!</f>
        <v>#REF!</v>
      </c>
      <c r="D25" s="761" t="e">
        <f>#REF!</f>
        <v>#REF!</v>
      </c>
      <c r="E25" s="761" t="e">
        <f>#REF!</f>
        <v>#REF!</v>
      </c>
      <c r="F25" s="761" t="e">
        <f>#REF!</f>
        <v>#REF!</v>
      </c>
      <c r="G25" s="762" t="e">
        <f>#REF!</f>
        <v>#REF!</v>
      </c>
      <c r="H25" s="762" t="e">
        <f>#REF!</f>
        <v>#REF!</v>
      </c>
      <c r="I25" s="762" t="e">
        <f>#REF!</f>
        <v>#REF!</v>
      </c>
      <c r="J25" s="762" t="e">
        <f>#REF!</f>
        <v>#REF!</v>
      </c>
    </row>
    <row r="26" spans="1:10">
      <c r="A26" s="760" t="s">
        <v>37</v>
      </c>
      <c r="B26" s="761" t="e">
        <f>#REF!</f>
        <v>#REF!</v>
      </c>
      <c r="C26" s="761" t="e">
        <f>#REF!</f>
        <v>#REF!</v>
      </c>
      <c r="D26" s="761" t="e">
        <f>#REF!</f>
        <v>#REF!</v>
      </c>
      <c r="E26" s="761" t="e">
        <f>#REF!</f>
        <v>#REF!</v>
      </c>
      <c r="F26" s="761" t="e">
        <f>#REF!</f>
        <v>#REF!</v>
      </c>
      <c r="G26" s="762" t="e">
        <f>#REF!</f>
        <v>#REF!</v>
      </c>
      <c r="H26" s="762" t="e">
        <f>#REF!</f>
        <v>#REF!</v>
      </c>
      <c r="I26" s="762" t="e">
        <f>#REF!</f>
        <v>#REF!</v>
      </c>
      <c r="J26" s="762" t="e">
        <f>#REF!</f>
        <v>#REF!</v>
      </c>
    </row>
    <row r="27" spans="1:10">
      <c r="A27" s="760" t="s">
        <v>38</v>
      </c>
      <c r="B27" s="761" t="e">
        <f>#REF!</f>
        <v>#REF!</v>
      </c>
      <c r="C27" s="761" t="e">
        <f>#REF!</f>
        <v>#REF!</v>
      </c>
      <c r="D27" s="761" t="e">
        <f>#REF!</f>
        <v>#REF!</v>
      </c>
      <c r="E27" s="761" t="e">
        <f>#REF!</f>
        <v>#REF!</v>
      </c>
      <c r="F27" s="761" t="e">
        <f>#REF!</f>
        <v>#REF!</v>
      </c>
      <c r="G27" s="762" t="e">
        <f>#REF!</f>
        <v>#REF!</v>
      </c>
      <c r="H27" s="762" t="e">
        <f>#REF!</f>
        <v>#REF!</v>
      </c>
      <c r="I27" s="762" t="e">
        <f>#REF!</f>
        <v>#REF!</v>
      </c>
      <c r="J27" s="762" t="e">
        <f>#REF!</f>
        <v>#REF!</v>
      </c>
    </row>
    <row r="28" spans="1:10">
      <c r="A28" s="760" t="s">
        <v>39</v>
      </c>
      <c r="B28" s="761" t="e">
        <f>#REF!</f>
        <v>#REF!</v>
      </c>
      <c r="C28" s="761" t="e">
        <f>#REF!</f>
        <v>#REF!</v>
      </c>
      <c r="D28" s="761" t="e">
        <f>#REF!</f>
        <v>#REF!</v>
      </c>
      <c r="E28" s="761" t="e">
        <f>#REF!</f>
        <v>#REF!</v>
      </c>
      <c r="F28" s="761" t="e">
        <f>#REF!</f>
        <v>#REF!</v>
      </c>
      <c r="G28" s="762" t="e">
        <f>#REF!</f>
        <v>#REF!</v>
      </c>
      <c r="H28" s="762" t="e">
        <f>#REF!</f>
        <v>#REF!</v>
      </c>
      <c r="I28" s="762" t="e">
        <f>#REF!</f>
        <v>#REF!</v>
      </c>
      <c r="J28" s="762" t="e">
        <f>#REF!</f>
        <v>#REF!</v>
      </c>
    </row>
    <row r="29" spans="1:10">
      <c r="A29" s="760" t="s">
        <v>40</v>
      </c>
      <c r="B29" s="761" t="e">
        <f>#REF!</f>
        <v>#REF!</v>
      </c>
      <c r="C29" s="761" t="e">
        <f>#REF!</f>
        <v>#REF!</v>
      </c>
      <c r="D29" s="761" t="e">
        <f>#REF!</f>
        <v>#REF!</v>
      </c>
      <c r="E29" s="761" t="e">
        <f>#REF!</f>
        <v>#REF!</v>
      </c>
      <c r="F29" s="761" t="e">
        <f>#REF!</f>
        <v>#REF!</v>
      </c>
      <c r="G29" s="762" t="e">
        <f>#REF!</f>
        <v>#REF!</v>
      </c>
      <c r="H29" s="762" t="e">
        <f>#REF!</f>
        <v>#REF!</v>
      </c>
      <c r="I29" s="762" t="e">
        <f>#REF!</f>
        <v>#REF!</v>
      </c>
      <c r="J29" s="762" t="e">
        <f>#REF!</f>
        <v>#REF!</v>
      </c>
    </row>
    <row r="30" spans="1:10">
      <c r="A30" s="760" t="s">
        <v>41</v>
      </c>
      <c r="B30" s="761" t="e">
        <f>#REF!</f>
        <v>#REF!</v>
      </c>
      <c r="C30" s="761" t="e">
        <f>#REF!</f>
        <v>#REF!</v>
      </c>
      <c r="D30" s="761" t="e">
        <f>#REF!</f>
        <v>#REF!</v>
      </c>
      <c r="E30" s="761" t="e">
        <f>#REF!</f>
        <v>#REF!</v>
      </c>
      <c r="F30" s="761" t="e">
        <f>#REF!</f>
        <v>#REF!</v>
      </c>
      <c r="G30" s="762" t="e">
        <f>#REF!</f>
        <v>#REF!</v>
      </c>
      <c r="H30" s="762" t="e">
        <f>#REF!</f>
        <v>#REF!</v>
      </c>
      <c r="I30" s="762" t="e">
        <f>#REF!</f>
        <v>#REF!</v>
      </c>
      <c r="J30" s="762" t="e">
        <f>#REF!</f>
        <v>#REF!</v>
      </c>
    </row>
    <row r="31" spans="1:10">
      <c r="A31" s="760" t="s">
        <v>42</v>
      </c>
      <c r="B31" s="761" t="e">
        <f>#REF!</f>
        <v>#REF!</v>
      </c>
      <c r="C31" s="761" t="e">
        <f>#REF!</f>
        <v>#REF!</v>
      </c>
      <c r="D31" s="761" t="e">
        <f>#REF!</f>
        <v>#REF!</v>
      </c>
      <c r="E31" s="761" t="e">
        <f>#REF!</f>
        <v>#REF!</v>
      </c>
      <c r="F31" s="761" t="e">
        <f>#REF!</f>
        <v>#REF!</v>
      </c>
      <c r="G31" s="762" t="e">
        <f>#REF!</f>
        <v>#REF!</v>
      </c>
      <c r="H31" s="762" t="e">
        <f>#REF!</f>
        <v>#REF!</v>
      </c>
      <c r="I31" s="762" t="e">
        <f>#REF!</f>
        <v>#REF!</v>
      </c>
      <c r="J31" s="762" t="e">
        <f>#REF!</f>
        <v>#REF!</v>
      </c>
    </row>
    <row r="32" spans="1:10">
      <c r="A32" s="760" t="s">
        <v>43</v>
      </c>
      <c r="B32" s="761" t="e">
        <f>#REF!</f>
        <v>#REF!</v>
      </c>
      <c r="C32" s="761" t="e">
        <f>#REF!</f>
        <v>#REF!</v>
      </c>
      <c r="D32" s="761" t="e">
        <f>#REF!</f>
        <v>#REF!</v>
      </c>
      <c r="E32" s="761" t="e">
        <f>#REF!</f>
        <v>#REF!</v>
      </c>
      <c r="F32" s="761" t="e">
        <f>#REF!</f>
        <v>#REF!</v>
      </c>
      <c r="G32" s="762" t="e">
        <f>#REF!</f>
        <v>#REF!</v>
      </c>
      <c r="H32" s="762" t="e">
        <f>#REF!</f>
        <v>#REF!</v>
      </c>
      <c r="I32" s="762" t="e">
        <f>#REF!</f>
        <v>#REF!</v>
      </c>
      <c r="J32" s="762" t="e">
        <f>#REF!</f>
        <v>#REF!</v>
      </c>
    </row>
    <row r="33" spans="1:10">
      <c r="A33" s="760" t="s">
        <v>44</v>
      </c>
      <c r="B33" s="761" t="e">
        <f>#REF!</f>
        <v>#REF!</v>
      </c>
      <c r="C33" s="761" t="e">
        <f>#REF!</f>
        <v>#REF!</v>
      </c>
      <c r="D33" s="761" t="e">
        <f>#REF!</f>
        <v>#REF!</v>
      </c>
      <c r="E33" s="761" t="e">
        <f>#REF!</f>
        <v>#REF!</v>
      </c>
      <c r="F33" s="761" t="e">
        <f>#REF!</f>
        <v>#REF!</v>
      </c>
      <c r="G33" s="762" t="e">
        <f>#REF!</f>
        <v>#REF!</v>
      </c>
      <c r="H33" s="762" t="e">
        <f>#REF!</f>
        <v>#REF!</v>
      </c>
      <c r="I33" s="762" t="e">
        <f>#REF!</f>
        <v>#REF!</v>
      </c>
      <c r="J33" s="762" t="e">
        <f>#REF!</f>
        <v>#REF!</v>
      </c>
    </row>
    <row r="34" spans="1:10">
      <c r="A34" s="760" t="s">
        <v>45</v>
      </c>
      <c r="B34" s="761" t="e">
        <f>#REF!</f>
        <v>#REF!</v>
      </c>
      <c r="C34" s="761" t="e">
        <f>#REF!</f>
        <v>#REF!</v>
      </c>
      <c r="D34" s="761" t="e">
        <f>#REF!</f>
        <v>#REF!</v>
      </c>
      <c r="E34" s="761" t="e">
        <f>#REF!</f>
        <v>#REF!</v>
      </c>
      <c r="F34" s="761" t="e">
        <f>#REF!</f>
        <v>#REF!</v>
      </c>
      <c r="G34" s="762" t="e">
        <f>#REF!</f>
        <v>#REF!</v>
      </c>
      <c r="H34" s="762" t="e">
        <f>#REF!</f>
        <v>#REF!</v>
      </c>
      <c r="I34" s="762" t="e">
        <f>#REF!</f>
        <v>#REF!</v>
      </c>
      <c r="J34" s="762" t="e">
        <f>#REF!</f>
        <v>#REF!</v>
      </c>
    </row>
    <row r="35" spans="1:10">
      <c r="A35" s="760" t="s">
        <v>46</v>
      </c>
      <c r="B35" s="761" t="e">
        <f>#REF!</f>
        <v>#REF!</v>
      </c>
      <c r="C35" s="761" t="e">
        <f>#REF!</f>
        <v>#REF!</v>
      </c>
      <c r="D35" s="761" t="e">
        <f>#REF!</f>
        <v>#REF!</v>
      </c>
      <c r="E35" s="761" t="e">
        <f>#REF!</f>
        <v>#REF!</v>
      </c>
      <c r="F35" s="761" t="e">
        <f>#REF!</f>
        <v>#REF!</v>
      </c>
      <c r="G35" s="762" t="e">
        <f>#REF!</f>
        <v>#REF!</v>
      </c>
      <c r="H35" s="762" t="e">
        <f>#REF!</f>
        <v>#REF!</v>
      </c>
      <c r="I35" s="762" t="e">
        <f>#REF!</f>
        <v>#REF!</v>
      </c>
      <c r="J35" s="762" t="e">
        <f>#REF!</f>
        <v>#REF!</v>
      </c>
    </row>
    <row r="36" spans="1:10">
      <c r="A36" s="763" t="s">
        <v>47</v>
      </c>
      <c r="B36" s="764" t="e">
        <f>#REF!</f>
        <v>#REF!</v>
      </c>
      <c r="C36" s="764" t="e">
        <f>#REF!</f>
        <v>#REF!</v>
      </c>
      <c r="D36" s="764" t="e">
        <f>#REF!</f>
        <v>#REF!</v>
      </c>
      <c r="E36" s="764" t="e">
        <f>#REF!</f>
        <v>#REF!</v>
      </c>
      <c r="F36" s="764" t="e">
        <f>#REF!</f>
        <v>#REF!</v>
      </c>
      <c r="G36" s="765" t="e">
        <f>#REF!</f>
        <v>#REF!</v>
      </c>
      <c r="H36" s="765" t="e">
        <f>#REF!</f>
        <v>#REF!</v>
      </c>
      <c r="I36" s="765" t="e">
        <f>#REF!</f>
        <v>#REF!</v>
      </c>
      <c r="J36" s="765" t="e">
        <f>#REF!</f>
        <v>#REF!</v>
      </c>
    </row>
    <row r="37" spans="1:10" s="781" customFormat="1" ht="19.5" customHeight="1">
      <c r="A37" s="780" t="s">
        <v>399</v>
      </c>
      <c r="B37" s="780"/>
      <c r="C37" s="780"/>
      <c r="D37" s="780"/>
      <c r="E37" s="780"/>
      <c r="F37" s="780"/>
      <c r="G37" s="780"/>
      <c r="H37" s="780"/>
      <c r="I37" s="780"/>
      <c r="J37" s="780"/>
    </row>
    <row r="38" spans="1:10">
      <c r="A38" s="753"/>
      <c r="B38" s="753"/>
      <c r="C38" s="753"/>
      <c r="D38" s="753"/>
      <c r="E38" s="753"/>
      <c r="F38" s="753"/>
      <c r="G38" s="753"/>
      <c r="H38" s="753"/>
      <c r="I38" s="753"/>
      <c r="J38" s="753"/>
    </row>
    <row r="39" spans="1:10">
      <c r="A39" s="753" t="s">
        <v>367</v>
      </c>
      <c r="B39" s="766" t="e">
        <f>B4/$J4</f>
        <v>#REF!</v>
      </c>
      <c r="C39" s="766" t="e">
        <f t="shared" ref="C39:J39" si="0">C4/$J4</f>
        <v>#REF!</v>
      </c>
      <c r="D39" s="766" t="e">
        <f t="shared" si="0"/>
        <v>#REF!</v>
      </c>
      <c r="E39" s="766" t="e">
        <f t="shared" si="0"/>
        <v>#REF!</v>
      </c>
      <c r="F39" s="766" t="e">
        <f t="shared" si="0"/>
        <v>#REF!</v>
      </c>
      <c r="G39" s="766" t="e">
        <f t="shared" si="0"/>
        <v>#REF!</v>
      </c>
      <c r="H39" s="766" t="e">
        <f t="shared" si="0"/>
        <v>#REF!</v>
      </c>
      <c r="I39" s="766" t="e">
        <f t="shared" si="0"/>
        <v>#REF!</v>
      </c>
      <c r="J39" s="766" t="e">
        <f t="shared" si="0"/>
        <v>#REF!</v>
      </c>
    </row>
    <row r="40" spans="1:10">
      <c r="A40" s="767" t="s">
        <v>368</v>
      </c>
      <c r="B40" s="768">
        <v>5037060.7797273817</v>
      </c>
      <c r="C40" s="768">
        <v>3216120.7955525336</v>
      </c>
      <c r="D40" s="768">
        <v>419487.23667463451</v>
      </c>
      <c r="E40" s="768">
        <v>703970.54159291286</v>
      </c>
      <c r="F40" s="768">
        <v>233668.96247223933</v>
      </c>
      <c r="G40" s="768">
        <v>547924.94382069167</v>
      </c>
      <c r="H40" s="768">
        <v>706749.59472046536</v>
      </c>
      <c r="I40" s="768">
        <v>1142549.7473915643</v>
      </c>
      <c r="J40" s="768">
        <v>12007532.601952426</v>
      </c>
    </row>
    <row r="41" spans="1:10">
      <c r="A41" s="753" t="s">
        <v>252</v>
      </c>
      <c r="B41" s="768" t="e">
        <f>B4-B40</f>
        <v>#REF!</v>
      </c>
      <c r="C41" s="768" t="e">
        <f t="shared" ref="C41:J41" si="1">C4-C40</f>
        <v>#REF!</v>
      </c>
      <c r="D41" s="768" t="e">
        <f t="shared" si="1"/>
        <v>#REF!</v>
      </c>
      <c r="E41" s="768" t="e">
        <f t="shared" si="1"/>
        <v>#REF!</v>
      </c>
      <c r="F41" s="768" t="e">
        <f t="shared" si="1"/>
        <v>#REF!</v>
      </c>
      <c r="G41" s="768" t="e">
        <f t="shared" si="1"/>
        <v>#REF!</v>
      </c>
      <c r="H41" s="768" t="e">
        <f t="shared" si="1"/>
        <v>#REF!</v>
      </c>
      <c r="I41" s="768" t="e">
        <f t="shared" si="1"/>
        <v>#REF!</v>
      </c>
      <c r="J41" s="768" t="e">
        <f t="shared" si="1"/>
        <v>#REF!</v>
      </c>
    </row>
    <row r="42" spans="1:10">
      <c r="A42" s="753" t="s">
        <v>265</v>
      </c>
      <c r="B42" s="766" t="e">
        <f>B41/B40</f>
        <v>#REF!</v>
      </c>
      <c r="C42" s="766" t="e">
        <f t="shared" ref="C42:J42" si="2">C41/C40</f>
        <v>#REF!</v>
      </c>
      <c r="D42" s="766" t="e">
        <f t="shared" si="2"/>
        <v>#REF!</v>
      </c>
      <c r="E42" s="766" t="e">
        <f t="shared" si="2"/>
        <v>#REF!</v>
      </c>
      <c r="F42" s="766" t="e">
        <f t="shared" si="2"/>
        <v>#REF!</v>
      </c>
      <c r="G42" s="766" t="e">
        <f t="shared" si="2"/>
        <v>#REF!</v>
      </c>
      <c r="H42" s="766" t="e">
        <f t="shared" si="2"/>
        <v>#REF!</v>
      </c>
      <c r="I42" s="766" t="e">
        <f t="shared" si="2"/>
        <v>#REF!</v>
      </c>
      <c r="J42" s="766" t="e">
        <f t="shared" si="2"/>
        <v>#REF!</v>
      </c>
    </row>
    <row r="45" spans="1:10">
      <c r="A45" s="752" t="s">
        <v>459</v>
      </c>
      <c r="B45" s="753"/>
      <c r="C45" s="753"/>
      <c r="D45" s="753"/>
      <c r="E45" s="753"/>
      <c r="F45" s="753"/>
      <c r="G45" s="753"/>
      <c r="H45" s="753"/>
      <c r="I45" s="753"/>
      <c r="J45" s="753"/>
    </row>
    <row r="46" spans="1:10" ht="38.25">
      <c r="A46" s="754"/>
      <c r="B46" s="769" t="s">
        <v>52</v>
      </c>
      <c r="C46" s="769" t="s">
        <v>53</v>
      </c>
      <c r="D46" s="769" t="s">
        <v>247</v>
      </c>
      <c r="E46" s="769" t="s">
        <v>55</v>
      </c>
      <c r="F46" s="770" t="s">
        <v>248</v>
      </c>
      <c r="G46" s="769" t="s">
        <v>264</v>
      </c>
      <c r="H46" s="769" t="s">
        <v>398</v>
      </c>
      <c r="I46" s="770" t="s">
        <v>400</v>
      </c>
      <c r="J46" s="770" t="s">
        <v>364</v>
      </c>
    </row>
    <row r="47" spans="1:10">
      <c r="A47" s="757" t="s">
        <v>251</v>
      </c>
      <c r="B47" s="758" t="e">
        <f>#REF!</f>
        <v>#REF!</v>
      </c>
      <c r="C47" s="758" t="e">
        <f>#REF!</f>
        <v>#REF!</v>
      </c>
      <c r="D47" s="758" t="e">
        <f>#REF!</f>
        <v>#REF!</v>
      </c>
      <c r="E47" s="758" t="e">
        <f>#REF!</f>
        <v>#REF!</v>
      </c>
      <c r="F47" s="758" t="e">
        <f>#REF!</f>
        <v>#REF!</v>
      </c>
      <c r="G47" s="759" t="e">
        <f>#REF!</f>
        <v>#REF!</v>
      </c>
      <c r="H47" s="759" t="e">
        <f>#REF!</f>
        <v>#REF!</v>
      </c>
      <c r="I47" s="759" t="e">
        <f>#REF!</f>
        <v>#REF!</v>
      </c>
      <c r="J47" s="759" t="e">
        <f>#REF!</f>
        <v>#REF!</v>
      </c>
    </row>
    <row r="48" spans="1:10">
      <c r="A48" s="760" t="s">
        <v>3</v>
      </c>
      <c r="B48" s="761" t="e">
        <f>#REF!</f>
        <v>#REF!</v>
      </c>
      <c r="C48" s="761" t="e">
        <f>#REF!</f>
        <v>#REF!</v>
      </c>
      <c r="D48" s="761" t="e">
        <f>#REF!</f>
        <v>#REF!</v>
      </c>
      <c r="E48" s="761" t="e">
        <f>#REF!</f>
        <v>#REF!</v>
      </c>
      <c r="F48" s="761" t="e">
        <f>#REF!</f>
        <v>#REF!</v>
      </c>
      <c r="G48" s="762" t="e">
        <f>#REF!</f>
        <v>#REF!</v>
      </c>
      <c r="H48" s="762" t="e">
        <f>#REF!</f>
        <v>#REF!</v>
      </c>
      <c r="I48" s="762" t="e">
        <f>#REF!</f>
        <v>#REF!</v>
      </c>
      <c r="J48" s="762" t="e">
        <f>#REF!</f>
        <v>#REF!</v>
      </c>
    </row>
    <row r="49" spans="1:10">
      <c r="A49" s="760" t="s">
        <v>4</v>
      </c>
      <c r="B49" s="761" t="e">
        <f>#REF!</f>
        <v>#REF!</v>
      </c>
      <c r="C49" s="761" t="e">
        <f>#REF!</f>
        <v>#REF!</v>
      </c>
      <c r="D49" s="761" t="e">
        <f>#REF!</f>
        <v>#REF!</v>
      </c>
      <c r="E49" s="761" t="e">
        <f>#REF!</f>
        <v>#REF!</v>
      </c>
      <c r="F49" s="761" t="e">
        <f>#REF!</f>
        <v>#REF!</v>
      </c>
      <c r="G49" s="762" t="e">
        <f>#REF!</f>
        <v>#REF!</v>
      </c>
      <c r="H49" s="762" t="e">
        <f>#REF!</f>
        <v>#REF!</v>
      </c>
      <c r="I49" s="762" t="e">
        <f>#REF!</f>
        <v>#REF!</v>
      </c>
      <c r="J49" s="762" t="e">
        <f>#REF!</f>
        <v>#REF!</v>
      </c>
    </row>
    <row r="50" spans="1:10">
      <c r="A50" s="760" t="s">
        <v>5</v>
      </c>
      <c r="B50" s="761" t="e">
        <f>#REF!</f>
        <v>#REF!</v>
      </c>
      <c r="C50" s="761" t="e">
        <f>#REF!</f>
        <v>#REF!</v>
      </c>
      <c r="D50" s="761" t="e">
        <f>#REF!</f>
        <v>#REF!</v>
      </c>
      <c r="E50" s="761" t="e">
        <f>#REF!</f>
        <v>#REF!</v>
      </c>
      <c r="F50" s="761" t="e">
        <f>#REF!</f>
        <v>#REF!</v>
      </c>
      <c r="G50" s="762" t="e">
        <f>#REF!</f>
        <v>#REF!</v>
      </c>
      <c r="H50" s="762" t="e">
        <f>#REF!</f>
        <v>#REF!</v>
      </c>
      <c r="I50" s="762" t="e">
        <f>#REF!</f>
        <v>#REF!</v>
      </c>
      <c r="J50" s="762" t="e">
        <f>#REF!</f>
        <v>#REF!</v>
      </c>
    </row>
    <row r="51" spans="1:10">
      <c r="A51" s="760" t="s">
        <v>6</v>
      </c>
      <c r="B51" s="761" t="e">
        <f>#REF!</f>
        <v>#REF!</v>
      </c>
      <c r="C51" s="761" t="e">
        <f>#REF!</f>
        <v>#REF!</v>
      </c>
      <c r="D51" s="761" t="e">
        <f>#REF!</f>
        <v>#REF!</v>
      </c>
      <c r="E51" s="761" t="e">
        <f>#REF!</f>
        <v>#REF!</v>
      </c>
      <c r="F51" s="761" t="e">
        <f>#REF!</f>
        <v>#REF!</v>
      </c>
      <c r="G51" s="762" t="e">
        <f>#REF!</f>
        <v>#REF!</v>
      </c>
      <c r="H51" s="762" t="e">
        <f>#REF!</f>
        <v>#REF!</v>
      </c>
      <c r="I51" s="762" t="e">
        <f>#REF!</f>
        <v>#REF!</v>
      </c>
      <c r="J51" s="762" t="e">
        <f>#REF!</f>
        <v>#REF!</v>
      </c>
    </row>
    <row r="52" spans="1:10">
      <c r="A52" s="760" t="s">
        <v>8</v>
      </c>
      <c r="B52" s="761" t="e">
        <f>#REF!</f>
        <v>#REF!</v>
      </c>
      <c r="C52" s="761" t="e">
        <f>#REF!</f>
        <v>#REF!</v>
      </c>
      <c r="D52" s="761" t="e">
        <f>#REF!</f>
        <v>#REF!</v>
      </c>
      <c r="E52" s="761" t="e">
        <f>#REF!</f>
        <v>#REF!</v>
      </c>
      <c r="F52" s="761" t="e">
        <f>#REF!</f>
        <v>#REF!</v>
      </c>
      <c r="G52" s="762" t="e">
        <f>#REF!</f>
        <v>#REF!</v>
      </c>
      <c r="H52" s="762" t="e">
        <f>#REF!</f>
        <v>#REF!</v>
      </c>
      <c r="I52" s="762" t="e">
        <f>#REF!</f>
        <v>#REF!</v>
      </c>
      <c r="J52" s="762" t="e">
        <f>#REF!</f>
        <v>#REF!</v>
      </c>
    </row>
    <row r="53" spans="1:10">
      <c r="A53" s="760" t="s">
        <v>9</v>
      </c>
      <c r="B53" s="761" t="e">
        <f>#REF!</f>
        <v>#REF!</v>
      </c>
      <c r="C53" s="761" t="e">
        <f>#REF!</f>
        <v>#REF!</v>
      </c>
      <c r="D53" s="761" t="e">
        <f>#REF!</f>
        <v>#REF!</v>
      </c>
      <c r="E53" s="761" t="e">
        <f>#REF!</f>
        <v>#REF!</v>
      </c>
      <c r="F53" s="761" t="e">
        <f>#REF!</f>
        <v>#REF!</v>
      </c>
      <c r="G53" s="762" t="e">
        <f>#REF!</f>
        <v>#REF!</v>
      </c>
      <c r="H53" s="762" t="e">
        <f>#REF!</f>
        <v>#REF!</v>
      </c>
      <c r="I53" s="762" t="e">
        <f>#REF!</f>
        <v>#REF!</v>
      </c>
      <c r="J53" s="762" t="e">
        <f>#REF!</f>
        <v>#REF!</v>
      </c>
    </row>
    <row r="54" spans="1:10">
      <c r="A54" s="760" t="s">
        <v>11</v>
      </c>
      <c r="B54" s="761" t="e">
        <f>#REF!</f>
        <v>#REF!</v>
      </c>
      <c r="C54" s="761" t="e">
        <f>#REF!</f>
        <v>#REF!</v>
      </c>
      <c r="D54" s="761" t="e">
        <f>#REF!</f>
        <v>#REF!</v>
      </c>
      <c r="E54" s="761" t="e">
        <f>#REF!</f>
        <v>#REF!</v>
      </c>
      <c r="F54" s="761" t="e">
        <f>#REF!</f>
        <v>#REF!</v>
      </c>
      <c r="G54" s="762" t="e">
        <f>#REF!</f>
        <v>#REF!</v>
      </c>
      <c r="H54" s="762" t="e">
        <f>#REF!</f>
        <v>#REF!</v>
      </c>
      <c r="I54" s="762" t="e">
        <f>#REF!</f>
        <v>#REF!</v>
      </c>
      <c r="J54" s="762" t="e">
        <f>#REF!</f>
        <v>#REF!</v>
      </c>
    </row>
    <row r="55" spans="1:10">
      <c r="A55" s="760" t="s">
        <v>13</v>
      </c>
      <c r="B55" s="761" t="e">
        <f>#REF!</f>
        <v>#REF!</v>
      </c>
      <c r="C55" s="761" t="e">
        <f>#REF!</f>
        <v>#REF!</v>
      </c>
      <c r="D55" s="761" t="e">
        <f>#REF!</f>
        <v>#REF!</v>
      </c>
      <c r="E55" s="761" t="e">
        <f>#REF!</f>
        <v>#REF!</v>
      </c>
      <c r="F55" s="761" t="e">
        <f>#REF!</f>
        <v>#REF!</v>
      </c>
      <c r="G55" s="762" t="e">
        <f>#REF!</f>
        <v>#REF!</v>
      </c>
      <c r="H55" s="762" t="e">
        <f>#REF!</f>
        <v>#REF!</v>
      </c>
      <c r="I55" s="762" t="e">
        <f>#REF!</f>
        <v>#REF!</v>
      </c>
      <c r="J55" s="762" t="e">
        <f>#REF!</f>
        <v>#REF!</v>
      </c>
    </row>
    <row r="56" spans="1:10">
      <c r="A56" s="760" t="s">
        <v>16</v>
      </c>
      <c r="B56" s="761" t="e">
        <f>#REF!</f>
        <v>#REF!</v>
      </c>
      <c r="C56" s="761" t="e">
        <f>#REF!</f>
        <v>#REF!</v>
      </c>
      <c r="D56" s="761" t="e">
        <f>#REF!</f>
        <v>#REF!</v>
      </c>
      <c r="E56" s="761" t="e">
        <f>#REF!</f>
        <v>#REF!</v>
      </c>
      <c r="F56" s="761" t="e">
        <f>#REF!</f>
        <v>#REF!</v>
      </c>
      <c r="G56" s="762" t="e">
        <f>#REF!</f>
        <v>#REF!</v>
      </c>
      <c r="H56" s="762" t="e">
        <f>#REF!</f>
        <v>#REF!</v>
      </c>
      <c r="I56" s="762" t="e">
        <f>#REF!</f>
        <v>#REF!</v>
      </c>
      <c r="J56" s="762" t="e">
        <f>#REF!</f>
        <v>#REF!</v>
      </c>
    </row>
    <row r="57" spans="1:10">
      <c r="A57" s="760" t="s">
        <v>19</v>
      </c>
      <c r="B57" s="761" t="e">
        <f>#REF!</f>
        <v>#REF!</v>
      </c>
      <c r="C57" s="761" t="e">
        <f>#REF!</f>
        <v>#REF!</v>
      </c>
      <c r="D57" s="761" t="e">
        <f>#REF!</f>
        <v>#REF!</v>
      </c>
      <c r="E57" s="761" t="e">
        <f>#REF!</f>
        <v>#REF!</v>
      </c>
      <c r="F57" s="761" t="e">
        <f>#REF!</f>
        <v>#REF!</v>
      </c>
      <c r="G57" s="762" t="e">
        <f>#REF!</f>
        <v>#REF!</v>
      </c>
      <c r="H57" s="762" t="e">
        <f>#REF!</f>
        <v>#REF!</v>
      </c>
      <c r="I57" s="762" t="e">
        <f>#REF!</f>
        <v>#REF!</v>
      </c>
      <c r="J57" s="762" t="e">
        <f>#REF!</f>
        <v>#REF!</v>
      </c>
    </row>
    <row r="58" spans="1:10">
      <c r="A58" s="760" t="s">
        <v>22</v>
      </c>
      <c r="B58" s="761" t="e">
        <f>#REF!</f>
        <v>#REF!</v>
      </c>
      <c r="C58" s="761" t="e">
        <f>#REF!</f>
        <v>#REF!</v>
      </c>
      <c r="D58" s="761" t="e">
        <f>#REF!</f>
        <v>#REF!</v>
      </c>
      <c r="E58" s="761" t="e">
        <f>#REF!</f>
        <v>#REF!</v>
      </c>
      <c r="F58" s="761" t="e">
        <f>#REF!</f>
        <v>#REF!</v>
      </c>
      <c r="G58" s="762" t="e">
        <f>#REF!</f>
        <v>#REF!</v>
      </c>
      <c r="H58" s="762" t="e">
        <f>#REF!</f>
        <v>#REF!</v>
      </c>
      <c r="I58" s="762" t="e">
        <f>#REF!</f>
        <v>#REF!</v>
      </c>
      <c r="J58" s="762" t="e">
        <f>#REF!</f>
        <v>#REF!</v>
      </c>
    </row>
    <row r="59" spans="1:10">
      <c r="A59" s="760" t="s">
        <v>25</v>
      </c>
      <c r="B59" s="761" t="e">
        <f>#REF!</f>
        <v>#REF!</v>
      </c>
      <c r="C59" s="761" t="e">
        <f>#REF!</f>
        <v>#REF!</v>
      </c>
      <c r="D59" s="761" t="e">
        <f>#REF!</f>
        <v>#REF!</v>
      </c>
      <c r="E59" s="761" t="e">
        <f>#REF!</f>
        <v>#REF!</v>
      </c>
      <c r="F59" s="761" t="e">
        <f>#REF!</f>
        <v>#REF!</v>
      </c>
      <c r="G59" s="762" t="e">
        <f>#REF!</f>
        <v>#REF!</v>
      </c>
      <c r="H59" s="762" t="e">
        <f>#REF!</f>
        <v>#REF!</v>
      </c>
      <c r="I59" s="762" t="e">
        <f>#REF!</f>
        <v>#REF!</v>
      </c>
      <c r="J59" s="762" t="e">
        <f>#REF!</f>
        <v>#REF!</v>
      </c>
    </row>
    <row r="60" spans="1:10">
      <c r="A60" s="760" t="s">
        <v>26</v>
      </c>
      <c r="B60" s="761" t="e">
        <f>#REF!</f>
        <v>#REF!</v>
      </c>
      <c r="C60" s="761" t="e">
        <f>#REF!</f>
        <v>#REF!</v>
      </c>
      <c r="D60" s="761" t="e">
        <f>#REF!</f>
        <v>#REF!</v>
      </c>
      <c r="E60" s="761" t="e">
        <f>#REF!</f>
        <v>#REF!</v>
      </c>
      <c r="F60" s="761" t="e">
        <f>#REF!</f>
        <v>#REF!</v>
      </c>
      <c r="G60" s="762" t="e">
        <f>#REF!</f>
        <v>#REF!</v>
      </c>
      <c r="H60" s="762" t="e">
        <f>#REF!</f>
        <v>#REF!</v>
      </c>
      <c r="I60" s="762" t="e">
        <f>#REF!</f>
        <v>#REF!</v>
      </c>
      <c r="J60" s="762" t="e">
        <f>#REF!</f>
        <v>#REF!</v>
      </c>
    </row>
    <row r="61" spans="1:10">
      <c r="A61" s="760" t="s">
        <v>28</v>
      </c>
      <c r="B61" s="761" t="e">
        <f>#REF!</f>
        <v>#REF!</v>
      </c>
      <c r="C61" s="761" t="e">
        <f>#REF!</f>
        <v>#REF!</v>
      </c>
      <c r="D61" s="761" t="e">
        <f>#REF!</f>
        <v>#REF!</v>
      </c>
      <c r="E61" s="761" t="e">
        <f>#REF!</f>
        <v>#REF!</v>
      </c>
      <c r="F61" s="761" t="e">
        <f>#REF!</f>
        <v>#REF!</v>
      </c>
      <c r="G61" s="762" t="e">
        <f>#REF!</f>
        <v>#REF!</v>
      </c>
      <c r="H61" s="762" t="e">
        <f>#REF!</f>
        <v>#REF!</v>
      </c>
      <c r="I61" s="762" t="e">
        <f>#REF!</f>
        <v>#REF!</v>
      </c>
      <c r="J61" s="762" t="e">
        <f>#REF!</f>
        <v>#REF!</v>
      </c>
    </row>
    <row r="62" spans="1:10">
      <c r="A62" s="760" t="s">
        <v>29</v>
      </c>
      <c r="B62" s="761" t="e">
        <f>#REF!</f>
        <v>#REF!</v>
      </c>
      <c r="C62" s="761" t="e">
        <f>#REF!</f>
        <v>#REF!</v>
      </c>
      <c r="D62" s="761" t="e">
        <f>#REF!</f>
        <v>#REF!</v>
      </c>
      <c r="E62" s="761" t="e">
        <f>#REF!</f>
        <v>#REF!</v>
      </c>
      <c r="F62" s="761" t="e">
        <f>#REF!</f>
        <v>#REF!</v>
      </c>
      <c r="G62" s="762" t="e">
        <f>#REF!</f>
        <v>#REF!</v>
      </c>
      <c r="H62" s="762" t="e">
        <f>#REF!</f>
        <v>#REF!</v>
      </c>
      <c r="I62" s="762" t="e">
        <f>#REF!</f>
        <v>#REF!</v>
      </c>
      <c r="J62" s="762" t="e">
        <f>#REF!</f>
        <v>#REF!</v>
      </c>
    </row>
    <row r="63" spans="1:10">
      <c r="A63" s="760" t="s">
        <v>31</v>
      </c>
      <c r="B63" s="761" t="e">
        <f>#REF!</f>
        <v>#REF!</v>
      </c>
      <c r="C63" s="761" t="e">
        <f>#REF!</f>
        <v>#REF!</v>
      </c>
      <c r="D63" s="761" t="e">
        <f>#REF!</f>
        <v>#REF!</v>
      </c>
      <c r="E63" s="761" t="e">
        <f>#REF!</f>
        <v>#REF!</v>
      </c>
      <c r="F63" s="761" t="e">
        <f>#REF!</f>
        <v>#REF!</v>
      </c>
      <c r="G63" s="762" t="e">
        <f>#REF!</f>
        <v>#REF!</v>
      </c>
      <c r="H63" s="762" t="e">
        <f>#REF!</f>
        <v>#REF!</v>
      </c>
      <c r="I63" s="762" t="e">
        <f>#REF!</f>
        <v>#REF!</v>
      </c>
      <c r="J63" s="762" t="e">
        <f>#REF!</f>
        <v>#REF!</v>
      </c>
    </row>
    <row r="64" spans="1:10">
      <c r="A64" s="760" t="s">
        <v>32</v>
      </c>
      <c r="B64" s="761" t="e">
        <f>#REF!</f>
        <v>#REF!</v>
      </c>
      <c r="C64" s="761" t="e">
        <f>#REF!</f>
        <v>#REF!</v>
      </c>
      <c r="D64" s="761" t="e">
        <f>#REF!</f>
        <v>#REF!</v>
      </c>
      <c r="E64" s="761" t="e">
        <f>#REF!</f>
        <v>#REF!</v>
      </c>
      <c r="F64" s="761" t="e">
        <f>#REF!</f>
        <v>#REF!</v>
      </c>
      <c r="G64" s="762" t="e">
        <f>#REF!</f>
        <v>#REF!</v>
      </c>
      <c r="H64" s="762" t="e">
        <f>#REF!</f>
        <v>#REF!</v>
      </c>
      <c r="I64" s="762" t="e">
        <f>#REF!</f>
        <v>#REF!</v>
      </c>
      <c r="J64" s="762" t="e">
        <f>#REF!</f>
        <v>#REF!</v>
      </c>
    </row>
    <row r="65" spans="1:10">
      <c r="A65" s="760" t="s">
        <v>33</v>
      </c>
      <c r="B65" s="761" t="e">
        <f>#REF!</f>
        <v>#REF!</v>
      </c>
      <c r="C65" s="761" t="e">
        <f>#REF!</f>
        <v>#REF!</v>
      </c>
      <c r="D65" s="761" t="e">
        <f>#REF!</f>
        <v>#REF!</v>
      </c>
      <c r="E65" s="761" t="e">
        <f>#REF!</f>
        <v>#REF!</v>
      </c>
      <c r="F65" s="761" t="e">
        <f>#REF!</f>
        <v>#REF!</v>
      </c>
      <c r="G65" s="762" t="e">
        <f>#REF!</f>
        <v>#REF!</v>
      </c>
      <c r="H65" s="762" t="e">
        <f>#REF!</f>
        <v>#REF!</v>
      </c>
      <c r="I65" s="762" t="e">
        <f>#REF!</f>
        <v>#REF!</v>
      </c>
      <c r="J65" s="762" t="e">
        <f>#REF!</f>
        <v>#REF!</v>
      </c>
    </row>
    <row r="66" spans="1:10">
      <c r="A66" s="760" t="s">
        <v>34</v>
      </c>
      <c r="B66" s="761" t="e">
        <f>#REF!</f>
        <v>#REF!</v>
      </c>
      <c r="C66" s="761" t="e">
        <f>#REF!</f>
        <v>#REF!</v>
      </c>
      <c r="D66" s="761" t="e">
        <f>#REF!</f>
        <v>#REF!</v>
      </c>
      <c r="E66" s="761" t="e">
        <f>#REF!</f>
        <v>#REF!</v>
      </c>
      <c r="F66" s="761" t="e">
        <f>#REF!</f>
        <v>#REF!</v>
      </c>
      <c r="G66" s="762" t="e">
        <f>#REF!</f>
        <v>#REF!</v>
      </c>
      <c r="H66" s="762" t="e">
        <f>#REF!</f>
        <v>#REF!</v>
      </c>
      <c r="I66" s="762" t="e">
        <f>#REF!</f>
        <v>#REF!</v>
      </c>
      <c r="J66" s="762" t="e">
        <f>#REF!</f>
        <v>#REF!</v>
      </c>
    </row>
    <row r="67" spans="1:10">
      <c r="A67" s="760" t="s">
        <v>35</v>
      </c>
      <c r="B67" s="761" t="e">
        <f>#REF!</f>
        <v>#REF!</v>
      </c>
      <c r="C67" s="761" t="e">
        <f>#REF!</f>
        <v>#REF!</v>
      </c>
      <c r="D67" s="761" t="e">
        <f>#REF!</f>
        <v>#REF!</v>
      </c>
      <c r="E67" s="761" t="e">
        <f>#REF!</f>
        <v>#REF!</v>
      </c>
      <c r="F67" s="761" t="e">
        <f>#REF!</f>
        <v>#REF!</v>
      </c>
      <c r="G67" s="762" t="e">
        <f>#REF!</f>
        <v>#REF!</v>
      </c>
      <c r="H67" s="762" t="e">
        <f>#REF!</f>
        <v>#REF!</v>
      </c>
      <c r="I67" s="762" t="e">
        <f>#REF!</f>
        <v>#REF!</v>
      </c>
      <c r="J67" s="762" t="e">
        <f>#REF!</f>
        <v>#REF!</v>
      </c>
    </row>
    <row r="68" spans="1:10">
      <c r="A68" s="760" t="s">
        <v>36</v>
      </c>
      <c r="B68" s="761" t="e">
        <f>#REF!</f>
        <v>#REF!</v>
      </c>
      <c r="C68" s="761" t="e">
        <f>#REF!</f>
        <v>#REF!</v>
      </c>
      <c r="D68" s="761" t="e">
        <f>#REF!</f>
        <v>#REF!</v>
      </c>
      <c r="E68" s="761" t="e">
        <f>#REF!</f>
        <v>#REF!</v>
      </c>
      <c r="F68" s="761" t="e">
        <f>#REF!</f>
        <v>#REF!</v>
      </c>
      <c r="G68" s="762" t="e">
        <f>#REF!</f>
        <v>#REF!</v>
      </c>
      <c r="H68" s="762" t="e">
        <f>#REF!</f>
        <v>#REF!</v>
      </c>
      <c r="I68" s="762" t="e">
        <f>#REF!</f>
        <v>#REF!</v>
      </c>
      <c r="J68" s="762" t="e">
        <f>#REF!</f>
        <v>#REF!</v>
      </c>
    </row>
    <row r="69" spans="1:10">
      <c r="A69" s="760" t="s">
        <v>37</v>
      </c>
      <c r="B69" s="761" t="e">
        <f>#REF!</f>
        <v>#REF!</v>
      </c>
      <c r="C69" s="761" t="e">
        <f>#REF!</f>
        <v>#REF!</v>
      </c>
      <c r="D69" s="761" t="e">
        <f>#REF!</f>
        <v>#REF!</v>
      </c>
      <c r="E69" s="761" t="e">
        <f>#REF!</f>
        <v>#REF!</v>
      </c>
      <c r="F69" s="761" t="e">
        <f>#REF!</f>
        <v>#REF!</v>
      </c>
      <c r="G69" s="762" t="e">
        <f>#REF!</f>
        <v>#REF!</v>
      </c>
      <c r="H69" s="762" t="e">
        <f>#REF!</f>
        <v>#REF!</v>
      </c>
      <c r="I69" s="762" t="e">
        <f>#REF!</f>
        <v>#REF!</v>
      </c>
      <c r="J69" s="762" t="e">
        <f>#REF!</f>
        <v>#REF!</v>
      </c>
    </row>
    <row r="70" spans="1:10">
      <c r="A70" s="760" t="s">
        <v>38</v>
      </c>
      <c r="B70" s="761" t="e">
        <f>#REF!</f>
        <v>#REF!</v>
      </c>
      <c r="C70" s="761" t="e">
        <f>#REF!</f>
        <v>#REF!</v>
      </c>
      <c r="D70" s="761" t="e">
        <f>#REF!</f>
        <v>#REF!</v>
      </c>
      <c r="E70" s="761" t="e">
        <f>#REF!</f>
        <v>#REF!</v>
      </c>
      <c r="F70" s="761" t="e">
        <f>#REF!</f>
        <v>#REF!</v>
      </c>
      <c r="G70" s="762" t="e">
        <f>#REF!</f>
        <v>#REF!</v>
      </c>
      <c r="H70" s="762" t="e">
        <f>#REF!</f>
        <v>#REF!</v>
      </c>
      <c r="I70" s="762" t="e">
        <f>#REF!</f>
        <v>#REF!</v>
      </c>
      <c r="J70" s="762" t="e">
        <f>#REF!</f>
        <v>#REF!</v>
      </c>
    </row>
    <row r="71" spans="1:10">
      <c r="A71" s="760" t="s">
        <v>39</v>
      </c>
      <c r="B71" s="761" t="e">
        <f>#REF!</f>
        <v>#REF!</v>
      </c>
      <c r="C71" s="761" t="e">
        <f>#REF!</f>
        <v>#REF!</v>
      </c>
      <c r="D71" s="761" t="e">
        <f>#REF!</f>
        <v>#REF!</v>
      </c>
      <c r="E71" s="761" t="e">
        <f>#REF!</f>
        <v>#REF!</v>
      </c>
      <c r="F71" s="761" t="e">
        <f>#REF!</f>
        <v>#REF!</v>
      </c>
      <c r="G71" s="762" t="e">
        <f>#REF!</f>
        <v>#REF!</v>
      </c>
      <c r="H71" s="762" t="e">
        <f>#REF!</f>
        <v>#REF!</v>
      </c>
      <c r="I71" s="762" t="e">
        <f>#REF!</f>
        <v>#REF!</v>
      </c>
      <c r="J71" s="762" t="e">
        <f>#REF!</f>
        <v>#REF!</v>
      </c>
    </row>
    <row r="72" spans="1:10">
      <c r="A72" s="760" t="s">
        <v>40</v>
      </c>
      <c r="B72" s="761" t="e">
        <f>#REF!</f>
        <v>#REF!</v>
      </c>
      <c r="C72" s="761" t="e">
        <f>#REF!</f>
        <v>#REF!</v>
      </c>
      <c r="D72" s="761" t="e">
        <f>#REF!</f>
        <v>#REF!</v>
      </c>
      <c r="E72" s="761" t="e">
        <f>#REF!</f>
        <v>#REF!</v>
      </c>
      <c r="F72" s="761" t="e">
        <f>#REF!</f>
        <v>#REF!</v>
      </c>
      <c r="G72" s="762" t="e">
        <f>#REF!</f>
        <v>#REF!</v>
      </c>
      <c r="H72" s="762" t="e">
        <f>#REF!</f>
        <v>#REF!</v>
      </c>
      <c r="I72" s="762" t="e">
        <f>#REF!</f>
        <v>#REF!</v>
      </c>
      <c r="J72" s="762" t="e">
        <f>#REF!</f>
        <v>#REF!</v>
      </c>
    </row>
    <row r="73" spans="1:10">
      <c r="A73" s="760" t="s">
        <v>41</v>
      </c>
      <c r="B73" s="761" t="e">
        <f>#REF!</f>
        <v>#REF!</v>
      </c>
      <c r="C73" s="761" t="e">
        <f>#REF!</f>
        <v>#REF!</v>
      </c>
      <c r="D73" s="761" t="e">
        <f>#REF!</f>
        <v>#REF!</v>
      </c>
      <c r="E73" s="761" t="e">
        <f>#REF!</f>
        <v>#REF!</v>
      </c>
      <c r="F73" s="761" t="e">
        <f>#REF!</f>
        <v>#REF!</v>
      </c>
      <c r="G73" s="762" t="e">
        <f>#REF!</f>
        <v>#REF!</v>
      </c>
      <c r="H73" s="762" t="e">
        <f>#REF!</f>
        <v>#REF!</v>
      </c>
      <c r="I73" s="762" t="e">
        <f>#REF!</f>
        <v>#REF!</v>
      </c>
      <c r="J73" s="762" t="e">
        <f>#REF!</f>
        <v>#REF!</v>
      </c>
    </row>
    <row r="74" spans="1:10">
      <c r="A74" s="760" t="s">
        <v>42</v>
      </c>
      <c r="B74" s="761" t="e">
        <f>#REF!</f>
        <v>#REF!</v>
      </c>
      <c r="C74" s="761" t="e">
        <f>#REF!</f>
        <v>#REF!</v>
      </c>
      <c r="D74" s="761" t="e">
        <f>#REF!</f>
        <v>#REF!</v>
      </c>
      <c r="E74" s="761" t="e">
        <f>#REF!</f>
        <v>#REF!</v>
      </c>
      <c r="F74" s="761" t="e">
        <f>#REF!</f>
        <v>#REF!</v>
      </c>
      <c r="G74" s="762" t="e">
        <f>#REF!</f>
        <v>#REF!</v>
      </c>
      <c r="H74" s="762" t="e">
        <f>#REF!</f>
        <v>#REF!</v>
      </c>
      <c r="I74" s="762" t="e">
        <f>#REF!</f>
        <v>#REF!</v>
      </c>
      <c r="J74" s="762" t="e">
        <f>#REF!</f>
        <v>#REF!</v>
      </c>
    </row>
    <row r="75" spans="1:10">
      <c r="A75" s="760" t="s">
        <v>43</v>
      </c>
      <c r="B75" s="761" t="e">
        <f>#REF!</f>
        <v>#REF!</v>
      </c>
      <c r="C75" s="761" t="e">
        <f>#REF!</f>
        <v>#REF!</v>
      </c>
      <c r="D75" s="761" t="e">
        <f>#REF!</f>
        <v>#REF!</v>
      </c>
      <c r="E75" s="761" t="e">
        <f>#REF!</f>
        <v>#REF!</v>
      </c>
      <c r="F75" s="761" t="e">
        <f>#REF!</f>
        <v>#REF!</v>
      </c>
      <c r="G75" s="762" t="e">
        <f>#REF!</f>
        <v>#REF!</v>
      </c>
      <c r="H75" s="762" t="e">
        <f>#REF!</f>
        <v>#REF!</v>
      </c>
      <c r="I75" s="762" t="e">
        <f>#REF!</f>
        <v>#REF!</v>
      </c>
      <c r="J75" s="762" t="e">
        <f>#REF!</f>
        <v>#REF!</v>
      </c>
    </row>
    <row r="76" spans="1:10">
      <c r="A76" s="760" t="s">
        <v>44</v>
      </c>
      <c r="B76" s="761" t="e">
        <f>#REF!</f>
        <v>#REF!</v>
      </c>
      <c r="C76" s="761" t="e">
        <f>#REF!</f>
        <v>#REF!</v>
      </c>
      <c r="D76" s="761" t="e">
        <f>#REF!</f>
        <v>#REF!</v>
      </c>
      <c r="E76" s="761" t="e">
        <f>#REF!</f>
        <v>#REF!</v>
      </c>
      <c r="F76" s="761" t="e">
        <f>#REF!</f>
        <v>#REF!</v>
      </c>
      <c r="G76" s="762" t="e">
        <f>#REF!</f>
        <v>#REF!</v>
      </c>
      <c r="H76" s="762" t="e">
        <f>#REF!</f>
        <v>#REF!</v>
      </c>
      <c r="I76" s="762" t="e">
        <f>#REF!</f>
        <v>#REF!</v>
      </c>
      <c r="J76" s="762" t="e">
        <f>#REF!</f>
        <v>#REF!</v>
      </c>
    </row>
    <row r="77" spans="1:10">
      <c r="A77" s="760" t="s">
        <v>45</v>
      </c>
      <c r="B77" s="761" t="e">
        <f>#REF!</f>
        <v>#REF!</v>
      </c>
      <c r="C77" s="761" t="e">
        <f>#REF!</f>
        <v>#REF!</v>
      </c>
      <c r="D77" s="761" t="e">
        <f>#REF!</f>
        <v>#REF!</v>
      </c>
      <c r="E77" s="761" t="e">
        <f>#REF!</f>
        <v>#REF!</v>
      </c>
      <c r="F77" s="761" t="e">
        <f>#REF!</f>
        <v>#REF!</v>
      </c>
      <c r="G77" s="762" t="e">
        <f>#REF!</f>
        <v>#REF!</v>
      </c>
      <c r="H77" s="762" t="e">
        <f>#REF!</f>
        <v>#REF!</v>
      </c>
      <c r="I77" s="762" t="e">
        <f>#REF!</f>
        <v>#REF!</v>
      </c>
      <c r="J77" s="762" t="e">
        <f>#REF!</f>
        <v>#REF!</v>
      </c>
    </row>
    <row r="78" spans="1:10">
      <c r="A78" s="760" t="s">
        <v>46</v>
      </c>
      <c r="B78" s="761" t="e">
        <f>#REF!</f>
        <v>#REF!</v>
      </c>
      <c r="C78" s="761" t="e">
        <f>#REF!</f>
        <v>#REF!</v>
      </c>
      <c r="D78" s="761" t="e">
        <f>#REF!</f>
        <v>#REF!</v>
      </c>
      <c r="E78" s="761" t="e">
        <f>#REF!</f>
        <v>#REF!</v>
      </c>
      <c r="F78" s="761" t="e">
        <f>#REF!</f>
        <v>#REF!</v>
      </c>
      <c r="G78" s="762" t="e">
        <f>#REF!</f>
        <v>#REF!</v>
      </c>
      <c r="H78" s="762" t="e">
        <f>#REF!</f>
        <v>#REF!</v>
      </c>
      <c r="I78" s="762" t="e">
        <f>#REF!</f>
        <v>#REF!</v>
      </c>
      <c r="J78" s="762" t="e">
        <f>#REF!</f>
        <v>#REF!</v>
      </c>
    </row>
    <row r="79" spans="1:10">
      <c r="A79" s="763" t="s">
        <v>47</v>
      </c>
      <c r="B79" s="764" t="e">
        <f>#REF!</f>
        <v>#REF!</v>
      </c>
      <c r="C79" s="764" t="e">
        <f>#REF!</f>
        <v>#REF!</v>
      </c>
      <c r="D79" s="764" t="e">
        <f>#REF!</f>
        <v>#REF!</v>
      </c>
      <c r="E79" s="764" t="e">
        <f>#REF!</f>
        <v>#REF!</v>
      </c>
      <c r="F79" s="764" t="e">
        <f>#REF!</f>
        <v>#REF!</v>
      </c>
      <c r="G79" s="765" t="e">
        <f>#REF!</f>
        <v>#REF!</v>
      </c>
      <c r="H79" s="765" t="e">
        <f>#REF!</f>
        <v>#REF!</v>
      </c>
      <c r="I79" s="765" t="e">
        <f>#REF!</f>
        <v>#REF!</v>
      </c>
      <c r="J79" s="765" t="e">
        <f>#REF!</f>
        <v>#REF!</v>
      </c>
    </row>
    <row r="80" spans="1:10" s="781" customFormat="1" ht="19.5" customHeight="1">
      <c r="A80" s="780" t="s">
        <v>399</v>
      </c>
      <c r="B80" s="780"/>
      <c r="C80" s="780"/>
      <c r="D80" s="780"/>
      <c r="E80" s="780"/>
      <c r="F80" s="780"/>
      <c r="G80" s="780"/>
      <c r="H80" s="780"/>
      <c r="I80" s="780"/>
      <c r="J80" s="780"/>
    </row>
    <row r="81" spans="1:11">
      <c r="A81" s="753"/>
      <c r="B81" s="753"/>
      <c r="C81" s="753"/>
      <c r="D81" s="753"/>
      <c r="E81" s="753"/>
      <c r="F81" s="753"/>
      <c r="G81" s="753"/>
      <c r="H81" s="753"/>
      <c r="I81" s="753"/>
      <c r="J81" s="753"/>
    </row>
    <row r="82" spans="1:11">
      <c r="A82" s="753" t="s">
        <v>367</v>
      </c>
      <c r="B82" s="766" t="e">
        <f>B47/$J47</f>
        <v>#REF!</v>
      </c>
      <c r="C82" s="766" t="e">
        <f t="shared" ref="C82:J82" si="3">C47/$J47</f>
        <v>#REF!</v>
      </c>
      <c r="D82" s="766" t="e">
        <f t="shared" si="3"/>
        <v>#REF!</v>
      </c>
      <c r="E82" s="766" t="e">
        <f t="shared" si="3"/>
        <v>#REF!</v>
      </c>
      <c r="F82" s="766" t="e">
        <f t="shared" si="3"/>
        <v>#REF!</v>
      </c>
      <c r="G82" s="766" t="e">
        <f t="shared" si="3"/>
        <v>#REF!</v>
      </c>
      <c r="H82" s="766" t="e">
        <f t="shared" si="3"/>
        <v>#REF!</v>
      </c>
      <c r="I82" s="766" t="e">
        <f t="shared" si="3"/>
        <v>#REF!</v>
      </c>
      <c r="J82" s="766" t="e">
        <f t="shared" si="3"/>
        <v>#REF!</v>
      </c>
    </row>
    <row r="83" spans="1:11">
      <c r="A83" s="767" t="s">
        <v>368</v>
      </c>
      <c r="B83" s="768">
        <v>5159034.0977718662</v>
      </c>
      <c r="C83" s="768">
        <v>3260020.4094301197</v>
      </c>
      <c r="D83" s="768">
        <v>388469.41949792526</v>
      </c>
      <c r="E83" s="768">
        <v>678978.34326248127</v>
      </c>
      <c r="F83" s="768">
        <v>241288.42553764448</v>
      </c>
      <c r="G83" s="768">
        <v>537534.410688009</v>
      </c>
      <c r="H83" s="768">
        <v>716758.60266432445</v>
      </c>
      <c r="I83" s="768">
        <v>1155168.3368833112</v>
      </c>
      <c r="J83" s="768">
        <v>12137252.04573568</v>
      </c>
    </row>
    <row r="84" spans="1:11">
      <c r="A84" s="753" t="s">
        <v>252</v>
      </c>
      <c r="B84" s="768" t="e">
        <f>B47-B83</f>
        <v>#REF!</v>
      </c>
      <c r="C84" s="768" t="e">
        <f t="shared" ref="C84:J84" si="4">C47-C83</f>
        <v>#REF!</v>
      </c>
      <c r="D84" s="768" t="e">
        <f t="shared" si="4"/>
        <v>#REF!</v>
      </c>
      <c r="E84" s="768" t="e">
        <f t="shared" si="4"/>
        <v>#REF!</v>
      </c>
      <c r="F84" s="768" t="e">
        <f t="shared" si="4"/>
        <v>#REF!</v>
      </c>
      <c r="G84" s="768" t="e">
        <f t="shared" si="4"/>
        <v>#REF!</v>
      </c>
      <c r="H84" s="768" t="e">
        <f t="shared" si="4"/>
        <v>#REF!</v>
      </c>
      <c r="I84" s="768" t="e">
        <f t="shared" si="4"/>
        <v>#REF!</v>
      </c>
      <c r="J84" s="768" t="e">
        <f t="shared" si="4"/>
        <v>#REF!</v>
      </c>
    </row>
    <row r="85" spans="1:11">
      <c r="A85" s="753" t="s">
        <v>265</v>
      </c>
      <c r="B85" s="766" t="e">
        <f>B84/B83</f>
        <v>#REF!</v>
      </c>
      <c r="C85" s="766" t="e">
        <f t="shared" ref="C85:J85" si="5">C84/C83</f>
        <v>#REF!</v>
      </c>
      <c r="D85" s="766" t="e">
        <f t="shared" si="5"/>
        <v>#REF!</v>
      </c>
      <c r="E85" s="766" t="e">
        <f t="shared" si="5"/>
        <v>#REF!</v>
      </c>
      <c r="F85" s="766" t="e">
        <f t="shared" si="5"/>
        <v>#REF!</v>
      </c>
      <c r="G85" s="766" t="e">
        <f t="shared" si="5"/>
        <v>#REF!</v>
      </c>
      <c r="H85" s="766" t="e">
        <f t="shared" si="5"/>
        <v>#REF!</v>
      </c>
      <c r="I85" s="766" t="e">
        <f t="shared" si="5"/>
        <v>#REF!</v>
      </c>
      <c r="J85" s="766" t="e">
        <f t="shared" si="5"/>
        <v>#REF!</v>
      </c>
    </row>
    <row r="88" spans="1:11">
      <c r="A88" s="704" t="s">
        <v>460</v>
      </c>
    </row>
    <row r="89" spans="1:11" ht="63.75">
      <c r="A89" s="218"/>
      <c r="B89" s="222" t="s">
        <v>382</v>
      </c>
      <c r="C89" s="217" t="s">
        <v>269</v>
      </c>
      <c r="D89" s="216" t="s">
        <v>323</v>
      </c>
      <c r="E89" s="216" t="s">
        <v>324</v>
      </c>
      <c r="F89" s="216" t="s">
        <v>363</v>
      </c>
      <c r="G89" s="222" t="s">
        <v>383</v>
      </c>
      <c r="H89" s="222" t="s">
        <v>401</v>
      </c>
    </row>
    <row r="90" spans="1:11">
      <c r="A90" s="219" t="s">
        <v>251</v>
      </c>
      <c r="B90" s="223" t="e">
        <f>#REF!</f>
        <v>#REF!</v>
      </c>
      <c r="C90" s="215" t="e">
        <f>#REF!</f>
        <v>#REF!</v>
      </c>
      <c r="D90" s="215" t="e">
        <f>#REF!</f>
        <v>#REF!</v>
      </c>
      <c r="E90" s="215" t="e">
        <f>#REF!</f>
        <v>#REF!</v>
      </c>
      <c r="F90" s="215" t="e">
        <f>#REF!</f>
        <v>#REF!</v>
      </c>
      <c r="G90" s="223" t="e">
        <f>#REF!</f>
        <v>#REF!</v>
      </c>
      <c r="H90" s="404" t="e">
        <f>(G90/B90-1)*100</f>
        <v>#REF!</v>
      </c>
      <c r="J90" s="771" t="e">
        <f>G90-B90</f>
        <v>#REF!</v>
      </c>
      <c r="K90" s="772" t="e">
        <f>J90/(-B90)</f>
        <v>#REF!</v>
      </c>
    </row>
    <row r="91" spans="1:11">
      <c r="A91" s="220" t="s">
        <v>3</v>
      </c>
      <c r="B91" s="213" t="e">
        <f>#REF!</f>
        <v>#REF!</v>
      </c>
      <c r="C91" s="211" t="e">
        <f>#REF!</f>
        <v>#REF!</v>
      </c>
      <c r="D91" s="211" t="e">
        <f>#REF!</f>
        <v>#REF!</v>
      </c>
      <c r="E91" s="211" t="e">
        <f>#REF!</f>
        <v>#REF!</v>
      </c>
      <c r="F91" s="211" t="e">
        <f>#REF!</f>
        <v>#REF!</v>
      </c>
      <c r="G91" s="213" t="e">
        <f>#REF!</f>
        <v>#REF!</v>
      </c>
      <c r="H91" s="405" t="e">
        <f t="shared" ref="H91:H122" si="6">(G91/B91-1)*100</f>
        <v>#REF!</v>
      </c>
    </row>
    <row r="92" spans="1:11">
      <c r="A92" s="220" t="s">
        <v>4</v>
      </c>
      <c r="B92" s="213" t="e">
        <f>#REF!</f>
        <v>#REF!</v>
      </c>
      <c r="C92" s="211" t="e">
        <f>#REF!</f>
        <v>#REF!</v>
      </c>
      <c r="D92" s="211" t="e">
        <f>#REF!</f>
        <v>#REF!</v>
      </c>
      <c r="E92" s="211" t="e">
        <f>#REF!</f>
        <v>#REF!</v>
      </c>
      <c r="F92" s="211" t="e">
        <f>#REF!</f>
        <v>#REF!</v>
      </c>
      <c r="G92" s="213" t="e">
        <f>#REF!</f>
        <v>#REF!</v>
      </c>
      <c r="H92" s="405" t="e">
        <f t="shared" si="6"/>
        <v>#REF!</v>
      </c>
    </row>
    <row r="93" spans="1:11">
      <c r="A93" s="220" t="s">
        <v>5</v>
      </c>
      <c r="B93" s="213" t="e">
        <f>#REF!</f>
        <v>#REF!</v>
      </c>
      <c r="C93" s="211" t="e">
        <f>#REF!</f>
        <v>#REF!</v>
      </c>
      <c r="D93" s="211" t="e">
        <f>#REF!</f>
        <v>#REF!</v>
      </c>
      <c r="E93" s="211" t="e">
        <f>#REF!</f>
        <v>#REF!</v>
      </c>
      <c r="F93" s="211" t="e">
        <f>#REF!</f>
        <v>#REF!</v>
      </c>
      <c r="G93" s="213" t="e">
        <f>#REF!</f>
        <v>#REF!</v>
      </c>
      <c r="H93" s="405" t="e">
        <f t="shared" si="6"/>
        <v>#REF!</v>
      </c>
    </row>
    <row r="94" spans="1:11">
      <c r="A94" s="220" t="s">
        <v>6</v>
      </c>
      <c r="B94" s="213" t="e">
        <f>#REF!</f>
        <v>#REF!</v>
      </c>
      <c r="C94" s="211" t="e">
        <f>#REF!</f>
        <v>#REF!</v>
      </c>
      <c r="D94" s="211" t="e">
        <f>#REF!</f>
        <v>#REF!</v>
      </c>
      <c r="E94" s="211" t="e">
        <f>#REF!</f>
        <v>#REF!</v>
      </c>
      <c r="F94" s="211" t="e">
        <f>#REF!</f>
        <v>#REF!</v>
      </c>
      <c r="G94" s="213" t="e">
        <f>#REF!</f>
        <v>#REF!</v>
      </c>
      <c r="H94" s="405" t="e">
        <f t="shared" si="6"/>
        <v>#REF!</v>
      </c>
    </row>
    <row r="95" spans="1:11">
      <c r="A95" s="220" t="s">
        <v>8</v>
      </c>
      <c r="B95" s="213" t="e">
        <f>#REF!</f>
        <v>#REF!</v>
      </c>
      <c r="C95" s="211" t="e">
        <f>#REF!</f>
        <v>#REF!</v>
      </c>
      <c r="D95" s="211" t="e">
        <f>#REF!</f>
        <v>#REF!</v>
      </c>
      <c r="E95" s="211" t="e">
        <f>#REF!</f>
        <v>#REF!</v>
      </c>
      <c r="F95" s="211" t="e">
        <f>#REF!</f>
        <v>#REF!</v>
      </c>
      <c r="G95" s="213" t="e">
        <f>#REF!</f>
        <v>#REF!</v>
      </c>
      <c r="H95" s="405" t="e">
        <f t="shared" si="6"/>
        <v>#REF!</v>
      </c>
    </row>
    <row r="96" spans="1:11">
      <c r="A96" s="220" t="s">
        <v>9</v>
      </c>
      <c r="B96" s="213" t="e">
        <f>#REF!</f>
        <v>#REF!</v>
      </c>
      <c r="C96" s="211" t="e">
        <f>#REF!</f>
        <v>#REF!</v>
      </c>
      <c r="D96" s="211" t="e">
        <f>#REF!</f>
        <v>#REF!</v>
      </c>
      <c r="E96" s="211" t="e">
        <f>#REF!</f>
        <v>#REF!</v>
      </c>
      <c r="F96" s="211" t="e">
        <f>#REF!</f>
        <v>#REF!</v>
      </c>
      <c r="G96" s="213" t="e">
        <f>#REF!</f>
        <v>#REF!</v>
      </c>
      <c r="H96" s="405" t="e">
        <f t="shared" si="6"/>
        <v>#REF!</v>
      </c>
      <c r="J96" s="649" t="s">
        <v>371</v>
      </c>
      <c r="K96" s="448">
        <f>COUNTIF(E91:E122,"&gt;0")</f>
        <v>0</v>
      </c>
    </row>
    <row r="97" spans="1:11">
      <c r="A97" s="220" t="s">
        <v>11</v>
      </c>
      <c r="B97" s="213" t="e">
        <f>#REF!</f>
        <v>#REF!</v>
      </c>
      <c r="C97" s="211" t="e">
        <f>#REF!</f>
        <v>#REF!</v>
      </c>
      <c r="D97" s="211" t="e">
        <f>#REF!</f>
        <v>#REF!</v>
      </c>
      <c r="E97" s="211" t="e">
        <f>#REF!</f>
        <v>#REF!</v>
      </c>
      <c r="F97" s="211" t="e">
        <f>#REF!</f>
        <v>#REF!</v>
      </c>
      <c r="G97" s="213" t="e">
        <f>#REF!</f>
        <v>#REF!</v>
      </c>
      <c r="H97" s="405" t="e">
        <f t="shared" si="6"/>
        <v>#REF!</v>
      </c>
      <c r="J97" s="649" t="s">
        <v>372</v>
      </c>
      <c r="K97" s="448">
        <f>COUNTIF(E91:E122,"=0")</f>
        <v>0</v>
      </c>
    </row>
    <row r="98" spans="1:11">
      <c r="A98" s="220" t="s">
        <v>13</v>
      </c>
      <c r="B98" s="213" t="e">
        <f>#REF!</f>
        <v>#REF!</v>
      </c>
      <c r="C98" s="211" t="e">
        <f>#REF!</f>
        <v>#REF!</v>
      </c>
      <c r="D98" s="211" t="e">
        <f>#REF!</f>
        <v>#REF!</v>
      </c>
      <c r="E98" s="211" t="e">
        <f>#REF!</f>
        <v>#REF!</v>
      </c>
      <c r="F98" s="211" t="e">
        <f>#REF!</f>
        <v>#REF!</v>
      </c>
      <c r="G98" s="213" t="e">
        <f>#REF!</f>
        <v>#REF!</v>
      </c>
      <c r="H98" s="405" t="e">
        <f t="shared" si="6"/>
        <v>#REF!</v>
      </c>
      <c r="J98" s="649" t="s">
        <v>373</v>
      </c>
      <c r="K98" s="448">
        <f>COUNTIF(E91:E122,"&lt;0")</f>
        <v>0</v>
      </c>
    </row>
    <row r="99" spans="1:11">
      <c r="A99" s="220" t="s">
        <v>16</v>
      </c>
      <c r="B99" s="213" t="e">
        <f>#REF!</f>
        <v>#REF!</v>
      </c>
      <c r="C99" s="211" t="e">
        <f>#REF!</f>
        <v>#REF!</v>
      </c>
      <c r="D99" s="211" t="e">
        <f>#REF!</f>
        <v>#REF!</v>
      </c>
      <c r="E99" s="211" t="e">
        <f>#REF!</f>
        <v>#REF!</v>
      </c>
      <c r="F99" s="211" t="e">
        <f>#REF!</f>
        <v>#REF!</v>
      </c>
      <c r="G99" s="213" t="e">
        <f>#REF!</f>
        <v>#REF!</v>
      </c>
      <c r="H99" s="405" t="e">
        <f t="shared" si="6"/>
        <v>#REF!</v>
      </c>
    </row>
    <row r="100" spans="1:11">
      <c r="A100" s="220" t="s">
        <v>19</v>
      </c>
      <c r="B100" s="213" t="e">
        <f>#REF!</f>
        <v>#REF!</v>
      </c>
      <c r="C100" s="211" t="e">
        <f>#REF!</f>
        <v>#REF!</v>
      </c>
      <c r="D100" s="211" t="e">
        <f>#REF!</f>
        <v>#REF!</v>
      </c>
      <c r="E100" s="211" t="e">
        <f>#REF!</f>
        <v>#REF!</v>
      </c>
      <c r="F100" s="211" t="e">
        <f>#REF!</f>
        <v>#REF!</v>
      </c>
      <c r="G100" s="213" t="e">
        <f>#REF!</f>
        <v>#REF!</v>
      </c>
      <c r="H100" s="405" t="e">
        <f t="shared" si="6"/>
        <v>#REF!</v>
      </c>
    </row>
    <row r="101" spans="1:11">
      <c r="A101" s="220" t="s">
        <v>22</v>
      </c>
      <c r="B101" s="213" t="e">
        <f>#REF!</f>
        <v>#REF!</v>
      </c>
      <c r="C101" s="211" t="e">
        <f>#REF!</f>
        <v>#REF!</v>
      </c>
      <c r="D101" s="211" t="e">
        <f>#REF!</f>
        <v>#REF!</v>
      </c>
      <c r="E101" s="211" t="e">
        <f>#REF!</f>
        <v>#REF!</v>
      </c>
      <c r="F101" s="211" t="e">
        <f>#REF!</f>
        <v>#REF!</v>
      </c>
      <c r="G101" s="213" t="e">
        <f>#REF!</f>
        <v>#REF!</v>
      </c>
      <c r="H101" s="405" t="e">
        <f t="shared" si="6"/>
        <v>#REF!</v>
      </c>
    </row>
    <row r="102" spans="1:11">
      <c r="A102" s="220" t="s">
        <v>25</v>
      </c>
      <c r="B102" s="213" t="e">
        <f>#REF!</f>
        <v>#REF!</v>
      </c>
      <c r="C102" s="211" t="e">
        <f>#REF!</f>
        <v>#REF!</v>
      </c>
      <c r="D102" s="211" t="e">
        <f>#REF!</f>
        <v>#REF!</v>
      </c>
      <c r="E102" s="211" t="e">
        <f>#REF!</f>
        <v>#REF!</v>
      </c>
      <c r="F102" s="211" t="e">
        <f>#REF!</f>
        <v>#REF!</v>
      </c>
      <c r="G102" s="213" t="e">
        <f>#REF!</f>
        <v>#REF!</v>
      </c>
      <c r="H102" s="405" t="e">
        <f t="shared" si="6"/>
        <v>#REF!</v>
      </c>
    </row>
    <row r="103" spans="1:11">
      <c r="A103" s="220" t="s">
        <v>26</v>
      </c>
      <c r="B103" s="213" t="e">
        <f>#REF!</f>
        <v>#REF!</v>
      </c>
      <c r="C103" s="211" t="e">
        <f>#REF!</f>
        <v>#REF!</v>
      </c>
      <c r="D103" s="211" t="e">
        <f>#REF!</f>
        <v>#REF!</v>
      </c>
      <c r="E103" s="211" t="e">
        <f>#REF!</f>
        <v>#REF!</v>
      </c>
      <c r="F103" s="211" t="e">
        <f>#REF!</f>
        <v>#REF!</v>
      </c>
      <c r="G103" s="213" t="e">
        <f>#REF!</f>
        <v>#REF!</v>
      </c>
      <c r="H103" s="405" t="e">
        <f t="shared" si="6"/>
        <v>#REF!</v>
      </c>
    </row>
    <row r="104" spans="1:11">
      <c r="A104" s="220" t="s">
        <v>28</v>
      </c>
      <c r="B104" s="213" t="e">
        <f>#REF!</f>
        <v>#REF!</v>
      </c>
      <c r="C104" s="211" t="e">
        <f>#REF!</f>
        <v>#REF!</v>
      </c>
      <c r="D104" s="211" t="e">
        <f>#REF!</f>
        <v>#REF!</v>
      </c>
      <c r="E104" s="211" t="e">
        <f>#REF!</f>
        <v>#REF!</v>
      </c>
      <c r="F104" s="211" t="e">
        <f>#REF!</f>
        <v>#REF!</v>
      </c>
      <c r="G104" s="213" t="e">
        <f>#REF!</f>
        <v>#REF!</v>
      </c>
      <c r="H104" s="405" t="e">
        <f t="shared" si="6"/>
        <v>#REF!</v>
      </c>
    </row>
    <row r="105" spans="1:11">
      <c r="A105" s="220" t="s">
        <v>29</v>
      </c>
      <c r="B105" s="213" t="e">
        <f>#REF!</f>
        <v>#REF!</v>
      </c>
      <c r="C105" s="211" t="e">
        <f>#REF!</f>
        <v>#REF!</v>
      </c>
      <c r="D105" s="211" t="e">
        <f>#REF!</f>
        <v>#REF!</v>
      </c>
      <c r="E105" s="211" t="e">
        <f>#REF!</f>
        <v>#REF!</v>
      </c>
      <c r="F105" s="211" t="e">
        <f>#REF!</f>
        <v>#REF!</v>
      </c>
      <c r="G105" s="213" t="e">
        <f>#REF!</f>
        <v>#REF!</v>
      </c>
      <c r="H105" s="405" t="e">
        <f t="shared" si="6"/>
        <v>#REF!</v>
      </c>
    </row>
    <row r="106" spans="1:11">
      <c r="A106" s="220" t="s">
        <v>31</v>
      </c>
      <c r="B106" s="213" t="e">
        <f>#REF!</f>
        <v>#REF!</v>
      </c>
      <c r="C106" s="211" t="e">
        <f>#REF!</f>
        <v>#REF!</v>
      </c>
      <c r="D106" s="211" t="e">
        <f>#REF!</f>
        <v>#REF!</v>
      </c>
      <c r="E106" s="211" t="e">
        <f>#REF!</f>
        <v>#REF!</v>
      </c>
      <c r="F106" s="211" t="e">
        <f>#REF!</f>
        <v>#REF!</v>
      </c>
      <c r="G106" s="213" t="e">
        <f>#REF!</f>
        <v>#REF!</v>
      </c>
      <c r="H106" s="405" t="e">
        <f t="shared" si="6"/>
        <v>#REF!</v>
      </c>
    </row>
    <row r="107" spans="1:11">
      <c r="A107" s="220" t="s">
        <v>32</v>
      </c>
      <c r="B107" s="213" t="e">
        <f>#REF!</f>
        <v>#REF!</v>
      </c>
      <c r="C107" s="211" t="e">
        <f>#REF!</f>
        <v>#REF!</v>
      </c>
      <c r="D107" s="211" t="e">
        <f>#REF!</f>
        <v>#REF!</v>
      </c>
      <c r="E107" s="211" t="e">
        <f>#REF!</f>
        <v>#REF!</v>
      </c>
      <c r="F107" s="211" t="e">
        <f>#REF!</f>
        <v>#REF!</v>
      </c>
      <c r="G107" s="213" t="e">
        <f>#REF!</f>
        <v>#REF!</v>
      </c>
      <c r="H107" s="405" t="e">
        <f t="shared" si="6"/>
        <v>#REF!</v>
      </c>
    </row>
    <row r="108" spans="1:11">
      <c r="A108" s="220" t="s">
        <v>33</v>
      </c>
      <c r="B108" s="213" t="e">
        <f>#REF!</f>
        <v>#REF!</v>
      </c>
      <c r="C108" s="211" t="e">
        <f>#REF!</f>
        <v>#REF!</v>
      </c>
      <c r="D108" s="211" t="e">
        <f>#REF!</f>
        <v>#REF!</v>
      </c>
      <c r="E108" s="211" t="e">
        <f>#REF!</f>
        <v>#REF!</v>
      </c>
      <c r="F108" s="211" t="e">
        <f>#REF!</f>
        <v>#REF!</v>
      </c>
      <c r="G108" s="213" t="e">
        <f>#REF!</f>
        <v>#REF!</v>
      </c>
      <c r="H108" s="405" t="e">
        <f t="shared" si="6"/>
        <v>#REF!</v>
      </c>
    </row>
    <row r="109" spans="1:11">
      <c r="A109" s="220" t="s">
        <v>34</v>
      </c>
      <c r="B109" s="213" t="e">
        <f>#REF!</f>
        <v>#REF!</v>
      </c>
      <c r="C109" s="211" t="e">
        <f>#REF!</f>
        <v>#REF!</v>
      </c>
      <c r="D109" s="211" t="e">
        <f>#REF!</f>
        <v>#REF!</v>
      </c>
      <c r="E109" s="211" t="e">
        <f>#REF!</f>
        <v>#REF!</v>
      </c>
      <c r="F109" s="211" t="e">
        <f>#REF!</f>
        <v>#REF!</v>
      </c>
      <c r="G109" s="213" t="e">
        <f>#REF!</f>
        <v>#REF!</v>
      </c>
      <c r="H109" s="405" t="e">
        <f t="shared" si="6"/>
        <v>#REF!</v>
      </c>
    </row>
    <row r="110" spans="1:11">
      <c r="A110" s="220" t="s">
        <v>35</v>
      </c>
      <c r="B110" s="213" t="e">
        <f>#REF!</f>
        <v>#REF!</v>
      </c>
      <c r="C110" s="211" t="e">
        <f>#REF!</f>
        <v>#REF!</v>
      </c>
      <c r="D110" s="211" t="e">
        <f>#REF!</f>
        <v>#REF!</v>
      </c>
      <c r="E110" s="211" t="e">
        <f>#REF!</f>
        <v>#REF!</v>
      </c>
      <c r="F110" s="211" t="e">
        <f>#REF!</f>
        <v>#REF!</v>
      </c>
      <c r="G110" s="213" t="e">
        <f>#REF!</f>
        <v>#REF!</v>
      </c>
      <c r="H110" s="405" t="e">
        <f t="shared" si="6"/>
        <v>#REF!</v>
      </c>
    </row>
    <row r="111" spans="1:11">
      <c r="A111" s="220" t="s">
        <v>36</v>
      </c>
      <c r="B111" s="213" t="e">
        <f>#REF!</f>
        <v>#REF!</v>
      </c>
      <c r="C111" s="211" t="e">
        <f>#REF!</f>
        <v>#REF!</v>
      </c>
      <c r="D111" s="211" t="e">
        <f>#REF!</f>
        <v>#REF!</v>
      </c>
      <c r="E111" s="211" t="e">
        <f>#REF!</f>
        <v>#REF!</v>
      </c>
      <c r="F111" s="211" t="e">
        <f>#REF!</f>
        <v>#REF!</v>
      </c>
      <c r="G111" s="213" t="e">
        <f>#REF!</f>
        <v>#REF!</v>
      </c>
      <c r="H111" s="405" t="e">
        <f t="shared" si="6"/>
        <v>#REF!</v>
      </c>
    </row>
    <row r="112" spans="1:11">
      <c r="A112" s="220" t="s">
        <v>37</v>
      </c>
      <c r="B112" s="213" t="e">
        <f>#REF!</f>
        <v>#REF!</v>
      </c>
      <c r="C112" s="211" t="e">
        <f>#REF!</f>
        <v>#REF!</v>
      </c>
      <c r="D112" s="211" t="e">
        <f>#REF!</f>
        <v>#REF!</v>
      </c>
      <c r="E112" s="211" t="e">
        <f>#REF!</f>
        <v>#REF!</v>
      </c>
      <c r="F112" s="211" t="e">
        <f>#REF!</f>
        <v>#REF!</v>
      </c>
      <c r="G112" s="213" t="e">
        <f>#REF!</f>
        <v>#REF!</v>
      </c>
      <c r="H112" s="405" t="e">
        <f t="shared" si="6"/>
        <v>#REF!</v>
      </c>
    </row>
    <row r="113" spans="1:8">
      <c r="A113" s="220" t="s">
        <v>38</v>
      </c>
      <c r="B113" s="213" t="e">
        <f>#REF!</f>
        <v>#REF!</v>
      </c>
      <c r="C113" s="211" t="e">
        <f>#REF!</f>
        <v>#REF!</v>
      </c>
      <c r="D113" s="211" t="e">
        <f>#REF!</f>
        <v>#REF!</v>
      </c>
      <c r="E113" s="211" t="e">
        <f>#REF!</f>
        <v>#REF!</v>
      </c>
      <c r="F113" s="211" t="e">
        <f>#REF!</f>
        <v>#REF!</v>
      </c>
      <c r="G113" s="213" t="e">
        <f>#REF!</f>
        <v>#REF!</v>
      </c>
      <c r="H113" s="405" t="e">
        <f t="shared" si="6"/>
        <v>#REF!</v>
      </c>
    </row>
    <row r="114" spans="1:8">
      <c r="A114" s="220" t="s">
        <v>39</v>
      </c>
      <c r="B114" s="213" t="e">
        <f>#REF!</f>
        <v>#REF!</v>
      </c>
      <c r="C114" s="211" t="e">
        <f>#REF!</f>
        <v>#REF!</v>
      </c>
      <c r="D114" s="211" t="e">
        <f>#REF!</f>
        <v>#REF!</v>
      </c>
      <c r="E114" s="211" t="e">
        <f>#REF!</f>
        <v>#REF!</v>
      </c>
      <c r="F114" s="211" t="e">
        <f>#REF!</f>
        <v>#REF!</v>
      </c>
      <c r="G114" s="213" t="e">
        <f>#REF!</f>
        <v>#REF!</v>
      </c>
      <c r="H114" s="405" t="e">
        <f t="shared" si="6"/>
        <v>#REF!</v>
      </c>
    </row>
    <row r="115" spans="1:8">
      <c r="A115" s="220" t="s">
        <v>40</v>
      </c>
      <c r="B115" s="213" t="e">
        <f>#REF!</f>
        <v>#REF!</v>
      </c>
      <c r="C115" s="211" t="e">
        <f>#REF!</f>
        <v>#REF!</v>
      </c>
      <c r="D115" s="211" t="e">
        <f>#REF!</f>
        <v>#REF!</v>
      </c>
      <c r="E115" s="211" t="e">
        <f>#REF!</f>
        <v>#REF!</v>
      </c>
      <c r="F115" s="211" t="e">
        <f>#REF!</f>
        <v>#REF!</v>
      </c>
      <c r="G115" s="213" t="e">
        <f>#REF!</f>
        <v>#REF!</v>
      </c>
      <c r="H115" s="405" t="e">
        <f t="shared" si="6"/>
        <v>#REF!</v>
      </c>
    </row>
    <row r="116" spans="1:8">
      <c r="A116" s="220" t="s">
        <v>41</v>
      </c>
      <c r="B116" s="213" t="e">
        <f>#REF!</f>
        <v>#REF!</v>
      </c>
      <c r="C116" s="211" t="e">
        <f>#REF!</f>
        <v>#REF!</v>
      </c>
      <c r="D116" s="211" t="e">
        <f>#REF!</f>
        <v>#REF!</v>
      </c>
      <c r="E116" s="211" t="e">
        <f>#REF!</f>
        <v>#REF!</v>
      </c>
      <c r="F116" s="211" t="e">
        <f>#REF!</f>
        <v>#REF!</v>
      </c>
      <c r="G116" s="213" t="e">
        <f>#REF!</f>
        <v>#REF!</v>
      </c>
      <c r="H116" s="405" t="e">
        <f t="shared" si="6"/>
        <v>#REF!</v>
      </c>
    </row>
    <row r="117" spans="1:8">
      <c r="A117" s="220" t="s">
        <v>42</v>
      </c>
      <c r="B117" s="213" t="e">
        <f>#REF!</f>
        <v>#REF!</v>
      </c>
      <c r="C117" s="211" t="e">
        <f>#REF!</f>
        <v>#REF!</v>
      </c>
      <c r="D117" s="211" t="e">
        <f>#REF!</f>
        <v>#REF!</v>
      </c>
      <c r="E117" s="211" t="e">
        <f>#REF!</f>
        <v>#REF!</v>
      </c>
      <c r="F117" s="211" t="e">
        <f>#REF!</f>
        <v>#REF!</v>
      </c>
      <c r="G117" s="213" t="e">
        <f>#REF!</f>
        <v>#REF!</v>
      </c>
      <c r="H117" s="405" t="e">
        <f t="shared" si="6"/>
        <v>#REF!</v>
      </c>
    </row>
    <row r="118" spans="1:8">
      <c r="A118" s="220" t="s">
        <v>43</v>
      </c>
      <c r="B118" s="213" t="e">
        <f>#REF!</f>
        <v>#REF!</v>
      </c>
      <c r="C118" s="211" t="e">
        <f>#REF!</f>
        <v>#REF!</v>
      </c>
      <c r="D118" s="211" t="e">
        <f>#REF!</f>
        <v>#REF!</v>
      </c>
      <c r="E118" s="211" t="e">
        <f>#REF!</f>
        <v>#REF!</v>
      </c>
      <c r="F118" s="211" t="e">
        <f>#REF!</f>
        <v>#REF!</v>
      </c>
      <c r="G118" s="213" t="e">
        <f>#REF!</f>
        <v>#REF!</v>
      </c>
      <c r="H118" s="405" t="e">
        <f t="shared" si="6"/>
        <v>#REF!</v>
      </c>
    </row>
    <row r="119" spans="1:8">
      <c r="A119" s="220" t="s">
        <v>44</v>
      </c>
      <c r="B119" s="213" t="e">
        <f>#REF!</f>
        <v>#REF!</v>
      </c>
      <c r="C119" s="211" t="e">
        <f>#REF!</f>
        <v>#REF!</v>
      </c>
      <c r="D119" s="211" t="e">
        <f>#REF!</f>
        <v>#REF!</v>
      </c>
      <c r="E119" s="211" t="e">
        <f>#REF!</f>
        <v>#REF!</v>
      </c>
      <c r="F119" s="211" t="e">
        <f>#REF!</f>
        <v>#REF!</v>
      </c>
      <c r="G119" s="213" t="e">
        <f>#REF!</f>
        <v>#REF!</v>
      </c>
      <c r="H119" s="405" t="e">
        <f t="shared" si="6"/>
        <v>#REF!</v>
      </c>
    </row>
    <row r="120" spans="1:8">
      <c r="A120" s="220" t="s">
        <v>45</v>
      </c>
      <c r="B120" s="213" t="e">
        <f>#REF!</f>
        <v>#REF!</v>
      </c>
      <c r="C120" s="211" t="e">
        <f>#REF!</f>
        <v>#REF!</v>
      </c>
      <c r="D120" s="211" t="e">
        <f>#REF!</f>
        <v>#REF!</v>
      </c>
      <c r="E120" s="211" t="e">
        <f>#REF!</f>
        <v>#REF!</v>
      </c>
      <c r="F120" s="211" t="e">
        <f>#REF!</f>
        <v>#REF!</v>
      </c>
      <c r="G120" s="213" t="e">
        <f>#REF!</f>
        <v>#REF!</v>
      </c>
      <c r="H120" s="405" t="e">
        <f t="shared" si="6"/>
        <v>#REF!</v>
      </c>
    </row>
    <row r="121" spans="1:8">
      <c r="A121" s="220" t="s">
        <v>46</v>
      </c>
      <c r="B121" s="213" t="e">
        <f>#REF!</f>
        <v>#REF!</v>
      </c>
      <c r="C121" s="211" t="e">
        <f>#REF!</f>
        <v>#REF!</v>
      </c>
      <c r="D121" s="211" t="e">
        <f>#REF!</f>
        <v>#REF!</v>
      </c>
      <c r="E121" s="211" t="e">
        <f>#REF!</f>
        <v>#REF!</v>
      </c>
      <c r="F121" s="211" t="e">
        <f>#REF!</f>
        <v>#REF!</v>
      </c>
      <c r="G121" s="213" t="e">
        <f>#REF!</f>
        <v>#REF!</v>
      </c>
      <c r="H121" s="405" t="e">
        <f t="shared" si="6"/>
        <v>#REF!</v>
      </c>
    </row>
    <row r="122" spans="1:8">
      <c r="A122" s="221" t="s">
        <v>47</v>
      </c>
      <c r="B122" s="214" t="e">
        <f>#REF!</f>
        <v>#REF!</v>
      </c>
      <c r="C122" s="212" t="e">
        <f>#REF!</f>
        <v>#REF!</v>
      </c>
      <c r="D122" s="212" t="e">
        <f>#REF!</f>
        <v>#REF!</v>
      </c>
      <c r="E122" s="212" t="e">
        <f>#REF!</f>
        <v>#REF!</v>
      </c>
      <c r="F122" s="212" t="e">
        <f>#REF!</f>
        <v>#REF!</v>
      </c>
      <c r="G122" s="214" t="e">
        <f>#REF!</f>
        <v>#REF!</v>
      </c>
      <c r="H122" s="406" t="e">
        <f t="shared" si="6"/>
        <v>#REF!</v>
      </c>
    </row>
    <row r="123" spans="1:8">
      <c r="A123" s="753"/>
      <c r="B123" s="753"/>
      <c r="C123" s="753"/>
      <c r="D123" s="753"/>
      <c r="E123" s="753"/>
      <c r="F123" s="753"/>
      <c r="G123" s="753"/>
      <c r="H123" s="753"/>
    </row>
    <row r="124" spans="1:8">
      <c r="A124" s="767" t="s">
        <v>368</v>
      </c>
      <c r="B124" s="768">
        <v>-1159338</v>
      </c>
      <c r="C124" s="768">
        <v>12007532.601952426</v>
      </c>
      <c r="D124" s="768">
        <v>-11881735</v>
      </c>
      <c r="E124" s="768">
        <v>125797.60195242614</v>
      </c>
      <c r="F124" s="768">
        <v>-33164</v>
      </c>
      <c r="G124" s="768">
        <v>-1066704.3980475739</v>
      </c>
      <c r="H124" s="768">
        <v>-7.9902152739258163</v>
      </c>
    </row>
    <row r="125" spans="1:8">
      <c r="A125" s="753" t="s">
        <v>252</v>
      </c>
      <c r="B125" s="773" t="e">
        <f t="shared" ref="B125:H125" si="7">B90-B124</f>
        <v>#REF!</v>
      </c>
      <c r="C125" s="773" t="e">
        <f t="shared" si="7"/>
        <v>#REF!</v>
      </c>
      <c r="D125" s="773" t="e">
        <f t="shared" si="7"/>
        <v>#REF!</v>
      </c>
      <c r="E125" s="773" t="e">
        <f t="shared" si="7"/>
        <v>#REF!</v>
      </c>
      <c r="F125" s="773" t="e">
        <f t="shared" si="7"/>
        <v>#REF!</v>
      </c>
      <c r="G125" s="773" t="e">
        <f t="shared" si="7"/>
        <v>#REF!</v>
      </c>
      <c r="H125" s="773" t="e">
        <f t="shared" si="7"/>
        <v>#REF!</v>
      </c>
    </row>
    <row r="126" spans="1:8">
      <c r="A126" s="753" t="s">
        <v>265</v>
      </c>
      <c r="B126" s="766" t="e">
        <f>-B125/B124</f>
        <v>#REF!</v>
      </c>
      <c r="C126" s="766" t="e">
        <f t="shared" ref="C126:H126" si="8">-C125/C124</f>
        <v>#REF!</v>
      </c>
      <c r="D126" s="766" t="e">
        <f t="shared" si="8"/>
        <v>#REF!</v>
      </c>
      <c r="E126" s="766" t="e">
        <f t="shared" si="8"/>
        <v>#REF!</v>
      </c>
      <c r="F126" s="766" t="e">
        <f t="shared" si="8"/>
        <v>#REF!</v>
      </c>
      <c r="G126" s="766" t="e">
        <f t="shared" si="8"/>
        <v>#REF!</v>
      </c>
      <c r="H126" s="766" t="e">
        <f t="shared" si="8"/>
        <v>#REF!</v>
      </c>
    </row>
    <row r="129" spans="1:11">
      <c r="A129" s="704" t="s">
        <v>461</v>
      </c>
    </row>
    <row r="130" spans="1:11" ht="63.75">
      <c r="A130" s="218"/>
      <c r="B130" s="222" t="s">
        <v>414</v>
      </c>
      <c r="C130" s="217" t="s">
        <v>269</v>
      </c>
      <c r="D130" s="216" t="s">
        <v>323</v>
      </c>
      <c r="E130" s="216" t="s">
        <v>324</v>
      </c>
      <c r="F130" s="216" t="s">
        <v>363</v>
      </c>
      <c r="G130" s="222" t="s">
        <v>415</v>
      </c>
      <c r="H130" s="222" t="s">
        <v>401</v>
      </c>
    </row>
    <row r="131" spans="1:11">
      <c r="A131" s="219" t="s">
        <v>251</v>
      </c>
      <c r="B131" s="223" t="e">
        <f>#REF!</f>
        <v>#REF!</v>
      </c>
      <c r="C131" s="215" t="e">
        <f>#REF!</f>
        <v>#REF!</v>
      </c>
      <c r="D131" s="215" t="e">
        <f>#REF!</f>
        <v>#REF!</v>
      </c>
      <c r="E131" s="215" t="e">
        <f>#REF!</f>
        <v>#REF!</v>
      </c>
      <c r="F131" s="215" t="e">
        <f>#REF!</f>
        <v>#REF!</v>
      </c>
      <c r="G131" s="223" t="e">
        <f>#REF!</f>
        <v>#REF!</v>
      </c>
      <c r="H131" s="404" t="e">
        <f>(G131/B131-1)*100</f>
        <v>#REF!</v>
      </c>
      <c r="J131" s="771" t="e">
        <f>G131-B131</f>
        <v>#REF!</v>
      </c>
      <c r="K131" s="772" t="e">
        <f>J131/(-B131)</f>
        <v>#REF!</v>
      </c>
    </row>
    <row r="132" spans="1:11">
      <c r="A132" s="220" t="s">
        <v>3</v>
      </c>
      <c r="B132" s="213" t="e">
        <f>#REF!</f>
        <v>#REF!</v>
      </c>
      <c r="C132" s="211" t="e">
        <f>#REF!</f>
        <v>#REF!</v>
      </c>
      <c r="D132" s="211" t="e">
        <f>#REF!</f>
        <v>#REF!</v>
      </c>
      <c r="E132" s="211" t="e">
        <f>#REF!</f>
        <v>#REF!</v>
      </c>
      <c r="F132" s="211" t="e">
        <f>#REF!</f>
        <v>#REF!</v>
      </c>
      <c r="G132" s="213" t="e">
        <f>#REF!</f>
        <v>#REF!</v>
      </c>
      <c r="H132" s="405" t="e">
        <f t="shared" ref="H132:H163" si="9">(G132/B132-1)*100</f>
        <v>#REF!</v>
      </c>
    </row>
    <row r="133" spans="1:11">
      <c r="A133" s="220" t="s">
        <v>4</v>
      </c>
      <c r="B133" s="213" t="e">
        <f>#REF!</f>
        <v>#REF!</v>
      </c>
      <c r="C133" s="211" t="e">
        <f>#REF!</f>
        <v>#REF!</v>
      </c>
      <c r="D133" s="211" t="e">
        <f>#REF!</f>
        <v>#REF!</v>
      </c>
      <c r="E133" s="211" t="e">
        <f>#REF!</f>
        <v>#REF!</v>
      </c>
      <c r="F133" s="211" t="e">
        <f>#REF!</f>
        <v>#REF!</v>
      </c>
      <c r="G133" s="213" t="e">
        <f>#REF!</f>
        <v>#REF!</v>
      </c>
      <c r="H133" s="405" t="e">
        <f t="shared" si="9"/>
        <v>#REF!</v>
      </c>
    </row>
    <row r="134" spans="1:11">
      <c r="A134" s="220" t="s">
        <v>5</v>
      </c>
      <c r="B134" s="213" t="e">
        <f>#REF!</f>
        <v>#REF!</v>
      </c>
      <c r="C134" s="211" t="e">
        <f>#REF!</f>
        <v>#REF!</v>
      </c>
      <c r="D134" s="211" t="e">
        <f>#REF!</f>
        <v>#REF!</v>
      </c>
      <c r="E134" s="211" t="e">
        <f>#REF!</f>
        <v>#REF!</v>
      </c>
      <c r="F134" s="211" t="e">
        <f>#REF!</f>
        <v>#REF!</v>
      </c>
      <c r="G134" s="213" t="e">
        <f>#REF!</f>
        <v>#REF!</v>
      </c>
      <c r="H134" s="405" t="e">
        <f t="shared" si="9"/>
        <v>#REF!</v>
      </c>
    </row>
    <row r="135" spans="1:11">
      <c r="A135" s="220" t="s">
        <v>6</v>
      </c>
      <c r="B135" s="213" t="e">
        <f>#REF!</f>
        <v>#REF!</v>
      </c>
      <c r="C135" s="211" t="e">
        <f>#REF!</f>
        <v>#REF!</v>
      </c>
      <c r="D135" s="211" t="e">
        <f>#REF!</f>
        <v>#REF!</v>
      </c>
      <c r="E135" s="211" t="e">
        <f>#REF!</f>
        <v>#REF!</v>
      </c>
      <c r="F135" s="211" t="e">
        <f>#REF!</f>
        <v>#REF!</v>
      </c>
      <c r="G135" s="213" t="e">
        <f>#REF!</f>
        <v>#REF!</v>
      </c>
      <c r="H135" s="405" t="e">
        <f t="shared" si="9"/>
        <v>#REF!</v>
      </c>
    </row>
    <row r="136" spans="1:11">
      <c r="A136" s="220" t="s">
        <v>8</v>
      </c>
      <c r="B136" s="213" t="e">
        <f>#REF!</f>
        <v>#REF!</v>
      </c>
      <c r="C136" s="211" t="e">
        <f>#REF!</f>
        <v>#REF!</v>
      </c>
      <c r="D136" s="211" t="e">
        <f>#REF!</f>
        <v>#REF!</v>
      </c>
      <c r="E136" s="211" t="e">
        <f>#REF!</f>
        <v>#REF!</v>
      </c>
      <c r="F136" s="211" t="e">
        <f>#REF!</f>
        <v>#REF!</v>
      </c>
      <c r="G136" s="213" t="e">
        <f>#REF!</f>
        <v>#REF!</v>
      </c>
      <c r="H136" s="405" t="e">
        <f t="shared" si="9"/>
        <v>#REF!</v>
      </c>
      <c r="J136" s="649" t="s">
        <v>371</v>
      </c>
      <c r="K136" s="448">
        <f>COUNTIF(E132:E163,"&gt;0")</f>
        <v>0</v>
      </c>
    </row>
    <row r="137" spans="1:11">
      <c r="A137" s="220" t="s">
        <v>9</v>
      </c>
      <c r="B137" s="213" t="e">
        <f>#REF!</f>
        <v>#REF!</v>
      </c>
      <c r="C137" s="211" t="e">
        <f>#REF!</f>
        <v>#REF!</v>
      </c>
      <c r="D137" s="211" t="e">
        <f>#REF!</f>
        <v>#REF!</v>
      </c>
      <c r="E137" s="211" t="e">
        <f>#REF!</f>
        <v>#REF!</v>
      </c>
      <c r="F137" s="211" t="e">
        <f>#REF!</f>
        <v>#REF!</v>
      </c>
      <c r="G137" s="213" t="e">
        <f>#REF!</f>
        <v>#REF!</v>
      </c>
      <c r="H137" s="405" t="e">
        <f t="shared" si="9"/>
        <v>#REF!</v>
      </c>
      <c r="J137" s="649" t="s">
        <v>372</v>
      </c>
      <c r="K137" s="448">
        <f>COUNTIF(E132:E163,"=0")</f>
        <v>0</v>
      </c>
    </row>
    <row r="138" spans="1:11">
      <c r="A138" s="220" t="s">
        <v>11</v>
      </c>
      <c r="B138" s="213" t="e">
        <f>#REF!</f>
        <v>#REF!</v>
      </c>
      <c r="C138" s="211" t="e">
        <f>#REF!</f>
        <v>#REF!</v>
      </c>
      <c r="D138" s="211" t="e">
        <f>#REF!</f>
        <v>#REF!</v>
      </c>
      <c r="E138" s="211" t="e">
        <f>#REF!</f>
        <v>#REF!</v>
      </c>
      <c r="F138" s="211" t="e">
        <f>#REF!</f>
        <v>#REF!</v>
      </c>
      <c r="G138" s="213" t="e">
        <f>#REF!</f>
        <v>#REF!</v>
      </c>
      <c r="H138" s="405" t="e">
        <f t="shared" si="9"/>
        <v>#REF!</v>
      </c>
      <c r="J138" s="649" t="s">
        <v>373</v>
      </c>
      <c r="K138" s="448">
        <f>COUNTIF(E132:E163,"&lt;0")</f>
        <v>0</v>
      </c>
    </row>
    <row r="139" spans="1:11">
      <c r="A139" s="220" t="s">
        <v>13</v>
      </c>
      <c r="B139" s="213" t="e">
        <f>#REF!</f>
        <v>#REF!</v>
      </c>
      <c r="C139" s="211" t="e">
        <f>#REF!</f>
        <v>#REF!</v>
      </c>
      <c r="D139" s="211" t="e">
        <f>#REF!</f>
        <v>#REF!</v>
      </c>
      <c r="E139" s="211" t="e">
        <f>#REF!</f>
        <v>#REF!</v>
      </c>
      <c r="F139" s="211" t="e">
        <f>#REF!</f>
        <v>#REF!</v>
      </c>
      <c r="G139" s="213" t="e">
        <f>#REF!</f>
        <v>#REF!</v>
      </c>
      <c r="H139" s="405" t="e">
        <f t="shared" si="9"/>
        <v>#REF!</v>
      </c>
    </row>
    <row r="140" spans="1:11">
      <c r="A140" s="220" t="s">
        <v>16</v>
      </c>
      <c r="B140" s="213" t="e">
        <f>#REF!</f>
        <v>#REF!</v>
      </c>
      <c r="C140" s="211" t="e">
        <f>#REF!</f>
        <v>#REF!</v>
      </c>
      <c r="D140" s="211" t="e">
        <f>#REF!</f>
        <v>#REF!</v>
      </c>
      <c r="E140" s="211" t="e">
        <f>#REF!</f>
        <v>#REF!</v>
      </c>
      <c r="F140" s="211" t="e">
        <f>#REF!</f>
        <v>#REF!</v>
      </c>
      <c r="G140" s="213" t="e">
        <f>#REF!</f>
        <v>#REF!</v>
      </c>
      <c r="H140" s="405" t="e">
        <f t="shared" si="9"/>
        <v>#REF!</v>
      </c>
    </row>
    <row r="141" spans="1:11">
      <c r="A141" s="220" t="s">
        <v>19</v>
      </c>
      <c r="B141" s="213" t="e">
        <f>#REF!</f>
        <v>#REF!</v>
      </c>
      <c r="C141" s="211" t="e">
        <f>#REF!</f>
        <v>#REF!</v>
      </c>
      <c r="D141" s="211" t="e">
        <f>#REF!</f>
        <v>#REF!</v>
      </c>
      <c r="E141" s="211" t="e">
        <f>#REF!</f>
        <v>#REF!</v>
      </c>
      <c r="F141" s="211" t="e">
        <f>#REF!</f>
        <v>#REF!</v>
      </c>
      <c r="G141" s="213" t="e">
        <f>#REF!</f>
        <v>#REF!</v>
      </c>
      <c r="H141" s="405" t="e">
        <f t="shared" si="9"/>
        <v>#REF!</v>
      </c>
    </row>
    <row r="142" spans="1:11">
      <c r="A142" s="220" t="s">
        <v>22</v>
      </c>
      <c r="B142" s="213" t="e">
        <f>#REF!</f>
        <v>#REF!</v>
      </c>
      <c r="C142" s="211" t="e">
        <f>#REF!</f>
        <v>#REF!</v>
      </c>
      <c r="D142" s="211" t="e">
        <f>#REF!</f>
        <v>#REF!</v>
      </c>
      <c r="E142" s="211" t="e">
        <f>#REF!</f>
        <v>#REF!</v>
      </c>
      <c r="F142" s="211" t="e">
        <f>#REF!</f>
        <v>#REF!</v>
      </c>
      <c r="G142" s="213" t="e">
        <f>#REF!</f>
        <v>#REF!</v>
      </c>
      <c r="H142" s="405" t="e">
        <f t="shared" si="9"/>
        <v>#REF!</v>
      </c>
    </row>
    <row r="143" spans="1:11">
      <c r="A143" s="220" t="s">
        <v>25</v>
      </c>
      <c r="B143" s="213" t="e">
        <f>#REF!</f>
        <v>#REF!</v>
      </c>
      <c r="C143" s="211" t="e">
        <f>#REF!</f>
        <v>#REF!</v>
      </c>
      <c r="D143" s="211" t="e">
        <f>#REF!</f>
        <v>#REF!</v>
      </c>
      <c r="E143" s="211" t="e">
        <f>#REF!</f>
        <v>#REF!</v>
      </c>
      <c r="F143" s="211" t="e">
        <f>#REF!</f>
        <v>#REF!</v>
      </c>
      <c r="G143" s="213" t="e">
        <f>#REF!</f>
        <v>#REF!</v>
      </c>
      <c r="H143" s="405" t="e">
        <f t="shared" si="9"/>
        <v>#REF!</v>
      </c>
    </row>
    <row r="144" spans="1:11">
      <c r="A144" s="220" t="s">
        <v>26</v>
      </c>
      <c r="B144" s="213" t="e">
        <f>#REF!</f>
        <v>#REF!</v>
      </c>
      <c r="C144" s="211" t="e">
        <f>#REF!</f>
        <v>#REF!</v>
      </c>
      <c r="D144" s="211" t="e">
        <f>#REF!</f>
        <v>#REF!</v>
      </c>
      <c r="E144" s="211" t="e">
        <f>#REF!</f>
        <v>#REF!</v>
      </c>
      <c r="F144" s="211" t="e">
        <f>#REF!</f>
        <v>#REF!</v>
      </c>
      <c r="G144" s="213" t="e">
        <f>#REF!</f>
        <v>#REF!</v>
      </c>
      <c r="H144" s="405" t="e">
        <f t="shared" si="9"/>
        <v>#REF!</v>
      </c>
    </row>
    <row r="145" spans="1:8">
      <c r="A145" s="220" t="s">
        <v>28</v>
      </c>
      <c r="B145" s="213" t="e">
        <f>#REF!</f>
        <v>#REF!</v>
      </c>
      <c r="C145" s="211" t="e">
        <f>#REF!</f>
        <v>#REF!</v>
      </c>
      <c r="D145" s="211" t="e">
        <f>#REF!</f>
        <v>#REF!</v>
      </c>
      <c r="E145" s="211" t="e">
        <f>#REF!</f>
        <v>#REF!</v>
      </c>
      <c r="F145" s="211" t="e">
        <f>#REF!</f>
        <v>#REF!</v>
      </c>
      <c r="G145" s="213" t="e">
        <f>#REF!</f>
        <v>#REF!</v>
      </c>
      <c r="H145" s="405" t="e">
        <f t="shared" si="9"/>
        <v>#REF!</v>
      </c>
    </row>
    <row r="146" spans="1:8">
      <c r="A146" s="220" t="s">
        <v>29</v>
      </c>
      <c r="B146" s="213" t="e">
        <f>#REF!</f>
        <v>#REF!</v>
      </c>
      <c r="C146" s="211" t="e">
        <f>#REF!</f>
        <v>#REF!</v>
      </c>
      <c r="D146" s="211" t="e">
        <f>#REF!</f>
        <v>#REF!</v>
      </c>
      <c r="E146" s="211" t="e">
        <f>#REF!</f>
        <v>#REF!</v>
      </c>
      <c r="F146" s="211" t="e">
        <f>#REF!</f>
        <v>#REF!</v>
      </c>
      <c r="G146" s="213" t="e">
        <f>#REF!</f>
        <v>#REF!</v>
      </c>
      <c r="H146" s="405" t="e">
        <f t="shared" si="9"/>
        <v>#REF!</v>
      </c>
    </row>
    <row r="147" spans="1:8">
      <c r="A147" s="220" t="s">
        <v>31</v>
      </c>
      <c r="B147" s="213" t="e">
        <f>#REF!</f>
        <v>#REF!</v>
      </c>
      <c r="C147" s="211" t="e">
        <f>#REF!</f>
        <v>#REF!</v>
      </c>
      <c r="D147" s="211" t="e">
        <f>#REF!</f>
        <v>#REF!</v>
      </c>
      <c r="E147" s="211" t="e">
        <f>#REF!</f>
        <v>#REF!</v>
      </c>
      <c r="F147" s="211" t="e">
        <f>#REF!</f>
        <v>#REF!</v>
      </c>
      <c r="G147" s="213" t="e">
        <f>#REF!</f>
        <v>#REF!</v>
      </c>
      <c r="H147" s="405" t="e">
        <f t="shared" si="9"/>
        <v>#REF!</v>
      </c>
    </row>
    <row r="148" spans="1:8">
      <c r="A148" s="220" t="s">
        <v>32</v>
      </c>
      <c r="B148" s="213" t="e">
        <f>#REF!</f>
        <v>#REF!</v>
      </c>
      <c r="C148" s="211" t="e">
        <f>#REF!</f>
        <v>#REF!</v>
      </c>
      <c r="D148" s="211" t="e">
        <f>#REF!</f>
        <v>#REF!</v>
      </c>
      <c r="E148" s="211" t="e">
        <f>#REF!</f>
        <v>#REF!</v>
      </c>
      <c r="F148" s="211" t="e">
        <f>#REF!</f>
        <v>#REF!</v>
      </c>
      <c r="G148" s="213" t="e">
        <f>#REF!</f>
        <v>#REF!</v>
      </c>
      <c r="H148" s="405" t="e">
        <f t="shared" si="9"/>
        <v>#REF!</v>
      </c>
    </row>
    <row r="149" spans="1:8">
      <c r="A149" s="220" t="s">
        <v>33</v>
      </c>
      <c r="B149" s="213" t="e">
        <f>#REF!</f>
        <v>#REF!</v>
      </c>
      <c r="C149" s="211" t="e">
        <f>#REF!</f>
        <v>#REF!</v>
      </c>
      <c r="D149" s="211" t="e">
        <f>#REF!</f>
        <v>#REF!</v>
      </c>
      <c r="E149" s="211" t="e">
        <f>#REF!</f>
        <v>#REF!</v>
      </c>
      <c r="F149" s="211" t="e">
        <f>#REF!</f>
        <v>#REF!</v>
      </c>
      <c r="G149" s="213" t="e">
        <f>#REF!</f>
        <v>#REF!</v>
      </c>
      <c r="H149" s="405" t="e">
        <f t="shared" si="9"/>
        <v>#REF!</v>
      </c>
    </row>
    <row r="150" spans="1:8">
      <c r="A150" s="220" t="s">
        <v>34</v>
      </c>
      <c r="B150" s="213" t="e">
        <f>#REF!</f>
        <v>#REF!</v>
      </c>
      <c r="C150" s="211" t="e">
        <f>#REF!</f>
        <v>#REF!</v>
      </c>
      <c r="D150" s="211" t="e">
        <f>#REF!</f>
        <v>#REF!</v>
      </c>
      <c r="E150" s="211" t="e">
        <f>#REF!</f>
        <v>#REF!</v>
      </c>
      <c r="F150" s="211" t="e">
        <f>#REF!</f>
        <v>#REF!</v>
      </c>
      <c r="G150" s="213" t="e">
        <f>#REF!</f>
        <v>#REF!</v>
      </c>
      <c r="H150" s="405" t="e">
        <f t="shared" si="9"/>
        <v>#REF!</v>
      </c>
    </row>
    <row r="151" spans="1:8">
      <c r="A151" s="220" t="s">
        <v>35</v>
      </c>
      <c r="B151" s="213" t="e">
        <f>#REF!</f>
        <v>#REF!</v>
      </c>
      <c r="C151" s="211" t="e">
        <f>#REF!</f>
        <v>#REF!</v>
      </c>
      <c r="D151" s="211" t="e">
        <f>#REF!</f>
        <v>#REF!</v>
      </c>
      <c r="E151" s="211" t="e">
        <f>#REF!</f>
        <v>#REF!</v>
      </c>
      <c r="F151" s="211" t="e">
        <f>#REF!</f>
        <v>#REF!</v>
      </c>
      <c r="G151" s="213" t="e">
        <f>#REF!</f>
        <v>#REF!</v>
      </c>
      <c r="H151" s="405" t="e">
        <f t="shared" si="9"/>
        <v>#REF!</v>
      </c>
    </row>
    <row r="152" spans="1:8">
      <c r="A152" s="220" t="s">
        <v>36</v>
      </c>
      <c r="B152" s="213" t="e">
        <f>#REF!</f>
        <v>#REF!</v>
      </c>
      <c r="C152" s="211" t="e">
        <f>#REF!</f>
        <v>#REF!</v>
      </c>
      <c r="D152" s="211" t="e">
        <f>#REF!</f>
        <v>#REF!</v>
      </c>
      <c r="E152" s="211" t="e">
        <f>#REF!</f>
        <v>#REF!</v>
      </c>
      <c r="F152" s="211" t="e">
        <f>#REF!</f>
        <v>#REF!</v>
      </c>
      <c r="G152" s="213" t="e">
        <f>#REF!</f>
        <v>#REF!</v>
      </c>
      <c r="H152" s="405" t="e">
        <f t="shared" si="9"/>
        <v>#REF!</v>
      </c>
    </row>
    <row r="153" spans="1:8">
      <c r="A153" s="220" t="s">
        <v>37</v>
      </c>
      <c r="B153" s="213" t="e">
        <f>#REF!</f>
        <v>#REF!</v>
      </c>
      <c r="C153" s="211" t="e">
        <f>#REF!</f>
        <v>#REF!</v>
      </c>
      <c r="D153" s="211" t="e">
        <f>#REF!</f>
        <v>#REF!</v>
      </c>
      <c r="E153" s="211" t="e">
        <f>#REF!</f>
        <v>#REF!</v>
      </c>
      <c r="F153" s="211" t="e">
        <f>#REF!</f>
        <v>#REF!</v>
      </c>
      <c r="G153" s="213" t="e">
        <f>#REF!</f>
        <v>#REF!</v>
      </c>
      <c r="H153" s="405" t="e">
        <f t="shared" si="9"/>
        <v>#REF!</v>
      </c>
    </row>
    <row r="154" spans="1:8">
      <c r="A154" s="220" t="s">
        <v>38</v>
      </c>
      <c r="B154" s="213" t="e">
        <f>#REF!</f>
        <v>#REF!</v>
      </c>
      <c r="C154" s="211" t="e">
        <f>#REF!</f>
        <v>#REF!</v>
      </c>
      <c r="D154" s="211" t="e">
        <f>#REF!</f>
        <v>#REF!</v>
      </c>
      <c r="E154" s="211" t="e">
        <f>#REF!</f>
        <v>#REF!</v>
      </c>
      <c r="F154" s="211" t="e">
        <f>#REF!</f>
        <v>#REF!</v>
      </c>
      <c r="G154" s="213" t="e">
        <f>#REF!</f>
        <v>#REF!</v>
      </c>
      <c r="H154" s="405" t="e">
        <f t="shared" si="9"/>
        <v>#REF!</v>
      </c>
    </row>
    <row r="155" spans="1:8">
      <c r="A155" s="220" t="s">
        <v>39</v>
      </c>
      <c r="B155" s="213" t="e">
        <f>#REF!</f>
        <v>#REF!</v>
      </c>
      <c r="C155" s="211" t="e">
        <f>#REF!</f>
        <v>#REF!</v>
      </c>
      <c r="D155" s="211" t="e">
        <f>#REF!</f>
        <v>#REF!</v>
      </c>
      <c r="E155" s="211" t="e">
        <f>#REF!</f>
        <v>#REF!</v>
      </c>
      <c r="F155" s="211" t="e">
        <f>#REF!</f>
        <v>#REF!</v>
      </c>
      <c r="G155" s="213" t="e">
        <f>#REF!</f>
        <v>#REF!</v>
      </c>
      <c r="H155" s="405" t="e">
        <f t="shared" si="9"/>
        <v>#REF!</v>
      </c>
    </row>
    <row r="156" spans="1:8">
      <c r="A156" s="220" t="s">
        <v>40</v>
      </c>
      <c r="B156" s="213" t="e">
        <f>#REF!</f>
        <v>#REF!</v>
      </c>
      <c r="C156" s="211" t="e">
        <f>#REF!</f>
        <v>#REF!</v>
      </c>
      <c r="D156" s="211" t="e">
        <f>#REF!</f>
        <v>#REF!</v>
      </c>
      <c r="E156" s="211" t="e">
        <f>#REF!</f>
        <v>#REF!</v>
      </c>
      <c r="F156" s="211" t="e">
        <f>#REF!</f>
        <v>#REF!</v>
      </c>
      <c r="G156" s="213" t="e">
        <f>#REF!</f>
        <v>#REF!</v>
      </c>
      <c r="H156" s="405" t="e">
        <f t="shared" si="9"/>
        <v>#REF!</v>
      </c>
    </row>
    <row r="157" spans="1:8">
      <c r="A157" s="220" t="s">
        <v>41</v>
      </c>
      <c r="B157" s="213" t="e">
        <f>#REF!</f>
        <v>#REF!</v>
      </c>
      <c r="C157" s="211" t="e">
        <f>#REF!</f>
        <v>#REF!</v>
      </c>
      <c r="D157" s="211" t="e">
        <f>#REF!</f>
        <v>#REF!</v>
      </c>
      <c r="E157" s="211" t="e">
        <f>#REF!</f>
        <v>#REF!</v>
      </c>
      <c r="F157" s="211" t="e">
        <f>#REF!</f>
        <v>#REF!</v>
      </c>
      <c r="G157" s="213" t="e">
        <f>#REF!</f>
        <v>#REF!</v>
      </c>
      <c r="H157" s="405" t="e">
        <f t="shared" si="9"/>
        <v>#REF!</v>
      </c>
    </row>
    <row r="158" spans="1:8">
      <c r="A158" s="220" t="s">
        <v>42</v>
      </c>
      <c r="B158" s="213" t="e">
        <f>#REF!</f>
        <v>#REF!</v>
      </c>
      <c r="C158" s="211" t="e">
        <f>#REF!</f>
        <v>#REF!</v>
      </c>
      <c r="D158" s="211" t="e">
        <f>#REF!</f>
        <v>#REF!</v>
      </c>
      <c r="E158" s="211" t="e">
        <f>#REF!</f>
        <v>#REF!</v>
      </c>
      <c r="F158" s="211" t="e">
        <f>#REF!</f>
        <v>#REF!</v>
      </c>
      <c r="G158" s="213" t="e">
        <f>#REF!</f>
        <v>#REF!</v>
      </c>
      <c r="H158" s="405" t="e">
        <f t="shared" si="9"/>
        <v>#REF!</v>
      </c>
    </row>
    <row r="159" spans="1:8">
      <c r="A159" s="220" t="s">
        <v>43</v>
      </c>
      <c r="B159" s="213" t="e">
        <f>#REF!</f>
        <v>#REF!</v>
      </c>
      <c r="C159" s="211" t="e">
        <f>#REF!</f>
        <v>#REF!</v>
      </c>
      <c r="D159" s="211" t="e">
        <f>#REF!</f>
        <v>#REF!</v>
      </c>
      <c r="E159" s="211" t="e">
        <f>#REF!</f>
        <v>#REF!</v>
      </c>
      <c r="F159" s="211" t="e">
        <f>#REF!</f>
        <v>#REF!</v>
      </c>
      <c r="G159" s="213" t="e">
        <f>#REF!</f>
        <v>#REF!</v>
      </c>
      <c r="H159" s="405" t="e">
        <f t="shared" si="9"/>
        <v>#REF!</v>
      </c>
    </row>
    <row r="160" spans="1:8">
      <c r="A160" s="220" t="s">
        <v>44</v>
      </c>
      <c r="B160" s="213" t="e">
        <f>#REF!</f>
        <v>#REF!</v>
      </c>
      <c r="C160" s="211" t="e">
        <f>#REF!</f>
        <v>#REF!</v>
      </c>
      <c r="D160" s="211" t="e">
        <f>#REF!</f>
        <v>#REF!</v>
      </c>
      <c r="E160" s="211" t="e">
        <f>#REF!</f>
        <v>#REF!</v>
      </c>
      <c r="F160" s="211" t="e">
        <f>#REF!</f>
        <v>#REF!</v>
      </c>
      <c r="G160" s="213" t="e">
        <f>#REF!</f>
        <v>#REF!</v>
      </c>
      <c r="H160" s="405" t="e">
        <f t="shared" si="9"/>
        <v>#REF!</v>
      </c>
    </row>
    <row r="161" spans="1:9">
      <c r="A161" s="220" t="s">
        <v>45</v>
      </c>
      <c r="B161" s="213" t="e">
        <f>#REF!</f>
        <v>#REF!</v>
      </c>
      <c r="C161" s="211" t="e">
        <f>#REF!</f>
        <v>#REF!</v>
      </c>
      <c r="D161" s="211" t="e">
        <f>#REF!</f>
        <v>#REF!</v>
      </c>
      <c r="E161" s="211" t="e">
        <f>#REF!</f>
        <v>#REF!</v>
      </c>
      <c r="F161" s="211" t="e">
        <f>#REF!</f>
        <v>#REF!</v>
      </c>
      <c r="G161" s="213" t="e">
        <f>#REF!</f>
        <v>#REF!</v>
      </c>
      <c r="H161" s="405" t="e">
        <f t="shared" si="9"/>
        <v>#REF!</v>
      </c>
    </row>
    <row r="162" spans="1:9">
      <c r="A162" s="220" t="s">
        <v>46</v>
      </c>
      <c r="B162" s="213" t="e">
        <f>#REF!</f>
        <v>#REF!</v>
      </c>
      <c r="C162" s="211" t="e">
        <f>#REF!</f>
        <v>#REF!</v>
      </c>
      <c r="D162" s="211" t="e">
        <f>#REF!</f>
        <v>#REF!</v>
      </c>
      <c r="E162" s="211" t="e">
        <f>#REF!</f>
        <v>#REF!</v>
      </c>
      <c r="F162" s="211" t="e">
        <f>#REF!</f>
        <v>#REF!</v>
      </c>
      <c r="G162" s="213" t="e">
        <f>#REF!</f>
        <v>#REF!</v>
      </c>
      <c r="H162" s="405" t="e">
        <f t="shared" si="9"/>
        <v>#REF!</v>
      </c>
    </row>
    <row r="163" spans="1:9">
      <c r="A163" s="221" t="s">
        <v>47</v>
      </c>
      <c r="B163" s="214" t="e">
        <f>#REF!</f>
        <v>#REF!</v>
      </c>
      <c r="C163" s="212" t="e">
        <f>#REF!</f>
        <v>#REF!</v>
      </c>
      <c r="D163" s="212" t="e">
        <f>#REF!</f>
        <v>#REF!</v>
      </c>
      <c r="E163" s="212" t="e">
        <f>#REF!</f>
        <v>#REF!</v>
      </c>
      <c r="F163" s="212" t="e">
        <f>#REF!</f>
        <v>#REF!</v>
      </c>
      <c r="G163" s="214" t="e">
        <f>#REF!</f>
        <v>#REF!</v>
      </c>
      <c r="H163" s="406" t="e">
        <f t="shared" si="9"/>
        <v>#REF!</v>
      </c>
    </row>
    <row r="164" spans="1:9">
      <c r="A164" s="774"/>
      <c r="B164" s="774"/>
      <c r="C164" s="774"/>
      <c r="D164" s="774"/>
      <c r="E164" s="774"/>
      <c r="F164" s="774"/>
      <c r="G164" s="774"/>
      <c r="H164" s="774"/>
    </row>
    <row r="165" spans="1:9">
      <c r="A165" s="767" t="s">
        <v>368</v>
      </c>
      <c r="B165" s="768">
        <v>-980265.80983123335</v>
      </c>
      <c r="C165" s="768">
        <v>11902094.413166763</v>
      </c>
      <c r="D165" s="768">
        <v>-11789635</v>
      </c>
      <c r="E165" s="768">
        <v>112459.41316676326</v>
      </c>
      <c r="F165" s="768">
        <v>-46185</v>
      </c>
      <c r="G165" s="768">
        <v>-913991.39666447008</v>
      </c>
      <c r="H165" s="766">
        <v>-5.6214134845364817E-3</v>
      </c>
    </row>
    <row r="166" spans="1:9">
      <c r="A166" s="753" t="s">
        <v>252</v>
      </c>
      <c r="B166" s="775" t="e">
        <f t="shared" ref="B166:H166" si="10">B131-B165</f>
        <v>#REF!</v>
      </c>
      <c r="C166" s="775" t="e">
        <f t="shared" si="10"/>
        <v>#REF!</v>
      </c>
      <c r="D166" s="775" t="e">
        <f t="shared" si="10"/>
        <v>#REF!</v>
      </c>
      <c r="E166" s="775" t="e">
        <f t="shared" si="10"/>
        <v>#REF!</v>
      </c>
      <c r="F166" s="775" t="e">
        <f t="shared" si="10"/>
        <v>#REF!</v>
      </c>
      <c r="G166" s="775" t="e">
        <f t="shared" si="10"/>
        <v>#REF!</v>
      </c>
      <c r="H166" s="766" t="e">
        <f t="shared" si="10"/>
        <v>#REF!</v>
      </c>
    </row>
    <row r="167" spans="1:9">
      <c r="A167" s="753" t="s">
        <v>265</v>
      </c>
      <c r="B167" s="766" t="e">
        <f t="shared" ref="B167:H167" si="11">B166/B165</f>
        <v>#REF!</v>
      </c>
      <c r="C167" s="766" t="e">
        <f t="shared" si="11"/>
        <v>#REF!</v>
      </c>
      <c r="D167" s="766" t="e">
        <f t="shared" si="11"/>
        <v>#REF!</v>
      </c>
      <c r="E167" s="766" t="e">
        <f t="shared" si="11"/>
        <v>#REF!</v>
      </c>
      <c r="F167" s="766" t="e">
        <f t="shared" si="11"/>
        <v>#REF!</v>
      </c>
      <c r="G167" s="766" t="e">
        <f t="shared" si="11"/>
        <v>#REF!</v>
      </c>
      <c r="H167" s="766" t="e">
        <f t="shared" si="11"/>
        <v>#REF!</v>
      </c>
    </row>
    <row r="174" spans="1:9">
      <c r="A174" s="649" t="s">
        <v>365</v>
      </c>
    </row>
    <row r="176" spans="1:9">
      <c r="A176" s="776"/>
      <c r="B176" s="776"/>
      <c r="C176" s="776"/>
      <c r="D176" s="776"/>
      <c r="E176" s="776"/>
      <c r="F176" s="776"/>
      <c r="G176" s="776"/>
      <c r="H176" s="776"/>
      <c r="I176" s="776"/>
    </row>
    <row r="177" spans="1:2">
      <c r="A177" s="703"/>
    </row>
    <row r="178" spans="1:2">
      <c r="A178" s="448" t="s">
        <v>52</v>
      </c>
      <c r="B178" s="776" t="e">
        <f>B4/1000000</f>
        <v>#REF!</v>
      </c>
    </row>
    <row r="179" spans="1:2">
      <c r="A179" s="448" t="s">
        <v>53</v>
      </c>
      <c r="B179" s="776" t="e">
        <f>C4/1000000</f>
        <v>#REF!</v>
      </c>
    </row>
    <row r="180" spans="1:2">
      <c r="A180" s="448" t="s">
        <v>247</v>
      </c>
      <c r="B180" s="776" t="e">
        <f>D4/1000000</f>
        <v>#REF!</v>
      </c>
    </row>
    <row r="181" spans="1:2">
      <c r="A181" s="649" t="s">
        <v>325</v>
      </c>
      <c r="B181" s="776" t="e">
        <f>E4/1000000</f>
        <v>#REF!</v>
      </c>
    </row>
    <row r="182" spans="1:2">
      <c r="A182" s="649" t="s">
        <v>267</v>
      </c>
      <c r="B182" s="776" t="e">
        <f>F4/1000000</f>
        <v>#REF!</v>
      </c>
    </row>
    <row r="183" spans="1:2">
      <c r="A183" s="649" t="s">
        <v>266</v>
      </c>
      <c r="B183" s="776" t="e">
        <f>G4/1000000</f>
        <v>#REF!</v>
      </c>
    </row>
    <row r="184" spans="1:2">
      <c r="A184" s="649" t="s">
        <v>121</v>
      </c>
      <c r="B184" s="776" t="e">
        <f>H4/1000000</f>
        <v>#REF!</v>
      </c>
    </row>
    <row r="185" spans="1:2">
      <c r="A185" s="649" t="s">
        <v>374</v>
      </c>
      <c r="B185" s="776" t="e">
        <f>I4/1000000</f>
        <v>#REF!</v>
      </c>
    </row>
    <row r="186" spans="1:2">
      <c r="A186" s="448" t="s">
        <v>364</v>
      </c>
      <c r="B186" s="776" t="e">
        <f>J4/1000000</f>
        <v>#REF!</v>
      </c>
    </row>
    <row r="212" spans="1:6">
      <c r="A212" s="649" t="s">
        <v>366</v>
      </c>
    </row>
    <row r="216" spans="1:6">
      <c r="B216" s="649" t="s">
        <v>413</v>
      </c>
      <c r="C216" s="649" t="s">
        <v>381</v>
      </c>
      <c r="D216" s="649" t="s">
        <v>265</v>
      </c>
    </row>
    <row r="217" spans="1:6">
      <c r="A217" s="448" t="s">
        <v>52</v>
      </c>
      <c r="B217" s="777">
        <f>B40/1000000</f>
        <v>5.0370607797273816</v>
      </c>
      <c r="C217" s="777" t="e">
        <f>B4/1000000</f>
        <v>#REF!</v>
      </c>
      <c r="D217" s="772" t="e">
        <f>C217/B217-1</f>
        <v>#REF!</v>
      </c>
      <c r="E217" s="778" t="e">
        <f>C217-B217</f>
        <v>#REF!</v>
      </c>
      <c r="F217" s="772" t="e">
        <f>C217/C$225</f>
        <v>#REF!</v>
      </c>
    </row>
    <row r="218" spans="1:6">
      <c r="A218" s="448" t="s">
        <v>53</v>
      </c>
      <c r="B218" s="777">
        <f>C40/1000000</f>
        <v>3.2161207955525337</v>
      </c>
      <c r="C218" s="777" t="e">
        <f>C4/1000000</f>
        <v>#REF!</v>
      </c>
      <c r="D218" s="772" t="e">
        <f t="shared" ref="D218:D225" si="12">C218/B218-1</f>
        <v>#REF!</v>
      </c>
      <c r="E218" s="778" t="e">
        <f t="shared" ref="E218:E225" si="13">C218-B218</f>
        <v>#REF!</v>
      </c>
      <c r="F218" s="772" t="e">
        <f t="shared" ref="F218:F225" si="14">C218/C$225</f>
        <v>#REF!</v>
      </c>
    </row>
    <row r="219" spans="1:6">
      <c r="A219" s="448" t="s">
        <v>247</v>
      </c>
      <c r="B219" s="777">
        <f>D40/1000000</f>
        <v>0.4194872366746345</v>
      </c>
      <c r="C219" s="777" t="e">
        <f>D4/1000000</f>
        <v>#REF!</v>
      </c>
      <c r="D219" s="772" t="e">
        <f t="shared" si="12"/>
        <v>#REF!</v>
      </c>
      <c r="E219" s="778" t="e">
        <f t="shared" si="13"/>
        <v>#REF!</v>
      </c>
      <c r="F219" s="772" t="e">
        <f t="shared" si="14"/>
        <v>#REF!</v>
      </c>
    </row>
    <row r="220" spans="1:6">
      <c r="A220" s="448" t="s">
        <v>325</v>
      </c>
      <c r="B220" s="777">
        <f>E40/1000000</f>
        <v>0.70397054159291284</v>
      </c>
      <c r="C220" s="777" t="e">
        <f>E4/1000000</f>
        <v>#REF!</v>
      </c>
      <c r="D220" s="772" t="e">
        <f t="shared" si="12"/>
        <v>#REF!</v>
      </c>
      <c r="E220" s="778" t="e">
        <f t="shared" si="13"/>
        <v>#REF!</v>
      </c>
      <c r="F220" s="772" t="e">
        <f t="shared" si="14"/>
        <v>#REF!</v>
      </c>
    </row>
    <row r="221" spans="1:6">
      <c r="A221" s="448" t="s">
        <v>267</v>
      </c>
      <c r="B221" s="777">
        <f>F40/1000000</f>
        <v>0.23366896247223934</v>
      </c>
      <c r="C221" s="777" t="e">
        <f>F4/1000000</f>
        <v>#REF!</v>
      </c>
      <c r="D221" s="772" t="e">
        <f t="shared" si="12"/>
        <v>#REF!</v>
      </c>
      <c r="E221" s="778" t="e">
        <f t="shared" si="13"/>
        <v>#REF!</v>
      </c>
      <c r="F221" s="772" t="e">
        <f t="shared" si="14"/>
        <v>#REF!</v>
      </c>
    </row>
    <row r="222" spans="1:6">
      <c r="A222" s="448" t="s">
        <v>266</v>
      </c>
      <c r="B222" s="777">
        <f>G40/1000000</f>
        <v>0.54792494382069168</v>
      </c>
      <c r="C222" s="777" t="e">
        <f>G4/1000000</f>
        <v>#REF!</v>
      </c>
      <c r="D222" s="772" t="e">
        <f t="shared" si="12"/>
        <v>#REF!</v>
      </c>
      <c r="E222" s="778" t="e">
        <f t="shared" si="13"/>
        <v>#REF!</v>
      </c>
      <c r="F222" s="772" t="e">
        <f t="shared" si="14"/>
        <v>#REF!</v>
      </c>
    </row>
    <row r="223" spans="1:6">
      <c r="A223" s="448" t="s">
        <v>121</v>
      </c>
      <c r="B223" s="777">
        <f>H40/1000000</f>
        <v>0.70674959472046539</v>
      </c>
      <c r="C223" s="777" t="e">
        <f>H4/1000000</f>
        <v>#REF!</v>
      </c>
      <c r="D223" s="772" t="e">
        <f t="shared" si="12"/>
        <v>#REF!</v>
      </c>
      <c r="E223" s="778" t="e">
        <f t="shared" si="13"/>
        <v>#REF!</v>
      </c>
      <c r="F223" s="772" t="e">
        <f t="shared" si="14"/>
        <v>#REF!</v>
      </c>
    </row>
    <row r="224" spans="1:6">
      <c r="A224" s="448" t="s">
        <v>374</v>
      </c>
      <c r="B224" s="777">
        <f>I40/1000000</f>
        <v>1.1425497473915642</v>
      </c>
      <c r="C224" s="777" t="e">
        <f>I4/1000000</f>
        <v>#REF!</v>
      </c>
      <c r="D224" s="772" t="e">
        <f t="shared" si="12"/>
        <v>#REF!</v>
      </c>
      <c r="E224" s="778" t="e">
        <f t="shared" si="13"/>
        <v>#REF!</v>
      </c>
      <c r="F224" s="772" t="e">
        <f t="shared" si="14"/>
        <v>#REF!</v>
      </c>
    </row>
    <row r="225" spans="1:6">
      <c r="A225" s="448" t="s">
        <v>364</v>
      </c>
      <c r="B225" s="777">
        <f>J40/1000000</f>
        <v>12.007532601952427</v>
      </c>
      <c r="C225" s="777" t="e">
        <f>J4/1000000</f>
        <v>#REF!</v>
      </c>
      <c r="D225" s="772" t="e">
        <f t="shared" si="12"/>
        <v>#REF!</v>
      </c>
      <c r="E225" s="778" t="e">
        <f t="shared" si="13"/>
        <v>#REF!</v>
      </c>
      <c r="F225" s="772" t="e">
        <f t="shared" si="14"/>
        <v>#REF!</v>
      </c>
    </row>
    <row r="227" spans="1:6">
      <c r="A227" s="649" t="s">
        <v>332</v>
      </c>
    </row>
    <row r="228" spans="1:6">
      <c r="A228" s="649" t="s">
        <v>375</v>
      </c>
      <c r="B228" s="772">
        <f>(Scotland!$F$43+Scotland!$F$47)/Scotland!$F$38</f>
        <v>0.58103904040808529</v>
      </c>
      <c r="C228" s="779">
        <f>(Scotland!$F$43+Scotland!$F$47)/1000000</f>
        <v>7.146509</v>
      </c>
      <c r="D228" s="772">
        <f>C$228/(SUM(C$228:C$230))</f>
        <v>0.58854217264062869</v>
      </c>
    </row>
    <row r="229" spans="1:6">
      <c r="A229" s="649" t="s">
        <v>327</v>
      </c>
      <c r="B229" s="772">
        <f>SUM(Scotland!$F$44:$F$46)/Scotland!$F$38</f>
        <v>0.21435228031199705</v>
      </c>
      <c r="C229" s="779">
        <f>SUM(Scotland!$F$44:$F$46)/1000000</f>
        <v>2.6364329999999998</v>
      </c>
      <c r="D229" s="772">
        <f>C$229/(SUM(C$228:C$230))</f>
        <v>0.21712027590554359</v>
      </c>
    </row>
    <row r="230" spans="1:6">
      <c r="A230" s="649" t="s">
        <v>268</v>
      </c>
      <c r="B230" s="772">
        <f>Scotland!$F$48/Scotland!$F$38</f>
        <v>0.19186000538475934</v>
      </c>
      <c r="C230" s="779">
        <f>Scotland!$F$48/1000000</f>
        <v>2.3597885165499997</v>
      </c>
      <c r="D230" s="772">
        <f>C$230/(SUM(C$228:C$230))</f>
        <v>0.19433755145382772</v>
      </c>
    </row>
    <row r="231" spans="1:6">
      <c r="A231" s="649" t="s">
        <v>322</v>
      </c>
      <c r="B231" s="772">
        <f>(-Scotland!$F$54)/Scotland!$F$38</f>
        <v>1.2748673895158198E-2</v>
      </c>
      <c r="C231" s="779">
        <f>(-Scotland!$F$54)/1000000</f>
        <v>0.15680273853169008</v>
      </c>
    </row>
    <row r="253" spans="1:2">
      <c r="A253" s="705" t="s">
        <v>369</v>
      </c>
    </row>
    <row r="255" spans="1:2">
      <c r="A255" s="776"/>
      <c r="B255" s="776"/>
    </row>
    <row r="256" spans="1:2">
      <c r="A256" s="703"/>
    </row>
    <row r="257" spans="1:2">
      <c r="A257" s="448" t="s">
        <v>52</v>
      </c>
      <c r="B257" s="776" t="e">
        <f>B47/1000000</f>
        <v>#REF!</v>
      </c>
    </row>
    <row r="258" spans="1:2">
      <c r="A258" s="448" t="s">
        <v>53</v>
      </c>
      <c r="B258" s="776" t="e">
        <f>C47/1000000</f>
        <v>#REF!</v>
      </c>
    </row>
    <row r="259" spans="1:2">
      <c r="A259" s="448" t="s">
        <v>247</v>
      </c>
      <c r="B259" s="776" t="e">
        <f>D47/1000000</f>
        <v>#REF!</v>
      </c>
    </row>
    <row r="260" spans="1:2">
      <c r="A260" s="649" t="s">
        <v>325</v>
      </c>
      <c r="B260" s="776" t="e">
        <f>E47/1000000</f>
        <v>#REF!</v>
      </c>
    </row>
    <row r="261" spans="1:2">
      <c r="A261" s="649" t="s">
        <v>267</v>
      </c>
      <c r="B261" s="776" t="e">
        <f>F47/1000000</f>
        <v>#REF!</v>
      </c>
    </row>
    <row r="262" spans="1:2">
      <c r="A262" s="649" t="s">
        <v>266</v>
      </c>
      <c r="B262" s="776" t="e">
        <f>G47/1000000</f>
        <v>#REF!</v>
      </c>
    </row>
    <row r="263" spans="1:2">
      <c r="A263" s="649" t="s">
        <v>121</v>
      </c>
      <c r="B263" s="776" t="e">
        <f>H47/1000000</f>
        <v>#REF!</v>
      </c>
    </row>
    <row r="264" spans="1:2">
      <c r="A264" s="649" t="s">
        <v>374</v>
      </c>
      <c r="B264" s="776" t="e">
        <f>I47/1000000</f>
        <v>#REF!</v>
      </c>
    </row>
    <row r="265" spans="1:2">
      <c r="A265" s="448" t="s">
        <v>364</v>
      </c>
      <c r="B265" s="776" t="e">
        <f>J47/1000000</f>
        <v>#REF!</v>
      </c>
    </row>
    <row r="294" spans="1:6">
      <c r="A294" s="705" t="s">
        <v>370</v>
      </c>
    </row>
    <row r="298" spans="1:6">
      <c r="B298" s="705" t="s">
        <v>381</v>
      </c>
      <c r="C298" s="649" t="s">
        <v>412</v>
      </c>
      <c r="D298" s="649" t="s">
        <v>265</v>
      </c>
    </row>
    <row r="299" spans="1:6">
      <c r="A299" s="448" t="s">
        <v>52</v>
      </c>
      <c r="B299" s="777">
        <f>B83/1000000</f>
        <v>5.1590340977718663</v>
      </c>
      <c r="C299" s="777" t="e">
        <f>B47/1000000</f>
        <v>#REF!</v>
      </c>
      <c r="D299" s="772" t="e">
        <f>C299/B299-1</f>
        <v>#REF!</v>
      </c>
      <c r="E299" s="778" t="e">
        <f>C299-B299</f>
        <v>#REF!</v>
      </c>
      <c r="F299" s="772" t="e">
        <f>C299/C$307</f>
        <v>#REF!</v>
      </c>
    </row>
    <row r="300" spans="1:6">
      <c r="A300" s="448" t="s">
        <v>53</v>
      </c>
      <c r="B300" s="777">
        <f>C83/1000000</f>
        <v>3.2600204094301195</v>
      </c>
      <c r="C300" s="777" t="e">
        <f>C47/1000000</f>
        <v>#REF!</v>
      </c>
      <c r="D300" s="772" t="e">
        <f t="shared" ref="D300:D307" si="15">C300/B300-1</f>
        <v>#REF!</v>
      </c>
      <c r="E300" s="778" t="e">
        <f t="shared" ref="E300:E307" si="16">C300-B300</f>
        <v>#REF!</v>
      </c>
      <c r="F300" s="772" t="e">
        <f t="shared" ref="F300:F307" si="17">C300/C$307</f>
        <v>#REF!</v>
      </c>
    </row>
    <row r="301" spans="1:6">
      <c r="A301" s="448" t="s">
        <v>247</v>
      </c>
      <c r="B301" s="777">
        <f>D83/1000000</f>
        <v>0.38846941949792524</v>
      </c>
      <c r="C301" s="777" t="e">
        <f>D47/1000000</f>
        <v>#REF!</v>
      </c>
      <c r="D301" s="772" t="e">
        <f t="shared" si="15"/>
        <v>#REF!</v>
      </c>
      <c r="E301" s="778" t="e">
        <f t="shared" si="16"/>
        <v>#REF!</v>
      </c>
      <c r="F301" s="772" t="e">
        <f t="shared" si="17"/>
        <v>#REF!</v>
      </c>
    </row>
    <row r="302" spans="1:6">
      <c r="A302" s="448" t="s">
        <v>325</v>
      </c>
      <c r="B302" s="777">
        <f>E83/1000000</f>
        <v>0.6789783432624813</v>
      </c>
      <c r="C302" s="777" t="e">
        <f>E47/1000000</f>
        <v>#REF!</v>
      </c>
      <c r="D302" s="772" t="e">
        <f t="shared" si="15"/>
        <v>#REF!</v>
      </c>
      <c r="E302" s="778" t="e">
        <f t="shared" si="16"/>
        <v>#REF!</v>
      </c>
      <c r="F302" s="772" t="e">
        <f t="shared" si="17"/>
        <v>#REF!</v>
      </c>
    </row>
    <row r="303" spans="1:6">
      <c r="A303" s="448" t="s">
        <v>267</v>
      </c>
      <c r="B303" s="777">
        <f>F83/1000000</f>
        <v>0.24128842553764449</v>
      </c>
      <c r="C303" s="777" t="e">
        <f>F47/1000000</f>
        <v>#REF!</v>
      </c>
      <c r="D303" s="772" t="e">
        <f t="shared" si="15"/>
        <v>#REF!</v>
      </c>
      <c r="E303" s="778" t="e">
        <f t="shared" si="16"/>
        <v>#REF!</v>
      </c>
      <c r="F303" s="772" t="e">
        <f t="shared" si="17"/>
        <v>#REF!</v>
      </c>
    </row>
    <row r="304" spans="1:6">
      <c r="A304" s="448" t="s">
        <v>266</v>
      </c>
      <c r="B304" s="777">
        <f>G83/1000000</f>
        <v>0.537534410688009</v>
      </c>
      <c r="C304" s="777" t="e">
        <f>G47/1000000</f>
        <v>#REF!</v>
      </c>
      <c r="D304" s="772" t="e">
        <f t="shared" si="15"/>
        <v>#REF!</v>
      </c>
      <c r="E304" s="778" t="e">
        <f t="shared" si="16"/>
        <v>#REF!</v>
      </c>
      <c r="F304" s="772" t="e">
        <f t="shared" si="17"/>
        <v>#REF!</v>
      </c>
    </row>
    <row r="305" spans="1:6">
      <c r="A305" s="448" t="s">
        <v>121</v>
      </c>
      <c r="B305" s="777">
        <f>H83/1000000</f>
        <v>0.71675860266432445</v>
      </c>
      <c r="C305" s="777" t="e">
        <f>H47/1000000</f>
        <v>#REF!</v>
      </c>
      <c r="D305" s="772" t="e">
        <f t="shared" si="15"/>
        <v>#REF!</v>
      </c>
      <c r="E305" s="778" t="e">
        <f t="shared" si="16"/>
        <v>#REF!</v>
      </c>
      <c r="F305" s="772" t="e">
        <f t="shared" si="17"/>
        <v>#REF!</v>
      </c>
    </row>
    <row r="306" spans="1:6">
      <c r="A306" s="448" t="s">
        <v>374</v>
      </c>
      <c r="B306" s="777">
        <f>I83/1000000</f>
        <v>1.1551683368833112</v>
      </c>
      <c r="C306" s="777" t="e">
        <f>I47/1000000</f>
        <v>#REF!</v>
      </c>
      <c r="D306" s="772" t="e">
        <f t="shared" si="15"/>
        <v>#REF!</v>
      </c>
      <c r="E306" s="778" t="e">
        <f t="shared" si="16"/>
        <v>#REF!</v>
      </c>
      <c r="F306" s="772" t="e">
        <f t="shared" si="17"/>
        <v>#REF!</v>
      </c>
    </row>
    <row r="307" spans="1:6">
      <c r="A307" s="448" t="s">
        <v>364</v>
      </c>
      <c r="B307" s="777">
        <f>J83/1000000</f>
        <v>12.13725204573568</v>
      </c>
      <c r="C307" s="777" t="e">
        <f>J47/1000000</f>
        <v>#REF!</v>
      </c>
      <c r="D307" s="772" t="e">
        <f t="shared" si="15"/>
        <v>#REF!</v>
      </c>
      <c r="E307" s="778" t="e">
        <f t="shared" si="16"/>
        <v>#REF!</v>
      </c>
      <c r="F307" s="772" t="e">
        <f t="shared" si="17"/>
        <v>#REF!</v>
      </c>
    </row>
    <row r="309" spans="1:6">
      <c r="A309" s="649" t="s">
        <v>332</v>
      </c>
    </row>
    <row r="310" spans="1:6">
      <c r="A310" s="649" t="s">
        <v>375</v>
      </c>
      <c r="B310" s="702">
        <f>(Scotland!$H$43+Scotland!$H$47)/Scotland!$H$38</f>
        <v>0.57025186555954033</v>
      </c>
      <c r="C310" s="779">
        <f>(Scotland!$H$43+Scotland!$H$47)/1000000</f>
        <v>7.2049669999999999</v>
      </c>
      <c r="D310" s="772">
        <f>C$310/(SUM(C$310:C$312))</f>
        <v>0.57542985525856238</v>
      </c>
    </row>
    <row r="311" spans="1:6">
      <c r="A311" s="649" t="s">
        <v>327</v>
      </c>
      <c r="B311" s="702">
        <f>SUM(Scotland!$H$44:$H$46)/Scotland!$H$38</f>
        <v>0.22582180196681281</v>
      </c>
      <c r="C311" s="779">
        <f>SUM(Scotland!$H$44:$H$46)/1000000</f>
        <v>2.8531930000000001</v>
      </c>
      <c r="D311" s="772">
        <f>C$311/(SUM(C$310:C$312))</f>
        <v>0.22787230462190092</v>
      </c>
    </row>
    <row r="312" spans="1:6">
      <c r="A312" s="649" t="s">
        <v>268</v>
      </c>
      <c r="B312" s="702">
        <f>Scotland!$H$48/Scotland!$H$38</f>
        <v>0.19492786002439327</v>
      </c>
      <c r="C312" s="779">
        <f>Scotland!$H$48/1000000</f>
        <v>2.4628570000000001</v>
      </c>
      <c r="D312" s="772">
        <f>C$312/(SUM(C$310:C$312))</f>
        <v>0.19669784011953662</v>
      </c>
    </row>
    <row r="313" spans="1:6">
      <c r="A313" s="649" t="s">
        <v>322</v>
      </c>
      <c r="B313" s="702">
        <f>(-Scotland!$H$54)/Scotland!$H$38</f>
        <v>8.9984724492536E-3</v>
      </c>
      <c r="C313" s="779">
        <f>(-Scotland!$H$54)/1000000</f>
        <v>0.11369309065506607</v>
      </c>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fitToPage="1"/>
  </sheetPr>
  <dimension ref="A1:BS449"/>
  <sheetViews>
    <sheetView tabSelected="1" zoomScale="80" zoomScaleNormal="80" workbookViewId="0">
      <selection activeCell="H189" sqref="H189"/>
    </sheetView>
  </sheetViews>
  <sheetFormatPr defaultColWidth="9.140625" defaultRowHeight="12.75" zeroHeight="1"/>
  <cols>
    <col min="1" max="1" width="10.5703125" style="1" customWidth="1"/>
    <col min="2" max="2" width="43" style="1" customWidth="1"/>
    <col min="3" max="3" width="24.5703125" style="1" customWidth="1"/>
    <col min="4" max="4" width="14.7109375" style="1" customWidth="1"/>
    <col min="5" max="5" width="21.5703125" style="1" customWidth="1"/>
    <col min="6" max="6" width="19.140625" style="1" customWidth="1"/>
    <col min="7" max="7" width="17.42578125" style="1" customWidth="1"/>
    <col min="8" max="8" width="19.7109375" style="1" customWidth="1"/>
    <col min="9" max="9" width="17.85546875" style="1" customWidth="1"/>
    <col min="10" max="10" width="4.7109375" style="8" customWidth="1"/>
    <col min="11" max="12" width="13.42578125" style="8" customWidth="1"/>
    <col min="13" max="13" width="9.140625" style="8" customWidth="1"/>
    <col min="14" max="14" width="8.7109375" style="8" customWidth="1"/>
    <col min="15" max="53" width="9.140625" style="8" customWidth="1"/>
    <col min="54" max="71" width="9.140625" style="8"/>
    <col min="72" max="16384" width="9.140625" style="1"/>
  </cols>
  <sheetData>
    <row r="1" spans="1:71" s="203" customFormat="1" ht="51" customHeight="1">
      <c r="A1" s="3" t="s">
        <v>410</v>
      </c>
      <c r="B1" s="4"/>
      <c r="C1" s="224"/>
      <c r="D1" s="224"/>
      <c r="E1" s="224"/>
      <c r="F1" s="224"/>
      <c r="G1" s="225"/>
      <c r="H1" s="226"/>
      <c r="I1" s="227"/>
      <c r="J1" s="228"/>
      <c r="K1" s="229"/>
      <c r="L1" s="230"/>
      <c r="M1" s="230"/>
      <c r="N1" s="230"/>
      <c r="O1" s="231"/>
      <c r="P1" s="231"/>
      <c r="Q1" s="231"/>
      <c r="R1" s="231"/>
      <c r="S1" s="231"/>
      <c r="T1" s="231"/>
      <c r="U1" s="231"/>
      <c r="V1" s="231"/>
      <c r="W1" s="231"/>
      <c r="X1" s="231"/>
      <c r="Y1" s="231"/>
      <c r="Z1" s="231"/>
      <c r="AA1" s="231"/>
      <c r="AB1" s="231"/>
      <c r="AC1" s="231"/>
      <c r="AD1" s="231"/>
      <c r="AE1" s="231"/>
      <c r="AF1" s="231"/>
      <c r="AG1" s="231"/>
      <c r="AH1" s="231"/>
      <c r="AI1" s="231"/>
      <c r="AJ1" s="231"/>
      <c r="AK1" s="231"/>
      <c r="AL1" s="231"/>
      <c r="AM1" s="231"/>
      <c r="AN1" s="231"/>
      <c r="AO1" s="231"/>
      <c r="AP1" s="231"/>
      <c r="AQ1" s="231"/>
      <c r="AR1" s="231"/>
      <c r="AS1" s="231"/>
      <c r="AT1" s="231"/>
      <c r="AU1" s="231"/>
      <c r="AV1" s="231"/>
      <c r="AW1" s="231"/>
      <c r="AX1" s="231"/>
      <c r="AY1" s="231"/>
      <c r="AZ1" s="231"/>
      <c r="BA1" s="231"/>
      <c r="BB1" s="231"/>
      <c r="BC1" s="231"/>
      <c r="BD1" s="231"/>
      <c r="BE1" s="231"/>
      <c r="BF1" s="231"/>
      <c r="BG1" s="231"/>
      <c r="BH1" s="231"/>
      <c r="BI1" s="231"/>
      <c r="BJ1" s="231"/>
      <c r="BK1" s="231"/>
      <c r="BL1" s="231"/>
      <c r="BM1" s="231"/>
      <c r="BN1" s="231"/>
      <c r="BO1" s="231"/>
      <c r="BP1" s="231"/>
      <c r="BQ1" s="231"/>
      <c r="BR1" s="231"/>
      <c r="BS1" s="231"/>
    </row>
    <row r="2" spans="1:71" s="203" customFormat="1" ht="35.25">
      <c r="A2" s="9"/>
      <c r="B2" s="10"/>
      <c r="C2" s="232"/>
      <c r="D2" s="232"/>
      <c r="E2" s="232"/>
      <c r="F2" s="11"/>
      <c r="G2" s="11"/>
      <c r="H2" s="11"/>
      <c r="I2" s="11"/>
      <c r="J2" s="11"/>
      <c r="K2" s="11"/>
      <c r="L2" s="8"/>
      <c r="M2" s="8"/>
      <c r="N2" s="233"/>
      <c r="O2" s="231"/>
      <c r="P2" s="231"/>
      <c r="Q2" s="231"/>
      <c r="R2" s="231"/>
      <c r="S2" s="231"/>
      <c r="T2" s="231"/>
      <c r="U2" s="231"/>
      <c r="V2" s="231"/>
      <c r="W2" s="231"/>
      <c r="X2" s="231"/>
      <c r="Y2" s="231"/>
      <c r="Z2" s="231"/>
      <c r="AA2" s="231"/>
      <c r="AB2" s="231"/>
      <c r="AC2" s="231"/>
      <c r="AD2" s="231"/>
      <c r="AE2" s="231"/>
      <c r="AF2" s="231"/>
      <c r="AG2" s="231"/>
      <c r="AH2" s="231"/>
      <c r="AI2" s="231"/>
      <c r="AJ2" s="231"/>
      <c r="AK2" s="231"/>
      <c r="AL2" s="231"/>
      <c r="AM2" s="231"/>
      <c r="AN2" s="231"/>
      <c r="AO2" s="231"/>
      <c r="AP2" s="231"/>
      <c r="AQ2" s="231"/>
      <c r="AR2" s="231"/>
      <c r="AS2" s="231"/>
      <c r="AT2" s="231"/>
      <c r="AU2" s="231"/>
      <c r="AV2" s="231"/>
      <c r="AW2" s="231"/>
      <c r="AX2" s="231"/>
      <c r="AY2" s="231"/>
      <c r="AZ2" s="231"/>
      <c r="BA2" s="231"/>
      <c r="BB2" s="231"/>
      <c r="BC2" s="231"/>
      <c r="BD2" s="231"/>
      <c r="BE2" s="231"/>
      <c r="BF2" s="231"/>
      <c r="BG2" s="231"/>
      <c r="BH2" s="231"/>
      <c r="BI2" s="231"/>
      <c r="BJ2" s="231"/>
      <c r="BK2" s="231"/>
      <c r="BL2" s="231"/>
      <c r="BM2" s="231"/>
      <c r="BN2" s="231"/>
      <c r="BO2" s="231"/>
      <c r="BP2" s="231"/>
      <c r="BQ2" s="231"/>
      <c r="BR2" s="231"/>
      <c r="BS2" s="231"/>
    </row>
    <row r="3" spans="1:71" s="203" customFormat="1" ht="15">
      <c r="A3" s="12"/>
      <c r="B3" s="882" t="s">
        <v>0</v>
      </c>
      <c r="C3" s="884" t="s">
        <v>251</v>
      </c>
      <c r="D3" s="885"/>
      <c r="E3" s="13"/>
      <c r="F3" s="14"/>
      <c r="G3" s="14"/>
      <c r="H3" s="15"/>
      <c r="I3" s="14"/>
      <c r="J3" s="14"/>
      <c r="K3" s="14"/>
      <c r="L3" s="8"/>
      <c r="M3" s="8"/>
      <c r="N3" s="8"/>
      <c r="O3" s="231"/>
      <c r="P3" s="231"/>
      <c r="Q3" s="231"/>
      <c r="R3" s="231"/>
      <c r="S3" s="231"/>
      <c r="T3" s="231"/>
      <c r="U3" s="231"/>
      <c r="V3" s="231"/>
      <c r="W3" s="231"/>
      <c r="X3" s="231"/>
      <c r="Y3" s="231"/>
      <c r="Z3" s="231"/>
      <c r="AA3" s="231"/>
      <c r="AB3" s="231"/>
      <c r="AC3" s="231"/>
      <c r="AD3" s="231"/>
      <c r="AE3" s="231"/>
      <c r="AF3" s="231"/>
      <c r="AG3" s="231"/>
      <c r="AH3" s="231"/>
      <c r="AI3" s="231"/>
      <c r="AJ3" s="231"/>
      <c r="AK3" s="231"/>
      <c r="AL3" s="231"/>
      <c r="AM3" s="231"/>
      <c r="AN3" s="231"/>
      <c r="AO3" s="231"/>
      <c r="AP3" s="231"/>
      <c r="AQ3" s="231"/>
      <c r="AR3" s="231"/>
      <c r="AS3" s="231"/>
      <c r="AT3" s="231"/>
      <c r="AU3" s="231"/>
      <c r="AV3" s="231"/>
      <c r="AW3" s="231"/>
      <c r="AX3" s="231"/>
      <c r="AY3" s="231"/>
      <c r="AZ3" s="231"/>
      <c r="BA3" s="231"/>
      <c r="BB3" s="231"/>
      <c r="BC3" s="231"/>
      <c r="BD3" s="231"/>
      <c r="BE3" s="231"/>
      <c r="BF3" s="231"/>
      <c r="BG3" s="231"/>
      <c r="BH3" s="231"/>
      <c r="BI3" s="231"/>
      <c r="BJ3" s="231"/>
      <c r="BK3" s="231"/>
      <c r="BL3" s="231"/>
      <c r="BM3" s="231"/>
      <c r="BN3" s="231"/>
      <c r="BO3" s="231"/>
      <c r="BP3" s="231"/>
      <c r="BQ3" s="231"/>
      <c r="BR3" s="231"/>
      <c r="BS3" s="231"/>
    </row>
    <row r="4" spans="1:71" s="203" customFormat="1" ht="15">
      <c r="A4" s="17"/>
      <c r="B4" s="883"/>
      <c r="C4" s="886"/>
      <c r="D4" s="887"/>
      <c r="E4" s="13"/>
      <c r="F4" s="14"/>
      <c r="G4" s="14"/>
      <c r="H4" s="15"/>
      <c r="I4" s="14"/>
      <c r="J4" s="14"/>
      <c r="K4" s="14"/>
      <c r="L4" s="8"/>
      <c r="M4" s="8"/>
      <c r="N4" s="8"/>
      <c r="O4" s="231"/>
      <c r="P4" s="231"/>
      <c r="Q4" s="231"/>
      <c r="R4" s="231"/>
      <c r="S4" s="231"/>
      <c r="T4" s="231"/>
      <c r="U4" s="231"/>
      <c r="V4" s="231"/>
      <c r="W4" s="231"/>
      <c r="X4" s="231"/>
      <c r="Y4" s="231"/>
      <c r="Z4" s="231"/>
      <c r="AA4" s="231"/>
      <c r="AB4" s="231"/>
      <c r="AC4" s="231"/>
      <c r="AD4" s="231"/>
      <c r="AE4" s="231"/>
      <c r="AF4" s="231"/>
      <c r="AG4" s="231"/>
      <c r="AH4" s="231"/>
      <c r="AI4" s="231"/>
      <c r="AJ4" s="231"/>
      <c r="AK4" s="231"/>
      <c r="AL4" s="231"/>
      <c r="AM4" s="231"/>
      <c r="AN4" s="231"/>
      <c r="AO4" s="231"/>
      <c r="AP4" s="231"/>
      <c r="AQ4" s="231"/>
      <c r="AR4" s="231"/>
      <c r="AS4" s="231"/>
      <c r="AT4" s="231"/>
      <c r="AU4" s="231"/>
      <c r="AV4" s="231"/>
      <c r="AW4" s="231"/>
      <c r="AX4" s="231"/>
      <c r="AY4" s="231"/>
      <c r="AZ4" s="231"/>
      <c r="BA4" s="231"/>
      <c r="BB4" s="231"/>
      <c r="BC4" s="231"/>
      <c r="BD4" s="231"/>
      <c r="BE4" s="231"/>
      <c r="BF4" s="231"/>
      <c r="BG4" s="231"/>
      <c r="BH4" s="231"/>
      <c r="BI4" s="231"/>
      <c r="BJ4" s="231"/>
      <c r="BK4" s="231"/>
      <c r="BL4" s="231"/>
      <c r="BM4" s="231"/>
      <c r="BN4" s="231"/>
      <c r="BO4" s="231"/>
      <c r="BP4" s="231"/>
      <c r="BQ4" s="231"/>
      <c r="BR4" s="231"/>
      <c r="BS4" s="231"/>
    </row>
    <row r="5" spans="1:71" s="203" customFormat="1" ht="15">
      <c r="A5" s="888"/>
      <c r="B5" s="889"/>
      <c r="C5" s="18"/>
      <c r="D5" s="206"/>
      <c r="E5" s="206"/>
      <c r="F5" s="14"/>
      <c r="G5" s="14"/>
      <c r="H5" s="14"/>
      <c r="I5" s="234"/>
      <c r="J5" s="234"/>
      <c r="K5" s="234"/>
      <c r="L5" s="8"/>
      <c r="M5" s="8"/>
      <c r="N5" s="15"/>
      <c r="O5" s="231"/>
      <c r="P5" s="231"/>
      <c r="Q5" s="231"/>
      <c r="R5" s="231"/>
      <c r="S5" s="231"/>
      <c r="T5" s="231"/>
      <c r="U5" s="231"/>
      <c r="V5" s="231"/>
      <c r="W5" s="231"/>
      <c r="X5" s="231"/>
      <c r="Y5" s="231"/>
      <c r="Z5" s="231"/>
      <c r="AA5" s="231"/>
      <c r="AB5" s="231"/>
      <c r="AC5" s="231"/>
      <c r="AD5" s="231"/>
      <c r="AE5" s="231"/>
      <c r="AF5" s="231"/>
      <c r="AG5" s="231"/>
      <c r="AH5" s="231"/>
      <c r="AI5" s="231"/>
      <c r="AJ5" s="231"/>
      <c r="AK5" s="231"/>
      <c r="AL5" s="231"/>
      <c r="AM5" s="231"/>
      <c r="AN5" s="231"/>
      <c r="AO5" s="231"/>
      <c r="AP5" s="231"/>
      <c r="AQ5" s="231"/>
      <c r="AR5" s="231"/>
      <c r="AS5" s="231"/>
      <c r="AT5" s="231"/>
      <c r="AU5" s="231"/>
      <c r="AV5" s="231"/>
      <c r="AW5" s="231"/>
      <c r="AX5" s="231"/>
      <c r="AY5" s="231"/>
      <c r="AZ5" s="231"/>
      <c r="BA5" s="231"/>
      <c r="BB5" s="231"/>
      <c r="BC5" s="231"/>
      <c r="BD5" s="231"/>
      <c r="BE5" s="231"/>
      <c r="BF5" s="231"/>
      <c r="BG5" s="231"/>
      <c r="BH5" s="231"/>
      <c r="BI5" s="231"/>
      <c r="BJ5" s="231"/>
      <c r="BK5" s="231"/>
      <c r="BL5" s="231"/>
      <c r="BM5" s="231"/>
      <c r="BN5" s="231"/>
      <c r="BO5" s="231"/>
      <c r="BP5" s="231"/>
      <c r="BQ5" s="231"/>
      <c r="BR5" s="231"/>
      <c r="BS5" s="231"/>
    </row>
    <row r="6" spans="1:71" s="203" customFormat="1" ht="23.25" customHeight="1">
      <c r="A6" s="19" t="s">
        <v>1</v>
      </c>
      <c r="B6" s="207"/>
      <c r="C6" s="20"/>
      <c r="D6" s="890" t="s">
        <v>249</v>
      </c>
      <c r="E6" s="890"/>
      <c r="F6" s="890"/>
      <c r="G6" s="890"/>
      <c r="H6" s="890"/>
      <c r="I6" s="29"/>
      <c r="J6" s="15"/>
      <c r="K6" s="15"/>
      <c r="L6" s="8"/>
      <c r="M6" s="8"/>
      <c r="N6" s="15"/>
      <c r="O6" s="231"/>
      <c r="P6" s="231"/>
      <c r="Q6" s="231"/>
      <c r="R6" s="231"/>
      <c r="S6" s="231"/>
      <c r="T6" s="231"/>
      <c r="U6" s="231"/>
      <c r="V6" s="231"/>
      <c r="W6" s="231"/>
      <c r="X6" s="231"/>
      <c r="Y6" s="231"/>
      <c r="Z6" s="231"/>
      <c r="AA6" s="231"/>
      <c r="AB6" s="231"/>
      <c r="AC6" s="231"/>
      <c r="AD6" s="231"/>
      <c r="AE6" s="231"/>
      <c r="AF6" s="231"/>
      <c r="AG6" s="231"/>
      <c r="AH6" s="231"/>
      <c r="AI6" s="231"/>
      <c r="AJ6" s="231"/>
      <c r="AK6" s="231"/>
      <c r="AL6" s="231"/>
      <c r="AM6" s="231"/>
      <c r="AN6" s="231"/>
      <c r="AO6" s="231"/>
      <c r="AP6" s="231"/>
      <c r="AQ6" s="231"/>
      <c r="AR6" s="231"/>
      <c r="AS6" s="231"/>
      <c r="AT6" s="231"/>
      <c r="AU6" s="231"/>
      <c r="AV6" s="231"/>
      <c r="AW6" s="231"/>
      <c r="AX6" s="231"/>
      <c r="AY6" s="231"/>
      <c r="AZ6" s="231"/>
      <c r="BA6" s="231"/>
      <c r="BB6" s="231"/>
      <c r="BC6" s="231"/>
      <c r="BD6" s="231"/>
      <c r="BE6" s="231"/>
      <c r="BF6" s="231"/>
      <c r="BG6" s="231"/>
      <c r="BH6" s="231"/>
      <c r="BI6" s="231"/>
      <c r="BJ6" s="231"/>
      <c r="BK6" s="231"/>
      <c r="BL6" s="231"/>
      <c r="BM6" s="231"/>
      <c r="BN6" s="231"/>
      <c r="BO6" s="231"/>
      <c r="BP6" s="231"/>
      <c r="BQ6" s="231"/>
      <c r="BR6" s="231"/>
      <c r="BS6" s="231"/>
    </row>
    <row r="7" spans="1:71" s="203" customFormat="1" ht="18.75" customHeight="1">
      <c r="A7" s="19" t="s">
        <v>2</v>
      </c>
      <c r="B7" s="207"/>
      <c r="C7" s="207"/>
      <c r="D7" s="207"/>
      <c r="E7" s="207"/>
      <c r="F7" s="341" t="s">
        <v>250</v>
      </c>
      <c r="G7" s="1"/>
      <c r="H7" s="21"/>
      <c r="I7" s="29"/>
      <c r="J7" s="15"/>
      <c r="K7" s="15"/>
      <c r="L7" s="8"/>
      <c r="M7" s="8"/>
      <c r="N7" s="15"/>
      <c r="O7" s="231"/>
      <c r="P7" s="231"/>
      <c r="Q7" s="231"/>
      <c r="R7" s="231"/>
      <c r="S7" s="231"/>
      <c r="T7" s="231"/>
      <c r="U7" s="231"/>
      <c r="V7" s="231"/>
      <c r="W7" s="231"/>
      <c r="X7" s="231"/>
      <c r="Y7" s="231"/>
      <c r="Z7" s="231"/>
      <c r="AA7" s="231"/>
      <c r="AB7" s="231"/>
      <c r="AC7" s="231"/>
      <c r="AD7" s="231"/>
      <c r="AE7" s="231"/>
      <c r="AF7" s="231"/>
      <c r="AG7" s="231"/>
      <c r="AH7" s="231"/>
      <c r="AI7" s="231"/>
      <c r="AJ7" s="231"/>
      <c r="AK7" s="231"/>
      <c r="AL7" s="231"/>
      <c r="AM7" s="231"/>
      <c r="AN7" s="231"/>
      <c r="AO7" s="231"/>
      <c r="AP7" s="231"/>
      <c r="AQ7" s="231"/>
      <c r="AR7" s="231"/>
      <c r="AS7" s="231"/>
      <c r="AT7" s="231"/>
      <c r="AU7" s="231"/>
      <c r="AV7" s="231"/>
      <c r="AW7" s="231"/>
      <c r="AX7" s="231"/>
      <c r="AY7" s="231"/>
      <c r="AZ7" s="231"/>
      <c r="BA7" s="231"/>
      <c r="BB7" s="231"/>
      <c r="BC7" s="231"/>
      <c r="BD7" s="231"/>
      <c r="BE7" s="231"/>
      <c r="BF7" s="231"/>
      <c r="BG7" s="231"/>
      <c r="BH7" s="231"/>
      <c r="BI7" s="231"/>
      <c r="BJ7" s="231"/>
      <c r="BK7" s="231"/>
      <c r="BL7" s="231"/>
      <c r="BM7" s="231"/>
      <c r="BN7" s="231"/>
      <c r="BO7" s="231"/>
      <c r="BP7" s="231"/>
      <c r="BQ7" s="231"/>
      <c r="BR7" s="231"/>
      <c r="BS7" s="231"/>
    </row>
    <row r="8" spans="1:71" s="203" customFormat="1" ht="24" customHeight="1">
      <c r="A8" s="22" t="s">
        <v>408</v>
      </c>
      <c r="B8" s="207"/>
      <c r="C8" s="207"/>
      <c r="D8" s="207"/>
      <c r="E8" s="207"/>
      <c r="F8" s="207"/>
      <c r="G8" s="353"/>
      <c r="H8" s="21"/>
      <c r="I8" s="29"/>
      <c r="J8" s="15"/>
      <c r="K8" s="15"/>
      <c r="L8" s="8"/>
      <c r="M8" s="8"/>
      <c r="N8" s="15"/>
      <c r="O8" s="231"/>
      <c r="P8" s="231"/>
      <c r="Q8" s="231"/>
      <c r="R8" s="231"/>
      <c r="S8" s="231"/>
      <c r="T8" s="231"/>
      <c r="U8" s="231"/>
      <c r="V8" s="231"/>
      <c r="W8" s="231"/>
      <c r="X8" s="231"/>
      <c r="Y8" s="231"/>
      <c r="Z8" s="231"/>
      <c r="AA8" s="231"/>
      <c r="AB8" s="231"/>
      <c r="AC8" s="231"/>
      <c r="AD8" s="231"/>
      <c r="AE8" s="231"/>
      <c r="AF8" s="231"/>
      <c r="AG8" s="231"/>
      <c r="AH8" s="231"/>
      <c r="AI8" s="231"/>
      <c r="AJ8" s="231"/>
      <c r="AK8" s="231"/>
      <c r="AL8" s="231"/>
      <c r="AM8" s="231"/>
      <c r="AN8" s="231"/>
      <c r="AO8" s="231"/>
      <c r="AP8" s="231"/>
      <c r="AQ8" s="231"/>
      <c r="AR8" s="231"/>
      <c r="AS8" s="231"/>
      <c r="AT8" s="231"/>
      <c r="AU8" s="231"/>
      <c r="AV8" s="231"/>
      <c r="AW8" s="231"/>
      <c r="AX8" s="231"/>
      <c r="AY8" s="231"/>
      <c r="AZ8" s="231"/>
      <c r="BA8" s="231"/>
      <c r="BB8" s="231"/>
      <c r="BC8" s="231"/>
      <c r="BD8" s="231"/>
      <c r="BE8" s="231"/>
      <c r="BF8" s="231"/>
      <c r="BG8" s="231"/>
      <c r="BH8" s="231"/>
      <c r="BI8" s="231"/>
      <c r="BJ8" s="231"/>
      <c r="BK8" s="231"/>
      <c r="BL8" s="231"/>
      <c r="BM8" s="231"/>
      <c r="BN8" s="231"/>
      <c r="BO8" s="231"/>
      <c r="BP8" s="231"/>
      <c r="BQ8" s="231"/>
      <c r="BR8" s="231"/>
      <c r="BS8" s="231"/>
    </row>
    <row r="9" spans="1:71" s="203" customFormat="1" ht="30.75" customHeight="1">
      <c r="A9" s="891" t="s">
        <v>411</v>
      </c>
      <c r="B9" s="892"/>
      <c r="C9" s="892"/>
      <c r="D9" s="892"/>
      <c r="E9" s="892"/>
      <c r="F9" s="892"/>
      <c r="G9" s="892"/>
      <c r="H9" s="892"/>
      <c r="I9" s="892"/>
      <c r="J9" s="235"/>
      <c r="K9" s="235"/>
      <c r="L9" s="8"/>
      <c r="M9" s="8"/>
      <c r="N9" s="15"/>
      <c r="O9" s="231"/>
      <c r="P9" s="231"/>
      <c r="Q9" s="231"/>
      <c r="R9" s="231"/>
      <c r="S9" s="231"/>
      <c r="T9" s="231"/>
      <c r="U9" s="231"/>
      <c r="V9" s="231"/>
      <c r="W9" s="231"/>
      <c r="X9" s="231"/>
      <c r="Y9" s="231"/>
      <c r="Z9" s="231"/>
      <c r="AA9" s="231"/>
      <c r="AB9" s="231"/>
      <c r="AC9" s="231"/>
      <c r="AD9" s="231"/>
      <c r="AE9" s="231"/>
      <c r="AF9" s="231"/>
      <c r="AG9" s="231"/>
      <c r="AH9" s="231"/>
      <c r="AI9" s="231"/>
      <c r="AJ9" s="231"/>
      <c r="AK9" s="231"/>
      <c r="AL9" s="231"/>
      <c r="AM9" s="231"/>
      <c r="AN9" s="231"/>
      <c r="AO9" s="231"/>
      <c r="AP9" s="231"/>
      <c r="AQ9" s="231"/>
      <c r="AR9" s="231"/>
      <c r="AS9" s="231"/>
      <c r="AT9" s="231"/>
      <c r="AU9" s="231"/>
      <c r="AV9" s="231"/>
      <c r="AW9" s="231"/>
      <c r="AX9" s="231"/>
      <c r="AY9" s="231"/>
      <c r="AZ9" s="231"/>
      <c r="BA9" s="231"/>
      <c r="BB9" s="231"/>
      <c r="BC9" s="231"/>
      <c r="BD9" s="231"/>
      <c r="BE9" s="231"/>
      <c r="BF9" s="231"/>
      <c r="BG9" s="231"/>
      <c r="BH9" s="231"/>
      <c r="BI9" s="231"/>
      <c r="BJ9" s="231"/>
      <c r="BK9" s="231"/>
      <c r="BL9" s="231"/>
      <c r="BM9" s="231"/>
      <c r="BN9" s="231"/>
      <c r="BO9" s="231"/>
      <c r="BP9" s="231"/>
      <c r="BQ9" s="231"/>
      <c r="BR9" s="231"/>
      <c r="BS9" s="231"/>
    </row>
    <row r="10" spans="1:71" s="203" customFormat="1" ht="12.75" customHeight="1">
      <c r="A10" s="22" t="s">
        <v>409</v>
      </c>
      <c r="B10" s="19"/>
      <c r="C10" s="1"/>
      <c r="D10" s="880" t="s">
        <v>250</v>
      </c>
      <c r="E10" s="881"/>
      <c r="F10" s="881"/>
      <c r="G10" s="207"/>
      <c r="H10" s="207"/>
      <c r="I10" s="29"/>
      <c r="J10" s="15"/>
      <c r="K10" s="15"/>
      <c r="L10" s="8"/>
      <c r="M10" s="8"/>
      <c r="N10" s="15"/>
      <c r="O10" s="231"/>
      <c r="P10" s="231"/>
      <c r="Q10" s="231"/>
      <c r="R10" s="231"/>
      <c r="S10" s="231"/>
      <c r="T10" s="231"/>
      <c r="U10" s="231"/>
      <c r="V10" s="231"/>
      <c r="W10" s="231"/>
      <c r="X10" s="231"/>
      <c r="Y10" s="231"/>
      <c r="Z10" s="231"/>
      <c r="AA10" s="231"/>
      <c r="AB10" s="231"/>
      <c r="AC10" s="231"/>
      <c r="AD10" s="231"/>
      <c r="AE10" s="231"/>
      <c r="AF10" s="231"/>
      <c r="AG10" s="231"/>
      <c r="AH10" s="231"/>
      <c r="AI10" s="231"/>
      <c r="AJ10" s="231"/>
      <c r="AK10" s="231"/>
      <c r="AL10" s="231"/>
      <c r="AM10" s="231"/>
      <c r="AN10" s="231"/>
      <c r="AO10" s="231"/>
      <c r="AP10" s="231"/>
      <c r="AQ10" s="231"/>
      <c r="AR10" s="231"/>
      <c r="AS10" s="231"/>
      <c r="AT10" s="231"/>
      <c r="AU10" s="231"/>
      <c r="AV10" s="231"/>
      <c r="AW10" s="231"/>
      <c r="AX10" s="231"/>
      <c r="AY10" s="231"/>
      <c r="AZ10" s="231"/>
      <c r="BA10" s="231"/>
      <c r="BB10" s="231"/>
      <c r="BC10" s="231"/>
      <c r="BD10" s="231"/>
      <c r="BE10" s="231"/>
      <c r="BF10" s="231"/>
      <c r="BG10" s="231"/>
      <c r="BH10" s="231"/>
      <c r="BI10" s="231"/>
      <c r="BJ10" s="231"/>
      <c r="BK10" s="231"/>
      <c r="BL10" s="231"/>
      <c r="BM10" s="231"/>
      <c r="BN10" s="231"/>
      <c r="BO10" s="231"/>
      <c r="BP10" s="231"/>
      <c r="BQ10" s="231"/>
      <c r="BR10" s="231"/>
      <c r="BS10" s="231"/>
    </row>
    <row r="11" spans="1:71" s="203" customFormat="1">
      <c r="A11" s="23"/>
      <c r="B11" s="207"/>
      <c r="C11" s="207"/>
      <c r="D11" s="207"/>
      <c r="E11" s="207"/>
      <c r="F11" s="207"/>
      <c r="G11" s="21"/>
      <c r="H11" s="21"/>
      <c r="I11" s="29"/>
      <c r="J11" s="15"/>
      <c r="K11" s="15"/>
      <c r="L11" s="8"/>
      <c r="M11" s="8"/>
      <c r="N11" s="15"/>
      <c r="O11" s="231"/>
      <c r="P11" s="231"/>
      <c r="Q11" s="231"/>
      <c r="R11" s="231"/>
      <c r="S11" s="231"/>
      <c r="T11" s="231"/>
      <c r="U11" s="231"/>
      <c r="V11" s="231"/>
      <c r="W11" s="231"/>
      <c r="X11" s="231"/>
      <c r="Y11" s="231"/>
      <c r="Z11" s="231"/>
      <c r="AA11" s="231"/>
      <c r="AB11" s="231"/>
      <c r="AC11" s="231"/>
      <c r="AD11" s="231"/>
      <c r="AE11" s="231"/>
      <c r="AF11" s="231"/>
      <c r="AG11" s="231"/>
      <c r="AH11" s="231"/>
      <c r="AI11" s="231"/>
      <c r="AJ11" s="231"/>
      <c r="AK11" s="231"/>
      <c r="AL11" s="231"/>
      <c r="AM11" s="231"/>
      <c r="AN11" s="231"/>
      <c r="AO11" s="231"/>
      <c r="AP11" s="231"/>
      <c r="AQ11" s="231"/>
      <c r="AR11" s="231"/>
      <c r="AS11" s="231"/>
      <c r="AT11" s="231"/>
      <c r="AU11" s="231"/>
      <c r="AV11" s="231"/>
      <c r="AW11" s="231"/>
      <c r="AX11" s="231"/>
      <c r="AY11" s="231"/>
      <c r="AZ11" s="231"/>
      <c r="BA11" s="231"/>
      <c r="BB11" s="231"/>
      <c r="BC11" s="231"/>
      <c r="BD11" s="231"/>
      <c r="BE11" s="231"/>
      <c r="BF11" s="231"/>
      <c r="BG11" s="231"/>
      <c r="BH11" s="231"/>
      <c r="BI11" s="231"/>
      <c r="BJ11" s="231"/>
      <c r="BK11" s="231"/>
      <c r="BL11" s="231"/>
      <c r="BM11" s="231"/>
      <c r="BN11" s="231"/>
      <c r="BO11" s="231"/>
      <c r="BP11" s="231"/>
      <c r="BQ11" s="231"/>
      <c r="BR11" s="231"/>
      <c r="BS11" s="231"/>
    </row>
    <row r="12" spans="1:71" s="203" customFormat="1">
      <c r="A12" s="24"/>
      <c r="B12" s="25" t="s">
        <v>7</v>
      </c>
      <c r="C12" s="26"/>
      <c r="D12" s="342"/>
      <c r="E12" s="342"/>
      <c r="F12" s="343"/>
      <c r="G12" s="21"/>
      <c r="H12" s="21"/>
      <c r="I12" s="29"/>
      <c r="J12" s="15"/>
      <c r="K12" s="15"/>
      <c r="L12" s="8"/>
      <c r="M12" s="8"/>
      <c r="N12" s="15"/>
      <c r="O12" s="231"/>
      <c r="P12" s="231"/>
      <c r="Q12" s="231"/>
      <c r="R12" s="231"/>
      <c r="S12" s="231"/>
      <c r="T12" s="231"/>
      <c r="U12" s="231"/>
      <c r="V12" s="231"/>
      <c r="W12" s="231"/>
      <c r="X12" s="231"/>
      <c r="Y12" s="231"/>
      <c r="Z12" s="231"/>
      <c r="AA12" s="231"/>
      <c r="AB12" s="231"/>
      <c r="AC12" s="231"/>
      <c r="AD12" s="231"/>
      <c r="AE12" s="231"/>
      <c r="AF12" s="231"/>
      <c r="AG12" s="231"/>
      <c r="AH12" s="231"/>
      <c r="AI12" s="231"/>
      <c r="AJ12" s="231"/>
      <c r="AK12" s="231"/>
      <c r="AL12" s="231"/>
      <c r="AM12" s="231"/>
      <c r="AN12" s="231"/>
      <c r="AO12" s="231"/>
      <c r="AP12" s="231"/>
      <c r="AQ12" s="231"/>
      <c r="AR12" s="231"/>
      <c r="AS12" s="231"/>
      <c r="AT12" s="231"/>
      <c r="AU12" s="231"/>
      <c r="AV12" s="231"/>
      <c r="AW12" s="231"/>
      <c r="AX12" s="231"/>
      <c r="AY12" s="231"/>
      <c r="AZ12" s="231"/>
      <c r="BA12" s="231"/>
      <c r="BB12" s="231"/>
      <c r="BC12" s="231"/>
      <c r="BD12" s="231"/>
      <c r="BE12" s="231"/>
      <c r="BF12" s="231"/>
      <c r="BG12" s="231"/>
      <c r="BH12" s="231"/>
      <c r="BI12" s="231"/>
      <c r="BJ12" s="231"/>
      <c r="BK12" s="231"/>
      <c r="BL12" s="231"/>
      <c r="BM12" s="231"/>
      <c r="BN12" s="231"/>
      <c r="BO12" s="231"/>
      <c r="BP12" s="231"/>
      <c r="BQ12" s="231"/>
      <c r="BR12" s="231"/>
      <c r="BS12" s="231"/>
    </row>
    <row r="13" spans="1:71" s="203" customFormat="1">
      <c r="A13" s="23"/>
      <c r="B13" s="27"/>
      <c r="C13" s="344"/>
      <c r="D13" s="15"/>
      <c r="E13" s="15"/>
      <c r="F13" s="345"/>
      <c r="G13" s="207"/>
      <c r="H13" s="21"/>
      <c r="I13" s="29"/>
      <c r="J13" s="15"/>
      <c r="K13" s="15"/>
      <c r="L13" s="8"/>
      <c r="M13" s="8"/>
      <c r="N13" s="15"/>
      <c r="O13" s="231"/>
      <c r="P13" s="231"/>
      <c r="Q13" s="231"/>
      <c r="R13" s="231"/>
      <c r="S13" s="231"/>
      <c r="T13" s="231"/>
      <c r="U13" s="231"/>
      <c r="V13" s="231"/>
      <c r="W13" s="231"/>
      <c r="X13" s="231"/>
      <c r="Y13" s="231"/>
      <c r="Z13" s="231"/>
      <c r="AA13" s="231"/>
      <c r="AB13" s="231"/>
      <c r="AC13" s="231"/>
      <c r="AD13" s="231"/>
      <c r="AE13" s="231"/>
      <c r="AF13" s="231"/>
      <c r="AG13" s="231"/>
      <c r="AH13" s="231"/>
      <c r="AI13" s="231"/>
      <c r="AJ13" s="231"/>
      <c r="AK13" s="231"/>
      <c r="AL13" s="231"/>
      <c r="AM13" s="231"/>
      <c r="AN13" s="231"/>
      <c r="AO13" s="231"/>
      <c r="AP13" s="231"/>
      <c r="AQ13" s="231"/>
      <c r="AR13" s="231"/>
      <c r="AS13" s="231"/>
      <c r="AT13" s="231"/>
      <c r="AU13" s="231"/>
      <c r="AV13" s="231"/>
      <c r="AW13" s="231"/>
      <c r="AX13" s="231"/>
      <c r="AY13" s="231"/>
      <c r="AZ13" s="231"/>
      <c r="BA13" s="231"/>
      <c r="BB13" s="231"/>
      <c r="BC13" s="231"/>
      <c r="BD13" s="231"/>
      <c r="BE13" s="231"/>
      <c r="BF13" s="231"/>
      <c r="BG13" s="231"/>
      <c r="BH13" s="231"/>
      <c r="BI13" s="231"/>
      <c r="BJ13" s="231"/>
      <c r="BK13" s="231"/>
      <c r="BL13" s="231"/>
      <c r="BM13" s="231"/>
      <c r="BN13" s="231"/>
      <c r="BO13" s="231"/>
      <c r="BP13" s="231"/>
      <c r="BQ13" s="231"/>
      <c r="BR13" s="231"/>
      <c r="BS13" s="231"/>
    </row>
    <row r="14" spans="1:71" s="203" customFormat="1">
      <c r="A14" s="23"/>
      <c r="B14" s="346" t="s">
        <v>328</v>
      </c>
      <c r="C14" s="870" t="s">
        <v>10</v>
      </c>
      <c r="D14" s="870"/>
      <c r="E14" s="870"/>
      <c r="F14" s="871"/>
      <c r="G14" s="207"/>
      <c r="H14" s="21"/>
      <c r="I14" s="29"/>
      <c r="J14" s="15"/>
      <c r="K14" s="15"/>
      <c r="L14" s="8"/>
      <c r="M14" s="8"/>
      <c r="N14" s="15"/>
      <c r="O14" s="231"/>
      <c r="P14" s="231"/>
      <c r="Q14" s="231"/>
      <c r="R14" s="231"/>
      <c r="S14" s="231"/>
      <c r="T14" s="231"/>
      <c r="U14" s="231"/>
      <c r="V14" s="231"/>
      <c r="W14" s="231"/>
      <c r="X14" s="231"/>
      <c r="Y14" s="231"/>
      <c r="Z14" s="231"/>
      <c r="AA14" s="231"/>
      <c r="AB14" s="231"/>
      <c r="AC14" s="231"/>
      <c r="AD14" s="231"/>
      <c r="AE14" s="231"/>
      <c r="AF14" s="231"/>
      <c r="AG14" s="231"/>
      <c r="AH14" s="231"/>
      <c r="AI14" s="231"/>
      <c r="AJ14" s="231"/>
      <c r="AK14" s="231"/>
      <c r="AL14" s="231"/>
      <c r="AM14" s="231"/>
      <c r="AN14" s="231"/>
      <c r="AO14" s="231"/>
      <c r="AP14" s="231"/>
      <c r="AQ14" s="231"/>
      <c r="AR14" s="231"/>
      <c r="AS14" s="231"/>
      <c r="AT14" s="231"/>
      <c r="AU14" s="231"/>
      <c r="AV14" s="231"/>
      <c r="AW14" s="231"/>
      <c r="AX14" s="231"/>
      <c r="AY14" s="231"/>
      <c r="AZ14" s="231"/>
      <c r="BA14" s="231"/>
      <c r="BB14" s="231"/>
      <c r="BC14" s="231"/>
      <c r="BD14" s="231"/>
      <c r="BE14" s="231"/>
      <c r="BF14" s="231"/>
      <c r="BG14" s="231"/>
      <c r="BH14" s="231"/>
      <c r="BI14" s="231"/>
      <c r="BJ14" s="231"/>
      <c r="BK14" s="231"/>
      <c r="BL14" s="231"/>
      <c r="BM14" s="231"/>
      <c r="BN14" s="231"/>
      <c r="BO14" s="231"/>
      <c r="BP14" s="231"/>
      <c r="BQ14" s="231"/>
      <c r="BR14" s="231"/>
      <c r="BS14" s="231"/>
    </row>
    <row r="15" spans="1:71" s="203" customFormat="1">
      <c r="A15" s="23"/>
      <c r="B15" s="346" t="s">
        <v>329</v>
      </c>
      <c r="C15" s="870" t="s">
        <v>12</v>
      </c>
      <c r="D15" s="870"/>
      <c r="E15" s="870"/>
      <c r="F15" s="871"/>
      <c r="G15" s="207"/>
      <c r="H15" s="21"/>
      <c r="I15" s="29"/>
      <c r="J15" s="15"/>
      <c r="K15" s="15"/>
      <c r="L15" s="8"/>
      <c r="M15" s="8"/>
      <c r="N15" s="15"/>
      <c r="O15" s="231"/>
      <c r="P15" s="231"/>
      <c r="Q15" s="231"/>
      <c r="R15" s="231"/>
      <c r="S15" s="231"/>
      <c r="T15" s="231"/>
      <c r="U15" s="231"/>
      <c r="V15" s="231"/>
      <c r="W15" s="231"/>
      <c r="X15" s="231"/>
      <c r="Y15" s="231"/>
      <c r="Z15" s="231"/>
      <c r="AA15" s="231"/>
      <c r="AB15" s="231"/>
      <c r="AC15" s="231"/>
      <c r="AD15" s="231"/>
      <c r="AE15" s="231"/>
      <c r="AF15" s="231"/>
      <c r="AG15" s="231"/>
      <c r="AH15" s="231"/>
      <c r="AI15" s="231"/>
      <c r="AJ15" s="231"/>
      <c r="AK15" s="231"/>
      <c r="AL15" s="231"/>
      <c r="AM15" s="231"/>
      <c r="AN15" s="231"/>
      <c r="AO15" s="231"/>
      <c r="AP15" s="231"/>
      <c r="AQ15" s="231"/>
      <c r="AR15" s="231"/>
      <c r="AS15" s="231"/>
      <c r="AT15" s="231"/>
      <c r="AU15" s="231"/>
      <c r="AV15" s="231"/>
      <c r="AW15" s="231"/>
      <c r="AX15" s="231"/>
      <c r="AY15" s="231"/>
      <c r="AZ15" s="231"/>
      <c r="BA15" s="231"/>
      <c r="BB15" s="231"/>
      <c r="BC15" s="231"/>
      <c r="BD15" s="231"/>
      <c r="BE15" s="231"/>
      <c r="BF15" s="231"/>
      <c r="BG15" s="231"/>
      <c r="BH15" s="231"/>
      <c r="BI15" s="231"/>
      <c r="BJ15" s="231"/>
      <c r="BK15" s="231"/>
      <c r="BL15" s="231"/>
      <c r="BM15" s="231"/>
      <c r="BN15" s="231"/>
      <c r="BO15" s="231"/>
      <c r="BP15" s="231"/>
      <c r="BQ15" s="231"/>
      <c r="BR15" s="231"/>
      <c r="BS15" s="231"/>
    </row>
    <row r="16" spans="1:71" s="203" customFormat="1">
      <c r="A16" s="23"/>
      <c r="B16" s="347" t="s">
        <v>14</v>
      </c>
      <c r="C16" s="870" t="s">
        <v>15</v>
      </c>
      <c r="D16" s="870"/>
      <c r="E16" s="870"/>
      <c r="F16" s="871"/>
      <c r="G16" s="207"/>
      <c r="H16" s="21"/>
      <c r="I16" s="29"/>
      <c r="J16" s="15"/>
      <c r="K16" s="15"/>
      <c r="L16" s="8"/>
      <c r="M16" s="8"/>
      <c r="N16" s="15"/>
      <c r="O16" s="231"/>
      <c r="P16" s="231"/>
      <c r="Q16" s="231"/>
      <c r="R16" s="231"/>
      <c r="S16" s="231"/>
      <c r="T16" s="231"/>
      <c r="U16" s="231"/>
      <c r="V16" s="231"/>
      <c r="W16" s="231"/>
      <c r="X16" s="231"/>
      <c r="Y16" s="231"/>
      <c r="Z16" s="231"/>
      <c r="AA16" s="231"/>
      <c r="AB16" s="231"/>
      <c r="AC16" s="231"/>
      <c r="AD16" s="231"/>
      <c r="AE16" s="231"/>
      <c r="AF16" s="231"/>
      <c r="AG16" s="231"/>
      <c r="AH16" s="231"/>
      <c r="AI16" s="231"/>
      <c r="AJ16" s="231"/>
      <c r="AK16" s="231"/>
      <c r="AL16" s="231"/>
      <c r="AM16" s="231"/>
      <c r="AN16" s="231"/>
      <c r="AO16" s="231"/>
      <c r="AP16" s="231"/>
      <c r="AQ16" s="231"/>
      <c r="AR16" s="231"/>
      <c r="AS16" s="231"/>
      <c r="AT16" s="231"/>
      <c r="AU16" s="231"/>
      <c r="AV16" s="231"/>
      <c r="AW16" s="231"/>
      <c r="AX16" s="231"/>
      <c r="AY16" s="231"/>
      <c r="AZ16" s="231"/>
      <c r="BA16" s="231"/>
      <c r="BB16" s="231"/>
      <c r="BC16" s="231"/>
      <c r="BD16" s="231"/>
      <c r="BE16" s="231"/>
      <c r="BF16" s="231"/>
      <c r="BG16" s="231"/>
      <c r="BH16" s="231"/>
      <c r="BI16" s="231"/>
      <c r="BJ16" s="231"/>
      <c r="BK16" s="231"/>
      <c r="BL16" s="231"/>
      <c r="BM16" s="231"/>
      <c r="BN16" s="231"/>
      <c r="BO16" s="231"/>
      <c r="BP16" s="231"/>
      <c r="BQ16" s="231"/>
      <c r="BR16" s="231"/>
      <c r="BS16" s="231"/>
    </row>
    <row r="17" spans="1:71" s="203" customFormat="1">
      <c r="A17" s="23"/>
      <c r="B17" s="347" t="s">
        <v>17</v>
      </c>
      <c r="C17" s="870" t="s">
        <v>18</v>
      </c>
      <c r="D17" s="870"/>
      <c r="E17" s="870"/>
      <c r="F17" s="871"/>
      <c r="G17" s="207"/>
      <c r="H17" s="21"/>
      <c r="I17" s="29"/>
      <c r="J17" s="15"/>
      <c r="K17" s="15"/>
      <c r="L17" s="8"/>
      <c r="M17" s="8"/>
      <c r="N17" s="15"/>
      <c r="O17" s="231"/>
      <c r="P17" s="231"/>
      <c r="Q17" s="231"/>
      <c r="R17" s="231"/>
      <c r="S17" s="231"/>
      <c r="T17" s="231"/>
      <c r="U17" s="231"/>
      <c r="V17" s="231"/>
      <c r="W17" s="231"/>
      <c r="X17" s="231"/>
      <c r="Y17" s="231"/>
      <c r="Z17" s="231"/>
      <c r="AA17" s="231"/>
      <c r="AB17" s="231"/>
      <c r="AC17" s="231"/>
      <c r="AD17" s="231"/>
      <c r="AE17" s="231"/>
      <c r="AF17" s="231"/>
      <c r="AG17" s="231"/>
      <c r="AH17" s="231"/>
      <c r="AI17" s="231"/>
      <c r="AJ17" s="231"/>
      <c r="AK17" s="231"/>
      <c r="AL17" s="231"/>
      <c r="AM17" s="231"/>
      <c r="AN17" s="231"/>
      <c r="AO17" s="231"/>
      <c r="AP17" s="231"/>
      <c r="AQ17" s="231"/>
      <c r="AR17" s="231"/>
      <c r="AS17" s="231"/>
      <c r="AT17" s="231"/>
      <c r="AU17" s="231"/>
      <c r="AV17" s="231"/>
      <c r="AW17" s="231"/>
      <c r="AX17" s="231"/>
      <c r="AY17" s="231"/>
      <c r="AZ17" s="231"/>
      <c r="BA17" s="231"/>
      <c r="BB17" s="231"/>
      <c r="BC17" s="231"/>
      <c r="BD17" s="231"/>
      <c r="BE17" s="231"/>
      <c r="BF17" s="231"/>
      <c r="BG17" s="231"/>
      <c r="BH17" s="231"/>
      <c r="BI17" s="231"/>
      <c r="BJ17" s="231"/>
      <c r="BK17" s="231"/>
      <c r="BL17" s="231"/>
      <c r="BM17" s="231"/>
      <c r="BN17" s="231"/>
      <c r="BO17" s="231"/>
      <c r="BP17" s="231"/>
      <c r="BQ17" s="231"/>
      <c r="BR17" s="231"/>
      <c r="BS17" s="231"/>
    </row>
    <row r="18" spans="1:71" s="203" customFormat="1">
      <c r="A18" s="23"/>
      <c r="B18" s="347" t="s">
        <v>20</v>
      </c>
      <c r="C18" s="870" t="s">
        <v>21</v>
      </c>
      <c r="D18" s="870"/>
      <c r="E18" s="870"/>
      <c r="F18" s="871"/>
      <c r="G18" s="207"/>
      <c r="H18" s="21"/>
      <c r="I18" s="29"/>
      <c r="J18" s="15"/>
      <c r="K18" s="15"/>
      <c r="L18" s="8"/>
      <c r="M18" s="8"/>
      <c r="N18" s="15"/>
      <c r="O18" s="231"/>
      <c r="P18" s="231"/>
      <c r="Q18" s="231"/>
      <c r="R18" s="231"/>
      <c r="S18" s="231"/>
      <c r="T18" s="231"/>
      <c r="U18" s="231"/>
      <c r="V18" s="231"/>
      <c r="W18" s="231"/>
      <c r="X18" s="231"/>
      <c r="Y18" s="231"/>
      <c r="Z18" s="231"/>
      <c r="AA18" s="231"/>
      <c r="AB18" s="231"/>
      <c r="AC18" s="231"/>
      <c r="AD18" s="231"/>
      <c r="AE18" s="231"/>
      <c r="AF18" s="231"/>
      <c r="AG18" s="231"/>
      <c r="AH18" s="231"/>
      <c r="AI18" s="231"/>
      <c r="AJ18" s="231"/>
      <c r="AK18" s="231"/>
      <c r="AL18" s="231"/>
      <c r="AM18" s="231"/>
      <c r="AN18" s="231"/>
      <c r="AO18" s="231"/>
      <c r="AP18" s="231"/>
      <c r="AQ18" s="231"/>
      <c r="AR18" s="231"/>
      <c r="AS18" s="231"/>
      <c r="AT18" s="231"/>
      <c r="AU18" s="231"/>
      <c r="AV18" s="231"/>
      <c r="AW18" s="231"/>
      <c r="AX18" s="231"/>
      <c r="AY18" s="231"/>
      <c r="AZ18" s="231"/>
      <c r="BA18" s="231"/>
      <c r="BB18" s="231"/>
      <c r="BC18" s="231"/>
      <c r="BD18" s="231"/>
      <c r="BE18" s="231"/>
      <c r="BF18" s="231"/>
      <c r="BG18" s="231"/>
      <c r="BH18" s="231"/>
      <c r="BI18" s="231"/>
      <c r="BJ18" s="231"/>
      <c r="BK18" s="231"/>
      <c r="BL18" s="231"/>
      <c r="BM18" s="231"/>
      <c r="BN18" s="231"/>
      <c r="BO18" s="231"/>
      <c r="BP18" s="231"/>
      <c r="BQ18" s="231"/>
      <c r="BR18" s="231"/>
      <c r="BS18" s="231"/>
    </row>
    <row r="19" spans="1:71" s="203" customFormat="1">
      <c r="A19" s="23"/>
      <c r="B19" s="348" t="s">
        <v>23</v>
      </c>
      <c r="C19" s="872" t="s">
        <v>24</v>
      </c>
      <c r="D19" s="872"/>
      <c r="E19" s="872"/>
      <c r="F19" s="873"/>
      <c r="G19" s="21"/>
      <c r="H19" s="21"/>
      <c r="I19" s="29"/>
      <c r="J19" s="14"/>
      <c r="K19" s="15"/>
      <c r="L19" s="8"/>
      <c r="M19" s="8"/>
      <c r="N19" s="8"/>
      <c r="O19" s="231"/>
      <c r="P19" s="231"/>
      <c r="Q19" s="231"/>
      <c r="R19" s="231"/>
      <c r="S19" s="231"/>
      <c r="T19" s="231"/>
      <c r="U19" s="231"/>
      <c r="V19" s="231"/>
      <c r="W19" s="231"/>
      <c r="X19" s="231"/>
      <c r="Y19" s="231"/>
      <c r="Z19" s="231"/>
      <c r="AA19" s="231"/>
      <c r="AB19" s="231"/>
      <c r="AC19" s="231"/>
      <c r="AD19" s="231"/>
      <c r="AE19" s="231"/>
      <c r="AF19" s="231"/>
      <c r="AG19" s="231"/>
      <c r="AH19" s="231"/>
      <c r="AI19" s="231"/>
      <c r="AJ19" s="231"/>
      <c r="AK19" s="231"/>
      <c r="AL19" s="231"/>
      <c r="AM19" s="231"/>
      <c r="AN19" s="231"/>
      <c r="AO19" s="231"/>
      <c r="AP19" s="231"/>
      <c r="AQ19" s="231"/>
      <c r="AR19" s="231"/>
      <c r="AS19" s="231"/>
      <c r="AT19" s="231"/>
      <c r="AU19" s="231"/>
      <c r="AV19" s="231"/>
      <c r="AW19" s="231"/>
      <c r="AX19" s="231"/>
      <c r="AY19" s="231"/>
      <c r="AZ19" s="231"/>
      <c r="BA19" s="231"/>
      <c r="BB19" s="231"/>
      <c r="BC19" s="231"/>
      <c r="BD19" s="231"/>
      <c r="BE19" s="231"/>
      <c r="BF19" s="231"/>
      <c r="BG19" s="231"/>
      <c r="BH19" s="231"/>
      <c r="BI19" s="231"/>
      <c r="BJ19" s="231"/>
      <c r="BK19" s="231"/>
      <c r="BL19" s="231"/>
      <c r="BM19" s="231"/>
      <c r="BN19" s="231"/>
      <c r="BO19" s="231"/>
      <c r="BP19" s="231"/>
      <c r="BQ19" s="231"/>
      <c r="BR19" s="231"/>
      <c r="BS19" s="231"/>
    </row>
    <row r="20" spans="1:71" s="203" customFormat="1">
      <c r="A20" s="236"/>
      <c r="B20" s="206"/>
      <c r="C20" s="206"/>
      <c r="D20" s="206"/>
      <c r="E20" s="206"/>
      <c r="F20" s="206"/>
      <c r="G20" s="206"/>
      <c r="H20" s="206"/>
      <c r="I20" s="206"/>
      <c r="J20" s="14"/>
      <c r="K20" s="14"/>
      <c r="L20" s="15"/>
      <c r="M20" s="8"/>
      <c r="N20" s="8"/>
      <c r="O20" s="231"/>
      <c r="P20" s="231"/>
      <c r="Q20" s="231"/>
      <c r="R20" s="231"/>
      <c r="S20" s="231"/>
      <c r="T20" s="231"/>
      <c r="U20" s="231"/>
      <c r="V20" s="231"/>
      <c r="W20" s="231"/>
      <c r="X20" s="231"/>
      <c r="Y20" s="231"/>
      <c r="Z20" s="231"/>
      <c r="AA20" s="231"/>
      <c r="AB20" s="231"/>
      <c r="AC20" s="231"/>
      <c r="AD20" s="231"/>
      <c r="AE20" s="231"/>
      <c r="AF20" s="231"/>
      <c r="AG20" s="231"/>
      <c r="AH20" s="231"/>
      <c r="AI20" s="231"/>
      <c r="AJ20" s="231"/>
      <c r="AK20" s="231"/>
      <c r="AL20" s="231"/>
      <c r="AM20" s="231"/>
      <c r="AN20" s="231"/>
      <c r="AO20" s="231"/>
      <c r="AP20" s="231"/>
      <c r="AQ20" s="231"/>
      <c r="AR20" s="231"/>
      <c r="AS20" s="231"/>
      <c r="AT20" s="231"/>
      <c r="AU20" s="231"/>
      <c r="AV20" s="231"/>
      <c r="AW20" s="231"/>
      <c r="AX20" s="231"/>
      <c r="AY20" s="231"/>
      <c r="AZ20" s="231"/>
      <c r="BA20" s="231"/>
      <c r="BB20" s="231"/>
      <c r="BC20" s="231"/>
      <c r="BD20" s="231"/>
      <c r="BE20" s="231"/>
      <c r="BF20" s="231"/>
      <c r="BG20" s="231"/>
      <c r="BH20" s="231"/>
      <c r="BI20" s="231"/>
      <c r="BJ20" s="231"/>
      <c r="BK20" s="231"/>
      <c r="BL20" s="231"/>
      <c r="BM20" s="231"/>
      <c r="BN20" s="231"/>
      <c r="BO20" s="231"/>
      <c r="BP20" s="231"/>
      <c r="BQ20" s="231"/>
      <c r="BR20" s="231"/>
      <c r="BS20" s="231"/>
    </row>
    <row r="21" spans="1:71" s="203" customFormat="1" ht="19.5">
      <c r="A21" s="30"/>
      <c r="B21" s="13"/>
      <c r="C21" s="13"/>
      <c r="D21" s="13"/>
      <c r="E21" s="13"/>
      <c r="F21" s="13"/>
      <c r="G21" s="13"/>
      <c r="H21" s="31" t="s">
        <v>27</v>
      </c>
      <c r="I21" s="237"/>
      <c r="J21" s="238"/>
      <c r="K21" s="238"/>
      <c r="L21" s="234"/>
      <c r="M21" s="8"/>
      <c r="N21" s="8"/>
      <c r="O21" s="231"/>
      <c r="P21" s="231"/>
      <c r="Q21" s="231"/>
      <c r="R21" s="231"/>
      <c r="S21" s="231"/>
      <c r="T21" s="231"/>
      <c r="U21" s="231"/>
      <c r="V21" s="231"/>
      <c r="W21" s="231"/>
      <c r="X21" s="231"/>
      <c r="Y21" s="231"/>
      <c r="Z21" s="231"/>
      <c r="AA21" s="231"/>
      <c r="AB21" s="231"/>
      <c r="AC21" s="231"/>
      <c r="AD21" s="231"/>
      <c r="AE21" s="231"/>
      <c r="AF21" s="231"/>
      <c r="AG21" s="231"/>
      <c r="AH21" s="231"/>
      <c r="AI21" s="231"/>
      <c r="AJ21" s="231"/>
      <c r="AK21" s="231"/>
      <c r="AL21" s="231"/>
      <c r="AM21" s="231"/>
      <c r="AN21" s="231"/>
      <c r="AO21" s="231"/>
      <c r="AP21" s="231"/>
      <c r="AQ21" s="231"/>
      <c r="AR21" s="231"/>
      <c r="AS21" s="231"/>
      <c r="AT21" s="231"/>
      <c r="AU21" s="231"/>
      <c r="AV21" s="231"/>
      <c r="AW21" s="231"/>
      <c r="AX21" s="231"/>
      <c r="AY21" s="231"/>
      <c r="AZ21" s="231"/>
      <c r="BA21" s="231"/>
      <c r="BB21" s="231"/>
      <c r="BC21" s="231"/>
      <c r="BD21" s="231"/>
      <c r="BE21" s="231"/>
      <c r="BF21" s="231"/>
      <c r="BG21" s="231"/>
      <c r="BH21" s="231"/>
      <c r="BI21" s="231"/>
      <c r="BJ21" s="231"/>
      <c r="BK21" s="231"/>
      <c r="BL21" s="231"/>
      <c r="BM21" s="231"/>
      <c r="BN21" s="231"/>
      <c r="BO21" s="231"/>
      <c r="BP21" s="231"/>
      <c r="BQ21" s="231"/>
      <c r="BR21" s="231"/>
      <c r="BS21" s="231"/>
    </row>
    <row r="22" spans="1:71" s="203" customFormat="1" ht="18.75" customHeight="1">
      <c r="A22" s="32"/>
      <c r="B22" s="29"/>
      <c r="C22" s="29"/>
      <c r="D22" s="29"/>
      <c r="E22" s="29"/>
      <c r="F22" s="33">
        <v>1</v>
      </c>
      <c r="G22" s="34"/>
      <c r="H22" s="33">
        <v>2</v>
      </c>
      <c r="I22" s="34"/>
      <c r="J22" s="239"/>
      <c r="K22" s="239"/>
      <c r="L22" s="234"/>
      <c r="M22" s="8"/>
      <c r="N22" s="8"/>
      <c r="O22" s="231"/>
      <c r="P22" s="231"/>
      <c r="Q22" s="231"/>
      <c r="R22" s="231"/>
      <c r="S22" s="231"/>
      <c r="T22" s="231"/>
      <c r="U22" s="231"/>
      <c r="V22" s="231"/>
      <c r="W22" s="231"/>
      <c r="X22" s="231"/>
      <c r="Y22" s="231"/>
      <c r="Z22" s="231"/>
      <c r="AA22" s="231"/>
      <c r="AB22" s="231"/>
      <c r="AC22" s="231"/>
      <c r="AD22" s="231"/>
      <c r="AE22" s="231"/>
      <c r="AF22" s="231"/>
      <c r="AG22" s="231"/>
      <c r="AH22" s="231"/>
      <c r="AI22" s="231"/>
      <c r="AJ22" s="231"/>
      <c r="AK22" s="231"/>
      <c r="AL22" s="231"/>
      <c r="AM22" s="231"/>
      <c r="AN22" s="231"/>
      <c r="AO22" s="231"/>
      <c r="AP22" s="231"/>
      <c r="AQ22" s="231"/>
      <c r="AR22" s="231"/>
      <c r="AS22" s="231"/>
      <c r="AT22" s="231"/>
      <c r="AU22" s="231"/>
      <c r="AV22" s="231"/>
      <c r="AW22" s="231"/>
      <c r="AX22" s="231"/>
      <c r="AY22" s="231"/>
      <c r="AZ22" s="231"/>
      <c r="BA22" s="231"/>
      <c r="BB22" s="231"/>
      <c r="BC22" s="231"/>
      <c r="BD22" s="231"/>
      <c r="BE22" s="231"/>
      <c r="BF22" s="231"/>
      <c r="BG22" s="231"/>
      <c r="BH22" s="231"/>
      <c r="BI22" s="231"/>
      <c r="BJ22" s="231"/>
      <c r="BK22" s="231"/>
      <c r="BL22" s="231"/>
      <c r="BM22" s="231"/>
      <c r="BN22" s="231"/>
      <c r="BO22" s="231"/>
      <c r="BP22" s="231"/>
      <c r="BQ22" s="231"/>
      <c r="BR22" s="231"/>
      <c r="BS22" s="231"/>
    </row>
    <row r="23" spans="1:71" s="203" customFormat="1" ht="21.95" customHeight="1">
      <c r="A23" s="874" t="s">
        <v>30</v>
      </c>
      <c r="B23" s="875"/>
      <c r="C23" s="875"/>
      <c r="D23" s="875"/>
      <c r="E23" s="878" t="s">
        <v>376</v>
      </c>
      <c r="F23" s="856" t="s">
        <v>407</v>
      </c>
      <c r="G23" s="36"/>
      <c r="H23" s="878" t="s">
        <v>406</v>
      </c>
      <c r="I23" s="36"/>
      <c r="J23" s="240"/>
      <c r="K23" s="240"/>
      <c r="L23" s="234"/>
      <c r="M23" s="8"/>
      <c r="N23" s="8"/>
      <c r="O23" s="231"/>
      <c r="P23" s="231"/>
      <c r="Q23" s="231"/>
      <c r="R23" s="231"/>
      <c r="S23" s="231"/>
      <c r="T23" s="231"/>
      <c r="U23" s="231"/>
      <c r="V23" s="231"/>
      <c r="W23" s="231"/>
      <c r="X23" s="231"/>
      <c r="Y23" s="231"/>
      <c r="Z23" s="231"/>
      <c r="AA23" s="231"/>
      <c r="AB23" s="231"/>
      <c r="AC23" s="231"/>
      <c r="AD23" s="231"/>
      <c r="AE23" s="231"/>
      <c r="AF23" s="231"/>
      <c r="AG23" s="231"/>
      <c r="AH23" s="231"/>
      <c r="AI23" s="231"/>
      <c r="AJ23" s="231"/>
      <c r="AK23" s="231"/>
      <c r="AL23" s="231"/>
      <c r="AM23" s="231"/>
      <c r="AN23" s="231"/>
      <c r="AO23" s="231"/>
      <c r="AP23" s="231"/>
      <c r="AQ23" s="231"/>
      <c r="AR23" s="231"/>
      <c r="AS23" s="231"/>
      <c r="AT23" s="231"/>
      <c r="AU23" s="231"/>
      <c r="AV23" s="231"/>
      <c r="AW23" s="231"/>
      <c r="AX23" s="231"/>
      <c r="AY23" s="231"/>
      <c r="AZ23" s="231"/>
      <c r="BA23" s="231"/>
      <c r="BB23" s="231"/>
      <c r="BC23" s="231"/>
      <c r="BD23" s="231"/>
      <c r="BE23" s="231"/>
      <c r="BF23" s="231"/>
      <c r="BG23" s="231"/>
      <c r="BH23" s="231"/>
      <c r="BI23" s="231"/>
      <c r="BJ23" s="231"/>
      <c r="BK23" s="231"/>
      <c r="BL23" s="231"/>
      <c r="BM23" s="231"/>
      <c r="BN23" s="231"/>
      <c r="BO23" s="231"/>
      <c r="BP23" s="231"/>
      <c r="BQ23" s="231"/>
      <c r="BR23" s="231"/>
      <c r="BS23" s="231"/>
    </row>
    <row r="24" spans="1:71" s="203" customFormat="1" ht="21.95" customHeight="1">
      <c r="A24" s="876"/>
      <c r="B24" s="877"/>
      <c r="C24" s="877"/>
      <c r="D24" s="877"/>
      <c r="E24" s="879"/>
      <c r="F24" s="860"/>
      <c r="G24" s="23"/>
      <c r="H24" s="879"/>
      <c r="I24" s="36"/>
      <c r="J24" s="240"/>
      <c r="K24" s="240"/>
      <c r="L24" s="234"/>
      <c r="M24" s="8"/>
      <c r="N24" s="8"/>
      <c r="O24" s="231"/>
      <c r="P24" s="231"/>
      <c r="Q24" s="231"/>
      <c r="R24" s="231"/>
      <c r="S24" s="231"/>
      <c r="T24" s="231"/>
      <c r="U24" s="231"/>
      <c r="V24" s="231"/>
      <c r="W24" s="231"/>
      <c r="X24" s="231"/>
      <c r="Y24" s="231"/>
      <c r="Z24" s="231"/>
      <c r="AA24" s="231"/>
      <c r="AB24" s="231"/>
      <c r="AC24" s="231"/>
      <c r="AD24" s="231"/>
      <c r="AE24" s="231"/>
      <c r="AF24" s="231"/>
      <c r="AG24" s="231"/>
      <c r="AH24" s="231"/>
      <c r="AI24" s="231"/>
      <c r="AJ24" s="231"/>
      <c r="AK24" s="231"/>
      <c r="AL24" s="231"/>
      <c r="AM24" s="231"/>
      <c r="AN24" s="231"/>
      <c r="AO24" s="231"/>
      <c r="AP24" s="231"/>
      <c r="AQ24" s="231"/>
      <c r="AR24" s="231"/>
      <c r="AS24" s="231"/>
      <c r="AT24" s="231"/>
      <c r="AU24" s="231"/>
      <c r="AV24" s="231"/>
      <c r="AW24" s="231"/>
      <c r="AX24" s="231"/>
      <c r="AY24" s="231"/>
      <c r="AZ24" s="231"/>
      <c r="BA24" s="231"/>
      <c r="BB24" s="231"/>
      <c r="BC24" s="231"/>
      <c r="BD24" s="231"/>
      <c r="BE24" s="231"/>
      <c r="BF24" s="231"/>
      <c r="BG24" s="231"/>
      <c r="BH24" s="231"/>
      <c r="BI24" s="231"/>
      <c r="BJ24" s="231"/>
      <c r="BK24" s="231"/>
      <c r="BL24" s="231"/>
      <c r="BM24" s="231"/>
      <c r="BN24" s="231"/>
      <c r="BO24" s="231"/>
      <c r="BP24" s="231"/>
      <c r="BQ24" s="231"/>
      <c r="BR24" s="231"/>
      <c r="BS24" s="231"/>
    </row>
    <row r="25" spans="1:71" s="203" customFormat="1" ht="21.95" customHeight="1">
      <c r="A25" s="898" t="s">
        <v>48</v>
      </c>
      <c r="B25" s="901" t="s">
        <v>49</v>
      </c>
      <c r="C25" s="901"/>
      <c r="D25" s="902"/>
      <c r="E25" s="907" t="s">
        <v>50</v>
      </c>
      <c r="F25" s="909" t="s">
        <v>51</v>
      </c>
      <c r="G25" s="34"/>
      <c r="H25" s="907" t="s">
        <v>50</v>
      </c>
      <c r="I25" s="36"/>
      <c r="J25" s="240"/>
      <c r="K25" s="240"/>
      <c r="L25" s="192"/>
      <c r="M25" s="8"/>
      <c r="N25" s="8"/>
      <c r="O25" s="231"/>
      <c r="P25" s="231"/>
      <c r="Q25" s="231"/>
      <c r="R25" s="231"/>
      <c r="S25" s="231"/>
      <c r="T25" s="231"/>
      <c r="U25" s="231"/>
      <c r="V25" s="231"/>
      <c r="W25" s="231"/>
      <c r="X25" s="231"/>
      <c r="Y25" s="231"/>
      <c r="Z25" s="231"/>
      <c r="AA25" s="231"/>
      <c r="AB25" s="231"/>
      <c r="AC25" s="231"/>
      <c r="AD25" s="231"/>
      <c r="AE25" s="231"/>
      <c r="AF25" s="231"/>
      <c r="AG25" s="231"/>
      <c r="AH25" s="231"/>
      <c r="AI25" s="231"/>
      <c r="AJ25" s="231"/>
      <c r="AK25" s="231"/>
      <c r="AL25" s="231"/>
      <c r="AM25" s="231"/>
      <c r="AN25" s="231"/>
      <c r="AO25" s="231"/>
      <c r="AP25" s="231"/>
      <c r="AQ25" s="231"/>
      <c r="AR25" s="231"/>
      <c r="AS25" s="231"/>
      <c r="AT25" s="231"/>
      <c r="AU25" s="231"/>
      <c r="AV25" s="231"/>
      <c r="AW25" s="231"/>
      <c r="AX25" s="231"/>
      <c r="AY25" s="231"/>
      <c r="AZ25" s="231"/>
      <c r="BA25" s="231"/>
      <c r="BB25" s="231"/>
      <c r="BC25" s="231"/>
      <c r="BD25" s="231"/>
      <c r="BE25" s="231"/>
      <c r="BF25" s="231"/>
      <c r="BG25" s="231"/>
      <c r="BH25" s="231"/>
      <c r="BI25" s="231"/>
      <c r="BJ25" s="231"/>
      <c r="BK25" s="231"/>
      <c r="BL25" s="231"/>
      <c r="BM25" s="231"/>
      <c r="BN25" s="231"/>
      <c r="BO25" s="231"/>
      <c r="BP25" s="231"/>
      <c r="BQ25" s="231"/>
      <c r="BR25" s="231"/>
      <c r="BS25" s="231"/>
    </row>
    <row r="26" spans="1:71" s="203" customFormat="1" ht="21.95" customHeight="1">
      <c r="A26" s="899"/>
      <c r="B26" s="903"/>
      <c r="C26" s="903"/>
      <c r="D26" s="904"/>
      <c r="E26" s="908"/>
      <c r="F26" s="859"/>
      <c r="G26" s="34"/>
      <c r="H26" s="908"/>
      <c r="I26" s="36"/>
      <c r="J26" s="240"/>
      <c r="K26" s="240"/>
      <c r="L26" s="192"/>
      <c r="M26" s="8"/>
      <c r="N26" s="8"/>
      <c r="O26" s="231"/>
      <c r="P26" s="231"/>
      <c r="Q26" s="231"/>
      <c r="R26" s="231"/>
      <c r="S26" s="231"/>
      <c r="T26" s="231"/>
      <c r="U26" s="231"/>
      <c r="V26" s="231"/>
      <c r="W26" s="231"/>
      <c r="X26" s="231"/>
      <c r="Y26" s="231"/>
      <c r="Z26" s="231"/>
      <c r="AA26" s="231"/>
      <c r="AB26" s="231"/>
      <c r="AC26" s="231"/>
      <c r="AD26" s="231"/>
      <c r="AE26" s="231"/>
      <c r="AF26" s="231"/>
      <c r="AG26" s="231"/>
      <c r="AH26" s="231"/>
      <c r="AI26" s="231"/>
      <c r="AJ26" s="231"/>
      <c r="AK26" s="231"/>
      <c r="AL26" s="231"/>
      <c r="AM26" s="231"/>
      <c r="AN26" s="231"/>
      <c r="AO26" s="231"/>
      <c r="AP26" s="231"/>
      <c r="AQ26" s="231"/>
      <c r="AR26" s="231"/>
      <c r="AS26" s="231"/>
      <c r="AT26" s="231"/>
      <c r="AU26" s="231"/>
      <c r="AV26" s="231"/>
      <c r="AW26" s="231"/>
      <c r="AX26" s="231"/>
      <c r="AY26" s="231"/>
      <c r="AZ26" s="231"/>
      <c r="BA26" s="231"/>
      <c r="BB26" s="231"/>
      <c r="BC26" s="231"/>
      <c r="BD26" s="231"/>
      <c r="BE26" s="231"/>
      <c r="BF26" s="231"/>
      <c r="BG26" s="231"/>
      <c r="BH26" s="231"/>
      <c r="BI26" s="231"/>
      <c r="BJ26" s="231"/>
      <c r="BK26" s="231"/>
      <c r="BL26" s="231"/>
      <c r="BM26" s="231"/>
      <c r="BN26" s="231"/>
      <c r="BO26" s="231"/>
      <c r="BP26" s="231"/>
      <c r="BQ26" s="231"/>
      <c r="BR26" s="231"/>
      <c r="BS26" s="231"/>
    </row>
    <row r="27" spans="1:71" s="203" customFormat="1" ht="21.95" customHeight="1">
      <c r="A27" s="900"/>
      <c r="B27" s="905"/>
      <c r="C27" s="905"/>
      <c r="D27" s="906"/>
      <c r="E27" s="879"/>
      <c r="F27" s="860"/>
      <c r="G27" s="34"/>
      <c r="H27" s="879"/>
      <c r="I27" s="36"/>
      <c r="J27" s="240"/>
      <c r="K27" s="240"/>
      <c r="L27" s="192"/>
      <c r="M27" s="8"/>
      <c r="N27" s="8"/>
      <c r="O27" s="231"/>
      <c r="P27" s="231"/>
      <c r="Q27" s="231"/>
      <c r="R27" s="231"/>
      <c r="S27" s="231"/>
      <c r="T27" s="231"/>
      <c r="U27" s="231"/>
      <c r="V27" s="231"/>
      <c r="W27" s="231"/>
      <c r="X27" s="231"/>
      <c r="Y27" s="231"/>
      <c r="Z27" s="231"/>
      <c r="AA27" s="231"/>
      <c r="AB27" s="231"/>
      <c r="AC27" s="231"/>
      <c r="AD27" s="231"/>
      <c r="AE27" s="231"/>
      <c r="AF27" s="231"/>
      <c r="AG27" s="231"/>
      <c r="AH27" s="231"/>
      <c r="AI27" s="231"/>
      <c r="AJ27" s="231"/>
      <c r="AK27" s="231"/>
      <c r="AL27" s="231"/>
      <c r="AM27" s="231"/>
      <c r="AN27" s="231"/>
      <c r="AO27" s="231"/>
      <c r="AP27" s="231"/>
      <c r="AQ27" s="231"/>
      <c r="AR27" s="231"/>
      <c r="AS27" s="231"/>
      <c r="AT27" s="231"/>
      <c r="AU27" s="231"/>
      <c r="AV27" s="231"/>
      <c r="AW27" s="231"/>
      <c r="AX27" s="231"/>
      <c r="AY27" s="231"/>
      <c r="AZ27" s="231"/>
      <c r="BA27" s="231"/>
      <c r="BB27" s="231"/>
      <c r="BC27" s="231"/>
      <c r="BD27" s="231"/>
      <c r="BE27" s="231"/>
      <c r="BF27" s="231"/>
      <c r="BG27" s="231"/>
      <c r="BH27" s="231"/>
      <c r="BI27" s="231"/>
      <c r="BJ27" s="231"/>
      <c r="BK27" s="231"/>
      <c r="BL27" s="231"/>
      <c r="BM27" s="231"/>
      <c r="BN27" s="231"/>
      <c r="BO27" s="231"/>
      <c r="BP27" s="231"/>
      <c r="BQ27" s="231"/>
      <c r="BR27" s="231"/>
      <c r="BS27" s="231"/>
    </row>
    <row r="28" spans="1:71" s="203" customFormat="1">
      <c r="A28" s="38">
        <v>1</v>
      </c>
      <c r="B28" s="39" t="s">
        <v>52</v>
      </c>
      <c r="C28" s="39"/>
      <c r="D28" s="40"/>
      <c r="E28" s="41">
        <f>SUM('Aberdeen City:West Lothian'!E28)</f>
        <v>5159034.0977718662</v>
      </c>
      <c r="F28" s="42">
        <f>F77</f>
        <v>5224700.6241868278</v>
      </c>
      <c r="G28" s="43"/>
      <c r="H28" s="44">
        <f>H77</f>
        <v>5557332.5373050785</v>
      </c>
      <c r="I28" s="43"/>
      <c r="J28" s="86"/>
      <c r="K28" s="86"/>
      <c r="L28" s="192"/>
      <c r="M28" s="8"/>
      <c r="N28" s="8"/>
      <c r="O28" s="231"/>
      <c r="P28" s="231"/>
      <c r="Q28" s="231"/>
      <c r="R28" s="231"/>
      <c r="S28" s="231"/>
      <c r="T28" s="231"/>
      <c r="U28" s="231"/>
      <c r="V28" s="231"/>
      <c r="W28" s="231"/>
      <c r="X28" s="231"/>
      <c r="Y28" s="231"/>
      <c r="Z28" s="231"/>
      <c r="AA28" s="231"/>
      <c r="AB28" s="231"/>
      <c r="AC28" s="231"/>
      <c r="AD28" s="231"/>
      <c r="AE28" s="231"/>
      <c r="AF28" s="231"/>
      <c r="AG28" s="231"/>
      <c r="AH28" s="231"/>
      <c r="AI28" s="231"/>
      <c r="AJ28" s="231"/>
      <c r="AK28" s="231"/>
      <c r="AL28" s="231"/>
      <c r="AM28" s="231"/>
      <c r="AN28" s="231"/>
      <c r="AO28" s="231"/>
      <c r="AP28" s="231"/>
      <c r="AQ28" s="231"/>
      <c r="AR28" s="231"/>
      <c r="AS28" s="231"/>
      <c r="AT28" s="231"/>
      <c r="AU28" s="231"/>
      <c r="AV28" s="231"/>
      <c r="AW28" s="231"/>
      <c r="AX28" s="231"/>
      <c r="AY28" s="231"/>
      <c r="AZ28" s="231"/>
      <c r="BA28" s="231"/>
      <c r="BB28" s="231"/>
      <c r="BC28" s="231"/>
      <c r="BD28" s="231"/>
      <c r="BE28" s="231"/>
      <c r="BF28" s="231"/>
      <c r="BG28" s="231"/>
      <c r="BH28" s="231"/>
      <c r="BI28" s="231"/>
      <c r="BJ28" s="231"/>
      <c r="BK28" s="231"/>
      <c r="BL28" s="231"/>
      <c r="BM28" s="231"/>
      <c r="BN28" s="231"/>
      <c r="BO28" s="231"/>
      <c r="BP28" s="231"/>
      <c r="BQ28" s="231"/>
      <c r="BR28" s="231"/>
      <c r="BS28" s="231"/>
    </row>
    <row r="29" spans="1:71" s="203" customFormat="1">
      <c r="A29" s="46">
        <v>2</v>
      </c>
      <c r="B29" s="47" t="s">
        <v>53</v>
      </c>
      <c r="C29" s="47"/>
      <c r="D29" s="48"/>
      <c r="E29" s="49">
        <f>SUM('Aberdeen City:West Lothian'!E29)</f>
        <v>3260020.4094301201</v>
      </c>
      <c r="F29" s="50">
        <f>F105</f>
        <v>3333892.03</v>
      </c>
      <c r="G29" s="43"/>
      <c r="H29" s="51">
        <f>H105</f>
        <v>3414185.5298191663</v>
      </c>
      <c r="I29" s="43"/>
      <c r="J29" s="86"/>
      <c r="K29" s="86"/>
      <c r="L29" s="192"/>
      <c r="M29" s="8"/>
      <c r="N29" s="8"/>
      <c r="O29" s="231"/>
      <c r="P29" s="231"/>
      <c r="Q29" s="231"/>
      <c r="R29" s="231"/>
      <c r="S29" s="231"/>
      <c r="T29" s="231"/>
      <c r="U29" s="231"/>
      <c r="V29" s="231"/>
      <c r="W29" s="231"/>
      <c r="X29" s="231"/>
      <c r="Y29" s="231"/>
      <c r="Z29" s="231"/>
      <c r="AA29" s="231"/>
      <c r="AB29" s="231"/>
      <c r="AC29" s="231"/>
      <c r="AD29" s="231"/>
      <c r="AE29" s="231"/>
      <c r="AF29" s="231"/>
      <c r="AG29" s="231"/>
      <c r="AH29" s="231"/>
      <c r="AI29" s="231"/>
      <c r="AJ29" s="231"/>
      <c r="AK29" s="231"/>
      <c r="AL29" s="231"/>
      <c r="AM29" s="231"/>
      <c r="AN29" s="231"/>
      <c r="AO29" s="231"/>
      <c r="AP29" s="231"/>
      <c r="AQ29" s="231"/>
      <c r="AR29" s="231"/>
      <c r="AS29" s="231"/>
      <c r="AT29" s="231"/>
      <c r="AU29" s="231"/>
      <c r="AV29" s="231"/>
      <c r="AW29" s="231"/>
      <c r="AX29" s="231"/>
      <c r="AY29" s="231"/>
      <c r="AZ29" s="231"/>
      <c r="BA29" s="231"/>
      <c r="BB29" s="231"/>
      <c r="BC29" s="231"/>
      <c r="BD29" s="231"/>
      <c r="BE29" s="231"/>
      <c r="BF29" s="231"/>
      <c r="BG29" s="231"/>
      <c r="BH29" s="231"/>
      <c r="BI29" s="231"/>
      <c r="BJ29" s="231"/>
      <c r="BK29" s="231"/>
      <c r="BL29" s="231"/>
      <c r="BM29" s="231"/>
      <c r="BN29" s="231"/>
      <c r="BO29" s="231"/>
      <c r="BP29" s="231"/>
      <c r="BQ29" s="231"/>
      <c r="BR29" s="231"/>
      <c r="BS29" s="231"/>
    </row>
    <row r="30" spans="1:71" s="203" customFormat="1">
      <c r="A30" s="46">
        <v>3</v>
      </c>
      <c r="B30" s="47" t="s">
        <v>54</v>
      </c>
      <c r="C30" s="47"/>
      <c r="D30" s="48"/>
      <c r="E30" s="49">
        <f>SUM('Aberdeen City:West Lothian'!E30)</f>
        <v>388469.41949792532</v>
      </c>
      <c r="F30" s="50">
        <f>F180</f>
        <v>399357</v>
      </c>
      <c r="G30" s="43"/>
      <c r="H30" s="51">
        <f>H180</f>
        <v>376519</v>
      </c>
      <c r="I30" s="43"/>
      <c r="J30" s="86"/>
      <c r="K30" s="86"/>
      <c r="L30" s="192"/>
      <c r="M30" s="8"/>
      <c r="N30" s="8"/>
      <c r="O30" s="231"/>
      <c r="P30" s="231"/>
      <c r="Q30" s="231"/>
      <c r="R30" s="231"/>
      <c r="S30" s="231"/>
      <c r="T30" s="231"/>
      <c r="U30" s="231"/>
      <c r="V30" s="231"/>
      <c r="W30" s="231"/>
      <c r="X30" s="231"/>
      <c r="Y30" s="231"/>
      <c r="Z30" s="231"/>
      <c r="AA30" s="231"/>
      <c r="AB30" s="231"/>
      <c r="AC30" s="231"/>
      <c r="AD30" s="231"/>
      <c r="AE30" s="231"/>
      <c r="AF30" s="231"/>
      <c r="AG30" s="231"/>
      <c r="AH30" s="231"/>
      <c r="AI30" s="231"/>
      <c r="AJ30" s="231"/>
      <c r="AK30" s="231"/>
      <c r="AL30" s="231"/>
      <c r="AM30" s="231"/>
      <c r="AN30" s="231"/>
      <c r="AO30" s="231"/>
      <c r="AP30" s="231"/>
      <c r="AQ30" s="231"/>
      <c r="AR30" s="231"/>
      <c r="AS30" s="231"/>
      <c r="AT30" s="231"/>
      <c r="AU30" s="231"/>
      <c r="AV30" s="231"/>
      <c r="AW30" s="231"/>
      <c r="AX30" s="231"/>
      <c r="AY30" s="231"/>
      <c r="AZ30" s="231"/>
      <c r="BA30" s="231"/>
      <c r="BB30" s="231"/>
      <c r="BC30" s="231"/>
      <c r="BD30" s="231"/>
      <c r="BE30" s="231"/>
      <c r="BF30" s="231"/>
      <c r="BG30" s="231"/>
      <c r="BH30" s="231"/>
      <c r="BI30" s="231"/>
      <c r="BJ30" s="231"/>
      <c r="BK30" s="231"/>
      <c r="BL30" s="231"/>
      <c r="BM30" s="231"/>
      <c r="BN30" s="231"/>
      <c r="BO30" s="231"/>
      <c r="BP30" s="231"/>
      <c r="BQ30" s="231"/>
      <c r="BR30" s="231"/>
      <c r="BS30" s="231"/>
    </row>
    <row r="31" spans="1:71" s="203" customFormat="1">
      <c r="A31" s="46">
        <v>4</v>
      </c>
      <c r="B31" s="47" t="s">
        <v>55</v>
      </c>
      <c r="C31" s="47"/>
      <c r="D31" s="48"/>
      <c r="E31" s="49">
        <f>SUM('Aberdeen City:West Lothian'!E31)</f>
        <v>678978.34326248139</v>
      </c>
      <c r="F31" s="50">
        <f>F214</f>
        <v>708249</v>
      </c>
      <c r="G31" s="43"/>
      <c r="H31" s="51">
        <f>H214</f>
        <v>698869.79484123713</v>
      </c>
      <c r="I31" s="43"/>
      <c r="J31" s="86"/>
      <c r="K31" s="86"/>
      <c r="L31" s="192"/>
      <c r="M31" s="8"/>
      <c r="N31" s="8"/>
      <c r="O31" s="231"/>
      <c r="P31" s="231"/>
      <c r="Q31" s="231"/>
      <c r="R31" s="231"/>
      <c r="S31" s="231"/>
      <c r="T31" s="231"/>
      <c r="U31" s="231"/>
      <c r="V31" s="231"/>
      <c r="W31" s="231"/>
      <c r="X31" s="231"/>
      <c r="Y31" s="231"/>
      <c r="Z31" s="231"/>
      <c r="AA31" s="231"/>
      <c r="AB31" s="231"/>
      <c r="AC31" s="231"/>
      <c r="AD31" s="231"/>
      <c r="AE31" s="231"/>
      <c r="AF31" s="231"/>
      <c r="AG31" s="231"/>
      <c r="AH31" s="231"/>
      <c r="AI31" s="231"/>
      <c r="AJ31" s="231"/>
      <c r="AK31" s="231"/>
      <c r="AL31" s="231"/>
      <c r="AM31" s="231"/>
      <c r="AN31" s="231"/>
      <c r="AO31" s="231"/>
      <c r="AP31" s="231"/>
      <c r="AQ31" s="231"/>
      <c r="AR31" s="231"/>
      <c r="AS31" s="231"/>
      <c r="AT31" s="231"/>
      <c r="AU31" s="231"/>
      <c r="AV31" s="231"/>
      <c r="AW31" s="231"/>
      <c r="AX31" s="231"/>
      <c r="AY31" s="231"/>
      <c r="AZ31" s="231"/>
      <c r="BA31" s="231"/>
      <c r="BB31" s="231"/>
      <c r="BC31" s="231"/>
      <c r="BD31" s="231"/>
      <c r="BE31" s="231"/>
      <c r="BF31" s="231"/>
      <c r="BG31" s="231"/>
      <c r="BH31" s="231"/>
      <c r="BI31" s="231"/>
      <c r="BJ31" s="231"/>
      <c r="BK31" s="231"/>
      <c r="BL31" s="231"/>
      <c r="BM31" s="231"/>
      <c r="BN31" s="231"/>
      <c r="BO31" s="231"/>
      <c r="BP31" s="231"/>
      <c r="BQ31" s="231"/>
      <c r="BR31" s="231"/>
      <c r="BS31" s="231"/>
    </row>
    <row r="32" spans="1:71" s="203" customFormat="1">
      <c r="A32" s="46">
        <v>5</v>
      </c>
      <c r="B32" s="47" t="s">
        <v>56</v>
      </c>
      <c r="C32" s="47"/>
      <c r="D32" s="48"/>
      <c r="E32" s="49">
        <f>SUM('Aberdeen City:West Lothian'!E32)</f>
        <v>241288.42553764448</v>
      </c>
      <c r="F32" s="50">
        <f>F231</f>
        <v>225347</v>
      </c>
      <c r="G32" s="43"/>
      <c r="H32" s="51">
        <f>H231</f>
        <v>221323</v>
      </c>
      <c r="I32" s="43"/>
      <c r="J32" s="86"/>
      <c r="K32" s="86"/>
      <c r="L32" s="192"/>
      <c r="M32" s="8"/>
      <c r="N32" s="8"/>
      <c r="O32" s="231"/>
      <c r="P32" s="231"/>
      <c r="Q32" s="231"/>
      <c r="R32" s="231"/>
      <c r="S32" s="231"/>
      <c r="T32" s="231"/>
      <c r="U32" s="231"/>
      <c r="V32" s="231"/>
      <c r="W32" s="231"/>
      <c r="X32" s="231"/>
      <c r="Y32" s="231"/>
      <c r="Z32" s="231"/>
      <c r="AA32" s="231"/>
      <c r="AB32" s="231"/>
      <c r="AC32" s="231"/>
      <c r="AD32" s="231"/>
      <c r="AE32" s="231"/>
      <c r="AF32" s="231"/>
      <c r="AG32" s="231"/>
      <c r="AH32" s="231"/>
      <c r="AI32" s="231"/>
      <c r="AJ32" s="231"/>
      <c r="AK32" s="231"/>
      <c r="AL32" s="231"/>
      <c r="AM32" s="231"/>
      <c r="AN32" s="231"/>
      <c r="AO32" s="231"/>
      <c r="AP32" s="231"/>
      <c r="AQ32" s="231"/>
      <c r="AR32" s="231"/>
      <c r="AS32" s="231"/>
      <c r="AT32" s="231"/>
      <c r="AU32" s="231"/>
      <c r="AV32" s="231"/>
      <c r="AW32" s="231"/>
      <c r="AX32" s="231"/>
      <c r="AY32" s="231"/>
      <c r="AZ32" s="231"/>
      <c r="BA32" s="231"/>
      <c r="BB32" s="231"/>
      <c r="BC32" s="231"/>
      <c r="BD32" s="231"/>
      <c r="BE32" s="231"/>
      <c r="BF32" s="231"/>
      <c r="BG32" s="231"/>
      <c r="BH32" s="231"/>
      <c r="BI32" s="231"/>
      <c r="BJ32" s="231"/>
      <c r="BK32" s="231"/>
      <c r="BL32" s="231"/>
      <c r="BM32" s="231"/>
      <c r="BN32" s="231"/>
      <c r="BO32" s="231"/>
      <c r="BP32" s="231"/>
      <c r="BQ32" s="231"/>
      <c r="BR32" s="231"/>
      <c r="BS32" s="231"/>
    </row>
    <row r="33" spans="1:71" s="203" customFormat="1">
      <c r="A33" s="46">
        <v>6</v>
      </c>
      <c r="B33" s="47" t="s">
        <v>57</v>
      </c>
      <c r="C33" s="47"/>
      <c r="D33" s="48"/>
      <c r="E33" s="49">
        <f>SUM('Aberdeen City:West Lothian'!E33)</f>
        <v>537534.41068800911</v>
      </c>
      <c r="F33" s="50">
        <f>F257</f>
        <v>547882</v>
      </c>
      <c r="G33" s="43"/>
      <c r="H33" s="51">
        <f>H257</f>
        <v>553825.35600000003</v>
      </c>
      <c r="I33" s="43"/>
      <c r="J33" s="86"/>
      <c r="K33" s="86"/>
      <c r="L33" s="192"/>
      <c r="M33" s="8"/>
      <c r="N33" s="8"/>
      <c r="O33" s="231"/>
      <c r="P33" s="231"/>
      <c r="Q33" s="231"/>
      <c r="R33" s="231"/>
      <c r="S33" s="231"/>
      <c r="T33" s="231"/>
      <c r="U33" s="231"/>
      <c r="V33" s="231"/>
      <c r="W33" s="231"/>
      <c r="X33" s="231"/>
      <c r="Y33" s="231"/>
      <c r="Z33" s="231"/>
      <c r="AA33" s="231"/>
      <c r="AB33" s="231"/>
      <c r="AC33" s="231"/>
      <c r="AD33" s="231"/>
      <c r="AE33" s="231"/>
      <c r="AF33" s="231"/>
      <c r="AG33" s="231"/>
      <c r="AH33" s="231"/>
      <c r="AI33" s="231"/>
      <c r="AJ33" s="231"/>
      <c r="AK33" s="231"/>
      <c r="AL33" s="231"/>
      <c r="AM33" s="231"/>
      <c r="AN33" s="231"/>
      <c r="AO33" s="231"/>
      <c r="AP33" s="231"/>
      <c r="AQ33" s="231"/>
      <c r="AR33" s="231"/>
      <c r="AS33" s="231"/>
      <c r="AT33" s="231"/>
      <c r="AU33" s="231"/>
      <c r="AV33" s="231"/>
      <c r="AW33" s="231"/>
      <c r="AX33" s="231"/>
      <c r="AY33" s="231"/>
      <c r="AZ33" s="231"/>
      <c r="BA33" s="231"/>
      <c r="BB33" s="231"/>
      <c r="BC33" s="231"/>
      <c r="BD33" s="231"/>
      <c r="BE33" s="231"/>
      <c r="BF33" s="231"/>
      <c r="BG33" s="231"/>
      <c r="BH33" s="231"/>
      <c r="BI33" s="231"/>
      <c r="BJ33" s="231"/>
      <c r="BK33" s="231"/>
      <c r="BL33" s="231"/>
      <c r="BM33" s="231"/>
      <c r="BN33" s="231"/>
      <c r="BO33" s="231"/>
      <c r="BP33" s="231"/>
      <c r="BQ33" s="231"/>
      <c r="BR33" s="231"/>
      <c r="BS33" s="231"/>
    </row>
    <row r="34" spans="1:71" s="203" customFormat="1">
      <c r="A34" s="46">
        <v>7</v>
      </c>
      <c r="B34" s="47" t="s">
        <v>58</v>
      </c>
      <c r="C34" s="47"/>
      <c r="D34" s="48"/>
      <c r="E34" s="49">
        <f>SUM('Aberdeen City:West Lothian'!E34)</f>
        <v>322207.71034143877</v>
      </c>
      <c r="F34" s="50">
        <f>F277</f>
        <v>328623.09999999998</v>
      </c>
      <c r="G34" s="43"/>
      <c r="H34" s="50">
        <f>H277</f>
        <v>316076.3</v>
      </c>
      <c r="I34" s="43"/>
      <c r="J34" s="86"/>
      <c r="K34" s="86"/>
      <c r="L34" s="192"/>
      <c r="M34" s="8"/>
      <c r="N34" s="8"/>
      <c r="O34" s="231"/>
      <c r="P34" s="231"/>
      <c r="Q34" s="231"/>
      <c r="R34" s="231"/>
      <c r="S34" s="231"/>
      <c r="T34" s="231"/>
      <c r="U34" s="231"/>
      <c r="V34" s="231"/>
      <c r="W34" s="231"/>
      <c r="X34" s="231"/>
      <c r="Y34" s="231"/>
      <c r="Z34" s="231"/>
      <c r="AA34" s="231"/>
      <c r="AB34" s="231"/>
      <c r="AC34" s="231"/>
      <c r="AD34" s="231"/>
      <c r="AE34" s="231"/>
      <c r="AF34" s="231"/>
      <c r="AG34" s="231"/>
      <c r="AH34" s="231"/>
      <c r="AI34" s="231"/>
      <c r="AJ34" s="231"/>
      <c r="AK34" s="231"/>
      <c r="AL34" s="231"/>
      <c r="AM34" s="231"/>
      <c r="AN34" s="231"/>
      <c r="AO34" s="231"/>
      <c r="AP34" s="231"/>
      <c r="AQ34" s="231"/>
      <c r="AR34" s="231"/>
      <c r="AS34" s="231"/>
      <c r="AT34" s="231"/>
      <c r="AU34" s="231"/>
      <c r="AV34" s="231"/>
      <c r="AW34" s="231"/>
      <c r="AX34" s="231"/>
      <c r="AY34" s="231"/>
      <c r="AZ34" s="231"/>
      <c r="BA34" s="231"/>
      <c r="BB34" s="231"/>
      <c r="BC34" s="231"/>
      <c r="BD34" s="231"/>
      <c r="BE34" s="231"/>
      <c r="BF34" s="231"/>
      <c r="BG34" s="231"/>
      <c r="BH34" s="231"/>
      <c r="BI34" s="231"/>
      <c r="BJ34" s="231"/>
      <c r="BK34" s="231"/>
      <c r="BL34" s="231"/>
      <c r="BM34" s="231"/>
      <c r="BN34" s="231"/>
      <c r="BO34" s="231"/>
      <c r="BP34" s="231"/>
      <c r="BQ34" s="231"/>
      <c r="BR34" s="231"/>
      <c r="BS34" s="231"/>
    </row>
    <row r="35" spans="1:71" s="203" customFormat="1">
      <c r="A35" s="46">
        <v>8</v>
      </c>
      <c r="B35" s="47" t="s">
        <v>59</v>
      </c>
      <c r="C35" s="47"/>
      <c r="D35" s="48"/>
      <c r="E35" s="49">
        <f>SUM('Aberdeen City:West Lothian'!E35)</f>
        <v>380296.89232288569</v>
      </c>
      <c r="F35" s="50">
        <f>F302</f>
        <v>389340</v>
      </c>
      <c r="G35" s="43"/>
      <c r="H35" s="50">
        <f>H302</f>
        <v>371253</v>
      </c>
      <c r="I35" s="21"/>
      <c r="J35" s="86"/>
      <c r="K35" s="86"/>
      <c r="L35" s="192"/>
      <c r="M35" s="8"/>
      <c r="N35" s="8"/>
      <c r="O35" s="231"/>
      <c r="P35" s="231"/>
      <c r="Q35" s="231"/>
      <c r="R35" s="231"/>
      <c r="S35" s="231"/>
      <c r="T35" s="231"/>
      <c r="U35" s="231"/>
      <c r="V35" s="231"/>
      <c r="W35" s="231"/>
      <c r="X35" s="231"/>
      <c r="Y35" s="231"/>
      <c r="Z35" s="231"/>
      <c r="AA35" s="231"/>
      <c r="AB35" s="231"/>
      <c r="AC35" s="231"/>
      <c r="AD35" s="231"/>
      <c r="AE35" s="231"/>
      <c r="AF35" s="231"/>
      <c r="AG35" s="231"/>
      <c r="AH35" s="231"/>
      <c r="AI35" s="231"/>
      <c r="AJ35" s="231"/>
      <c r="AK35" s="231"/>
      <c r="AL35" s="231"/>
      <c r="AM35" s="231"/>
      <c r="AN35" s="231"/>
      <c r="AO35" s="231"/>
      <c r="AP35" s="231"/>
      <c r="AQ35" s="231"/>
      <c r="AR35" s="231"/>
      <c r="AS35" s="231"/>
      <c r="AT35" s="231"/>
      <c r="AU35" s="231"/>
      <c r="AV35" s="231"/>
      <c r="AW35" s="231"/>
      <c r="AX35" s="231"/>
      <c r="AY35" s="231"/>
      <c r="AZ35" s="231"/>
      <c r="BA35" s="231"/>
      <c r="BB35" s="231"/>
      <c r="BC35" s="231"/>
      <c r="BD35" s="231"/>
      <c r="BE35" s="231"/>
      <c r="BF35" s="231"/>
      <c r="BG35" s="231"/>
      <c r="BH35" s="231"/>
      <c r="BI35" s="231"/>
      <c r="BJ35" s="231"/>
      <c r="BK35" s="231"/>
      <c r="BL35" s="231"/>
      <c r="BM35" s="231"/>
      <c r="BN35" s="231"/>
      <c r="BO35" s="231"/>
      <c r="BP35" s="231"/>
      <c r="BQ35" s="231"/>
      <c r="BR35" s="231"/>
      <c r="BS35" s="231"/>
    </row>
    <row r="36" spans="1:71" s="203" customFormat="1">
      <c r="A36" s="46">
        <v>9</v>
      </c>
      <c r="B36" s="47" t="s">
        <v>60</v>
      </c>
      <c r="C36" s="47"/>
      <c r="D36" s="48"/>
      <c r="E36" s="49">
        <f>SUM('Aberdeen City:West Lothian'!E36)</f>
        <v>995</v>
      </c>
      <c r="F36" s="52">
        <f>SUM('Aberdeen City:West Lothian'!F36)</f>
        <v>582</v>
      </c>
      <c r="G36" s="43"/>
      <c r="H36" s="52">
        <f>SUM('Aberdeen City:West Lothian'!H36)</f>
        <v>-472</v>
      </c>
      <c r="I36" s="21"/>
      <c r="J36" s="86"/>
      <c r="K36" s="86"/>
      <c r="L36" s="192"/>
      <c r="M36" s="8"/>
      <c r="N36" s="8"/>
      <c r="O36" s="231"/>
      <c r="P36" s="231"/>
      <c r="Q36" s="231"/>
      <c r="R36" s="231"/>
      <c r="S36" s="231"/>
      <c r="T36" s="231"/>
      <c r="U36" s="231"/>
      <c r="V36" s="231"/>
      <c r="W36" s="231"/>
      <c r="X36" s="231"/>
      <c r="Y36" s="231"/>
      <c r="Z36" s="231"/>
      <c r="AA36" s="231"/>
      <c r="AB36" s="231"/>
      <c r="AC36" s="231"/>
      <c r="AD36" s="231"/>
      <c r="AE36" s="231"/>
      <c r="AF36" s="231"/>
      <c r="AG36" s="231"/>
      <c r="AH36" s="231"/>
      <c r="AI36" s="231"/>
      <c r="AJ36" s="231"/>
      <c r="AK36" s="231"/>
      <c r="AL36" s="231"/>
      <c r="AM36" s="231"/>
      <c r="AN36" s="231"/>
      <c r="AO36" s="231"/>
      <c r="AP36" s="231"/>
      <c r="AQ36" s="231"/>
      <c r="AR36" s="231"/>
      <c r="AS36" s="231"/>
      <c r="AT36" s="231"/>
      <c r="AU36" s="231"/>
      <c r="AV36" s="231"/>
      <c r="AW36" s="231"/>
      <c r="AX36" s="231"/>
      <c r="AY36" s="231"/>
      <c r="AZ36" s="231"/>
      <c r="BA36" s="231"/>
      <c r="BB36" s="231"/>
      <c r="BC36" s="231"/>
      <c r="BD36" s="231"/>
      <c r="BE36" s="231"/>
      <c r="BF36" s="231"/>
      <c r="BG36" s="231"/>
      <c r="BH36" s="231"/>
      <c r="BI36" s="231"/>
      <c r="BJ36" s="231"/>
      <c r="BK36" s="231"/>
      <c r="BL36" s="231"/>
      <c r="BM36" s="231"/>
      <c r="BN36" s="231"/>
      <c r="BO36" s="231"/>
      <c r="BP36" s="231"/>
      <c r="BQ36" s="231"/>
      <c r="BR36" s="231"/>
      <c r="BS36" s="231"/>
    </row>
    <row r="37" spans="1:71" s="203" customFormat="1">
      <c r="A37" s="53">
        <v>10</v>
      </c>
      <c r="B37" s="54" t="s">
        <v>61</v>
      </c>
      <c r="C37" s="54"/>
      <c r="D37" s="55"/>
      <c r="E37" s="56">
        <f>SUM('Aberdeen City:West Lothian'!E37)</f>
        <v>1168427.3368833112</v>
      </c>
      <c r="F37" s="57">
        <f>F320</f>
        <v>1141560.5008948629</v>
      </c>
      <c r="G37" s="43"/>
      <c r="H37" s="57">
        <f>H320</f>
        <v>1125797.5726895835</v>
      </c>
      <c r="I37" s="21"/>
      <c r="J37" s="86"/>
      <c r="K37" s="86"/>
      <c r="L37" s="192"/>
      <c r="M37" s="8"/>
      <c r="N37" s="8"/>
      <c r="O37" s="231"/>
      <c r="P37" s="231"/>
      <c r="Q37" s="231"/>
      <c r="R37" s="231"/>
      <c r="S37" s="231"/>
      <c r="T37" s="231"/>
      <c r="U37" s="231"/>
      <c r="V37" s="231"/>
      <c r="W37" s="231"/>
      <c r="X37" s="231"/>
      <c r="Y37" s="231"/>
      <c r="Z37" s="231"/>
      <c r="AA37" s="231"/>
      <c r="AB37" s="231"/>
      <c r="AC37" s="231"/>
      <c r="AD37" s="231"/>
      <c r="AE37" s="231"/>
      <c r="AF37" s="231"/>
      <c r="AG37" s="231"/>
      <c r="AH37" s="231"/>
      <c r="AI37" s="231"/>
      <c r="AJ37" s="231"/>
      <c r="AK37" s="231"/>
      <c r="AL37" s="231"/>
      <c r="AM37" s="231"/>
      <c r="AN37" s="231"/>
      <c r="AO37" s="231"/>
      <c r="AP37" s="231"/>
      <c r="AQ37" s="231"/>
      <c r="AR37" s="231"/>
      <c r="AS37" s="231"/>
      <c r="AT37" s="231"/>
      <c r="AU37" s="231"/>
      <c r="AV37" s="231"/>
      <c r="AW37" s="231"/>
      <c r="AX37" s="231"/>
      <c r="AY37" s="231"/>
      <c r="AZ37" s="231"/>
      <c r="BA37" s="231"/>
      <c r="BB37" s="231"/>
      <c r="BC37" s="231"/>
      <c r="BD37" s="231"/>
      <c r="BE37" s="231"/>
      <c r="BF37" s="231"/>
      <c r="BG37" s="231"/>
      <c r="BH37" s="231"/>
      <c r="BI37" s="231"/>
      <c r="BJ37" s="231"/>
      <c r="BK37" s="231"/>
      <c r="BL37" s="231"/>
      <c r="BM37" s="231"/>
      <c r="BN37" s="231"/>
      <c r="BO37" s="231"/>
      <c r="BP37" s="231"/>
      <c r="BQ37" s="231"/>
      <c r="BR37" s="231"/>
      <c r="BS37" s="231"/>
    </row>
    <row r="38" spans="1:71" s="203" customFormat="1">
      <c r="A38" s="33">
        <v>11</v>
      </c>
      <c r="B38" s="58" t="s">
        <v>62</v>
      </c>
      <c r="C38" s="58"/>
      <c r="D38" s="59"/>
      <c r="E38" s="60">
        <f>SUM('Aberdeen City:West Lothian'!E38)</f>
        <v>12137252.045735683</v>
      </c>
      <c r="F38" s="61">
        <f>SUM(F28:F37)</f>
        <v>12299533.255081691</v>
      </c>
      <c r="G38" s="43"/>
      <c r="H38" s="61">
        <f>SUM(H28:H37)</f>
        <v>12634710.090655066</v>
      </c>
      <c r="I38" s="68"/>
      <c r="J38" s="240"/>
      <c r="K38" s="240"/>
      <c r="L38" s="192"/>
      <c r="M38" s="8"/>
      <c r="N38" s="8"/>
      <c r="O38" s="231"/>
      <c r="P38" s="231"/>
      <c r="Q38" s="231"/>
      <c r="R38" s="231"/>
      <c r="S38" s="231"/>
      <c r="T38" s="231"/>
      <c r="U38" s="231"/>
      <c r="V38" s="231"/>
      <c r="W38" s="231"/>
      <c r="X38" s="231"/>
      <c r="Y38" s="231"/>
      <c r="Z38" s="231"/>
      <c r="AA38" s="231"/>
      <c r="AB38" s="231"/>
      <c r="AC38" s="231"/>
      <c r="AD38" s="231"/>
      <c r="AE38" s="231"/>
      <c r="AF38" s="231"/>
      <c r="AG38" s="231"/>
      <c r="AH38" s="231"/>
      <c r="AI38" s="231"/>
      <c r="AJ38" s="231"/>
      <c r="AK38" s="231"/>
      <c r="AL38" s="231"/>
      <c r="AM38" s="231"/>
      <c r="AN38" s="231"/>
      <c r="AO38" s="231"/>
      <c r="AP38" s="231"/>
      <c r="AQ38" s="231"/>
      <c r="AR38" s="231"/>
      <c r="AS38" s="231"/>
      <c r="AT38" s="231"/>
      <c r="AU38" s="231"/>
      <c r="AV38" s="231"/>
      <c r="AW38" s="231"/>
      <c r="AX38" s="231"/>
      <c r="AY38" s="231"/>
      <c r="AZ38" s="231"/>
      <c r="BA38" s="231"/>
      <c r="BB38" s="231"/>
      <c r="BC38" s="231"/>
      <c r="BD38" s="231"/>
      <c r="BE38" s="231"/>
      <c r="BF38" s="231"/>
      <c r="BG38" s="231"/>
      <c r="BH38" s="231"/>
      <c r="BI38" s="231"/>
      <c r="BJ38" s="231"/>
      <c r="BK38" s="231"/>
      <c r="BL38" s="231"/>
      <c r="BM38" s="231"/>
      <c r="BN38" s="231"/>
      <c r="BO38" s="231"/>
      <c r="BP38" s="231"/>
      <c r="BQ38" s="231"/>
      <c r="BR38" s="231"/>
      <c r="BS38" s="231"/>
    </row>
    <row r="39" spans="1:71" s="203" customFormat="1" ht="12.75" customHeight="1">
      <c r="A39" s="63"/>
      <c r="B39" s="64"/>
      <c r="C39" s="64"/>
      <c r="D39" s="65"/>
      <c r="E39" s="66"/>
      <c r="F39" s="67"/>
      <c r="G39" s="21"/>
      <c r="H39" s="67"/>
      <c r="I39" s="68"/>
      <c r="J39" s="240"/>
      <c r="K39" s="240"/>
      <c r="L39" s="192"/>
      <c r="M39" s="8"/>
      <c r="N39" s="8"/>
      <c r="O39" s="231"/>
      <c r="P39" s="231"/>
      <c r="Q39" s="231"/>
      <c r="R39" s="231"/>
      <c r="S39" s="231"/>
      <c r="T39" s="231"/>
      <c r="U39" s="231"/>
      <c r="V39" s="231"/>
      <c r="W39" s="231"/>
      <c r="X39" s="231"/>
      <c r="Y39" s="231"/>
      <c r="Z39" s="231"/>
      <c r="AA39" s="231"/>
      <c r="AB39" s="231"/>
      <c r="AC39" s="231"/>
      <c r="AD39" s="231"/>
      <c r="AE39" s="231"/>
      <c r="AF39" s="231"/>
      <c r="AG39" s="231"/>
      <c r="AH39" s="231"/>
      <c r="AI39" s="231"/>
      <c r="AJ39" s="231"/>
      <c r="AK39" s="231"/>
      <c r="AL39" s="231"/>
      <c r="AM39" s="231"/>
      <c r="AN39" s="231"/>
      <c r="AO39" s="231"/>
      <c r="AP39" s="231"/>
      <c r="AQ39" s="231"/>
      <c r="AR39" s="231"/>
      <c r="AS39" s="231"/>
      <c r="AT39" s="231"/>
      <c r="AU39" s="231"/>
      <c r="AV39" s="231"/>
      <c r="AW39" s="231"/>
      <c r="AX39" s="231"/>
      <c r="AY39" s="231"/>
      <c r="AZ39" s="231"/>
      <c r="BA39" s="231"/>
      <c r="BB39" s="231"/>
      <c r="BC39" s="231"/>
      <c r="BD39" s="231"/>
      <c r="BE39" s="231"/>
      <c r="BF39" s="231"/>
      <c r="BG39" s="231"/>
      <c r="BH39" s="231"/>
      <c r="BI39" s="231"/>
      <c r="BJ39" s="231"/>
      <c r="BK39" s="231"/>
      <c r="BL39" s="231"/>
      <c r="BM39" s="231"/>
      <c r="BN39" s="231"/>
      <c r="BO39" s="231"/>
      <c r="BP39" s="231"/>
      <c r="BQ39" s="231"/>
      <c r="BR39" s="231"/>
      <c r="BS39" s="231"/>
    </row>
    <row r="40" spans="1:71" s="203" customFormat="1" ht="12.75" customHeight="1">
      <c r="A40" s="893" t="s">
        <v>63</v>
      </c>
      <c r="B40" s="894"/>
      <c r="C40" s="894"/>
      <c r="D40" s="895"/>
      <c r="E40" s="856" t="s">
        <v>376</v>
      </c>
      <c r="F40" s="857" t="s">
        <v>407</v>
      </c>
      <c r="G40" s="68"/>
      <c r="H40" s="897" t="s">
        <v>406</v>
      </c>
      <c r="I40" s="43"/>
      <c r="J40" s="86"/>
      <c r="K40" s="86"/>
      <c r="L40" s="192"/>
      <c r="M40" s="8"/>
      <c r="N40" s="8"/>
      <c r="O40" s="231"/>
      <c r="P40" s="231"/>
      <c r="Q40" s="231"/>
      <c r="R40" s="231"/>
      <c r="S40" s="231"/>
      <c r="T40" s="231"/>
      <c r="U40" s="231"/>
      <c r="V40" s="231"/>
      <c r="W40" s="231"/>
      <c r="X40" s="231"/>
      <c r="Y40" s="231"/>
      <c r="Z40" s="231"/>
      <c r="AA40" s="231"/>
      <c r="AB40" s="231"/>
      <c r="AC40" s="231"/>
      <c r="AD40" s="231"/>
      <c r="AE40" s="231"/>
      <c r="AF40" s="231"/>
      <c r="AG40" s="231"/>
      <c r="AH40" s="231"/>
      <c r="AI40" s="231"/>
      <c r="AJ40" s="231"/>
      <c r="AK40" s="231"/>
      <c r="AL40" s="231"/>
      <c r="AM40" s="231"/>
      <c r="AN40" s="231"/>
      <c r="AO40" s="231"/>
      <c r="AP40" s="231"/>
      <c r="AQ40" s="231"/>
      <c r="AR40" s="231"/>
      <c r="AS40" s="231"/>
      <c r="AT40" s="231"/>
      <c r="AU40" s="231"/>
      <c r="AV40" s="231"/>
      <c r="AW40" s="231"/>
      <c r="AX40" s="231"/>
      <c r="AY40" s="231"/>
      <c r="AZ40" s="231"/>
      <c r="BA40" s="231"/>
      <c r="BB40" s="231"/>
      <c r="BC40" s="231"/>
      <c r="BD40" s="231"/>
      <c r="BE40" s="231"/>
      <c r="BF40" s="231"/>
      <c r="BG40" s="231"/>
      <c r="BH40" s="231"/>
      <c r="BI40" s="231"/>
      <c r="BJ40" s="231"/>
      <c r="BK40" s="231"/>
      <c r="BL40" s="231"/>
      <c r="BM40" s="231"/>
      <c r="BN40" s="231"/>
      <c r="BO40" s="231"/>
      <c r="BP40" s="231"/>
      <c r="BQ40" s="231"/>
      <c r="BR40" s="231"/>
      <c r="BS40" s="231"/>
    </row>
    <row r="41" spans="1:71" s="203" customFormat="1" ht="27.75" customHeight="1">
      <c r="A41" s="876"/>
      <c r="B41" s="877"/>
      <c r="C41" s="877"/>
      <c r="D41" s="896"/>
      <c r="E41" s="860"/>
      <c r="F41" s="860"/>
      <c r="G41" s="207"/>
      <c r="H41" s="879"/>
      <c r="I41" s="43"/>
      <c r="J41" s="86"/>
      <c r="K41" s="86"/>
      <c r="L41" s="192"/>
      <c r="M41" s="8"/>
      <c r="N41" s="8"/>
      <c r="O41" s="231"/>
      <c r="P41" s="231"/>
      <c r="Q41" s="231"/>
      <c r="R41" s="231"/>
      <c r="S41" s="231"/>
      <c r="T41" s="231"/>
      <c r="U41" s="231"/>
      <c r="V41" s="231"/>
      <c r="W41" s="231"/>
      <c r="X41" s="231"/>
      <c r="Y41" s="231"/>
      <c r="Z41" s="231"/>
      <c r="AA41" s="231"/>
      <c r="AB41" s="231"/>
      <c r="AC41" s="231"/>
      <c r="AD41" s="231"/>
      <c r="AE41" s="231"/>
      <c r="AF41" s="231"/>
      <c r="AG41" s="231"/>
      <c r="AH41" s="231"/>
      <c r="AI41" s="231"/>
      <c r="AJ41" s="231"/>
      <c r="AK41" s="231"/>
      <c r="AL41" s="231"/>
      <c r="AM41" s="231"/>
      <c r="AN41" s="231"/>
      <c r="AO41" s="231"/>
      <c r="AP41" s="231"/>
      <c r="AQ41" s="231"/>
      <c r="AR41" s="231"/>
      <c r="AS41" s="231"/>
      <c r="AT41" s="231"/>
      <c r="AU41" s="231"/>
      <c r="AV41" s="231"/>
      <c r="AW41" s="231"/>
      <c r="AX41" s="231"/>
      <c r="AY41" s="231"/>
      <c r="AZ41" s="231"/>
      <c r="BA41" s="231"/>
      <c r="BB41" s="231"/>
      <c r="BC41" s="231"/>
      <c r="BD41" s="231"/>
      <c r="BE41" s="231"/>
      <c r="BF41" s="231"/>
      <c r="BG41" s="231"/>
      <c r="BH41" s="231"/>
      <c r="BI41" s="231"/>
      <c r="BJ41" s="231"/>
      <c r="BK41" s="231"/>
      <c r="BL41" s="231"/>
      <c r="BM41" s="231"/>
      <c r="BN41" s="231"/>
      <c r="BO41" s="231"/>
      <c r="BP41" s="231"/>
      <c r="BQ41" s="231"/>
      <c r="BR41" s="231"/>
      <c r="BS41" s="231"/>
    </row>
    <row r="42" spans="1:71" s="203" customFormat="1" ht="15">
      <c r="A42" s="349" t="s">
        <v>64</v>
      </c>
      <c r="B42" s="69" t="s">
        <v>65</v>
      </c>
      <c r="C42" s="69"/>
      <c r="D42" s="70"/>
      <c r="E42" s="71"/>
      <c r="F42" s="72" t="str">
        <f>IF(OR(F43&lt;0,F44&lt;0,F47&lt;0,F48&lt;0,H43&lt;0,H44&lt;0,H47&lt;0,H48&lt;0),"Funding should be recorded as positive figures",".")</f>
        <v>.</v>
      </c>
      <c r="G42" s="45"/>
      <c r="H42" s="73"/>
      <c r="I42" s="43"/>
      <c r="J42" s="86"/>
      <c r="K42" s="86"/>
      <c r="L42" s="234"/>
      <c r="M42" s="8"/>
      <c r="N42" s="8"/>
      <c r="O42" s="231"/>
      <c r="P42" s="231"/>
      <c r="Q42" s="231"/>
      <c r="R42" s="231"/>
      <c r="S42" s="231"/>
      <c r="T42" s="231"/>
      <c r="U42" s="231"/>
      <c r="V42" s="231"/>
      <c r="W42" s="231"/>
      <c r="X42" s="231"/>
      <c r="Y42" s="231"/>
      <c r="Z42" s="231"/>
      <c r="AA42" s="231"/>
      <c r="AB42" s="231"/>
      <c r="AC42" s="231"/>
      <c r="AD42" s="231"/>
      <c r="AE42" s="231"/>
      <c r="AF42" s="231"/>
      <c r="AG42" s="231"/>
      <c r="AH42" s="231"/>
      <c r="AI42" s="231"/>
      <c r="AJ42" s="231"/>
      <c r="AK42" s="231"/>
      <c r="AL42" s="231"/>
      <c r="AM42" s="231"/>
      <c r="AN42" s="231"/>
      <c r="AO42" s="231"/>
      <c r="AP42" s="231"/>
      <c r="AQ42" s="231"/>
      <c r="AR42" s="231"/>
      <c r="AS42" s="231"/>
      <c r="AT42" s="231"/>
      <c r="AU42" s="231"/>
      <c r="AV42" s="231"/>
      <c r="AW42" s="231"/>
      <c r="AX42" s="231"/>
      <c r="AY42" s="231"/>
      <c r="AZ42" s="231"/>
      <c r="BA42" s="231"/>
      <c r="BB42" s="231"/>
      <c r="BC42" s="231"/>
      <c r="BD42" s="231"/>
      <c r="BE42" s="231"/>
      <c r="BF42" s="231"/>
      <c r="BG42" s="231"/>
      <c r="BH42" s="231"/>
      <c r="BI42" s="231"/>
      <c r="BJ42" s="231"/>
      <c r="BK42" s="231"/>
      <c r="BL42" s="231"/>
      <c r="BM42" s="231"/>
      <c r="BN42" s="231"/>
      <c r="BO42" s="231"/>
      <c r="BP42" s="231"/>
      <c r="BQ42" s="231"/>
      <c r="BR42" s="231"/>
      <c r="BS42" s="231"/>
    </row>
    <row r="43" spans="1:71" s="203" customFormat="1" ht="15">
      <c r="A43" s="46">
        <v>1</v>
      </c>
      <c r="B43" s="47" t="s">
        <v>66</v>
      </c>
      <c r="C43" s="47"/>
      <c r="D43" s="48"/>
      <c r="E43" s="74">
        <f>SUM('Aberdeen City:West Lothian'!E43)</f>
        <v>6805786</v>
      </c>
      <c r="F43" s="241">
        <f>SUM('Aberdeen City:West Lothian'!F43)</f>
        <v>6872934</v>
      </c>
      <c r="G43" s="45"/>
      <c r="H43" s="75">
        <f>SUM('Aberdeen City:West Lothian'!H43)</f>
        <v>6691389</v>
      </c>
      <c r="I43" s="43"/>
      <c r="J43" s="86"/>
      <c r="K43" s="86"/>
      <c r="L43" s="234"/>
      <c r="M43" s="8"/>
      <c r="N43" s="8"/>
      <c r="O43" s="231"/>
      <c r="P43" s="231"/>
      <c r="Q43" s="231"/>
      <c r="R43" s="231"/>
      <c r="S43" s="231"/>
      <c r="T43" s="231"/>
      <c r="U43" s="231"/>
      <c r="V43" s="231"/>
      <c r="W43" s="231"/>
      <c r="X43" s="231"/>
      <c r="Y43" s="231"/>
      <c r="Z43" s="231"/>
      <c r="AA43" s="231"/>
      <c r="AB43" s="231"/>
      <c r="AC43" s="231"/>
      <c r="AD43" s="231"/>
      <c r="AE43" s="231"/>
      <c r="AF43" s="231"/>
      <c r="AG43" s="231"/>
      <c r="AH43" s="231"/>
      <c r="AI43" s="231"/>
      <c r="AJ43" s="231"/>
      <c r="AK43" s="231"/>
      <c r="AL43" s="231"/>
      <c r="AM43" s="231"/>
      <c r="AN43" s="231"/>
      <c r="AO43" s="231"/>
      <c r="AP43" s="231"/>
      <c r="AQ43" s="231"/>
      <c r="AR43" s="231"/>
      <c r="AS43" s="231"/>
      <c r="AT43" s="231"/>
      <c r="AU43" s="231"/>
      <c r="AV43" s="231"/>
      <c r="AW43" s="231"/>
      <c r="AX43" s="231"/>
      <c r="AY43" s="231"/>
      <c r="AZ43" s="231"/>
      <c r="BA43" s="231"/>
      <c r="BB43" s="231"/>
      <c r="BC43" s="231"/>
      <c r="BD43" s="231"/>
      <c r="BE43" s="231"/>
      <c r="BF43" s="231"/>
      <c r="BG43" s="231"/>
      <c r="BH43" s="231"/>
      <c r="BI43" s="231"/>
      <c r="BJ43" s="231"/>
      <c r="BK43" s="231"/>
      <c r="BL43" s="231"/>
      <c r="BM43" s="231"/>
      <c r="BN43" s="231"/>
      <c r="BO43" s="231"/>
      <c r="BP43" s="231"/>
      <c r="BQ43" s="231"/>
      <c r="BR43" s="231"/>
      <c r="BS43" s="231"/>
    </row>
    <row r="44" spans="1:71" s="203" customFormat="1">
      <c r="A44" s="46">
        <v>2</v>
      </c>
      <c r="B44" s="47" t="s">
        <v>67</v>
      </c>
      <c r="C44" s="47"/>
      <c r="D44" s="48"/>
      <c r="E44" s="49">
        <f>SUM('Aberdeen City:West Lothian'!E44)</f>
        <v>2635650</v>
      </c>
      <c r="F44" s="241">
        <f>SUM('Aberdeen City:West Lothian'!F44)</f>
        <v>2636000</v>
      </c>
      <c r="G44" s="45"/>
      <c r="H44" s="75">
        <f>SUM('Aberdeen City:West Lothian'!H44)</f>
        <v>2853000</v>
      </c>
      <c r="I44" s="43"/>
      <c r="J44" s="86"/>
      <c r="K44" s="86"/>
      <c r="L44" s="192"/>
      <c r="M44" s="8"/>
      <c r="N44" s="8"/>
      <c r="O44" s="231"/>
      <c r="P44" s="231"/>
      <c r="Q44" s="231"/>
      <c r="R44" s="231"/>
      <c r="S44" s="231"/>
      <c r="T44" s="231"/>
      <c r="U44" s="231"/>
      <c r="V44" s="231"/>
      <c r="W44" s="231"/>
      <c r="X44" s="231"/>
      <c r="Y44" s="231"/>
      <c r="Z44" s="231"/>
      <c r="AA44" s="231"/>
      <c r="AB44" s="231"/>
      <c r="AC44" s="231"/>
      <c r="AD44" s="231"/>
      <c r="AE44" s="231"/>
      <c r="AF44" s="231"/>
      <c r="AG44" s="231"/>
      <c r="AH44" s="231"/>
      <c r="AI44" s="231"/>
      <c r="AJ44" s="231"/>
      <c r="AK44" s="231"/>
      <c r="AL44" s="231"/>
      <c r="AM44" s="231"/>
      <c r="AN44" s="231"/>
      <c r="AO44" s="231"/>
      <c r="AP44" s="231"/>
      <c r="AQ44" s="231"/>
      <c r="AR44" s="231"/>
      <c r="AS44" s="231"/>
      <c r="AT44" s="231"/>
      <c r="AU44" s="231"/>
      <c r="AV44" s="231"/>
      <c r="AW44" s="231"/>
      <c r="AX44" s="231"/>
      <c r="AY44" s="231"/>
      <c r="AZ44" s="231"/>
      <c r="BA44" s="231"/>
      <c r="BB44" s="231"/>
      <c r="BC44" s="231"/>
      <c r="BD44" s="231"/>
      <c r="BE44" s="231"/>
      <c r="BF44" s="231"/>
      <c r="BG44" s="231"/>
      <c r="BH44" s="231"/>
      <c r="BI44" s="231"/>
      <c r="BJ44" s="231"/>
      <c r="BK44" s="231"/>
      <c r="BL44" s="231"/>
      <c r="BM44" s="231"/>
      <c r="BN44" s="231"/>
      <c r="BO44" s="231"/>
      <c r="BP44" s="231"/>
      <c r="BQ44" s="231"/>
      <c r="BR44" s="231"/>
      <c r="BS44" s="231"/>
    </row>
    <row r="45" spans="1:71" s="203" customFormat="1">
      <c r="A45" s="46">
        <v>3</v>
      </c>
      <c r="B45" s="47" t="s">
        <v>68</v>
      </c>
      <c r="C45" s="47"/>
      <c r="D45" s="48"/>
      <c r="E45" s="49">
        <f>SUM('Aberdeen City:West Lothian'!E45)</f>
        <v>39</v>
      </c>
      <c r="F45" s="52">
        <f>SUM('Aberdeen City:West Lothian'!F45)</f>
        <v>240</v>
      </c>
      <c r="G45" s="45"/>
      <c r="H45" s="75">
        <f>SUM('Aberdeen City:West Lothian'!H45)</f>
        <v>0</v>
      </c>
      <c r="I45" s="43"/>
      <c r="J45" s="86"/>
      <c r="K45" s="86"/>
      <c r="L45" s="192"/>
      <c r="M45" s="8"/>
      <c r="N45" s="8"/>
      <c r="O45" s="231"/>
      <c r="P45" s="231"/>
      <c r="Q45" s="231"/>
      <c r="R45" s="231"/>
      <c r="S45" s="231"/>
      <c r="T45" s="231"/>
      <c r="U45" s="231"/>
      <c r="V45" s="231"/>
      <c r="W45" s="231"/>
      <c r="X45" s="231"/>
      <c r="Y45" s="231"/>
      <c r="Z45" s="231"/>
      <c r="AA45" s="231"/>
      <c r="AB45" s="231"/>
      <c r="AC45" s="231"/>
      <c r="AD45" s="231"/>
      <c r="AE45" s="231"/>
      <c r="AF45" s="231"/>
      <c r="AG45" s="231"/>
      <c r="AH45" s="231"/>
      <c r="AI45" s="231"/>
      <c r="AJ45" s="231"/>
      <c r="AK45" s="231"/>
      <c r="AL45" s="231"/>
      <c r="AM45" s="231"/>
      <c r="AN45" s="231"/>
      <c r="AO45" s="231"/>
      <c r="AP45" s="231"/>
      <c r="AQ45" s="231"/>
      <c r="AR45" s="231"/>
      <c r="AS45" s="231"/>
      <c r="AT45" s="231"/>
      <c r="AU45" s="231"/>
      <c r="AV45" s="231"/>
      <c r="AW45" s="231"/>
      <c r="AX45" s="231"/>
      <c r="AY45" s="231"/>
      <c r="AZ45" s="231"/>
      <c r="BA45" s="231"/>
      <c r="BB45" s="231"/>
      <c r="BC45" s="231"/>
      <c r="BD45" s="231"/>
      <c r="BE45" s="231"/>
      <c r="BF45" s="231"/>
      <c r="BG45" s="231"/>
      <c r="BH45" s="231"/>
      <c r="BI45" s="231"/>
      <c r="BJ45" s="231"/>
      <c r="BK45" s="231"/>
      <c r="BL45" s="231"/>
      <c r="BM45" s="231"/>
      <c r="BN45" s="231"/>
      <c r="BO45" s="231"/>
      <c r="BP45" s="231"/>
      <c r="BQ45" s="231"/>
      <c r="BR45" s="231"/>
      <c r="BS45" s="231"/>
    </row>
    <row r="46" spans="1:71" s="203" customFormat="1">
      <c r="A46" s="46">
        <v>4</v>
      </c>
      <c r="B46" s="47" t="s">
        <v>70</v>
      </c>
      <c r="C46" s="47"/>
      <c r="D46" s="48"/>
      <c r="E46" s="49">
        <f>SUM('Aberdeen City:West Lothian'!E46)</f>
        <v>192</v>
      </c>
      <c r="F46" s="52">
        <f>SUM('Aberdeen City:West Lothian'!F46)</f>
        <v>193</v>
      </c>
      <c r="G46" s="45"/>
      <c r="H46" s="75">
        <f>SUM('Aberdeen City:West Lothian'!H46)</f>
        <v>193</v>
      </c>
      <c r="I46" s="43"/>
      <c r="J46" s="86"/>
      <c r="K46" s="86"/>
      <c r="L46" s="192"/>
      <c r="M46" s="8"/>
      <c r="N46" s="8"/>
      <c r="O46" s="231"/>
      <c r="P46" s="231"/>
      <c r="Q46" s="231"/>
      <c r="R46" s="231"/>
      <c r="S46" s="231"/>
      <c r="T46" s="231"/>
      <c r="U46" s="231"/>
      <c r="V46" s="231"/>
      <c r="W46" s="231"/>
      <c r="X46" s="231"/>
      <c r="Y46" s="231"/>
      <c r="Z46" s="231"/>
      <c r="AA46" s="231"/>
      <c r="AB46" s="231"/>
      <c r="AC46" s="231"/>
      <c r="AD46" s="231"/>
      <c r="AE46" s="231"/>
      <c r="AF46" s="231"/>
      <c r="AG46" s="231"/>
      <c r="AH46" s="231"/>
      <c r="AI46" s="231"/>
      <c r="AJ46" s="231"/>
      <c r="AK46" s="231"/>
      <c r="AL46" s="231"/>
      <c r="AM46" s="231"/>
      <c r="AN46" s="231"/>
      <c r="AO46" s="231"/>
      <c r="AP46" s="231"/>
      <c r="AQ46" s="231"/>
      <c r="AR46" s="231"/>
      <c r="AS46" s="231"/>
      <c r="AT46" s="231"/>
      <c r="AU46" s="231"/>
      <c r="AV46" s="231"/>
      <c r="AW46" s="231"/>
      <c r="AX46" s="231"/>
      <c r="AY46" s="231"/>
      <c r="AZ46" s="231"/>
      <c r="BA46" s="231"/>
      <c r="BB46" s="231"/>
      <c r="BC46" s="231"/>
      <c r="BD46" s="231"/>
      <c r="BE46" s="231"/>
      <c r="BF46" s="231"/>
      <c r="BG46" s="231"/>
      <c r="BH46" s="231"/>
      <c r="BI46" s="231"/>
      <c r="BJ46" s="231"/>
      <c r="BK46" s="231"/>
      <c r="BL46" s="231"/>
      <c r="BM46" s="231"/>
      <c r="BN46" s="231"/>
      <c r="BO46" s="231"/>
      <c r="BP46" s="231"/>
      <c r="BQ46" s="231"/>
      <c r="BR46" s="231"/>
      <c r="BS46" s="231"/>
    </row>
    <row r="47" spans="1:71" s="203" customFormat="1">
      <c r="A47" s="46">
        <v>5</v>
      </c>
      <c r="B47" s="47" t="s">
        <v>69</v>
      </c>
      <c r="C47" s="47"/>
      <c r="D47" s="48"/>
      <c r="E47" s="49">
        <f>SUM('Aberdeen City:West Lothian'!E47)</f>
        <v>263826</v>
      </c>
      <c r="F47" s="52">
        <f>SUM('Aberdeen City:West Lothian'!F47)</f>
        <v>273575</v>
      </c>
      <c r="G47" s="45"/>
      <c r="H47" s="76">
        <f>SUM('Aberdeen City:West Lothian'!H47)</f>
        <v>513578</v>
      </c>
      <c r="I47" s="43"/>
      <c r="J47" s="86"/>
      <c r="K47" s="86"/>
      <c r="L47" s="192"/>
      <c r="M47" s="8"/>
      <c r="N47" s="8"/>
      <c r="O47" s="231"/>
      <c r="P47" s="231"/>
      <c r="Q47" s="231"/>
      <c r="R47" s="231"/>
      <c r="S47" s="231"/>
      <c r="T47" s="231"/>
      <c r="U47" s="231"/>
      <c r="V47" s="231"/>
      <c r="W47" s="231"/>
      <c r="X47" s="231"/>
      <c r="Y47" s="231"/>
      <c r="Z47" s="231"/>
      <c r="AA47" s="231"/>
      <c r="AB47" s="231"/>
      <c r="AC47" s="231"/>
      <c r="AD47" s="231"/>
      <c r="AE47" s="231"/>
      <c r="AF47" s="231"/>
      <c r="AG47" s="231"/>
      <c r="AH47" s="231"/>
      <c r="AI47" s="231"/>
      <c r="AJ47" s="231"/>
      <c r="AK47" s="231"/>
      <c r="AL47" s="231"/>
      <c r="AM47" s="231"/>
      <c r="AN47" s="231"/>
      <c r="AO47" s="231"/>
      <c r="AP47" s="231"/>
      <c r="AQ47" s="231"/>
      <c r="AR47" s="231"/>
      <c r="AS47" s="231"/>
      <c r="AT47" s="231"/>
      <c r="AU47" s="231"/>
      <c r="AV47" s="231"/>
      <c r="AW47" s="231"/>
      <c r="AX47" s="231"/>
      <c r="AY47" s="231"/>
      <c r="AZ47" s="231"/>
      <c r="BA47" s="231"/>
      <c r="BB47" s="231"/>
      <c r="BC47" s="231"/>
      <c r="BD47" s="231"/>
      <c r="BE47" s="231"/>
      <c r="BF47" s="231"/>
      <c r="BG47" s="231"/>
      <c r="BH47" s="231"/>
      <c r="BI47" s="231"/>
      <c r="BJ47" s="231"/>
      <c r="BK47" s="231"/>
      <c r="BL47" s="231"/>
      <c r="BM47" s="231"/>
      <c r="BN47" s="231"/>
      <c r="BO47" s="231"/>
      <c r="BP47" s="231"/>
      <c r="BQ47" s="231"/>
      <c r="BR47" s="231"/>
      <c r="BS47" s="231"/>
    </row>
    <row r="48" spans="1:71" s="203" customFormat="1">
      <c r="A48" s="46">
        <v>6</v>
      </c>
      <c r="B48" s="90" t="s">
        <v>253</v>
      </c>
      <c r="C48" s="47"/>
      <c r="D48" s="195"/>
      <c r="E48" s="49">
        <f>SUM('Aberdeen City:West Lothian'!E48)</f>
        <v>2318520</v>
      </c>
      <c r="F48" s="52">
        <f>SUM('Aberdeen City:West Lothian'!F48)</f>
        <v>2359788.5165499998</v>
      </c>
      <c r="G48" s="45"/>
      <c r="H48" s="52">
        <f>SUM('Aberdeen City:West Lothian'!H48)</f>
        <v>2462857</v>
      </c>
      <c r="I48" s="43"/>
      <c r="J48" s="86"/>
      <c r="K48" s="86"/>
      <c r="L48" s="192"/>
      <c r="M48" s="8"/>
      <c r="N48" s="8"/>
      <c r="O48" s="231"/>
      <c r="P48" s="231"/>
      <c r="Q48" s="231"/>
      <c r="R48" s="231"/>
      <c r="S48" s="231"/>
      <c r="T48" s="231"/>
      <c r="U48" s="231"/>
      <c r="V48" s="231"/>
      <c r="W48" s="231"/>
      <c r="X48" s="231"/>
      <c r="Y48" s="231"/>
      <c r="Z48" s="231"/>
      <c r="AA48" s="231"/>
      <c r="AB48" s="231"/>
      <c r="AC48" s="231"/>
      <c r="AD48" s="231"/>
      <c r="AE48" s="231"/>
      <c r="AF48" s="231"/>
      <c r="AG48" s="231"/>
      <c r="AH48" s="231"/>
      <c r="AI48" s="231"/>
      <c r="AJ48" s="231"/>
      <c r="AK48" s="231"/>
      <c r="AL48" s="231"/>
      <c r="AM48" s="231"/>
      <c r="AN48" s="231"/>
      <c r="AO48" s="231"/>
      <c r="AP48" s="231"/>
      <c r="AQ48" s="231"/>
      <c r="AR48" s="231"/>
      <c r="AS48" s="231"/>
      <c r="AT48" s="231"/>
      <c r="AU48" s="231"/>
      <c r="AV48" s="231"/>
      <c r="AW48" s="231"/>
      <c r="AX48" s="231"/>
      <c r="AY48" s="231"/>
      <c r="AZ48" s="231"/>
      <c r="BA48" s="231"/>
      <c r="BB48" s="231"/>
      <c r="BC48" s="231"/>
      <c r="BD48" s="231"/>
      <c r="BE48" s="231"/>
      <c r="BF48" s="231"/>
      <c r="BG48" s="231"/>
      <c r="BH48" s="231"/>
      <c r="BI48" s="231"/>
      <c r="BJ48" s="231"/>
      <c r="BK48" s="231"/>
      <c r="BL48" s="231"/>
      <c r="BM48" s="231"/>
      <c r="BN48" s="231"/>
      <c r="BO48" s="231"/>
      <c r="BP48" s="231"/>
      <c r="BQ48" s="231"/>
      <c r="BR48" s="231"/>
      <c r="BS48" s="231"/>
    </row>
    <row r="49" spans="1:71" s="203" customFormat="1">
      <c r="A49" s="77">
        <v>7</v>
      </c>
      <c r="B49" s="78" t="s">
        <v>71</v>
      </c>
      <c r="C49" s="58"/>
      <c r="D49" s="79"/>
      <c r="E49" s="80">
        <f>SUM('Aberdeen City:West Lothian'!E49)</f>
        <v>12024013</v>
      </c>
      <c r="F49" s="81">
        <f>SUM(F43:F48)</f>
        <v>12142730.516550001</v>
      </c>
      <c r="G49" s="82"/>
      <c r="H49" s="62">
        <f>SUM(H43:H48)</f>
        <v>12521017</v>
      </c>
      <c r="I49" s="242"/>
      <c r="J49" s="243"/>
      <c r="K49" s="243"/>
      <c r="L49" s="192"/>
      <c r="M49" s="8"/>
      <c r="N49" s="8"/>
      <c r="O49" s="231"/>
      <c r="P49" s="231"/>
      <c r="Q49" s="231"/>
      <c r="R49" s="231"/>
      <c r="S49" s="231"/>
      <c r="T49" s="231"/>
      <c r="U49" s="231"/>
      <c r="V49" s="231"/>
      <c r="W49" s="231"/>
      <c r="X49" s="231"/>
      <c r="Y49" s="231"/>
      <c r="Z49" s="231"/>
      <c r="AA49" s="231"/>
      <c r="AB49" s="231"/>
      <c r="AC49" s="231"/>
      <c r="AD49" s="231"/>
      <c r="AE49" s="231"/>
      <c r="AF49" s="231"/>
      <c r="AG49" s="231"/>
      <c r="AH49" s="231"/>
      <c r="AI49" s="231"/>
      <c r="AJ49" s="231"/>
      <c r="AK49" s="231"/>
      <c r="AL49" s="231"/>
      <c r="AM49" s="231"/>
      <c r="AN49" s="231"/>
      <c r="AO49" s="231"/>
      <c r="AP49" s="231"/>
      <c r="AQ49" s="231"/>
      <c r="AR49" s="231"/>
      <c r="AS49" s="231"/>
      <c r="AT49" s="231"/>
      <c r="AU49" s="231"/>
      <c r="AV49" s="231"/>
      <c r="AW49" s="231"/>
      <c r="AX49" s="231"/>
      <c r="AY49" s="231"/>
      <c r="AZ49" s="231"/>
      <c r="BA49" s="231"/>
      <c r="BB49" s="231"/>
      <c r="BC49" s="231"/>
      <c r="BD49" s="231"/>
      <c r="BE49" s="231"/>
      <c r="BF49" s="231"/>
      <c r="BG49" s="231"/>
      <c r="BH49" s="231"/>
      <c r="BI49" s="231"/>
      <c r="BJ49" s="231"/>
      <c r="BK49" s="231"/>
      <c r="BL49" s="231"/>
      <c r="BM49" s="231"/>
      <c r="BN49" s="231"/>
      <c r="BO49" s="231"/>
      <c r="BP49" s="231"/>
      <c r="BQ49" s="231"/>
      <c r="BR49" s="231"/>
      <c r="BS49" s="231"/>
    </row>
    <row r="50" spans="1:71" s="203" customFormat="1">
      <c r="A50" s="83"/>
      <c r="B50" s="244"/>
      <c r="C50" s="244"/>
      <c r="D50" s="244"/>
      <c r="E50" s="85"/>
      <c r="F50" s="244"/>
      <c r="G50" s="86"/>
      <c r="H50" s="86"/>
      <c r="I50" s="21"/>
      <c r="J50" s="86"/>
      <c r="K50" s="86"/>
      <c r="L50" s="192"/>
      <c r="M50" s="8"/>
      <c r="N50" s="8"/>
      <c r="O50" s="231"/>
      <c r="P50" s="231"/>
      <c r="Q50" s="231"/>
      <c r="R50" s="231"/>
      <c r="S50" s="231"/>
      <c r="T50" s="231"/>
      <c r="U50" s="231"/>
      <c r="V50" s="231"/>
      <c r="W50" s="231"/>
      <c r="X50" s="231"/>
      <c r="Y50" s="231"/>
      <c r="Z50" s="231"/>
      <c r="AA50" s="231"/>
      <c r="AB50" s="231"/>
      <c r="AC50" s="231"/>
      <c r="AD50" s="231"/>
      <c r="AE50" s="231"/>
      <c r="AF50" s="231"/>
      <c r="AG50" s="231"/>
      <c r="AH50" s="231"/>
      <c r="AI50" s="231"/>
      <c r="AJ50" s="231"/>
      <c r="AK50" s="231"/>
      <c r="AL50" s="231"/>
      <c r="AM50" s="231"/>
      <c r="AN50" s="231"/>
      <c r="AO50" s="231"/>
      <c r="AP50" s="231"/>
      <c r="AQ50" s="231"/>
      <c r="AR50" s="231"/>
      <c r="AS50" s="231"/>
      <c r="AT50" s="231"/>
      <c r="AU50" s="231"/>
      <c r="AV50" s="231"/>
      <c r="AW50" s="231"/>
      <c r="AX50" s="231"/>
      <c r="AY50" s="231"/>
      <c r="AZ50" s="231"/>
      <c r="BA50" s="231"/>
      <c r="BB50" s="231"/>
      <c r="BC50" s="231"/>
      <c r="BD50" s="231"/>
      <c r="BE50" s="231"/>
      <c r="BF50" s="231"/>
      <c r="BG50" s="231"/>
      <c r="BH50" s="231"/>
      <c r="BI50" s="231"/>
      <c r="BJ50" s="231"/>
      <c r="BK50" s="231"/>
      <c r="BL50" s="231"/>
      <c r="BM50" s="231"/>
      <c r="BN50" s="231"/>
      <c r="BO50" s="231"/>
      <c r="BP50" s="231"/>
      <c r="BQ50" s="231"/>
      <c r="BR50" s="231"/>
      <c r="BS50" s="231"/>
    </row>
    <row r="51" spans="1:71" s="203" customFormat="1">
      <c r="A51" s="349" t="s">
        <v>72</v>
      </c>
      <c r="B51" s="196" t="s">
        <v>254</v>
      </c>
      <c r="C51" s="69"/>
      <c r="D51" s="70"/>
      <c r="E51" s="87"/>
      <c r="F51" s="88"/>
      <c r="G51" s="45"/>
      <c r="H51" s="89"/>
      <c r="I51" s="43"/>
      <c r="J51" s="86"/>
      <c r="K51" s="86"/>
      <c r="L51" s="192"/>
      <c r="M51" s="8"/>
      <c r="N51" s="8"/>
      <c r="O51" s="231"/>
      <c r="P51" s="231"/>
      <c r="Q51" s="231"/>
      <c r="R51" s="231"/>
      <c r="S51" s="231"/>
      <c r="T51" s="231"/>
      <c r="U51" s="231"/>
      <c r="V51" s="231"/>
      <c r="W51" s="231"/>
      <c r="X51" s="231"/>
      <c r="Y51" s="231"/>
      <c r="Z51" s="231"/>
      <c r="AA51" s="231"/>
      <c r="AB51" s="231"/>
      <c r="AC51" s="231"/>
      <c r="AD51" s="231"/>
      <c r="AE51" s="231"/>
      <c r="AF51" s="231"/>
      <c r="AG51" s="231"/>
      <c r="AH51" s="231"/>
      <c r="AI51" s="231"/>
      <c r="AJ51" s="231"/>
      <c r="AK51" s="231"/>
      <c r="AL51" s="231"/>
      <c r="AM51" s="231"/>
      <c r="AN51" s="231"/>
      <c r="AO51" s="231"/>
      <c r="AP51" s="231"/>
      <c r="AQ51" s="231"/>
      <c r="AR51" s="231"/>
      <c r="AS51" s="231"/>
      <c r="AT51" s="231"/>
      <c r="AU51" s="231"/>
      <c r="AV51" s="231"/>
      <c r="AW51" s="231"/>
      <c r="AX51" s="231"/>
      <c r="AY51" s="231"/>
      <c r="AZ51" s="231"/>
      <c r="BA51" s="231"/>
      <c r="BB51" s="231"/>
      <c r="BC51" s="231"/>
      <c r="BD51" s="231"/>
      <c r="BE51" s="231"/>
      <c r="BF51" s="231"/>
      <c r="BG51" s="231"/>
      <c r="BH51" s="231"/>
      <c r="BI51" s="231"/>
      <c r="BJ51" s="231"/>
      <c r="BK51" s="231"/>
      <c r="BL51" s="231"/>
      <c r="BM51" s="231"/>
      <c r="BN51" s="231"/>
      <c r="BO51" s="231"/>
      <c r="BP51" s="231"/>
      <c r="BQ51" s="231"/>
      <c r="BR51" s="231"/>
      <c r="BS51" s="231"/>
    </row>
    <row r="52" spans="1:71" s="203" customFormat="1">
      <c r="A52" s="46">
        <v>8</v>
      </c>
      <c r="B52" s="90" t="s">
        <v>73</v>
      </c>
      <c r="C52" s="47"/>
      <c r="D52" s="48"/>
      <c r="E52" s="74">
        <f>SUM('Aberdeen City:West Lothian'!E52)</f>
        <v>12137252.045735683</v>
      </c>
      <c r="F52" s="50">
        <f>F38</f>
        <v>12299533.255081691</v>
      </c>
      <c r="G52" s="45"/>
      <c r="H52" s="91">
        <f>H38</f>
        <v>12634710.090655066</v>
      </c>
      <c r="I52" s="43"/>
      <c r="J52" s="86"/>
      <c r="K52" s="86"/>
      <c r="L52" s="192"/>
      <c r="M52" s="8"/>
      <c r="N52" s="8"/>
      <c r="O52" s="231"/>
      <c r="P52" s="231"/>
      <c r="Q52" s="231"/>
      <c r="R52" s="231"/>
      <c r="S52" s="231"/>
      <c r="T52" s="231"/>
      <c r="U52" s="231"/>
      <c r="V52" s="231"/>
      <c r="W52" s="231"/>
      <c r="X52" s="231"/>
      <c r="Y52" s="231"/>
      <c r="Z52" s="231"/>
      <c r="AA52" s="231"/>
      <c r="AB52" s="231"/>
      <c r="AC52" s="231"/>
      <c r="AD52" s="231"/>
      <c r="AE52" s="231"/>
      <c r="AF52" s="231"/>
      <c r="AG52" s="231"/>
      <c r="AH52" s="231"/>
      <c r="AI52" s="231"/>
      <c r="AJ52" s="231"/>
      <c r="AK52" s="231"/>
      <c r="AL52" s="231"/>
      <c r="AM52" s="231"/>
      <c r="AN52" s="231"/>
      <c r="AO52" s="231"/>
      <c r="AP52" s="231"/>
      <c r="AQ52" s="231"/>
      <c r="AR52" s="231"/>
      <c r="AS52" s="231"/>
      <c r="AT52" s="231"/>
      <c r="AU52" s="231"/>
      <c r="AV52" s="231"/>
      <c r="AW52" s="231"/>
      <c r="AX52" s="231"/>
      <c r="AY52" s="231"/>
      <c r="AZ52" s="231"/>
      <c r="BA52" s="231"/>
      <c r="BB52" s="231"/>
      <c r="BC52" s="231"/>
      <c r="BD52" s="231"/>
      <c r="BE52" s="231"/>
      <c r="BF52" s="231"/>
      <c r="BG52" s="231"/>
      <c r="BH52" s="231"/>
      <c r="BI52" s="231"/>
      <c r="BJ52" s="231"/>
      <c r="BK52" s="231"/>
      <c r="BL52" s="231"/>
      <c r="BM52" s="231"/>
      <c r="BN52" s="231"/>
      <c r="BO52" s="231"/>
      <c r="BP52" s="231"/>
      <c r="BQ52" s="231"/>
      <c r="BR52" s="231"/>
      <c r="BS52" s="231"/>
    </row>
    <row r="53" spans="1:71" s="203" customFormat="1">
      <c r="A53" s="46">
        <v>9</v>
      </c>
      <c r="B53" s="90" t="s">
        <v>74</v>
      </c>
      <c r="C53" s="47"/>
      <c r="D53" s="48"/>
      <c r="E53" s="49">
        <f>SUM('Aberdeen City:West Lothian'!E53)</f>
        <v>12024013</v>
      </c>
      <c r="F53" s="92">
        <f>F49</f>
        <v>12142730.516550001</v>
      </c>
      <c r="G53" s="45"/>
      <c r="H53" s="91">
        <f>H49</f>
        <v>12521017</v>
      </c>
      <c r="I53" s="43"/>
      <c r="J53" s="86"/>
      <c r="K53" s="86"/>
      <c r="L53" s="192"/>
      <c r="M53" s="8"/>
      <c r="N53" s="8"/>
      <c r="O53" s="231"/>
      <c r="P53" s="231"/>
      <c r="Q53" s="231"/>
      <c r="R53" s="231"/>
      <c r="S53" s="231"/>
      <c r="T53" s="231"/>
      <c r="U53" s="231"/>
      <c r="V53" s="231"/>
      <c r="W53" s="231"/>
      <c r="X53" s="231"/>
      <c r="Y53" s="231"/>
      <c r="Z53" s="231"/>
      <c r="AA53" s="231"/>
      <c r="AB53" s="231"/>
      <c r="AC53" s="231"/>
      <c r="AD53" s="231"/>
      <c r="AE53" s="231"/>
      <c r="AF53" s="231"/>
      <c r="AG53" s="231"/>
      <c r="AH53" s="231"/>
      <c r="AI53" s="231"/>
      <c r="AJ53" s="231"/>
      <c r="AK53" s="231"/>
      <c r="AL53" s="231"/>
      <c r="AM53" s="231"/>
      <c r="AN53" s="231"/>
      <c r="AO53" s="231"/>
      <c r="AP53" s="231"/>
      <c r="AQ53" s="231"/>
      <c r="AR53" s="231"/>
      <c r="AS53" s="231"/>
      <c r="AT53" s="231"/>
      <c r="AU53" s="231"/>
      <c r="AV53" s="231"/>
      <c r="AW53" s="231"/>
      <c r="AX53" s="231"/>
      <c r="AY53" s="231"/>
      <c r="AZ53" s="231"/>
      <c r="BA53" s="231"/>
      <c r="BB53" s="231"/>
      <c r="BC53" s="231"/>
      <c r="BD53" s="231"/>
      <c r="BE53" s="231"/>
      <c r="BF53" s="231"/>
      <c r="BG53" s="231"/>
      <c r="BH53" s="231"/>
      <c r="BI53" s="231"/>
      <c r="BJ53" s="231"/>
      <c r="BK53" s="231"/>
      <c r="BL53" s="231"/>
      <c r="BM53" s="231"/>
      <c r="BN53" s="231"/>
      <c r="BO53" s="231"/>
      <c r="BP53" s="231"/>
      <c r="BQ53" s="231"/>
      <c r="BR53" s="231"/>
      <c r="BS53" s="231"/>
    </row>
    <row r="54" spans="1:71" s="203" customFormat="1">
      <c r="A54" s="351">
        <v>10</v>
      </c>
      <c r="B54" s="93" t="s">
        <v>255</v>
      </c>
      <c r="C54" s="94"/>
      <c r="D54" s="55"/>
      <c r="E54" s="95">
        <f>SUM('Aberdeen City:West Lothian'!E54)</f>
        <v>-113239.0457356824</v>
      </c>
      <c r="F54" s="96">
        <f>F53-F52</f>
        <v>-156802.73853169009</v>
      </c>
      <c r="G54" s="45"/>
      <c r="H54" s="97">
        <f>H53-H52</f>
        <v>-113693.09065506607</v>
      </c>
      <c r="I54" s="43"/>
      <c r="J54" s="86"/>
      <c r="K54" s="86"/>
      <c r="L54" s="192"/>
      <c r="M54" s="8"/>
      <c r="N54" s="8"/>
      <c r="O54" s="231"/>
      <c r="P54" s="231"/>
      <c r="Q54" s="231"/>
      <c r="R54" s="231"/>
      <c r="S54" s="231"/>
      <c r="T54" s="231"/>
      <c r="U54" s="231"/>
      <c r="V54" s="231"/>
      <c r="W54" s="231"/>
      <c r="X54" s="231"/>
      <c r="Y54" s="231"/>
      <c r="Z54" s="231"/>
      <c r="AA54" s="231"/>
      <c r="AB54" s="231"/>
      <c r="AC54" s="231"/>
      <c r="AD54" s="231"/>
      <c r="AE54" s="231"/>
      <c r="AF54" s="231"/>
      <c r="AG54" s="231"/>
      <c r="AH54" s="231"/>
      <c r="AI54" s="231"/>
      <c r="AJ54" s="231"/>
      <c r="AK54" s="231"/>
      <c r="AL54" s="231"/>
      <c r="AM54" s="231"/>
      <c r="AN54" s="231"/>
      <c r="AO54" s="231"/>
      <c r="AP54" s="231"/>
      <c r="AQ54" s="231"/>
      <c r="AR54" s="231"/>
      <c r="AS54" s="231"/>
      <c r="AT54" s="231"/>
      <c r="AU54" s="231"/>
      <c r="AV54" s="231"/>
      <c r="AW54" s="231"/>
      <c r="AX54" s="231"/>
      <c r="AY54" s="231"/>
      <c r="AZ54" s="231"/>
      <c r="BA54" s="231"/>
      <c r="BB54" s="231"/>
      <c r="BC54" s="231"/>
      <c r="BD54" s="231"/>
      <c r="BE54" s="231"/>
      <c r="BF54" s="231"/>
      <c r="BG54" s="231"/>
      <c r="BH54" s="231"/>
      <c r="BI54" s="231"/>
      <c r="BJ54" s="231"/>
      <c r="BK54" s="231"/>
      <c r="BL54" s="231"/>
      <c r="BM54" s="231"/>
      <c r="BN54" s="231"/>
      <c r="BO54" s="231"/>
      <c r="BP54" s="231"/>
      <c r="BQ54" s="231"/>
      <c r="BR54" s="231"/>
      <c r="BS54" s="231"/>
    </row>
    <row r="55" spans="1:71" s="203" customFormat="1">
      <c r="A55" s="83"/>
      <c r="B55" s="244"/>
      <c r="C55" s="244"/>
      <c r="D55" s="244"/>
      <c r="E55" s="85"/>
      <c r="F55" s="244"/>
      <c r="G55" s="86"/>
      <c r="H55" s="86"/>
      <c r="I55" s="21"/>
      <c r="J55" s="86"/>
      <c r="K55" s="86"/>
      <c r="L55" s="192"/>
      <c r="M55" s="8"/>
      <c r="N55" s="8"/>
      <c r="O55" s="231"/>
      <c r="P55" s="231"/>
      <c r="Q55" s="231"/>
      <c r="R55" s="231"/>
      <c r="S55" s="231"/>
      <c r="T55" s="231"/>
      <c r="U55" s="231"/>
      <c r="V55" s="231"/>
      <c r="W55" s="231"/>
      <c r="X55" s="231"/>
      <c r="Y55" s="231"/>
      <c r="Z55" s="231"/>
      <c r="AA55" s="231"/>
      <c r="AB55" s="231"/>
      <c r="AC55" s="231"/>
      <c r="AD55" s="231"/>
      <c r="AE55" s="231"/>
      <c r="AF55" s="231"/>
      <c r="AG55" s="231"/>
      <c r="AH55" s="231"/>
      <c r="AI55" s="231"/>
      <c r="AJ55" s="231"/>
      <c r="AK55" s="231"/>
      <c r="AL55" s="231"/>
      <c r="AM55" s="231"/>
      <c r="AN55" s="231"/>
      <c r="AO55" s="231"/>
      <c r="AP55" s="231"/>
      <c r="AQ55" s="231"/>
      <c r="AR55" s="231"/>
      <c r="AS55" s="231"/>
      <c r="AT55" s="231"/>
      <c r="AU55" s="231"/>
      <c r="AV55" s="231"/>
      <c r="AW55" s="231"/>
      <c r="AX55" s="231"/>
      <c r="AY55" s="231"/>
      <c r="AZ55" s="231"/>
      <c r="BA55" s="231"/>
      <c r="BB55" s="231"/>
      <c r="BC55" s="231"/>
      <c r="BD55" s="231"/>
      <c r="BE55" s="231"/>
      <c r="BF55" s="231"/>
      <c r="BG55" s="231"/>
      <c r="BH55" s="231"/>
      <c r="BI55" s="231"/>
      <c r="BJ55" s="231"/>
      <c r="BK55" s="231"/>
      <c r="BL55" s="231"/>
      <c r="BM55" s="231"/>
      <c r="BN55" s="231"/>
      <c r="BO55" s="231"/>
      <c r="BP55" s="231"/>
      <c r="BQ55" s="231"/>
      <c r="BR55" s="231"/>
      <c r="BS55" s="231"/>
    </row>
    <row r="56" spans="1:71" s="203" customFormat="1">
      <c r="A56" s="349" t="s">
        <v>75</v>
      </c>
      <c r="B56" s="69" t="s">
        <v>256</v>
      </c>
      <c r="C56" s="69"/>
      <c r="D56" s="70"/>
      <c r="E56" s="87"/>
      <c r="F56" s="88"/>
      <c r="G56" s="45"/>
      <c r="H56" s="89"/>
      <c r="I56" s="43"/>
      <c r="J56" s="86"/>
      <c r="K56" s="86"/>
      <c r="L56" s="192"/>
      <c r="M56" s="8"/>
      <c r="N56" s="8"/>
      <c r="O56" s="231"/>
      <c r="P56" s="231"/>
      <c r="Q56" s="231"/>
      <c r="R56" s="231"/>
      <c r="S56" s="231"/>
      <c r="T56" s="231"/>
      <c r="U56" s="231"/>
      <c r="V56" s="231"/>
      <c r="W56" s="231"/>
      <c r="X56" s="231"/>
      <c r="Y56" s="231"/>
      <c r="Z56" s="231"/>
      <c r="AA56" s="231"/>
      <c r="AB56" s="231"/>
      <c r="AC56" s="231"/>
      <c r="AD56" s="231"/>
      <c r="AE56" s="231"/>
      <c r="AF56" s="231"/>
      <c r="AG56" s="231"/>
      <c r="AH56" s="231"/>
      <c r="AI56" s="231"/>
      <c r="AJ56" s="231"/>
      <c r="AK56" s="231"/>
      <c r="AL56" s="231"/>
      <c r="AM56" s="231"/>
      <c r="AN56" s="231"/>
      <c r="AO56" s="231"/>
      <c r="AP56" s="231"/>
      <c r="AQ56" s="231"/>
      <c r="AR56" s="231"/>
      <c r="AS56" s="231"/>
      <c r="AT56" s="231"/>
      <c r="AU56" s="231"/>
      <c r="AV56" s="231"/>
      <c r="AW56" s="231"/>
      <c r="AX56" s="231"/>
      <c r="AY56" s="231"/>
      <c r="AZ56" s="231"/>
      <c r="BA56" s="231"/>
      <c r="BB56" s="231"/>
      <c r="BC56" s="231"/>
      <c r="BD56" s="231"/>
      <c r="BE56" s="231"/>
      <c r="BF56" s="231"/>
      <c r="BG56" s="231"/>
      <c r="BH56" s="231"/>
      <c r="BI56" s="231"/>
      <c r="BJ56" s="231"/>
      <c r="BK56" s="231"/>
      <c r="BL56" s="231"/>
      <c r="BM56" s="231"/>
      <c r="BN56" s="231"/>
      <c r="BO56" s="231"/>
      <c r="BP56" s="231"/>
      <c r="BQ56" s="231"/>
      <c r="BR56" s="231"/>
      <c r="BS56" s="231"/>
    </row>
    <row r="57" spans="1:71" s="203" customFormat="1">
      <c r="A57" s="46">
        <v>11</v>
      </c>
      <c r="B57" s="47" t="s">
        <v>76</v>
      </c>
      <c r="C57" s="47"/>
      <c r="D57" s="48"/>
      <c r="E57" s="74">
        <f>SUM('Aberdeen City:West Lothian'!E57)</f>
        <v>1066704.3980475769</v>
      </c>
      <c r="F57" s="52">
        <f>SUM('Aberdeen City:West Lothian'!F57)</f>
        <v>1136216</v>
      </c>
      <c r="G57" s="45"/>
      <c r="H57" s="91">
        <f>F61</f>
        <v>1026144.2614683099</v>
      </c>
      <c r="I57" s="43"/>
      <c r="J57" s="86"/>
      <c r="K57" s="86"/>
      <c r="L57" s="192"/>
      <c r="M57" s="8"/>
      <c r="N57" s="8"/>
      <c r="O57" s="231"/>
      <c r="P57" s="231"/>
      <c r="Q57" s="231"/>
      <c r="R57" s="231"/>
      <c r="S57" s="231"/>
      <c r="T57" s="231"/>
      <c r="U57" s="231"/>
      <c r="V57" s="231"/>
      <c r="W57" s="231"/>
      <c r="X57" s="231"/>
      <c r="Y57" s="231"/>
      <c r="Z57" s="231"/>
      <c r="AA57" s="231"/>
      <c r="AB57" s="231"/>
      <c r="AC57" s="231"/>
      <c r="AD57" s="231"/>
      <c r="AE57" s="231"/>
      <c r="AF57" s="231"/>
      <c r="AG57" s="231"/>
      <c r="AH57" s="231"/>
      <c r="AI57" s="231"/>
      <c r="AJ57" s="231"/>
      <c r="AK57" s="231"/>
      <c r="AL57" s="231"/>
      <c r="AM57" s="231"/>
      <c r="AN57" s="231"/>
      <c r="AO57" s="231"/>
      <c r="AP57" s="231"/>
      <c r="AQ57" s="231"/>
      <c r="AR57" s="231"/>
      <c r="AS57" s="231"/>
      <c r="AT57" s="231"/>
      <c r="AU57" s="231"/>
      <c r="AV57" s="231"/>
      <c r="AW57" s="231"/>
      <c r="AX57" s="231"/>
      <c r="AY57" s="231"/>
      <c r="AZ57" s="231"/>
      <c r="BA57" s="231"/>
      <c r="BB57" s="231"/>
      <c r="BC57" s="231"/>
      <c r="BD57" s="231"/>
      <c r="BE57" s="231"/>
      <c r="BF57" s="231"/>
      <c r="BG57" s="231"/>
      <c r="BH57" s="231"/>
      <c r="BI57" s="231"/>
      <c r="BJ57" s="231"/>
      <c r="BK57" s="231"/>
      <c r="BL57" s="231"/>
      <c r="BM57" s="231"/>
      <c r="BN57" s="231"/>
      <c r="BO57" s="231"/>
      <c r="BP57" s="231"/>
      <c r="BQ57" s="231"/>
      <c r="BR57" s="231"/>
      <c r="BS57" s="231"/>
    </row>
    <row r="58" spans="1:71" s="203" customFormat="1">
      <c r="A58" s="46">
        <v>12</v>
      </c>
      <c r="B58" s="90" t="s">
        <v>257</v>
      </c>
      <c r="C58" s="47"/>
      <c r="D58" s="48"/>
      <c r="E58" s="49">
        <f>SUM('Aberdeen City:West Lothian'!E58)</f>
        <v>-113239.0457356824</v>
      </c>
      <c r="F58" s="92">
        <f>F54</f>
        <v>-156802.73853169009</v>
      </c>
      <c r="G58" s="45"/>
      <c r="H58" s="98">
        <f>H54</f>
        <v>-113693.09065506607</v>
      </c>
      <c r="I58" s="43"/>
      <c r="J58" s="86"/>
      <c r="K58" s="86"/>
      <c r="L58" s="192"/>
      <c r="M58" s="8"/>
      <c r="N58" s="8"/>
      <c r="O58" s="231"/>
      <c r="P58" s="231"/>
      <c r="Q58" s="231"/>
      <c r="R58" s="231"/>
      <c r="S58" s="231"/>
      <c r="T58" s="231"/>
      <c r="U58" s="231"/>
      <c r="V58" s="231"/>
      <c r="W58" s="231"/>
      <c r="X58" s="231"/>
      <c r="Y58" s="231"/>
      <c r="Z58" s="231"/>
      <c r="AA58" s="231"/>
      <c r="AB58" s="231"/>
      <c r="AC58" s="231"/>
      <c r="AD58" s="231"/>
      <c r="AE58" s="231"/>
      <c r="AF58" s="231"/>
      <c r="AG58" s="231"/>
      <c r="AH58" s="231"/>
      <c r="AI58" s="231"/>
      <c r="AJ58" s="231"/>
      <c r="AK58" s="231"/>
      <c r="AL58" s="231"/>
      <c r="AM58" s="231"/>
      <c r="AN58" s="231"/>
      <c r="AO58" s="231"/>
      <c r="AP58" s="231"/>
      <c r="AQ58" s="231"/>
      <c r="AR58" s="231"/>
      <c r="AS58" s="231"/>
      <c r="AT58" s="231"/>
      <c r="AU58" s="231"/>
      <c r="AV58" s="231"/>
      <c r="AW58" s="231"/>
      <c r="AX58" s="231"/>
      <c r="AY58" s="231"/>
      <c r="AZ58" s="231"/>
      <c r="BA58" s="231"/>
      <c r="BB58" s="231"/>
      <c r="BC58" s="231"/>
      <c r="BD58" s="231"/>
      <c r="BE58" s="231"/>
      <c r="BF58" s="231"/>
      <c r="BG58" s="231"/>
      <c r="BH58" s="231"/>
      <c r="BI58" s="231"/>
      <c r="BJ58" s="231"/>
      <c r="BK58" s="231"/>
      <c r="BL58" s="231"/>
      <c r="BM58" s="231"/>
      <c r="BN58" s="231"/>
      <c r="BO58" s="231"/>
      <c r="BP58" s="231"/>
      <c r="BQ58" s="231"/>
      <c r="BR58" s="231"/>
      <c r="BS58" s="231"/>
    </row>
    <row r="59" spans="1:71" s="203" customFormat="1">
      <c r="A59" s="46">
        <v>13</v>
      </c>
      <c r="B59" s="47" t="s">
        <v>77</v>
      </c>
      <c r="C59" s="47"/>
      <c r="D59" s="48"/>
      <c r="E59" s="49">
        <f>SUM('Aberdeen City:West Lothian'!E59)</f>
        <v>-1100</v>
      </c>
      <c r="F59" s="52">
        <f>SUM('Aberdeen City:West Lothian'!F59)</f>
        <v>900</v>
      </c>
      <c r="G59" s="45"/>
      <c r="H59" s="99">
        <f>SUM('Aberdeen City:West Lothian'!H59)</f>
        <v>1580</v>
      </c>
      <c r="I59" s="43"/>
      <c r="J59" s="86"/>
      <c r="K59" s="86"/>
      <c r="L59" s="192"/>
      <c r="M59" s="8"/>
      <c r="N59" s="8"/>
      <c r="O59" s="231"/>
      <c r="P59" s="231"/>
      <c r="Q59" s="231"/>
      <c r="R59" s="231"/>
      <c r="S59" s="231"/>
      <c r="T59" s="231"/>
      <c r="U59" s="231"/>
      <c r="V59" s="231"/>
      <c r="W59" s="231"/>
      <c r="X59" s="231"/>
      <c r="Y59" s="231"/>
      <c r="Z59" s="231"/>
      <c r="AA59" s="231"/>
      <c r="AB59" s="231"/>
      <c r="AC59" s="231"/>
      <c r="AD59" s="231"/>
      <c r="AE59" s="231"/>
      <c r="AF59" s="231"/>
      <c r="AG59" s="231"/>
      <c r="AH59" s="231"/>
      <c r="AI59" s="231"/>
      <c r="AJ59" s="231"/>
      <c r="AK59" s="231"/>
      <c r="AL59" s="231"/>
      <c r="AM59" s="231"/>
      <c r="AN59" s="231"/>
      <c r="AO59" s="231"/>
      <c r="AP59" s="231"/>
      <c r="AQ59" s="231"/>
      <c r="AR59" s="231"/>
      <c r="AS59" s="231"/>
      <c r="AT59" s="231"/>
      <c r="AU59" s="231"/>
      <c r="AV59" s="231"/>
      <c r="AW59" s="231"/>
      <c r="AX59" s="231"/>
      <c r="AY59" s="231"/>
      <c r="AZ59" s="231"/>
      <c r="BA59" s="231"/>
      <c r="BB59" s="231"/>
      <c r="BC59" s="231"/>
      <c r="BD59" s="231"/>
      <c r="BE59" s="231"/>
      <c r="BF59" s="231"/>
      <c r="BG59" s="231"/>
      <c r="BH59" s="231"/>
      <c r="BI59" s="231"/>
      <c r="BJ59" s="231"/>
      <c r="BK59" s="231"/>
      <c r="BL59" s="231"/>
      <c r="BM59" s="231"/>
      <c r="BN59" s="231"/>
      <c r="BO59" s="231"/>
      <c r="BP59" s="231"/>
      <c r="BQ59" s="231"/>
      <c r="BR59" s="231"/>
      <c r="BS59" s="231"/>
    </row>
    <row r="60" spans="1:71" s="203" customFormat="1">
      <c r="A60" s="46">
        <v>14</v>
      </c>
      <c r="B60" s="47" t="s">
        <v>78</v>
      </c>
      <c r="C60" s="47"/>
      <c r="D60" s="48"/>
      <c r="E60" s="49">
        <f>SUM('Aberdeen City:West Lothian'!E60)</f>
        <v>33928</v>
      </c>
      <c r="F60" s="52">
        <f>SUM('Aberdeen City:West Lothian'!F60)</f>
        <v>45831</v>
      </c>
      <c r="G60" s="45"/>
      <c r="H60" s="100">
        <f>SUM('Aberdeen City:West Lothian'!H60)</f>
        <v>41222</v>
      </c>
      <c r="I60" s="43"/>
      <c r="J60" s="86"/>
      <c r="K60" s="86"/>
      <c r="L60" s="192"/>
      <c r="M60" s="8"/>
      <c r="N60" s="8"/>
      <c r="O60" s="231"/>
      <c r="P60" s="231"/>
      <c r="Q60" s="231"/>
      <c r="R60" s="231"/>
      <c r="S60" s="231"/>
      <c r="T60" s="231"/>
      <c r="U60" s="231"/>
      <c r="V60" s="231"/>
      <c r="W60" s="231"/>
      <c r="X60" s="231"/>
      <c r="Y60" s="231"/>
      <c r="Z60" s="231"/>
      <c r="AA60" s="231"/>
      <c r="AB60" s="231"/>
      <c r="AC60" s="231"/>
      <c r="AD60" s="231"/>
      <c r="AE60" s="231"/>
      <c r="AF60" s="231"/>
      <c r="AG60" s="231"/>
      <c r="AH60" s="231"/>
      <c r="AI60" s="231"/>
      <c r="AJ60" s="231"/>
      <c r="AK60" s="231"/>
      <c r="AL60" s="231"/>
      <c r="AM60" s="231"/>
      <c r="AN60" s="231"/>
      <c r="AO60" s="231"/>
      <c r="AP60" s="231"/>
      <c r="AQ60" s="231"/>
      <c r="AR60" s="231"/>
      <c r="AS60" s="231"/>
      <c r="AT60" s="231"/>
      <c r="AU60" s="231"/>
      <c r="AV60" s="231"/>
      <c r="AW60" s="231"/>
      <c r="AX60" s="231"/>
      <c r="AY60" s="231"/>
      <c r="AZ60" s="231"/>
      <c r="BA60" s="231"/>
      <c r="BB60" s="231"/>
      <c r="BC60" s="231"/>
      <c r="BD60" s="231"/>
      <c r="BE60" s="231"/>
      <c r="BF60" s="231"/>
      <c r="BG60" s="231"/>
      <c r="BH60" s="231"/>
      <c r="BI60" s="231"/>
      <c r="BJ60" s="231"/>
      <c r="BK60" s="231"/>
      <c r="BL60" s="231"/>
      <c r="BM60" s="231"/>
      <c r="BN60" s="231"/>
      <c r="BO60" s="231"/>
      <c r="BP60" s="231"/>
      <c r="BQ60" s="231"/>
      <c r="BR60" s="231"/>
      <c r="BS60" s="231"/>
    </row>
    <row r="61" spans="1:71" s="203" customFormat="1">
      <c r="A61" s="53">
        <v>15</v>
      </c>
      <c r="B61" s="54" t="s">
        <v>79</v>
      </c>
      <c r="C61" s="54"/>
      <c r="D61" s="55"/>
      <c r="E61" s="56">
        <f>SUM('Aberdeen City:West Lothian'!E61)</f>
        <v>986293.35231189441</v>
      </c>
      <c r="F61" s="96">
        <f>F57+F58+F59+F60</f>
        <v>1026144.2614683099</v>
      </c>
      <c r="G61" s="45"/>
      <c r="H61" s="101">
        <f>H57+H58+H59+H60</f>
        <v>955253.17081324384</v>
      </c>
      <c r="I61" s="43"/>
      <c r="J61" s="86"/>
      <c r="K61" s="86"/>
      <c r="L61" s="192"/>
      <c r="M61" s="8"/>
      <c r="N61" s="8"/>
      <c r="O61" s="231"/>
      <c r="P61" s="231"/>
      <c r="Q61" s="231"/>
      <c r="R61" s="231"/>
      <c r="S61" s="231"/>
      <c r="T61" s="231"/>
      <c r="U61" s="231"/>
      <c r="V61" s="231"/>
      <c r="W61" s="231"/>
      <c r="X61" s="231"/>
      <c r="Y61" s="231"/>
      <c r="Z61" s="231"/>
      <c r="AA61" s="231"/>
      <c r="AB61" s="231"/>
      <c r="AC61" s="231"/>
      <c r="AD61" s="231"/>
      <c r="AE61" s="231"/>
      <c r="AF61" s="231"/>
      <c r="AG61" s="231"/>
      <c r="AH61" s="231"/>
      <c r="AI61" s="231"/>
      <c r="AJ61" s="231"/>
      <c r="AK61" s="231"/>
      <c r="AL61" s="231"/>
      <c r="AM61" s="231"/>
      <c r="AN61" s="231"/>
      <c r="AO61" s="231"/>
      <c r="AP61" s="231"/>
      <c r="AQ61" s="231"/>
      <c r="AR61" s="231"/>
      <c r="AS61" s="231"/>
      <c r="AT61" s="231"/>
      <c r="AU61" s="231"/>
      <c r="AV61" s="231"/>
      <c r="AW61" s="231"/>
      <c r="AX61" s="231"/>
      <c r="AY61" s="231"/>
      <c r="AZ61" s="231"/>
      <c r="BA61" s="231"/>
      <c r="BB61" s="231"/>
      <c r="BC61" s="231"/>
      <c r="BD61" s="231"/>
      <c r="BE61" s="231"/>
      <c r="BF61" s="231"/>
      <c r="BG61" s="231"/>
      <c r="BH61" s="231"/>
      <c r="BI61" s="231"/>
      <c r="BJ61" s="231"/>
      <c r="BK61" s="231"/>
      <c r="BL61" s="231"/>
      <c r="BM61" s="231"/>
      <c r="BN61" s="231"/>
      <c r="BO61" s="231"/>
      <c r="BP61" s="231"/>
      <c r="BQ61" s="231"/>
      <c r="BR61" s="231"/>
      <c r="BS61" s="231"/>
    </row>
    <row r="62" spans="1:71" s="203" customFormat="1">
      <c r="A62" s="102"/>
      <c r="B62" s="207"/>
      <c r="C62" s="207"/>
      <c r="D62" s="207"/>
      <c r="E62" s="103"/>
      <c r="F62" s="21"/>
      <c r="G62" s="21"/>
      <c r="H62" s="21"/>
      <c r="I62" s="21"/>
      <c r="J62" s="86"/>
      <c r="K62" s="86"/>
      <c r="L62" s="192"/>
      <c r="M62" s="8"/>
      <c r="N62" s="8"/>
      <c r="O62" s="231"/>
      <c r="P62" s="231"/>
      <c r="Q62" s="231"/>
      <c r="R62" s="231"/>
      <c r="S62" s="231"/>
      <c r="T62" s="231"/>
      <c r="U62" s="231"/>
      <c r="V62" s="231"/>
      <c r="W62" s="231"/>
      <c r="X62" s="231"/>
      <c r="Y62" s="231"/>
      <c r="Z62" s="231"/>
      <c r="AA62" s="231"/>
      <c r="AB62" s="231"/>
      <c r="AC62" s="231"/>
      <c r="AD62" s="231"/>
      <c r="AE62" s="231"/>
      <c r="AF62" s="231"/>
      <c r="AG62" s="231"/>
      <c r="AH62" s="231"/>
      <c r="AI62" s="231"/>
      <c r="AJ62" s="231"/>
      <c r="AK62" s="231"/>
      <c r="AL62" s="231"/>
      <c r="AM62" s="231"/>
      <c r="AN62" s="231"/>
      <c r="AO62" s="231"/>
      <c r="AP62" s="231"/>
      <c r="AQ62" s="231"/>
      <c r="AR62" s="231"/>
      <c r="AS62" s="231"/>
      <c r="AT62" s="231"/>
      <c r="AU62" s="231"/>
      <c r="AV62" s="231"/>
      <c r="AW62" s="231"/>
      <c r="AX62" s="231"/>
      <c r="AY62" s="231"/>
      <c r="AZ62" s="231"/>
      <c r="BA62" s="231"/>
      <c r="BB62" s="231"/>
      <c r="BC62" s="231"/>
      <c r="BD62" s="231"/>
      <c r="BE62" s="231"/>
      <c r="BF62" s="231"/>
      <c r="BG62" s="231"/>
      <c r="BH62" s="231"/>
      <c r="BI62" s="231"/>
      <c r="BJ62" s="231"/>
      <c r="BK62" s="231"/>
      <c r="BL62" s="231"/>
      <c r="BM62" s="231"/>
      <c r="BN62" s="231"/>
      <c r="BO62" s="231"/>
      <c r="BP62" s="231"/>
      <c r="BQ62" s="231"/>
      <c r="BR62" s="231"/>
      <c r="BS62" s="231"/>
    </row>
    <row r="63" spans="1:71" s="203" customFormat="1" ht="12.75" customHeight="1">
      <c r="A63" s="23"/>
      <c r="B63" s="207"/>
      <c r="C63" s="207"/>
      <c r="D63" s="207"/>
      <c r="E63" s="15"/>
      <c r="F63" s="207"/>
      <c r="G63" s="207"/>
      <c r="H63" s="21"/>
      <c r="I63" s="21"/>
      <c r="J63" s="86"/>
      <c r="K63" s="86"/>
      <c r="L63" s="245"/>
      <c r="M63" s="8"/>
      <c r="N63" s="8"/>
      <c r="O63" s="231"/>
      <c r="P63" s="231"/>
      <c r="Q63" s="231"/>
      <c r="R63" s="231"/>
      <c r="S63" s="231"/>
      <c r="T63" s="231"/>
      <c r="U63" s="231"/>
      <c r="V63" s="231"/>
      <c r="W63" s="231"/>
      <c r="X63" s="231"/>
      <c r="Y63" s="231"/>
      <c r="Z63" s="231"/>
      <c r="AA63" s="231"/>
      <c r="AB63" s="231"/>
      <c r="AC63" s="231"/>
      <c r="AD63" s="231"/>
      <c r="AE63" s="231"/>
      <c r="AF63" s="231"/>
      <c r="AG63" s="231"/>
      <c r="AH63" s="231"/>
      <c r="AI63" s="231"/>
      <c r="AJ63" s="231"/>
      <c r="AK63" s="231"/>
      <c r="AL63" s="231"/>
      <c r="AM63" s="231"/>
      <c r="AN63" s="231"/>
      <c r="AO63" s="231"/>
      <c r="AP63" s="231"/>
      <c r="AQ63" s="231"/>
      <c r="AR63" s="231"/>
      <c r="AS63" s="231"/>
      <c r="AT63" s="231"/>
      <c r="AU63" s="231"/>
      <c r="AV63" s="231"/>
      <c r="AW63" s="231"/>
      <c r="AX63" s="231"/>
      <c r="AY63" s="231"/>
      <c r="AZ63" s="231"/>
      <c r="BA63" s="231"/>
      <c r="BB63" s="231"/>
      <c r="BC63" s="231"/>
      <c r="BD63" s="231"/>
      <c r="BE63" s="231"/>
      <c r="BF63" s="231"/>
      <c r="BG63" s="231"/>
      <c r="BH63" s="231"/>
      <c r="BI63" s="231"/>
      <c r="BJ63" s="231"/>
      <c r="BK63" s="231"/>
      <c r="BL63" s="231"/>
      <c r="BM63" s="231"/>
      <c r="BN63" s="231"/>
      <c r="BO63" s="231"/>
      <c r="BP63" s="231"/>
      <c r="BQ63" s="231"/>
      <c r="BR63" s="231"/>
      <c r="BS63" s="231"/>
    </row>
    <row r="64" spans="1:71" s="203" customFormat="1" ht="15">
      <c r="A64" s="104" t="s">
        <v>80</v>
      </c>
      <c r="B64" s="29"/>
      <c r="C64" s="29"/>
      <c r="D64" s="29"/>
      <c r="E64" s="15"/>
      <c r="F64" s="29"/>
      <c r="G64" s="29"/>
      <c r="H64" s="29"/>
      <c r="I64" s="29"/>
      <c r="J64" s="15"/>
      <c r="K64" s="15"/>
      <c r="L64" s="245"/>
      <c r="M64" s="8"/>
      <c r="N64" s="8"/>
      <c r="O64" s="231"/>
      <c r="P64" s="231"/>
      <c r="Q64" s="231"/>
      <c r="R64" s="231"/>
      <c r="S64" s="231"/>
      <c r="T64" s="231"/>
      <c r="U64" s="231"/>
      <c r="V64" s="231"/>
      <c r="W64" s="231"/>
      <c r="X64" s="231"/>
      <c r="Y64" s="231"/>
      <c r="Z64" s="231"/>
      <c r="AA64" s="231"/>
      <c r="AB64" s="231"/>
      <c r="AC64" s="231"/>
      <c r="AD64" s="231"/>
      <c r="AE64" s="231"/>
      <c r="AF64" s="231"/>
      <c r="AG64" s="231"/>
      <c r="AH64" s="231"/>
      <c r="AI64" s="231"/>
      <c r="AJ64" s="231"/>
      <c r="AK64" s="231"/>
      <c r="AL64" s="231"/>
      <c r="AM64" s="231"/>
      <c r="AN64" s="231"/>
      <c r="AO64" s="231"/>
      <c r="AP64" s="231"/>
      <c r="AQ64" s="231"/>
      <c r="AR64" s="231"/>
      <c r="AS64" s="231"/>
      <c r="AT64" s="231"/>
      <c r="AU64" s="231"/>
      <c r="AV64" s="231"/>
      <c r="AW64" s="231"/>
      <c r="AX64" s="231"/>
      <c r="AY64" s="231"/>
      <c r="AZ64" s="231"/>
      <c r="BA64" s="231"/>
      <c r="BB64" s="231"/>
      <c r="BC64" s="231"/>
      <c r="BD64" s="231"/>
      <c r="BE64" s="231"/>
      <c r="BF64" s="231"/>
      <c r="BG64" s="231"/>
      <c r="BH64" s="231"/>
      <c r="BI64" s="231"/>
      <c r="BJ64" s="231"/>
      <c r="BK64" s="231"/>
      <c r="BL64" s="231"/>
      <c r="BM64" s="231"/>
      <c r="BN64" s="231"/>
      <c r="BO64" s="231"/>
      <c r="BP64" s="231"/>
      <c r="BQ64" s="231"/>
      <c r="BR64" s="231"/>
      <c r="BS64" s="231"/>
    </row>
    <row r="65" spans="1:71" s="203" customFormat="1">
      <c r="A65" s="32"/>
      <c r="B65" s="29"/>
      <c r="C65" s="29"/>
      <c r="D65" s="29"/>
      <c r="E65" s="105"/>
      <c r="F65" s="29"/>
      <c r="G65" s="29"/>
      <c r="H65" s="29"/>
      <c r="I65" s="131" t="s">
        <v>27</v>
      </c>
      <c r="J65" s="246"/>
      <c r="K65" s="246"/>
      <c r="L65" s="15"/>
      <c r="M65" s="8"/>
      <c r="N65" s="8"/>
      <c r="O65" s="231"/>
      <c r="P65" s="231"/>
      <c r="Q65" s="231"/>
      <c r="R65" s="231"/>
      <c r="S65" s="231"/>
      <c r="T65" s="231"/>
      <c r="U65" s="231"/>
      <c r="V65" s="231"/>
      <c r="W65" s="231"/>
      <c r="X65" s="231"/>
      <c r="Y65" s="231"/>
      <c r="Z65" s="231"/>
      <c r="AA65" s="231"/>
      <c r="AB65" s="231"/>
      <c r="AC65" s="231"/>
      <c r="AD65" s="231"/>
      <c r="AE65" s="231"/>
      <c r="AF65" s="231"/>
      <c r="AG65" s="231"/>
      <c r="AH65" s="231"/>
      <c r="AI65" s="231"/>
      <c r="AJ65" s="231"/>
      <c r="AK65" s="231"/>
      <c r="AL65" s="231"/>
      <c r="AM65" s="231"/>
      <c r="AN65" s="231"/>
      <c r="AO65" s="231"/>
      <c r="AP65" s="231"/>
      <c r="AQ65" s="231"/>
      <c r="AR65" s="231"/>
      <c r="AS65" s="231"/>
      <c r="AT65" s="231"/>
      <c r="AU65" s="231"/>
      <c r="AV65" s="231"/>
      <c r="AW65" s="231"/>
      <c r="AX65" s="231"/>
      <c r="AY65" s="231"/>
      <c r="AZ65" s="231"/>
      <c r="BA65" s="231"/>
      <c r="BB65" s="231"/>
      <c r="BC65" s="231"/>
      <c r="BD65" s="231"/>
      <c r="BE65" s="231"/>
      <c r="BF65" s="231"/>
      <c r="BG65" s="231"/>
      <c r="BH65" s="231"/>
      <c r="BI65" s="231"/>
      <c r="BJ65" s="231"/>
      <c r="BK65" s="231"/>
      <c r="BL65" s="231"/>
      <c r="BM65" s="231"/>
      <c r="BN65" s="231"/>
      <c r="BO65" s="231"/>
      <c r="BP65" s="231"/>
      <c r="BQ65" s="231"/>
      <c r="BR65" s="231"/>
      <c r="BS65" s="231"/>
    </row>
    <row r="66" spans="1:71" s="203" customFormat="1" ht="12.75" customHeight="1">
      <c r="A66" s="106" t="s">
        <v>14</v>
      </c>
      <c r="B66" s="107"/>
      <c r="C66" s="107"/>
      <c r="D66" s="107"/>
      <c r="E66" s="856" t="s">
        <v>377</v>
      </c>
      <c r="F66" s="853" t="s">
        <v>402</v>
      </c>
      <c r="G66" s="867" t="s">
        <v>81</v>
      </c>
      <c r="H66" s="856" t="s">
        <v>403</v>
      </c>
      <c r="I66" s="867" t="s">
        <v>81</v>
      </c>
      <c r="J66" s="240"/>
      <c r="K66" s="240"/>
      <c r="L66" s="15"/>
      <c r="M66" s="8"/>
      <c r="N66" s="8"/>
      <c r="O66" s="231"/>
      <c r="P66" s="231"/>
      <c r="Q66" s="231"/>
      <c r="R66" s="231"/>
      <c r="S66" s="231"/>
      <c r="T66" s="231"/>
      <c r="U66" s="231"/>
      <c r="V66" s="231"/>
      <c r="W66" s="231"/>
      <c r="X66" s="231"/>
      <c r="Y66" s="231"/>
      <c r="Z66" s="231"/>
      <c r="AA66" s="231"/>
      <c r="AB66" s="231"/>
      <c r="AC66" s="231"/>
      <c r="AD66" s="231"/>
      <c r="AE66" s="231"/>
      <c r="AF66" s="231"/>
      <c r="AG66" s="231"/>
      <c r="AH66" s="231"/>
      <c r="AI66" s="231"/>
      <c r="AJ66" s="231"/>
      <c r="AK66" s="231"/>
      <c r="AL66" s="231"/>
      <c r="AM66" s="231"/>
      <c r="AN66" s="231"/>
      <c r="AO66" s="231"/>
      <c r="AP66" s="231"/>
      <c r="AQ66" s="231"/>
      <c r="AR66" s="231"/>
      <c r="AS66" s="231"/>
      <c r="AT66" s="231"/>
      <c r="AU66" s="231"/>
      <c r="AV66" s="231"/>
      <c r="AW66" s="231"/>
      <c r="AX66" s="231"/>
      <c r="AY66" s="231"/>
      <c r="AZ66" s="231"/>
      <c r="BA66" s="231"/>
      <c r="BB66" s="231"/>
      <c r="BC66" s="231"/>
      <c r="BD66" s="231"/>
      <c r="BE66" s="231"/>
      <c r="BF66" s="231"/>
      <c r="BG66" s="231"/>
      <c r="BH66" s="231"/>
      <c r="BI66" s="231"/>
      <c r="BJ66" s="231"/>
      <c r="BK66" s="231"/>
      <c r="BL66" s="231"/>
      <c r="BM66" s="231"/>
      <c r="BN66" s="231"/>
      <c r="BO66" s="231"/>
      <c r="BP66" s="231"/>
      <c r="BQ66" s="231"/>
      <c r="BR66" s="231"/>
      <c r="BS66" s="231"/>
    </row>
    <row r="67" spans="1:71" s="203" customFormat="1" ht="21" customHeight="1">
      <c r="A67" s="108"/>
      <c r="B67" s="47"/>
      <c r="C67" s="47"/>
      <c r="D67" s="47"/>
      <c r="E67" s="859"/>
      <c r="F67" s="854"/>
      <c r="G67" s="868"/>
      <c r="H67" s="857"/>
      <c r="I67" s="868"/>
      <c r="J67" s="240"/>
      <c r="K67" s="240"/>
      <c r="L67" s="15"/>
      <c r="M67" s="8"/>
      <c r="N67" s="8"/>
      <c r="O67" s="231"/>
      <c r="P67" s="231"/>
      <c r="Q67" s="231"/>
      <c r="R67" s="231"/>
      <c r="S67" s="231"/>
      <c r="T67" s="231"/>
      <c r="U67" s="231"/>
      <c r="V67" s="231"/>
      <c r="W67" s="231"/>
      <c r="X67" s="231"/>
      <c r="Y67" s="231"/>
      <c r="Z67" s="231"/>
      <c r="AA67" s="231"/>
      <c r="AB67" s="231"/>
      <c r="AC67" s="231"/>
      <c r="AD67" s="231"/>
      <c r="AE67" s="231"/>
      <c r="AF67" s="231"/>
      <c r="AG67" s="231"/>
      <c r="AH67" s="231"/>
      <c r="AI67" s="231"/>
      <c r="AJ67" s="231"/>
      <c r="AK67" s="231"/>
      <c r="AL67" s="231"/>
      <c r="AM67" s="231"/>
      <c r="AN67" s="231"/>
      <c r="AO67" s="231"/>
      <c r="AP67" s="231"/>
      <c r="AQ67" s="231"/>
      <c r="AR67" s="231"/>
      <c r="AS67" s="231"/>
      <c r="AT67" s="231"/>
      <c r="AU67" s="231"/>
      <c r="AV67" s="231"/>
      <c r="AW67" s="231"/>
      <c r="AX67" s="231"/>
      <c r="AY67" s="231"/>
      <c r="AZ67" s="231"/>
      <c r="BA67" s="231"/>
      <c r="BB67" s="231"/>
      <c r="BC67" s="231"/>
      <c r="BD67" s="231"/>
      <c r="BE67" s="231"/>
      <c r="BF67" s="231"/>
      <c r="BG67" s="231"/>
      <c r="BH67" s="231"/>
      <c r="BI67" s="231"/>
      <c r="BJ67" s="231"/>
      <c r="BK67" s="231"/>
      <c r="BL67" s="231"/>
      <c r="BM67" s="231"/>
      <c r="BN67" s="231"/>
      <c r="BO67" s="231"/>
      <c r="BP67" s="231"/>
      <c r="BQ67" s="231"/>
      <c r="BR67" s="231"/>
      <c r="BS67" s="231"/>
    </row>
    <row r="68" spans="1:71" s="203" customFormat="1">
      <c r="A68" s="109" t="s">
        <v>82</v>
      </c>
      <c r="B68" s="47"/>
      <c r="C68" s="47"/>
      <c r="D68" s="47"/>
      <c r="E68" s="859"/>
      <c r="F68" s="854"/>
      <c r="G68" s="868"/>
      <c r="H68" s="857"/>
      <c r="I68" s="868"/>
      <c r="J68" s="240"/>
      <c r="K68" s="240"/>
      <c r="L68" s="15"/>
      <c r="M68" s="8"/>
      <c r="N68" s="8"/>
      <c r="O68" s="231"/>
      <c r="P68" s="231"/>
      <c r="Q68" s="231"/>
      <c r="R68" s="231"/>
      <c r="S68" s="231"/>
      <c r="T68" s="231"/>
      <c r="U68" s="231"/>
      <c r="V68" s="231"/>
      <c r="W68" s="231"/>
      <c r="X68" s="231"/>
      <c r="Y68" s="231"/>
      <c r="Z68" s="231"/>
      <c r="AA68" s="231"/>
      <c r="AB68" s="231"/>
      <c r="AC68" s="231"/>
      <c r="AD68" s="231"/>
      <c r="AE68" s="231"/>
      <c r="AF68" s="231"/>
      <c r="AG68" s="231"/>
      <c r="AH68" s="231"/>
      <c r="AI68" s="231"/>
      <c r="AJ68" s="231"/>
      <c r="AK68" s="231"/>
      <c r="AL68" s="231"/>
      <c r="AM68" s="231"/>
      <c r="AN68" s="231"/>
      <c r="AO68" s="231"/>
      <c r="AP68" s="231"/>
      <c r="AQ68" s="231"/>
      <c r="AR68" s="231"/>
      <c r="AS68" s="231"/>
      <c r="AT68" s="231"/>
      <c r="AU68" s="231"/>
      <c r="AV68" s="231"/>
      <c r="AW68" s="231"/>
      <c r="AX68" s="231"/>
      <c r="AY68" s="231"/>
      <c r="AZ68" s="231"/>
      <c r="BA68" s="231"/>
      <c r="BB68" s="231"/>
      <c r="BC68" s="231"/>
      <c r="BD68" s="231"/>
      <c r="BE68" s="231"/>
      <c r="BF68" s="231"/>
      <c r="BG68" s="231"/>
      <c r="BH68" s="231"/>
      <c r="BI68" s="231"/>
      <c r="BJ68" s="231"/>
      <c r="BK68" s="231"/>
      <c r="BL68" s="231"/>
      <c r="BM68" s="231"/>
      <c r="BN68" s="231"/>
      <c r="BO68" s="231"/>
      <c r="BP68" s="231"/>
      <c r="BQ68" s="231"/>
      <c r="BR68" s="231"/>
      <c r="BS68" s="231"/>
    </row>
    <row r="69" spans="1:71" s="203" customFormat="1">
      <c r="A69" s="109" t="s">
        <v>83</v>
      </c>
      <c r="B69" s="47"/>
      <c r="C69" s="47"/>
      <c r="D69" s="47"/>
      <c r="E69" s="859"/>
      <c r="F69" s="854"/>
      <c r="G69" s="868"/>
      <c r="H69" s="857"/>
      <c r="I69" s="868"/>
      <c r="J69" s="240"/>
      <c r="K69" s="240"/>
      <c r="L69" s="15"/>
      <c r="M69" s="8"/>
      <c r="N69" s="8"/>
      <c r="O69" s="231"/>
      <c r="P69" s="231"/>
      <c r="Q69" s="231"/>
      <c r="R69" s="231"/>
      <c r="S69" s="231"/>
      <c r="T69" s="231"/>
      <c r="U69" s="231"/>
      <c r="V69" s="231"/>
      <c r="W69" s="231"/>
      <c r="X69" s="231"/>
      <c r="Y69" s="231"/>
      <c r="Z69" s="231"/>
      <c r="AA69" s="231"/>
      <c r="AB69" s="231"/>
      <c r="AC69" s="231"/>
      <c r="AD69" s="231"/>
      <c r="AE69" s="231"/>
      <c r="AF69" s="231"/>
      <c r="AG69" s="231"/>
      <c r="AH69" s="231"/>
      <c r="AI69" s="231"/>
      <c r="AJ69" s="231"/>
      <c r="AK69" s="231"/>
      <c r="AL69" s="231"/>
      <c r="AM69" s="231"/>
      <c r="AN69" s="231"/>
      <c r="AO69" s="231"/>
      <c r="AP69" s="231"/>
      <c r="AQ69" s="231"/>
      <c r="AR69" s="231"/>
      <c r="AS69" s="231"/>
      <c r="AT69" s="231"/>
      <c r="AU69" s="231"/>
      <c r="AV69" s="231"/>
      <c r="AW69" s="231"/>
      <c r="AX69" s="231"/>
      <c r="AY69" s="231"/>
      <c r="AZ69" s="231"/>
      <c r="BA69" s="231"/>
      <c r="BB69" s="231"/>
      <c r="BC69" s="231"/>
      <c r="BD69" s="231"/>
      <c r="BE69" s="231"/>
      <c r="BF69" s="231"/>
      <c r="BG69" s="231"/>
      <c r="BH69" s="231"/>
      <c r="BI69" s="231"/>
      <c r="BJ69" s="231"/>
      <c r="BK69" s="231"/>
      <c r="BL69" s="231"/>
      <c r="BM69" s="231"/>
      <c r="BN69" s="231"/>
      <c r="BO69" s="231"/>
      <c r="BP69" s="231"/>
      <c r="BQ69" s="231"/>
      <c r="BR69" s="231"/>
      <c r="BS69" s="231"/>
    </row>
    <row r="70" spans="1:71" s="203" customFormat="1">
      <c r="A70" s="110" t="s">
        <v>84</v>
      </c>
      <c r="B70" s="47"/>
      <c r="C70" s="47"/>
      <c r="D70" s="47"/>
      <c r="E70" s="860"/>
      <c r="F70" s="855"/>
      <c r="G70" s="869"/>
      <c r="H70" s="858"/>
      <c r="I70" s="869"/>
      <c r="J70" s="240"/>
      <c r="K70" s="240"/>
      <c r="L70" s="15"/>
      <c r="M70" s="8"/>
      <c r="N70" s="8"/>
      <c r="O70" s="231"/>
      <c r="P70" s="231"/>
      <c r="Q70" s="231"/>
      <c r="R70" s="231"/>
      <c r="S70" s="231"/>
      <c r="T70" s="231"/>
      <c r="U70" s="231"/>
      <c r="V70" s="231"/>
      <c r="W70" s="231"/>
      <c r="X70" s="231"/>
      <c r="Y70" s="231"/>
      <c r="Z70" s="231"/>
      <c r="AA70" s="231"/>
      <c r="AB70" s="231"/>
      <c r="AC70" s="231"/>
      <c r="AD70" s="231"/>
      <c r="AE70" s="231"/>
      <c r="AF70" s="231"/>
      <c r="AG70" s="231"/>
      <c r="AH70" s="231"/>
      <c r="AI70" s="231"/>
      <c r="AJ70" s="231"/>
      <c r="AK70" s="231"/>
      <c r="AL70" s="231"/>
      <c r="AM70" s="231"/>
      <c r="AN70" s="231"/>
      <c r="AO70" s="231"/>
      <c r="AP70" s="231"/>
      <c r="AQ70" s="231"/>
      <c r="AR70" s="231"/>
      <c r="AS70" s="231"/>
      <c r="AT70" s="231"/>
      <c r="AU70" s="231"/>
      <c r="AV70" s="231"/>
      <c r="AW70" s="231"/>
      <c r="AX70" s="231"/>
      <c r="AY70" s="231"/>
      <c r="AZ70" s="231"/>
      <c r="BA70" s="231"/>
      <c r="BB70" s="231"/>
      <c r="BC70" s="231"/>
      <c r="BD70" s="231"/>
      <c r="BE70" s="231"/>
      <c r="BF70" s="231"/>
      <c r="BG70" s="231"/>
      <c r="BH70" s="231"/>
      <c r="BI70" s="231"/>
      <c r="BJ70" s="231"/>
      <c r="BK70" s="231"/>
      <c r="BL70" s="231"/>
      <c r="BM70" s="231"/>
      <c r="BN70" s="231"/>
      <c r="BO70" s="231"/>
      <c r="BP70" s="231"/>
      <c r="BQ70" s="231"/>
      <c r="BR70" s="231"/>
      <c r="BS70" s="231"/>
    </row>
    <row r="71" spans="1:71" s="203" customFormat="1">
      <c r="A71" s="111">
        <v>1</v>
      </c>
      <c r="B71" s="47" t="s">
        <v>85</v>
      </c>
      <c r="C71" s="47"/>
      <c r="D71" s="47"/>
      <c r="E71" s="41">
        <f>SUM('Aberdeen City:West Lothian'!E71)</f>
        <v>466993.09703293396</v>
      </c>
      <c r="F71" s="247">
        <f>SUM('Aberdeen City:West Lothian'!F71)</f>
        <v>472947.05762867024</v>
      </c>
      <c r="G71" s="112">
        <f>SUM('Aberdeen City:West Lothian'!G71)</f>
        <v>233090</v>
      </c>
      <c r="H71" s="248">
        <f>SUM('Aberdeen City:West Lothian'!H71)</f>
        <v>712176.51968969288</v>
      </c>
      <c r="I71" s="112">
        <f>SUM('Aberdeen City:West Lothian'!I71)</f>
        <v>282800</v>
      </c>
      <c r="J71" s="86"/>
      <c r="K71" s="86"/>
      <c r="L71" s="15"/>
      <c r="M71" s="8"/>
      <c r="N71" s="8"/>
      <c r="O71" s="231"/>
      <c r="P71" s="231"/>
      <c r="Q71" s="231"/>
      <c r="R71" s="231"/>
      <c r="S71" s="231"/>
      <c r="T71" s="231"/>
      <c r="U71" s="231"/>
      <c r="V71" s="231"/>
      <c r="W71" s="231"/>
      <c r="X71" s="231"/>
      <c r="Y71" s="231"/>
      <c r="Z71" s="231"/>
      <c r="AA71" s="231"/>
      <c r="AB71" s="231"/>
      <c r="AC71" s="231"/>
      <c r="AD71" s="231"/>
      <c r="AE71" s="231"/>
      <c r="AF71" s="231"/>
      <c r="AG71" s="231"/>
      <c r="AH71" s="231"/>
      <c r="AI71" s="231"/>
      <c r="AJ71" s="231"/>
      <c r="AK71" s="231"/>
      <c r="AL71" s="231"/>
      <c r="AM71" s="231"/>
      <c r="AN71" s="231"/>
      <c r="AO71" s="231"/>
      <c r="AP71" s="231"/>
      <c r="AQ71" s="231"/>
      <c r="AR71" s="231"/>
      <c r="AS71" s="231"/>
      <c r="AT71" s="231"/>
      <c r="AU71" s="231"/>
      <c r="AV71" s="231"/>
      <c r="AW71" s="231"/>
      <c r="AX71" s="231"/>
      <c r="AY71" s="231"/>
      <c r="AZ71" s="231"/>
      <c r="BA71" s="231"/>
      <c r="BB71" s="231"/>
      <c r="BC71" s="231"/>
      <c r="BD71" s="231"/>
      <c r="BE71" s="231"/>
      <c r="BF71" s="231"/>
      <c r="BG71" s="231"/>
      <c r="BH71" s="231"/>
      <c r="BI71" s="231"/>
      <c r="BJ71" s="231"/>
      <c r="BK71" s="231"/>
      <c r="BL71" s="231"/>
      <c r="BM71" s="231"/>
      <c r="BN71" s="231"/>
      <c r="BO71" s="231"/>
      <c r="BP71" s="231"/>
      <c r="BQ71" s="231"/>
      <c r="BR71" s="231"/>
      <c r="BS71" s="231"/>
    </row>
    <row r="72" spans="1:71" s="203" customFormat="1">
      <c r="A72" s="111">
        <v>2</v>
      </c>
      <c r="B72" s="47" t="s">
        <v>86</v>
      </c>
      <c r="C72" s="47"/>
      <c r="D72" s="47"/>
      <c r="E72" s="49">
        <f>SUM('Aberdeen City:West Lothian'!E72)</f>
        <v>2025149.4621693701</v>
      </c>
      <c r="F72" s="247">
        <f>SUM('Aberdeen City:West Lothian'!F72)</f>
        <v>2054402.724543114</v>
      </c>
      <c r="G72" s="113">
        <f>SUM('Aberdeen City:West Lothian'!G72)</f>
        <v>1480818</v>
      </c>
      <c r="H72" s="123">
        <f>SUM('Aberdeen City:West Lothian'!H72)</f>
        <v>2099248.0278527951</v>
      </c>
      <c r="I72" s="113">
        <f>SUM('Aberdeen City:West Lothian'!I72)</f>
        <v>1528816.9578483221</v>
      </c>
      <c r="J72" s="86"/>
      <c r="K72" s="86"/>
      <c r="L72" s="15"/>
      <c r="M72" s="8"/>
      <c r="N72" s="8"/>
      <c r="O72" s="231"/>
      <c r="P72" s="231"/>
      <c r="Q72" s="231"/>
      <c r="R72" s="231"/>
      <c r="S72" s="231"/>
      <c r="T72" s="231"/>
      <c r="U72" s="231"/>
      <c r="V72" s="231"/>
      <c r="W72" s="231"/>
      <c r="X72" s="231"/>
      <c r="Y72" s="231"/>
      <c r="Z72" s="231"/>
      <c r="AA72" s="231"/>
      <c r="AB72" s="231"/>
      <c r="AC72" s="231"/>
      <c r="AD72" s="231"/>
      <c r="AE72" s="231"/>
      <c r="AF72" s="231"/>
      <c r="AG72" s="231"/>
      <c r="AH72" s="231"/>
      <c r="AI72" s="231"/>
      <c r="AJ72" s="231"/>
      <c r="AK72" s="231"/>
      <c r="AL72" s="231"/>
      <c r="AM72" s="231"/>
      <c r="AN72" s="231"/>
      <c r="AO72" s="231"/>
      <c r="AP72" s="231"/>
      <c r="AQ72" s="231"/>
      <c r="AR72" s="231"/>
      <c r="AS72" s="231"/>
      <c r="AT72" s="231"/>
      <c r="AU72" s="231"/>
      <c r="AV72" s="231"/>
      <c r="AW72" s="231"/>
      <c r="AX72" s="231"/>
      <c r="AY72" s="231"/>
      <c r="AZ72" s="231"/>
      <c r="BA72" s="231"/>
      <c r="BB72" s="231"/>
      <c r="BC72" s="231"/>
      <c r="BD72" s="231"/>
      <c r="BE72" s="231"/>
      <c r="BF72" s="231"/>
      <c r="BG72" s="231"/>
      <c r="BH72" s="231"/>
      <c r="BI72" s="231"/>
      <c r="BJ72" s="231"/>
      <c r="BK72" s="231"/>
      <c r="BL72" s="231"/>
      <c r="BM72" s="231"/>
      <c r="BN72" s="231"/>
      <c r="BO72" s="231"/>
      <c r="BP72" s="231"/>
      <c r="BQ72" s="231"/>
      <c r="BR72" s="231"/>
      <c r="BS72" s="231"/>
    </row>
    <row r="73" spans="1:71" s="203" customFormat="1">
      <c r="A73" s="111">
        <v>3</v>
      </c>
      <c r="B73" s="47" t="s">
        <v>87</v>
      </c>
      <c r="C73" s="47"/>
      <c r="D73" s="47"/>
      <c r="E73" s="114">
        <f>SUM('Aberdeen City:West Lothian'!E73)</f>
        <v>1972035.9594299588</v>
      </c>
      <c r="F73" s="247">
        <f>SUM('Aberdeen City:West Lothian'!F73)</f>
        <v>1971626.418554045</v>
      </c>
      <c r="G73" s="113">
        <f>SUM('Aberdeen City:West Lothian'!G73)</f>
        <v>1481242</v>
      </c>
      <c r="H73" s="123">
        <f>SUM('Aberdeen City:West Lothian'!H73)</f>
        <v>2022916.9056675292</v>
      </c>
      <c r="I73" s="113">
        <f>SUM('Aberdeen City:West Lothian'!I73)</f>
        <v>1539650.809474743</v>
      </c>
      <c r="J73" s="86"/>
      <c r="K73" s="86"/>
      <c r="L73" s="15"/>
      <c r="M73" s="8"/>
      <c r="N73" s="8"/>
      <c r="O73" s="231"/>
      <c r="P73" s="231"/>
      <c r="Q73" s="231"/>
      <c r="R73" s="231"/>
      <c r="S73" s="231"/>
      <c r="T73" s="231"/>
      <c r="U73" s="231"/>
      <c r="V73" s="231"/>
      <c r="W73" s="231"/>
      <c r="X73" s="231"/>
      <c r="Y73" s="231"/>
      <c r="Z73" s="231"/>
      <c r="AA73" s="231"/>
      <c r="AB73" s="231"/>
      <c r="AC73" s="231"/>
      <c r="AD73" s="231"/>
      <c r="AE73" s="231"/>
      <c r="AF73" s="231"/>
      <c r="AG73" s="231"/>
      <c r="AH73" s="231"/>
      <c r="AI73" s="231"/>
      <c r="AJ73" s="231"/>
      <c r="AK73" s="231"/>
      <c r="AL73" s="231"/>
      <c r="AM73" s="231"/>
      <c r="AN73" s="231"/>
      <c r="AO73" s="231"/>
      <c r="AP73" s="231"/>
      <c r="AQ73" s="231"/>
      <c r="AR73" s="231"/>
      <c r="AS73" s="231"/>
      <c r="AT73" s="231"/>
      <c r="AU73" s="231"/>
      <c r="AV73" s="231"/>
      <c r="AW73" s="231"/>
      <c r="AX73" s="231"/>
      <c r="AY73" s="231"/>
      <c r="AZ73" s="231"/>
      <c r="BA73" s="231"/>
      <c r="BB73" s="231"/>
      <c r="BC73" s="231"/>
      <c r="BD73" s="231"/>
      <c r="BE73" s="231"/>
      <c r="BF73" s="231"/>
      <c r="BG73" s="231"/>
      <c r="BH73" s="231"/>
      <c r="BI73" s="231"/>
      <c r="BJ73" s="231"/>
      <c r="BK73" s="231"/>
      <c r="BL73" s="231"/>
      <c r="BM73" s="231"/>
      <c r="BN73" s="231"/>
      <c r="BO73" s="231"/>
      <c r="BP73" s="231"/>
      <c r="BQ73" s="231"/>
      <c r="BR73" s="231"/>
      <c r="BS73" s="231"/>
    </row>
    <row r="74" spans="1:71" s="203" customFormat="1">
      <c r="A74" s="111">
        <v>4</v>
      </c>
      <c r="B74" s="47" t="s">
        <v>88</v>
      </c>
      <c r="C74" s="47"/>
      <c r="D74" s="47"/>
      <c r="E74" s="114">
        <f>SUM('Aberdeen City:West Lothian'!E74)</f>
        <v>563473.10417729337</v>
      </c>
      <c r="F74" s="247">
        <f>SUM('Aberdeen City:West Lothian'!F74)</f>
        <v>589176.42346099846</v>
      </c>
      <c r="G74" s="113">
        <f>SUM('Aberdeen City:West Lothian'!G74)</f>
        <v>222728</v>
      </c>
      <c r="H74" s="123">
        <f>SUM('Aberdeen City:West Lothian'!H74)</f>
        <v>590610.64640553098</v>
      </c>
      <c r="I74" s="113">
        <f>SUM('Aberdeen City:West Lothian'!I74)</f>
        <v>234794</v>
      </c>
      <c r="J74" s="86"/>
      <c r="K74" s="86"/>
      <c r="L74" s="15"/>
      <c r="M74" s="8"/>
      <c r="N74" s="8"/>
      <c r="O74" s="231"/>
      <c r="P74" s="231"/>
      <c r="Q74" s="231"/>
      <c r="R74" s="231"/>
      <c r="S74" s="231"/>
      <c r="T74" s="231"/>
      <c r="U74" s="231"/>
      <c r="V74" s="231"/>
      <c r="W74" s="231"/>
      <c r="X74" s="231"/>
      <c r="Y74" s="231"/>
      <c r="Z74" s="231"/>
      <c r="AA74" s="231"/>
      <c r="AB74" s="231"/>
      <c r="AC74" s="231"/>
      <c r="AD74" s="231"/>
      <c r="AE74" s="231"/>
      <c r="AF74" s="231"/>
      <c r="AG74" s="231"/>
      <c r="AH74" s="231"/>
      <c r="AI74" s="231"/>
      <c r="AJ74" s="231"/>
      <c r="AK74" s="231"/>
      <c r="AL74" s="231"/>
      <c r="AM74" s="231"/>
      <c r="AN74" s="231"/>
      <c r="AO74" s="231"/>
      <c r="AP74" s="231"/>
      <c r="AQ74" s="231"/>
      <c r="AR74" s="231"/>
      <c r="AS74" s="231"/>
      <c r="AT74" s="231"/>
      <c r="AU74" s="231"/>
      <c r="AV74" s="231"/>
      <c r="AW74" s="231"/>
      <c r="AX74" s="231"/>
      <c r="AY74" s="231"/>
      <c r="AZ74" s="231"/>
      <c r="BA74" s="231"/>
      <c r="BB74" s="231"/>
      <c r="BC74" s="231"/>
      <c r="BD74" s="231"/>
      <c r="BE74" s="231"/>
      <c r="BF74" s="231"/>
      <c r="BG74" s="231"/>
      <c r="BH74" s="231"/>
      <c r="BI74" s="231"/>
      <c r="BJ74" s="231"/>
      <c r="BK74" s="231"/>
      <c r="BL74" s="231"/>
      <c r="BM74" s="231"/>
      <c r="BN74" s="231"/>
      <c r="BO74" s="231"/>
      <c r="BP74" s="231"/>
      <c r="BQ74" s="231"/>
      <c r="BR74" s="231"/>
      <c r="BS74" s="231"/>
    </row>
    <row r="75" spans="1:71" s="203" customFormat="1">
      <c r="A75" s="111">
        <v>5</v>
      </c>
      <c r="B75" s="47" t="s">
        <v>89</v>
      </c>
      <c r="C75" s="47" t="s">
        <v>90</v>
      </c>
      <c r="D75" s="47"/>
      <c r="E75" s="114">
        <f>SUM('Aberdeen City:West Lothian'!E75)</f>
        <v>101563.31796231048</v>
      </c>
      <c r="F75" s="247">
        <f>SUM('Aberdeen City:West Lothian'!F75)</f>
        <v>104308</v>
      </c>
      <c r="G75" s="113">
        <f>SUM('Aberdeen City:West Lothian'!G75)</f>
        <v>837</v>
      </c>
      <c r="H75" s="123">
        <f>SUM('Aberdeen City:West Lothian'!H75)</f>
        <v>104807.43768952978</v>
      </c>
      <c r="I75" s="113">
        <f>SUM('Aberdeen City:West Lothian'!I75)</f>
        <v>620</v>
      </c>
      <c r="J75" s="86"/>
      <c r="K75" s="86"/>
      <c r="L75" s="15"/>
      <c r="M75" s="8"/>
      <c r="N75" s="8"/>
      <c r="O75" s="231"/>
      <c r="P75" s="231"/>
      <c r="Q75" s="231"/>
      <c r="R75" s="231"/>
      <c r="S75" s="231"/>
      <c r="T75" s="231"/>
      <c r="U75" s="231"/>
      <c r="V75" s="231"/>
      <c r="W75" s="231"/>
      <c r="X75" s="231"/>
      <c r="Y75" s="231"/>
      <c r="Z75" s="231"/>
      <c r="AA75" s="231"/>
      <c r="AB75" s="231"/>
      <c r="AC75" s="231"/>
      <c r="AD75" s="231"/>
      <c r="AE75" s="231"/>
      <c r="AF75" s="231"/>
      <c r="AG75" s="231"/>
      <c r="AH75" s="231"/>
      <c r="AI75" s="231"/>
      <c r="AJ75" s="231"/>
      <c r="AK75" s="231"/>
      <c r="AL75" s="231"/>
      <c r="AM75" s="231"/>
      <c r="AN75" s="231"/>
      <c r="AO75" s="231"/>
      <c r="AP75" s="231"/>
      <c r="AQ75" s="231"/>
      <c r="AR75" s="231"/>
      <c r="AS75" s="231"/>
      <c r="AT75" s="231"/>
      <c r="AU75" s="231"/>
      <c r="AV75" s="231"/>
      <c r="AW75" s="231"/>
      <c r="AX75" s="231"/>
      <c r="AY75" s="231"/>
      <c r="AZ75" s="231"/>
      <c r="BA75" s="231"/>
      <c r="BB75" s="231"/>
      <c r="BC75" s="231"/>
      <c r="BD75" s="231"/>
      <c r="BE75" s="231"/>
      <c r="BF75" s="231"/>
      <c r="BG75" s="231"/>
      <c r="BH75" s="231"/>
      <c r="BI75" s="231"/>
      <c r="BJ75" s="231"/>
      <c r="BK75" s="231"/>
      <c r="BL75" s="231"/>
      <c r="BM75" s="231"/>
      <c r="BN75" s="231"/>
      <c r="BO75" s="231"/>
      <c r="BP75" s="231"/>
      <c r="BQ75" s="231"/>
      <c r="BR75" s="231"/>
      <c r="BS75" s="231"/>
    </row>
    <row r="76" spans="1:71" s="203" customFormat="1">
      <c r="A76" s="350"/>
      <c r="B76" s="352"/>
      <c r="C76" s="47" t="s">
        <v>91</v>
      </c>
      <c r="D76" s="47"/>
      <c r="E76" s="114">
        <f>SUM('Aberdeen City:West Lothian'!E76)</f>
        <v>29819.156999999999</v>
      </c>
      <c r="F76" s="247">
        <f>SUM('Aberdeen City:West Lothian'!F76)</f>
        <v>32240</v>
      </c>
      <c r="G76" s="115">
        <f>SUM('Aberdeen City:West Lothian'!G76)</f>
        <v>1077</v>
      </c>
      <c r="H76" s="249">
        <f>SUM('Aberdeen City:West Lothian'!H76)</f>
        <v>27573</v>
      </c>
      <c r="I76" s="115">
        <f>SUM('Aberdeen City:West Lothian'!I76)</f>
        <v>876</v>
      </c>
      <c r="J76" s="86"/>
      <c r="K76" s="86"/>
      <c r="L76" s="15"/>
      <c r="M76" s="8"/>
      <c r="N76" s="8"/>
      <c r="O76" s="231"/>
      <c r="P76" s="231"/>
      <c r="Q76" s="231"/>
      <c r="R76" s="231"/>
      <c r="S76" s="231"/>
      <c r="T76" s="231"/>
      <c r="U76" s="231"/>
      <c r="V76" s="231"/>
      <c r="W76" s="231"/>
      <c r="X76" s="231"/>
      <c r="Y76" s="231"/>
      <c r="Z76" s="231"/>
      <c r="AA76" s="231"/>
      <c r="AB76" s="231"/>
      <c r="AC76" s="231"/>
      <c r="AD76" s="231"/>
      <c r="AE76" s="231"/>
      <c r="AF76" s="231"/>
      <c r="AG76" s="231"/>
      <c r="AH76" s="231"/>
      <c r="AI76" s="231"/>
      <c r="AJ76" s="231"/>
      <c r="AK76" s="231"/>
      <c r="AL76" s="231"/>
      <c r="AM76" s="231"/>
      <c r="AN76" s="231"/>
      <c r="AO76" s="231"/>
      <c r="AP76" s="231"/>
      <c r="AQ76" s="231"/>
      <c r="AR76" s="231"/>
      <c r="AS76" s="231"/>
      <c r="AT76" s="231"/>
      <c r="AU76" s="231"/>
      <c r="AV76" s="231"/>
      <c r="AW76" s="231"/>
      <c r="AX76" s="231"/>
      <c r="AY76" s="231"/>
      <c r="AZ76" s="231"/>
      <c r="BA76" s="231"/>
      <c r="BB76" s="231"/>
      <c r="BC76" s="231"/>
      <c r="BD76" s="231"/>
      <c r="BE76" s="231"/>
      <c r="BF76" s="231"/>
      <c r="BG76" s="231"/>
      <c r="BH76" s="231"/>
      <c r="BI76" s="231"/>
      <c r="BJ76" s="231"/>
      <c r="BK76" s="231"/>
      <c r="BL76" s="231"/>
      <c r="BM76" s="231"/>
      <c r="BN76" s="231"/>
      <c r="BO76" s="231"/>
      <c r="BP76" s="231"/>
      <c r="BQ76" s="231"/>
      <c r="BR76" s="231"/>
      <c r="BS76" s="231"/>
    </row>
    <row r="77" spans="1:71" s="203" customFormat="1">
      <c r="A77" s="111">
        <v>6</v>
      </c>
      <c r="B77" s="116" t="s">
        <v>92</v>
      </c>
      <c r="C77" s="116"/>
      <c r="D77" s="47"/>
      <c r="E77" s="80">
        <f>SUM('Aberdeen City:West Lothian'!E77)</f>
        <v>5159034.0977718662</v>
      </c>
      <c r="F77" s="250">
        <f>SUM(F71:F76)</f>
        <v>5224700.6241868278</v>
      </c>
      <c r="G77" s="251">
        <f>SUM(G71:G76)</f>
        <v>3419792</v>
      </c>
      <c r="H77" s="252">
        <f>SUM(H71:H76)</f>
        <v>5557332.5373050785</v>
      </c>
      <c r="I77" s="251">
        <f>SUM(I71:I76)</f>
        <v>3587557.7673230651</v>
      </c>
      <c r="J77" s="243"/>
      <c r="K77" s="243"/>
      <c r="L77" s="15"/>
      <c r="M77" s="8"/>
      <c r="N77" s="8"/>
      <c r="O77" s="231"/>
      <c r="P77" s="231"/>
      <c r="Q77" s="231"/>
      <c r="R77" s="231"/>
      <c r="S77" s="231"/>
      <c r="T77" s="231"/>
      <c r="U77" s="231"/>
      <c r="V77" s="231"/>
      <c r="W77" s="231"/>
      <c r="X77" s="231"/>
      <c r="Y77" s="231"/>
      <c r="Z77" s="231"/>
      <c r="AA77" s="231"/>
      <c r="AB77" s="231"/>
      <c r="AC77" s="231"/>
      <c r="AD77" s="231"/>
      <c r="AE77" s="231"/>
      <c r="AF77" s="231"/>
      <c r="AG77" s="231"/>
      <c r="AH77" s="231"/>
      <c r="AI77" s="231"/>
      <c r="AJ77" s="231"/>
      <c r="AK77" s="231"/>
      <c r="AL77" s="231"/>
      <c r="AM77" s="231"/>
      <c r="AN77" s="231"/>
      <c r="AO77" s="231"/>
      <c r="AP77" s="231"/>
      <c r="AQ77" s="231"/>
      <c r="AR77" s="231"/>
      <c r="AS77" s="231"/>
      <c r="AT77" s="231"/>
      <c r="AU77" s="231"/>
      <c r="AV77" s="231"/>
      <c r="AW77" s="231"/>
      <c r="AX77" s="231"/>
      <c r="AY77" s="231"/>
      <c r="AZ77" s="231"/>
      <c r="BA77" s="231"/>
      <c r="BB77" s="231"/>
      <c r="BC77" s="231"/>
      <c r="BD77" s="231"/>
      <c r="BE77" s="231"/>
      <c r="BF77" s="231"/>
      <c r="BG77" s="231"/>
      <c r="BH77" s="231"/>
      <c r="BI77" s="231"/>
      <c r="BJ77" s="231"/>
      <c r="BK77" s="231"/>
      <c r="BL77" s="231"/>
      <c r="BM77" s="231"/>
      <c r="BN77" s="231"/>
      <c r="BO77" s="231"/>
      <c r="BP77" s="231"/>
      <c r="BQ77" s="231"/>
      <c r="BR77" s="231"/>
      <c r="BS77" s="231"/>
    </row>
    <row r="78" spans="1:71" s="203" customFormat="1">
      <c r="A78" s="350"/>
      <c r="B78" s="47"/>
      <c r="C78" s="47"/>
      <c r="D78" s="47"/>
      <c r="E78" s="117"/>
      <c r="F78" s="118"/>
      <c r="G78" s="118"/>
      <c r="H78" s="118"/>
      <c r="I78" s="118"/>
      <c r="J78" s="86"/>
      <c r="K78" s="86"/>
      <c r="L78" s="15"/>
      <c r="M78" s="8"/>
      <c r="N78" s="8"/>
      <c r="O78" s="231"/>
      <c r="P78" s="231"/>
      <c r="Q78" s="231"/>
      <c r="R78" s="231"/>
      <c r="S78" s="231"/>
      <c r="T78" s="231"/>
      <c r="U78" s="231"/>
      <c r="V78" s="231"/>
      <c r="W78" s="231"/>
      <c r="X78" s="231"/>
      <c r="Y78" s="231"/>
      <c r="Z78" s="231"/>
      <c r="AA78" s="231"/>
      <c r="AB78" s="231"/>
      <c r="AC78" s="231"/>
      <c r="AD78" s="231"/>
      <c r="AE78" s="231"/>
      <c r="AF78" s="231"/>
      <c r="AG78" s="231"/>
      <c r="AH78" s="231"/>
      <c r="AI78" s="231"/>
      <c r="AJ78" s="231"/>
      <c r="AK78" s="231"/>
      <c r="AL78" s="231"/>
      <c r="AM78" s="231"/>
      <c r="AN78" s="231"/>
      <c r="AO78" s="231"/>
      <c r="AP78" s="231"/>
      <c r="AQ78" s="231"/>
      <c r="AR78" s="231"/>
      <c r="AS78" s="231"/>
      <c r="AT78" s="231"/>
      <c r="AU78" s="231"/>
      <c r="AV78" s="231"/>
      <c r="AW78" s="231"/>
      <c r="AX78" s="231"/>
      <c r="AY78" s="231"/>
      <c r="AZ78" s="231"/>
      <c r="BA78" s="231"/>
      <c r="BB78" s="231"/>
      <c r="BC78" s="231"/>
      <c r="BD78" s="231"/>
      <c r="BE78" s="231"/>
      <c r="BF78" s="231"/>
      <c r="BG78" s="231"/>
      <c r="BH78" s="231"/>
      <c r="BI78" s="231"/>
      <c r="BJ78" s="231"/>
      <c r="BK78" s="231"/>
      <c r="BL78" s="231"/>
      <c r="BM78" s="231"/>
      <c r="BN78" s="231"/>
      <c r="BO78" s="231"/>
      <c r="BP78" s="231"/>
      <c r="BQ78" s="231"/>
      <c r="BR78" s="231"/>
      <c r="BS78" s="231"/>
    </row>
    <row r="79" spans="1:71" s="203" customFormat="1">
      <c r="A79" s="119" t="s">
        <v>93</v>
      </c>
      <c r="B79" s="116"/>
      <c r="C79" s="116"/>
      <c r="D79" s="116"/>
      <c r="E79" s="117"/>
      <c r="F79" s="118"/>
      <c r="G79" s="118"/>
      <c r="H79" s="118"/>
      <c r="I79" s="118"/>
      <c r="J79" s="86"/>
      <c r="K79" s="86"/>
      <c r="L79" s="15"/>
      <c r="M79" s="8"/>
      <c r="N79" s="8"/>
      <c r="O79" s="231"/>
      <c r="P79" s="231"/>
      <c r="Q79" s="231"/>
      <c r="R79" s="231"/>
      <c r="S79" s="231"/>
      <c r="T79" s="231"/>
      <c r="U79" s="231"/>
      <c r="V79" s="231"/>
      <c r="W79" s="231"/>
      <c r="X79" s="231"/>
      <c r="Y79" s="231"/>
      <c r="Z79" s="231"/>
      <c r="AA79" s="231"/>
      <c r="AB79" s="231"/>
      <c r="AC79" s="231"/>
      <c r="AD79" s="231"/>
      <c r="AE79" s="231"/>
      <c r="AF79" s="231"/>
      <c r="AG79" s="231"/>
      <c r="AH79" s="231"/>
      <c r="AI79" s="231"/>
      <c r="AJ79" s="231"/>
      <c r="AK79" s="231"/>
      <c r="AL79" s="231"/>
      <c r="AM79" s="231"/>
      <c r="AN79" s="231"/>
      <c r="AO79" s="231"/>
      <c r="AP79" s="231"/>
      <c r="AQ79" s="231"/>
      <c r="AR79" s="231"/>
      <c r="AS79" s="231"/>
      <c r="AT79" s="231"/>
      <c r="AU79" s="231"/>
      <c r="AV79" s="231"/>
      <c r="AW79" s="231"/>
      <c r="AX79" s="231"/>
      <c r="AY79" s="231"/>
      <c r="AZ79" s="231"/>
      <c r="BA79" s="231"/>
      <c r="BB79" s="231"/>
      <c r="BC79" s="231"/>
      <c r="BD79" s="231"/>
      <c r="BE79" s="231"/>
      <c r="BF79" s="231"/>
      <c r="BG79" s="231"/>
      <c r="BH79" s="231"/>
      <c r="BI79" s="231"/>
      <c r="BJ79" s="231"/>
      <c r="BK79" s="231"/>
      <c r="BL79" s="231"/>
      <c r="BM79" s="231"/>
      <c r="BN79" s="231"/>
      <c r="BO79" s="231"/>
      <c r="BP79" s="231"/>
      <c r="BQ79" s="231"/>
      <c r="BR79" s="231"/>
      <c r="BS79" s="231"/>
    </row>
    <row r="80" spans="1:71" s="203" customFormat="1">
      <c r="A80" s="120">
        <v>7</v>
      </c>
      <c r="B80" s="47" t="s">
        <v>94</v>
      </c>
      <c r="C80" s="47"/>
      <c r="D80" s="47"/>
      <c r="E80" s="41">
        <f>SUM('Aberdeen City:West Lothian'!E80)</f>
        <v>47780.813074555983</v>
      </c>
      <c r="F80" s="253">
        <f>SUM('Aberdeen City:West Lothian'!F80)</f>
        <v>41167</v>
      </c>
      <c r="G80" s="112">
        <f>SUM('Aberdeen City:West Lothian'!G80)</f>
        <v>22757</v>
      </c>
      <c r="H80" s="248">
        <f>SUM('Aberdeen City:West Lothian'!H80)</f>
        <v>45699.652724250001</v>
      </c>
      <c r="I80" s="112">
        <f>SUM('Aberdeen City:West Lothian'!I80)</f>
        <v>23134</v>
      </c>
      <c r="J80" s="86"/>
      <c r="K80" s="86"/>
      <c r="L80" s="15"/>
      <c r="M80" s="8"/>
      <c r="N80" s="8"/>
      <c r="O80" s="231"/>
      <c r="P80" s="231"/>
      <c r="Q80" s="231"/>
      <c r="R80" s="231"/>
      <c r="S80" s="231"/>
      <c r="T80" s="231"/>
      <c r="U80" s="231"/>
      <c r="V80" s="231"/>
      <c r="W80" s="231"/>
      <c r="X80" s="231"/>
      <c r="Y80" s="231"/>
      <c r="Z80" s="231"/>
      <c r="AA80" s="231"/>
      <c r="AB80" s="231"/>
      <c r="AC80" s="231"/>
      <c r="AD80" s="231"/>
      <c r="AE80" s="231"/>
      <c r="AF80" s="231"/>
      <c r="AG80" s="231"/>
      <c r="AH80" s="231"/>
      <c r="AI80" s="231"/>
      <c r="AJ80" s="231"/>
      <c r="AK80" s="231"/>
      <c r="AL80" s="231"/>
      <c r="AM80" s="231"/>
      <c r="AN80" s="231"/>
      <c r="AO80" s="231"/>
      <c r="AP80" s="231"/>
      <c r="AQ80" s="231"/>
      <c r="AR80" s="231"/>
      <c r="AS80" s="231"/>
      <c r="AT80" s="231"/>
      <c r="AU80" s="231"/>
      <c r="AV80" s="231"/>
      <c r="AW80" s="231"/>
      <c r="AX80" s="231"/>
      <c r="AY80" s="231"/>
      <c r="AZ80" s="231"/>
      <c r="BA80" s="231"/>
      <c r="BB80" s="231"/>
      <c r="BC80" s="231"/>
      <c r="BD80" s="231"/>
      <c r="BE80" s="231"/>
      <c r="BF80" s="231"/>
      <c r="BG80" s="231"/>
      <c r="BH80" s="231"/>
      <c r="BI80" s="231"/>
      <c r="BJ80" s="231"/>
      <c r="BK80" s="231"/>
      <c r="BL80" s="231"/>
      <c r="BM80" s="231"/>
      <c r="BN80" s="231"/>
      <c r="BO80" s="231"/>
      <c r="BP80" s="231"/>
      <c r="BQ80" s="231"/>
      <c r="BR80" s="231"/>
      <c r="BS80" s="231"/>
    </row>
    <row r="81" spans="1:71" s="203" customFormat="1">
      <c r="A81" s="120">
        <v>8</v>
      </c>
      <c r="B81" s="47" t="s">
        <v>95</v>
      </c>
      <c r="C81" s="47"/>
      <c r="D81" s="47"/>
      <c r="E81" s="49">
        <f>SUM('Aberdeen City:West Lothian'!E81)</f>
        <v>1177152.5305886972</v>
      </c>
      <c r="F81" s="247">
        <f>SUM('Aberdeen City:West Lothian'!F81)</f>
        <v>1206816</v>
      </c>
      <c r="G81" s="113">
        <f>SUM('Aberdeen City:West Lothian'!G81)</f>
        <v>946982</v>
      </c>
      <c r="H81" s="123">
        <f>SUM('Aberdeen City:West Lothian'!H81)</f>
        <v>1261279.5009999999</v>
      </c>
      <c r="I81" s="113">
        <f>SUM('Aberdeen City:West Lothian'!I81)</f>
        <v>985287.25899999996</v>
      </c>
      <c r="J81" s="86"/>
      <c r="K81" s="86"/>
      <c r="L81" s="731"/>
      <c r="M81" s="8"/>
      <c r="N81" s="8"/>
      <c r="O81" s="231"/>
      <c r="P81" s="231"/>
      <c r="Q81" s="231"/>
      <c r="R81" s="231"/>
      <c r="S81" s="231"/>
      <c r="T81" s="231"/>
      <c r="U81" s="231"/>
      <c r="V81" s="231"/>
      <c r="W81" s="231"/>
      <c r="X81" s="231"/>
      <c r="Y81" s="231"/>
      <c r="Z81" s="231"/>
      <c r="AA81" s="231"/>
      <c r="AB81" s="231"/>
      <c r="AC81" s="231"/>
      <c r="AD81" s="231"/>
      <c r="AE81" s="231"/>
      <c r="AF81" s="231"/>
      <c r="AG81" s="231"/>
      <c r="AH81" s="231"/>
      <c r="AI81" s="231"/>
      <c r="AJ81" s="231"/>
      <c r="AK81" s="231"/>
      <c r="AL81" s="231"/>
      <c r="AM81" s="231"/>
      <c r="AN81" s="231"/>
      <c r="AO81" s="231"/>
      <c r="AP81" s="231"/>
      <c r="AQ81" s="231"/>
      <c r="AR81" s="231"/>
      <c r="AS81" s="231"/>
      <c r="AT81" s="231"/>
      <c r="AU81" s="231"/>
      <c r="AV81" s="231"/>
      <c r="AW81" s="231"/>
      <c r="AX81" s="231"/>
      <c r="AY81" s="231"/>
      <c r="AZ81" s="231"/>
      <c r="BA81" s="231"/>
      <c r="BB81" s="231"/>
      <c r="BC81" s="231"/>
      <c r="BD81" s="231"/>
      <c r="BE81" s="231"/>
      <c r="BF81" s="231"/>
      <c r="BG81" s="231"/>
      <c r="BH81" s="231"/>
      <c r="BI81" s="231"/>
      <c r="BJ81" s="231"/>
      <c r="BK81" s="231"/>
      <c r="BL81" s="231"/>
      <c r="BM81" s="231"/>
      <c r="BN81" s="231"/>
      <c r="BO81" s="231"/>
      <c r="BP81" s="231"/>
      <c r="BQ81" s="231"/>
      <c r="BR81" s="231"/>
      <c r="BS81" s="231"/>
    </row>
    <row r="82" spans="1:71" s="203" customFormat="1">
      <c r="A82" s="120">
        <v>9</v>
      </c>
      <c r="B82" s="47" t="s">
        <v>96</v>
      </c>
      <c r="C82" s="47"/>
      <c r="D82" s="47"/>
      <c r="E82" s="49">
        <f>SUM('Aberdeen City:West Lothian'!E82)</f>
        <v>1181165.7387385578</v>
      </c>
      <c r="F82" s="247">
        <f>SUM('Aberdeen City:West Lothian'!F82)</f>
        <v>1194399</v>
      </c>
      <c r="G82" s="113">
        <f>SUM('Aberdeen City:West Lothian'!G82)</f>
        <v>963601</v>
      </c>
      <c r="H82" s="123">
        <f>SUM('Aberdeen City:West Lothian'!H82)</f>
        <v>1247329.8475334733</v>
      </c>
      <c r="I82" s="113">
        <f>SUM('Aberdeen City:West Lothian'!I82)</f>
        <v>1002135.1585334733</v>
      </c>
      <c r="J82" s="86"/>
      <c r="K82" s="86"/>
      <c r="L82" s="731"/>
      <c r="M82" s="8"/>
      <c r="N82" s="8"/>
      <c r="O82" s="231"/>
      <c r="P82" s="231"/>
      <c r="Q82" s="231"/>
      <c r="R82" s="231"/>
      <c r="S82" s="231"/>
      <c r="T82" s="231"/>
      <c r="U82" s="231"/>
      <c r="V82" s="231"/>
      <c r="W82" s="231"/>
      <c r="X82" s="231"/>
      <c r="Y82" s="231"/>
      <c r="Z82" s="231"/>
      <c r="AA82" s="231"/>
      <c r="AB82" s="231"/>
      <c r="AC82" s="231"/>
      <c r="AD82" s="231"/>
      <c r="AE82" s="231"/>
      <c r="AF82" s="231"/>
      <c r="AG82" s="231"/>
      <c r="AH82" s="231"/>
      <c r="AI82" s="231"/>
      <c r="AJ82" s="231"/>
      <c r="AK82" s="231"/>
      <c r="AL82" s="231"/>
      <c r="AM82" s="231"/>
      <c r="AN82" s="231"/>
      <c r="AO82" s="231"/>
      <c r="AP82" s="231"/>
      <c r="AQ82" s="231"/>
      <c r="AR82" s="231"/>
      <c r="AS82" s="231"/>
      <c r="AT82" s="231"/>
      <c r="AU82" s="231"/>
      <c r="AV82" s="231"/>
      <c r="AW82" s="231"/>
      <c r="AX82" s="231"/>
      <c r="AY82" s="231"/>
      <c r="AZ82" s="231"/>
      <c r="BA82" s="231"/>
      <c r="BB82" s="231"/>
      <c r="BC82" s="231"/>
      <c r="BD82" s="231"/>
      <c r="BE82" s="231"/>
      <c r="BF82" s="231"/>
      <c r="BG82" s="231"/>
      <c r="BH82" s="231"/>
      <c r="BI82" s="231"/>
      <c r="BJ82" s="231"/>
      <c r="BK82" s="231"/>
      <c r="BL82" s="231"/>
      <c r="BM82" s="231"/>
      <c r="BN82" s="231"/>
      <c r="BO82" s="231"/>
      <c r="BP82" s="231"/>
      <c r="BQ82" s="231"/>
      <c r="BR82" s="231"/>
      <c r="BS82" s="231"/>
    </row>
    <row r="83" spans="1:71" s="203" customFormat="1">
      <c r="A83" s="120">
        <v>10</v>
      </c>
      <c r="B83" s="90" t="s">
        <v>97</v>
      </c>
      <c r="C83" s="47"/>
      <c r="D83" s="47"/>
      <c r="E83" s="49">
        <f>SUM('Aberdeen City:West Lothian'!E83)</f>
        <v>569214.10870288266</v>
      </c>
      <c r="F83" s="247">
        <f>SUM('Aberdeen City:West Lothian'!F83)</f>
        <v>602143.76359999995</v>
      </c>
      <c r="G83" s="113">
        <f>SUM('Aberdeen City:West Lothian'!G83)</f>
        <v>222557</v>
      </c>
      <c r="H83" s="123">
        <f>SUM('Aberdeen City:West Lothian'!H83)</f>
        <v>601203.95475000003</v>
      </c>
      <c r="I83" s="113">
        <f>SUM('Aberdeen City:West Lothian'!I83)</f>
        <v>227882</v>
      </c>
      <c r="J83" s="86"/>
      <c r="K83" s="86"/>
      <c r="L83" s="15"/>
      <c r="M83" s="8"/>
      <c r="N83" s="8"/>
      <c r="O83" s="231"/>
      <c r="P83" s="231"/>
      <c r="Q83" s="231"/>
      <c r="R83" s="231"/>
      <c r="S83" s="231"/>
      <c r="T83" s="231"/>
      <c r="U83" s="231"/>
      <c r="V83" s="231"/>
      <c r="W83" s="231"/>
      <c r="X83" s="231"/>
      <c r="Y83" s="231"/>
      <c r="Z83" s="231"/>
      <c r="AA83" s="231"/>
      <c r="AB83" s="231"/>
      <c r="AC83" s="231"/>
      <c r="AD83" s="231"/>
      <c r="AE83" s="231"/>
      <c r="AF83" s="231"/>
      <c r="AG83" s="231"/>
      <c r="AH83" s="231"/>
      <c r="AI83" s="231"/>
      <c r="AJ83" s="231"/>
      <c r="AK83" s="231"/>
      <c r="AL83" s="231"/>
      <c r="AM83" s="231"/>
      <c r="AN83" s="231"/>
      <c r="AO83" s="231"/>
      <c r="AP83" s="231"/>
      <c r="AQ83" s="231"/>
      <c r="AR83" s="231"/>
      <c r="AS83" s="231"/>
      <c r="AT83" s="231"/>
      <c r="AU83" s="231"/>
      <c r="AV83" s="231"/>
      <c r="AW83" s="231"/>
      <c r="AX83" s="231"/>
      <c r="AY83" s="231"/>
      <c r="AZ83" s="231"/>
      <c r="BA83" s="231"/>
      <c r="BB83" s="231"/>
      <c r="BC83" s="231"/>
      <c r="BD83" s="231"/>
      <c r="BE83" s="231"/>
      <c r="BF83" s="231"/>
      <c r="BG83" s="231"/>
      <c r="BH83" s="231"/>
      <c r="BI83" s="231"/>
      <c r="BJ83" s="231"/>
      <c r="BK83" s="231"/>
      <c r="BL83" s="231"/>
      <c r="BM83" s="231"/>
      <c r="BN83" s="231"/>
      <c r="BO83" s="231"/>
      <c r="BP83" s="231"/>
      <c r="BQ83" s="231"/>
      <c r="BR83" s="231"/>
      <c r="BS83" s="231"/>
    </row>
    <row r="84" spans="1:71" s="203" customFormat="1">
      <c r="A84" s="120">
        <v>11</v>
      </c>
      <c r="B84" s="90" t="s">
        <v>98</v>
      </c>
      <c r="C84" s="47"/>
      <c r="D84" s="47"/>
      <c r="E84" s="49">
        <f>SUM('Aberdeen City:West Lothian'!E84)</f>
        <v>161669.057</v>
      </c>
      <c r="F84" s="247">
        <f>SUM('Aberdeen City:West Lothian'!F84)</f>
        <v>170239</v>
      </c>
      <c r="G84" s="113">
        <f>SUM('Aberdeen City:West Lothian'!G84)</f>
        <v>44298</v>
      </c>
      <c r="H84" s="123">
        <f>SUM('Aberdeen City:West Lothian'!H84)</f>
        <v>162523.19699999999</v>
      </c>
      <c r="I84" s="113">
        <f>SUM('Aberdeen City:West Lothian'!I84)</f>
        <v>43552</v>
      </c>
      <c r="J84" s="86"/>
      <c r="K84" s="86"/>
      <c r="L84" s="15"/>
      <c r="M84" s="8"/>
      <c r="N84" s="8"/>
      <c r="O84" s="231"/>
      <c r="P84" s="231"/>
      <c r="Q84" s="231"/>
      <c r="R84" s="231"/>
      <c r="S84" s="231"/>
      <c r="T84" s="231"/>
      <c r="U84" s="231"/>
      <c r="V84" s="231"/>
      <c r="W84" s="231"/>
      <c r="X84" s="231"/>
      <c r="Y84" s="231"/>
      <c r="Z84" s="231"/>
      <c r="AA84" s="231"/>
      <c r="AB84" s="231"/>
      <c r="AC84" s="231"/>
      <c r="AD84" s="231"/>
      <c r="AE84" s="231"/>
      <c r="AF84" s="231"/>
      <c r="AG84" s="231"/>
      <c r="AH84" s="231"/>
      <c r="AI84" s="231"/>
      <c r="AJ84" s="231"/>
      <c r="AK84" s="231"/>
      <c r="AL84" s="231"/>
      <c r="AM84" s="231"/>
      <c r="AN84" s="231"/>
      <c r="AO84" s="231"/>
      <c r="AP84" s="231"/>
      <c r="AQ84" s="231"/>
      <c r="AR84" s="231"/>
      <c r="AS84" s="231"/>
      <c r="AT84" s="231"/>
      <c r="AU84" s="231"/>
      <c r="AV84" s="231"/>
      <c r="AW84" s="231"/>
      <c r="AX84" s="231"/>
      <c r="AY84" s="231"/>
      <c r="AZ84" s="231"/>
      <c r="BA84" s="231"/>
      <c r="BB84" s="231"/>
      <c r="BC84" s="231"/>
      <c r="BD84" s="231"/>
      <c r="BE84" s="231"/>
      <c r="BF84" s="231"/>
      <c r="BG84" s="231"/>
      <c r="BH84" s="231"/>
      <c r="BI84" s="231"/>
      <c r="BJ84" s="231"/>
      <c r="BK84" s="231"/>
      <c r="BL84" s="231"/>
      <c r="BM84" s="231"/>
      <c r="BN84" s="231"/>
      <c r="BO84" s="231"/>
      <c r="BP84" s="231"/>
      <c r="BQ84" s="231"/>
      <c r="BR84" s="231"/>
      <c r="BS84" s="231"/>
    </row>
    <row r="85" spans="1:71" s="203" customFormat="1">
      <c r="A85" s="120">
        <v>12</v>
      </c>
      <c r="B85" s="47" t="s">
        <v>99</v>
      </c>
      <c r="C85" s="47"/>
      <c r="D85" s="47"/>
      <c r="E85" s="49">
        <f>SUM('Aberdeen City:West Lothian'!E85)</f>
        <v>142908.52434800449</v>
      </c>
      <c r="F85" s="247">
        <f>SUM('Aberdeen City:West Lothian'!F85)</f>
        <v>140656</v>
      </c>
      <c r="G85" s="113">
        <f>SUM('Aberdeen City:West Lothian'!G85)</f>
        <v>37915</v>
      </c>
      <c r="H85" s="123">
        <f>SUM('Aberdeen City:West Lothian'!H85)</f>
        <v>145716.12362227458</v>
      </c>
      <c r="I85" s="113">
        <f>SUM('Aberdeen City:West Lothian'!I85)</f>
        <v>39932</v>
      </c>
      <c r="J85" s="86"/>
      <c r="K85" s="86"/>
      <c r="L85" s="15"/>
      <c r="M85" s="8"/>
      <c r="N85" s="8"/>
      <c r="O85" s="231"/>
      <c r="P85" s="231"/>
      <c r="Q85" s="231"/>
      <c r="R85" s="231"/>
      <c r="S85" s="231"/>
      <c r="T85" s="231"/>
      <c r="U85" s="231"/>
      <c r="V85" s="231"/>
      <c r="W85" s="231"/>
      <c r="X85" s="231"/>
      <c r="Y85" s="231"/>
      <c r="Z85" s="231"/>
      <c r="AA85" s="231"/>
      <c r="AB85" s="231"/>
      <c r="AC85" s="231"/>
      <c r="AD85" s="231"/>
      <c r="AE85" s="231"/>
      <c r="AF85" s="231"/>
      <c r="AG85" s="231"/>
      <c r="AH85" s="231"/>
      <c r="AI85" s="231"/>
      <c r="AJ85" s="231"/>
      <c r="AK85" s="231"/>
      <c r="AL85" s="231"/>
      <c r="AM85" s="231"/>
      <c r="AN85" s="231"/>
      <c r="AO85" s="231"/>
      <c r="AP85" s="231"/>
      <c r="AQ85" s="231"/>
      <c r="AR85" s="231"/>
      <c r="AS85" s="231"/>
      <c r="AT85" s="231"/>
      <c r="AU85" s="231"/>
      <c r="AV85" s="231"/>
      <c r="AW85" s="231"/>
      <c r="AX85" s="231"/>
      <c r="AY85" s="231"/>
      <c r="AZ85" s="231"/>
      <c r="BA85" s="231"/>
      <c r="BB85" s="231"/>
      <c r="BC85" s="231"/>
      <c r="BD85" s="231"/>
      <c r="BE85" s="231"/>
      <c r="BF85" s="231"/>
      <c r="BG85" s="231"/>
      <c r="BH85" s="231"/>
      <c r="BI85" s="231"/>
      <c r="BJ85" s="231"/>
      <c r="BK85" s="231"/>
      <c r="BL85" s="231"/>
      <c r="BM85" s="231"/>
      <c r="BN85" s="231"/>
      <c r="BO85" s="231"/>
      <c r="BP85" s="231"/>
      <c r="BQ85" s="231"/>
      <c r="BR85" s="231"/>
      <c r="BS85" s="231"/>
    </row>
    <row r="86" spans="1:71" s="203" customFormat="1">
      <c r="A86" s="120">
        <v>13</v>
      </c>
      <c r="B86" s="47" t="s">
        <v>100</v>
      </c>
      <c r="C86" s="47"/>
      <c r="D86" s="47"/>
      <c r="E86" s="49">
        <f>SUM('Aberdeen City:West Lothian'!E86)</f>
        <v>825351.81299999997</v>
      </c>
      <c r="F86" s="247">
        <f>SUM('Aberdeen City:West Lothian'!F86)</f>
        <v>879495</v>
      </c>
      <c r="G86" s="113">
        <f>SUM('Aberdeen City:West Lothian'!G86)</f>
        <v>382952</v>
      </c>
      <c r="H86" s="123">
        <f>SUM('Aberdeen City:West Lothian'!H86)</f>
        <v>923092.43394051038</v>
      </c>
      <c r="I86" s="113">
        <f>SUM('Aberdeen City:West Lothian'!I86)</f>
        <v>402820</v>
      </c>
      <c r="J86" s="86"/>
      <c r="K86" s="86"/>
      <c r="L86" s="15"/>
      <c r="M86" s="8"/>
      <c r="N86" s="8"/>
      <c r="O86" s="231"/>
      <c r="P86" s="231"/>
      <c r="Q86" s="231"/>
      <c r="R86" s="231"/>
      <c r="S86" s="231"/>
      <c r="T86" s="231"/>
      <c r="U86" s="231"/>
      <c r="V86" s="231"/>
      <c r="W86" s="231"/>
      <c r="X86" s="231"/>
      <c r="Y86" s="231"/>
      <c r="Z86" s="231"/>
      <c r="AA86" s="231"/>
      <c r="AB86" s="231"/>
      <c r="AC86" s="231"/>
      <c r="AD86" s="231"/>
      <c r="AE86" s="231"/>
      <c r="AF86" s="231"/>
      <c r="AG86" s="231"/>
      <c r="AH86" s="231"/>
      <c r="AI86" s="231"/>
      <c r="AJ86" s="231"/>
      <c r="AK86" s="231"/>
      <c r="AL86" s="231"/>
      <c r="AM86" s="231"/>
      <c r="AN86" s="231"/>
      <c r="AO86" s="231"/>
      <c r="AP86" s="231"/>
      <c r="AQ86" s="231"/>
      <c r="AR86" s="231"/>
      <c r="AS86" s="231"/>
      <c r="AT86" s="231"/>
      <c r="AU86" s="231"/>
      <c r="AV86" s="231"/>
      <c r="AW86" s="231"/>
      <c r="AX86" s="231"/>
      <c r="AY86" s="231"/>
      <c r="AZ86" s="231"/>
      <c r="BA86" s="231"/>
      <c r="BB86" s="231"/>
      <c r="BC86" s="231"/>
      <c r="BD86" s="231"/>
      <c r="BE86" s="231"/>
      <c r="BF86" s="231"/>
      <c r="BG86" s="231"/>
      <c r="BH86" s="231"/>
      <c r="BI86" s="231"/>
      <c r="BJ86" s="231"/>
      <c r="BK86" s="231"/>
      <c r="BL86" s="231"/>
      <c r="BM86" s="231"/>
      <c r="BN86" s="231"/>
      <c r="BO86" s="231"/>
      <c r="BP86" s="231"/>
      <c r="BQ86" s="231"/>
      <c r="BR86" s="231"/>
      <c r="BS86" s="231"/>
    </row>
    <row r="87" spans="1:71" s="203" customFormat="1">
      <c r="A87" s="120">
        <v>14</v>
      </c>
      <c r="B87" s="47" t="s">
        <v>101</v>
      </c>
      <c r="C87" s="47"/>
      <c r="D87" s="47"/>
      <c r="E87" s="49">
        <f>SUM('Aberdeen City:West Lothian'!E87)</f>
        <v>5766.0166085000001</v>
      </c>
      <c r="F87" s="247">
        <f>SUM('Aberdeen City:West Lothian'!F87)</f>
        <v>5487</v>
      </c>
      <c r="G87" s="113">
        <f>SUM('Aberdeen City:West Lothian'!G87)</f>
        <v>0</v>
      </c>
      <c r="H87" s="123">
        <f>SUM('Aberdeen City:West Lothian'!H87)</f>
        <v>5838</v>
      </c>
      <c r="I87" s="113">
        <f>SUM('Aberdeen City:West Lothian'!I87)</f>
        <v>0</v>
      </c>
      <c r="J87" s="86"/>
      <c r="K87" s="86"/>
      <c r="L87" s="15"/>
      <c r="M87" s="8"/>
      <c r="N87" s="8"/>
      <c r="O87" s="231"/>
      <c r="P87" s="231"/>
      <c r="Q87" s="231"/>
      <c r="R87" s="231"/>
      <c r="S87" s="231"/>
      <c r="T87" s="231"/>
      <c r="U87" s="231"/>
      <c r="V87" s="231"/>
      <c r="W87" s="231"/>
      <c r="X87" s="231"/>
      <c r="Y87" s="231"/>
      <c r="Z87" s="231"/>
      <c r="AA87" s="231"/>
      <c r="AB87" s="231"/>
      <c r="AC87" s="231"/>
      <c r="AD87" s="231"/>
      <c r="AE87" s="231"/>
      <c r="AF87" s="231"/>
      <c r="AG87" s="231"/>
      <c r="AH87" s="231"/>
      <c r="AI87" s="231"/>
      <c r="AJ87" s="231"/>
      <c r="AK87" s="231"/>
      <c r="AL87" s="231"/>
      <c r="AM87" s="231"/>
      <c r="AN87" s="231"/>
      <c r="AO87" s="231"/>
      <c r="AP87" s="231"/>
      <c r="AQ87" s="231"/>
      <c r="AR87" s="231"/>
      <c r="AS87" s="231"/>
      <c r="AT87" s="231"/>
      <c r="AU87" s="231"/>
      <c r="AV87" s="231"/>
      <c r="AW87" s="231"/>
      <c r="AX87" s="231"/>
      <c r="AY87" s="231"/>
      <c r="AZ87" s="231"/>
      <c r="BA87" s="231"/>
      <c r="BB87" s="231"/>
      <c r="BC87" s="231"/>
      <c r="BD87" s="231"/>
      <c r="BE87" s="231"/>
      <c r="BF87" s="231"/>
      <c r="BG87" s="231"/>
      <c r="BH87" s="231"/>
      <c r="BI87" s="231"/>
      <c r="BJ87" s="231"/>
      <c r="BK87" s="231"/>
      <c r="BL87" s="231"/>
      <c r="BM87" s="231"/>
      <c r="BN87" s="231"/>
      <c r="BO87" s="231"/>
      <c r="BP87" s="231"/>
      <c r="BQ87" s="231"/>
      <c r="BR87" s="231"/>
      <c r="BS87" s="231"/>
    </row>
    <row r="88" spans="1:71" s="203" customFormat="1">
      <c r="A88" s="124">
        <v>15</v>
      </c>
      <c r="B88" s="125" t="s">
        <v>102</v>
      </c>
      <c r="C88" s="54"/>
      <c r="D88" s="54"/>
      <c r="E88" s="56">
        <f>SUM('Aberdeen City:West Lothian'!E88)</f>
        <v>553</v>
      </c>
      <c r="F88" s="254">
        <f>SUM('Aberdeen City:West Lothian'!F88)</f>
        <v>503</v>
      </c>
      <c r="G88" s="127">
        <f>SUM('Aberdeen City:West Lothian'!G88)</f>
        <v>0</v>
      </c>
      <c r="H88" s="255">
        <f>SUM('Aberdeen City:West Lothian'!H88)</f>
        <v>513</v>
      </c>
      <c r="I88" s="127">
        <f>SUM('Aberdeen City:West Lothian'!I88)</f>
        <v>0</v>
      </c>
      <c r="J88" s="256"/>
      <c r="K88" s="86"/>
      <c r="L88" s="15"/>
      <c r="M88" s="8"/>
      <c r="N88" s="8"/>
      <c r="O88" s="231"/>
      <c r="P88" s="231"/>
      <c r="Q88" s="231"/>
      <c r="R88" s="231"/>
      <c r="S88" s="231"/>
      <c r="T88" s="231"/>
      <c r="U88" s="231"/>
      <c r="V88" s="231"/>
      <c r="W88" s="231"/>
      <c r="X88" s="231"/>
      <c r="Y88" s="231"/>
      <c r="Z88" s="231"/>
      <c r="AA88" s="231"/>
      <c r="AB88" s="231"/>
      <c r="AC88" s="231"/>
      <c r="AD88" s="231"/>
      <c r="AE88" s="231"/>
      <c r="AF88" s="231"/>
      <c r="AG88" s="231"/>
      <c r="AH88" s="231"/>
      <c r="AI88" s="231"/>
      <c r="AJ88" s="231"/>
      <c r="AK88" s="231"/>
      <c r="AL88" s="231"/>
      <c r="AM88" s="231"/>
      <c r="AN88" s="231"/>
      <c r="AO88" s="231"/>
      <c r="AP88" s="231"/>
      <c r="AQ88" s="231"/>
      <c r="AR88" s="231"/>
      <c r="AS88" s="231"/>
      <c r="AT88" s="231"/>
      <c r="AU88" s="231"/>
      <c r="AV88" s="231"/>
      <c r="AW88" s="231"/>
      <c r="AX88" s="231"/>
      <c r="AY88" s="231"/>
      <c r="AZ88" s="231"/>
      <c r="BA88" s="231"/>
      <c r="BB88" s="231"/>
      <c r="BC88" s="231"/>
      <c r="BD88" s="231"/>
      <c r="BE88" s="231"/>
      <c r="BF88" s="231"/>
      <c r="BG88" s="231"/>
      <c r="BH88" s="231"/>
      <c r="BI88" s="231"/>
      <c r="BJ88" s="231"/>
      <c r="BK88" s="231"/>
      <c r="BL88" s="231"/>
      <c r="BM88" s="231"/>
      <c r="BN88" s="231"/>
      <c r="BO88" s="231"/>
      <c r="BP88" s="231"/>
      <c r="BQ88" s="231"/>
      <c r="BR88" s="231"/>
      <c r="BS88" s="231"/>
    </row>
    <row r="89" spans="1:71" s="203" customFormat="1">
      <c r="A89" s="128"/>
      <c r="B89" s="129"/>
      <c r="C89" s="129"/>
      <c r="D89" s="129"/>
      <c r="E89" s="15"/>
      <c r="F89" s="130"/>
      <c r="G89" s="29"/>
      <c r="H89" s="207"/>
      <c r="I89" s="29"/>
      <c r="J89" s="15"/>
      <c r="K89" s="15"/>
      <c r="L89" s="15"/>
      <c r="M89" s="8"/>
      <c r="N89" s="8"/>
      <c r="O89" s="231"/>
      <c r="P89" s="231"/>
      <c r="Q89" s="231"/>
      <c r="R89" s="231"/>
      <c r="S89" s="231"/>
      <c r="T89" s="231"/>
      <c r="U89" s="231"/>
      <c r="V89" s="231"/>
      <c r="W89" s="231"/>
      <c r="X89" s="231"/>
      <c r="Y89" s="231"/>
      <c r="Z89" s="231"/>
      <c r="AA89" s="231"/>
      <c r="AB89" s="231"/>
      <c r="AC89" s="231"/>
      <c r="AD89" s="231"/>
      <c r="AE89" s="231"/>
      <c r="AF89" s="231"/>
      <c r="AG89" s="231"/>
      <c r="AH89" s="231"/>
      <c r="AI89" s="231"/>
      <c r="AJ89" s="231"/>
      <c r="AK89" s="231"/>
      <c r="AL89" s="231"/>
      <c r="AM89" s="231"/>
      <c r="AN89" s="231"/>
      <c r="AO89" s="231"/>
      <c r="AP89" s="231"/>
      <c r="AQ89" s="231"/>
      <c r="AR89" s="231"/>
      <c r="AS89" s="231"/>
      <c r="AT89" s="231"/>
      <c r="AU89" s="231"/>
      <c r="AV89" s="231"/>
      <c r="AW89" s="231"/>
      <c r="AX89" s="231"/>
      <c r="AY89" s="231"/>
      <c r="AZ89" s="231"/>
      <c r="BA89" s="231"/>
      <c r="BB89" s="231"/>
      <c r="BC89" s="231"/>
      <c r="BD89" s="231"/>
      <c r="BE89" s="231"/>
      <c r="BF89" s="231"/>
      <c r="BG89" s="231"/>
      <c r="BH89" s="231"/>
      <c r="BI89" s="231"/>
      <c r="BJ89" s="231"/>
      <c r="BK89" s="231"/>
      <c r="BL89" s="231"/>
      <c r="BM89" s="231"/>
      <c r="BN89" s="231"/>
      <c r="BO89" s="231"/>
      <c r="BP89" s="231"/>
      <c r="BQ89" s="231"/>
      <c r="BR89" s="231"/>
      <c r="BS89" s="231"/>
    </row>
    <row r="90" spans="1:71" s="203" customFormat="1">
      <c r="A90" s="128"/>
      <c r="B90" s="129"/>
      <c r="C90" s="129"/>
      <c r="D90" s="129"/>
      <c r="E90" s="105"/>
      <c r="F90" s="130"/>
      <c r="G90" s="29"/>
      <c r="H90" s="131" t="s">
        <v>27</v>
      </c>
      <c r="I90" s="29"/>
      <c r="J90" s="15"/>
      <c r="K90" s="15"/>
      <c r="L90" s="15"/>
      <c r="M90" s="8"/>
      <c r="N90" s="8"/>
      <c r="O90" s="231"/>
      <c r="P90" s="231"/>
      <c r="Q90" s="231"/>
      <c r="R90" s="231"/>
      <c r="S90" s="231"/>
      <c r="T90" s="231"/>
      <c r="U90" s="231"/>
      <c r="V90" s="231"/>
      <c r="W90" s="231"/>
      <c r="X90" s="231"/>
      <c r="Y90" s="231"/>
      <c r="Z90" s="231"/>
      <c r="AA90" s="231"/>
      <c r="AB90" s="231"/>
      <c r="AC90" s="231"/>
      <c r="AD90" s="231"/>
      <c r="AE90" s="231"/>
      <c r="AF90" s="231"/>
      <c r="AG90" s="231"/>
      <c r="AH90" s="231"/>
      <c r="AI90" s="231"/>
      <c r="AJ90" s="231"/>
      <c r="AK90" s="231"/>
      <c r="AL90" s="231"/>
      <c r="AM90" s="231"/>
      <c r="AN90" s="231"/>
      <c r="AO90" s="231"/>
      <c r="AP90" s="231"/>
      <c r="AQ90" s="231"/>
      <c r="AR90" s="231"/>
      <c r="AS90" s="231"/>
      <c r="AT90" s="231"/>
      <c r="AU90" s="231"/>
      <c r="AV90" s="231"/>
      <c r="AW90" s="231"/>
      <c r="AX90" s="231"/>
      <c r="AY90" s="231"/>
      <c r="AZ90" s="231"/>
      <c r="BA90" s="231"/>
      <c r="BB90" s="231"/>
      <c r="BC90" s="231"/>
      <c r="BD90" s="231"/>
      <c r="BE90" s="231"/>
      <c r="BF90" s="231"/>
      <c r="BG90" s="231"/>
      <c r="BH90" s="231"/>
      <c r="BI90" s="231"/>
      <c r="BJ90" s="231"/>
      <c r="BK90" s="231"/>
      <c r="BL90" s="231"/>
      <c r="BM90" s="231"/>
      <c r="BN90" s="231"/>
      <c r="BO90" s="231"/>
      <c r="BP90" s="231"/>
      <c r="BQ90" s="231"/>
      <c r="BR90" s="231"/>
      <c r="BS90" s="231"/>
    </row>
    <row r="91" spans="1:71" s="203" customFormat="1" ht="12.75" customHeight="1">
      <c r="A91" s="106" t="s">
        <v>17</v>
      </c>
      <c r="B91" s="107"/>
      <c r="C91" s="107"/>
      <c r="D91" s="107"/>
      <c r="E91" s="856" t="s">
        <v>377</v>
      </c>
      <c r="F91" s="853" t="s">
        <v>402</v>
      </c>
      <c r="G91" s="207"/>
      <c r="H91" s="856" t="s">
        <v>403</v>
      </c>
      <c r="I91" s="29"/>
      <c r="J91" s="15"/>
      <c r="K91" s="15"/>
      <c r="L91" s="15"/>
      <c r="M91" s="8"/>
      <c r="N91" s="8"/>
      <c r="O91" s="231"/>
      <c r="P91" s="231"/>
      <c r="Q91" s="231"/>
      <c r="R91" s="231"/>
      <c r="S91" s="231"/>
      <c r="T91" s="231"/>
      <c r="U91" s="231"/>
      <c r="V91" s="231"/>
      <c r="W91" s="231"/>
      <c r="X91" s="231"/>
      <c r="Y91" s="231"/>
      <c r="Z91" s="231"/>
      <c r="AA91" s="231"/>
      <c r="AB91" s="231"/>
      <c r="AC91" s="231"/>
      <c r="AD91" s="231"/>
      <c r="AE91" s="231"/>
      <c r="AF91" s="231"/>
      <c r="AG91" s="231"/>
      <c r="AH91" s="231"/>
      <c r="AI91" s="231"/>
      <c r="AJ91" s="231"/>
      <c r="AK91" s="231"/>
      <c r="AL91" s="231"/>
      <c r="AM91" s="231"/>
      <c r="AN91" s="231"/>
      <c r="AO91" s="231"/>
      <c r="AP91" s="231"/>
      <c r="AQ91" s="231"/>
      <c r="AR91" s="231"/>
      <c r="AS91" s="231"/>
      <c r="AT91" s="231"/>
      <c r="AU91" s="231"/>
      <c r="AV91" s="231"/>
      <c r="AW91" s="231"/>
      <c r="AX91" s="231"/>
      <c r="AY91" s="231"/>
      <c r="AZ91" s="231"/>
      <c r="BA91" s="231"/>
      <c r="BB91" s="231"/>
      <c r="BC91" s="231"/>
      <c r="BD91" s="231"/>
      <c r="BE91" s="231"/>
      <c r="BF91" s="231"/>
      <c r="BG91" s="231"/>
      <c r="BH91" s="231"/>
      <c r="BI91" s="231"/>
      <c r="BJ91" s="231"/>
      <c r="BK91" s="231"/>
      <c r="BL91" s="231"/>
      <c r="BM91" s="231"/>
      <c r="BN91" s="231"/>
      <c r="BO91" s="231"/>
      <c r="BP91" s="231"/>
      <c r="BQ91" s="231"/>
      <c r="BR91" s="231"/>
      <c r="BS91" s="231"/>
    </row>
    <row r="92" spans="1:71" s="203" customFormat="1" ht="12.75" customHeight="1">
      <c r="A92" s="109"/>
      <c r="B92" s="132"/>
      <c r="C92" s="132"/>
      <c r="D92" s="132"/>
      <c r="E92" s="859"/>
      <c r="F92" s="854"/>
      <c r="G92" s="207"/>
      <c r="H92" s="857"/>
      <c r="I92" s="29"/>
      <c r="J92" s="15"/>
      <c r="K92" s="15"/>
      <c r="L92" s="15"/>
      <c r="M92" s="8"/>
      <c r="N92" s="8"/>
      <c r="O92" s="231"/>
      <c r="P92" s="231"/>
      <c r="Q92" s="231"/>
      <c r="R92" s="231"/>
      <c r="S92" s="231"/>
      <c r="T92" s="231"/>
      <c r="U92" s="231"/>
      <c r="V92" s="231"/>
      <c r="W92" s="231"/>
      <c r="X92" s="231"/>
      <c r="Y92" s="231"/>
      <c r="Z92" s="231"/>
      <c r="AA92" s="231"/>
      <c r="AB92" s="231"/>
      <c r="AC92" s="231"/>
      <c r="AD92" s="231"/>
      <c r="AE92" s="231"/>
      <c r="AF92" s="231"/>
      <c r="AG92" s="231"/>
      <c r="AH92" s="231"/>
      <c r="AI92" s="231"/>
      <c r="AJ92" s="231"/>
      <c r="AK92" s="231"/>
      <c r="AL92" s="231"/>
      <c r="AM92" s="231"/>
      <c r="AN92" s="231"/>
      <c r="AO92" s="231"/>
      <c r="AP92" s="231"/>
      <c r="AQ92" s="231"/>
      <c r="AR92" s="231"/>
      <c r="AS92" s="231"/>
      <c r="AT92" s="231"/>
      <c r="AU92" s="231"/>
      <c r="AV92" s="231"/>
      <c r="AW92" s="231"/>
      <c r="AX92" s="231"/>
      <c r="AY92" s="231"/>
      <c r="AZ92" s="231"/>
      <c r="BA92" s="231"/>
      <c r="BB92" s="231"/>
      <c r="BC92" s="231"/>
      <c r="BD92" s="231"/>
      <c r="BE92" s="231"/>
      <c r="BF92" s="231"/>
      <c r="BG92" s="231"/>
      <c r="BH92" s="231"/>
      <c r="BI92" s="231"/>
      <c r="BJ92" s="231"/>
      <c r="BK92" s="231"/>
      <c r="BL92" s="231"/>
      <c r="BM92" s="231"/>
      <c r="BN92" s="231"/>
      <c r="BO92" s="231"/>
      <c r="BP92" s="231"/>
      <c r="BQ92" s="231"/>
      <c r="BR92" s="231"/>
      <c r="BS92" s="231"/>
    </row>
    <row r="93" spans="1:71" s="203" customFormat="1">
      <c r="A93" s="109" t="s">
        <v>103</v>
      </c>
      <c r="B93" s="132"/>
      <c r="C93" s="132"/>
      <c r="D93" s="132"/>
      <c r="E93" s="859"/>
      <c r="F93" s="854"/>
      <c r="G93" s="207"/>
      <c r="H93" s="857"/>
      <c r="I93" s="29"/>
      <c r="J93" s="15"/>
      <c r="K93" s="15"/>
      <c r="L93" s="15"/>
      <c r="M93" s="8"/>
      <c r="N93" s="8"/>
      <c r="O93" s="231"/>
      <c r="P93" s="231"/>
      <c r="Q93" s="231"/>
      <c r="R93" s="231"/>
      <c r="S93" s="231"/>
      <c r="T93" s="231"/>
      <c r="U93" s="231"/>
      <c r="V93" s="231"/>
      <c r="W93" s="231"/>
      <c r="X93" s="231"/>
      <c r="Y93" s="231"/>
      <c r="Z93" s="231"/>
      <c r="AA93" s="231"/>
      <c r="AB93" s="231"/>
      <c r="AC93" s="231"/>
      <c r="AD93" s="231"/>
      <c r="AE93" s="231"/>
      <c r="AF93" s="231"/>
      <c r="AG93" s="231"/>
      <c r="AH93" s="231"/>
      <c r="AI93" s="231"/>
      <c r="AJ93" s="231"/>
      <c r="AK93" s="231"/>
      <c r="AL93" s="231"/>
      <c r="AM93" s="231"/>
      <c r="AN93" s="231"/>
      <c r="AO93" s="231"/>
      <c r="AP93" s="231"/>
      <c r="AQ93" s="231"/>
      <c r="AR93" s="231"/>
      <c r="AS93" s="231"/>
      <c r="AT93" s="231"/>
      <c r="AU93" s="231"/>
      <c r="AV93" s="231"/>
      <c r="AW93" s="231"/>
      <c r="AX93" s="231"/>
      <c r="AY93" s="231"/>
      <c r="AZ93" s="231"/>
      <c r="BA93" s="231"/>
      <c r="BB93" s="231"/>
      <c r="BC93" s="231"/>
      <c r="BD93" s="231"/>
      <c r="BE93" s="231"/>
      <c r="BF93" s="231"/>
      <c r="BG93" s="231"/>
      <c r="BH93" s="231"/>
      <c r="BI93" s="231"/>
      <c r="BJ93" s="231"/>
      <c r="BK93" s="231"/>
      <c r="BL93" s="231"/>
      <c r="BM93" s="231"/>
      <c r="BN93" s="231"/>
      <c r="BO93" s="231"/>
      <c r="BP93" s="231"/>
      <c r="BQ93" s="231"/>
      <c r="BR93" s="231"/>
      <c r="BS93" s="231"/>
    </row>
    <row r="94" spans="1:71" s="203" customFormat="1">
      <c r="A94" s="109" t="s">
        <v>83</v>
      </c>
      <c r="B94" s="132"/>
      <c r="C94" s="132"/>
      <c r="D94" s="132"/>
      <c r="E94" s="859"/>
      <c r="F94" s="854"/>
      <c r="G94" s="207"/>
      <c r="H94" s="857"/>
      <c r="I94" s="29"/>
      <c r="J94" s="15"/>
      <c r="K94" s="15"/>
      <c r="L94" s="15"/>
      <c r="M94" s="8"/>
      <c r="N94" s="8"/>
      <c r="O94" s="231"/>
      <c r="P94" s="231"/>
      <c r="Q94" s="231"/>
      <c r="R94" s="231"/>
      <c r="S94" s="231"/>
      <c r="T94" s="231"/>
      <c r="U94" s="231"/>
      <c r="V94" s="231"/>
      <c r="W94" s="231"/>
      <c r="X94" s="231"/>
      <c r="Y94" s="231"/>
      <c r="Z94" s="231"/>
      <c r="AA94" s="231"/>
      <c r="AB94" s="231"/>
      <c r="AC94" s="231"/>
      <c r="AD94" s="231"/>
      <c r="AE94" s="231"/>
      <c r="AF94" s="231"/>
      <c r="AG94" s="231"/>
      <c r="AH94" s="231"/>
      <c r="AI94" s="231"/>
      <c r="AJ94" s="231"/>
      <c r="AK94" s="231"/>
      <c r="AL94" s="231"/>
      <c r="AM94" s="231"/>
      <c r="AN94" s="231"/>
      <c r="AO94" s="231"/>
      <c r="AP94" s="231"/>
      <c r="AQ94" s="231"/>
      <c r="AR94" s="231"/>
      <c r="AS94" s="231"/>
      <c r="AT94" s="231"/>
      <c r="AU94" s="231"/>
      <c r="AV94" s="231"/>
      <c r="AW94" s="231"/>
      <c r="AX94" s="231"/>
      <c r="AY94" s="231"/>
      <c r="AZ94" s="231"/>
      <c r="BA94" s="231"/>
      <c r="BB94" s="231"/>
      <c r="BC94" s="231"/>
      <c r="BD94" s="231"/>
      <c r="BE94" s="231"/>
      <c r="BF94" s="231"/>
      <c r="BG94" s="231"/>
      <c r="BH94" s="231"/>
      <c r="BI94" s="231"/>
      <c r="BJ94" s="231"/>
      <c r="BK94" s="231"/>
      <c r="BL94" s="231"/>
      <c r="BM94" s="231"/>
      <c r="BN94" s="231"/>
      <c r="BO94" s="231"/>
      <c r="BP94" s="231"/>
      <c r="BQ94" s="231"/>
      <c r="BR94" s="231"/>
      <c r="BS94" s="231"/>
    </row>
    <row r="95" spans="1:71" s="203" customFormat="1">
      <c r="A95" s="110" t="s">
        <v>84</v>
      </c>
      <c r="B95" s="132"/>
      <c r="C95" s="132"/>
      <c r="D95" s="132"/>
      <c r="E95" s="860"/>
      <c r="F95" s="855"/>
      <c r="G95" s="207"/>
      <c r="H95" s="858"/>
      <c r="I95" s="130"/>
      <c r="J95" s="239"/>
      <c r="K95" s="239"/>
      <c r="L95" s="15"/>
      <c r="M95" s="8"/>
      <c r="N95" s="8"/>
      <c r="O95" s="231"/>
      <c r="P95" s="231"/>
      <c r="Q95" s="231"/>
      <c r="R95" s="231"/>
      <c r="S95" s="231"/>
      <c r="T95" s="231"/>
      <c r="U95" s="231"/>
      <c r="V95" s="231"/>
      <c r="W95" s="231"/>
      <c r="X95" s="231"/>
      <c r="Y95" s="231"/>
      <c r="Z95" s="231"/>
      <c r="AA95" s="231"/>
      <c r="AB95" s="231"/>
      <c r="AC95" s="231"/>
      <c r="AD95" s="231"/>
      <c r="AE95" s="231"/>
      <c r="AF95" s="231"/>
      <c r="AG95" s="231"/>
      <c r="AH95" s="231"/>
      <c r="AI95" s="231"/>
      <c r="AJ95" s="231"/>
      <c r="AK95" s="231"/>
      <c r="AL95" s="231"/>
      <c r="AM95" s="231"/>
      <c r="AN95" s="231"/>
      <c r="AO95" s="231"/>
      <c r="AP95" s="231"/>
      <c r="AQ95" s="231"/>
      <c r="AR95" s="231"/>
      <c r="AS95" s="231"/>
      <c r="AT95" s="231"/>
      <c r="AU95" s="231"/>
      <c r="AV95" s="231"/>
      <c r="AW95" s="231"/>
      <c r="AX95" s="231"/>
      <c r="AY95" s="231"/>
      <c r="AZ95" s="231"/>
      <c r="BA95" s="231"/>
      <c r="BB95" s="231"/>
      <c r="BC95" s="231"/>
      <c r="BD95" s="231"/>
      <c r="BE95" s="231"/>
      <c r="BF95" s="231"/>
      <c r="BG95" s="231"/>
      <c r="BH95" s="231"/>
      <c r="BI95" s="231"/>
      <c r="BJ95" s="231"/>
      <c r="BK95" s="231"/>
      <c r="BL95" s="231"/>
      <c r="BM95" s="231"/>
      <c r="BN95" s="231"/>
      <c r="BO95" s="231"/>
      <c r="BP95" s="231"/>
      <c r="BQ95" s="231"/>
      <c r="BR95" s="231"/>
      <c r="BS95" s="231"/>
    </row>
    <row r="96" spans="1:71" s="203" customFormat="1">
      <c r="A96" s="120">
        <v>1</v>
      </c>
      <c r="B96" s="47" t="s">
        <v>104</v>
      </c>
      <c r="C96" s="47"/>
      <c r="D96" s="47"/>
      <c r="E96" s="41">
        <f>SUM('Aberdeen City:West Lothian'!E96)</f>
        <v>14855.524192068682</v>
      </c>
      <c r="F96" s="52">
        <f>SUM('Aberdeen City:West Lothian'!F96)</f>
        <v>32785.17</v>
      </c>
      <c r="G96" s="711"/>
      <c r="H96" s="133">
        <f>SUM('Aberdeen City:West Lothian'!H96)</f>
        <v>33195.199819166664</v>
      </c>
      <c r="I96" s="139"/>
      <c r="J96" s="258"/>
      <c r="K96" s="258"/>
      <c r="L96" s="15"/>
      <c r="M96" s="8"/>
      <c r="N96" s="8"/>
      <c r="O96" s="231"/>
      <c r="P96" s="231"/>
      <c r="Q96" s="231"/>
      <c r="R96" s="231"/>
      <c r="S96" s="231"/>
      <c r="T96" s="231"/>
      <c r="U96" s="231"/>
      <c r="V96" s="231"/>
      <c r="W96" s="231"/>
      <c r="X96" s="231"/>
      <c r="Y96" s="231"/>
      <c r="Z96" s="231"/>
      <c r="AA96" s="231"/>
      <c r="AB96" s="231"/>
      <c r="AC96" s="231"/>
      <c r="AD96" s="231"/>
      <c r="AE96" s="231"/>
      <c r="AF96" s="231"/>
      <c r="AG96" s="231"/>
      <c r="AH96" s="231"/>
      <c r="AI96" s="231"/>
      <c r="AJ96" s="231"/>
      <c r="AK96" s="231"/>
      <c r="AL96" s="231"/>
      <c r="AM96" s="231"/>
      <c r="AN96" s="231"/>
      <c r="AO96" s="231"/>
      <c r="AP96" s="231"/>
      <c r="AQ96" s="231"/>
      <c r="AR96" s="231"/>
      <c r="AS96" s="231"/>
      <c r="AT96" s="231"/>
      <c r="AU96" s="231"/>
      <c r="AV96" s="231"/>
      <c r="AW96" s="231"/>
      <c r="AX96" s="231"/>
      <c r="AY96" s="231"/>
      <c r="AZ96" s="231"/>
      <c r="BA96" s="231"/>
      <c r="BB96" s="231"/>
      <c r="BC96" s="231"/>
      <c r="BD96" s="231"/>
      <c r="BE96" s="231"/>
      <c r="BF96" s="231"/>
      <c r="BG96" s="231"/>
      <c r="BH96" s="231"/>
      <c r="BI96" s="231"/>
      <c r="BJ96" s="231"/>
      <c r="BK96" s="231"/>
      <c r="BL96" s="231"/>
      <c r="BM96" s="231"/>
      <c r="BN96" s="231"/>
      <c r="BO96" s="231"/>
      <c r="BP96" s="231"/>
      <c r="BQ96" s="231"/>
      <c r="BR96" s="231"/>
      <c r="BS96" s="231"/>
    </row>
    <row r="97" spans="1:71" s="203" customFormat="1">
      <c r="A97" s="120">
        <v>2</v>
      </c>
      <c r="B97" s="47" t="s">
        <v>105</v>
      </c>
      <c r="C97" s="47"/>
      <c r="D97" s="47"/>
      <c r="E97" s="49">
        <f>SUM('Aberdeen City:West Lothian'!E97)</f>
        <v>822.14586985567655</v>
      </c>
      <c r="F97" s="52">
        <f>SUM('Aberdeen City:West Lothian'!F97)</f>
        <v>815.67000000000007</v>
      </c>
      <c r="G97" s="711"/>
      <c r="H97" s="122">
        <f>SUM('Aberdeen City:West Lothian'!H97)</f>
        <v>756.67000000000007</v>
      </c>
      <c r="I97" s="139"/>
      <c r="J97" s="258"/>
      <c r="K97" s="258"/>
      <c r="L97" s="15"/>
      <c r="M97" s="8"/>
      <c r="N97" s="8"/>
      <c r="O97" s="231"/>
      <c r="P97" s="231"/>
      <c r="Q97" s="231"/>
      <c r="R97" s="231"/>
      <c r="S97" s="231"/>
      <c r="T97" s="231"/>
      <c r="U97" s="231"/>
      <c r="V97" s="231"/>
      <c r="W97" s="231"/>
      <c r="X97" s="231"/>
      <c r="Y97" s="231"/>
      <c r="Z97" s="231"/>
      <c r="AA97" s="231"/>
      <c r="AB97" s="231"/>
      <c r="AC97" s="231"/>
      <c r="AD97" s="231"/>
      <c r="AE97" s="231"/>
      <c r="AF97" s="231"/>
      <c r="AG97" s="231"/>
      <c r="AH97" s="231"/>
      <c r="AI97" s="231"/>
      <c r="AJ97" s="231"/>
      <c r="AK97" s="231"/>
      <c r="AL97" s="231"/>
      <c r="AM97" s="231"/>
      <c r="AN97" s="231"/>
      <c r="AO97" s="231"/>
      <c r="AP97" s="231"/>
      <c r="AQ97" s="231"/>
      <c r="AR97" s="231"/>
      <c r="AS97" s="231"/>
      <c r="AT97" s="231"/>
      <c r="AU97" s="231"/>
      <c r="AV97" s="231"/>
      <c r="AW97" s="231"/>
      <c r="AX97" s="231"/>
      <c r="AY97" s="231"/>
      <c r="AZ97" s="231"/>
      <c r="BA97" s="231"/>
      <c r="BB97" s="231"/>
      <c r="BC97" s="231"/>
      <c r="BD97" s="231"/>
      <c r="BE97" s="231"/>
      <c r="BF97" s="231"/>
      <c r="BG97" s="231"/>
      <c r="BH97" s="231"/>
      <c r="BI97" s="231"/>
      <c r="BJ97" s="231"/>
      <c r="BK97" s="231"/>
      <c r="BL97" s="231"/>
      <c r="BM97" s="231"/>
      <c r="BN97" s="231"/>
      <c r="BO97" s="231"/>
      <c r="BP97" s="231"/>
      <c r="BQ97" s="231"/>
      <c r="BR97" s="231"/>
      <c r="BS97" s="231"/>
    </row>
    <row r="98" spans="1:71" s="203" customFormat="1">
      <c r="A98" s="120">
        <v>3</v>
      </c>
      <c r="B98" s="47" t="s">
        <v>106</v>
      </c>
      <c r="C98" s="47"/>
      <c r="D98" s="47"/>
      <c r="E98" s="114">
        <f>SUM('Aberdeen City:West Lothian'!E98)</f>
        <v>909475.55400627607</v>
      </c>
      <c r="F98" s="50">
        <f>F115</f>
        <v>930475</v>
      </c>
      <c r="G98" s="711"/>
      <c r="H98" s="50">
        <f>H115</f>
        <v>916522.57000000007</v>
      </c>
      <c r="I98" s="139"/>
      <c r="J98" s="258"/>
      <c r="K98" s="258"/>
      <c r="L98" s="15"/>
      <c r="M98" s="8"/>
      <c r="N98" s="8"/>
      <c r="O98" s="231"/>
      <c r="P98" s="231"/>
      <c r="Q98" s="231"/>
      <c r="R98" s="231"/>
      <c r="S98" s="231"/>
      <c r="T98" s="231"/>
      <c r="U98" s="231"/>
      <c r="V98" s="231"/>
      <c r="W98" s="231"/>
      <c r="X98" s="231"/>
      <c r="Y98" s="231"/>
      <c r="Z98" s="231"/>
      <c r="AA98" s="231"/>
      <c r="AB98" s="231"/>
      <c r="AC98" s="231"/>
      <c r="AD98" s="231"/>
      <c r="AE98" s="231"/>
      <c r="AF98" s="231"/>
      <c r="AG98" s="231"/>
      <c r="AH98" s="231"/>
      <c r="AI98" s="231"/>
      <c r="AJ98" s="231"/>
      <c r="AK98" s="231"/>
      <c r="AL98" s="231"/>
      <c r="AM98" s="231"/>
      <c r="AN98" s="231"/>
      <c r="AO98" s="231"/>
      <c r="AP98" s="231"/>
      <c r="AQ98" s="231"/>
      <c r="AR98" s="231"/>
      <c r="AS98" s="231"/>
      <c r="AT98" s="231"/>
      <c r="AU98" s="231"/>
      <c r="AV98" s="231"/>
      <c r="AW98" s="231"/>
      <c r="AX98" s="231"/>
      <c r="AY98" s="231"/>
      <c r="AZ98" s="231"/>
      <c r="BA98" s="231"/>
      <c r="BB98" s="231"/>
      <c r="BC98" s="231"/>
      <c r="BD98" s="231"/>
      <c r="BE98" s="231"/>
      <c r="BF98" s="231"/>
      <c r="BG98" s="231"/>
      <c r="BH98" s="231"/>
      <c r="BI98" s="231"/>
      <c r="BJ98" s="231"/>
      <c r="BK98" s="231"/>
      <c r="BL98" s="231"/>
      <c r="BM98" s="231"/>
      <c r="BN98" s="231"/>
      <c r="BO98" s="231"/>
      <c r="BP98" s="231"/>
      <c r="BQ98" s="231"/>
      <c r="BR98" s="231"/>
      <c r="BS98" s="231"/>
    </row>
    <row r="99" spans="1:71" s="203" customFormat="1">
      <c r="A99" s="120">
        <v>4</v>
      </c>
      <c r="B99" s="47" t="s">
        <v>107</v>
      </c>
      <c r="C99" s="47"/>
      <c r="D99" s="47"/>
      <c r="E99" s="114">
        <f>SUM('Aberdeen City:West Lothian'!E99)</f>
        <v>1322379.0288333306</v>
      </c>
      <c r="F99" s="50">
        <f>F125</f>
        <v>1345130</v>
      </c>
      <c r="G99" s="711"/>
      <c r="H99" s="50">
        <f>H125</f>
        <v>1395529</v>
      </c>
      <c r="I99" s="139"/>
      <c r="J99" s="258"/>
      <c r="K99" s="258"/>
      <c r="L99" s="15"/>
      <c r="M99" s="8"/>
      <c r="N99" s="8"/>
      <c r="O99" s="231"/>
      <c r="P99" s="231"/>
      <c r="Q99" s="231"/>
      <c r="R99" s="231"/>
      <c r="S99" s="231"/>
      <c r="T99" s="231"/>
      <c r="U99" s="231"/>
      <c r="V99" s="231"/>
      <c r="W99" s="231"/>
      <c r="X99" s="231"/>
      <c r="Y99" s="231"/>
      <c r="Z99" s="231"/>
      <c r="AA99" s="231"/>
      <c r="AB99" s="231"/>
      <c r="AC99" s="231"/>
      <c r="AD99" s="231"/>
      <c r="AE99" s="231"/>
      <c r="AF99" s="231"/>
      <c r="AG99" s="231"/>
      <c r="AH99" s="231"/>
      <c r="AI99" s="231"/>
      <c r="AJ99" s="231"/>
      <c r="AK99" s="231"/>
      <c r="AL99" s="231"/>
      <c r="AM99" s="231"/>
      <c r="AN99" s="231"/>
      <c r="AO99" s="231"/>
      <c r="AP99" s="231"/>
      <c r="AQ99" s="231"/>
      <c r="AR99" s="231"/>
      <c r="AS99" s="231"/>
      <c r="AT99" s="231"/>
      <c r="AU99" s="231"/>
      <c r="AV99" s="231"/>
      <c r="AW99" s="231"/>
      <c r="AX99" s="231"/>
      <c r="AY99" s="231"/>
      <c r="AZ99" s="231"/>
      <c r="BA99" s="231"/>
      <c r="BB99" s="231"/>
      <c r="BC99" s="231"/>
      <c r="BD99" s="231"/>
      <c r="BE99" s="231"/>
      <c r="BF99" s="231"/>
      <c r="BG99" s="231"/>
      <c r="BH99" s="231"/>
      <c r="BI99" s="231"/>
      <c r="BJ99" s="231"/>
      <c r="BK99" s="231"/>
      <c r="BL99" s="231"/>
      <c r="BM99" s="231"/>
      <c r="BN99" s="231"/>
      <c r="BO99" s="231"/>
      <c r="BP99" s="231"/>
      <c r="BQ99" s="231"/>
      <c r="BR99" s="231"/>
      <c r="BS99" s="231"/>
    </row>
    <row r="100" spans="1:71" s="203" customFormat="1">
      <c r="A100" s="120">
        <v>5</v>
      </c>
      <c r="B100" s="47" t="s">
        <v>108</v>
      </c>
      <c r="C100" s="47"/>
      <c r="D100" s="47"/>
      <c r="E100" s="114">
        <f>SUM('Aberdeen City:West Lothian'!E100)</f>
        <v>212150.83150262389</v>
      </c>
      <c r="F100" s="50">
        <f>F135</f>
        <v>217036</v>
      </c>
      <c r="G100" s="711"/>
      <c r="H100" s="50">
        <f>H135</f>
        <v>221058</v>
      </c>
      <c r="I100" s="139"/>
      <c r="J100" s="258"/>
      <c r="K100" s="258"/>
      <c r="L100" s="15"/>
      <c r="M100" s="8"/>
      <c r="N100" s="8"/>
      <c r="O100" s="231"/>
      <c r="P100" s="231"/>
      <c r="Q100" s="231"/>
      <c r="R100" s="231"/>
      <c r="S100" s="231"/>
      <c r="T100" s="231"/>
      <c r="U100" s="231"/>
      <c r="V100" s="231"/>
      <c r="W100" s="231"/>
      <c r="X100" s="231"/>
      <c r="Y100" s="231"/>
      <c r="Z100" s="231"/>
      <c r="AA100" s="231"/>
      <c r="AB100" s="231"/>
      <c r="AC100" s="231"/>
      <c r="AD100" s="231"/>
      <c r="AE100" s="231"/>
      <c r="AF100" s="231"/>
      <c r="AG100" s="231"/>
      <c r="AH100" s="231"/>
      <c r="AI100" s="231"/>
      <c r="AJ100" s="231"/>
      <c r="AK100" s="231"/>
      <c r="AL100" s="231"/>
      <c r="AM100" s="231"/>
      <c r="AN100" s="231"/>
      <c r="AO100" s="231"/>
      <c r="AP100" s="231"/>
      <c r="AQ100" s="231"/>
      <c r="AR100" s="231"/>
      <c r="AS100" s="231"/>
      <c r="AT100" s="231"/>
      <c r="AU100" s="231"/>
      <c r="AV100" s="231"/>
      <c r="AW100" s="231"/>
      <c r="AX100" s="231"/>
      <c r="AY100" s="231"/>
      <c r="AZ100" s="231"/>
      <c r="BA100" s="231"/>
      <c r="BB100" s="231"/>
      <c r="BC100" s="231"/>
      <c r="BD100" s="231"/>
      <c r="BE100" s="231"/>
      <c r="BF100" s="231"/>
      <c r="BG100" s="231"/>
      <c r="BH100" s="231"/>
      <c r="BI100" s="231"/>
      <c r="BJ100" s="231"/>
      <c r="BK100" s="231"/>
      <c r="BL100" s="231"/>
      <c r="BM100" s="231"/>
      <c r="BN100" s="231"/>
      <c r="BO100" s="231"/>
      <c r="BP100" s="231"/>
      <c r="BQ100" s="231"/>
      <c r="BR100" s="231"/>
      <c r="BS100" s="231"/>
    </row>
    <row r="101" spans="1:71" s="203" customFormat="1">
      <c r="A101" s="120">
        <v>6</v>
      </c>
      <c r="B101" s="47" t="s">
        <v>109</v>
      </c>
      <c r="C101" s="47"/>
      <c r="D101" s="47"/>
      <c r="E101" s="114">
        <f>SUM('Aberdeen City:West Lothian'!E101)</f>
        <v>561088.97869730275</v>
      </c>
      <c r="F101" s="50">
        <f>F143</f>
        <v>572998</v>
      </c>
      <c r="G101" s="711"/>
      <c r="H101" s="50">
        <f>H143</f>
        <v>596328</v>
      </c>
      <c r="I101" s="139"/>
      <c r="J101" s="258"/>
      <c r="K101" s="258"/>
      <c r="L101" s="15"/>
      <c r="M101" s="8"/>
      <c r="N101" s="8"/>
      <c r="O101" s="231"/>
      <c r="P101" s="231"/>
      <c r="Q101" s="231"/>
      <c r="R101" s="231"/>
      <c r="S101" s="231"/>
      <c r="T101" s="231"/>
      <c r="U101" s="231"/>
      <c r="V101" s="231"/>
      <c r="W101" s="231"/>
      <c r="X101" s="231"/>
      <c r="Y101" s="231"/>
      <c r="Z101" s="231"/>
      <c r="AA101" s="231"/>
      <c r="AB101" s="231"/>
      <c r="AC101" s="231"/>
      <c r="AD101" s="231"/>
      <c r="AE101" s="231"/>
      <c r="AF101" s="231"/>
      <c r="AG101" s="231"/>
      <c r="AH101" s="231"/>
      <c r="AI101" s="231"/>
      <c r="AJ101" s="231"/>
      <c r="AK101" s="231"/>
      <c r="AL101" s="231"/>
      <c r="AM101" s="231"/>
      <c r="AN101" s="231"/>
      <c r="AO101" s="231"/>
      <c r="AP101" s="231"/>
      <c r="AQ101" s="231"/>
      <c r="AR101" s="231"/>
      <c r="AS101" s="231"/>
      <c r="AT101" s="231"/>
      <c r="AU101" s="231"/>
      <c r="AV101" s="231"/>
      <c r="AW101" s="231"/>
      <c r="AX101" s="231"/>
      <c r="AY101" s="231"/>
      <c r="AZ101" s="231"/>
      <c r="BA101" s="231"/>
      <c r="BB101" s="231"/>
      <c r="BC101" s="231"/>
      <c r="BD101" s="231"/>
      <c r="BE101" s="231"/>
      <c r="BF101" s="231"/>
      <c r="BG101" s="231"/>
      <c r="BH101" s="231"/>
      <c r="BI101" s="231"/>
      <c r="BJ101" s="231"/>
      <c r="BK101" s="231"/>
      <c r="BL101" s="231"/>
      <c r="BM101" s="231"/>
      <c r="BN101" s="231"/>
      <c r="BO101" s="231"/>
      <c r="BP101" s="231"/>
      <c r="BQ101" s="231"/>
      <c r="BR101" s="231"/>
      <c r="BS101" s="231"/>
    </row>
    <row r="102" spans="1:71" s="203" customFormat="1">
      <c r="A102" s="120">
        <v>7</v>
      </c>
      <c r="B102" s="47" t="s">
        <v>110</v>
      </c>
      <c r="C102" s="47"/>
      <c r="D102" s="47"/>
      <c r="E102" s="114">
        <f>SUM('Aberdeen City:West Lothian'!E102)</f>
        <v>107065.70707374523</v>
      </c>
      <c r="F102" s="50">
        <f>F150</f>
        <v>106518</v>
      </c>
      <c r="G102" s="711"/>
      <c r="H102" s="50">
        <f>H150</f>
        <v>114063</v>
      </c>
      <c r="I102" s="139"/>
      <c r="J102" s="258"/>
      <c r="K102" s="258"/>
      <c r="L102" s="15"/>
      <c r="M102" s="8"/>
      <c r="N102" s="8"/>
      <c r="O102" s="231"/>
      <c r="P102" s="231"/>
      <c r="Q102" s="231"/>
      <c r="R102" s="231"/>
      <c r="S102" s="231"/>
      <c r="T102" s="231"/>
      <c r="U102" s="231"/>
      <c r="V102" s="231"/>
      <c r="W102" s="231"/>
      <c r="X102" s="231"/>
      <c r="Y102" s="231"/>
      <c r="Z102" s="231"/>
      <c r="AA102" s="231"/>
      <c r="AB102" s="231"/>
      <c r="AC102" s="231"/>
      <c r="AD102" s="231"/>
      <c r="AE102" s="231"/>
      <c r="AF102" s="231"/>
      <c r="AG102" s="231"/>
      <c r="AH102" s="231"/>
      <c r="AI102" s="231"/>
      <c r="AJ102" s="231"/>
      <c r="AK102" s="231"/>
      <c r="AL102" s="231"/>
      <c r="AM102" s="231"/>
      <c r="AN102" s="231"/>
      <c r="AO102" s="231"/>
      <c r="AP102" s="231"/>
      <c r="AQ102" s="231"/>
      <c r="AR102" s="231"/>
      <c r="AS102" s="231"/>
      <c r="AT102" s="231"/>
      <c r="AU102" s="231"/>
      <c r="AV102" s="231"/>
      <c r="AW102" s="231"/>
      <c r="AX102" s="231"/>
      <c r="AY102" s="231"/>
      <c r="AZ102" s="231"/>
      <c r="BA102" s="231"/>
      <c r="BB102" s="231"/>
      <c r="BC102" s="231"/>
      <c r="BD102" s="231"/>
      <c r="BE102" s="231"/>
      <c r="BF102" s="231"/>
      <c r="BG102" s="231"/>
      <c r="BH102" s="231"/>
      <c r="BI102" s="231"/>
      <c r="BJ102" s="231"/>
      <c r="BK102" s="231"/>
      <c r="BL102" s="231"/>
      <c r="BM102" s="231"/>
      <c r="BN102" s="231"/>
      <c r="BO102" s="231"/>
      <c r="BP102" s="231"/>
      <c r="BQ102" s="231"/>
      <c r="BR102" s="231"/>
      <c r="BS102" s="231"/>
    </row>
    <row r="103" spans="1:71" s="203" customFormat="1">
      <c r="A103" s="120">
        <v>8</v>
      </c>
      <c r="B103" s="47" t="s">
        <v>111</v>
      </c>
      <c r="C103" s="47"/>
      <c r="D103" s="47"/>
      <c r="E103" s="114">
        <f>SUM('Aberdeen City:West Lothian'!E103)</f>
        <v>42293.228230938657</v>
      </c>
      <c r="F103" s="52">
        <f>SUM('Aberdeen City:West Lothian'!F103)</f>
        <v>40802.19</v>
      </c>
      <c r="G103" s="711"/>
      <c r="H103" s="122">
        <f>SUM('Aberdeen City:West Lothian'!H103)</f>
        <v>43783.09</v>
      </c>
      <c r="I103" s="139"/>
      <c r="J103" s="258"/>
      <c r="K103" s="258"/>
      <c r="L103" s="15"/>
      <c r="M103" s="8"/>
      <c r="N103" s="8"/>
      <c r="O103" s="231"/>
      <c r="P103" s="231"/>
      <c r="Q103" s="231"/>
      <c r="R103" s="231"/>
      <c r="S103" s="231"/>
      <c r="T103" s="231"/>
      <c r="U103" s="231"/>
      <c r="V103" s="231"/>
      <c r="W103" s="231"/>
      <c r="X103" s="231"/>
      <c r="Y103" s="231"/>
      <c r="Z103" s="231"/>
      <c r="AA103" s="231"/>
      <c r="AB103" s="231"/>
      <c r="AC103" s="231"/>
      <c r="AD103" s="231"/>
      <c r="AE103" s="231"/>
      <c r="AF103" s="231"/>
      <c r="AG103" s="231"/>
      <c r="AH103" s="231"/>
      <c r="AI103" s="231"/>
      <c r="AJ103" s="231"/>
      <c r="AK103" s="231"/>
      <c r="AL103" s="231"/>
      <c r="AM103" s="231"/>
      <c r="AN103" s="231"/>
      <c r="AO103" s="231"/>
      <c r="AP103" s="231"/>
      <c r="AQ103" s="231"/>
      <c r="AR103" s="231"/>
      <c r="AS103" s="231"/>
      <c r="AT103" s="231"/>
      <c r="AU103" s="231"/>
      <c r="AV103" s="231"/>
      <c r="AW103" s="231"/>
      <c r="AX103" s="231"/>
      <c r="AY103" s="231"/>
      <c r="AZ103" s="231"/>
      <c r="BA103" s="231"/>
      <c r="BB103" s="231"/>
      <c r="BC103" s="231"/>
      <c r="BD103" s="231"/>
      <c r="BE103" s="231"/>
      <c r="BF103" s="231"/>
      <c r="BG103" s="231"/>
      <c r="BH103" s="231"/>
      <c r="BI103" s="231"/>
      <c r="BJ103" s="231"/>
      <c r="BK103" s="231"/>
      <c r="BL103" s="231"/>
      <c r="BM103" s="231"/>
      <c r="BN103" s="231"/>
      <c r="BO103" s="231"/>
      <c r="BP103" s="231"/>
      <c r="BQ103" s="231"/>
      <c r="BR103" s="231"/>
      <c r="BS103" s="231"/>
    </row>
    <row r="104" spans="1:71" s="203" customFormat="1">
      <c r="A104" s="120">
        <v>9</v>
      </c>
      <c r="B104" s="47" t="s">
        <v>112</v>
      </c>
      <c r="C104" s="47"/>
      <c r="D104" s="47"/>
      <c r="E104" s="114">
        <f>SUM('Aberdeen City:West Lothian'!E104)</f>
        <v>89889.411023978362</v>
      </c>
      <c r="F104" s="52">
        <f>SUM('Aberdeen City:West Lothian'!F104)</f>
        <v>87332</v>
      </c>
      <c r="G104" s="711"/>
      <c r="H104" s="122">
        <f>SUM('Aberdeen City:West Lothian'!H104)</f>
        <v>92950</v>
      </c>
      <c r="I104" s="139"/>
      <c r="J104" s="258"/>
      <c r="K104" s="258"/>
      <c r="L104" s="15"/>
      <c r="M104" s="8"/>
      <c r="N104" s="8"/>
      <c r="O104" s="231"/>
      <c r="P104" s="231"/>
      <c r="Q104" s="231"/>
      <c r="R104" s="231"/>
      <c r="S104" s="231"/>
      <c r="T104" s="231"/>
      <c r="U104" s="231"/>
      <c r="V104" s="231"/>
      <c r="W104" s="231"/>
      <c r="X104" s="231"/>
      <c r="Y104" s="231"/>
      <c r="Z104" s="231"/>
      <c r="AA104" s="231"/>
      <c r="AB104" s="231"/>
      <c r="AC104" s="231"/>
      <c r="AD104" s="231"/>
      <c r="AE104" s="231"/>
      <c r="AF104" s="231"/>
      <c r="AG104" s="231"/>
      <c r="AH104" s="231"/>
      <c r="AI104" s="231"/>
      <c r="AJ104" s="231"/>
      <c r="AK104" s="231"/>
      <c r="AL104" s="231"/>
      <c r="AM104" s="231"/>
      <c r="AN104" s="231"/>
      <c r="AO104" s="231"/>
      <c r="AP104" s="231"/>
      <c r="AQ104" s="231"/>
      <c r="AR104" s="231"/>
      <c r="AS104" s="231"/>
      <c r="AT104" s="231"/>
      <c r="AU104" s="231"/>
      <c r="AV104" s="231"/>
      <c r="AW104" s="231"/>
      <c r="AX104" s="231"/>
      <c r="AY104" s="231"/>
      <c r="AZ104" s="231"/>
      <c r="BA104" s="231"/>
      <c r="BB104" s="231"/>
      <c r="BC104" s="231"/>
      <c r="BD104" s="231"/>
      <c r="BE104" s="231"/>
      <c r="BF104" s="231"/>
      <c r="BG104" s="231"/>
      <c r="BH104" s="231"/>
      <c r="BI104" s="231"/>
      <c r="BJ104" s="231"/>
      <c r="BK104" s="231"/>
      <c r="BL104" s="231"/>
      <c r="BM104" s="231"/>
      <c r="BN104" s="231"/>
      <c r="BO104" s="231"/>
      <c r="BP104" s="231"/>
      <c r="BQ104" s="231"/>
      <c r="BR104" s="231"/>
      <c r="BS104" s="231"/>
    </row>
    <row r="105" spans="1:71" s="203" customFormat="1">
      <c r="A105" s="111" t="s">
        <v>113</v>
      </c>
      <c r="B105" s="116" t="s">
        <v>114</v>
      </c>
      <c r="C105" s="116"/>
      <c r="D105" s="47"/>
      <c r="E105" s="134">
        <f>SUM('Aberdeen City:West Lothian'!E105)</f>
        <v>3260020.4094301201</v>
      </c>
      <c r="F105" s="61">
        <f>SUM(F96:F104)</f>
        <v>3333892.03</v>
      </c>
      <c r="G105" s="118"/>
      <c r="H105" s="61">
        <f>SUM(H96:H104)</f>
        <v>3414185.5298191663</v>
      </c>
      <c r="I105" s="139"/>
      <c r="J105" s="258"/>
      <c r="K105" s="258"/>
      <c r="L105" s="15"/>
      <c r="M105" s="8"/>
      <c r="N105" s="8"/>
      <c r="O105" s="231"/>
      <c r="P105" s="231"/>
      <c r="Q105" s="231"/>
      <c r="R105" s="231"/>
      <c r="S105" s="231"/>
      <c r="T105" s="231"/>
      <c r="U105" s="231"/>
      <c r="V105" s="231"/>
      <c r="W105" s="231"/>
      <c r="X105" s="231"/>
      <c r="Y105" s="231"/>
      <c r="Z105" s="231"/>
      <c r="AA105" s="231"/>
      <c r="AB105" s="231"/>
      <c r="AC105" s="231"/>
      <c r="AD105" s="231"/>
      <c r="AE105" s="231"/>
      <c r="AF105" s="231"/>
      <c r="AG105" s="231"/>
      <c r="AH105" s="231"/>
      <c r="AI105" s="231"/>
      <c r="AJ105" s="231"/>
      <c r="AK105" s="231"/>
      <c r="AL105" s="231"/>
      <c r="AM105" s="231"/>
      <c r="AN105" s="231"/>
      <c r="AO105" s="231"/>
      <c r="AP105" s="231"/>
      <c r="AQ105" s="231"/>
      <c r="AR105" s="231"/>
      <c r="AS105" s="231"/>
      <c r="AT105" s="231"/>
      <c r="AU105" s="231"/>
      <c r="AV105" s="231"/>
      <c r="AW105" s="231"/>
      <c r="AX105" s="231"/>
      <c r="AY105" s="231"/>
      <c r="AZ105" s="231"/>
      <c r="BA105" s="231"/>
      <c r="BB105" s="231"/>
      <c r="BC105" s="231"/>
      <c r="BD105" s="231"/>
      <c r="BE105" s="231"/>
      <c r="BF105" s="231"/>
      <c r="BG105" s="231"/>
      <c r="BH105" s="231"/>
      <c r="BI105" s="231"/>
      <c r="BJ105" s="231"/>
      <c r="BK105" s="231"/>
      <c r="BL105" s="231"/>
      <c r="BM105" s="231"/>
      <c r="BN105" s="231"/>
      <c r="BO105" s="231"/>
      <c r="BP105" s="231"/>
      <c r="BQ105" s="231"/>
      <c r="BR105" s="231"/>
      <c r="BS105" s="231"/>
    </row>
    <row r="106" spans="1:71" s="203" customFormat="1">
      <c r="A106" s="120">
        <v>11</v>
      </c>
      <c r="B106" s="90" t="s">
        <v>115</v>
      </c>
      <c r="C106" s="47"/>
      <c r="D106" s="47"/>
      <c r="E106" s="135">
        <f>SUM('Aberdeen City:West Lothian'!E106)</f>
        <v>5183</v>
      </c>
      <c r="F106" s="136">
        <f>SUM('Aberdeen City:West Lothian'!F106)</f>
        <v>5778</v>
      </c>
      <c r="G106" s="118"/>
      <c r="H106" s="137">
        <f>SUM('Aberdeen City:West Lothian'!H106)</f>
        <v>5840</v>
      </c>
      <c r="I106" s="139"/>
      <c r="J106" s="258"/>
      <c r="K106" s="258"/>
      <c r="L106" s="15"/>
      <c r="M106" s="8"/>
      <c r="N106" s="8"/>
      <c r="O106" s="231"/>
      <c r="P106" s="231"/>
      <c r="Q106" s="231"/>
      <c r="R106" s="231"/>
      <c r="S106" s="231"/>
      <c r="T106" s="231"/>
      <c r="U106" s="231"/>
      <c r="V106" s="231"/>
      <c r="W106" s="231"/>
      <c r="X106" s="231"/>
      <c r="Y106" s="231"/>
      <c r="Z106" s="231"/>
      <c r="AA106" s="231"/>
      <c r="AB106" s="231"/>
      <c r="AC106" s="231"/>
      <c r="AD106" s="231"/>
      <c r="AE106" s="231"/>
      <c r="AF106" s="231"/>
      <c r="AG106" s="231"/>
      <c r="AH106" s="231"/>
      <c r="AI106" s="231"/>
      <c r="AJ106" s="231"/>
      <c r="AK106" s="231"/>
      <c r="AL106" s="231"/>
      <c r="AM106" s="231"/>
      <c r="AN106" s="231"/>
      <c r="AO106" s="231"/>
      <c r="AP106" s="231"/>
      <c r="AQ106" s="231"/>
      <c r="AR106" s="231"/>
      <c r="AS106" s="231"/>
      <c r="AT106" s="231"/>
      <c r="AU106" s="231"/>
      <c r="AV106" s="231"/>
      <c r="AW106" s="231"/>
      <c r="AX106" s="231"/>
      <c r="AY106" s="231"/>
      <c r="AZ106" s="231"/>
      <c r="BA106" s="231"/>
      <c r="BB106" s="231"/>
      <c r="BC106" s="231"/>
      <c r="BD106" s="231"/>
      <c r="BE106" s="231"/>
      <c r="BF106" s="231"/>
      <c r="BG106" s="231"/>
      <c r="BH106" s="231"/>
      <c r="BI106" s="231"/>
      <c r="BJ106" s="231"/>
      <c r="BK106" s="231"/>
      <c r="BL106" s="231"/>
      <c r="BM106" s="231"/>
      <c r="BN106" s="231"/>
      <c r="BO106" s="231"/>
      <c r="BP106" s="231"/>
      <c r="BQ106" s="231"/>
      <c r="BR106" s="231"/>
      <c r="BS106" s="231"/>
    </row>
    <row r="107" spans="1:71" s="203" customFormat="1">
      <c r="A107" s="111"/>
      <c r="B107" s="47"/>
      <c r="C107" s="47"/>
      <c r="D107" s="138"/>
      <c r="E107" s="117"/>
      <c r="F107" s="139"/>
      <c r="G107" s="139"/>
      <c r="H107" s="139"/>
      <c r="I107" s="139"/>
      <c r="J107" s="258"/>
      <c r="K107" s="258"/>
      <c r="L107" s="15"/>
      <c r="M107" s="8"/>
      <c r="N107" s="8"/>
      <c r="O107" s="231"/>
      <c r="P107" s="231"/>
      <c r="Q107" s="231"/>
      <c r="R107" s="231"/>
      <c r="S107" s="231"/>
      <c r="T107" s="231"/>
      <c r="U107" s="231"/>
      <c r="V107" s="231"/>
      <c r="W107" s="231"/>
      <c r="X107" s="231"/>
      <c r="Y107" s="231"/>
      <c r="Z107" s="231"/>
      <c r="AA107" s="231"/>
      <c r="AB107" s="231"/>
      <c r="AC107" s="231"/>
      <c r="AD107" s="231"/>
      <c r="AE107" s="231"/>
      <c r="AF107" s="231"/>
      <c r="AG107" s="231"/>
      <c r="AH107" s="231"/>
      <c r="AI107" s="231"/>
      <c r="AJ107" s="231"/>
      <c r="AK107" s="231"/>
      <c r="AL107" s="231"/>
      <c r="AM107" s="231"/>
      <c r="AN107" s="231"/>
      <c r="AO107" s="231"/>
      <c r="AP107" s="231"/>
      <c r="AQ107" s="231"/>
      <c r="AR107" s="231"/>
      <c r="AS107" s="231"/>
      <c r="AT107" s="231"/>
      <c r="AU107" s="231"/>
      <c r="AV107" s="231"/>
      <c r="AW107" s="231"/>
      <c r="AX107" s="231"/>
      <c r="AY107" s="231"/>
      <c r="AZ107" s="231"/>
      <c r="BA107" s="231"/>
      <c r="BB107" s="231"/>
      <c r="BC107" s="231"/>
      <c r="BD107" s="231"/>
      <c r="BE107" s="231"/>
      <c r="BF107" s="231"/>
      <c r="BG107" s="231"/>
      <c r="BH107" s="231"/>
      <c r="BI107" s="231"/>
      <c r="BJ107" s="231"/>
      <c r="BK107" s="231"/>
      <c r="BL107" s="231"/>
      <c r="BM107" s="231"/>
      <c r="BN107" s="231"/>
      <c r="BO107" s="231"/>
      <c r="BP107" s="231"/>
      <c r="BQ107" s="231"/>
      <c r="BR107" s="231"/>
      <c r="BS107" s="231"/>
    </row>
    <row r="108" spans="1:71" s="203" customFormat="1">
      <c r="A108" s="119" t="s">
        <v>116</v>
      </c>
      <c r="B108" s="47"/>
      <c r="C108" s="47"/>
      <c r="D108" s="47"/>
      <c r="E108" s="117"/>
      <c r="F108" s="139"/>
      <c r="G108" s="139"/>
      <c r="H108" s="139"/>
      <c r="I108" s="139"/>
      <c r="J108" s="258"/>
      <c r="K108" s="258"/>
      <c r="L108" s="15"/>
      <c r="M108" s="8"/>
      <c r="N108" s="8"/>
      <c r="O108" s="231"/>
      <c r="P108" s="231"/>
      <c r="Q108" s="231"/>
      <c r="R108" s="231"/>
      <c r="S108" s="231"/>
      <c r="T108" s="231"/>
      <c r="U108" s="231"/>
      <c r="V108" s="231"/>
      <c r="W108" s="231"/>
      <c r="X108" s="231"/>
      <c r="Y108" s="231"/>
      <c r="Z108" s="231"/>
      <c r="AA108" s="231"/>
      <c r="AB108" s="231"/>
      <c r="AC108" s="231"/>
      <c r="AD108" s="231"/>
      <c r="AE108" s="231"/>
      <c r="AF108" s="231"/>
      <c r="AG108" s="231"/>
      <c r="AH108" s="231"/>
      <c r="AI108" s="231"/>
      <c r="AJ108" s="231"/>
      <c r="AK108" s="231"/>
      <c r="AL108" s="231"/>
      <c r="AM108" s="231"/>
      <c r="AN108" s="231"/>
      <c r="AO108" s="231"/>
      <c r="AP108" s="231"/>
      <c r="AQ108" s="231"/>
      <c r="AR108" s="231"/>
      <c r="AS108" s="231"/>
      <c r="AT108" s="231"/>
      <c r="AU108" s="231"/>
      <c r="AV108" s="231"/>
      <c r="AW108" s="231"/>
      <c r="AX108" s="231"/>
      <c r="AY108" s="231"/>
      <c r="AZ108" s="231"/>
      <c r="BA108" s="231"/>
      <c r="BB108" s="231"/>
      <c r="BC108" s="231"/>
      <c r="BD108" s="231"/>
      <c r="BE108" s="231"/>
      <c r="BF108" s="231"/>
      <c r="BG108" s="231"/>
      <c r="BH108" s="231"/>
      <c r="BI108" s="231"/>
      <c r="BJ108" s="231"/>
      <c r="BK108" s="231"/>
      <c r="BL108" s="231"/>
      <c r="BM108" s="231"/>
      <c r="BN108" s="231"/>
      <c r="BO108" s="231"/>
      <c r="BP108" s="231"/>
      <c r="BQ108" s="231"/>
      <c r="BR108" s="231"/>
      <c r="BS108" s="231"/>
    </row>
    <row r="109" spans="1:71" s="203" customFormat="1">
      <c r="A109" s="119" t="s">
        <v>106</v>
      </c>
      <c r="B109" s="47"/>
      <c r="C109" s="47"/>
      <c r="D109" s="47"/>
      <c r="E109" s="140"/>
      <c r="F109" s="141"/>
      <c r="G109" s="139"/>
      <c r="H109" s="141"/>
      <c r="I109" s="139"/>
      <c r="J109" s="258"/>
      <c r="K109" s="258"/>
      <c r="L109" s="15"/>
      <c r="M109" s="8"/>
      <c r="N109" s="8"/>
      <c r="O109" s="231"/>
      <c r="P109" s="231"/>
      <c r="Q109" s="231"/>
      <c r="R109" s="231"/>
      <c r="S109" s="231"/>
      <c r="T109" s="231"/>
      <c r="U109" s="231"/>
      <c r="V109" s="231"/>
      <c r="W109" s="231"/>
      <c r="X109" s="231"/>
      <c r="Y109" s="231"/>
      <c r="Z109" s="231"/>
      <c r="AA109" s="231"/>
      <c r="AB109" s="231"/>
      <c r="AC109" s="231"/>
      <c r="AD109" s="231"/>
      <c r="AE109" s="231"/>
      <c r="AF109" s="231"/>
      <c r="AG109" s="231"/>
      <c r="AH109" s="231"/>
      <c r="AI109" s="231"/>
      <c r="AJ109" s="231"/>
      <c r="AK109" s="231"/>
      <c r="AL109" s="231"/>
      <c r="AM109" s="231"/>
      <c r="AN109" s="231"/>
      <c r="AO109" s="231"/>
      <c r="AP109" s="231"/>
      <c r="AQ109" s="231"/>
      <c r="AR109" s="231"/>
      <c r="AS109" s="231"/>
      <c r="AT109" s="231"/>
      <c r="AU109" s="231"/>
      <c r="AV109" s="231"/>
      <c r="AW109" s="231"/>
      <c r="AX109" s="231"/>
      <c r="AY109" s="231"/>
      <c r="AZ109" s="231"/>
      <c r="BA109" s="231"/>
      <c r="BB109" s="231"/>
      <c r="BC109" s="231"/>
      <c r="BD109" s="231"/>
      <c r="BE109" s="231"/>
      <c r="BF109" s="231"/>
      <c r="BG109" s="231"/>
      <c r="BH109" s="231"/>
      <c r="BI109" s="231"/>
      <c r="BJ109" s="231"/>
      <c r="BK109" s="231"/>
      <c r="BL109" s="231"/>
      <c r="BM109" s="231"/>
      <c r="BN109" s="231"/>
      <c r="BO109" s="231"/>
      <c r="BP109" s="231"/>
      <c r="BQ109" s="231"/>
      <c r="BR109" s="231"/>
      <c r="BS109" s="231"/>
    </row>
    <row r="110" spans="1:71" s="203" customFormat="1">
      <c r="A110" s="120">
        <v>12</v>
      </c>
      <c r="B110" s="47" t="s">
        <v>117</v>
      </c>
      <c r="C110" s="47"/>
      <c r="D110" s="47"/>
      <c r="E110" s="49">
        <f>SUM('Aberdeen City:West Lothian'!E110)</f>
        <v>231738.25227542353</v>
      </c>
      <c r="F110" s="52">
        <f>SUM('Aberdeen City:West Lothian'!F110)</f>
        <v>235300</v>
      </c>
      <c r="G110" s="118"/>
      <c r="H110" s="122">
        <f>SUM('Aberdeen City:West Lothian'!H110)</f>
        <v>238258.12</v>
      </c>
      <c r="I110" s="139"/>
      <c r="J110" s="258"/>
      <c r="K110" s="258"/>
      <c r="L110" s="15"/>
      <c r="M110" s="8"/>
      <c r="N110" s="8"/>
      <c r="O110" s="231"/>
      <c r="P110" s="231"/>
      <c r="Q110" s="231"/>
      <c r="R110" s="231"/>
      <c r="S110" s="231"/>
      <c r="T110" s="231"/>
      <c r="U110" s="231"/>
      <c r="V110" s="231"/>
      <c r="W110" s="231"/>
      <c r="X110" s="231"/>
      <c r="Y110" s="231"/>
      <c r="Z110" s="231"/>
      <c r="AA110" s="231"/>
      <c r="AB110" s="231"/>
      <c r="AC110" s="231"/>
      <c r="AD110" s="231"/>
      <c r="AE110" s="231"/>
      <c r="AF110" s="231"/>
      <c r="AG110" s="231"/>
      <c r="AH110" s="231"/>
      <c r="AI110" s="231"/>
      <c r="AJ110" s="231"/>
      <c r="AK110" s="231"/>
      <c r="AL110" s="231"/>
      <c r="AM110" s="231"/>
      <c r="AN110" s="231"/>
      <c r="AO110" s="231"/>
      <c r="AP110" s="231"/>
      <c r="AQ110" s="231"/>
      <c r="AR110" s="231"/>
      <c r="AS110" s="231"/>
      <c r="AT110" s="231"/>
      <c r="AU110" s="231"/>
      <c r="AV110" s="231"/>
      <c r="AW110" s="231"/>
      <c r="AX110" s="231"/>
      <c r="AY110" s="231"/>
      <c r="AZ110" s="231"/>
      <c r="BA110" s="231"/>
      <c r="BB110" s="231"/>
      <c r="BC110" s="231"/>
      <c r="BD110" s="231"/>
      <c r="BE110" s="231"/>
      <c r="BF110" s="231"/>
      <c r="BG110" s="231"/>
      <c r="BH110" s="231"/>
      <c r="BI110" s="231"/>
      <c r="BJ110" s="231"/>
      <c r="BK110" s="231"/>
      <c r="BL110" s="231"/>
      <c r="BM110" s="231"/>
      <c r="BN110" s="231"/>
      <c r="BO110" s="231"/>
      <c r="BP110" s="231"/>
      <c r="BQ110" s="231"/>
      <c r="BR110" s="231"/>
      <c r="BS110" s="231"/>
    </row>
    <row r="111" spans="1:71" s="203" customFormat="1">
      <c r="A111" s="120">
        <v>13</v>
      </c>
      <c r="B111" s="47" t="s">
        <v>118</v>
      </c>
      <c r="C111" s="47"/>
      <c r="D111" s="47"/>
      <c r="E111" s="49">
        <f>SUM('Aberdeen City:West Lothian'!E111)</f>
        <v>244161.34715646561</v>
      </c>
      <c r="F111" s="52">
        <f>SUM('Aberdeen City:West Lothian'!F111)</f>
        <v>247658</v>
      </c>
      <c r="G111" s="118"/>
      <c r="H111" s="122">
        <f>SUM('Aberdeen City:West Lothian'!H111)</f>
        <v>248622.72</v>
      </c>
      <c r="I111" s="139"/>
      <c r="J111" s="258"/>
      <c r="K111" s="258"/>
      <c r="L111" s="15"/>
      <c r="M111" s="8"/>
      <c r="N111" s="8"/>
      <c r="O111" s="231"/>
      <c r="P111" s="231"/>
      <c r="Q111" s="231"/>
      <c r="R111" s="231"/>
      <c r="S111" s="231"/>
      <c r="T111" s="231"/>
      <c r="U111" s="231"/>
      <c r="V111" s="231"/>
      <c r="W111" s="231"/>
      <c r="X111" s="231"/>
      <c r="Y111" s="231"/>
      <c r="Z111" s="231"/>
      <c r="AA111" s="231"/>
      <c r="AB111" s="231"/>
      <c r="AC111" s="231"/>
      <c r="AD111" s="231"/>
      <c r="AE111" s="231"/>
      <c r="AF111" s="231"/>
      <c r="AG111" s="231"/>
      <c r="AH111" s="231"/>
      <c r="AI111" s="231"/>
      <c r="AJ111" s="231"/>
      <c r="AK111" s="231"/>
      <c r="AL111" s="231"/>
      <c r="AM111" s="231"/>
      <c r="AN111" s="231"/>
      <c r="AO111" s="231"/>
      <c r="AP111" s="231"/>
      <c r="AQ111" s="231"/>
      <c r="AR111" s="231"/>
      <c r="AS111" s="231"/>
      <c r="AT111" s="231"/>
      <c r="AU111" s="231"/>
      <c r="AV111" s="231"/>
      <c r="AW111" s="231"/>
      <c r="AX111" s="231"/>
      <c r="AY111" s="231"/>
      <c r="AZ111" s="231"/>
      <c r="BA111" s="231"/>
      <c r="BB111" s="231"/>
      <c r="BC111" s="231"/>
      <c r="BD111" s="231"/>
      <c r="BE111" s="231"/>
      <c r="BF111" s="231"/>
      <c r="BG111" s="231"/>
      <c r="BH111" s="231"/>
      <c r="BI111" s="231"/>
      <c r="BJ111" s="231"/>
      <c r="BK111" s="231"/>
      <c r="BL111" s="231"/>
      <c r="BM111" s="231"/>
      <c r="BN111" s="231"/>
      <c r="BO111" s="231"/>
      <c r="BP111" s="231"/>
      <c r="BQ111" s="231"/>
      <c r="BR111" s="231"/>
      <c r="BS111" s="231"/>
    </row>
    <row r="112" spans="1:71" s="203" customFormat="1">
      <c r="A112" s="120">
        <v>14</v>
      </c>
      <c r="B112" s="47" t="s">
        <v>119</v>
      </c>
      <c r="C112" s="47"/>
      <c r="D112" s="47"/>
      <c r="E112" s="49">
        <f>SUM('Aberdeen City:West Lothian'!E112)</f>
        <v>272084.76217446069</v>
      </c>
      <c r="F112" s="52">
        <f>SUM('Aberdeen City:West Lothian'!F112)</f>
        <v>280150</v>
      </c>
      <c r="G112" s="118"/>
      <c r="H112" s="122">
        <f>SUM('Aberdeen City:West Lothian'!H112)</f>
        <v>267023.93</v>
      </c>
      <c r="I112" s="139"/>
      <c r="J112" s="258"/>
      <c r="K112" s="258"/>
      <c r="L112" s="15"/>
      <c r="M112" s="8"/>
      <c r="N112" s="8"/>
      <c r="O112" s="231"/>
      <c r="P112" s="231"/>
      <c r="Q112" s="231"/>
      <c r="R112" s="231"/>
      <c r="S112" s="231"/>
      <c r="T112" s="231"/>
      <c r="U112" s="231"/>
      <c r="V112" s="231"/>
      <c r="W112" s="231"/>
      <c r="X112" s="231"/>
      <c r="Y112" s="231"/>
      <c r="Z112" s="231"/>
      <c r="AA112" s="231"/>
      <c r="AB112" s="231"/>
      <c r="AC112" s="231"/>
      <c r="AD112" s="231"/>
      <c r="AE112" s="231"/>
      <c r="AF112" s="231"/>
      <c r="AG112" s="231"/>
      <c r="AH112" s="231"/>
      <c r="AI112" s="231"/>
      <c r="AJ112" s="231"/>
      <c r="AK112" s="231"/>
      <c r="AL112" s="231"/>
      <c r="AM112" s="231"/>
      <c r="AN112" s="231"/>
      <c r="AO112" s="231"/>
      <c r="AP112" s="231"/>
      <c r="AQ112" s="231"/>
      <c r="AR112" s="231"/>
      <c r="AS112" s="231"/>
      <c r="AT112" s="231"/>
      <c r="AU112" s="231"/>
      <c r="AV112" s="231"/>
      <c r="AW112" s="231"/>
      <c r="AX112" s="231"/>
      <c r="AY112" s="231"/>
      <c r="AZ112" s="231"/>
      <c r="BA112" s="231"/>
      <c r="BB112" s="231"/>
      <c r="BC112" s="231"/>
      <c r="BD112" s="231"/>
      <c r="BE112" s="231"/>
      <c r="BF112" s="231"/>
      <c r="BG112" s="231"/>
      <c r="BH112" s="231"/>
      <c r="BI112" s="231"/>
      <c r="BJ112" s="231"/>
      <c r="BK112" s="231"/>
      <c r="BL112" s="231"/>
      <c r="BM112" s="231"/>
      <c r="BN112" s="231"/>
      <c r="BO112" s="231"/>
      <c r="BP112" s="231"/>
      <c r="BQ112" s="231"/>
      <c r="BR112" s="231"/>
      <c r="BS112" s="231"/>
    </row>
    <row r="113" spans="1:71" s="203" customFormat="1">
      <c r="A113" s="120">
        <v>15</v>
      </c>
      <c r="B113" s="47" t="s">
        <v>120</v>
      </c>
      <c r="C113" s="47"/>
      <c r="D113" s="47"/>
      <c r="E113" s="49">
        <f>SUM('Aberdeen City:West Lothian'!E113)</f>
        <v>39316.851533870926</v>
      </c>
      <c r="F113" s="52">
        <f>SUM('Aberdeen City:West Lothian'!F113)</f>
        <v>37300</v>
      </c>
      <c r="G113" s="118"/>
      <c r="H113" s="122">
        <f>SUM('Aberdeen City:West Lothian'!H113)</f>
        <v>37726</v>
      </c>
      <c r="I113" s="139"/>
      <c r="J113" s="258"/>
      <c r="K113" s="258"/>
      <c r="L113" s="15"/>
      <c r="M113" s="8"/>
      <c r="N113" s="8"/>
      <c r="O113" s="231"/>
      <c r="P113" s="231"/>
      <c r="Q113" s="231"/>
      <c r="R113" s="231"/>
      <c r="S113" s="231"/>
      <c r="T113" s="231"/>
      <c r="U113" s="231"/>
      <c r="V113" s="231"/>
      <c r="W113" s="231"/>
      <c r="X113" s="231"/>
      <c r="Y113" s="231"/>
      <c r="Z113" s="231"/>
      <c r="AA113" s="231"/>
      <c r="AB113" s="231"/>
      <c r="AC113" s="231"/>
      <c r="AD113" s="231"/>
      <c r="AE113" s="231"/>
      <c r="AF113" s="231"/>
      <c r="AG113" s="231"/>
      <c r="AH113" s="231"/>
      <c r="AI113" s="231"/>
      <c r="AJ113" s="231"/>
      <c r="AK113" s="231"/>
      <c r="AL113" s="231"/>
      <c r="AM113" s="231"/>
      <c r="AN113" s="231"/>
      <c r="AO113" s="231"/>
      <c r="AP113" s="231"/>
      <c r="AQ113" s="231"/>
      <c r="AR113" s="231"/>
      <c r="AS113" s="231"/>
      <c r="AT113" s="231"/>
      <c r="AU113" s="231"/>
      <c r="AV113" s="231"/>
      <c r="AW113" s="231"/>
      <c r="AX113" s="231"/>
      <c r="AY113" s="231"/>
      <c r="AZ113" s="231"/>
      <c r="BA113" s="231"/>
      <c r="BB113" s="231"/>
      <c r="BC113" s="231"/>
      <c r="BD113" s="231"/>
      <c r="BE113" s="231"/>
      <c r="BF113" s="231"/>
      <c r="BG113" s="231"/>
      <c r="BH113" s="231"/>
      <c r="BI113" s="231"/>
      <c r="BJ113" s="231"/>
      <c r="BK113" s="231"/>
      <c r="BL113" s="231"/>
      <c r="BM113" s="231"/>
      <c r="BN113" s="231"/>
      <c r="BO113" s="231"/>
      <c r="BP113" s="231"/>
      <c r="BQ113" s="231"/>
      <c r="BR113" s="231"/>
      <c r="BS113" s="231"/>
    </row>
    <row r="114" spans="1:71" s="203" customFormat="1">
      <c r="A114" s="120">
        <v>16</v>
      </c>
      <c r="B114" s="47" t="s">
        <v>121</v>
      </c>
      <c r="C114" s="47"/>
      <c r="D114" s="47"/>
      <c r="E114" s="49">
        <f>SUM('Aberdeen City:West Lothian'!E114)</f>
        <v>122174.3408660553</v>
      </c>
      <c r="F114" s="52">
        <f>SUM('Aberdeen City:West Lothian'!F114)</f>
        <v>130067</v>
      </c>
      <c r="G114" s="118"/>
      <c r="H114" s="100">
        <f>SUM('Aberdeen City:West Lothian'!H114)</f>
        <v>124891.8</v>
      </c>
      <c r="I114" s="139"/>
      <c r="J114" s="258"/>
      <c r="K114" s="258"/>
      <c r="L114" s="15"/>
      <c r="M114" s="8"/>
      <c r="N114" s="8"/>
      <c r="O114" s="231"/>
      <c r="P114" s="231"/>
      <c r="Q114" s="231"/>
      <c r="R114" s="231"/>
      <c r="S114" s="231"/>
      <c r="T114" s="231"/>
      <c r="U114" s="231"/>
      <c r="V114" s="231"/>
      <c r="W114" s="231"/>
      <c r="X114" s="231"/>
      <c r="Y114" s="231"/>
      <c r="Z114" s="231"/>
      <c r="AA114" s="231"/>
      <c r="AB114" s="231"/>
      <c r="AC114" s="231"/>
      <c r="AD114" s="231"/>
      <c r="AE114" s="231"/>
      <c r="AF114" s="231"/>
      <c r="AG114" s="231"/>
      <c r="AH114" s="231"/>
      <c r="AI114" s="231"/>
      <c r="AJ114" s="231"/>
      <c r="AK114" s="231"/>
      <c r="AL114" s="231"/>
      <c r="AM114" s="231"/>
      <c r="AN114" s="231"/>
      <c r="AO114" s="231"/>
      <c r="AP114" s="231"/>
      <c r="AQ114" s="231"/>
      <c r="AR114" s="231"/>
      <c r="AS114" s="231"/>
      <c r="AT114" s="231"/>
      <c r="AU114" s="231"/>
      <c r="AV114" s="231"/>
      <c r="AW114" s="231"/>
      <c r="AX114" s="231"/>
      <c r="AY114" s="231"/>
      <c r="AZ114" s="231"/>
      <c r="BA114" s="231"/>
      <c r="BB114" s="231"/>
      <c r="BC114" s="231"/>
      <c r="BD114" s="231"/>
      <c r="BE114" s="231"/>
      <c r="BF114" s="231"/>
      <c r="BG114" s="231"/>
      <c r="BH114" s="231"/>
      <c r="BI114" s="231"/>
      <c r="BJ114" s="231"/>
      <c r="BK114" s="231"/>
      <c r="BL114" s="231"/>
      <c r="BM114" s="231"/>
      <c r="BN114" s="231"/>
      <c r="BO114" s="231"/>
      <c r="BP114" s="231"/>
      <c r="BQ114" s="231"/>
      <c r="BR114" s="231"/>
      <c r="BS114" s="231"/>
    </row>
    <row r="115" spans="1:71" s="203" customFormat="1">
      <c r="A115" s="120">
        <v>17</v>
      </c>
      <c r="B115" s="116" t="s">
        <v>122</v>
      </c>
      <c r="C115" s="116"/>
      <c r="D115" s="116"/>
      <c r="E115" s="80">
        <f>SUM('Aberdeen City:West Lothian'!E115)</f>
        <v>909475.55400627607</v>
      </c>
      <c r="F115" s="142">
        <f>SUM(F110:F114)</f>
        <v>930475</v>
      </c>
      <c r="G115" s="118"/>
      <c r="H115" s="142">
        <f>SUM(H110:H114)</f>
        <v>916522.57000000007</v>
      </c>
      <c r="I115" s="139"/>
      <c r="J115" s="258"/>
      <c r="K115" s="258"/>
      <c r="L115" s="15"/>
      <c r="M115" s="8"/>
      <c r="N115" s="8"/>
      <c r="O115" s="231"/>
      <c r="P115" s="231"/>
      <c r="Q115" s="231"/>
      <c r="R115" s="231"/>
      <c r="S115" s="231"/>
      <c r="T115" s="231"/>
      <c r="U115" s="231"/>
      <c r="V115" s="231"/>
      <c r="W115" s="231"/>
      <c r="X115" s="231"/>
      <c r="Y115" s="231"/>
      <c r="Z115" s="231"/>
      <c r="AA115" s="231"/>
      <c r="AB115" s="231"/>
      <c r="AC115" s="231"/>
      <c r="AD115" s="231"/>
      <c r="AE115" s="231"/>
      <c r="AF115" s="231"/>
      <c r="AG115" s="231"/>
      <c r="AH115" s="231"/>
      <c r="AI115" s="231"/>
      <c r="AJ115" s="231"/>
      <c r="AK115" s="231"/>
      <c r="AL115" s="231"/>
      <c r="AM115" s="231"/>
      <c r="AN115" s="231"/>
      <c r="AO115" s="231"/>
      <c r="AP115" s="231"/>
      <c r="AQ115" s="231"/>
      <c r="AR115" s="231"/>
      <c r="AS115" s="231"/>
      <c r="AT115" s="231"/>
      <c r="AU115" s="231"/>
      <c r="AV115" s="231"/>
      <c r="AW115" s="231"/>
      <c r="AX115" s="231"/>
      <c r="AY115" s="231"/>
      <c r="AZ115" s="231"/>
      <c r="BA115" s="231"/>
      <c r="BB115" s="231"/>
      <c r="BC115" s="231"/>
      <c r="BD115" s="231"/>
      <c r="BE115" s="231"/>
      <c r="BF115" s="231"/>
      <c r="BG115" s="231"/>
      <c r="BH115" s="231"/>
      <c r="BI115" s="231"/>
      <c r="BJ115" s="231"/>
      <c r="BK115" s="231"/>
      <c r="BL115" s="231"/>
      <c r="BM115" s="231"/>
      <c r="BN115" s="231"/>
      <c r="BO115" s="231"/>
      <c r="BP115" s="231"/>
      <c r="BQ115" s="231"/>
      <c r="BR115" s="231"/>
      <c r="BS115" s="231"/>
    </row>
    <row r="116" spans="1:71" s="203" customFormat="1">
      <c r="A116" s="111"/>
      <c r="B116" s="116"/>
      <c r="C116" s="116"/>
      <c r="D116" s="116"/>
      <c r="E116" s="143"/>
      <c r="F116" s="118"/>
      <c r="G116" s="118"/>
      <c r="H116" s="118"/>
      <c r="I116" s="139"/>
      <c r="J116" s="258"/>
      <c r="K116" s="258"/>
      <c r="L116" s="15"/>
      <c r="M116" s="8"/>
      <c r="N116" s="8"/>
      <c r="O116" s="231"/>
      <c r="P116" s="231"/>
      <c r="Q116" s="231"/>
      <c r="R116" s="231"/>
      <c r="S116" s="231"/>
      <c r="T116" s="231"/>
      <c r="U116" s="231"/>
      <c r="V116" s="231"/>
      <c r="W116" s="231"/>
      <c r="X116" s="231"/>
      <c r="Y116" s="231"/>
      <c r="Z116" s="231"/>
      <c r="AA116" s="231"/>
      <c r="AB116" s="231"/>
      <c r="AC116" s="231"/>
      <c r="AD116" s="231"/>
      <c r="AE116" s="231"/>
      <c r="AF116" s="231"/>
      <c r="AG116" s="231"/>
      <c r="AH116" s="231"/>
      <c r="AI116" s="231"/>
      <c r="AJ116" s="231"/>
      <c r="AK116" s="231"/>
      <c r="AL116" s="231"/>
      <c r="AM116" s="231"/>
      <c r="AN116" s="231"/>
      <c r="AO116" s="231"/>
      <c r="AP116" s="231"/>
      <c r="AQ116" s="231"/>
      <c r="AR116" s="231"/>
      <c r="AS116" s="231"/>
      <c r="AT116" s="231"/>
      <c r="AU116" s="231"/>
      <c r="AV116" s="231"/>
      <c r="AW116" s="231"/>
      <c r="AX116" s="231"/>
      <c r="AY116" s="231"/>
      <c r="AZ116" s="231"/>
      <c r="BA116" s="231"/>
      <c r="BB116" s="231"/>
      <c r="BC116" s="231"/>
      <c r="BD116" s="231"/>
      <c r="BE116" s="231"/>
      <c r="BF116" s="231"/>
      <c r="BG116" s="231"/>
      <c r="BH116" s="231"/>
      <c r="BI116" s="231"/>
      <c r="BJ116" s="231"/>
      <c r="BK116" s="231"/>
      <c r="BL116" s="231"/>
      <c r="BM116" s="231"/>
      <c r="BN116" s="231"/>
      <c r="BO116" s="231"/>
      <c r="BP116" s="231"/>
      <c r="BQ116" s="231"/>
      <c r="BR116" s="231"/>
      <c r="BS116" s="231"/>
    </row>
    <row r="117" spans="1:71" s="203" customFormat="1">
      <c r="A117" s="144" t="s">
        <v>107</v>
      </c>
      <c r="B117" s="116"/>
      <c r="C117" s="116"/>
      <c r="D117" s="116"/>
      <c r="E117" s="145"/>
      <c r="F117" s="146"/>
      <c r="G117" s="118"/>
      <c r="H117" s="146"/>
      <c r="I117" s="139"/>
      <c r="J117" s="258"/>
      <c r="K117" s="258"/>
      <c r="L117" s="15"/>
      <c r="M117" s="8"/>
      <c r="N117" s="8"/>
      <c r="O117" s="231"/>
      <c r="P117" s="231"/>
      <c r="Q117" s="231"/>
      <c r="R117" s="231"/>
      <c r="S117" s="231"/>
      <c r="T117" s="231"/>
      <c r="U117" s="231"/>
      <c r="V117" s="231"/>
      <c r="W117" s="231"/>
      <c r="X117" s="231"/>
      <c r="Y117" s="231"/>
      <c r="Z117" s="231"/>
      <c r="AA117" s="231"/>
      <c r="AB117" s="231"/>
      <c r="AC117" s="231"/>
      <c r="AD117" s="231"/>
      <c r="AE117" s="231"/>
      <c r="AF117" s="231"/>
      <c r="AG117" s="231"/>
      <c r="AH117" s="231"/>
      <c r="AI117" s="231"/>
      <c r="AJ117" s="231"/>
      <c r="AK117" s="231"/>
      <c r="AL117" s="231"/>
      <c r="AM117" s="231"/>
      <c r="AN117" s="231"/>
      <c r="AO117" s="231"/>
      <c r="AP117" s="231"/>
      <c r="AQ117" s="231"/>
      <c r="AR117" s="231"/>
      <c r="AS117" s="231"/>
      <c r="AT117" s="231"/>
      <c r="AU117" s="231"/>
      <c r="AV117" s="231"/>
      <c r="AW117" s="231"/>
      <c r="AX117" s="231"/>
      <c r="AY117" s="231"/>
      <c r="AZ117" s="231"/>
      <c r="BA117" s="231"/>
      <c r="BB117" s="231"/>
      <c r="BC117" s="231"/>
      <c r="BD117" s="231"/>
      <c r="BE117" s="231"/>
      <c r="BF117" s="231"/>
      <c r="BG117" s="231"/>
      <c r="BH117" s="231"/>
      <c r="BI117" s="231"/>
      <c r="BJ117" s="231"/>
      <c r="BK117" s="231"/>
      <c r="BL117" s="231"/>
      <c r="BM117" s="231"/>
      <c r="BN117" s="231"/>
      <c r="BO117" s="231"/>
      <c r="BP117" s="231"/>
      <c r="BQ117" s="231"/>
      <c r="BR117" s="231"/>
      <c r="BS117" s="231"/>
    </row>
    <row r="118" spans="1:71" s="203" customFormat="1">
      <c r="A118" s="120">
        <v>18</v>
      </c>
      <c r="B118" s="47" t="s">
        <v>123</v>
      </c>
      <c r="C118" s="47"/>
      <c r="D118" s="47"/>
      <c r="E118" s="49">
        <f>SUM('Aberdeen City:West Lothian'!E118)</f>
        <v>115698.50399376864</v>
      </c>
      <c r="F118" s="52">
        <f>SUM('Aberdeen City:West Lothian'!F118)</f>
        <v>111891</v>
      </c>
      <c r="G118" s="118"/>
      <c r="H118" s="122">
        <f>SUM('Aberdeen City:West Lothian'!H118)</f>
        <v>116604</v>
      </c>
      <c r="I118" s="139"/>
      <c r="J118" s="258"/>
      <c r="K118" s="258"/>
      <c r="L118" s="15"/>
      <c r="M118" s="8"/>
      <c r="N118" s="8"/>
      <c r="O118" s="231"/>
      <c r="P118" s="231"/>
      <c r="Q118" s="231"/>
      <c r="R118" s="231"/>
      <c r="S118" s="231"/>
      <c r="T118" s="231"/>
      <c r="U118" s="231"/>
      <c r="V118" s="231"/>
      <c r="W118" s="231"/>
      <c r="X118" s="231"/>
      <c r="Y118" s="231"/>
      <c r="Z118" s="231"/>
      <c r="AA118" s="231"/>
      <c r="AB118" s="231"/>
      <c r="AC118" s="231"/>
      <c r="AD118" s="231"/>
      <c r="AE118" s="231"/>
      <c r="AF118" s="231"/>
      <c r="AG118" s="231"/>
      <c r="AH118" s="231"/>
      <c r="AI118" s="231"/>
      <c r="AJ118" s="231"/>
      <c r="AK118" s="231"/>
      <c r="AL118" s="231"/>
      <c r="AM118" s="231"/>
      <c r="AN118" s="231"/>
      <c r="AO118" s="231"/>
      <c r="AP118" s="231"/>
      <c r="AQ118" s="231"/>
      <c r="AR118" s="231"/>
      <c r="AS118" s="231"/>
      <c r="AT118" s="231"/>
      <c r="AU118" s="231"/>
      <c r="AV118" s="231"/>
      <c r="AW118" s="231"/>
      <c r="AX118" s="231"/>
      <c r="AY118" s="231"/>
      <c r="AZ118" s="231"/>
      <c r="BA118" s="231"/>
      <c r="BB118" s="231"/>
      <c r="BC118" s="231"/>
      <c r="BD118" s="231"/>
      <c r="BE118" s="231"/>
      <c r="BF118" s="231"/>
      <c r="BG118" s="231"/>
      <c r="BH118" s="231"/>
      <c r="BI118" s="231"/>
      <c r="BJ118" s="231"/>
      <c r="BK118" s="231"/>
      <c r="BL118" s="231"/>
      <c r="BM118" s="231"/>
      <c r="BN118" s="231"/>
      <c r="BO118" s="231"/>
      <c r="BP118" s="231"/>
      <c r="BQ118" s="231"/>
      <c r="BR118" s="231"/>
      <c r="BS118" s="231"/>
    </row>
    <row r="119" spans="1:71" s="203" customFormat="1">
      <c r="A119" s="120">
        <v>19</v>
      </c>
      <c r="B119" s="47" t="s">
        <v>124</v>
      </c>
      <c r="C119" s="47"/>
      <c r="D119" s="47"/>
      <c r="E119" s="49">
        <f>SUM('Aberdeen City:West Lothian'!E119)</f>
        <v>413196.22789481346</v>
      </c>
      <c r="F119" s="52">
        <f>SUM('Aberdeen City:West Lothian'!F119)</f>
        <v>431479</v>
      </c>
      <c r="G119" s="118"/>
      <c r="H119" s="122">
        <f>SUM('Aberdeen City:West Lothian'!H119)</f>
        <v>457934</v>
      </c>
      <c r="I119" s="139"/>
      <c r="J119" s="258"/>
      <c r="K119" s="258"/>
      <c r="L119" s="15"/>
      <c r="M119" s="8"/>
      <c r="N119" s="8"/>
      <c r="O119" s="231"/>
      <c r="P119" s="231"/>
      <c r="Q119" s="231"/>
      <c r="R119" s="231"/>
      <c r="S119" s="231"/>
      <c r="T119" s="231"/>
      <c r="U119" s="231"/>
      <c r="V119" s="231"/>
      <c r="W119" s="231"/>
      <c r="X119" s="231"/>
      <c r="Y119" s="231"/>
      <c r="Z119" s="231"/>
      <c r="AA119" s="231"/>
      <c r="AB119" s="231"/>
      <c r="AC119" s="231"/>
      <c r="AD119" s="231"/>
      <c r="AE119" s="231"/>
      <c r="AF119" s="231"/>
      <c r="AG119" s="231"/>
      <c r="AH119" s="231"/>
      <c r="AI119" s="231"/>
      <c r="AJ119" s="231"/>
      <c r="AK119" s="231"/>
      <c r="AL119" s="231"/>
      <c r="AM119" s="231"/>
      <c r="AN119" s="231"/>
      <c r="AO119" s="231"/>
      <c r="AP119" s="231"/>
      <c r="AQ119" s="231"/>
      <c r="AR119" s="231"/>
      <c r="AS119" s="231"/>
      <c r="AT119" s="231"/>
      <c r="AU119" s="231"/>
      <c r="AV119" s="231"/>
      <c r="AW119" s="231"/>
      <c r="AX119" s="231"/>
      <c r="AY119" s="231"/>
      <c r="AZ119" s="231"/>
      <c r="BA119" s="231"/>
      <c r="BB119" s="231"/>
      <c r="BC119" s="231"/>
      <c r="BD119" s="231"/>
      <c r="BE119" s="231"/>
      <c r="BF119" s="231"/>
      <c r="BG119" s="231"/>
      <c r="BH119" s="231"/>
      <c r="BI119" s="231"/>
      <c r="BJ119" s="231"/>
      <c r="BK119" s="231"/>
      <c r="BL119" s="231"/>
      <c r="BM119" s="231"/>
      <c r="BN119" s="231"/>
      <c r="BO119" s="231"/>
      <c r="BP119" s="231"/>
      <c r="BQ119" s="231"/>
      <c r="BR119" s="231"/>
      <c r="BS119" s="231"/>
    </row>
    <row r="120" spans="1:71" s="203" customFormat="1">
      <c r="A120" s="120">
        <v>20</v>
      </c>
      <c r="B120" s="47" t="s">
        <v>119</v>
      </c>
      <c r="C120" s="47"/>
      <c r="D120" s="47"/>
      <c r="E120" s="49">
        <f>SUM('Aberdeen City:West Lothian'!E120)</f>
        <v>597190.87944448018</v>
      </c>
      <c r="F120" s="52">
        <f>SUM('Aberdeen City:West Lothian'!F120)</f>
        <v>600995</v>
      </c>
      <c r="G120" s="118"/>
      <c r="H120" s="122">
        <f>SUM('Aberdeen City:West Lothian'!H120)</f>
        <v>606819</v>
      </c>
      <c r="I120" s="139"/>
      <c r="J120" s="258"/>
      <c r="K120" s="258"/>
      <c r="L120" s="15"/>
      <c r="M120" s="8"/>
      <c r="N120" s="8"/>
      <c r="O120" s="231"/>
      <c r="P120" s="231"/>
      <c r="Q120" s="231"/>
      <c r="R120" s="231"/>
      <c r="S120" s="231"/>
      <c r="T120" s="231"/>
      <c r="U120" s="231"/>
      <c r="V120" s="231"/>
      <c r="W120" s="231"/>
      <c r="X120" s="231"/>
      <c r="Y120" s="231"/>
      <c r="Z120" s="231"/>
      <c r="AA120" s="231"/>
      <c r="AB120" s="231"/>
      <c r="AC120" s="231"/>
      <c r="AD120" s="231"/>
      <c r="AE120" s="231"/>
      <c r="AF120" s="231"/>
      <c r="AG120" s="231"/>
      <c r="AH120" s="231"/>
      <c r="AI120" s="231"/>
      <c r="AJ120" s="231"/>
      <c r="AK120" s="231"/>
      <c r="AL120" s="231"/>
      <c r="AM120" s="231"/>
      <c r="AN120" s="231"/>
      <c r="AO120" s="231"/>
      <c r="AP120" s="231"/>
      <c r="AQ120" s="231"/>
      <c r="AR120" s="231"/>
      <c r="AS120" s="231"/>
      <c r="AT120" s="231"/>
      <c r="AU120" s="231"/>
      <c r="AV120" s="231"/>
      <c r="AW120" s="231"/>
      <c r="AX120" s="231"/>
      <c r="AY120" s="231"/>
      <c r="AZ120" s="231"/>
      <c r="BA120" s="231"/>
      <c r="BB120" s="231"/>
      <c r="BC120" s="231"/>
      <c r="BD120" s="231"/>
      <c r="BE120" s="231"/>
      <c r="BF120" s="231"/>
      <c r="BG120" s="231"/>
      <c r="BH120" s="231"/>
      <c r="BI120" s="231"/>
      <c r="BJ120" s="231"/>
      <c r="BK120" s="231"/>
      <c r="BL120" s="231"/>
      <c r="BM120" s="231"/>
      <c r="BN120" s="231"/>
      <c r="BO120" s="231"/>
      <c r="BP120" s="231"/>
      <c r="BQ120" s="231"/>
      <c r="BR120" s="231"/>
      <c r="BS120" s="231"/>
    </row>
    <row r="121" spans="1:71" s="203" customFormat="1">
      <c r="A121" s="120">
        <v>21</v>
      </c>
      <c r="B121" s="47" t="s">
        <v>120</v>
      </c>
      <c r="C121" s="47"/>
      <c r="D121" s="47"/>
      <c r="E121" s="49">
        <f>SUM('Aberdeen City:West Lothian'!E121)</f>
        <v>46516.988600333672</v>
      </c>
      <c r="F121" s="52">
        <f>SUM('Aberdeen City:West Lothian'!F121)</f>
        <v>50980</v>
      </c>
      <c r="G121" s="118"/>
      <c r="H121" s="122">
        <f>SUM('Aberdeen City:West Lothian'!H121)</f>
        <v>52696</v>
      </c>
      <c r="I121" s="139"/>
      <c r="J121" s="258"/>
      <c r="K121" s="258"/>
      <c r="L121" s="15"/>
      <c r="M121" s="8"/>
      <c r="N121" s="8"/>
      <c r="O121" s="231"/>
      <c r="P121" s="231"/>
      <c r="Q121" s="231"/>
      <c r="R121" s="231"/>
      <c r="S121" s="231"/>
      <c r="T121" s="231"/>
      <c r="U121" s="231"/>
      <c r="V121" s="231"/>
      <c r="W121" s="231"/>
      <c r="X121" s="231"/>
      <c r="Y121" s="231"/>
      <c r="Z121" s="231"/>
      <c r="AA121" s="231"/>
      <c r="AB121" s="231"/>
      <c r="AC121" s="231"/>
      <c r="AD121" s="231"/>
      <c r="AE121" s="231"/>
      <c r="AF121" s="231"/>
      <c r="AG121" s="231"/>
      <c r="AH121" s="231"/>
      <c r="AI121" s="231"/>
      <c r="AJ121" s="231"/>
      <c r="AK121" s="231"/>
      <c r="AL121" s="231"/>
      <c r="AM121" s="231"/>
      <c r="AN121" s="231"/>
      <c r="AO121" s="231"/>
      <c r="AP121" s="231"/>
      <c r="AQ121" s="231"/>
      <c r="AR121" s="231"/>
      <c r="AS121" s="231"/>
      <c r="AT121" s="231"/>
      <c r="AU121" s="231"/>
      <c r="AV121" s="231"/>
      <c r="AW121" s="231"/>
      <c r="AX121" s="231"/>
      <c r="AY121" s="231"/>
      <c r="AZ121" s="231"/>
      <c r="BA121" s="231"/>
      <c r="BB121" s="231"/>
      <c r="BC121" s="231"/>
      <c r="BD121" s="231"/>
      <c r="BE121" s="231"/>
      <c r="BF121" s="231"/>
      <c r="BG121" s="231"/>
      <c r="BH121" s="231"/>
      <c r="BI121" s="231"/>
      <c r="BJ121" s="231"/>
      <c r="BK121" s="231"/>
      <c r="BL121" s="231"/>
      <c r="BM121" s="231"/>
      <c r="BN121" s="231"/>
      <c r="BO121" s="231"/>
      <c r="BP121" s="231"/>
      <c r="BQ121" s="231"/>
      <c r="BR121" s="231"/>
      <c r="BS121" s="231"/>
    </row>
    <row r="122" spans="1:71" s="203" customFormat="1">
      <c r="A122" s="120">
        <v>22</v>
      </c>
      <c r="B122" s="47" t="s">
        <v>125</v>
      </c>
      <c r="C122" s="47"/>
      <c r="D122" s="47"/>
      <c r="E122" s="49">
        <f>SUM('Aberdeen City:West Lothian'!E122)</f>
        <v>17266.071507974797</v>
      </c>
      <c r="F122" s="52">
        <f>SUM('Aberdeen City:West Lothian'!F122)</f>
        <v>17955</v>
      </c>
      <c r="G122" s="118"/>
      <c r="H122" s="122">
        <f>SUM('Aberdeen City:West Lothian'!H122)</f>
        <v>18135</v>
      </c>
      <c r="I122" s="139"/>
      <c r="J122" s="258"/>
      <c r="K122" s="258"/>
      <c r="L122" s="15"/>
      <c r="M122" s="8"/>
      <c r="N122" s="8"/>
      <c r="O122" s="231"/>
      <c r="P122" s="231"/>
      <c r="Q122" s="231"/>
      <c r="R122" s="231"/>
      <c r="S122" s="231"/>
      <c r="T122" s="231"/>
      <c r="U122" s="231"/>
      <c r="V122" s="231"/>
      <c r="W122" s="231"/>
      <c r="X122" s="231"/>
      <c r="Y122" s="231"/>
      <c r="Z122" s="231"/>
      <c r="AA122" s="231"/>
      <c r="AB122" s="231"/>
      <c r="AC122" s="231"/>
      <c r="AD122" s="231"/>
      <c r="AE122" s="231"/>
      <c r="AF122" s="231"/>
      <c r="AG122" s="231"/>
      <c r="AH122" s="231"/>
      <c r="AI122" s="231"/>
      <c r="AJ122" s="231"/>
      <c r="AK122" s="231"/>
      <c r="AL122" s="231"/>
      <c r="AM122" s="231"/>
      <c r="AN122" s="231"/>
      <c r="AO122" s="231"/>
      <c r="AP122" s="231"/>
      <c r="AQ122" s="231"/>
      <c r="AR122" s="231"/>
      <c r="AS122" s="231"/>
      <c r="AT122" s="231"/>
      <c r="AU122" s="231"/>
      <c r="AV122" s="231"/>
      <c r="AW122" s="231"/>
      <c r="AX122" s="231"/>
      <c r="AY122" s="231"/>
      <c r="AZ122" s="231"/>
      <c r="BA122" s="231"/>
      <c r="BB122" s="231"/>
      <c r="BC122" s="231"/>
      <c r="BD122" s="231"/>
      <c r="BE122" s="231"/>
      <c r="BF122" s="231"/>
      <c r="BG122" s="231"/>
      <c r="BH122" s="231"/>
      <c r="BI122" s="231"/>
      <c r="BJ122" s="231"/>
      <c r="BK122" s="231"/>
      <c r="BL122" s="231"/>
      <c r="BM122" s="231"/>
      <c r="BN122" s="231"/>
      <c r="BO122" s="231"/>
      <c r="BP122" s="231"/>
      <c r="BQ122" s="231"/>
      <c r="BR122" s="231"/>
      <c r="BS122" s="231"/>
    </row>
    <row r="123" spans="1:71" s="203" customFormat="1">
      <c r="A123" s="120">
        <v>23</v>
      </c>
      <c r="B123" s="90" t="s">
        <v>126</v>
      </c>
      <c r="C123" s="47"/>
      <c r="D123" s="47"/>
      <c r="E123" s="49">
        <f>SUM('Aberdeen City:West Lothian'!E123)</f>
        <v>44401.687011781207</v>
      </c>
      <c r="F123" s="52">
        <f>SUM('Aberdeen City:West Lothian'!F123)</f>
        <v>48806</v>
      </c>
      <c r="G123" s="118"/>
      <c r="H123" s="99">
        <f>SUM('Aberdeen City:West Lothian'!H123)</f>
        <v>49930</v>
      </c>
      <c r="I123" s="139"/>
      <c r="J123" s="258"/>
      <c r="K123" s="258"/>
      <c r="L123" s="15"/>
      <c r="M123" s="8"/>
      <c r="N123" s="8"/>
      <c r="O123" s="231"/>
      <c r="P123" s="231"/>
      <c r="Q123" s="231"/>
      <c r="R123" s="231"/>
      <c r="S123" s="231"/>
      <c r="T123" s="231"/>
      <c r="U123" s="231"/>
      <c r="V123" s="231"/>
      <c r="W123" s="231"/>
      <c r="X123" s="231"/>
      <c r="Y123" s="231"/>
      <c r="Z123" s="231"/>
      <c r="AA123" s="231"/>
      <c r="AB123" s="231"/>
      <c r="AC123" s="231"/>
      <c r="AD123" s="231"/>
      <c r="AE123" s="231"/>
      <c r="AF123" s="231"/>
      <c r="AG123" s="231"/>
      <c r="AH123" s="231"/>
      <c r="AI123" s="231"/>
      <c r="AJ123" s="231"/>
      <c r="AK123" s="231"/>
      <c r="AL123" s="231"/>
      <c r="AM123" s="231"/>
      <c r="AN123" s="231"/>
      <c r="AO123" s="231"/>
      <c r="AP123" s="231"/>
      <c r="AQ123" s="231"/>
      <c r="AR123" s="231"/>
      <c r="AS123" s="231"/>
      <c r="AT123" s="231"/>
      <c r="AU123" s="231"/>
      <c r="AV123" s="231"/>
      <c r="AW123" s="231"/>
      <c r="AX123" s="231"/>
      <c r="AY123" s="231"/>
      <c r="AZ123" s="231"/>
      <c r="BA123" s="231"/>
      <c r="BB123" s="231"/>
      <c r="BC123" s="231"/>
      <c r="BD123" s="231"/>
      <c r="BE123" s="231"/>
      <c r="BF123" s="231"/>
      <c r="BG123" s="231"/>
      <c r="BH123" s="231"/>
      <c r="BI123" s="231"/>
      <c r="BJ123" s="231"/>
      <c r="BK123" s="231"/>
      <c r="BL123" s="231"/>
      <c r="BM123" s="231"/>
      <c r="BN123" s="231"/>
      <c r="BO123" s="231"/>
      <c r="BP123" s="231"/>
      <c r="BQ123" s="231"/>
      <c r="BR123" s="231"/>
      <c r="BS123" s="231"/>
    </row>
    <row r="124" spans="1:71" s="203" customFormat="1">
      <c r="A124" s="120">
        <v>24</v>
      </c>
      <c r="B124" s="47" t="s">
        <v>121</v>
      </c>
      <c r="C124" s="47"/>
      <c r="D124" s="47"/>
      <c r="E124" s="49">
        <f>SUM('Aberdeen City:West Lothian'!E124)</f>
        <v>88108.670380178693</v>
      </c>
      <c r="F124" s="52">
        <f>SUM('Aberdeen City:West Lothian'!F124)</f>
        <v>83024</v>
      </c>
      <c r="G124" s="118"/>
      <c r="H124" s="100">
        <f>SUM('Aberdeen City:West Lothian'!H124)</f>
        <v>93411</v>
      </c>
      <c r="I124" s="139"/>
      <c r="J124" s="258"/>
      <c r="K124" s="258"/>
      <c r="L124" s="15"/>
      <c r="M124" s="8"/>
      <c r="N124" s="8"/>
      <c r="O124" s="231"/>
      <c r="P124" s="231"/>
      <c r="Q124" s="231"/>
      <c r="R124" s="231"/>
      <c r="S124" s="231"/>
      <c r="T124" s="231"/>
      <c r="U124" s="231"/>
      <c r="V124" s="231"/>
      <c r="W124" s="231"/>
      <c r="X124" s="231"/>
      <c r="Y124" s="231"/>
      <c r="Z124" s="231"/>
      <c r="AA124" s="231"/>
      <c r="AB124" s="231"/>
      <c r="AC124" s="231"/>
      <c r="AD124" s="231"/>
      <c r="AE124" s="231"/>
      <c r="AF124" s="231"/>
      <c r="AG124" s="231"/>
      <c r="AH124" s="231"/>
      <c r="AI124" s="231"/>
      <c r="AJ124" s="231"/>
      <c r="AK124" s="231"/>
      <c r="AL124" s="231"/>
      <c r="AM124" s="231"/>
      <c r="AN124" s="231"/>
      <c r="AO124" s="231"/>
      <c r="AP124" s="231"/>
      <c r="AQ124" s="231"/>
      <c r="AR124" s="231"/>
      <c r="AS124" s="231"/>
      <c r="AT124" s="231"/>
      <c r="AU124" s="231"/>
      <c r="AV124" s="231"/>
      <c r="AW124" s="231"/>
      <c r="AX124" s="231"/>
      <c r="AY124" s="231"/>
      <c r="AZ124" s="231"/>
      <c r="BA124" s="231"/>
      <c r="BB124" s="231"/>
      <c r="BC124" s="231"/>
      <c r="BD124" s="231"/>
      <c r="BE124" s="231"/>
      <c r="BF124" s="231"/>
      <c r="BG124" s="231"/>
      <c r="BH124" s="231"/>
      <c r="BI124" s="231"/>
      <c r="BJ124" s="231"/>
      <c r="BK124" s="231"/>
      <c r="BL124" s="231"/>
      <c r="BM124" s="231"/>
      <c r="BN124" s="231"/>
      <c r="BO124" s="231"/>
      <c r="BP124" s="231"/>
      <c r="BQ124" s="231"/>
      <c r="BR124" s="231"/>
      <c r="BS124" s="231"/>
    </row>
    <row r="125" spans="1:71" s="203" customFormat="1">
      <c r="A125" s="120">
        <v>25</v>
      </c>
      <c r="B125" s="147" t="s">
        <v>127</v>
      </c>
      <c r="C125" s="147"/>
      <c r="D125" s="147"/>
      <c r="E125" s="80">
        <f>SUM('Aberdeen City:West Lothian'!E125)</f>
        <v>1322379.0288333306</v>
      </c>
      <c r="F125" s="142">
        <f>SUM(F118:F124)</f>
        <v>1345130</v>
      </c>
      <c r="G125" s="118"/>
      <c r="H125" s="142">
        <f>SUM(H118:H124)</f>
        <v>1395529</v>
      </c>
      <c r="I125" s="139"/>
      <c r="J125" s="258"/>
      <c r="K125" s="258"/>
      <c r="L125" s="15"/>
      <c r="M125" s="8"/>
      <c r="N125" s="8"/>
      <c r="O125" s="231"/>
      <c r="P125" s="231"/>
      <c r="Q125" s="231"/>
      <c r="R125" s="231"/>
      <c r="S125" s="231"/>
      <c r="T125" s="231"/>
      <c r="U125" s="231"/>
      <c r="V125" s="231"/>
      <c r="W125" s="231"/>
      <c r="X125" s="231"/>
      <c r="Y125" s="231"/>
      <c r="Z125" s="231"/>
      <c r="AA125" s="231"/>
      <c r="AB125" s="231"/>
      <c r="AC125" s="231"/>
      <c r="AD125" s="231"/>
      <c r="AE125" s="231"/>
      <c r="AF125" s="231"/>
      <c r="AG125" s="231"/>
      <c r="AH125" s="231"/>
      <c r="AI125" s="231"/>
      <c r="AJ125" s="231"/>
      <c r="AK125" s="231"/>
      <c r="AL125" s="231"/>
      <c r="AM125" s="231"/>
      <c r="AN125" s="231"/>
      <c r="AO125" s="231"/>
      <c r="AP125" s="231"/>
      <c r="AQ125" s="231"/>
      <c r="AR125" s="231"/>
      <c r="AS125" s="231"/>
      <c r="AT125" s="231"/>
      <c r="AU125" s="231"/>
      <c r="AV125" s="231"/>
      <c r="AW125" s="231"/>
      <c r="AX125" s="231"/>
      <c r="AY125" s="231"/>
      <c r="AZ125" s="231"/>
      <c r="BA125" s="231"/>
      <c r="BB125" s="231"/>
      <c r="BC125" s="231"/>
      <c r="BD125" s="231"/>
      <c r="BE125" s="231"/>
      <c r="BF125" s="231"/>
      <c r="BG125" s="231"/>
      <c r="BH125" s="231"/>
      <c r="BI125" s="231"/>
      <c r="BJ125" s="231"/>
      <c r="BK125" s="231"/>
      <c r="BL125" s="231"/>
      <c r="BM125" s="231"/>
      <c r="BN125" s="231"/>
      <c r="BO125" s="231"/>
      <c r="BP125" s="231"/>
      <c r="BQ125" s="231"/>
      <c r="BR125" s="231"/>
      <c r="BS125" s="231"/>
    </row>
    <row r="126" spans="1:71" s="203" customFormat="1">
      <c r="A126" s="111"/>
      <c r="B126" s="47"/>
      <c r="C126" s="47"/>
      <c r="D126" s="47"/>
      <c r="E126" s="117"/>
      <c r="F126" s="118"/>
      <c r="G126" s="118"/>
      <c r="H126" s="118"/>
      <c r="I126" s="139"/>
      <c r="J126" s="258"/>
      <c r="K126" s="258"/>
      <c r="L126" s="15"/>
      <c r="M126" s="8"/>
      <c r="N126" s="8"/>
      <c r="O126" s="231"/>
      <c r="P126" s="231"/>
      <c r="Q126" s="231"/>
      <c r="R126" s="231"/>
      <c r="S126" s="231"/>
      <c r="T126" s="231"/>
      <c r="U126" s="231"/>
      <c r="V126" s="231"/>
      <c r="W126" s="231"/>
      <c r="X126" s="231"/>
      <c r="Y126" s="231"/>
      <c r="Z126" s="231"/>
      <c r="AA126" s="231"/>
      <c r="AB126" s="231"/>
      <c r="AC126" s="231"/>
      <c r="AD126" s="231"/>
      <c r="AE126" s="231"/>
      <c r="AF126" s="231"/>
      <c r="AG126" s="231"/>
      <c r="AH126" s="231"/>
      <c r="AI126" s="231"/>
      <c r="AJ126" s="231"/>
      <c r="AK126" s="231"/>
      <c r="AL126" s="231"/>
      <c r="AM126" s="231"/>
      <c r="AN126" s="231"/>
      <c r="AO126" s="231"/>
      <c r="AP126" s="231"/>
      <c r="AQ126" s="231"/>
      <c r="AR126" s="231"/>
      <c r="AS126" s="231"/>
      <c r="AT126" s="231"/>
      <c r="AU126" s="231"/>
      <c r="AV126" s="231"/>
      <c r="AW126" s="231"/>
      <c r="AX126" s="231"/>
      <c r="AY126" s="231"/>
      <c r="AZ126" s="231"/>
      <c r="BA126" s="231"/>
      <c r="BB126" s="231"/>
      <c r="BC126" s="231"/>
      <c r="BD126" s="231"/>
      <c r="BE126" s="231"/>
      <c r="BF126" s="231"/>
      <c r="BG126" s="231"/>
      <c r="BH126" s="231"/>
      <c r="BI126" s="231"/>
      <c r="BJ126" s="231"/>
      <c r="BK126" s="231"/>
      <c r="BL126" s="231"/>
      <c r="BM126" s="231"/>
      <c r="BN126" s="231"/>
      <c r="BO126" s="231"/>
      <c r="BP126" s="231"/>
      <c r="BQ126" s="231"/>
      <c r="BR126" s="231"/>
      <c r="BS126" s="231"/>
    </row>
    <row r="127" spans="1:71" s="203" customFormat="1">
      <c r="A127" s="119" t="s">
        <v>108</v>
      </c>
      <c r="B127" s="147"/>
      <c r="C127" s="147"/>
      <c r="D127" s="147"/>
      <c r="E127" s="140"/>
      <c r="F127" s="146"/>
      <c r="G127" s="118"/>
      <c r="H127" s="146"/>
      <c r="I127" s="139"/>
      <c r="J127" s="258"/>
      <c r="K127" s="258"/>
      <c r="L127" s="15"/>
      <c r="M127" s="8"/>
      <c r="N127" s="8"/>
      <c r="O127" s="231"/>
      <c r="P127" s="231"/>
      <c r="Q127" s="231"/>
      <c r="R127" s="231"/>
      <c r="S127" s="231"/>
      <c r="T127" s="231"/>
      <c r="U127" s="231"/>
      <c r="V127" s="231"/>
      <c r="W127" s="231"/>
      <c r="X127" s="231"/>
      <c r="Y127" s="231"/>
      <c r="Z127" s="231"/>
      <c r="AA127" s="231"/>
      <c r="AB127" s="231"/>
      <c r="AC127" s="231"/>
      <c r="AD127" s="231"/>
      <c r="AE127" s="231"/>
      <c r="AF127" s="231"/>
      <c r="AG127" s="231"/>
      <c r="AH127" s="231"/>
      <c r="AI127" s="231"/>
      <c r="AJ127" s="231"/>
      <c r="AK127" s="231"/>
      <c r="AL127" s="231"/>
      <c r="AM127" s="231"/>
      <c r="AN127" s="231"/>
      <c r="AO127" s="231"/>
      <c r="AP127" s="231"/>
      <c r="AQ127" s="231"/>
      <c r="AR127" s="231"/>
      <c r="AS127" s="231"/>
      <c r="AT127" s="231"/>
      <c r="AU127" s="231"/>
      <c r="AV127" s="231"/>
      <c r="AW127" s="231"/>
      <c r="AX127" s="231"/>
      <c r="AY127" s="231"/>
      <c r="AZ127" s="231"/>
      <c r="BA127" s="231"/>
      <c r="BB127" s="231"/>
      <c r="BC127" s="231"/>
      <c r="BD127" s="231"/>
      <c r="BE127" s="231"/>
      <c r="BF127" s="231"/>
      <c r="BG127" s="231"/>
      <c r="BH127" s="231"/>
      <c r="BI127" s="231"/>
      <c r="BJ127" s="231"/>
      <c r="BK127" s="231"/>
      <c r="BL127" s="231"/>
      <c r="BM127" s="231"/>
      <c r="BN127" s="231"/>
      <c r="BO127" s="231"/>
      <c r="BP127" s="231"/>
      <c r="BQ127" s="231"/>
      <c r="BR127" s="231"/>
      <c r="BS127" s="231"/>
    </row>
    <row r="128" spans="1:71" s="203" customFormat="1">
      <c r="A128" s="120">
        <v>26</v>
      </c>
      <c r="B128" s="47" t="s">
        <v>123</v>
      </c>
      <c r="C128" s="47"/>
      <c r="D128" s="47"/>
      <c r="E128" s="74">
        <f>SUM('Aberdeen City:West Lothian'!E128)</f>
        <v>25168.205972110864</v>
      </c>
      <c r="F128" s="52">
        <f>SUM('Aberdeen City:West Lothian'!F128)</f>
        <v>25519</v>
      </c>
      <c r="G128" s="118"/>
      <c r="H128" s="122">
        <f>SUM('Aberdeen City:West Lothian'!H128)</f>
        <v>26273</v>
      </c>
      <c r="I128" s="139"/>
      <c r="J128" s="258"/>
      <c r="K128" s="258"/>
      <c r="L128" s="15"/>
      <c r="M128" s="8"/>
      <c r="N128" s="8"/>
      <c r="O128" s="231"/>
      <c r="P128" s="231"/>
      <c r="Q128" s="231"/>
      <c r="R128" s="231"/>
      <c r="S128" s="231"/>
      <c r="T128" s="231"/>
      <c r="U128" s="231"/>
      <c r="V128" s="231"/>
      <c r="W128" s="231"/>
      <c r="X128" s="231"/>
      <c r="Y128" s="231"/>
      <c r="Z128" s="231"/>
      <c r="AA128" s="231"/>
      <c r="AB128" s="231"/>
      <c r="AC128" s="231"/>
      <c r="AD128" s="231"/>
      <c r="AE128" s="231"/>
      <c r="AF128" s="231"/>
      <c r="AG128" s="231"/>
      <c r="AH128" s="231"/>
      <c r="AI128" s="231"/>
      <c r="AJ128" s="231"/>
      <c r="AK128" s="231"/>
      <c r="AL128" s="231"/>
      <c r="AM128" s="231"/>
      <c r="AN128" s="231"/>
      <c r="AO128" s="231"/>
      <c r="AP128" s="231"/>
      <c r="AQ128" s="231"/>
      <c r="AR128" s="231"/>
      <c r="AS128" s="231"/>
      <c r="AT128" s="231"/>
      <c r="AU128" s="231"/>
      <c r="AV128" s="231"/>
      <c r="AW128" s="231"/>
      <c r="AX128" s="231"/>
      <c r="AY128" s="231"/>
      <c r="AZ128" s="231"/>
      <c r="BA128" s="231"/>
      <c r="BB128" s="231"/>
      <c r="BC128" s="231"/>
      <c r="BD128" s="231"/>
      <c r="BE128" s="231"/>
      <c r="BF128" s="231"/>
      <c r="BG128" s="231"/>
      <c r="BH128" s="231"/>
      <c r="BI128" s="231"/>
      <c r="BJ128" s="231"/>
      <c r="BK128" s="231"/>
      <c r="BL128" s="231"/>
      <c r="BM128" s="231"/>
      <c r="BN128" s="231"/>
      <c r="BO128" s="231"/>
      <c r="BP128" s="231"/>
      <c r="BQ128" s="231"/>
      <c r="BR128" s="231"/>
      <c r="BS128" s="231"/>
    </row>
    <row r="129" spans="1:71" s="203" customFormat="1">
      <c r="A129" s="120">
        <v>27</v>
      </c>
      <c r="B129" s="47" t="s">
        <v>124</v>
      </c>
      <c r="C129" s="47"/>
      <c r="D129" s="47"/>
      <c r="E129" s="49">
        <f>SUM('Aberdeen City:West Lothian'!E129)</f>
        <v>48775.62236958959</v>
      </c>
      <c r="F129" s="52">
        <f>SUM('Aberdeen City:West Lothian'!F129)</f>
        <v>51596</v>
      </c>
      <c r="G129" s="118"/>
      <c r="H129" s="122">
        <f>SUM('Aberdeen City:West Lothian'!H129)</f>
        <v>53326</v>
      </c>
      <c r="I129" s="139"/>
      <c r="J129" s="258"/>
      <c r="K129" s="258"/>
      <c r="L129" s="15"/>
      <c r="M129" s="8"/>
      <c r="N129" s="8"/>
      <c r="O129" s="231"/>
      <c r="P129" s="231"/>
      <c r="Q129" s="231"/>
      <c r="R129" s="231"/>
      <c r="S129" s="231"/>
      <c r="T129" s="231"/>
      <c r="U129" s="231"/>
      <c r="V129" s="231"/>
      <c r="W129" s="231"/>
      <c r="X129" s="231"/>
      <c r="Y129" s="231"/>
      <c r="Z129" s="231"/>
      <c r="AA129" s="231"/>
      <c r="AB129" s="231"/>
      <c r="AC129" s="231"/>
      <c r="AD129" s="231"/>
      <c r="AE129" s="231"/>
      <c r="AF129" s="231"/>
      <c r="AG129" s="231"/>
      <c r="AH129" s="231"/>
      <c r="AI129" s="231"/>
      <c r="AJ129" s="231"/>
      <c r="AK129" s="231"/>
      <c r="AL129" s="231"/>
      <c r="AM129" s="231"/>
      <c r="AN129" s="231"/>
      <c r="AO129" s="231"/>
      <c r="AP129" s="231"/>
      <c r="AQ129" s="231"/>
      <c r="AR129" s="231"/>
      <c r="AS129" s="231"/>
      <c r="AT129" s="231"/>
      <c r="AU129" s="231"/>
      <c r="AV129" s="231"/>
      <c r="AW129" s="231"/>
      <c r="AX129" s="231"/>
      <c r="AY129" s="231"/>
      <c r="AZ129" s="231"/>
      <c r="BA129" s="231"/>
      <c r="BB129" s="231"/>
      <c r="BC129" s="231"/>
      <c r="BD129" s="231"/>
      <c r="BE129" s="231"/>
      <c r="BF129" s="231"/>
      <c r="BG129" s="231"/>
      <c r="BH129" s="231"/>
      <c r="BI129" s="231"/>
      <c r="BJ129" s="231"/>
      <c r="BK129" s="231"/>
      <c r="BL129" s="231"/>
      <c r="BM129" s="231"/>
      <c r="BN129" s="231"/>
      <c r="BO129" s="231"/>
      <c r="BP129" s="231"/>
      <c r="BQ129" s="231"/>
      <c r="BR129" s="231"/>
      <c r="BS129" s="231"/>
    </row>
    <row r="130" spans="1:71" s="203" customFormat="1">
      <c r="A130" s="120">
        <v>28</v>
      </c>
      <c r="B130" s="47" t="s">
        <v>119</v>
      </c>
      <c r="C130" s="47"/>
      <c r="D130" s="47"/>
      <c r="E130" s="49">
        <f>SUM('Aberdeen City:West Lothian'!E130)</f>
        <v>53781.121939950681</v>
      </c>
      <c r="F130" s="52">
        <f>SUM('Aberdeen City:West Lothian'!F130)</f>
        <v>54172</v>
      </c>
      <c r="G130" s="118"/>
      <c r="H130" s="122">
        <f>SUM('Aberdeen City:West Lothian'!H130)</f>
        <v>55385</v>
      </c>
      <c r="I130" s="139"/>
      <c r="J130" s="258"/>
      <c r="K130" s="258"/>
      <c r="L130" s="15"/>
      <c r="M130" s="8"/>
      <c r="N130" s="8"/>
      <c r="O130" s="231"/>
      <c r="P130" s="231"/>
      <c r="Q130" s="231"/>
      <c r="R130" s="231"/>
      <c r="S130" s="231"/>
      <c r="T130" s="231"/>
      <c r="U130" s="231"/>
      <c r="V130" s="231"/>
      <c r="W130" s="231"/>
      <c r="X130" s="231"/>
      <c r="Y130" s="231"/>
      <c r="Z130" s="231"/>
      <c r="AA130" s="231"/>
      <c r="AB130" s="231"/>
      <c r="AC130" s="231"/>
      <c r="AD130" s="231"/>
      <c r="AE130" s="231"/>
      <c r="AF130" s="231"/>
      <c r="AG130" s="231"/>
      <c r="AH130" s="231"/>
      <c r="AI130" s="231"/>
      <c r="AJ130" s="231"/>
      <c r="AK130" s="231"/>
      <c r="AL130" s="231"/>
      <c r="AM130" s="231"/>
      <c r="AN130" s="231"/>
      <c r="AO130" s="231"/>
      <c r="AP130" s="231"/>
      <c r="AQ130" s="231"/>
      <c r="AR130" s="231"/>
      <c r="AS130" s="231"/>
      <c r="AT130" s="231"/>
      <c r="AU130" s="231"/>
      <c r="AV130" s="231"/>
      <c r="AW130" s="231"/>
      <c r="AX130" s="231"/>
      <c r="AY130" s="231"/>
      <c r="AZ130" s="231"/>
      <c r="BA130" s="231"/>
      <c r="BB130" s="231"/>
      <c r="BC130" s="231"/>
      <c r="BD130" s="231"/>
      <c r="BE130" s="231"/>
      <c r="BF130" s="231"/>
      <c r="BG130" s="231"/>
      <c r="BH130" s="231"/>
      <c r="BI130" s="231"/>
      <c r="BJ130" s="231"/>
      <c r="BK130" s="231"/>
      <c r="BL130" s="231"/>
      <c r="BM130" s="231"/>
      <c r="BN130" s="231"/>
      <c r="BO130" s="231"/>
      <c r="BP130" s="231"/>
      <c r="BQ130" s="231"/>
      <c r="BR130" s="231"/>
      <c r="BS130" s="231"/>
    </row>
    <row r="131" spans="1:71" s="203" customFormat="1">
      <c r="A131" s="120">
        <v>29</v>
      </c>
      <c r="B131" s="47" t="s">
        <v>120</v>
      </c>
      <c r="C131" s="47"/>
      <c r="D131" s="47"/>
      <c r="E131" s="49">
        <f>SUM('Aberdeen City:West Lothian'!E131)</f>
        <v>15889.66682153164</v>
      </c>
      <c r="F131" s="52">
        <f>SUM('Aberdeen City:West Lothian'!F131)</f>
        <v>15690</v>
      </c>
      <c r="G131" s="118"/>
      <c r="H131" s="122">
        <f>SUM('Aberdeen City:West Lothian'!H131)</f>
        <v>15640</v>
      </c>
      <c r="I131" s="139"/>
      <c r="J131" s="258"/>
      <c r="K131" s="258"/>
      <c r="L131" s="15"/>
      <c r="M131" s="8"/>
      <c r="N131" s="8"/>
      <c r="O131" s="231"/>
      <c r="P131" s="231"/>
      <c r="Q131" s="231"/>
      <c r="R131" s="231"/>
      <c r="S131" s="231"/>
      <c r="T131" s="231"/>
      <c r="U131" s="231"/>
      <c r="V131" s="231"/>
      <c r="W131" s="231"/>
      <c r="X131" s="231"/>
      <c r="Y131" s="231"/>
      <c r="Z131" s="231"/>
      <c r="AA131" s="231"/>
      <c r="AB131" s="231"/>
      <c r="AC131" s="231"/>
      <c r="AD131" s="231"/>
      <c r="AE131" s="231"/>
      <c r="AF131" s="231"/>
      <c r="AG131" s="231"/>
      <c r="AH131" s="231"/>
      <c r="AI131" s="231"/>
      <c r="AJ131" s="231"/>
      <c r="AK131" s="231"/>
      <c r="AL131" s="231"/>
      <c r="AM131" s="231"/>
      <c r="AN131" s="231"/>
      <c r="AO131" s="231"/>
      <c r="AP131" s="231"/>
      <c r="AQ131" s="231"/>
      <c r="AR131" s="231"/>
      <c r="AS131" s="231"/>
      <c r="AT131" s="231"/>
      <c r="AU131" s="231"/>
      <c r="AV131" s="231"/>
      <c r="AW131" s="231"/>
      <c r="AX131" s="231"/>
      <c r="AY131" s="231"/>
      <c r="AZ131" s="231"/>
      <c r="BA131" s="231"/>
      <c r="BB131" s="231"/>
      <c r="BC131" s="231"/>
      <c r="BD131" s="231"/>
      <c r="BE131" s="231"/>
      <c r="BF131" s="231"/>
      <c r="BG131" s="231"/>
      <c r="BH131" s="231"/>
      <c r="BI131" s="231"/>
      <c r="BJ131" s="231"/>
      <c r="BK131" s="231"/>
      <c r="BL131" s="231"/>
      <c r="BM131" s="231"/>
      <c r="BN131" s="231"/>
      <c r="BO131" s="231"/>
      <c r="BP131" s="231"/>
      <c r="BQ131" s="231"/>
      <c r="BR131" s="231"/>
      <c r="BS131" s="231"/>
    </row>
    <row r="132" spans="1:71" s="203" customFormat="1">
      <c r="A132" s="120">
        <v>30</v>
      </c>
      <c r="B132" s="47" t="s">
        <v>125</v>
      </c>
      <c r="C132" s="47"/>
      <c r="D132" s="47"/>
      <c r="E132" s="49">
        <f>SUM('Aberdeen City:West Lothian'!E132)</f>
        <v>12485.432106469543</v>
      </c>
      <c r="F132" s="52">
        <f>SUM('Aberdeen City:West Lothian'!F132)</f>
        <v>12402</v>
      </c>
      <c r="G132" s="118"/>
      <c r="H132" s="122">
        <f>SUM('Aberdeen City:West Lothian'!H132)</f>
        <v>12096</v>
      </c>
      <c r="I132" s="139"/>
      <c r="J132" s="258"/>
      <c r="K132" s="258"/>
      <c r="L132" s="15"/>
      <c r="M132" s="8"/>
      <c r="N132" s="8"/>
      <c r="O132" s="231"/>
      <c r="P132" s="231"/>
      <c r="Q132" s="231"/>
      <c r="R132" s="231"/>
      <c r="S132" s="231"/>
      <c r="T132" s="231"/>
      <c r="U132" s="231"/>
      <c r="V132" s="231"/>
      <c r="W132" s="231"/>
      <c r="X132" s="231"/>
      <c r="Y132" s="231"/>
      <c r="Z132" s="231"/>
      <c r="AA132" s="231"/>
      <c r="AB132" s="231"/>
      <c r="AC132" s="231"/>
      <c r="AD132" s="231"/>
      <c r="AE132" s="231"/>
      <c r="AF132" s="231"/>
      <c r="AG132" s="231"/>
      <c r="AH132" s="231"/>
      <c r="AI132" s="231"/>
      <c r="AJ132" s="231"/>
      <c r="AK132" s="231"/>
      <c r="AL132" s="231"/>
      <c r="AM132" s="231"/>
      <c r="AN132" s="231"/>
      <c r="AO132" s="231"/>
      <c r="AP132" s="231"/>
      <c r="AQ132" s="231"/>
      <c r="AR132" s="231"/>
      <c r="AS132" s="231"/>
      <c r="AT132" s="231"/>
      <c r="AU132" s="231"/>
      <c r="AV132" s="231"/>
      <c r="AW132" s="231"/>
      <c r="AX132" s="231"/>
      <c r="AY132" s="231"/>
      <c r="AZ132" s="231"/>
      <c r="BA132" s="231"/>
      <c r="BB132" s="231"/>
      <c r="BC132" s="231"/>
      <c r="BD132" s="231"/>
      <c r="BE132" s="231"/>
      <c r="BF132" s="231"/>
      <c r="BG132" s="231"/>
      <c r="BH132" s="231"/>
      <c r="BI132" s="231"/>
      <c r="BJ132" s="231"/>
      <c r="BK132" s="231"/>
      <c r="BL132" s="231"/>
      <c r="BM132" s="231"/>
      <c r="BN132" s="231"/>
      <c r="BO132" s="231"/>
      <c r="BP132" s="231"/>
      <c r="BQ132" s="231"/>
      <c r="BR132" s="231"/>
      <c r="BS132" s="231"/>
    </row>
    <row r="133" spans="1:71" s="203" customFormat="1">
      <c r="A133" s="120">
        <v>31</v>
      </c>
      <c r="B133" s="90" t="s">
        <v>126</v>
      </c>
      <c r="C133" s="47"/>
      <c r="D133" s="47"/>
      <c r="E133" s="49">
        <f>SUM('Aberdeen City:West Lothian'!E133)</f>
        <v>38533.032558049155</v>
      </c>
      <c r="F133" s="52">
        <f>SUM('Aberdeen City:West Lothian'!F133)</f>
        <v>40429</v>
      </c>
      <c r="G133" s="118"/>
      <c r="H133" s="122">
        <f>SUM('Aberdeen City:West Lothian'!H133)</f>
        <v>39989</v>
      </c>
      <c r="I133" s="139"/>
      <c r="J133" s="258"/>
      <c r="K133" s="258"/>
      <c r="L133" s="15"/>
      <c r="M133" s="8"/>
      <c r="N133" s="8"/>
      <c r="O133" s="231"/>
      <c r="P133" s="231"/>
      <c r="Q133" s="231"/>
      <c r="R133" s="231"/>
      <c r="S133" s="231"/>
      <c r="T133" s="231"/>
      <c r="U133" s="231"/>
      <c r="V133" s="231"/>
      <c r="W133" s="231"/>
      <c r="X133" s="231"/>
      <c r="Y133" s="231"/>
      <c r="Z133" s="231"/>
      <c r="AA133" s="231"/>
      <c r="AB133" s="231"/>
      <c r="AC133" s="231"/>
      <c r="AD133" s="231"/>
      <c r="AE133" s="231"/>
      <c r="AF133" s="231"/>
      <c r="AG133" s="231"/>
      <c r="AH133" s="231"/>
      <c r="AI133" s="231"/>
      <c r="AJ133" s="231"/>
      <c r="AK133" s="231"/>
      <c r="AL133" s="231"/>
      <c r="AM133" s="231"/>
      <c r="AN133" s="231"/>
      <c r="AO133" s="231"/>
      <c r="AP133" s="231"/>
      <c r="AQ133" s="231"/>
      <c r="AR133" s="231"/>
      <c r="AS133" s="231"/>
      <c r="AT133" s="231"/>
      <c r="AU133" s="231"/>
      <c r="AV133" s="231"/>
      <c r="AW133" s="231"/>
      <c r="AX133" s="231"/>
      <c r="AY133" s="231"/>
      <c r="AZ133" s="231"/>
      <c r="BA133" s="231"/>
      <c r="BB133" s="231"/>
      <c r="BC133" s="231"/>
      <c r="BD133" s="231"/>
      <c r="BE133" s="231"/>
      <c r="BF133" s="231"/>
      <c r="BG133" s="231"/>
      <c r="BH133" s="231"/>
      <c r="BI133" s="231"/>
      <c r="BJ133" s="231"/>
      <c r="BK133" s="231"/>
      <c r="BL133" s="231"/>
      <c r="BM133" s="231"/>
      <c r="BN133" s="231"/>
      <c r="BO133" s="231"/>
      <c r="BP133" s="231"/>
      <c r="BQ133" s="231"/>
      <c r="BR133" s="231"/>
      <c r="BS133" s="231"/>
    </row>
    <row r="134" spans="1:71" s="203" customFormat="1">
      <c r="A134" s="120">
        <v>32</v>
      </c>
      <c r="B134" s="47" t="s">
        <v>121</v>
      </c>
      <c r="C134" s="47"/>
      <c r="D134" s="47"/>
      <c r="E134" s="49">
        <f>SUM('Aberdeen City:West Lothian'!E134)</f>
        <v>17517.749734922392</v>
      </c>
      <c r="F134" s="52">
        <f>SUM('Aberdeen City:West Lothian'!F134)</f>
        <v>17228</v>
      </c>
      <c r="G134" s="118"/>
      <c r="H134" s="100">
        <f>SUM('Aberdeen City:West Lothian'!H134)</f>
        <v>18349</v>
      </c>
      <c r="I134" s="139"/>
      <c r="J134" s="258"/>
      <c r="K134" s="258"/>
      <c r="L134" s="15"/>
      <c r="M134" s="8"/>
      <c r="N134" s="8"/>
      <c r="O134" s="231"/>
      <c r="P134" s="231"/>
      <c r="Q134" s="231"/>
      <c r="R134" s="231"/>
      <c r="S134" s="231"/>
      <c r="T134" s="231"/>
      <c r="U134" s="231"/>
      <c r="V134" s="231"/>
      <c r="W134" s="231"/>
      <c r="X134" s="231"/>
      <c r="Y134" s="231"/>
      <c r="Z134" s="231"/>
      <c r="AA134" s="231"/>
      <c r="AB134" s="231"/>
      <c r="AC134" s="231"/>
      <c r="AD134" s="231"/>
      <c r="AE134" s="231"/>
      <c r="AF134" s="231"/>
      <c r="AG134" s="231"/>
      <c r="AH134" s="231"/>
      <c r="AI134" s="231"/>
      <c r="AJ134" s="231"/>
      <c r="AK134" s="231"/>
      <c r="AL134" s="231"/>
      <c r="AM134" s="231"/>
      <c r="AN134" s="231"/>
      <c r="AO134" s="231"/>
      <c r="AP134" s="231"/>
      <c r="AQ134" s="231"/>
      <c r="AR134" s="231"/>
      <c r="AS134" s="231"/>
      <c r="AT134" s="231"/>
      <c r="AU134" s="231"/>
      <c r="AV134" s="231"/>
      <c r="AW134" s="231"/>
      <c r="AX134" s="231"/>
      <c r="AY134" s="231"/>
      <c r="AZ134" s="231"/>
      <c r="BA134" s="231"/>
      <c r="BB134" s="231"/>
      <c r="BC134" s="231"/>
      <c r="BD134" s="231"/>
      <c r="BE134" s="231"/>
      <c r="BF134" s="231"/>
      <c r="BG134" s="231"/>
      <c r="BH134" s="231"/>
      <c r="BI134" s="231"/>
      <c r="BJ134" s="231"/>
      <c r="BK134" s="231"/>
      <c r="BL134" s="231"/>
      <c r="BM134" s="231"/>
      <c r="BN134" s="231"/>
      <c r="BO134" s="231"/>
      <c r="BP134" s="231"/>
      <c r="BQ134" s="231"/>
      <c r="BR134" s="231"/>
      <c r="BS134" s="231"/>
    </row>
    <row r="135" spans="1:71" s="203" customFormat="1">
      <c r="A135" s="120">
        <v>33</v>
      </c>
      <c r="B135" s="116" t="s">
        <v>128</v>
      </c>
      <c r="C135" s="116"/>
      <c r="D135" s="116"/>
      <c r="E135" s="80">
        <f>SUM('Aberdeen City:West Lothian'!E135)</f>
        <v>212150.83150262389</v>
      </c>
      <c r="F135" s="142">
        <f>SUM(F128:F134)</f>
        <v>217036</v>
      </c>
      <c r="G135" s="118"/>
      <c r="H135" s="142">
        <f>SUM(H128:H134)</f>
        <v>221058</v>
      </c>
      <c r="I135" s="139"/>
      <c r="J135" s="258"/>
      <c r="K135" s="258"/>
      <c r="L135" s="15"/>
      <c r="M135" s="8"/>
      <c r="N135" s="8"/>
      <c r="O135" s="231"/>
      <c r="P135" s="231"/>
      <c r="Q135" s="231"/>
      <c r="R135" s="231"/>
      <c r="S135" s="231"/>
      <c r="T135" s="231"/>
      <c r="U135" s="231"/>
      <c r="V135" s="231"/>
      <c r="W135" s="231"/>
      <c r="X135" s="231"/>
      <c r="Y135" s="231"/>
      <c r="Z135" s="231"/>
      <c r="AA135" s="231"/>
      <c r="AB135" s="231"/>
      <c r="AC135" s="231"/>
      <c r="AD135" s="231"/>
      <c r="AE135" s="231"/>
      <c r="AF135" s="231"/>
      <c r="AG135" s="231"/>
      <c r="AH135" s="231"/>
      <c r="AI135" s="231"/>
      <c r="AJ135" s="231"/>
      <c r="AK135" s="231"/>
      <c r="AL135" s="231"/>
      <c r="AM135" s="231"/>
      <c r="AN135" s="231"/>
      <c r="AO135" s="231"/>
      <c r="AP135" s="231"/>
      <c r="AQ135" s="231"/>
      <c r="AR135" s="231"/>
      <c r="AS135" s="231"/>
      <c r="AT135" s="231"/>
      <c r="AU135" s="231"/>
      <c r="AV135" s="231"/>
      <c r="AW135" s="231"/>
      <c r="AX135" s="231"/>
      <c r="AY135" s="231"/>
      <c r="AZ135" s="231"/>
      <c r="BA135" s="231"/>
      <c r="BB135" s="231"/>
      <c r="BC135" s="231"/>
      <c r="BD135" s="231"/>
      <c r="BE135" s="231"/>
      <c r="BF135" s="231"/>
      <c r="BG135" s="231"/>
      <c r="BH135" s="231"/>
      <c r="BI135" s="231"/>
      <c r="BJ135" s="231"/>
      <c r="BK135" s="231"/>
      <c r="BL135" s="231"/>
      <c r="BM135" s="231"/>
      <c r="BN135" s="231"/>
      <c r="BO135" s="231"/>
      <c r="BP135" s="231"/>
      <c r="BQ135" s="231"/>
      <c r="BR135" s="231"/>
      <c r="BS135" s="231"/>
    </row>
    <row r="136" spans="1:71" s="203" customFormat="1">
      <c r="A136" s="111"/>
      <c r="B136" s="47"/>
      <c r="C136" s="47"/>
      <c r="D136" s="138"/>
      <c r="E136" s="117"/>
      <c r="F136" s="118"/>
      <c r="G136" s="118"/>
      <c r="H136" s="118"/>
      <c r="I136" s="139"/>
      <c r="J136" s="258"/>
      <c r="K136" s="258"/>
      <c r="L136" s="15"/>
      <c r="M136" s="8"/>
      <c r="N136" s="8"/>
      <c r="O136" s="231"/>
      <c r="P136" s="231"/>
      <c r="Q136" s="231"/>
      <c r="R136" s="231"/>
      <c r="S136" s="231"/>
      <c r="T136" s="231"/>
      <c r="U136" s="231"/>
      <c r="V136" s="231"/>
      <c r="W136" s="231"/>
      <c r="X136" s="231"/>
      <c r="Y136" s="231"/>
      <c r="Z136" s="231"/>
      <c r="AA136" s="231"/>
      <c r="AB136" s="231"/>
      <c r="AC136" s="231"/>
      <c r="AD136" s="231"/>
      <c r="AE136" s="231"/>
      <c r="AF136" s="231"/>
      <c r="AG136" s="231"/>
      <c r="AH136" s="231"/>
      <c r="AI136" s="231"/>
      <c r="AJ136" s="231"/>
      <c r="AK136" s="231"/>
      <c r="AL136" s="231"/>
      <c r="AM136" s="231"/>
      <c r="AN136" s="231"/>
      <c r="AO136" s="231"/>
      <c r="AP136" s="231"/>
      <c r="AQ136" s="231"/>
      <c r="AR136" s="231"/>
      <c r="AS136" s="231"/>
      <c r="AT136" s="231"/>
      <c r="AU136" s="231"/>
      <c r="AV136" s="231"/>
      <c r="AW136" s="231"/>
      <c r="AX136" s="231"/>
      <c r="AY136" s="231"/>
      <c r="AZ136" s="231"/>
      <c r="BA136" s="231"/>
      <c r="BB136" s="231"/>
      <c r="BC136" s="231"/>
      <c r="BD136" s="231"/>
      <c r="BE136" s="231"/>
      <c r="BF136" s="231"/>
      <c r="BG136" s="231"/>
      <c r="BH136" s="231"/>
      <c r="BI136" s="231"/>
      <c r="BJ136" s="231"/>
      <c r="BK136" s="231"/>
      <c r="BL136" s="231"/>
      <c r="BM136" s="231"/>
      <c r="BN136" s="231"/>
      <c r="BO136" s="231"/>
      <c r="BP136" s="231"/>
      <c r="BQ136" s="231"/>
      <c r="BR136" s="231"/>
      <c r="BS136" s="231"/>
    </row>
    <row r="137" spans="1:71" s="203" customFormat="1">
      <c r="A137" s="119" t="s">
        <v>109</v>
      </c>
      <c r="B137" s="116"/>
      <c r="C137" s="116"/>
      <c r="D137" s="116"/>
      <c r="E137" s="140"/>
      <c r="F137" s="146"/>
      <c r="G137" s="118"/>
      <c r="H137" s="146"/>
      <c r="I137" s="139"/>
      <c r="J137" s="258"/>
      <c r="K137" s="258"/>
      <c r="L137" s="15"/>
      <c r="M137" s="8"/>
      <c r="N137" s="8"/>
      <c r="O137" s="231"/>
      <c r="P137" s="231"/>
      <c r="Q137" s="231"/>
      <c r="R137" s="231"/>
      <c r="S137" s="231"/>
      <c r="T137" s="231"/>
      <c r="U137" s="231"/>
      <c r="V137" s="231"/>
      <c r="W137" s="231"/>
      <c r="X137" s="231"/>
      <c r="Y137" s="231"/>
      <c r="Z137" s="231"/>
      <c r="AA137" s="231"/>
      <c r="AB137" s="231"/>
      <c r="AC137" s="231"/>
      <c r="AD137" s="231"/>
      <c r="AE137" s="231"/>
      <c r="AF137" s="231"/>
      <c r="AG137" s="231"/>
      <c r="AH137" s="231"/>
      <c r="AI137" s="231"/>
      <c r="AJ137" s="231"/>
      <c r="AK137" s="231"/>
      <c r="AL137" s="231"/>
      <c r="AM137" s="231"/>
      <c r="AN137" s="231"/>
      <c r="AO137" s="231"/>
      <c r="AP137" s="231"/>
      <c r="AQ137" s="231"/>
      <c r="AR137" s="231"/>
      <c r="AS137" s="231"/>
      <c r="AT137" s="231"/>
      <c r="AU137" s="231"/>
      <c r="AV137" s="231"/>
      <c r="AW137" s="231"/>
      <c r="AX137" s="231"/>
      <c r="AY137" s="231"/>
      <c r="AZ137" s="231"/>
      <c r="BA137" s="231"/>
      <c r="BB137" s="231"/>
      <c r="BC137" s="231"/>
      <c r="BD137" s="231"/>
      <c r="BE137" s="231"/>
      <c r="BF137" s="231"/>
      <c r="BG137" s="231"/>
      <c r="BH137" s="231"/>
      <c r="BI137" s="231"/>
      <c r="BJ137" s="231"/>
      <c r="BK137" s="231"/>
      <c r="BL137" s="231"/>
      <c r="BM137" s="231"/>
      <c r="BN137" s="231"/>
      <c r="BO137" s="231"/>
      <c r="BP137" s="231"/>
      <c r="BQ137" s="231"/>
      <c r="BR137" s="231"/>
      <c r="BS137" s="231"/>
    </row>
    <row r="138" spans="1:71" s="203" customFormat="1">
      <c r="A138" s="120">
        <v>34</v>
      </c>
      <c r="B138" s="47" t="s">
        <v>123</v>
      </c>
      <c r="C138" s="47"/>
      <c r="D138" s="47"/>
      <c r="E138" s="49">
        <f>SUM('Aberdeen City:West Lothian'!E138)</f>
        <v>35604.326998545686</v>
      </c>
      <c r="F138" s="52">
        <f>SUM('Aberdeen City:West Lothian'!F138)</f>
        <v>35527</v>
      </c>
      <c r="G138" s="118"/>
      <c r="H138" s="122">
        <f>SUM('Aberdeen City:West Lothian'!H138)</f>
        <v>38901</v>
      </c>
      <c r="I138" s="139"/>
      <c r="J138" s="258"/>
      <c r="K138" s="258"/>
      <c r="L138" s="15"/>
      <c r="M138" s="8"/>
      <c r="N138" s="8"/>
      <c r="O138" s="231"/>
      <c r="P138" s="231"/>
      <c r="Q138" s="231"/>
      <c r="R138" s="231"/>
      <c r="S138" s="231"/>
      <c r="T138" s="231"/>
      <c r="U138" s="231"/>
      <c r="V138" s="231"/>
      <c r="W138" s="231"/>
      <c r="X138" s="231"/>
      <c r="Y138" s="231"/>
      <c r="Z138" s="231"/>
      <c r="AA138" s="231"/>
      <c r="AB138" s="231"/>
      <c r="AC138" s="231"/>
      <c r="AD138" s="231"/>
      <c r="AE138" s="231"/>
      <c r="AF138" s="231"/>
      <c r="AG138" s="231"/>
      <c r="AH138" s="231"/>
      <c r="AI138" s="231"/>
      <c r="AJ138" s="231"/>
      <c r="AK138" s="231"/>
      <c r="AL138" s="231"/>
      <c r="AM138" s="231"/>
      <c r="AN138" s="231"/>
      <c r="AO138" s="231"/>
      <c r="AP138" s="231"/>
      <c r="AQ138" s="231"/>
      <c r="AR138" s="231"/>
      <c r="AS138" s="231"/>
      <c r="AT138" s="231"/>
      <c r="AU138" s="231"/>
      <c r="AV138" s="231"/>
      <c r="AW138" s="231"/>
      <c r="AX138" s="231"/>
      <c r="AY138" s="231"/>
      <c r="AZ138" s="231"/>
      <c r="BA138" s="231"/>
      <c r="BB138" s="231"/>
      <c r="BC138" s="231"/>
      <c r="BD138" s="231"/>
      <c r="BE138" s="231"/>
      <c r="BF138" s="231"/>
      <c r="BG138" s="231"/>
      <c r="BH138" s="231"/>
      <c r="BI138" s="231"/>
      <c r="BJ138" s="231"/>
      <c r="BK138" s="231"/>
      <c r="BL138" s="231"/>
      <c r="BM138" s="231"/>
      <c r="BN138" s="231"/>
      <c r="BO138" s="231"/>
      <c r="BP138" s="231"/>
      <c r="BQ138" s="231"/>
      <c r="BR138" s="231"/>
      <c r="BS138" s="231"/>
    </row>
    <row r="139" spans="1:71" s="203" customFormat="1">
      <c r="A139" s="120">
        <v>35</v>
      </c>
      <c r="B139" s="47" t="s">
        <v>119</v>
      </c>
      <c r="C139" s="47"/>
      <c r="D139" s="47"/>
      <c r="E139" s="49">
        <f>SUM('Aberdeen City:West Lothian'!E139)</f>
        <v>158203.37155787199</v>
      </c>
      <c r="F139" s="52">
        <f>SUM('Aberdeen City:West Lothian'!F139)</f>
        <v>161727</v>
      </c>
      <c r="G139" s="118"/>
      <c r="H139" s="122">
        <f>SUM('Aberdeen City:West Lothian'!H139)</f>
        <v>168881</v>
      </c>
      <c r="I139" s="139"/>
      <c r="J139" s="258"/>
      <c r="K139" s="258"/>
      <c r="L139" s="15"/>
      <c r="M139" s="8"/>
      <c r="N139" s="8"/>
      <c r="O139" s="231"/>
      <c r="P139" s="231"/>
      <c r="Q139" s="231"/>
      <c r="R139" s="231"/>
      <c r="S139" s="231"/>
      <c r="T139" s="231"/>
      <c r="U139" s="231"/>
      <c r="V139" s="231"/>
      <c r="W139" s="231"/>
      <c r="X139" s="231"/>
      <c r="Y139" s="231"/>
      <c r="Z139" s="231"/>
      <c r="AA139" s="231"/>
      <c r="AB139" s="231"/>
      <c r="AC139" s="231"/>
      <c r="AD139" s="231"/>
      <c r="AE139" s="231"/>
      <c r="AF139" s="231"/>
      <c r="AG139" s="231"/>
      <c r="AH139" s="231"/>
      <c r="AI139" s="231"/>
      <c r="AJ139" s="231"/>
      <c r="AK139" s="231"/>
      <c r="AL139" s="231"/>
      <c r="AM139" s="231"/>
      <c r="AN139" s="231"/>
      <c r="AO139" s="231"/>
      <c r="AP139" s="231"/>
      <c r="AQ139" s="231"/>
      <c r="AR139" s="231"/>
      <c r="AS139" s="231"/>
      <c r="AT139" s="231"/>
      <c r="AU139" s="231"/>
      <c r="AV139" s="231"/>
      <c r="AW139" s="231"/>
      <c r="AX139" s="231"/>
      <c r="AY139" s="231"/>
      <c r="AZ139" s="231"/>
      <c r="BA139" s="231"/>
      <c r="BB139" s="231"/>
      <c r="BC139" s="231"/>
      <c r="BD139" s="231"/>
      <c r="BE139" s="231"/>
      <c r="BF139" s="231"/>
      <c r="BG139" s="231"/>
      <c r="BH139" s="231"/>
      <c r="BI139" s="231"/>
      <c r="BJ139" s="231"/>
      <c r="BK139" s="231"/>
      <c r="BL139" s="231"/>
      <c r="BM139" s="231"/>
      <c r="BN139" s="231"/>
      <c r="BO139" s="231"/>
      <c r="BP139" s="231"/>
      <c r="BQ139" s="231"/>
      <c r="BR139" s="231"/>
      <c r="BS139" s="231"/>
    </row>
    <row r="140" spans="1:71" s="203" customFormat="1">
      <c r="A140" s="120">
        <v>36</v>
      </c>
      <c r="B140" s="47" t="s">
        <v>120</v>
      </c>
      <c r="C140" s="47"/>
      <c r="D140" s="47"/>
      <c r="E140" s="49">
        <f>SUM('Aberdeen City:West Lothian'!E140)</f>
        <v>107396.24916670995</v>
      </c>
      <c r="F140" s="52">
        <f>SUM('Aberdeen City:West Lothian'!F140)</f>
        <v>83685</v>
      </c>
      <c r="G140" s="118"/>
      <c r="H140" s="122">
        <f>SUM('Aberdeen City:West Lothian'!H140)</f>
        <v>87776</v>
      </c>
      <c r="I140" s="139"/>
      <c r="J140" s="258"/>
      <c r="K140" s="258"/>
      <c r="L140" s="15"/>
      <c r="M140" s="8"/>
      <c r="N140" s="8"/>
      <c r="O140" s="231"/>
      <c r="P140" s="231"/>
      <c r="Q140" s="231"/>
      <c r="R140" s="231"/>
      <c r="S140" s="231"/>
      <c r="T140" s="231"/>
      <c r="U140" s="231"/>
      <c r="V140" s="231"/>
      <c r="W140" s="231"/>
      <c r="X140" s="231"/>
      <c r="Y140" s="231"/>
      <c r="Z140" s="231"/>
      <c r="AA140" s="231"/>
      <c r="AB140" s="231"/>
      <c r="AC140" s="231"/>
      <c r="AD140" s="231"/>
      <c r="AE140" s="231"/>
      <c r="AF140" s="231"/>
      <c r="AG140" s="231"/>
      <c r="AH140" s="231"/>
      <c r="AI140" s="231"/>
      <c r="AJ140" s="231"/>
      <c r="AK140" s="231"/>
      <c r="AL140" s="231"/>
      <c r="AM140" s="231"/>
      <c r="AN140" s="231"/>
      <c r="AO140" s="231"/>
      <c r="AP140" s="231"/>
      <c r="AQ140" s="231"/>
      <c r="AR140" s="231"/>
      <c r="AS140" s="231"/>
      <c r="AT140" s="231"/>
      <c r="AU140" s="231"/>
      <c r="AV140" s="231"/>
      <c r="AW140" s="231"/>
      <c r="AX140" s="231"/>
      <c r="AY140" s="231"/>
      <c r="AZ140" s="231"/>
      <c r="BA140" s="231"/>
      <c r="BB140" s="231"/>
      <c r="BC140" s="231"/>
      <c r="BD140" s="231"/>
      <c r="BE140" s="231"/>
      <c r="BF140" s="231"/>
      <c r="BG140" s="231"/>
      <c r="BH140" s="231"/>
      <c r="BI140" s="231"/>
      <c r="BJ140" s="231"/>
      <c r="BK140" s="231"/>
      <c r="BL140" s="231"/>
      <c r="BM140" s="231"/>
      <c r="BN140" s="231"/>
      <c r="BO140" s="231"/>
      <c r="BP140" s="231"/>
      <c r="BQ140" s="231"/>
      <c r="BR140" s="231"/>
      <c r="BS140" s="231"/>
    </row>
    <row r="141" spans="1:71" s="203" customFormat="1">
      <c r="A141" s="120">
        <v>37</v>
      </c>
      <c r="B141" s="90" t="s">
        <v>126</v>
      </c>
      <c r="C141" s="47"/>
      <c r="D141" s="47"/>
      <c r="E141" s="49">
        <f>SUM('Aberdeen City:West Lothian'!E141)</f>
        <v>50334.471366684505</v>
      </c>
      <c r="F141" s="52">
        <f>SUM('Aberdeen City:West Lothian'!F141)</f>
        <v>63137</v>
      </c>
      <c r="G141" s="118"/>
      <c r="H141" s="99">
        <f>SUM('Aberdeen City:West Lothian'!H141)</f>
        <v>63248</v>
      </c>
      <c r="I141" s="139"/>
      <c r="J141" s="258"/>
      <c r="K141" s="258"/>
      <c r="L141" s="15"/>
      <c r="M141" s="8"/>
      <c r="N141" s="8"/>
      <c r="O141" s="231"/>
      <c r="P141" s="231"/>
      <c r="Q141" s="231"/>
      <c r="R141" s="231"/>
      <c r="S141" s="231"/>
      <c r="T141" s="231"/>
      <c r="U141" s="231"/>
      <c r="V141" s="231"/>
      <c r="W141" s="231"/>
      <c r="X141" s="231"/>
      <c r="Y141" s="231"/>
      <c r="Z141" s="231"/>
      <c r="AA141" s="231"/>
      <c r="AB141" s="231"/>
      <c r="AC141" s="231"/>
      <c r="AD141" s="231"/>
      <c r="AE141" s="231"/>
      <c r="AF141" s="231"/>
      <c r="AG141" s="231"/>
      <c r="AH141" s="231"/>
      <c r="AI141" s="231"/>
      <c r="AJ141" s="231"/>
      <c r="AK141" s="231"/>
      <c r="AL141" s="231"/>
      <c r="AM141" s="231"/>
      <c r="AN141" s="231"/>
      <c r="AO141" s="231"/>
      <c r="AP141" s="231"/>
      <c r="AQ141" s="231"/>
      <c r="AR141" s="231"/>
      <c r="AS141" s="231"/>
      <c r="AT141" s="231"/>
      <c r="AU141" s="231"/>
      <c r="AV141" s="231"/>
      <c r="AW141" s="231"/>
      <c r="AX141" s="231"/>
      <c r="AY141" s="231"/>
      <c r="AZ141" s="231"/>
      <c r="BA141" s="231"/>
      <c r="BB141" s="231"/>
      <c r="BC141" s="231"/>
      <c r="BD141" s="231"/>
      <c r="BE141" s="231"/>
      <c r="BF141" s="231"/>
      <c r="BG141" s="231"/>
      <c r="BH141" s="231"/>
      <c r="BI141" s="231"/>
      <c r="BJ141" s="231"/>
      <c r="BK141" s="231"/>
      <c r="BL141" s="231"/>
      <c r="BM141" s="231"/>
      <c r="BN141" s="231"/>
      <c r="BO141" s="231"/>
      <c r="BP141" s="231"/>
      <c r="BQ141" s="231"/>
      <c r="BR141" s="231"/>
      <c r="BS141" s="231"/>
    </row>
    <row r="142" spans="1:71" s="203" customFormat="1">
      <c r="A142" s="120">
        <v>38</v>
      </c>
      <c r="B142" s="47" t="s">
        <v>121</v>
      </c>
      <c r="C142" s="47"/>
      <c r="D142" s="47"/>
      <c r="E142" s="49">
        <f>SUM('Aberdeen City:West Lothian'!E142)</f>
        <v>209550.55960749066</v>
      </c>
      <c r="F142" s="52">
        <f>SUM('Aberdeen City:West Lothian'!F142)</f>
        <v>228922</v>
      </c>
      <c r="G142" s="118"/>
      <c r="H142" s="100">
        <f>SUM('Aberdeen City:West Lothian'!H142)</f>
        <v>237522</v>
      </c>
      <c r="I142" s="139"/>
      <c r="J142" s="258"/>
      <c r="K142" s="258"/>
      <c r="L142" s="15"/>
      <c r="M142" s="8"/>
      <c r="N142" s="8"/>
      <c r="O142" s="231"/>
      <c r="P142" s="231"/>
      <c r="Q142" s="231"/>
      <c r="R142" s="231"/>
      <c r="S142" s="231"/>
      <c r="T142" s="231"/>
      <c r="U142" s="231"/>
      <c r="V142" s="231"/>
      <c r="W142" s="231"/>
      <c r="X142" s="231"/>
      <c r="Y142" s="231"/>
      <c r="Z142" s="231"/>
      <c r="AA142" s="231"/>
      <c r="AB142" s="231"/>
      <c r="AC142" s="231"/>
      <c r="AD142" s="231"/>
      <c r="AE142" s="231"/>
      <c r="AF142" s="231"/>
      <c r="AG142" s="231"/>
      <c r="AH142" s="231"/>
      <c r="AI142" s="231"/>
      <c r="AJ142" s="231"/>
      <c r="AK142" s="231"/>
      <c r="AL142" s="231"/>
      <c r="AM142" s="231"/>
      <c r="AN142" s="231"/>
      <c r="AO142" s="231"/>
      <c r="AP142" s="231"/>
      <c r="AQ142" s="231"/>
      <c r="AR142" s="231"/>
      <c r="AS142" s="231"/>
      <c r="AT142" s="231"/>
      <c r="AU142" s="231"/>
      <c r="AV142" s="231"/>
      <c r="AW142" s="231"/>
      <c r="AX142" s="231"/>
      <c r="AY142" s="231"/>
      <c r="AZ142" s="231"/>
      <c r="BA142" s="231"/>
      <c r="BB142" s="231"/>
      <c r="BC142" s="231"/>
      <c r="BD142" s="231"/>
      <c r="BE142" s="231"/>
      <c r="BF142" s="231"/>
      <c r="BG142" s="231"/>
      <c r="BH142" s="231"/>
      <c r="BI142" s="231"/>
      <c r="BJ142" s="231"/>
      <c r="BK142" s="231"/>
      <c r="BL142" s="231"/>
      <c r="BM142" s="231"/>
      <c r="BN142" s="231"/>
      <c r="BO142" s="231"/>
      <c r="BP142" s="231"/>
      <c r="BQ142" s="231"/>
      <c r="BR142" s="231"/>
      <c r="BS142" s="231"/>
    </row>
    <row r="143" spans="1:71" s="203" customFormat="1">
      <c r="A143" s="120">
        <v>39</v>
      </c>
      <c r="B143" s="116" t="s">
        <v>129</v>
      </c>
      <c r="C143" s="116"/>
      <c r="D143" s="116"/>
      <c r="E143" s="80">
        <f>SUM('Aberdeen City:West Lothian'!E143)</f>
        <v>561088.97869730275</v>
      </c>
      <c r="F143" s="142">
        <f>SUM(F138:F142)</f>
        <v>572998</v>
      </c>
      <c r="G143" s="118"/>
      <c r="H143" s="142">
        <f>SUM(H138:H142)</f>
        <v>596328</v>
      </c>
      <c r="I143" s="139"/>
      <c r="J143" s="258"/>
      <c r="K143" s="258"/>
      <c r="L143" s="15"/>
      <c r="M143" s="8"/>
      <c r="N143" s="8"/>
      <c r="O143" s="231"/>
      <c r="P143" s="231"/>
      <c r="Q143" s="231"/>
      <c r="R143" s="231"/>
      <c r="S143" s="231"/>
      <c r="T143" s="231"/>
      <c r="U143" s="231"/>
      <c r="V143" s="231"/>
      <c r="W143" s="231"/>
      <c r="X143" s="231"/>
      <c r="Y143" s="231"/>
      <c r="Z143" s="231"/>
      <c r="AA143" s="231"/>
      <c r="AB143" s="231"/>
      <c r="AC143" s="231"/>
      <c r="AD143" s="231"/>
      <c r="AE143" s="231"/>
      <c r="AF143" s="231"/>
      <c r="AG143" s="231"/>
      <c r="AH143" s="231"/>
      <c r="AI143" s="231"/>
      <c r="AJ143" s="231"/>
      <c r="AK143" s="231"/>
      <c r="AL143" s="231"/>
      <c r="AM143" s="231"/>
      <c r="AN143" s="231"/>
      <c r="AO143" s="231"/>
      <c r="AP143" s="231"/>
      <c r="AQ143" s="231"/>
      <c r="AR143" s="231"/>
      <c r="AS143" s="231"/>
      <c r="AT143" s="231"/>
      <c r="AU143" s="231"/>
      <c r="AV143" s="231"/>
      <c r="AW143" s="231"/>
      <c r="AX143" s="231"/>
      <c r="AY143" s="231"/>
      <c r="AZ143" s="231"/>
      <c r="BA143" s="231"/>
      <c r="BB143" s="231"/>
      <c r="BC143" s="231"/>
      <c r="BD143" s="231"/>
      <c r="BE143" s="231"/>
      <c r="BF143" s="231"/>
      <c r="BG143" s="231"/>
      <c r="BH143" s="231"/>
      <c r="BI143" s="231"/>
      <c r="BJ143" s="231"/>
      <c r="BK143" s="231"/>
      <c r="BL143" s="231"/>
      <c r="BM143" s="231"/>
      <c r="BN143" s="231"/>
      <c r="BO143" s="231"/>
      <c r="BP143" s="231"/>
      <c r="BQ143" s="231"/>
      <c r="BR143" s="231"/>
      <c r="BS143" s="231"/>
    </row>
    <row r="144" spans="1:71" s="203" customFormat="1">
      <c r="A144" s="111"/>
      <c r="B144" s="47"/>
      <c r="C144" s="47"/>
      <c r="D144" s="47"/>
      <c r="E144" s="117"/>
      <c r="F144" s="118"/>
      <c r="G144" s="118"/>
      <c r="H144" s="118"/>
      <c r="I144" s="139"/>
      <c r="J144" s="258"/>
      <c r="K144" s="258"/>
      <c r="L144" s="15"/>
      <c r="M144" s="8"/>
      <c r="N144" s="8"/>
      <c r="O144" s="231"/>
      <c r="P144" s="231"/>
      <c r="Q144" s="231"/>
      <c r="R144" s="231"/>
      <c r="S144" s="231"/>
      <c r="T144" s="231"/>
      <c r="U144" s="231"/>
      <c r="V144" s="231"/>
      <c r="W144" s="231"/>
      <c r="X144" s="231"/>
      <c r="Y144" s="231"/>
      <c r="Z144" s="231"/>
      <c r="AA144" s="231"/>
      <c r="AB144" s="231"/>
      <c r="AC144" s="231"/>
      <c r="AD144" s="231"/>
      <c r="AE144" s="231"/>
      <c r="AF144" s="231"/>
      <c r="AG144" s="231"/>
      <c r="AH144" s="231"/>
      <c r="AI144" s="231"/>
      <c r="AJ144" s="231"/>
      <c r="AK144" s="231"/>
      <c r="AL144" s="231"/>
      <c r="AM144" s="231"/>
      <c r="AN144" s="231"/>
      <c r="AO144" s="231"/>
      <c r="AP144" s="231"/>
      <c r="AQ144" s="231"/>
      <c r="AR144" s="231"/>
      <c r="AS144" s="231"/>
      <c r="AT144" s="231"/>
      <c r="AU144" s="231"/>
      <c r="AV144" s="231"/>
      <c r="AW144" s="231"/>
      <c r="AX144" s="231"/>
      <c r="AY144" s="231"/>
      <c r="AZ144" s="231"/>
      <c r="BA144" s="231"/>
      <c r="BB144" s="231"/>
      <c r="BC144" s="231"/>
      <c r="BD144" s="231"/>
      <c r="BE144" s="231"/>
      <c r="BF144" s="231"/>
      <c r="BG144" s="231"/>
      <c r="BH144" s="231"/>
      <c r="BI144" s="231"/>
      <c r="BJ144" s="231"/>
      <c r="BK144" s="231"/>
      <c r="BL144" s="231"/>
      <c r="BM144" s="231"/>
      <c r="BN144" s="231"/>
      <c r="BO144" s="231"/>
      <c r="BP144" s="231"/>
      <c r="BQ144" s="231"/>
      <c r="BR144" s="231"/>
      <c r="BS144" s="231"/>
    </row>
    <row r="145" spans="1:71" s="203" customFormat="1">
      <c r="A145" s="119" t="s">
        <v>110</v>
      </c>
      <c r="B145" s="116"/>
      <c r="C145" s="116"/>
      <c r="D145" s="116"/>
      <c r="E145" s="140"/>
      <c r="F145" s="146"/>
      <c r="G145" s="118"/>
      <c r="H145" s="146"/>
      <c r="I145" s="139"/>
      <c r="J145" s="258"/>
      <c r="K145" s="258"/>
      <c r="L145" s="15"/>
      <c r="M145" s="8"/>
      <c r="N145" s="8"/>
      <c r="O145" s="231"/>
      <c r="P145" s="231"/>
      <c r="Q145" s="231"/>
      <c r="R145" s="231"/>
      <c r="S145" s="231"/>
      <c r="T145" s="231"/>
      <c r="U145" s="231"/>
      <c r="V145" s="231"/>
      <c r="W145" s="231"/>
      <c r="X145" s="231"/>
      <c r="Y145" s="231"/>
      <c r="Z145" s="231"/>
      <c r="AA145" s="231"/>
      <c r="AB145" s="231"/>
      <c r="AC145" s="231"/>
      <c r="AD145" s="231"/>
      <c r="AE145" s="231"/>
      <c r="AF145" s="231"/>
      <c r="AG145" s="231"/>
      <c r="AH145" s="231"/>
      <c r="AI145" s="231"/>
      <c r="AJ145" s="231"/>
      <c r="AK145" s="231"/>
      <c r="AL145" s="231"/>
      <c r="AM145" s="231"/>
      <c r="AN145" s="231"/>
      <c r="AO145" s="231"/>
      <c r="AP145" s="231"/>
      <c r="AQ145" s="231"/>
      <c r="AR145" s="231"/>
      <c r="AS145" s="231"/>
      <c r="AT145" s="231"/>
      <c r="AU145" s="231"/>
      <c r="AV145" s="231"/>
      <c r="AW145" s="231"/>
      <c r="AX145" s="231"/>
      <c r="AY145" s="231"/>
      <c r="AZ145" s="231"/>
      <c r="BA145" s="231"/>
      <c r="BB145" s="231"/>
      <c r="BC145" s="231"/>
      <c r="BD145" s="231"/>
      <c r="BE145" s="231"/>
      <c r="BF145" s="231"/>
      <c r="BG145" s="231"/>
      <c r="BH145" s="231"/>
      <c r="BI145" s="231"/>
      <c r="BJ145" s="231"/>
      <c r="BK145" s="231"/>
      <c r="BL145" s="231"/>
      <c r="BM145" s="231"/>
      <c r="BN145" s="231"/>
      <c r="BO145" s="231"/>
      <c r="BP145" s="231"/>
      <c r="BQ145" s="231"/>
      <c r="BR145" s="231"/>
      <c r="BS145" s="231"/>
    </row>
    <row r="146" spans="1:71" s="203" customFormat="1">
      <c r="A146" s="120">
        <v>40</v>
      </c>
      <c r="B146" s="47" t="s">
        <v>123</v>
      </c>
      <c r="C146" s="47"/>
      <c r="D146" s="47"/>
      <c r="E146" s="49">
        <f>SUM('Aberdeen City:West Lothian'!E146)</f>
        <v>32820.004921986867</v>
      </c>
      <c r="F146" s="52">
        <f>SUM('Aberdeen City:West Lothian'!F146)</f>
        <v>31651</v>
      </c>
      <c r="G146" s="118"/>
      <c r="H146" s="122">
        <f>SUM('Aberdeen City:West Lothian'!H146)</f>
        <v>33968</v>
      </c>
      <c r="I146" s="139"/>
      <c r="J146" s="258"/>
      <c r="K146" s="258"/>
      <c r="L146" s="15"/>
      <c r="M146" s="8"/>
      <c r="N146" s="8"/>
      <c r="O146" s="231"/>
      <c r="P146" s="231"/>
      <c r="Q146" s="231"/>
      <c r="R146" s="231"/>
      <c r="S146" s="231"/>
      <c r="T146" s="231"/>
      <c r="U146" s="231"/>
      <c r="V146" s="231"/>
      <c r="W146" s="231"/>
      <c r="X146" s="231"/>
      <c r="Y146" s="231"/>
      <c r="Z146" s="231"/>
      <c r="AA146" s="231"/>
      <c r="AB146" s="231"/>
      <c r="AC146" s="231"/>
      <c r="AD146" s="231"/>
      <c r="AE146" s="231"/>
      <c r="AF146" s="231"/>
      <c r="AG146" s="231"/>
      <c r="AH146" s="231"/>
      <c r="AI146" s="231"/>
      <c r="AJ146" s="231"/>
      <c r="AK146" s="231"/>
      <c r="AL146" s="231"/>
      <c r="AM146" s="231"/>
      <c r="AN146" s="231"/>
      <c r="AO146" s="231"/>
      <c r="AP146" s="231"/>
      <c r="AQ146" s="231"/>
      <c r="AR146" s="231"/>
      <c r="AS146" s="231"/>
      <c r="AT146" s="231"/>
      <c r="AU146" s="231"/>
      <c r="AV146" s="231"/>
      <c r="AW146" s="231"/>
      <c r="AX146" s="231"/>
      <c r="AY146" s="231"/>
      <c r="AZ146" s="231"/>
      <c r="BA146" s="231"/>
      <c r="BB146" s="231"/>
      <c r="BC146" s="231"/>
      <c r="BD146" s="231"/>
      <c r="BE146" s="231"/>
      <c r="BF146" s="231"/>
      <c r="BG146" s="231"/>
      <c r="BH146" s="231"/>
      <c r="BI146" s="231"/>
      <c r="BJ146" s="231"/>
      <c r="BK146" s="231"/>
      <c r="BL146" s="231"/>
      <c r="BM146" s="231"/>
      <c r="BN146" s="231"/>
      <c r="BO146" s="231"/>
      <c r="BP146" s="231"/>
      <c r="BQ146" s="231"/>
      <c r="BR146" s="231"/>
      <c r="BS146" s="231"/>
    </row>
    <row r="147" spans="1:71" s="203" customFormat="1">
      <c r="A147" s="120">
        <v>41</v>
      </c>
      <c r="B147" s="47" t="s">
        <v>119</v>
      </c>
      <c r="C147" s="47"/>
      <c r="D147" s="47"/>
      <c r="E147" s="49">
        <f>SUM('Aberdeen City:West Lothian'!E147)</f>
        <v>22207.478125140595</v>
      </c>
      <c r="F147" s="52">
        <f>SUM('Aberdeen City:West Lothian'!F147)</f>
        <v>22332</v>
      </c>
      <c r="G147" s="118"/>
      <c r="H147" s="122">
        <f>SUM('Aberdeen City:West Lothian'!H147)</f>
        <v>23326</v>
      </c>
      <c r="I147" s="139"/>
      <c r="J147" s="258"/>
      <c r="K147" s="258"/>
      <c r="L147" s="15"/>
      <c r="M147" s="8"/>
      <c r="N147" s="8"/>
      <c r="O147" s="231"/>
      <c r="P147" s="231"/>
      <c r="Q147" s="231"/>
      <c r="R147" s="231"/>
      <c r="S147" s="231"/>
      <c r="T147" s="231"/>
      <c r="U147" s="231"/>
      <c r="V147" s="231"/>
      <c r="W147" s="231"/>
      <c r="X147" s="231"/>
      <c r="Y147" s="231"/>
      <c r="Z147" s="231"/>
      <c r="AA147" s="231"/>
      <c r="AB147" s="231"/>
      <c r="AC147" s="231"/>
      <c r="AD147" s="231"/>
      <c r="AE147" s="231"/>
      <c r="AF147" s="231"/>
      <c r="AG147" s="231"/>
      <c r="AH147" s="231"/>
      <c r="AI147" s="231"/>
      <c r="AJ147" s="231"/>
      <c r="AK147" s="231"/>
      <c r="AL147" s="231"/>
      <c r="AM147" s="231"/>
      <c r="AN147" s="231"/>
      <c r="AO147" s="231"/>
      <c r="AP147" s="231"/>
      <c r="AQ147" s="231"/>
      <c r="AR147" s="231"/>
      <c r="AS147" s="231"/>
      <c r="AT147" s="231"/>
      <c r="AU147" s="231"/>
      <c r="AV147" s="231"/>
      <c r="AW147" s="231"/>
      <c r="AX147" s="231"/>
      <c r="AY147" s="231"/>
      <c r="AZ147" s="231"/>
      <c r="BA147" s="231"/>
      <c r="BB147" s="231"/>
      <c r="BC147" s="231"/>
      <c r="BD147" s="231"/>
      <c r="BE147" s="231"/>
      <c r="BF147" s="231"/>
      <c r="BG147" s="231"/>
      <c r="BH147" s="231"/>
      <c r="BI147" s="231"/>
      <c r="BJ147" s="231"/>
      <c r="BK147" s="231"/>
      <c r="BL147" s="231"/>
      <c r="BM147" s="231"/>
      <c r="BN147" s="231"/>
      <c r="BO147" s="231"/>
      <c r="BP147" s="231"/>
      <c r="BQ147" s="231"/>
      <c r="BR147" s="231"/>
      <c r="BS147" s="231"/>
    </row>
    <row r="148" spans="1:71" s="203" customFormat="1">
      <c r="A148" s="120">
        <v>42</v>
      </c>
      <c r="B148" s="47" t="s">
        <v>120</v>
      </c>
      <c r="C148" s="47"/>
      <c r="D148" s="47"/>
      <c r="E148" s="49">
        <f>SUM('Aberdeen City:West Lothian'!E148)</f>
        <v>15536.342617707018</v>
      </c>
      <c r="F148" s="52">
        <f>SUM('Aberdeen City:West Lothian'!F148)</f>
        <v>8503</v>
      </c>
      <c r="G148" s="118"/>
      <c r="H148" s="122">
        <f>SUM('Aberdeen City:West Lothian'!H148)</f>
        <v>8872</v>
      </c>
      <c r="I148" s="139"/>
      <c r="J148" s="258"/>
      <c r="K148" s="258"/>
      <c r="L148" s="15"/>
      <c r="M148" s="8"/>
      <c r="N148" s="8"/>
      <c r="O148" s="231"/>
      <c r="P148" s="231"/>
      <c r="Q148" s="231"/>
      <c r="R148" s="231"/>
      <c r="S148" s="231"/>
      <c r="T148" s="231"/>
      <c r="U148" s="231"/>
      <c r="V148" s="231"/>
      <c r="W148" s="231"/>
      <c r="X148" s="231"/>
      <c r="Y148" s="231"/>
      <c r="Z148" s="231"/>
      <c r="AA148" s="231"/>
      <c r="AB148" s="231"/>
      <c r="AC148" s="231"/>
      <c r="AD148" s="231"/>
      <c r="AE148" s="231"/>
      <c r="AF148" s="231"/>
      <c r="AG148" s="231"/>
      <c r="AH148" s="231"/>
      <c r="AI148" s="231"/>
      <c r="AJ148" s="231"/>
      <c r="AK148" s="231"/>
      <c r="AL148" s="231"/>
      <c r="AM148" s="231"/>
      <c r="AN148" s="231"/>
      <c r="AO148" s="231"/>
      <c r="AP148" s="231"/>
      <c r="AQ148" s="231"/>
      <c r="AR148" s="231"/>
      <c r="AS148" s="231"/>
      <c r="AT148" s="231"/>
      <c r="AU148" s="231"/>
      <c r="AV148" s="231"/>
      <c r="AW148" s="231"/>
      <c r="AX148" s="231"/>
      <c r="AY148" s="231"/>
      <c r="AZ148" s="231"/>
      <c r="BA148" s="231"/>
      <c r="BB148" s="231"/>
      <c r="BC148" s="231"/>
      <c r="BD148" s="231"/>
      <c r="BE148" s="231"/>
      <c r="BF148" s="231"/>
      <c r="BG148" s="231"/>
      <c r="BH148" s="231"/>
      <c r="BI148" s="231"/>
      <c r="BJ148" s="231"/>
      <c r="BK148" s="231"/>
      <c r="BL148" s="231"/>
      <c r="BM148" s="231"/>
      <c r="BN148" s="231"/>
      <c r="BO148" s="231"/>
      <c r="BP148" s="231"/>
      <c r="BQ148" s="231"/>
      <c r="BR148" s="231"/>
      <c r="BS148" s="231"/>
    </row>
    <row r="149" spans="1:71" s="203" customFormat="1">
      <c r="A149" s="120">
        <v>43</v>
      </c>
      <c r="B149" s="47" t="s">
        <v>121</v>
      </c>
      <c r="C149" s="47"/>
      <c r="D149" s="47"/>
      <c r="E149" s="49">
        <f>SUM('Aberdeen City:West Lothian'!E149)</f>
        <v>36501.881408910762</v>
      </c>
      <c r="F149" s="52">
        <f>SUM('Aberdeen City:West Lothian'!F149)</f>
        <v>44032</v>
      </c>
      <c r="G149" s="118"/>
      <c r="H149" s="100">
        <f>SUM('Aberdeen City:West Lothian'!H149)</f>
        <v>47897</v>
      </c>
      <c r="I149" s="139"/>
      <c r="J149" s="258"/>
      <c r="K149" s="258"/>
      <c r="L149" s="15"/>
      <c r="M149" s="8"/>
      <c r="N149" s="8"/>
      <c r="O149" s="231"/>
      <c r="P149" s="231"/>
      <c r="Q149" s="231"/>
      <c r="R149" s="231"/>
      <c r="S149" s="231"/>
      <c r="T149" s="231"/>
      <c r="U149" s="231"/>
      <c r="V149" s="231"/>
      <c r="W149" s="231"/>
      <c r="X149" s="231"/>
      <c r="Y149" s="231"/>
      <c r="Z149" s="231"/>
      <c r="AA149" s="231"/>
      <c r="AB149" s="231"/>
      <c r="AC149" s="231"/>
      <c r="AD149" s="231"/>
      <c r="AE149" s="231"/>
      <c r="AF149" s="231"/>
      <c r="AG149" s="231"/>
      <c r="AH149" s="231"/>
      <c r="AI149" s="231"/>
      <c r="AJ149" s="231"/>
      <c r="AK149" s="231"/>
      <c r="AL149" s="231"/>
      <c r="AM149" s="231"/>
      <c r="AN149" s="231"/>
      <c r="AO149" s="231"/>
      <c r="AP149" s="231"/>
      <c r="AQ149" s="231"/>
      <c r="AR149" s="231"/>
      <c r="AS149" s="231"/>
      <c r="AT149" s="231"/>
      <c r="AU149" s="231"/>
      <c r="AV149" s="231"/>
      <c r="AW149" s="231"/>
      <c r="AX149" s="231"/>
      <c r="AY149" s="231"/>
      <c r="AZ149" s="231"/>
      <c r="BA149" s="231"/>
      <c r="BB149" s="231"/>
      <c r="BC149" s="231"/>
      <c r="BD149" s="231"/>
      <c r="BE149" s="231"/>
      <c r="BF149" s="231"/>
      <c r="BG149" s="231"/>
      <c r="BH149" s="231"/>
      <c r="BI149" s="231"/>
      <c r="BJ149" s="231"/>
      <c r="BK149" s="231"/>
      <c r="BL149" s="231"/>
      <c r="BM149" s="231"/>
      <c r="BN149" s="231"/>
      <c r="BO149" s="231"/>
      <c r="BP149" s="231"/>
      <c r="BQ149" s="231"/>
      <c r="BR149" s="231"/>
      <c r="BS149" s="231"/>
    </row>
    <row r="150" spans="1:71" s="203" customFormat="1">
      <c r="A150" s="124">
        <v>44</v>
      </c>
      <c r="B150" s="94" t="s">
        <v>130</v>
      </c>
      <c r="C150" s="94"/>
      <c r="D150" s="94"/>
      <c r="E150" s="80">
        <f>SUM('Aberdeen City:West Lothian'!E150)</f>
        <v>107065.70707374523</v>
      </c>
      <c r="F150" s="142">
        <f>SUM(F146:F149)</f>
        <v>106518</v>
      </c>
      <c r="G150" s="259"/>
      <c r="H150" s="142">
        <f>SUM(H146:H149)</f>
        <v>114063</v>
      </c>
      <c r="I150" s="139"/>
      <c r="J150" s="258"/>
      <c r="K150" s="258"/>
      <c r="L150" s="15"/>
      <c r="M150" s="8"/>
      <c r="N150" s="8"/>
      <c r="O150" s="231"/>
      <c r="P150" s="231"/>
      <c r="Q150" s="231"/>
      <c r="R150" s="231"/>
      <c r="S150" s="231"/>
      <c r="T150" s="231"/>
      <c r="U150" s="231"/>
      <c r="V150" s="231"/>
      <c r="W150" s="231"/>
      <c r="X150" s="231"/>
      <c r="Y150" s="231"/>
      <c r="Z150" s="231"/>
      <c r="AA150" s="231"/>
      <c r="AB150" s="231"/>
      <c r="AC150" s="231"/>
      <c r="AD150" s="231"/>
      <c r="AE150" s="231"/>
      <c r="AF150" s="231"/>
      <c r="AG150" s="231"/>
      <c r="AH150" s="231"/>
      <c r="AI150" s="231"/>
      <c r="AJ150" s="231"/>
      <c r="AK150" s="231"/>
      <c r="AL150" s="231"/>
      <c r="AM150" s="231"/>
      <c r="AN150" s="231"/>
      <c r="AO150" s="231"/>
      <c r="AP150" s="231"/>
      <c r="AQ150" s="231"/>
      <c r="AR150" s="231"/>
      <c r="AS150" s="231"/>
      <c r="AT150" s="231"/>
      <c r="AU150" s="231"/>
      <c r="AV150" s="231"/>
      <c r="AW150" s="231"/>
      <c r="AX150" s="231"/>
      <c r="AY150" s="231"/>
      <c r="AZ150" s="231"/>
      <c r="BA150" s="231"/>
      <c r="BB150" s="231"/>
      <c r="BC150" s="231"/>
      <c r="BD150" s="231"/>
      <c r="BE150" s="231"/>
      <c r="BF150" s="231"/>
      <c r="BG150" s="231"/>
      <c r="BH150" s="231"/>
      <c r="BI150" s="231"/>
      <c r="BJ150" s="231"/>
      <c r="BK150" s="231"/>
      <c r="BL150" s="231"/>
      <c r="BM150" s="231"/>
      <c r="BN150" s="231"/>
      <c r="BO150" s="231"/>
      <c r="BP150" s="231"/>
      <c r="BQ150" s="231"/>
      <c r="BR150" s="231"/>
      <c r="BS150" s="231"/>
    </row>
    <row r="151" spans="1:71" s="203" customFormat="1">
      <c r="A151" s="148"/>
      <c r="B151" s="129"/>
      <c r="C151" s="129"/>
      <c r="D151" s="149"/>
      <c r="E151" s="150"/>
      <c r="F151" s="29"/>
      <c r="G151" s="29"/>
      <c r="H151" s="207"/>
      <c r="I151" s="29"/>
      <c r="J151" s="15"/>
      <c r="K151" s="15"/>
      <c r="L151" s="15"/>
      <c r="M151" s="8"/>
      <c r="N151" s="8"/>
      <c r="O151" s="231"/>
      <c r="P151" s="231"/>
      <c r="Q151" s="231"/>
      <c r="R151" s="231"/>
      <c r="S151" s="231"/>
      <c r="T151" s="231"/>
      <c r="U151" s="231"/>
      <c r="V151" s="231"/>
      <c r="W151" s="231"/>
      <c r="X151" s="231"/>
      <c r="Y151" s="231"/>
      <c r="Z151" s="231"/>
      <c r="AA151" s="231"/>
      <c r="AB151" s="231"/>
      <c r="AC151" s="231"/>
      <c r="AD151" s="231"/>
      <c r="AE151" s="231"/>
      <c r="AF151" s="231"/>
      <c r="AG151" s="231"/>
      <c r="AH151" s="231"/>
      <c r="AI151" s="231"/>
      <c r="AJ151" s="231"/>
      <c r="AK151" s="231"/>
      <c r="AL151" s="231"/>
      <c r="AM151" s="231"/>
      <c r="AN151" s="231"/>
      <c r="AO151" s="231"/>
      <c r="AP151" s="231"/>
      <c r="AQ151" s="231"/>
      <c r="AR151" s="231"/>
      <c r="AS151" s="231"/>
      <c r="AT151" s="231"/>
      <c r="AU151" s="231"/>
      <c r="AV151" s="231"/>
      <c r="AW151" s="231"/>
      <c r="AX151" s="231"/>
      <c r="AY151" s="231"/>
      <c r="AZ151" s="231"/>
      <c r="BA151" s="231"/>
      <c r="BB151" s="231"/>
      <c r="BC151" s="231"/>
      <c r="BD151" s="231"/>
      <c r="BE151" s="231"/>
      <c r="BF151" s="231"/>
      <c r="BG151" s="231"/>
      <c r="BH151" s="231"/>
      <c r="BI151" s="231"/>
      <c r="BJ151" s="231"/>
      <c r="BK151" s="231"/>
      <c r="BL151" s="231"/>
      <c r="BM151" s="231"/>
      <c r="BN151" s="231"/>
      <c r="BO151" s="231"/>
      <c r="BP151" s="231"/>
      <c r="BQ151" s="231"/>
      <c r="BR151" s="231"/>
      <c r="BS151" s="231"/>
    </row>
    <row r="152" spans="1:71" s="203" customFormat="1">
      <c r="A152" s="148"/>
      <c r="B152" s="129"/>
      <c r="C152" s="129"/>
      <c r="D152" s="151"/>
      <c r="E152" s="152"/>
      <c r="F152" s="29"/>
      <c r="G152" s="29"/>
      <c r="H152" s="131" t="s">
        <v>27</v>
      </c>
      <c r="I152" s="29"/>
      <c r="J152" s="15"/>
      <c r="K152" s="15"/>
      <c r="L152" s="15"/>
      <c r="M152" s="8"/>
      <c r="N152" s="8"/>
      <c r="O152" s="231"/>
      <c r="P152" s="231"/>
      <c r="Q152" s="231"/>
      <c r="R152" s="231"/>
      <c r="S152" s="231"/>
      <c r="T152" s="231"/>
      <c r="U152" s="231"/>
      <c r="V152" s="231"/>
      <c r="W152" s="231"/>
      <c r="X152" s="231"/>
      <c r="Y152" s="231"/>
      <c r="Z152" s="231"/>
      <c r="AA152" s="231"/>
      <c r="AB152" s="231"/>
      <c r="AC152" s="231"/>
      <c r="AD152" s="231"/>
      <c r="AE152" s="231"/>
      <c r="AF152" s="231"/>
      <c r="AG152" s="231"/>
      <c r="AH152" s="231"/>
      <c r="AI152" s="231"/>
      <c r="AJ152" s="231"/>
      <c r="AK152" s="231"/>
      <c r="AL152" s="231"/>
      <c r="AM152" s="231"/>
      <c r="AN152" s="231"/>
      <c r="AO152" s="231"/>
      <c r="AP152" s="231"/>
      <c r="AQ152" s="231"/>
      <c r="AR152" s="231"/>
      <c r="AS152" s="231"/>
      <c r="AT152" s="231"/>
      <c r="AU152" s="231"/>
      <c r="AV152" s="231"/>
      <c r="AW152" s="231"/>
      <c r="AX152" s="231"/>
      <c r="AY152" s="231"/>
      <c r="AZ152" s="231"/>
      <c r="BA152" s="231"/>
      <c r="BB152" s="231"/>
      <c r="BC152" s="231"/>
      <c r="BD152" s="231"/>
      <c r="BE152" s="231"/>
      <c r="BF152" s="231"/>
      <c r="BG152" s="231"/>
      <c r="BH152" s="231"/>
      <c r="BI152" s="231"/>
      <c r="BJ152" s="231"/>
      <c r="BK152" s="231"/>
      <c r="BL152" s="231"/>
      <c r="BM152" s="231"/>
      <c r="BN152" s="231"/>
      <c r="BO152" s="231"/>
      <c r="BP152" s="231"/>
      <c r="BQ152" s="231"/>
      <c r="BR152" s="231"/>
      <c r="BS152" s="231"/>
    </row>
    <row r="153" spans="1:71" s="203" customFormat="1" ht="12.75" customHeight="1">
      <c r="A153" s="106" t="s">
        <v>20</v>
      </c>
      <c r="B153" s="107"/>
      <c r="C153" s="107"/>
      <c r="D153" s="107"/>
      <c r="E153" s="856" t="s">
        <v>377</v>
      </c>
      <c r="F153" s="853" t="s">
        <v>402</v>
      </c>
      <c r="G153" s="207"/>
      <c r="H153" s="856" t="s">
        <v>403</v>
      </c>
      <c r="I153" s="130"/>
      <c r="J153" s="239"/>
      <c r="K153" s="239"/>
      <c r="L153" s="15"/>
      <c r="M153" s="8"/>
      <c r="N153" s="8"/>
      <c r="O153" s="231"/>
      <c r="P153" s="231"/>
      <c r="Q153" s="231"/>
      <c r="R153" s="231"/>
      <c r="S153" s="231"/>
      <c r="T153" s="231"/>
      <c r="U153" s="231"/>
      <c r="V153" s="231"/>
      <c r="W153" s="231"/>
      <c r="X153" s="231"/>
      <c r="Y153" s="231"/>
      <c r="Z153" s="231"/>
      <c r="AA153" s="231"/>
      <c r="AB153" s="231"/>
      <c r="AC153" s="231"/>
      <c r="AD153" s="231"/>
      <c r="AE153" s="231"/>
      <c r="AF153" s="231"/>
      <c r="AG153" s="231"/>
      <c r="AH153" s="231"/>
      <c r="AI153" s="231"/>
      <c r="AJ153" s="231"/>
      <c r="AK153" s="231"/>
      <c r="AL153" s="231"/>
      <c r="AM153" s="231"/>
      <c r="AN153" s="231"/>
      <c r="AO153" s="231"/>
      <c r="AP153" s="231"/>
      <c r="AQ153" s="231"/>
      <c r="AR153" s="231"/>
      <c r="AS153" s="231"/>
      <c r="AT153" s="231"/>
      <c r="AU153" s="231"/>
      <c r="AV153" s="231"/>
      <c r="AW153" s="231"/>
      <c r="AX153" s="231"/>
      <c r="AY153" s="231"/>
      <c r="AZ153" s="231"/>
      <c r="BA153" s="231"/>
      <c r="BB153" s="231"/>
      <c r="BC153" s="231"/>
      <c r="BD153" s="231"/>
      <c r="BE153" s="231"/>
      <c r="BF153" s="231"/>
      <c r="BG153" s="231"/>
      <c r="BH153" s="231"/>
      <c r="BI153" s="231"/>
      <c r="BJ153" s="231"/>
      <c r="BK153" s="231"/>
      <c r="BL153" s="231"/>
      <c r="BM153" s="231"/>
      <c r="BN153" s="231"/>
      <c r="BO153" s="231"/>
      <c r="BP153" s="231"/>
      <c r="BQ153" s="231"/>
      <c r="BR153" s="231"/>
      <c r="BS153" s="231"/>
    </row>
    <row r="154" spans="1:71" s="203" customFormat="1">
      <c r="A154" s="153"/>
      <c r="B154" s="132"/>
      <c r="C154" s="132"/>
      <c r="D154" s="132"/>
      <c r="E154" s="859"/>
      <c r="F154" s="854"/>
      <c r="G154" s="207"/>
      <c r="H154" s="857"/>
      <c r="I154" s="130"/>
      <c r="J154" s="239"/>
      <c r="K154" s="239"/>
      <c r="L154" s="15"/>
      <c r="M154" s="8"/>
      <c r="N154" s="8"/>
      <c r="O154" s="231"/>
      <c r="P154" s="231"/>
      <c r="Q154" s="231"/>
      <c r="R154" s="231"/>
      <c r="S154" s="231"/>
      <c r="T154" s="231"/>
      <c r="U154" s="231"/>
      <c r="V154" s="231"/>
      <c r="W154" s="231"/>
      <c r="X154" s="231"/>
      <c r="Y154" s="231"/>
      <c r="Z154" s="231"/>
      <c r="AA154" s="231"/>
      <c r="AB154" s="231"/>
      <c r="AC154" s="231"/>
      <c r="AD154" s="231"/>
      <c r="AE154" s="231"/>
      <c r="AF154" s="231"/>
      <c r="AG154" s="231"/>
      <c r="AH154" s="231"/>
      <c r="AI154" s="231"/>
      <c r="AJ154" s="231"/>
      <c r="AK154" s="231"/>
      <c r="AL154" s="231"/>
      <c r="AM154" s="231"/>
      <c r="AN154" s="231"/>
      <c r="AO154" s="231"/>
      <c r="AP154" s="231"/>
      <c r="AQ154" s="231"/>
      <c r="AR154" s="231"/>
      <c r="AS154" s="231"/>
      <c r="AT154" s="231"/>
      <c r="AU154" s="231"/>
      <c r="AV154" s="231"/>
      <c r="AW154" s="231"/>
      <c r="AX154" s="231"/>
      <c r="AY154" s="231"/>
      <c r="AZ154" s="231"/>
      <c r="BA154" s="231"/>
      <c r="BB154" s="231"/>
      <c r="BC154" s="231"/>
      <c r="BD154" s="231"/>
      <c r="BE154" s="231"/>
      <c r="BF154" s="231"/>
      <c r="BG154" s="231"/>
      <c r="BH154" s="231"/>
      <c r="BI154" s="231"/>
      <c r="BJ154" s="231"/>
      <c r="BK154" s="231"/>
      <c r="BL154" s="231"/>
      <c r="BM154" s="231"/>
      <c r="BN154" s="231"/>
      <c r="BO154" s="231"/>
      <c r="BP154" s="231"/>
      <c r="BQ154" s="231"/>
      <c r="BR154" s="231"/>
      <c r="BS154" s="231"/>
    </row>
    <row r="155" spans="1:71" s="203" customFormat="1">
      <c r="A155" s="154" t="s">
        <v>131</v>
      </c>
      <c r="B155" s="116"/>
      <c r="C155" s="116"/>
      <c r="D155" s="116"/>
      <c r="E155" s="859"/>
      <c r="F155" s="854"/>
      <c r="G155" s="207"/>
      <c r="H155" s="857"/>
      <c r="I155" s="130"/>
      <c r="J155" s="239"/>
      <c r="K155" s="239"/>
      <c r="L155" s="15"/>
      <c r="M155" s="8"/>
      <c r="N155" s="8"/>
      <c r="O155" s="231"/>
      <c r="P155" s="231"/>
      <c r="Q155" s="231"/>
      <c r="R155" s="231"/>
      <c r="S155" s="231"/>
      <c r="T155" s="231"/>
      <c r="U155" s="231"/>
      <c r="V155" s="231"/>
      <c r="W155" s="231"/>
      <c r="X155" s="231"/>
      <c r="Y155" s="231"/>
      <c r="Z155" s="231"/>
      <c r="AA155" s="231"/>
      <c r="AB155" s="231"/>
      <c r="AC155" s="231"/>
      <c r="AD155" s="231"/>
      <c r="AE155" s="231"/>
      <c r="AF155" s="231"/>
      <c r="AG155" s="231"/>
      <c r="AH155" s="231"/>
      <c r="AI155" s="231"/>
      <c r="AJ155" s="231"/>
      <c r="AK155" s="231"/>
      <c r="AL155" s="231"/>
      <c r="AM155" s="231"/>
      <c r="AN155" s="231"/>
      <c r="AO155" s="231"/>
      <c r="AP155" s="231"/>
      <c r="AQ155" s="231"/>
      <c r="AR155" s="231"/>
      <c r="AS155" s="231"/>
      <c r="AT155" s="231"/>
      <c r="AU155" s="231"/>
      <c r="AV155" s="231"/>
      <c r="AW155" s="231"/>
      <c r="AX155" s="231"/>
      <c r="AY155" s="231"/>
      <c r="AZ155" s="231"/>
      <c r="BA155" s="231"/>
      <c r="BB155" s="231"/>
      <c r="BC155" s="231"/>
      <c r="BD155" s="231"/>
      <c r="BE155" s="231"/>
      <c r="BF155" s="231"/>
      <c r="BG155" s="231"/>
      <c r="BH155" s="231"/>
      <c r="BI155" s="231"/>
      <c r="BJ155" s="231"/>
      <c r="BK155" s="231"/>
      <c r="BL155" s="231"/>
      <c r="BM155" s="231"/>
      <c r="BN155" s="231"/>
      <c r="BO155" s="231"/>
      <c r="BP155" s="231"/>
      <c r="BQ155" s="231"/>
      <c r="BR155" s="231"/>
      <c r="BS155" s="231"/>
    </row>
    <row r="156" spans="1:71" s="203" customFormat="1" ht="12.75" customHeight="1">
      <c r="A156" s="109" t="s">
        <v>83</v>
      </c>
      <c r="B156" s="47"/>
      <c r="C156" s="47"/>
      <c r="D156" s="47"/>
      <c r="E156" s="859"/>
      <c r="F156" s="854"/>
      <c r="G156" s="207"/>
      <c r="H156" s="857"/>
      <c r="I156" s="130"/>
      <c r="J156" s="239"/>
      <c r="K156" s="239"/>
      <c r="L156" s="15"/>
      <c r="M156" s="8"/>
      <c r="N156" s="8"/>
      <c r="O156" s="231"/>
      <c r="P156" s="231"/>
      <c r="Q156" s="231"/>
      <c r="R156" s="231"/>
      <c r="S156" s="231"/>
      <c r="T156" s="231"/>
      <c r="U156" s="231"/>
      <c r="V156" s="231"/>
      <c r="W156" s="231"/>
      <c r="X156" s="231"/>
      <c r="Y156" s="231"/>
      <c r="Z156" s="231"/>
      <c r="AA156" s="231"/>
      <c r="AB156" s="231"/>
      <c r="AC156" s="231"/>
      <c r="AD156" s="231"/>
      <c r="AE156" s="231"/>
      <c r="AF156" s="231"/>
      <c r="AG156" s="231"/>
      <c r="AH156" s="231"/>
      <c r="AI156" s="231"/>
      <c r="AJ156" s="231"/>
      <c r="AK156" s="231"/>
      <c r="AL156" s="231"/>
      <c r="AM156" s="231"/>
      <c r="AN156" s="231"/>
      <c r="AO156" s="231"/>
      <c r="AP156" s="231"/>
      <c r="AQ156" s="231"/>
      <c r="AR156" s="231"/>
      <c r="AS156" s="231"/>
      <c r="AT156" s="231"/>
      <c r="AU156" s="231"/>
      <c r="AV156" s="231"/>
      <c r="AW156" s="231"/>
      <c r="AX156" s="231"/>
      <c r="AY156" s="231"/>
      <c r="AZ156" s="231"/>
      <c r="BA156" s="231"/>
      <c r="BB156" s="231"/>
      <c r="BC156" s="231"/>
      <c r="BD156" s="231"/>
      <c r="BE156" s="231"/>
      <c r="BF156" s="231"/>
      <c r="BG156" s="231"/>
      <c r="BH156" s="231"/>
      <c r="BI156" s="231"/>
      <c r="BJ156" s="231"/>
      <c r="BK156" s="231"/>
      <c r="BL156" s="231"/>
      <c r="BM156" s="231"/>
      <c r="BN156" s="231"/>
      <c r="BO156" s="231"/>
      <c r="BP156" s="231"/>
      <c r="BQ156" s="231"/>
      <c r="BR156" s="231"/>
      <c r="BS156" s="231"/>
    </row>
    <row r="157" spans="1:71" s="203" customFormat="1">
      <c r="A157" s="110" t="s">
        <v>84</v>
      </c>
      <c r="B157" s="132"/>
      <c r="C157" s="132"/>
      <c r="D157" s="132"/>
      <c r="E157" s="860"/>
      <c r="F157" s="855"/>
      <c r="G157" s="207"/>
      <c r="H157" s="858"/>
      <c r="I157" s="130"/>
      <c r="J157" s="239"/>
      <c r="K157" s="239"/>
      <c r="L157" s="15"/>
      <c r="M157" s="8"/>
      <c r="N157" s="8"/>
      <c r="O157" s="231"/>
      <c r="P157" s="231"/>
      <c r="Q157" s="231"/>
      <c r="R157" s="231"/>
      <c r="S157" s="231"/>
      <c r="T157" s="231"/>
      <c r="U157" s="231"/>
      <c r="V157" s="231"/>
      <c r="W157" s="231"/>
      <c r="X157" s="231"/>
      <c r="Y157" s="231"/>
      <c r="Z157" s="231"/>
      <c r="AA157" s="231"/>
      <c r="AB157" s="231"/>
      <c r="AC157" s="231"/>
      <c r="AD157" s="231"/>
      <c r="AE157" s="231"/>
      <c r="AF157" s="231"/>
      <c r="AG157" s="231"/>
      <c r="AH157" s="231"/>
      <c r="AI157" s="231"/>
      <c r="AJ157" s="231"/>
      <c r="AK157" s="231"/>
      <c r="AL157" s="231"/>
      <c r="AM157" s="231"/>
      <c r="AN157" s="231"/>
      <c r="AO157" s="231"/>
      <c r="AP157" s="231"/>
      <c r="AQ157" s="231"/>
      <c r="AR157" s="231"/>
      <c r="AS157" s="231"/>
      <c r="AT157" s="231"/>
      <c r="AU157" s="231"/>
      <c r="AV157" s="231"/>
      <c r="AW157" s="231"/>
      <c r="AX157" s="231"/>
      <c r="AY157" s="231"/>
      <c r="AZ157" s="231"/>
      <c r="BA157" s="231"/>
      <c r="BB157" s="231"/>
      <c r="BC157" s="231"/>
      <c r="BD157" s="231"/>
      <c r="BE157" s="231"/>
      <c r="BF157" s="231"/>
      <c r="BG157" s="231"/>
      <c r="BH157" s="231"/>
      <c r="BI157" s="231"/>
      <c r="BJ157" s="231"/>
      <c r="BK157" s="231"/>
      <c r="BL157" s="231"/>
      <c r="BM157" s="231"/>
      <c r="BN157" s="231"/>
      <c r="BO157" s="231"/>
      <c r="BP157" s="231"/>
      <c r="BQ157" s="231"/>
      <c r="BR157" s="231"/>
      <c r="BS157" s="231"/>
    </row>
    <row r="158" spans="1:71" s="203" customFormat="1">
      <c r="A158" s="119" t="s">
        <v>132</v>
      </c>
      <c r="B158" s="47"/>
      <c r="C158" s="47"/>
      <c r="D158" s="47"/>
      <c r="E158" s="155"/>
      <c r="F158" s="146" t="s">
        <v>133</v>
      </c>
      <c r="G158" s="118"/>
      <c r="H158" s="146"/>
      <c r="I158" s="29"/>
      <c r="J158" s="15"/>
      <c r="K158" s="15"/>
      <c r="L158" s="15"/>
      <c r="M158" s="8"/>
      <c r="N158" s="8"/>
      <c r="O158" s="231"/>
      <c r="P158" s="231"/>
      <c r="Q158" s="231"/>
      <c r="R158" s="231"/>
      <c r="S158" s="231"/>
      <c r="T158" s="231"/>
      <c r="U158" s="231"/>
      <c r="V158" s="231"/>
      <c r="W158" s="231"/>
      <c r="X158" s="231"/>
      <c r="Y158" s="231"/>
      <c r="Z158" s="231"/>
      <c r="AA158" s="231"/>
      <c r="AB158" s="231"/>
      <c r="AC158" s="231"/>
      <c r="AD158" s="231"/>
      <c r="AE158" s="231"/>
      <c r="AF158" s="231"/>
      <c r="AG158" s="231"/>
      <c r="AH158" s="231"/>
      <c r="AI158" s="231"/>
      <c r="AJ158" s="231"/>
      <c r="AK158" s="231"/>
      <c r="AL158" s="231"/>
      <c r="AM158" s="231"/>
      <c r="AN158" s="231"/>
      <c r="AO158" s="231"/>
      <c r="AP158" s="231"/>
      <c r="AQ158" s="231"/>
      <c r="AR158" s="231"/>
      <c r="AS158" s="231"/>
      <c r="AT158" s="231"/>
      <c r="AU158" s="231"/>
      <c r="AV158" s="231"/>
      <c r="AW158" s="231"/>
      <c r="AX158" s="231"/>
      <c r="AY158" s="231"/>
      <c r="AZ158" s="231"/>
      <c r="BA158" s="231"/>
      <c r="BB158" s="231"/>
      <c r="BC158" s="231"/>
      <c r="BD158" s="231"/>
      <c r="BE158" s="231"/>
      <c r="BF158" s="231"/>
      <c r="BG158" s="231"/>
      <c r="BH158" s="231"/>
      <c r="BI158" s="231"/>
      <c r="BJ158" s="231"/>
      <c r="BK158" s="231"/>
      <c r="BL158" s="231"/>
      <c r="BM158" s="231"/>
      <c r="BN158" s="231"/>
      <c r="BO158" s="231"/>
      <c r="BP158" s="231"/>
      <c r="BQ158" s="231"/>
      <c r="BR158" s="231"/>
      <c r="BS158" s="231"/>
    </row>
    <row r="159" spans="1:71" s="203" customFormat="1">
      <c r="A159" s="120">
        <v>1</v>
      </c>
      <c r="B159" s="47" t="s">
        <v>134</v>
      </c>
      <c r="C159" s="47"/>
      <c r="D159" s="47"/>
      <c r="E159" s="74">
        <f>SUM('Aberdeen City:West Lothian'!E159)</f>
        <v>1072.7189423433856</v>
      </c>
      <c r="F159" s="52">
        <f>SUM('Aberdeen City:West Lothian'!F159)</f>
        <v>1098</v>
      </c>
      <c r="G159" s="118"/>
      <c r="H159" s="122">
        <f>SUM('Aberdeen City:West Lothian'!H159)</f>
        <v>857</v>
      </c>
      <c r="I159" s="29"/>
      <c r="J159" s="15"/>
      <c r="K159" s="15"/>
      <c r="L159" s="15"/>
      <c r="M159" s="8"/>
      <c r="N159" s="8"/>
      <c r="O159" s="231"/>
      <c r="P159" s="231"/>
      <c r="Q159" s="231"/>
      <c r="R159" s="231"/>
      <c r="S159" s="231"/>
      <c r="T159" s="231"/>
      <c r="U159" s="231"/>
      <c r="V159" s="231"/>
      <c r="W159" s="231"/>
      <c r="X159" s="231"/>
      <c r="Y159" s="231"/>
      <c r="Z159" s="231"/>
      <c r="AA159" s="231"/>
      <c r="AB159" s="231"/>
      <c r="AC159" s="231"/>
      <c r="AD159" s="231"/>
      <c r="AE159" s="231"/>
      <c r="AF159" s="231"/>
      <c r="AG159" s="231"/>
      <c r="AH159" s="231"/>
      <c r="AI159" s="231"/>
      <c r="AJ159" s="231"/>
      <c r="AK159" s="231"/>
      <c r="AL159" s="231"/>
      <c r="AM159" s="231"/>
      <c r="AN159" s="231"/>
      <c r="AO159" s="231"/>
      <c r="AP159" s="231"/>
      <c r="AQ159" s="231"/>
      <c r="AR159" s="231"/>
      <c r="AS159" s="231"/>
      <c r="AT159" s="231"/>
      <c r="AU159" s="231"/>
      <c r="AV159" s="231"/>
      <c r="AW159" s="231"/>
      <c r="AX159" s="231"/>
      <c r="AY159" s="231"/>
      <c r="AZ159" s="231"/>
      <c r="BA159" s="231"/>
      <c r="BB159" s="231"/>
      <c r="BC159" s="231"/>
      <c r="BD159" s="231"/>
      <c r="BE159" s="231"/>
      <c r="BF159" s="231"/>
      <c r="BG159" s="231"/>
      <c r="BH159" s="231"/>
      <c r="BI159" s="231"/>
      <c r="BJ159" s="231"/>
      <c r="BK159" s="231"/>
      <c r="BL159" s="231"/>
      <c r="BM159" s="231"/>
      <c r="BN159" s="231"/>
      <c r="BO159" s="231"/>
      <c r="BP159" s="231"/>
      <c r="BQ159" s="231"/>
      <c r="BR159" s="231"/>
      <c r="BS159" s="231"/>
    </row>
    <row r="160" spans="1:71" s="203" customFormat="1">
      <c r="A160" s="120">
        <v>2</v>
      </c>
      <c r="B160" s="47" t="s">
        <v>135</v>
      </c>
      <c r="C160" s="47"/>
      <c r="D160" s="47"/>
      <c r="E160" s="49">
        <f>SUM('Aberdeen City:West Lothian'!E160)</f>
        <v>61196.458800681234</v>
      </c>
      <c r="F160" s="52">
        <f>SUM('Aberdeen City:West Lothian'!F160)</f>
        <v>61761</v>
      </c>
      <c r="G160" s="118"/>
      <c r="H160" s="122">
        <f>SUM('Aberdeen City:West Lothian'!H160)</f>
        <v>61980</v>
      </c>
      <c r="I160" s="29"/>
      <c r="J160" s="15"/>
      <c r="K160" s="15"/>
      <c r="L160" s="15"/>
      <c r="M160" s="8"/>
      <c r="N160" s="8"/>
      <c r="O160" s="231"/>
      <c r="P160" s="231"/>
      <c r="Q160" s="231"/>
      <c r="R160" s="231"/>
      <c r="S160" s="231"/>
      <c r="T160" s="231"/>
      <c r="U160" s="231"/>
      <c r="V160" s="231"/>
      <c r="W160" s="231"/>
      <c r="X160" s="231"/>
      <c r="Y160" s="231"/>
      <c r="Z160" s="231"/>
      <c r="AA160" s="231"/>
      <c r="AB160" s="231"/>
      <c r="AC160" s="231"/>
      <c r="AD160" s="231"/>
      <c r="AE160" s="231"/>
      <c r="AF160" s="231"/>
      <c r="AG160" s="231"/>
      <c r="AH160" s="231"/>
      <c r="AI160" s="231"/>
      <c r="AJ160" s="231"/>
      <c r="AK160" s="231"/>
      <c r="AL160" s="231"/>
      <c r="AM160" s="231"/>
      <c r="AN160" s="231"/>
      <c r="AO160" s="231"/>
      <c r="AP160" s="231"/>
      <c r="AQ160" s="231"/>
      <c r="AR160" s="231"/>
      <c r="AS160" s="231"/>
      <c r="AT160" s="231"/>
      <c r="AU160" s="231"/>
      <c r="AV160" s="231"/>
      <c r="AW160" s="231"/>
      <c r="AX160" s="231"/>
      <c r="AY160" s="231"/>
      <c r="AZ160" s="231"/>
      <c r="BA160" s="231"/>
      <c r="BB160" s="231"/>
      <c r="BC160" s="231"/>
      <c r="BD160" s="231"/>
      <c r="BE160" s="231"/>
      <c r="BF160" s="231"/>
      <c r="BG160" s="231"/>
      <c r="BH160" s="231"/>
      <c r="BI160" s="231"/>
      <c r="BJ160" s="231"/>
      <c r="BK160" s="231"/>
      <c r="BL160" s="231"/>
      <c r="BM160" s="231"/>
      <c r="BN160" s="231"/>
      <c r="BO160" s="231"/>
      <c r="BP160" s="231"/>
      <c r="BQ160" s="231"/>
      <c r="BR160" s="231"/>
      <c r="BS160" s="231"/>
    </row>
    <row r="161" spans="1:71" s="203" customFormat="1">
      <c r="A161" s="120">
        <v>3</v>
      </c>
      <c r="B161" s="47" t="s">
        <v>136</v>
      </c>
      <c r="C161" s="47"/>
      <c r="D161" s="47"/>
      <c r="E161" s="114">
        <f>SUM('Aberdeen City:West Lothian'!E161)</f>
        <v>136948.39677537675</v>
      </c>
      <c r="F161" s="52">
        <f>SUM('Aberdeen City:West Lothian'!F161)</f>
        <v>146825</v>
      </c>
      <c r="G161" s="118"/>
      <c r="H161" s="122">
        <f>SUM('Aberdeen City:West Lothian'!H161)</f>
        <v>141903</v>
      </c>
      <c r="I161" s="29"/>
      <c r="J161" s="15"/>
      <c r="K161" s="15"/>
      <c r="L161" s="15"/>
      <c r="M161" s="8"/>
      <c r="N161" s="8"/>
      <c r="O161" s="231"/>
      <c r="P161" s="231"/>
      <c r="Q161" s="231"/>
      <c r="R161" s="231"/>
      <c r="S161" s="231"/>
      <c r="T161" s="231"/>
      <c r="U161" s="231"/>
      <c r="V161" s="231"/>
      <c r="W161" s="231"/>
      <c r="X161" s="231"/>
      <c r="Y161" s="231"/>
      <c r="Z161" s="231"/>
      <c r="AA161" s="231"/>
      <c r="AB161" s="231"/>
      <c r="AC161" s="231"/>
      <c r="AD161" s="231"/>
      <c r="AE161" s="231"/>
      <c r="AF161" s="231"/>
      <c r="AG161" s="231"/>
      <c r="AH161" s="231"/>
      <c r="AI161" s="231"/>
      <c r="AJ161" s="231"/>
      <c r="AK161" s="231"/>
      <c r="AL161" s="231"/>
      <c r="AM161" s="231"/>
      <c r="AN161" s="231"/>
      <c r="AO161" s="231"/>
      <c r="AP161" s="231"/>
      <c r="AQ161" s="231"/>
      <c r="AR161" s="231"/>
      <c r="AS161" s="231"/>
      <c r="AT161" s="231"/>
      <c r="AU161" s="231"/>
      <c r="AV161" s="231"/>
      <c r="AW161" s="231"/>
      <c r="AX161" s="231"/>
      <c r="AY161" s="231"/>
      <c r="AZ161" s="231"/>
      <c r="BA161" s="231"/>
      <c r="BB161" s="231"/>
      <c r="BC161" s="231"/>
      <c r="BD161" s="231"/>
      <c r="BE161" s="231"/>
      <c r="BF161" s="231"/>
      <c r="BG161" s="231"/>
      <c r="BH161" s="231"/>
      <c r="BI161" s="231"/>
      <c r="BJ161" s="231"/>
      <c r="BK161" s="231"/>
      <c r="BL161" s="231"/>
      <c r="BM161" s="231"/>
      <c r="BN161" s="231"/>
      <c r="BO161" s="231"/>
      <c r="BP161" s="231"/>
      <c r="BQ161" s="231"/>
      <c r="BR161" s="231"/>
      <c r="BS161" s="231"/>
    </row>
    <row r="162" spans="1:71" s="203" customFormat="1">
      <c r="A162" s="120">
        <v>4</v>
      </c>
      <c r="B162" s="47" t="s">
        <v>137</v>
      </c>
      <c r="C162" s="47"/>
      <c r="D162" s="47"/>
      <c r="E162" s="114">
        <f>SUM('Aberdeen City:West Lothian'!E162)</f>
        <v>59777.683383141048</v>
      </c>
      <c r="F162" s="52">
        <f>SUM('Aberdeen City:West Lothian'!F162)</f>
        <v>60151</v>
      </c>
      <c r="G162" s="118"/>
      <c r="H162" s="100">
        <f>SUM('Aberdeen City:West Lothian'!H162)</f>
        <v>57073</v>
      </c>
      <c r="I162" s="29"/>
      <c r="J162" s="15"/>
      <c r="K162" s="15"/>
      <c r="L162" s="15"/>
      <c r="M162" s="8"/>
      <c r="N162" s="8"/>
      <c r="O162" s="231"/>
      <c r="P162" s="231"/>
      <c r="Q162" s="231"/>
      <c r="R162" s="231"/>
      <c r="S162" s="231"/>
      <c r="T162" s="231"/>
      <c r="U162" s="231"/>
      <c r="V162" s="231"/>
      <c r="W162" s="231"/>
      <c r="X162" s="231"/>
      <c r="Y162" s="231"/>
      <c r="Z162" s="231"/>
      <c r="AA162" s="231"/>
      <c r="AB162" s="231"/>
      <c r="AC162" s="231"/>
      <c r="AD162" s="231"/>
      <c r="AE162" s="231"/>
      <c r="AF162" s="231"/>
      <c r="AG162" s="231"/>
      <c r="AH162" s="231"/>
      <c r="AI162" s="231"/>
      <c r="AJ162" s="231"/>
      <c r="AK162" s="231"/>
      <c r="AL162" s="231"/>
      <c r="AM162" s="231"/>
      <c r="AN162" s="231"/>
      <c r="AO162" s="231"/>
      <c r="AP162" s="231"/>
      <c r="AQ162" s="231"/>
      <c r="AR162" s="231"/>
      <c r="AS162" s="231"/>
      <c r="AT162" s="231"/>
      <c r="AU162" s="231"/>
      <c r="AV162" s="231"/>
      <c r="AW162" s="231"/>
      <c r="AX162" s="231"/>
      <c r="AY162" s="231"/>
      <c r="AZ162" s="231"/>
      <c r="BA162" s="231"/>
      <c r="BB162" s="231"/>
      <c r="BC162" s="231"/>
      <c r="BD162" s="231"/>
      <c r="BE162" s="231"/>
      <c r="BF162" s="231"/>
      <c r="BG162" s="231"/>
      <c r="BH162" s="231"/>
      <c r="BI162" s="231"/>
      <c r="BJ162" s="231"/>
      <c r="BK162" s="231"/>
      <c r="BL162" s="231"/>
      <c r="BM162" s="231"/>
      <c r="BN162" s="231"/>
      <c r="BO162" s="231"/>
      <c r="BP162" s="231"/>
      <c r="BQ162" s="231"/>
      <c r="BR162" s="231"/>
      <c r="BS162" s="231"/>
    </row>
    <row r="163" spans="1:71" s="203" customFormat="1">
      <c r="A163" s="120">
        <v>5</v>
      </c>
      <c r="B163" s="116" t="s">
        <v>138</v>
      </c>
      <c r="C163" s="116"/>
      <c r="D163" s="116"/>
      <c r="E163" s="80">
        <f>SUM('Aberdeen City:West Lothian'!E163)</f>
        <v>258995.25790154241</v>
      </c>
      <c r="F163" s="142">
        <f>SUM(F159:F162)</f>
        <v>269835</v>
      </c>
      <c r="G163" s="118"/>
      <c r="H163" s="142">
        <f>SUM(H159:H162)</f>
        <v>261813</v>
      </c>
      <c r="I163" s="29"/>
      <c r="J163" s="15"/>
      <c r="K163" s="15"/>
      <c r="L163" s="15"/>
      <c r="M163" s="8"/>
      <c r="N163" s="8"/>
      <c r="O163" s="231"/>
      <c r="P163" s="231"/>
      <c r="Q163" s="231"/>
      <c r="R163" s="231"/>
      <c r="S163" s="231"/>
      <c r="T163" s="231"/>
      <c r="U163" s="231"/>
      <c r="V163" s="231"/>
      <c r="W163" s="231"/>
      <c r="X163" s="231"/>
      <c r="Y163" s="231"/>
      <c r="Z163" s="231"/>
      <c r="AA163" s="231"/>
      <c r="AB163" s="231"/>
      <c r="AC163" s="231"/>
      <c r="AD163" s="231"/>
      <c r="AE163" s="231"/>
      <c r="AF163" s="231"/>
      <c r="AG163" s="231"/>
      <c r="AH163" s="231"/>
      <c r="AI163" s="231"/>
      <c r="AJ163" s="231"/>
      <c r="AK163" s="231"/>
      <c r="AL163" s="231"/>
      <c r="AM163" s="231"/>
      <c r="AN163" s="231"/>
      <c r="AO163" s="231"/>
      <c r="AP163" s="231"/>
      <c r="AQ163" s="231"/>
      <c r="AR163" s="231"/>
      <c r="AS163" s="231"/>
      <c r="AT163" s="231"/>
      <c r="AU163" s="231"/>
      <c r="AV163" s="231"/>
      <c r="AW163" s="231"/>
      <c r="AX163" s="231"/>
      <c r="AY163" s="231"/>
      <c r="AZ163" s="231"/>
      <c r="BA163" s="231"/>
      <c r="BB163" s="231"/>
      <c r="BC163" s="231"/>
      <c r="BD163" s="231"/>
      <c r="BE163" s="231"/>
      <c r="BF163" s="231"/>
      <c r="BG163" s="231"/>
      <c r="BH163" s="231"/>
      <c r="BI163" s="231"/>
      <c r="BJ163" s="231"/>
      <c r="BK163" s="231"/>
      <c r="BL163" s="231"/>
      <c r="BM163" s="231"/>
      <c r="BN163" s="231"/>
      <c r="BO163" s="231"/>
      <c r="BP163" s="231"/>
      <c r="BQ163" s="231"/>
      <c r="BR163" s="231"/>
      <c r="BS163" s="231"/>
    </row>
    <row r="164" spans="1:71" s="203" customFormat="1">
      <c r="A164" s="46"/>
      <c r="B164" s="132"/>
      <c r="C164" s="132"/>
      <c r="D164" s="132"/>
      <c r="E164" s="156"/>
      <c r="F164" s="139"/>
      <c r="G164" s="139"/>
      <c r="H164" s="139"/>
      <c r="I164" s="29"/>
      <c r="J164" s="15"/>
      <c r="K164" s="15"/>
      <c r="L164" s="15"/>
      <c r="M164" s="8"/>
      <c r="N164" s="8"/>
      <c r="O164" s="231"/>
      <c r="P164" s="231"/>
      <c r="Q164" s="231"/>
      <c r="R164" s="231"/>
      <c r="S164" s="231"/>
      <c r="T164" s="231"/>
      <c r="U164" s="231"/>
      <c r="V164" s="231"/>
      <c r="W164" s="231"/>
      <c r="X164" s="231"/>
      <c r="Y164" s="231"/>
      <c r="Z164" s="231"/>
      <c r="AA164" s="231"/>
      <c r="AB164" s="231"/>
      <c r="AC164" s="231"/>
      <c r="AD164" s="231"/>
      <c r="AE164" s="231"/>
      <c r="AF164" s="231"/>
      <c r="AG164" s="231"/>
      <c r="AH164" s="231"/>
      <c r="AI164" s="231"/>
      <c r="AJ164" s="231"/>
      <c r="AK164" s="231"/>
      <c r="AL164" s="231"/>
      <c r="AM164" s="231"/>
      <c r="AN164" s="231"/>
      <c r="AO164" s="231"/>
      <c r="AP164" s="231"/>
      <c r="AQ164" s="231"/>
      <c r="AR164" s="231"/>
      <c r="AS164" s="231"/>
      <c r="AT164" s="231"/>
      <c r="AU164" s="231"/>
      <c r="AV164" s="231"/>
      <c r="AW164" s="231"/>
      <c r="AX164" s="231"/>
      <c r="AY164" s="231"/>
      <c r="AZ164" s="231"/>
      <c r="BA164" s="231"/>
      <c r="BB164" s="231"/>
      <c r="BC164" s="231"/>
      <c r="BD164" s="231"/>
      <c r="BE164" s="231"/>
      <c r="BF164" s="231"/>
      <c r="BG164" s="231"/>
      <c r="BH164" s="231"/>
      <c r="BI164" s="231"/>
      <c r="BJ164" s="231"/>
      <c r="BK164" s="231"/>
      <c r="BL164" s="231"/>
      <c r="BM164" s="231"/>
      <c r="BN164" s="231"/>
      <c r="BO164" s="231"/>
      <c r="BP164" s="231"/>
      <c r="BQ164" s="231"/>
      <c r="BR164" s="231"/>
      <c r="BS164" s="231"/>
    </row>
    <row r="165" spans="1:71" s="203" customFormat="1">
      <c r="A165" s="119" t="s">
        <v>139</v>
      </c>
      <c r="B165" s="47"/>
      <c r="C165" s="47"/>
      <c r="D165" s="47"/>
      <c r="E165" s="140"/>
      <c r="F165" s="146"/>
      <c r="G165" s="118"/>
      <c r="H165" s="146"/>
      <c r="I165" s="29"/>
      <c r="J165" s="15"/>
      <c r="K165" s="15"/>
      <c r="L165" s="15"/>
      <c r="M165" s="8"/>
      <c r="N165" s="8"/>
      <c r="O165" s="231"/>
      <c r="P165" s="231"/>
      <c r="Q165" s="231"/>
      <c r="R165" s="231"/>
      <c r="S165" s="231"/>
      <c r="T165" s="231"/>
      <c r="U165" s="231"/>
      <c r="V165" s="231"/>
      <c r="W165" s="231"/>
      <c r="X165" s="231"/>
      <c r="Y165" s="231"/>
      <c r="Z165" s="231"/>
      <c r="AA165" s="231"/>
      <c r="AB165" s="231"/>
      <c r="AC165" s="231"/>
      <c r="AD165" s="231"/>
      <c r="AE165" s="231"/>
      <c r="AF165" s="231"/>
      <c r="AG165" s="231"/>
      <c r="AH165" s="231"/>
      <c r="AI165" s="231"/>
      <c r="AJ165" s="231"/>
      <c r="AK165" s="231"/>
      <c r="AL165" s="231"/>
      <c r="AM165" s="231"/>
      <c r="AN165" s="231"/>
      <c r="AO165" s="231"/>
      <c r="AP165" s="231"/>
      <c r="AQ165" s="231"/>
      <c r="AR165" s="231"/>
      <c r="AS165" s="231"/>
      <c r="AT165" s="231"/>
      <c r="AU165" s="231"/>
      <c r="AV165" s="231"/>
      <c r="AW165" s="231"/>
      <c r="AX165" s="231"/>
      <c r="AY165" s="231"/>
      <c r="AZ165" s="231"/>
      <c r="BA165" s="231"/>
      <c r="BB165" s="231"/>
      <c r="BC165" s="231"/>
      <c r="BD165" s="231"/>
      <c r="BE165" s="231"/>
      <c r="BF165" s="231"/>
      <c r="BG165" s="231"/>
      <c r="BH165" s="231"/>
      <c r="BI165" s="231"/>
      <c r="BJ165" s="231"/>
      <c r="BK165" s="231"/>
      <c r="BL165" s="231"/>
      <c r="BM165" s="231"/>
      <c r="BN165" s="231"/>
      <c r="BO165" s="231"/>
      <c r="BP165" s="231"/>
      <c r="BQ165" s="231"/>
      <c r="BR165" s="231"/>
      <c r="BS165" s="231"/>
    </row>
    <row r="166" spans="1:71" s="203" customFormat="1">
      <c r="A166" s="120">
        <v>6</v>
      </c>
      <c r="B166" s="47" t="s">
        <v>140</v>
      </c>
      <c r="C166" s="47"/>
      <c r="D166" s="47"/>
      <c r="E166" s="74">
        <f>SUM('Aberdeen City:West Lothian'!E166)</f>
        <v>13306.922094453896</v>
      </c>
      <c r="F166" s="52">
        <f>SUM('Aberdeen City:West Lothian'!F166)</f>
        <v>12954</v>
      </c>
      <c r="G166" s="118"/>
      <c r="H166" s="122">
        <f>SUM('Aberdeen City:West Lothian'!H166)</f>
        <v>13039</v>
      </c>
      <c r="I166" s="29"/>
      <c r="J166" s="15"/>
      <c r="K166" s="15"/>
      <c r="L166" s="15"/>
      <c r="M166" s="8"/>
      <c r="N166" s="8"/>
      <c r="O166" s="231"/>
      <c r="P166" s="231"/>
      <c r="Q166" s="231"/>
      <c r="R166" s="231"/>
      <c r="S166" s="231"/>
      <c r="T166" s="231"/>
      <c r="U166" s="231"/>
      <c r="V166" s="231"/>
      <c r="W166" s="231"/>
      <c r="X166" s="231"/>
      <c r="Y166" s="231"/>
      <c r="Z166" s="231"/>
      <c r="AA166" s="231"/>
      <c r="AB166" s="231"/>
      <c r="AC166" s="231"/>
      <c r="AD166" s="231"/>
      <c r="AE166" s="231"/>
      <c r="AF166" s="231"/>
      <c r="AG166" s="231"/>
      <c r="AH166" s="231"/>
      <c r="AI166" s="231"/>
      <c r="AJ166" s="231"/>
      <c r="AK166" s="231"/>
      <c r="AL166" s="231"/>
      <c r="AM166" s="231"/>
      <c r="AN166" s="231"/>
      <c r="AO166" s="231"/>
      <c r="AP166" s="231"/>
      <c r="AQ166" s="231"/>
      <c r="AR166" s="231"/>
      <c r="AS166" s="231"/>
      <c r="AT166" s="231"/>
      <c r="AU166" s="231"/>
      <c r="AV166" s="231"/>
      <c r="AW166" s="231"/>
      <c r="AX166" s="231"/>
      <c r="AY166" s="231"/>
      <c r="AZ166" s="231"/>
      <c r="BA166" s="231"/>
      <c r="BB166" s="231"/>
      <c r="BC166" s="231"/>
      <c r="BD166" s="231"/>
      <c r="BE166" s="231"/>
      <c r="BF166" s="231"/>
      <c r="BG166" s="231"/>
      <c r="BH166" s="231"/>
      <c r="BI166" s="231"/>
      <c r="BJ166" s="231"/>
      <c r="BK166" s="231"/>
      <c r="BL166" s="231"/>
      <c r="BM166" s="231"/>
      <c r="BN166" s="231"/>
      <c r="BO166" s="231"/>
      <c r="BP166" s="231"/>
      <c r="BQ166" s="231"/>
      <c r="BR166" s="231"/>
      <c r="BS166" s="231"/>
    </row>
    <row r="167" spans="1:71" s="203" customFormat="1">
      <c r="A167" s="120">
        <v>7</v>
      </c>
      <c r="B167" s="47" t="s">
        <v>141</v>
      </c>
      <c r="C167" s="47"/>
      <c r="D167" s="47"/>
      <c r="E167" s="49">
        <f>SUM('Aberdeen City:West Lothian'!E167)</f>
        <v>13220.497060835634</v>
      </c>
      <c r="F167" s="52">
        <f>SUM('Aberdeen City:West Lothian'!F167)</f>
        <v>12450</v>
      </c>
      <c r="G167" s="118"/>
      <c r="H167" s="122">
        <f>SUM('Aberdeen City:West Lothian'!H167)</f>
        <v>12464</v>
      </c>
      <c r="I167" s="29"/>
      <c r="J167" s="15"/>
      <c r="K167" s="15"/>
      <c r="L167" s="15"/>
      <c r="M167" s="8"/>
      <c r="N167" s="8"/>
      <c r="O167" s="231"/>
      <c r="P167" s="231"/>
      <c r="Q167" s="231"/>
      <c r="R167" s="231"/>
      <c r="S167" s="231"/>
      <c r="T167" s="231"/>
      <c r="U167" s="231"/>
      <c r="V167" s="231"/>
      <c r="W167" s="231"/>
      <c r="X167" s="231"/>
      <c r="Y167" s="231"/>
      <c r="Z167" s="231"/>
      <c r="AA167" s="231"/>
      <c r="AB167" s="231"/>
      <c r="AC167" s="231"/>
      <c r="AD167" s="231"/>
      <c r="AE167" s="231"/>
      <c r="AF167" s="231"/>
      <c r="AG167" s="231"/>
      <c r="AH167" s="231"/>
      <c r="AI167" s="231"/>
      <c r="AJ167" s="231"/>
      <c r="AK167" s="231"/>
      <c r="AL167" s="231"/>
      <c r="AM167" s="231"/>
      <c r="AN167" s="231"/>
      <c r="AO167" s="231"/>
      <c r="AP167" s="231"/>
      <c r="AQ167" s="231"/>
      <c r="AR167" s="231"/>
      <c r="AS167" s="231"/>
      <c r="AT167" s="231"/>
      <c r="AU167" s="231"/>
      <c r="AV167" s="231"/>
      <c r="AW167" s="231"/>
      <c r="AX167" s="231"/>
      <c r="AY167" s="231"/>
      <c r="AZ167" s="231"/>
      <c r="BA167" s="231"/>
      <c r="BB167" s="231"/>
      <c r="BC167" s="231"/>
      <c r="BD167" s="231"/>
      <c r="BE167" s="231"/>
      <c r="BF167" s="231"/>
      <c r="BG167" s="231"/>
      <c r="BH167" s="231"/>
      <c r="BI167" s="231"/>
      <c r="BJ167" s="231"/>
      <c r="BK167" s="231"/>
      <c r="BL167" s="231"/>
      <c r="BM167" s="231"/>
      <c r="BN167" s="231"/>
      <c r="BO167" s="231"/>
      <c r="BP167" s="231"/>
      <c r="BQ167" s="231"/>
      <c r="BR167" s="231"/>
      <c r="BS167" s="231"/>
    </row>
    <row r="168" spans="1:71" s="203" customFormat="1">
      <c r="A168" s="120">
        <v>8</v>
      </c>
      <c r="B168" s="47" t="s">
        <v>121</v>
      </c>
      <c r="C168" s="47"/>
      <c r="D168" s="47"/>
      <c r="E168" s="49">
        <f>SUM('Aberdeen City:West Lothian'!E168)</f>
        <v>23821.791508743387</v>
      </c>
      <c r="F168" s="52">
        <f>SUM('Aberdeen City:West Lothian'!F168)</f>
        <v>21561</v>
      </c>
      <c r="G168" s="118"/>
      <c r="H168" s="100">
        <f>SUM('Aberdeen City:West Lothian'!H168)</f>
        <v>19802</v>
      </c>
      <c r="I168" s="29"/>
      <c r="J168" s="15"/>
      <c r="K168" s="15"/>
      <c r="L168" s="15"/>
      <c r="M168" s="8"/>
      <c r="N168" s="8"/>
      <c r="O168" s="231"/>
      <c r="P168" s="231"/>
      <c r="Q168" s="231"/>
      <c r="R168" s="231"/>
      <c r="S168" s="231"/>
      <c r="T168" s="231"/>
      <c r="U168" s="231"/>
      <c r="V168" s="231"/>
      <c r="W168" s="231"/>
      <c r="X168" s="231"/>
      <c r="Y168" s="231"/>
      <c r="Z168" s="231"/>
      <c r="AA168" s="231"/>
      <c r="AB168" s="231"/>
      <c r="AC168" s="231"/>
      <c r="AD168" s="231"/>
      <c r="AE168" s="231"/>
      <c r="AF168" s="231"/>
      <c r="AG168" s="231"/>
      <c r="AH168" s="231"/>
      <c r="AI168" s="231"/>
      <c r="AJ168" s="231"/>
      <c r="AK168" s="231"/>
      <c r="AL168" s="231"/>
      <c r="AM168" s="231"/>
      <c r="AN168" s="231"/>
      <c r="AO168" s="231"/>
      <c r="AP168" s="231"/>
      <c r="AQ168" s="231"/>
      <c r="AR168" s="231"/>
      <c r="AS168" s="231"/>
      <c r="AT168" s="231"/>
      <c r="AU168" s="231"/>
      <c r="AV168" s="231"/>
      <c r="AW168" s="231"/>
      <c r="AX168" s="231"/>
      <c r="AY168" s="231"/>
      <c r="AZ168" s="231"/>
      <c r="BA168" s="231"/>
      <c r="BB168" s="231"/>
      <c r="BC168" s="231"/>
      <c r="BD168" s="231"/>
      <c r="BE168" s="231"/>
      <c r="BF168" s="231"/>
      <c r="BG168" s="231"/>
      <c r="BH168" s="231"/>
      <c r="BI168" s="231"/>
      <c r="BJ168" s="231"/>
      <c r="BK168" s="231"/>
      <c r="BL168" s="231"/>
      <c r="BM168" s="231"/>
      <c r="BN168" s="231"/>
      <c r="BO168" s="231"/>
      <c r="BP168" s="231"/>
      <c r="BQ168" s="231"/>
      <c r="BR168" s="231"/>
      <c r="BS168" s="231"/>
    </row>
    <row r="169" spans="1:71" s="203" customFormat="1">
      <c r="A169" s="120">
        <v>9</v>
      </c>
      <c r="B169" s="116" t="s">
        <v>142</v>
      </c>
      <c r="C169" s="116"/>
      <c r="D169" s="116"/>
      <c r="E169" s="80">
        <f>SUM('Aberdeen City:West Lothian'!E169)</f>
        <v>50349.210664032915</v>
      </c>
      <c r="F169" s="142">
        <f>SUM(F166:F168)</f>
        <v>46965</v>
      </c>
      <c r="G169" s="118"/>
      <c r="H169" s="142">
        <f>SUM(H166:H168)</f>
        <v>45305</v>
      </c>
      <c r="I169" s="29"/>
      <c r="J169" s="15"/>
      <c r="K169" s="15"/>
      <c r="L169" s="15"/>
      <c r="M169" s="8"/>
      <c r="N169" s="8"/>
      <c r="O169" s="231"/>
      <c r="P169" s="231"/>
      <c r="Q169" s="231"/>
      <c r="R169" s="231"/>
      <c r="S169" s="231"/>
      <c r="T169" s="231"/>
      <c r="U169" s="231"/>
      <c r="V169" s="231"/>
      <c r="W169" s="231"/>
      <c r="X169" s="231"/>
      <c r="Y169" s="231"/>
      <c r="Z169" s="231"/>
      <c r="AA169" s="231"/>
      <c r="AB169" s="231"/>
      <c r="AC169" s="231"/>
      <c r="AD169" s="231"/>
      <c r="AE169" s="231"/>
      <c r="AF169" s="231"/>
      <c r="AG169" s="231"/>
      <c r="AH169" s="231"/>
      <c r="AI169" s="231"/>
      <c r="AJ169" s="231"/>
      <c r="AK169" s="231"/>
      <c r="AL169" s="231"/>
      <c r="AM169" s="231"/>
      <c r="AN169" s="231"/>
      <c r="AO169" s="231"/>
      <c r="AP169" s="231"/>
      <c r="AQ169" s="231"/>
      <c r="AR169" s="231"/>
      <c r="AS169" s="231"/>
      <c r="AT169" s="231"/>
      <c r="AU169" s="231"/>
      <c r="AV169" s="231"/>
      <c r="AW169" s="231"/>
      <c r="AX169" s="231"/>
      <c r="AY169" s="231"/>
      <c r="AZ169" s="231"/>
      <c r="BA169" s="231"/>
      <c r="BB169" s="231"/>
      <c r="BC169" s="231"/>
      <c r="BD169" s="231"/>
      <c r="BE169" s="231"/>
      <c r="BF169" s="231"/>
      <c r="BG169" s="231"/>
      <c r="BH169" s="231"/>
      <c r="BI169" s="231"/>
      <c r="BJ169" s="231"/>
      <c r="BK169" s="231"/>
      <c r="BL169" s="231"/>
      <c r="BM169" s="231"/>
      <c r="BN169" s="231"/>
      <c r="BO169" s="231"/>
      <c r="BP169" s="231"/>
      <c r="BQ169" s="231"/>
      <c r="BR169" s="231"/>
      <c r="BS169" s="231"/>
    </row>
    <row r="170" spans="1:71" s="203" customFormat="1">
      <c r="A170" s="46"/>
      <c r="B170" s="132"/>
      <c r="C170" s="132"/>
      <c r="D170" s="132"/>
      <c r="E170" s="156"/>
      <c r="F170" s="139"/>
      <c r="G170" s="139"/>
      <c r="H170" s="139"/>
      <c r="I170" s="29"/>
      <c r="J170" s="15"/>
      <c r="K170" s="15"/>
      <c r="L170" s="15"/>
      <c r="M170" s="8"/>
      <c r="N170" s="8"/>
      <c r="O170" s="231"/>
      <c r="P170" s="231"/>
      <c r="Q170" s="231"/>
      <c r="R170" s="231"/>
      <c r="S170" s="231"/>
      <c r="T170" s="231"/>
      <c r="U170" s="231"/>
      <c r="V170" s="231"/>
      <c r="W170" s="231"/>
      <c r="X170" s="231"/>
      <c r="Y170" s="231"/>
      <c r="Z170" s="231"/>
      <c r="AA170" s="231"/>
      <c r="AB170" s="231"/>
      <c r="AC170" s="231"/>
      <c r="AD170" s="231"/>
      <c r="AE170" s="231"/>
      <c r="AF170" s="231"/>
      <c r="AG170" s="231"/>
      <c r="AH170" s="231"/>
      <c r="AI170" s="231"/>
      <c r="AJ170" s="231"/>
      <c r="AK170" s="231"/>
      <c r="AL170" s="231"/>
      <c r="AM170" s="231"/>
      <c r="AN170" s="231"/>
      <c r="AO170" s="231"/>
      <c r="AP170" s="231"/>
      <c r="AQ170" s="231"/>
      <c r="AR170" s="231"/>
      <c r="AS170" s="231"/>
      <c r="AT170" s="231"/>
      <c r="AU170" s="231"/>
      <c r="AV170" s="231"/>
      <c r="AW170" s="231"/>
      <c r="AX170" s="231"/>
      <c r="AY170" s="231"/>
      <c r="AZ170" s="231"/>
      <c r="BA170" s="231"/>
      <c r="BB170" s="231"/>
      <c r="BC170" s="231"/>
      <c r="BD170" s="231"/>
      <c r="BE170" s="231"/>
      <c r="BF170" s="231"/>
      <c r="BG170" s="231"/>
      <c r="BH170" s="231"/>
      <c r="BI170" s="231"/>
      <c r="BJ170" s="231"/>
      <c r="BK170" s="231"/>
      <c r="BL170" s="231"/>
      <c r="BM170" s="231"/>
      <c r="BN170" s="231"/>
      <c r="BO170" s="231"/>
      <c r="BP170" s="231"/>
      <c r="BQ170" s="231"/>
      <c r="BR170" s="231"/>
      <c r="BS170" s="231"/>
    </row>
    <row r="171" spans="1:71" s="203" customFormat="1">
      <c r="A171" s="120">
        <v>10</v>
      </c>
      <c r="B171" s="47" t="s">
        <v>143</v>
      </c>
      <c r="C171" s="47"/>
      <c r="D171" s="47"/>
      <c r="E171" s="41">
        <f>SUM('Aberdeen City:West Lothian'!E171)</f>
        <v>-44742.089832258062</v>
      </c>
      <c r="F171" s="121">
        <f>SUM('Aberdeen City:West Lothian'!F171)</f>
        <v>-47174</v>
      </c>
      <c r="G171" s="118"/>
      <c r="H171" s="133">
        <f>SUM('Aberdeen City:West Lothian'!H171)</f>
        <v>-52199</v>
      </c>
      <c r="I171" s="29"/>
      <c r="J171" s="15"/>
      <c r="K171" s="15"/>
      <c r="L171" s="15"/>
      <c r="M171" s="8"/>
      <c r="N171" s="8"/>
      <c r="O171" s="231"/>
      <c r="P171" s="231"/>
      <c r="Q171" s="231"/>
      <c r="R171" s="231"/>
      <c r="S171" s="231"/>
      <c r="T171" s="231"/>
      <c r="U171" s="231"/>
      <c r="V171" s="231"/>
      <c r="W171" s="231"/>
      <c r="X171" s="231"/>
      <c r="Y171" s="231"/>
      <c r="Z171" s="231"/>
      <c r="AA171" s="231"/>
      <c r="AB171" s="231"/>
      <c r="AC171" s="231"/>
      <c r="AD171" s="231"/>
      <c r="AE171" s="231"/>
      <c r="AF171" s="231"/>
      <c r="AG171" s="231"/>
      <c r="AH171" s="231"/>
      <c r="AI171" s="231"/>
      <c r="AJ171" s="231"/>
      <c r="AK171" s="231"/>
      <c r="AL171" s="231"/>
      <c r="AM171" s="231"/>
      <c r="AN171" s="231"/>
      <c r="AO171" s="231"/>
      <c r="AP171" s="231"/>
      <c r="AQ171" s="231"/>
      <c r="AR171" s="231"/>
      <c r="AS171" s="231"/>
      <c r="AT171" s="231"/>
      <c r="AU171" s="231"/>
      <c r="AV171" s="231"/>
      <c r="AW171" s="231"/>
      <c r="AX171" s="231"/>
      <c r="AY171" s="231"/>
      <c r="AZ171" s="231"/>
      <c r="BA171" s="231"/>
      <c r="BB171" s="231"/>
      <c r="BC171" s="231"/>
      <c r="BD171" s="231"/>
      <c r="BE171" s="231"/>
      <c r="BF171" s="231"/>
      <c r="BG171" s="231"/>
      <c r="BH171" s="231"/>
      <c r="BI171" s="231"/>
      <c r="BJ171" s="231"/>
      <c r="BK171" s="231"/>
      <c r="BL171" s="231"/>
      <c r="BM171" s="231"/>
      <c r="BN171" s="231"/>
      <c r="BO171" s="231"/>
      <c r="BP171" s="231"/>
      <c r="BQ171" s="231"/>
      <c r="BR171" s="231"/>
      <c r="BS171" s="231"/>
    </row>
    <row r="172" spans="1:71" s="203" customFormat="1">
      <c r="A172" s="120">
        <v>11</v>
      </c>
      <c r="B172" s="47" t="s">
        <v>144</v>
      </c>
      <c r="C172" s="47"/>
      <c r="D172" s="47"/>
      <c r="E172" s="56">
        <f>SUM('Aberdeen City:West Lothian'!E172)</f>
        <v>17380</v>
      </c>
      <c r="F172" s="126">
        <f>SUM('Aberdeen City:West Lothian'!F172)</f>
        <v>24040</v>
      </c>
      <c r="G172" s="118"/>
      <c r="H172" s="100">
        <f>SUM('Aberdeen City:West Lothian'!H172)</f>
        <v>24526</v>
      </c>
      <c r="I172" s="29"/>
      <c r="J172" s="15"/>
      <c r="K172" s="15"/>
      <c r="L172" s="15"/>
      <c r="M172" s="8"/>
      <c r="N172" s="8"/>
      <c r="O172" s="231"/>
      <c r="P172" s="231"/>
      <c r="Q172" s="231"/>
      <c r="R172" s="231"/>
      <c r="S172" s="231"/>
      <c r="T172" s="231"/>
      <c r="U172" s="231"/>
      <c r="V172" s="231"/>
      <c r="W172" s="231"/>
      <c r="X172" s="231"/>
      <c r="Y172" s="231"/>
      <c r="Z172" s="231"/>
      <c r="AA172" s="231"/>
      <c r="AB172" s="231"/>
      <c r="AC172" s="231"/>
      <c r="AD172" s="231"/>
      <c r="AE172" s="231"/>
      <c r="AF172" s="231"/>
      <c r="AG172" s="231"/>
      <c r="AH172" s="231"/>
      <c r="AI172" s="231"/>
      <c r="AJ172" s="231"/>
      <c r="AK172" s="231"/>
      <c r="AL172" s="231"/>
      <c r="AM172" s="231"/>
      <c r="AN172" s="231"/>
      <c r="AO172" s="231"/>
      <c r="AP172" s="231"/>
      <c r="AQ172" s="231"/>
      <c r="AR172" s="231"/>
      <c r="AS172" s="231"/>
      <c r="AT172" s="231"/>
      <c r="AU172" s="231"/>
      <c r="AV172" s="231"/>
      <c r="AW172" s="231"/>
      <c r="AX172" s="231"/>
      <c r="AY172" s="231"/>
      <c r="AZ172" s="231"/>
      <c r="BA172" s="231"/>
      <c r="BB172" s="231"/>
      <c r="BC172" s="231"/>
      <c r="BD172" s="231"/>
      <c r="BE172" s="231"/>
      <c r="BF172" s="231"/>
      <c r="BG172" s="231"/>
      <c r="BH172" s="231"/>
      <c r="BI172" s="231"/>
      <c r="BJ172" s="231"/>
      <c r="BK172" s="231"/>
      <c r="BL172" s="231"/>
      <c r="BM172" s="231"/>
      <c r="BN172" s="231"/>
      <c r="BO172" s="231"/>
      <c r="BP172" s="231"/>
      <c r="BQ172" s="231"/>
      <c r="BR172" s="231"/>
      <c r="BS172" s="231"/>
    </row>
    <row r="173" spans="1:71" s="203" customFormat="1">
      <c r="A173" s="46"/>
      <c r="B173" s="132"/>
      <c r="C173" s="132"/>
      <c r="D173" s="132"/>
      <c r="E173" s="156"/>
      <c r="F173" s="139"/>
      <c r="G173" s="139"/>
      <c r="H173" s="139"/>
      <c r="I173" s="29"/>
      <c r="J173" s="15"/>
      <c r="K173" s="15"/>
      <c r="L173" s="15"/>
      <c r="M173" s="8"/>
      <c r="N173" s="8"/>
      <c r="O173" s="231"/>
      <c r="P173" s="231"/>
      <c r="Q173" s="231"/>
      <c r="R173" s="231"/>
      <c r="S173" s="231"/>
      <c r="T173" s="231"/>
      <c r="U173" s="231"/>
      <c r="V173" s="231"/>
      <c r="W173" s="231"/>
      <c r="X173" s="231"/>
      <c r="Y173" s="231"/>
      <c r="Z173" s="231"/>
      <c r="AA173" s="231"/>
      <c r="AB173" s="231"/>
      <c r="AC173" s="231"/>
      <c r="AD173" s="231"/>
      <c r="AE173" s="231"/>
      <c r="AF173" s="231"/>
      <c r="AG173" s="231"/>
      <c r="AH173" s="231"/>
      <c r="AI173" s="231"/>
      <c r="AJ173" s="231"/>
      <c r="AK173" s="231"/>
      <c r="AL173" s="231"/>
      <c r="AM173" s="231"/>
      <c r="AN173" s="231"/>
      <c r="AO173" s="231"/>
      <c r="AP173" s="231"/>
      <c r="AQ173" s="231"/>
      <c r="AR173" s="231"/>
      <c r="AS173" s="231"/>
      <c r="AT173" s="231"/>
      <c r="AU173" s="231"/>
      <c r="AV173" s="231"/>
      <c r="AW173" s="231"/>
      <c r="AX173" s="231"/>
      <c r="AY173" s="231"/>
      <c r="AZ173" s="231"/>
      <c r="BA173" s="231"/>
      <c r="BB173" s="231"/>
      <c r="BC173" s="231"/>
      <c r="BD173" s="231"/>
      <c r="BE173" s="231"/>
      <c r="BF173" s="231"/>
      <c r="BG173" s="231"/>
      <c r="BH173" s="231"/>
      <c r="BI173" s="231"/>
      <c r="BJ173" s="231"/>
      <c r="BK173" s="231"/>
      <c r="BL173" s="231"/>
      <c r="BM173" s="231"/>
      <c r="BN173" s="231"/>
      <c r="BO173" s="231"/>
      <c r="BP173" s="231"/>
      <c r="BQ173" s="231"/>
      <c r="BR173" s="231"/>
      <c r="BS173" s="231"/>
    </row>
    <row r="174" spans="1:71" s="203" customFormat="1">
      <c r="A174" s="119" t="s">
        <v>145</v>
      </c>
      <c r="B174" s="47"/>
      <c r="C174" s="47"/>
      <c r="D174" s="47"/>
      <c r="E174" s="157"/>
      <c r="F174" s="146"/>
      <c r="G174" s="118"/>
      <c r="H174" s="146"/>
      <c r="I174" s="29"/>
      <c r="J174" s="15"/>
      <c r="K174" s="15"/>
      <c r="L174" s="15"/>
      <c r="M174" s="8"/>
      <c r="N174" s="8"/>
      <c r="O174" s="231"/>
      <c r="P174" s="231"/>
      <c r="Q174" s="231"/>
      <c r="R174" s="231"/>
      <c r="S174" s="231"/>
      <c r="T174" s="231"/>
      <c r="U174" s="231"/>
      <c r="V174" s="231"/>
      <c r="W174" s="231"/>
      <c r="X174" s="231"/>
      <c r="Y174" s="231"/>
      <c r="Z174" s="231"/>
      <c r="AA174" s="231"/>
      <c r="AB174" s="231"/>
      <c r="AC174" s="231"/>
      <c r="AD174" s="231"/>
      <c r="AE174" s="231"/>
      <c r="AF174" s="231"/>
      <c r="AG174" s="231"/>
      <c r="AH174" s="231"/>
      <c r="AI174" s="231"/>
      <c r="AJ174" s="231"/>
      <c r="AK174" s="231"/>
      <c r="AL174" s="231"/>
      <c r="AM174" s="231"/>
      <c r="AN174" s="231"/>
      <c r="AO174" s="231"/>
      <c r="AP174" s="231"/>
      <c r="AQ174" s="231"/>
      <c r="AR174" s="231"/>
      <c r="AS174" s="231"/>
      <c r="AT174" s="231"/>
      <c r="AU174" s="231"/>
      <c r="AV174" s="231"/>
      <c r="AW174" s="231"/>
      <c r="AX174" s="231"/>
      <c r="AY174" s="231"/>
      <c r="AZ174" s="231"/>
      <c r="BA174" s="231"/>
      <c r="BB174" s="231"/>
      <c r="BC174" s="231"/>
      <c r="BD174" s="231"/>
      <c r="BE174" s="231"/>
      <c r="BF174" s="231"/>
      <c r="BG174" s="231"/>
      <c r="BH174" s="231"/>
      <c r="BI174" s="231"/>
      <c r="BJ174" s="231"/>
      <c r="BK174" s="231"/>
      <c r="BL174" s="231"/>
      <c r="BM174" s="231"/>
      <c r="BN174" s="231"/>
      <c r="BO174" s="231"/>
      <c r="BP174" s="231"/>
      <c r="BQ174" s="231"/>
      <c r="BR174" s="231"/>
      <c r="BS174" s="231"/>
    </row>
    <row r="175" spans="1:71" s="203" customFormat="1">
      <c r="A175" s="120">
        <v>12</v>
      </c>
      <c r="B175" s="47" t="s">
        <v>146</v>
      </c>
      <c r="C175" s="47"/>
      <c r="D175" s="47"/>
      <c r="E175" s="74">
        <f>SUM('Aberdeen City:West Lothian'!E175)</f>
        <v>7618.0803823040051</v>
      </c>
      <c r="F175" s="52">
        <f>SUM('Aberdeen City:West Lothian'!F175)</f>
        <v>6685</v>
      </c>
      <c r="G175" s="118"/>
      <c r="H175" s="122">
        <f>SUM('Aberdeen City:West Lothian'!H175)</f>
        <v>7109</v>
      </c>
      <c r="I175" s="29"/>
      <c r="J175" s="15"/>
      <c r="K175" s="15"/>
      <c r="L175" s="15"/>
      <c r="M175" s="8"/>
      <c r="N175" s="8"/>
      <c r="O175" s="231"/>
      <c r="P175" s="231"/>
      <c r="Q175" s="231"/>
      <c r="R175" s="231"/>
      <c r="S175" s="231"/>
      <c r="T175" s="231"/>
      <c r="U175" s="231"/>
      <c r="V175" s="231"/>
      <c r="W175" s="231"/>
      <c r="X175" s="231"/>
      <c r="Y175" s="231"/>
      <c r="Z175" s="231"/>
      <c r="AA175" s="231"/>
      <c r="AB175" s="231"/>
      <c r="AC175" s="231"/>
      <c r="AD175" s="231"/>
      <c r="AE175" s="231"/>
      <c r="AF175" s="231"/>
      <c r="AG175" s="231"/>
      <c r="AH175" s="231"/>
      <c r="AI175" s="231"/>
      <c r="AJ175" s="231"/>
      <c r="AK175" s="231"/>
      <c r="AL175" s="231"/>
      <c r="AM175" s="231"/>
      <c r="AN175" s="231"/>
      <c r="AO175" s="231"/>
      <c r="AP175" s="231"/>
      <c r="AQ175" s="231"/>
      <c r="AR175" s="231"/>
      <c r="AS175" s="231"/>
      <c r="AT175" s="231"/>
      <c r="AU175" s="231"/>
      <c r="AV175" s="231"/>
      <c r="AW175" s="231"/>
      <c r="AX175" s="231"/>
      <c r="AY175" s="231"/>
      <c r="AZ175" s="231"/>
      <c r="BA175" s="231"/>
      <c r="BB175" s="231"/>
      <c r="BC175" s="231"/>
      <c r="BD175" s="231"/>
      <c r="BE175" s="231"/>
      <c r="BF175" s="231"/>
      <c r="BG175" s="231"/>
      <c r="BH175" s="231"/>
      <c r="BI175" s="231"/>
      <c r="BJ175" s="231"/>
      <c r="BK175" s="231"/>
      <c r="BL175" s="231"/>
      <c r="BM175" s="231"/>
      <c r="BN175" s="231"/>
      <c r="BO175" s="231"/>
      <c r="BP175" s="231"/>
      <c r="BQ175" s="231"/>
      <c r="BR175" s="231"/>
      <c r="BS175" s="231"/>
    </row>
    <row r="176" spans="1:71" s="203" customFormat="1">
      <c r="A176" s="120">
        <v>13</v>
      </c>
      <c r="B176" s="47" t="s">
        <v>147</v>
      </c>
      <c r="C176" s="47"/>
      <c r="D176" s="47"/>
      <c r="E176" s="49">
        <f>SUM('Aberdeen City:West Lothian'!E176)</f>
        <v>82854.490382304008</v>
      </c>
      <c r="F176" s="52">
        <f>SUM('Aberdeen City:West Lothian'!F176)</f>
        <v>84736</v>
      </c>
      <c r="G176" s="118"/>
      <c r="H176" s="122">
        <f>SUM('Aberdeen City:West Lothian'!H176)</f>
        <v>83480</v>
      </c>
      <c r="I176" s="29"/>
      <c r="J176" s="15"/>
      <c r="K176" s="15"/>
      <c r="L176" s="15"/>
      <c r="M176" s="8"/>
      <c r="N176" s="8"/>
      <c r="O176" s="231"/>
      <c r="P176" s="231"/>
      <c r="Q176" s="231"/>
      <c r="R176" s="231"/>
      <c r="S176" s="231"/>
      <c r="T176" s="231"/>
      <c r="U176" s="231"/>
      <c r="V176" s="231"/>
      <c r="W176" s="231"/>
      <c r="X176" s="231"/>
      <c r="Y176" s="231"/>
      <c r="Z176" s="231"/>
      <c r="AA176" s="231"/>
      <c r="AB176" s="231"/>
      <c r="AC176" s="231"/>
      <c r="AD176" s="231"/>
      <c r="AE176" s="231"/>
      <c r="AF176" s="231"/>
      <c r="AG176" s="231"/>
      <c r="AH176" s="231"/>
      <c r="AI176" s="231"/>
      <c r="AJ176" s="231"/>
      <c r="AK176" s="231"/>
      <c r="AL176" s="231"/>
      <c r="AM176" s="231"/>
      <c r="AN176" s="231"/>
      <c r="AO176" s="231"/>
      <c r="AP176" s="231"/>
      <c r="AQ176" s="231"/>
      <c r="AR176" s="231"/>
      <c r="AS176" s="231"/>
      <c r="AT176" s="231"/>
      <c r="AU176" s="231"/>
      <c r="AV176" s="231"/>
      <c r="AW176" s="231"/>
      <c r="AX176" s="231"/>
      <c r="AY176" s="231"/>
      <c r="AZ176" s="231"/>
      <c r="BA176" s="231"/>
      <c r="BB176" s="231"/>
      <c r="BC176" s="231"/>
      <c r="BD176" s="231"/>
      <c r="BE176" s="231"/>
      <c r="BF176" s="231"/>
      <c r="BG176" s="231"/>
      <c r="BH176" s="231"/>
      <c r="BI176" s="231"/>
      <c r="BJ176" s="231"/>
      <c r="BK176" s="231"/>
      <c r="BL176" s="231"/>
      <c r="BM176" s="231"/>
      <c r="BN176" s="231"/>
      <c r="BO176" s="231"/>
      <c r="BP176" s="231"/>
      <c r="BQ176" s="231"/>
      <c r="BR176" s="231"/>
      <c r="BS176" s="231"/>
    </row>
    <row r="177" spans="1:71" s="203" customFormat="1">
      <c r="A177" s="120">
        <v>14</v>
      </c>
      <c r="B177" s="47" t="s">
        <v>148</v>
      </c>
      <c r="C177" s="47"/>
      <c r="D177" s="47"/>
      <c r="E177" s="56">
        <f>SUM('Aberdeen City:West Lothian'!E177)</f>
        <v>16014.470000000001</v>
      </c>
      <c r="F177" s="52">
        <f>SUM('Aberdeen City:West Lothian'!F177)</f>
        <v>14270</v>
      </c>
      <c r="G177" s="118"/>
      <c r="H177" s="100">
        <f>SUM('Aberdeen City:West Lothian'!H177)</f>
        <v>6485</v>
      </c>
      <c r="I177" s="29"/>
      <c r="J177" s="15"/>
      <c r="K177" s="15"/>
      <c r="L177" s="15"/>
      <c r="M177" s="8"/>
      <c r="N177" s="8"/>
      <c r="O177" s="231"/>
      <c r="P177" s="231"/>
      <c r="Q177" s="231"/>
      <c r="R177" s="231"/>
      <c r="S177" s="231"/>
      <c r="T177" s="231"/>
      <c r="U177" s="231"/>
      <c r="V177" s="231"/>
      <c r="W177" s="231"/>
      <c r="X177" s="231"/>
      <c r="Y177" s="231"/>
      <c r="Z177" s="231"/>
      <c r="AA177" s="231"/>
      <c r="AB177" s="231"/>
      <c r="AC177" s="231"/>
      <c r="AD177" s="231"/>
      <c r="AE177" s="231"/>
      <c r="AF177" s="231"/>
      <c r="AG177" s="231"/>
      <c r="AH177" s="231"/>
      <c r="AI177" s="231"/>
      <c r="AJ177" s="231"/>
      <c r="AK177" s="231"/>
      <c r="AL177" s="231"/>
      <c r="AM177" s="231"/>
      <c r="AN177" s="231"/>
      <c r="AO177" s="231"/>
      <c r="AP177" s="231"/>
      <c r="AQ177" s="231"/>
      <c r="AR177" s="231"/>
      <c r="AS177" s="231"/>
      <c r="AT177" s="231"/>
      <c r="AU177" s="231"/>
      <c r="AV177" s="231"/>
      <c r="AW177" s="231"/>
      <c r="AX177" s="231"/>
      <c r="AY177" s="231"/>
      <c r="AZ177" s="231"/>
      <c r="BA177" s="231"/>
      <c r="BB177" s="231"/>
      <c r="BC177" s="231"/>
      <c r="BD177" s="231"/>
      <c r="BE177" s="231"/>
      <c r="BF177" s="231"/>
      <c r="BG177" s="231"/>
      <c r="BH177" s="231"/>
      <c r="BI177" s="231"/>
      <c r="BJ177" s="231"/>
      <c r="BK177" s="231"/>
      <c r="BL177" s="231"/>
      <c r="BM177" s="231"/>
      <c r="BN177" s="231"/>
      <c r="BO177" s="231"/>
      <c r="BP177" s="231"/>
      <c r="BQ177" s="231"/>
      <c r="BR177" s="231"/>
      <c r="BS177" s="231"/>
    </row>
    <row r="178" spans="1:71" s="203" customFormat="1">
      <c r="A178" s="120">
        <v>15</v>
      </c>
      <c r="B178" s="116" t="s">
        <v>149</v>
      </c>
      <c r="C178" s="116"/>
      <c r="D178" s="116"/>
      <c r="E178" s="80">
        <f>SUM('Aberdeen City:West Lothian'!E178)</f>
        <v>106487.04076460801</v>
      </c>
      <c r="F178" s="142">
        <f>SUM(F175:F177)</f>
        <v>105691</v>
      </c>
      <c r="G178" s="118"/>
      <c r="H178" s="142">
        <f>SUM(H175:H177)</f>
        <v>97074</v>
      </c>
      <c r="I178" s="29"/>
      <c r="J178" s="15"/>
      <c r="K178" s="15"/>
      <c r="L178" s="15"/>
      <c r="M178" s="8"/>
      <c r="N178" s="8"/>
      <c r="O178" s="231"/>
      <c r="P178" s="231"/>
      <c r="Q178" s="231"/>
      <c r="R178" s="231"/>
      <c r="S178" s="231"/>
      <c r="T178" s="231"/>
      <c r="U178" s="231"/>
      <c r="V178" s="231"/>
      <c r="W178" s="231"/>
      <c r="X178" s="231"/>
      <c r="Y178" s="231"/>
      <c r="Z178" s="231"/>
      <c r="AA178" s="231"/>
      <c r="AB178" s="231"/>
      <c r="AC178" s="231"/>
      <c r="AD178" s="231"/>
      <c r="AE178" s="231"/>
      <c r="AF178" s="231"/>
      <c r="AG178" s="231"/>
      <c r="AH178" s="231"/>
      <c r="AI178" s="231"/>
      <c r="AJ178" s="231"/>
      <c r="AK178" s="231"/>
      <c r="AL178" s="231"/>
      <c r="AM178" s="231"/>
      <c r="AN178" s="231"/>
      <c r="AO178" s="231"/>
      <c r="AP178" s="231"/>
      <c r="AQ178" s="231"/>
      <c r="AR178" s="231"/>
      <c r="AS178" s="231"/>
      <c r="AT178" s="231"/>
      <c r="AU178" s="231"/>
      <c r="AV178" s="231"/>
      <c r="AW178" s="231"/>
      <c r="AX178" s="231"/>
      <c r="AY178" s="231"/>
      <c r="AZ178" s="231"/>
      <c r="BA178" s="231"/>
      <c r="BB178" s="231"/>
      <c r="BC178" s="231"/>
      <c r="BD178" s="231"/>
      <c r="BE178" s="231"/>
      <c r="BF178" s="231"/>
      <c r="BG178" s="231"/>
      <c r="BH178" s="231"/>
      <c r="BI178" s="231"/>
      <c r="BJ178" s="231"/>
      <c r="BK178" s="231"/>
      <c r="BL178" s="231"/>
      <c r="BM178" s="231"/>
      <c r="BN178" s="231"/>
      <c r="BO178" s="231"/>
      <c r="BP178" s="231"/>
      <c r="BQ178" s="231"/>
      <c r="BR178" s="231"/>
      <c r="BS178" s="231"/>
    </row>
    <row r="179" spans="1:71" s="203" customFormat="1">
      <c r="A179" s="120">
        <v>16</v>
      </c>
      <c r="B179" s="116" t="s">
        <v>150</v>
      </c>
      <c r="C179" s="116"/>
      <c r="D179" s="116"/>
      <c r="E179" s="80">
        <f>SUM('Aberdeen City:West Lothian'!E179)</f>
        <v>123867.04076460801</v>
      </c>
      <c r="F179" s="158">
        <f>F172+F178</f>
        <v>129731</v>
      </c>
      <c r="G179" s="118"/>
      <c r="H179" s="158">
        <f>H172+H178</f>
        <v>121600</v>
      </c>
      <c r="I179" s="29"/>
      <c r="J179" s="15"/>
      <c r="K179" s="15"/>
      <c r="L179" s="15"/>
      <c r="M179" s="8"/>
      <c r="N179" s="8"/>
      <c r="O179" s="231"/>
      <c r="P179" s="231"/>
      <c r="Q179" s="231"/>
      <c r="R179" s="231"/>
      <c r="S179" s="231"/>
      <c r="T179" s="231"/>
      <c r="U179" s="231"/>
      <c r="V179" s="231"/>
      <c r="W179" s="231"/>
      <c r="X179" s="231"/>
      <c r="Y179" s="231"/>
      <c r="Z179" s="231"/>
      <c r="AA179" s="231"/>
      <c r="AB179" s="231"/>
      <c r="AC179" s="231"/>
      <c r="AD179" s="231"/>
      <c r="AE179" s="231"/>
      <c r="AF179" s="231"/>
      <c r="AG179" s="231"/>
      <c r="AH179" s="231"/>
      <c r="AI179" s="231"/>
      <c r="AJ179" s="231"/>
      <c r="AK179" s="231"/>
      <c r="AL179" s="231"/>
      <c r="AM179" s="231"/>
      <c r="AN179" s="231"/>
      <c r="AO179" s="231"/>
      <c r="AP179" s="231"/>
      <c r="AQ179" s="231"/>
      <c r="AR179" s="231"/>
      <c r="AS179" s="231"/>
      <c r="AT179" s="231"/>
      <c r="AU179" s="231"/>
      <c r="AV179" s="231"/>
      <c r="AW179" s="231"/>
      <c r="AX179" s="231"/>
      <c r="AY179" s="231"/>
      <c r="AZ179" s="231"/>
      <c r="BA179" s="231"/>
      <c r="BB179" s="231"/>
      <c r="BC179" s="231"/>
      <c r="BD179" s="231"/>
      <c r="BE179" s="231"/>
      <c r="BF179" s="231"/>
      <c r="BG179" s="231"/>
      <c r="BH179" s="231"/>
      <c r="BI179" s="231"/>
      <c r="BJ179" s="231"/>
      <c r="BK179" s="231"/>
      <c r="BL179" s="231"/>
      <c r="BM179" s="231"/>
      <c r="BN179" s="231"/>
      <c r="BO179" s="231"/>
      <c r="BP179" s="231"/>
      <c r="BQ179" s="231"/>
      <c r="BR179" s="231"/>
      <c r="BS179" s="231"/>
    </row>
    <row r="180" spans="1:71" s="203" customFormat="1">
      <c r="A180" s="120">
        <v>17</v>
      </c>
      <c r="B180" s="116" t="s">
        <v>151</v>
      </c>
      <c r="C180" s="116"/>
      <c r="D180" s="116"/>
      <c r="E180" s="159">
        <f>SUM('Aberdeen City:West Lothian'!E180)</f>
        <v>388469.41949792532</v>
      </c>
      <c r="F180" s="61">
        <f>SUM(F163+F169+F171+F179)</f>
        <v>399357</v>
      </c>
      <c r="G180" s="118"/>
      <c r="H180" s="61">
        <f>SUM(H163+H169+H171+H179)</f>
        <v>376519</v>
      </c>
      <c r="I180" s="29"/>
      <c r="J180" s="15"/>
      <c r="K180" s="15"/>
      <c r="L180" s="15"/>
      <c r="M180" s="8"/>
      <c r="N180" s="8"/>
      <c r="O180" s="231"/>
      <c r="P180" s="231"/>
      <c r="Q180" s="231"/>
      <c r="R180" s="231"/>
      <c r="S180" s="231"/>
      <c r="T180" s="231"/>
      <c r="U180" s="231"/>
      <c r="V180" s="231"/>
      <c r="W180" s="231"/>
      <c r="X180" s="231"/>
      <c r="Y180" s="231"/>
      <c r="Z180" s="231"/>
      <c r="AA180" s="231"/>
      <c r="AB180" s="231"/>
      <c r="AC180" s="231"/>
      <c r="AD180" s="231"/>
      <c r="AE180" s="231"/>
      <c r="AF180" s="231"/>
      <c r="AG180" s="231"/>
      <c r="AH180" s="231"/>
      <c r="AI180" s="231"/>
      <c r="AJ180" s="231"/>
      <c r="AK180" s="231"/>
      <c r="AL180" s="231"/>
      <c r="AM180" s="231"/>
      <c r="AN180" s="231"/>
      <c r="AO180" s="231"/>
      <c r="AP180" s="231"/>
      <c r="AQ180" s="231"/>
      <c r="AR180" s="231"/>
      <c r="AS180" s="231"/>
      <c r="AT180" s="231"/>
      <c r="AU180" s="231"/>
      <c r="AV180" s="231"/>
      <c r="AW180" s="231"/>
      <c r="AX180" s="231"/>
      <c r="AY180" s="231"/>
      <c r="AZ180" s="231"/>
      <c r="BA180" s="231"/>
      <c r="BB180" s="231"/>
      <c r="BC180" s="231"/>
      <c r="BD180" s="231"/>
      <c r="BE180" s="231"/>
      <c r="BF180" s="231"/>
      <c r="BG180" s="231"/>
      <c r="BH180" s="231"/>
      <c r="BI180" s="231"/>
      <c r="BJ180" s="231"/>
      <c r="BK180" s="231"/>
      <c r="BL180" s="231"/>
      <c r="BM180" s="231"/>
      <c r="BN180" s="231"/>
      <c r="BO180" s="231"/>
      <c r="BP180" s="231"/>
      <c r="BQ180" s="231"/>
      <c r="BR180" s="231"/>
      <c r="BS180" s="231"/>
    </row>
    <row r="181" spans="1:71" s="203" customFormat="1">
      <c r="A181" s="46"/>
      <c r="B181" s="132"/>
      <c r="C181" s="132"/>
      <c r="D181" s="132"/>
      <c r="E181" s="156"/>
      <c r="F181" s="139"/>
      <c r="G181" s="139"/>
      <c r="H181" s="139"/>
      <c r="I181" s="29"/>
      <c r="J181" s="15"/>
      <c r="K181" s="15"/>
      <c r="L181" s="15"/>
      <c r="M181" s="8"/>
      <c r="N181" s="8"/>
      <c r="O181" s="231"/>
      <c r="P181" s="231"/>
      <c r="Q181" s="231"/>
      <c r="R181" s="231"/>
      <c r="S181" s="231"/>
      <c r="T181" s="231"/>
      <c r="U181" s="231"/>
      <c r="V181" s="231"/>
      <c r="W181" s="231"/>
      <c r="X181" s="231"/>
      <c r="Y181" s="231"/>
      <c r="Z181" s="231"/>
      <c r="AA181" s="231"/>
      <c r="AB181" s="231"/>
      <c r="AC181" s="231"/>
      <c r="AD181" s="231"/>
      <c r="AE181" s="231"/>
      <c r="AF181" s="231"/>
      <c r="AG181" s="231"/>
      <c r="AH181" s="231"/>
      <c r="AI181" s="231"/>
      <c r="AJ181" s="231"/>
      <c r="AK181" s="231"/>
      <c r="AL181" s="231"/>
      <c r="AM181" s="231"/>
      <c r="AN181" s="231"/>
      <c r="AO181" s="231"/>
      <c r="AP181" s="231"/>
      <c r="AQ181" s="231"/>
      <c r="AR181" s="231"/>
      <c r="AS181" s="231"/>
      <c r="AT181" s="231"/>
      <c r="AU181" s="231"/>
      <c r="AV181" s="231"/>
      <c r="AW181" s="231"/>
      <c r="AX181" s="231"/>
      <c r="AY181" s="231"/>
      <c r="AZ181" s="231"/>
      <c r="BA181" s="231"/>
      <c r="BB181" s="231"/>
      <c r="BC181" s="231"/>
      <c r="BD181" s="231"/>
      <c r="BE181" s="231"/>
      <c r="BF181" s="231"/>
      <c r="BG181" s="231"/>
      <c r="BH181" s="231"/>
      <c r="BI181" s="231"/>
      <c r="BJ181" s="231"/>
      <c r="BK181" s="231"/>
      <c r="BL181" s="231"/>
      <c r="BM181" s="231"/>
      <c r="BN181" s="231"/>
      <c r="BO181" s="231"/>
      <c r="BP181" s="231"/>
      <c r="BQ181" s="231"/>
      <c r="BR181" s="231"/>
      <c r="BS181" s="231"/>
    </row>
    <row r="182" spans="1:71" s="203" customFormat="1">
      <c r="A182" s="119" t="s">
        <v>152</v>
      </c>
      <c r="B182" s="47"/>
      <c r="C182" s="47"/>
      <c r="D182" s="116"/>
      <c r="E182" s="117"/>
      <c r="F182" s="118"/>
      <c r="G182" s="118"/>
      <c r="H182" s="118"/>
      <c r="I182" s="29"/>
      <c r="J182" s="15"/>
      <c r="K182" s="15"/>
      <c r="L182" s="15"/>
      <c r="M182" s="8"/>
      <c r="N182" s="8"/>
      <c r="O182" s="231"/>
      <c r="P182" s="231"/>
      <c r="Q182" s="231"/>
      <c r="R182" s="231"/>
      <c r="S182" s="231"/>
      <c r="T182" s="231"/>
      <c r="U182" s="231"/>
      <c r="V182" s="231"/>
      <c r="W182" s="231"/>
      <c r="X182" s="231"/>
      <c r="Y182" s="231"/>
      <c r="Z182" s="231"/>
      <c r="AA182" s="231"/>
      <c r="AB182" s="231"/>
      <c r="AC182" s="231"/>
      <c r="AD182" s="231"/>
      <c r="AE182" s="231"/>
      <c r="AF182" s="231"/>
      <c r="AG182" s="231"/>
      <c r="AH182" s="231"/>
      <c r="AI182" s="231"/>
      <c r="AJ182" s="231"/>
      <c r="AK182" s="231"/>
      <c r="AL182" s="231"/>
      <c r="AM182" s="231"/>
      <c r="AN182" s="231"/>
      <c r="AO182" s="231"/>
      <c r="AP182" s="231"/>
      <c r="AQ182" s="231"/>
      <c r="AR182" s="231"/>
      <c r="AS182" s="231"/>
      <c r="AT182" s="231"/>
      <c r="AU182" s="231"/>
      <c r="AV182" s="231"/>
      <c r="AW182" s="231"/>
      <c r="AX182" s="231"/>
      <c r="AY182" s="231"/>
      <c r="AZ182" s="231"/>
      <c r="BA182" s="231"/>
      <c r="BB182" s="231"/>
      <c r="BC182" s="231"/>
      <c r="BD182" s="231"/>
      <c r="BE182" s="231"/>
      <c r="BF182" s="231"/>
      <c r="BG182" s="231"/>
      <c r="BH182" s="231"/>
      <c r="BI182" s="231"/>
      <c r="BJ182" s="231"/>
      <c r="BK182" s="231"/>
      <c r="BL182" s="231"/>
      <c r="BM182" s="231"/>
      <c r="BN182" s="231"/>
      <c r="BO182" s="231"/>
      <c r="BP182" s="231"/>
      <c r="BQ182" s="231"/>
      <c r="BR182" s="231"/>
      <c r="BS182" s="231"/>
    </row>
    <row r="183" spans="1:71" s="203" customFormat="1">
      <c r="A183" s="120">
        <v>18</v>
      </c>
      <c r="B183" s="47" t="s">
        <v>153</v>
      </c>
      <c r="C183" s="47"/>
      <c r="D183" s="47"/>
      <c r="E183" s="41">
        <f>SUM('Aberdeen City:West Lothian'!E183)</f>
        <v>44067</v>
      </c>
      <c r="F183" s="121">
        <f>SUM('Aberdeen City:West Lothian'!F183)</f>
        <v>44089.2</v>
      </c>
      <c r="G183" s="118"/>
      <c r="H183" s="133">
        <f>SUM('Aberdeen City:West Lothian'!H183)</f>
        <v>44436.878423513692</v>
      </c>
      <c r="I183" s="29"/>
      <c r="J183" s="15"/>
      <c r="K183" s="15"/>
      <c r="L183" s="15"/>
      <c r="M183" s="8"/>
      <c r="N183" s="8"/>
      <c r="O183" s="231"/>
      <c r="P183" s="231"/>
      <c r="Q183" s="231"/>
      <c r="R183" s="231"/>
      <c r="S183" s="231"/>
      <c r="T183" s="231"/>
      <c r="U183" s="231"/>
      <c r="V183" s="231"/>
      <c r="W183" s="231"/>
      <c r="X183" s="231"/>
      <c r="Y183" s="231"/>
      <c r="Z183" s="231"/>
      <c r="AA183" s="231"/>
      <c r="AB183" s="231"/>
      <c r="AC183" s="231"/>
      <c r="AD183" s="231"/>
      <c r="AE183" s="231"/>
      <c r="AF183" s="231"/>
      <c r="AG183" s="231"/>
      <c r="AH183" s="231"/>
      <c r="AI183" s="231"/>
      <c r="AJ183" s="231"/>
      <c r="AK183" s="231"/>
      <c r="AL183" s="231"/>
      <c r="AM183" s="231"/>
      <c r="AN183" s="231"/>
      <c r="AO183" s="231"/>
      <c r="AP183" s="231"/>
      <c r="AQ183" s="231"/>
      <c r="AR183" s="231"/>
      <c r="AS183" s="231"/>
      <c r="AT183" s="231"/>
      <c r="AU183" s="231"/>
      <c r="AV183" s="231"/>
      <c r="AW183" s="231"/>
      <c r="AX183" s="231"/>
      <c r="AY183" s="231"/>
      <c r="AZ183" s="231"/>
      <c r="BA183" s="231"/>
      <c r="BB183" s="231"/>
      <c r="BC183" s="231"/>
      <c r="BD183" s="231"/>
      <c r="BE183" s="231"/>
      <c r="BF183" s="231"/>
      <c r="BG183" s="231"/>
      <c r="BH183" s="231"/>
      <c r="BI183" s="231"/>
      <c r="BJ183" s="231"/>
      <c r="BK183" s="231"/>
      <c r="BL183" s="231"/>
      <c r="BM183" s="231"/>
      <c r="BN183" s="231"/>
      <c r="BO183" s="231"/>
      <c r="BP183" s="231"/>
      <c r="BQ183" s="231"/>
      <c r="BR183" s="231"/>
      <c r="BS183" s="231"/>
    </row>
    <row r="184" spans="1:71" s="203" customFormat="1">
      <c r="A184" s="120">
        <v>19</v>
      </c>
      <c r="B184" s="47" t="s">
        <v>154</v>
      </c>
      <c r="C184" s="47"/>
      <c r="D184" s="47"/>
      <c r="E184" s="49">
        <f>SUM('Aberdeen City:West Lothian'!E184)</f>
        <v>8420</v>
      </c>
      <c r="F184" s="52">
        <f>SUM('Aberdeen City:West Lothian'!F184)</f>
        <v>7491</v>
      </c>
      <c r="G184" s="118"/>
      <c r="H184" s="122">
        <f>SUM('Aberdeen City:West Lothian'!H184)</f>
        <v>7385.9819639278558</v>
      </c>
      <c r="I184" s="29"/>
      <c r="J184" s="15"/>
      <c r="K184" s="15"/>
      <c r="L184" s="15"/>
      <c r="M184" s="8"/>
      <c r="N184" s="8"/>
      <c r="O184" s="231"/>
      <c r="P184" s="231"/>
      <c r="Q184" s="231"/>
      <c r="R184" s="231"/>
      <c r="S184" s="231"/>
      <c r="T184" s="231"/>
      <c r="U184" s="231"/>
      <c r="V184" s="231"/>
      <c r="W184" s="231"/>
      <c r="X184" s="231"/>
      <c r="Y184" s="231"/>
      <c r="Z184" s="231"/>
      <c r="AA184" s="231"/>
      <c r="AB184" s="231"/>
      <c r="AC184" s="231"/>
      <c r="AD184" s="231"/>
      <c r="AE184" s="231"/>
      <c r="AF184" s="231"/>
      <c r="AG184" s="231"/>
      <c r="AH184" s="231"/>
      <c r="AI184" s="231"/>
      <c r="AJ184" s="231"/>
      <c r="AK184" s="231"/>
      <c r="AL184" s="231"/>
      <c r="AM184" s="231"/>
      <c r="AN184" s="231"/>
      <c r="AO184" s="231"/>
      <c r="AP184" s="231"/>
      <c r="AQ184" s="231"/>
      <c r="AR184" s="231"/>
      <c r="AS184" s="231"/>
      <c r="AT184" s="231"/>
      <c r="AU184" s="231"/>
      <c r="AV184" s="231"/>
      <c r="AW184" s="231"/>
      <c r="AX184" s="231"/>
      <c r="AY184" s="231"/>
      <c r="AZ184" s="231"/>
      <c r="BA184" s="231"/>
      <c r="BB184" s="231"/>
      <c r="BC184" s="231"/>
      <c r="BD184" s="231"/>
      <c r="BE184" s="231"/>
      <c r="BF184" s="231"/>
      <c r="BG184" s="231"/>
      <c r="BH184" s="231"/>
      <c r="BI184" s="231"/>
      <c r="BJ184" s="231"/>
      <c r="BK184" s="231"/>
      <c r="BL184" s="231"/>
      <c r="BM184" s="231"/>
      <c r="BN184" s="231"/>
      <c r="BO184" s="231"/>
      <c r="BP184" s="231"/>
      <c r="BQ184" s="231"/>
      <c r="BR184" s="231"/>
      <c r="BS184" s="231"/>
    </row>
    <row r="185" spans="1:71" s="203" customFormat="1">
      <c r="A185" s="120">
        <v>20</v>
      </c>
      <c r="B185" s="47" t="s">
        <v>155</v>
      </c>
      <c r="C185" s="47"/>
      <c r="D185" s="47"/>
      <c r="E185" s="49">
        <f>SUM('Aberdeen City:West Lothian'!E185)</f>
        <v>736</v>
      </c>
      <c r="F185" s="52">
        <f>SUM('Aberdeen City:West Lothian'!F185)</f>
        <v>609</v>
      </c>
      <c r="G185" s="118"/>
      <c r="H185" s="122">
        <f>SUM('Aberdeen City:West Lothian'!H185)</f>
        <v>624</v>
      </c>
      <c r="I185" s="29"/>
      <c r="J185" s="15"/>
      <c r="K185" s="15"/>
      <c r="L185" s="15"/>
      <c r="M185" s="8"/>
      <c r="N185" s="8"/>
      <c r="O185" s="231"/>
      <c r="P185" s="231"/>
      <c r="Q185" s="231"/>
      <c r="R185" s="231"/>
      <c r="S185" s="231"/>
      <c r="T185" s="231"/>
      <c r="U185" s="231"/>
      <c r="V185" s="231"/>
      <c r="W185" s="231"/>
      <c r="X185" s="231"/>
      <c r="Y185" s="231"/>
      <c r="Z185" s="231"/>
      <c r="AA185" s="231"/>
      <c r="AB185" s="231"/>
      <c r="AC185" s="231"/>
      <c r="AD185" s="231"/>
      <c r="AE185" s="231"/>
      <c r="AF185" s="231"/>
      <c r="AG185" s="231"/>
      <c r="AH185" s="231"/>
      <c r="AI185" s="231"/>
      <c r="AJ185" s="231"/>
      <c r="AK185" s="231"/>
      <c r="AL185" s="231"/>
      <c r="AM185" s="231"/>
      <c r="AN185" s="231"/>
      <c r="AO185" s="231"/>
      <c r="AP185" s="231"/>
      <c r="AQ185" s="231"/>
      <c r="AR185" s="231"/>
      <c r="AS185" s="231"/>
      <c r="AT185" s="231"/>
      <c r="AU185" s="231"/>
      <c r="AV185" s="231"/>
      <c r="AW185" s="231"/>
      <c r="AX185" s="231"/>
      <c r="AY185" s="231"/>
      <c r="AZ185" s="231"/>
      <c r="BA185" s="231"/>
      <c r="BB185" s="231"/>
      <c r="BC185" s="231"/>
      <c r="BD185" s="231"/>
      <c r="BE185" s="231"/>
      <c r="BF185" s="231"/>
      <c r="BG185" s="231"/>
      <c r="BH185" s="231"/>
      <c r="BI185" s="231"/>
      <c r="BJ185" s="231"/>
      <c r="BK185" s="231"/>
      <c r="BL185" s="231"/>
      <c r="BM185" s="231"/>
      <c r="BN185" s="231"/>
      <c r="BO185" s="231"/>
      <c r="BP185" s="231"/>
      <c r="BQ185" s="231"/>
      <c r="BR185" s="231"/>
      <c r="BS185" s="231"/>
    </row>
    <row r="186" spans="1:71" s="203" customFormat="1">
      <c r="A186" s="120">
        <v>21</v>
      </c>
      <c r="B186" s="47" t="s">
        <v>156</v>
      </c>
      <c r="C186" s="47"/>
      <c r="D186" s="47"/>
      <c r="E186" s="49">
        <f>SUM('Aberdeen City:West Lothian'!E186)</f>
        <v>747</v>
      </c>
      <c r="F186" s="52">
        <f>SUM('Aberdeen City:West Lothian'!F186)</f>
        <v>748</v>
      </c>
      <c r="G186" s="118"/>
      <c r="H186" s="122">
        <f>SUM('Aberdeen City:West Lothian'!H186)</f>
        <v>745.17702070808286</v>
      </c>
      <c r="I186" s="29"/>
      <c r="J186" s="15"/>
      <c r="K186" s="15"/>
      <c r="L186" s="15"/>
      <c r="M186" s="8"/>
      <c r="N186" s="8"/>
      <c r="O186" s="231"/>
      <c r="P186" s="231"/>
      <c r="Q186" s="231"/>
      <c r="R186" s="231"/>
      <c r="S186" s="231"/>
      <c r="T186" s="231"/>
      <c r="U186" s="231"/>
      <c r="V186" s="231"/>
      <c r="W186" s="231"/>
      <c r="X186" s="231"/>
      <c r="Y186" s="231"/>
      <c r="Z186" s="231"/>
      <c r="AA186" s="231"/>
      <c r="AB186" s="231"/>
      <c r="AC186" s="231"/>
      <c r="AD186" s="231"/>
      <c r="AE186" s="231"/>
      <c r="AF186" s="231"/>
      <c r="AG186" s="231"/>
      <c r="AH186" s="231"/>
      <c r="AI186" s="231"/>
      <c r="AJ186" s="231"/>
      <c r="AK186" s="231"/>
      <c r="AL186" s="231"/>
      <c r="AM186" s="231"/>
      <c r="AN186" s="231"/>
      <c r="AO186" s="231"/>
      <c r="AP186" s="231"/>
      <c r="AQ186" s="231"/>
      <c r="AR186" s="231"/>
      <c r="AS186" s="231"/>
      <c r="AT186" s="231"/>
      <c r="AU186" s="231"/>
      <c r="AV186" s="231"/>
      <c r="AW186" s="231"/>
      <c r="AX186" s="231"/>
      <c r="AY186" s="231"/>
      <c r="AZ186" s="231"/>
      <c r="BA186" s="231"/>
      <c r="BB186" s="231"/>
      <c r="BC186" s="231"/>
      <c r="BD186" s="231"/>
      <c r="BE186" s="231"/>
      <c r="BF186" s="231"/>
      <c r="BG186" s="231"/>
      <c r="BH186" s="231"/>
      <c r="BI186" s="231"/>
      <c r="BJ186" s="231"/>
      <c r="BK186" s="231"/>
      <c r="BL186" s="231"/>
      <c r="BM186" s="231"/>
      <c r="BN186" s="231"/>
      <c r="BO186" s="231"/>
      <c r="BP186" s="231"/>
      <c r="BQ186" s="231"/>
      <c r="BR186" s="231"/>
      <c r="BS186" s="231"/>
    </row>
    <row r="187" spans="1:71" s="203" customFormat="1">
      <c r="A187" s="120">
        <v>22</v>
      </c>
      <c r="B187" s="47" t="s">
        <v>157</v>
      </c>
      <c r="C187" s="47"/>
      <c r="D187" s="47"/>
      <c r="E187" s="49">
        <f>SUM('Aberdeen City:West Lothian'!E187)</f>
        <v>8002</v>
      </c>
      <c r="F187" s="52">
        <f>SUM('Aberdeen City:West Lothian'!F187)</f>
        <v>10089</v>
      </c>
      <c r="G187" s="118"/>
      <c r="H187" s="122">
        <f>SUM('Aberdeen City:West Lothian'!H187)</f>
        <v>9262.2625250501005</v>
      </c>
      <c r="I187" s="29"/>
      <c r="J187" s="15"/>
      <c r="K187" s="15"/>
      <c r="L187" s="15"/>
      <c r="M187" s="8"/>
      <c r="N187" s="8"/>
      <c r="O187" s="231"/>
      <c r="P187" s="231"/>
      <c r="Q187" s="231"/>
      <c r="R187" s="231"/>
      <c r="S187" s="231"/>
      <c r="T187" s="231"/>
      <c r="U187" s="231"/>
      <c r="V187" s="231"/>
      <c r="W187" s="231"/>
      <c r="X187" s="231"/>
      <c r="Y187" s="231"/>
      <c r="Z187" s="231"/>
      <c r="AA187" s="231"/>
      <c r="AB187" s="231"/>
      <c r="AC187" s="231"/>
      <c r="AD187" s="231"/>
      <c r="AE187" s="231"/>
      <c r="AF187" s="231"/>
      <c r="AG187" s="231"/>
      <c r="AH187" s="231"/>
      <c r="AI187" s="231"/>
      <c r="AJ187" s="231"/>
      <c r="AK187" s="231"/>
      <c r="AL187" s="231"/>
      <c r="AM187" s="231"/>
      <c r="AN187" s="231"/>
      <c r="AO187" s="231"/>
      <c r="AP187" s="231"/>
      <c r="AQ187" s="231"/>
      <c r="AR187" s="231"/>
      <c r="AS187" s="231"/>
      <c r="AT187" s="231"/>
      <c r="AU187" s="231"/>
      <c r="AV187" s="231"/>
      <c r="AW187" s="231"/>
      <c r="AX187" s="231"/>
      <c r="AY187" s="231"/>
      <c r="AZ187" s="231"/>
      <c r="BA187" s="231"/>
      <c r="BB187" s="231"/>
      <c r="BC187" s="231"/>
      <c r="BD187" s="231"/>
      <c r="BE187" s="231"/>
      <c r="BF187" s="231"/>
      <c r="BG187" s="231"/>
      <c r="BH187" s="231"/>
      <c r="BI187" s="231"/>
      <c r="BJ187" s="231"/>
      <c r="BK187" s="231"/>
      <c r="BL187" s="231"/>
      <c r="BM187" s="231"/>
      <c r="BN187" s="231"/>
      <c r="BO187" s="231"/>
      <c r="BP187" s="231"/>
      <c r="BQ187" s="231"/>
      <c r="BR187" s="231"/>
      <c r="BS187" s="231"/>
    </row>
    <row r="188" spans="1:71" s="203" customFormat="1">
      <c r="A188" s="120">
        <v>23</v>
      </c>
      <c r="B188" s="47" t="s">
        <v>158</v>
      </c>
      <c r="C188" s="47"/>
      <c r="D188" s="47"/>
      <c r="E188" s="49">
        <f>SUM('Aberdeen City:West Lothian'!E188)</f>
        <v>3708</v>
      </c>
      <c r="F188" s="52">
        <f>SUM('Aberdeen City:West Lothian'!F188)</f>
        <v>4740</v>
      </c>
      <c r="G188" s="118"/>
      <c r="H188" s="122">
        <f>SUM('Aberdeen City:West Lothian'!H188)</f>
        <v>3798</v>
      </c>
      <c r="I188" s="29"/>
      <c r="J188" s="15"/>
      <c r="K188" s="15"/>
      <c r="L188" s="15"/>
      <c r="M188" s="8"/>
      <c r="N188" s="8"/>
      <c r="O188" s="231"/>
      <c r="P188" s="231"/>
      <c r="Q188" s="231"/>
      <c r="R188" s="231"/>
      <c r="S188" s="231"/>
      <c r="T188" s="231"/>
      <c r="U188" s="231"/>
      <c r="V188" s="231"/>
      <c r="W188" s="231"/>
      <c r="X188" s="231"/>
      <c r="Y188" s="231"/>
      <c r="Z188" s="231"/>
      <c r="AA188" s="231"/>
      <c r="AB188" s="231"/>
      <c r="AC188" s="231"/>
      <c r="AD188" s="231"/>
      <c r="AE188" s="231"/>
      <c r="AF188" s="231"/>
      <c r="AG188" s="231"/>
      <c r="AH188" s="231"/>
      <c r="AI188" s="231"/>
      <c r="AJ188" s="231"/>
      <c r="AK188" s="231"/>
      <c r="AL188" s="231"/>
      <c r="AM188" s="231"/>
      <c r="AN188" s="231"/>
      <c r="AO188" s="231"/>
      <c r="AP188" s="231"/>
      <c r="AQ188" s="231"/>
      <c r="AR188" s="231"/>
      <c r="AS188" s="231"/>
      <c r="AT188" s="231"/>
      <c r="AU188" s="231"/>
      <c r="AV188" s="231"/>
      <c r="AW188" s="231"/>
      <c r="AX188" s="231"/>
      <c r="AY188" s="231"/>
      <c r="AZ188" s="231"/>
      <c r="BA188" s="231"/>
      <c r="BB188" s="231"/>
      <c r="BC188" s="231"/>
      <c r="BD188" s="231"/>
      <c r="BE188" s="231"/>
      <c r="BF188" s="231"/>
      <c r="BG188" s="231"/>
      <c r="BH188" s="231"/>
      <c r="BI188" s="231"/>
      <c r="BJ188" s="231"/>
      <c r="BK188" s="231"/>
      <c r="BL188" s="231"/>
      <c r="BM188" s="231"/>
      <c r="BN188" s="231"/>
      <c r="BO188" s="231"/>
      <c r="BP188" s="231"/>
      <c r="BQ188" s="231"/>
      <c r="BR188" s="231"/>
      <c r="BS188" s="231"/>
    </row>
    <row r="189" spans="1:71" s="203" customFormat="1">
      <c r="A189" s="120">
        <v>24</v>
      </c>
      <c r="B189" s="47" t="s">
        <v>159</v>
      </c>
      <c r="C189" s="47"/>
      <c r="D189" s="47"/>
      <c r="E189" s="49">
        <f>SUM('Aberdeen City:West Lothian'!E189)</f>
        <v>500</v>
      </c>
      <c r="F189" s="52">
        <f>SUM('Aberdeen City:West Lothian'!F189)</f>
        <v>441</v>
      </c>
      <c r="G189" s="118"/>
      <c r="H189" s="122">
        <f>SUM('Aberdeen City:West Lothian'!H189)</f>
        <v>483</v>
      </c>
      <c r="I189" s="29"/>
      <c r="J189" s="15"/>
      <c r="K189" s="15"/>
      <c r="L189" s="15"/>
      <c r="M189" s="8"/>
      <c r="N189" s="8"/>
      <c r="O189" s="231"/>
      <c r="P189" s="231"/>
      <c r="Q189" s="231"/>
      <c r="R189" s="231"/>
      <c r="S189" s="231"/>
      <c r="T189" s="231"/>
      <c r="U189" s="231"/>
      <c r="V189" s="231"/>
      <c r="W189" s="231"/>
      <c r="X189" s="231"/>
      <c r="Y189" s="231"/>
      <c r="Z189" s="231"/>
      <c r="AA189" s="231"/>
      <c r="AB189" s="231"/>
      <c r="AC189" s="231"/>
      <c r="AD189" s="231"/>
      <c r="AE189" s="231"/>
      <c r="AF189" s="231"/>
      <c r="AG189" s="231"/>
      <c r="AH189" s="231"/>
      <c r="AI189" s="231"/>
      <c r="AJ189" s="231"/>
      <c r="AK189" s="231"/>
      <c r="AL189" s="231"/>
      <c r="AM189" s="231"/>
      <c r="AN189" s="231"/>
      <c r="AO189" s="231"/>
      <c r="AP189" s="231"/>
      <c r="AQ189" s="231"/>
      <c r="AR189" s="231"/>
      <c r="AS189" s="231"/>
      <c r="AT189" s="231"/>
      <c r="AU189" s="231"/>
      <c r="AV189" s="231"/>
      <c r="AW189" s="231"/>
      <c r="AX189" s="231"/>
      <c r="AY189" s="231"/>
      <c r="AZ189" s="231"/>
      <c r="BA189" s="231"/>
      <c r="BB189" s="231"/>
      <c r="BC189" s="231"/>
      <c r="BD189" s="231"/>
      <c r="BE189" s="231"/>
      <c r="BF189" s="231"/>
      <c r="BG189" s="231"/>
      <c r="BH189" s="231"/>
      <c r="BI189" s="231"/>
      <c r="BJ189" s="231"/>
      <c r="BK189" s="231"/>
      <c r="BL189" s="231"/>
      <c r="BM189" s="231"/>
      <c r="BN189" s="231"/>
      <c r="BO189" s="231"/>
      <c r="BP189" s="231"/>
      <c r="BQ189" s="231"/>
      <c r="BR189" s="231"/>
      <c r="BS189" s="231"/>
    </row>
    <row r="190" spans="1:71" s="203" customFormat="1">
      <c r="A190" s="124">
        <v>25</v>
      </c>
      <c r="B190" s="54" t="s">
        <v>160</v>
      </c>
      <c r="C190" s="54"/>
      <c r="D190" s="54"/>
      <c r="E190" s="56">
        <f>SUM('Aberdeen City:West Lothian'!E190)</f>
        <v>6848</v>
      </c>
      <c r="F190" s="126">
        <f>SUM('Aberdeen City:West Lothian'!F190)</f>
        <v>7359</v>
      </c>
      <c r="G190" s="118"/>
      <c r="H190" s="100">
        <f>SUM('Aberdeen City:West Lothian'!H190)</f>
        <v>7405.7000668002675</v>
      </c>
      <c r="I190" s="24"/>
      <c r="J190" s="15"/>
      <c r="K190" s="15"/>
      <c r="L190" s="15"/>
      <c r="M190" s="8"/>
      <c r="N190" s="8"/>
      <c r="O190" s="231"/>
      <c r="P190" s="231"/>
      <c r="Q190" s="231"/>
      <c r="R190" s="231"/>
      <c r="S190" s="231"/>
      <c r="T190" s="231"/>
      <c r="U190" s="231"/>
      <c r="V190" s="231"/>
      <c r="W190" s="231"/>
      <c r="X190" s="231"/>
      <c r="Y190" s="231"/>
      <c r="Z190" s="231"/>
      <c r="AA190" s="231"/>
      <c r="AB190" s="231"/>
      <c r="AC190" s="231"/>
      <c r="AD190" s="231"/>
      <c r="AE190" s="231"/>
      <c r="AF190" s="231"/>
      <c r="AG190" s="231"/>
      <c r="AH190" s="231"/>
      <c r="AI190" s="231"/>
      <c r="AJ190" s="231"/>
      <c r="AK190" s="231"/>
      <c r="AL190" s="231"/>
      <c r="AM190" s="231"/>
      <c r="AN190" s="231"/>
      <c r="AO190" s="231"/>
      <c r="AP190" s="231"/>
      <c r="AQ190" s="231"/>
      <c r="AR190" s="231"/>
      <c r="AS190" s="231"/>
      <c r="AT190" s="231"/>
      <c r="AU190" s="231"/>
      <c r="AV190" s="231"/>
      <c r="AW190" s="231"/>
      <c r="AX190" s="231"/>
      <c r="AY190" s="231"/>
      <c r="AZ190" s="231"/>
      <c r="BA190" s="231"/>
      <c r="BB190" s="231"/>
      <c r="BC190" s="231"/>
      <c r="BD190" s="231"/>
      <c r="BE190" s="231"/>
      <c r="BF190" s="231"/>
      <c r="BG190" s="231"/>
      <c r="BH190" s="231"/>
      <c r="BI190" s="231"/>
      <c r="BJ190" s="231"/>
      <c r="BK190" s="231"/>
      <c r="BL190" s="231"/>
      <c r="BM190" s="231"/>
      <c r="BN190" s="231"/>
      <c r="BO190" s="231"/>
      <c r="BP190" s="231"/>
      <c r="BQ190" s="231"/>
      <c r="BR190" s="231"/>
      <c r="BS190" s="231"/>
    </row>
    <row r="191" spans="1:71" s="203" customFormat="1">
      <c r="A191" s="161"/>
      <c r="B191" s="129"/>
      <c r="C191" s="129"/>
      <c r="D191" s="149"/>
      <c r="E191" s="162"/>
      <c r="F191" s="29"/>
      <c r="G191" s="29"/>
      <c r="H191" s="207"/>
      <c r="I191" s="29"/>
      <c r="J191" s="15"/>
      <c r="K191" s="15"/>
      <c r="L191" s="15"/>
      <c r="M191" s="8"/>
      <c r="N191" s="8"/>
      <c r="O191" s="231"/>
      <c r="P191" s="231"/>
      <c r="Q191" s="231"/>
      <c r="R191" s="231"/>
      <c r="S191" s="231"/>
      <c r="T191" s="231"/>
      <c r="U191" s="231"/>
      <c r="V191" s="231"/>
      <c r="W191" s="231"/>
      <c r="X191" s="231"/>
      <c r="Y191" s="231"/>
      <c r="Z191" s="231"/>
      <c r="AA191" s="231"/>
      <c r="AB191" s="231"/>
      <c r="AC191" s="231"/>
      <c r="AD191" s="231"/>
      <c r="AE191" s="231"/>
      <c r="AF191" s="231"/>
      <c r="AG191" s="231"/>
      <c r="AH191" s="231"/>
      <c r="AI191" s="231"/>
      <c r="AJ191" s="231"/>
      <c r="AK191" s="231"/>
      <c r="AL191" s="231"/>
      <c r="AM191" s="231"/>
      <c r="AN191" s="231"/>
      <c r="AO191" s="231"/>
      <c r="AP191" s="231"/>
      <c r="AQ191" s="231"/>
      <c r="AR191" s="231"/>
      <c r="AS191" s="231"/>
      <c r="AT191" s="231"/>
      <c r="AU191" s="231"/>
      <c r="AV191" s="231"/>
      <c r="AW191" s="231"/>
      <c r="AX191" s="231"/>
      <c r="AY191" s="231"/>
      <c r="AZ191" s="231"/>
      <c r="BA191" s="231"/>
      <c r="BB191" s="231"/>
      <c r="BC191" s="231"/>
      <c r="BD191" s="231"/>
      <c r="BE191" s="231"/>
      <c r="BF191" s="231"/>
      <c r="BG191" s="231"/>
      <c r="BH191" s="231"/>
      <c r="BI191" s="231"/>
      <c r="BJ191" s="231"/>
      <c r="BK191" s="231"/>
      <c r="BL191" s="231"/>
      <c r="BM191" s="231"/>
      <c r="BN191" s="231"/>
      <c r="BO191" s="231"/>
      <c r="BP191" s="231"/>
      <c r="BQ191" s="231"/>
      <c r="BR191" s="231"/>
      <c r="BS191" s="231"/>
    </row>
    <row r="192" spans="1:71" s="203" customFormat="1">
      <c r="A192" s="161"/>
      <c r="B192" s="129"/>
      <c r="C192" s="129"/>
      <c r="D192" s="151"/>
      <c r="E192" s="163"/>
      <c r="F192" s="29"/>
      <c r="G192" s="29"/>
      <c r="H192" s="131" t="s">
        <v>27</v>
      </c>
      <c r="I192" s="29"/>
      <c r="J192" s="15"/>
      <c r="K192" s="15"/>
      <c r="L192" s="15"/>
      <c r="M192" s="8"/>
      <c r="N192" s="8"/>
      <c r="O192" s="231"/>
      <c r="P192" s="231"/>
      <c r="Q192" s="231"/>
      <c r="R192" s="231"/>
      <c r="S192" s="231"/>
      <c r="T192" s="231"/>
      <c r="U192" s="231"/>
      <c r="V192" s="231"/>
      <c r="W192" s="231"/>
      <c r="X192" s="231"/>
      <c r="Y192" s="231"/>
      <c r="Z192" s="231"/>
      <c r="AA192" s="231"/>
      <c r="AB192" s="231"/>
      <c r="AC192" s="231"/>
      <c r="AD192" s="231"/>
      <c r="AE192" s="231"/>
      <c r="AF192" s="231"/>
      <c r="AG192" s="231"/>
      <c r="AH192" s="231"/>
      <c r="AI192" s="231"/>
      <c r="AJ192" s="231"/>
      <c r="AK192" s="231"/>
      <c r="AL192" s="231"/>
      <c r="AM192" s="231"/>
      <c r="AN192" s="231"/>
      <c r="AO192" s="231"/>
      <c r="AP192" s="231"/>
      <c r="AQ192" s="231"/>
      <c r="AR192" s="231"/>
      <c r="AS192" s="231"/>
      <c r="AT192" s="231"/>
      <c r="AU192" s="231"/>
      <c r="AV192" s="231"/>
      <c r="AW192" s="231"/>
      <c r="AX192" s="231"/>
      <c r="AY192" s="231"/>
      <c r="AZ192" s="231"/>
      <c r="BA192" s="231"/>
      <c r="BB192" s="231"/>
      <c r="BC192" s="231"/>
      <c r="BD192" s="231"/>
      <c r="BE192" s="231"/>
      <c r="BF192" s="231"/>
      <c r="BG192" s="231"/>
      <c r="BH192" s="231"/>
      <c r="BI192" s="231"/>
      <c r="BJ192" s="231"/>
      <c r="BK192" s="231"/>
      <c r="BL192" s="231"/>
      <c r="BM192" s="231"/>
      <c r="BN192" s="231"/>
      <c r="BO192" s="231"/>
      <c r="BP192" s="231"/>
      <c r="BQ192" s="231"/>
      <c r="BR192" s="231"/>
      <c r="BS192" s="231"/>
    </row>
    <row r="193" spans="1:71" s="203" customFormat="1" ht="12.75" customHeight="1">
      <c r="A193" s="106" t="s">
        <v>23</v>
      </c>
      <c r="B193" s="164"/>
      <c r="C193" s="164"/>
      <c r="D193" s="164"/>
      <c r="E193" s="856" t="s">
        <v>377</v>
      </c>
      <c r="F193" s="853" t="s">
        <v>402</v>
      </c>
      <c r="G193" s="207"/>
      <c r="H193" s="856" t="s">
        <v>403</v>
      </c>
      <c r="I193" s="130"/>
      <c r="J193" s="239"/>
      <c r="K193" s="239"/>
      <c r="L193" s="15"/>
      <c r="M193" s="8"/>
      <c r="N193" s="8"/>
      <c r="O193" s="231"/>
      <c r="P193" s="231"/>
      <c r="Q193" s="231"/>
      <c r="R193" s="231"/>
      <c r="S193" s="231"/>
      <c r="T193" s="231"/>
      <c r="U193" s="231"/>
      <c r="V193" s="231"/>
      <c r="W193" s="231"/>
      <c r="X193" s="231"/>
      <c r="Y193" s="231"/>
      <c r="Z193" s="231"/>
      <c r="AA193" s="231"/>
      <c r="AB193" s="231"/>
      <c r="AC193" s="231"/>
      <c r="AD193" s="231"/>
      <c r="AE193" s="231"/>
      <c r="AF193" s="231"/>
      <c r="AG193" s="231"/>
      <c r="AH193" s="231"/>
      <c r="AI193" s="231"/>
      <c r="AJ193" s="231"/>
      <c r="AK193" s="231"/>
      <c r="AL193" s="231"/>
      <c r="AM193" s="231"/>
      <c r="AN193" s="231"/>
      <c r="AO193" s="231"/>
      <c r="AP193" s="231"/>
      <c r="AQ193" s="231"/>
      <c r="AR193" s="231"/>
      <c r="AS193" s="231"/>
      <c r="AT193" s="231"/>
      <c r="AU193" s="231"/>
      <c r="AV193" s="231"/>
      <c r="AW193" s="231"/>
      <c r="AX193" s="231"/>
      <c r="AY193" s="231"/>
      <c r="AZ193" s="231"/>
      <c r="BA193" s="231"/>
      <c r="BB193" s="231"/>
      <c r="BC193" s="231"/>
      <c r="BD193" s="231"/>
      <c r="BE193" s="231"/>
      <c r="BF193" s="231"/>
      <c r="BG193" s="231"/>
      <c r="BH193" s="231"/>
      <c r="BI193" s="231"/>
      <c r="BJ193" s="231"/>
      <c r="BK193" s="231"/>
      <c r="BL193" s="231"/>
      <c r="BM193" s="231"/>
      <c r="BN193" s="231"/>
      <c r="BO193" s="231"/>
      <c r="BP193" s="231"/>
      <c r="BQ193" s="231"/>
      <c r="BR193" s="231"/>
      <c r="BS193" s="231"/>
    </row>
    <row r="194" spans="1:71" s="203" customFormat="1" ht="23.25" customHeight="1">
      <c r="A194" s="165"/>
      <c r="B194" s="132"/>
      <c r="C194" s="132"/>
      <c r="D194" s="132"/>
      <c r="E194" s="859"/>
      <c r="F194" s="854"/>
      <c r="G194" s="207"/>
      <c r="H194" s="857"/>
      <c r="I194" s="130"/>
      <c r="J194" s="239"/>
      <c r="K194" s="239"/>
      <c r="L194" s="15"/>
      <c r="M194" s="8"/>
      <c r="N194" s="8"/>
      <c r="O194" s="231"/>
      <c r="P194" s="231"/>
      <c r="Q194" s="231"/>
      <c r="R194" s="231"/>
      <c r="S194" s="231"/>
      <c r="T194" s="231"/>
      <c r="U194" s="231"/>
      <c r="V194" s="231"/>
      <c r="W194" s="231"/>
      <c r="X194" s="231"/>
      <c r="Y194" s="231"/>
      <c r="Z194" s="231"/>
      <c r="AA194" s="231"/>
      <c r="AB194" s="231"/>
      <c r="AC194" s="231"/>
      <c r="AD194" s="231"/>
      <c r="AE194" s="231"/>
      <c r="AF194" s="231"/>
      <c r="AG194" s="231"/>
      <c r="AH194" s="231"/>
      <c r="AI194" s="231"/>
      <c r="AJ194" s="231"/>
      <c r="AK194" s="231"/>
      <c r="AL194" s="231"/>
      <c r="AM194" s="231"/>
      <c r="AN194" s="231"/>
      <c r="AO194" s="231"/>
      <c r="AP194" s="231"/>
      <c r="AQ194" s="231"/>
      <c r="AR194" s="231"/>
      <c r="AS194" s="231"/>
      <c r="AT194" s="231"/>
      <c r="AU194" s="231"/>
      <c r="AV194" s="231"/>
      <c r="AW194" s="231"/>
      <c r="AX194" s="231"/>
      <c r="AY194" s="231"/>
      <c r="AZ194" s="231"/>
      <c r="BA194" s="231"/>
      <c r="BB194" s="231"/>
      <c r="BC194" s="231"/>
      <c r="BD194" s="231"/>
      <c r="BE194" s="231"/>
      <c r="BF194" s="231"/>
      <c r="BG194" s="231"/>
      <c r="BH194" s="231"/>
      <c r="BI194" s="231"/>
      <c r="BJ194" s="231"/>
      <c r="BK194" s="231"/>
      <c r="BL194" s="231"/>
      <c r="BM194" s="231"/>
      <c r="BN194" s="231"/>
      <c r="BO194" s="231"/>
      <c r="BP194" s="231"/>
      <c r="BQ194" s="231"/>
      <c r="BR194" s="231"/>
      <c r="BS194" s="231"/>
    </row>
    <row r="195" spans="1:71" s="203" customFormat="1">
      <c r="A195" s="154" t="s">
        <v>161</v>
      </c>
      <c r="B195" s="116"/>
      <c r="C195" s="116"/>
      <c r="D195" s="116"/>
      <c r="E195" s="859"/>
      <c r="F195" s="854"/>
      <c r="G195" s="207"/>
      <c r="H195" s="857"/>
      <c r="I195" s="130"/>
      <c r="J195" s="239"/>
      <c r="K195" s="239"/>
      <c r="L195" s="15"/>
      <c r="M195" s="8"/>
      <c r="N195" s="8"/>
      <c r="O195" s="231"/>
      <c r="P195" s="231"/>
      <c r="Q195" s="231"/>
      <c r="R195" s="231"/>
      <c r="S195" s="231"/>
      <c r="T195" s="231"/>
      <c r="U195" s="231"/>
      <c r="V195" s="231"/>
      <c r="W195" s="231"/>
      <c r="X195" s="231"/>
      <c r="Y195" s="231"/>
      <c r="Z195" s="231"/>
      <c r="AA195" s="231"/>
      <c r="AB195" s="231"/>
      <c r="AC195" s="231"/>
      <c r="AD195" s="231"/>
      <c r="AE195" s="231"/>
      <c r="AF195" s="231"/>
      <c r="AG195" s="231"/>
      <c r="AH195" s="231"/>
      <c r="AI195" s="231"/>
      <c r="AJ195" s="231"/>
      <c r="AK195" s="231"/>
      <c r="AL195" s="231"/>
      <c r="AM195" s="231"/>
      <c r="AN195" s="231"/>
      <c r="AO195" s="231"/>
      <c r="AP195" s="231"/>
      <c r="AQ195" s="231"/>
      <c r="AR195" s="231"/>
      <c r="AS195" s="231"/>
      <c r="AT195" s="231"/>
      <c r="AU195" s="231"/>
      <c r="AV195" s="231"/>
      <c r="AW195" s="231"/>
      <c r="AX195" s="231"/>
      <c r="AY195" s="231"/>
      <c r="AZ195" s="231"/>
      <c r="BA195" s="231"/>
      <c r="BB195" s="231"/>
      <c r="BC195" s="231"/>
      <c r="BD195" s="231"/>
      <c r="BE195" s="231"/>
      <c r="BF195" s="231"/>
      <c r="BG195" s="231"/>
      <c r="BH195" s="231"/>
      <c r="BI195" s="231"/>
      <c r="BJ195" s="231"/>
      <c r="BK195" s="231"/>
      <c r="BL195" s="231"/>
      <c r="BM195" s="231"/>
      <c r="BN195" s="231"/>
      <c r="BO195" s="231"/>
      <c r="BP195" s="231"/>
      <c r="BQ195" s="231"/>
      <c r="BR195" s="231"/>
      <c r="BS195" s="231"/>
    </row>
    <row r="196" spans="1:71" s="203" customFormat="1">
      <c r="A196" s="109" t="s">
        <v>83</v>
      </c>
      <c r="B196" s="47"/>
      <c r="C196" s="47"/>
      <c r="D196" s="47"/>
      <c r="E196" s="859"/>
      <c r="F196" s="854"/>
      <c r="G196" s="207"/>
      <c r="H196" s="857"/>
      <c r="I196" s="130"/>
      <c r="J196" s="239"/>
      <c r="K196" s="239"/>
      <c r="L196" s="15"/>
      <c r="M196" s="8"/>
      <c r="N196" s="8"/>
      <c r="O196" s="231"/>
      <c r="P196" s="231"/>
      <c r="Q196" s="231"/>
      <c r="R196" s="231"/>
      <c r="S196" s="231"/>
      <c r="T196" s="231"/>
      <c r="U196" s="231"/>
      <c r="V196" s="231"/>
      <c r="W196" s="231"/>
      <c r="X196" s="231"/>
      <c r="Y196" s="231"/>
      <c r="Z196" s="231"/>
      <c r="AA196" s="231"/>
      <c r="AB196" s="231"/>
      <c r="AC196" s="231"/>
      <c r="AD196" s="231"/>
      <c r="AE196" s="231"/>
      <c r="AF196" s="231"/>
      <c r="AG196" s="231"/>
      <c r="AH196" s="231"/>
      <c r="AI196" s="231"/>
      <c r="AJ196" s="231"/>
      <c r="AK196" s="231"/>
      <c r="AL196" s="231"/>
      <c r="AM196" s="231"/>
      <c r="AN196" s="231"/>
      <c r="AO196" s="231"/>
      <c r="AP196" s="231"/>
      <c r="AQ196" s="231"/>
      <c r="AR196" s="231"/>
      <c r="AS196" s="231"/>
      <c r="AT196" s="231"/>
      <c r="AU196" s="231"/>
      <c r="AV196" s="231"/>
      <c r="AW196" s="231"/>
      <c r="AX196" s="231"/>
      <c r="AY196" s="231"/>
      <c r="AZ196" s="231"/>
      <c r="BA196" s="231"/>
      <c r="BB196" s="231"/>
      <c r="BC196" s="231"/>
      <c r="BD196" s="231"/>
      <c r="BE196" s="231"/>
      <c r="BF196" s="231"/>
      <c r="BG196" s="231"/>
      <c r="BH196" s="231"/>
      <c r="BI196" s="231"/>
      <c r="BJ196" s="231"/>
      <c r="BK196" s="231"/>
      <c r="BL196" s="231"/>
      <c r="BM196" s="231"/>
      <c r="BN196" s="231"/>
      <c r="BO196" s="231"/>
      <c r="BP196" s="231"/>
      <c r="BQ196" s="231"/>
      <c r="BR196" s="231"/>
      <c r="BS196" s="231"/>
    </row>
    <row r="197" spans="1:71" s="203" customFormat="1">
      <c r="A197" s="110" t="s">
        <v>84</v>
      </c>
      <c r="B197" s="132"/>
      <c r="C197" s="132"/>
      <c r="D197" s="132"/>
      <c r="E197" s="860"/>
      <c r="F197" s="855"/>
      <c r="G197" s="207"/>
      <c r="H197" s="858"/>
      <c r="I197" s="130"/>
      <c r="J197" s="239"/>
      <c r="K197" s="239"/>
      <c r="L197" s="15"/>
      <c r="M197" s="8"/>
      <c r="N197" s="8"/>
      <c r="O197" s="231"/>
      <c r="P197" s="231"/>
      <c r="Q197" s="231"/>
      <c r="R197" s="231"/>
      <c r="S197" s="231"/>
      <c r="T197" s="231"/>
      <c r="U197" s="231"/>
      <c r="V197" s="231"/>
      <c r="W197" s="231"/>
      <c r="X197" s="231"/>
      <c r="Y197" s="231"/>
      <c r="Z197" s="231"/>
      <c r="AA197" s="231"/>
      <c r="AB197" s="231"/>
      <c r="AC197" s="231"/>
      <c r="AD197" s="231"/>
      <c r="AE197" s="231"/>
      <c r="AF197" s="231"/>
      <c r="AG197" s="231"/>
      <c r="AH197" s="231"/>
      <c r="AI197" s="231"/>
      <c r="AJ197" s="231"/>
      <c r="AK197" s="231"/>
      <c r="AL197" s="231"/>
      <c r="AM197" s="231"/>
      <c r="AN197" s="231"/>
      <c r="AO197" s="231"/>
      <c r="AP197" s="231"/>
      <c r="AQ197" s="231"/>
      <c r="AR197" s="231"/>
      <c r="AS197" s="231"/>
      <c r="AT197" s="231"/>
      <c r="AU197" s="231"/>
      <c r="AV197" s="231"/>
      <c r="AW197" s="231"/>
      <c r="AX197" s="231"/>
      <c r="AY197" s="231"/>
      <c r="AZ197" s="231"/>
      <c r="BA197" s="231"/>
      <c r="BB197" s="231"/>
      <c r="BC197" s="231"/>
      <c r="BD197" s="231"/>
      <c r="BE197" s="231"/>
      <c r="BF197" s="231"/>
      <c r="BG197" s="231"/>
      <c r="BH197" s="231"/>
      <c r="BI197" s="231"/>
      <c r="BJ197" s="231"/>
      <c r="BK197" s="231"/>
      <c r="BL197" s="231"/>
      <c r="BM197" s="231"/>
      <c r="BN197" s="231"/>
      <c r="BO197" s="231"/>
      <c r="BP197" s="231"/>
      <c r="BQ197" s="231"/>
      <c r="BR197" s="231"/>
      <c r="BS197" s="231"/>
    </row>
    <row r="198" spans="1:71" s="203" customFormat="1">
      <c r="A198" s="153" t="s">
        <v>162</v>
      </c>
      <c r="B198" s="166"/>
      <c r="C198" s="166"/>
      <c r="D198" s="166"/>
      <c r="E198" s="167"/>
      <c r="F198" s="146"/>
      <c r="G198" s="118"/>
      <c r="H198" s="146"/>
      <c r="I198" s="29"/>
      <c r="J198" s="15"/>
      <c r="K198" s="15"/>
      <c r="L198" s="15"/>
      <c r="M198" s="8"/>
      <c r="N198" s="8"/>
      <c r="O198" s="231"/>
      <c r="P198" s="231"/>
      <c r="Q198" s="231"/>
      <c r="R198" s="231"/>
      <c r="S198" s="231"/>
      <c r="T198" s="231"/>
      <c r="U198" s="231"/>
      <c r="V198" s="231"/>
      <c r="W198" s="231"/>
      <c r="X198" s="231"/>
      <c r="Y198" s="231"/>
      <c r="Z198" s="231"/>
      <c r="AA198" s="231"/>
      <c r="AB198" s="231"/>
      <c r="AC198" s="231"/>
      <c r="AD198" s="231"/>
      <c r="AE198" s="231"/>
      <c r="AF198" s="231"/>
      <c r="AG198" s="231"/>
      <c r="AH198" s="231"/>
      <c r="AI198" s="231"/>
      <c r="AJ198" s="231"/>
      <c r="AK198" s="231"/>
      <c r="AL198" s="231"/>
      <c r="AM198" s="231"/>
      <c r="AN198" s="231"/>
      <c r="AO198" s="231"/>
      <c r="AP198" s="231"/>
      <c r="AQ198" s="231"/>
      <c r="AR198" s="231"/>
      <c r="AS198" s="231"/>
      <c r="AT198" s="231"/>
      <c r="AU198" s="231"/>
      <c r="AV198" s="231"/>
      <c r="AW198" s="231"/>
      <c r="AX198" s="231"/>
      <c r="AY198" s="231"/>
      <c r="AZ198" s="231"/>
      <c r="BA198" s="231"/>
      <c r="BB198" s="231"/>
      <c r="BC198" s="231"/>
      <c r="BD198" s="231"/>
      <c r="BE198" s="231"/>
      <c r="BF198" s="231"/>
      <c r="BG198" s="231"/>
      <c r="BH198" s="231"/>
      <c r="BI198" s="231"/>
      <c r="BJ198" s="231"/>
      <c r="BK198" s="231"/>
      <c r="BL198" s="231"/>
      <c r="BM198" s="231"/>
      <c r="BN198" s="231"/>
      <c r="BO198" s="231"/>
      <c r="BP198" s="231"/>
      <c r="BQ198" s="231"/>
      <c r="BR198" s="231"/>
      <c r="BS198" s="231"/>
    </row>
    <row r="199" spans="1:71" s="203" customFormat="1">
      <c r="A199" s="120">
        <v>1</v>
      </c>
      <c r="B199" s="47" t="s">
        <v>163</v>
      </c>
      <c r="C199" s="47"/>
      <c r="D199" s="47"/>
      <c r="E199" s="74">
        <f>SUM('Aberdeen City:West Lothian'!E199)</f>
        <v>14240.83156485502</v>
      </c>
      <c r="F199" s="52">
        <f>SUM('Aberdeen City:West Lothian'!F199)</f>
        <v>14324</v>
      </c>
      <c r="G199" s="118"/>
      <c r="H199" s="122">
        <f>SUM('Aberdeen City:West Lothian'!H199)</f>
        <v>13962</v>
      </c>
      <c r="I199" s="29"/>
      <c r="J199" s="15"/>
      <c r="K199" s="15"/>
      <c r="L199" s="15"/>
      <c r="M199" s="8"/>
      <c r="N199" s="8"/>
      <c r="O199" s="231"/>
      <c r="P199" s="231"/>
      <c r="Q199" s="231"/>
      <c r="R199" s="231"/>
      <c r="S199" s="231"/>
      <c r="T199" s="231"/>
      <c r="U199" s="231"/>
      <c r="V199" s="231"/>
      <c r="W199" s="231"/>
      <c r="X199" s="231"/>
      <c r="Y199" s="231"/>
      <c r="Z199" s="231"/>
      <c r="AA199" s="231"/>
      <c r="AB199" s="231"/>
      <c r="AC199" s="231"/>
      <c r="AD199" s="231"/>
      <c r="AE199" s="231"/>
      <c r="AF199" s="231"/>
      <c r="AG199" s="231"/>
      <c r="AH199" s="231"/>
      <c r="AI199" s="231"/>
      <c r="AJ199" s="231"/>
      <c r="AK199" s="231"/>
      <c r="AL199" s="231"/>
      <c r="AM199" s="231"/>
      <c r="AN199" s="231"/>
      <c r="AO199" s="231"/>
      <c r="AP199" s="231"/>
      <c r="AQ199" s="231"/>
      <c r="AR199" s="231"/>
      <c r="AS199" s="231"/>
      <c r="AT199" s="231"/>
      <c r="AU199" s="231"/>
      <c r="AV199" s="231"/>
      <c r="AW199" s="231"/>
      <c r="AX199" s="231"/>
      <c r="AY199" s="231"/>
      <c r="AZ199" s="231"/>
      <c r="BA199" s="231"/>
      <c r="BB199" s="231"/>
      <c r="BC199" s="231"/>
      <c r="BD199" s="231"/>
      <c r="BE199" s="231"/>
      <c r="BF199" s="231"/>
      <c r="BG199" s="231"/>
      <c r="BH199" s="231"/>
      <c r="BI199" s="231"/>
      <c r="BJ199" s="231"/>
      <c r="BK199" s="231"/>
      <c r="BL199" s="231"/>
      <c r="BM199" s="231"/>
      <c r="BN199" s="231"/>
      <c r="BO199" s="231"/>
      <c r="BP199" s="231"/>
      <c r="BQ199" s="231"/>
      <c r="BR199" s="231"/>
      <c r="BS199" s="231"/>
    </row>
    <row r="200" spans="1:71" s="203" customFormat="1">
      <c r="A200" s="120">
        <v>2</v>
      </c>
      <c r="B200" s="47" t="s">
        <v>164</v>
      </c>
      <c r="C200" s="47"/>
      <c r="D200" s="47"/>
      <c r="E200" s="56">
        <f>SUM('Aberdeen City:West Lothian'!E200)</f>
        <v>18333.992157774028</v>
      </c>
      <c r="F200" s="52">
        <f>SUM('Aberdeen City:West Lothian'!F200)</f>
        <v>17256</v>
      </c>
      <c r="G200" s="118"/>
      <c r="H200" s="100">
        <f>SUM('Aberdeen City:West Lothian'!H200)</f>
        <v>18641</v>
      </c>
      <c r="I200" s="29"/>
      <c r="J200" s="15"/>
      <c r="K200" s="15"/>
      <c r="L200" s="15"/>
      <c r="M200" s="8"/>
      <c r="N200" s="8"/>
      <c r="O200" s="231"/>
      <c r="P200" s="231"/>
      <c r="Q200" s="231"/>
      <c r="R200" s="231"/>
      <c r="S200" s="231"/>
      <c r="T200" s="231"/>
      <c r="U200" s="231"/>
      <c r="V200" s="231"/>
      <c r="W200" s="231"/>
      <c r="X200" s="231"/>
      <c r="Y200" s="231"/>
      <c r="Z200" s="231"/>
      <c r="AA200" s="231"/>
      <c r="AB200" s="231"/>
      <c r="AC200" s="231"/>
      <c r="AD200" s="231"/>
      <c r="AE200" s="231"/>
      <c r="AF200" s="231"/>
      <c r="AG200" s="231"/>
      <c r="AH200" s="231"/>
      <c r="AI200" s="231"/>
      <c r="AJ200" s="231"/>
      <c r="AK200" s="231"/>
      <c r="AL200" s="231"/>
      <c r="AM200" s="231"/>
      <c r="AN200" s="231"/>
      <c r="AO200" s="231"/>
      <c r="AP200" s="231"/>
      <c r="AQ200" s="231"/>
      <c r="AR200" s="231"/>
      <c r="AS200" s="231"/>
      <c r="AT200" s="231"/>
      <c r="AU200" s="231"/>
      <c r="AV200" s="231"/>
      <c r="AW200" s="231"/>
      <c r="AX200" s="231"/>
      <c r="AY200" s="231"/>
      <c r="AZ200" s="231"/>
      <c r="BA200" s="231"/>
      <c r="BB200" s="231"/>
      <c r="BC200" s="231"/>
      <c r="BD200" s="231"/>
      <c r="BE200" s="231"/>
      <c r="BF200" s="231"/>
      <c r="BG200" s="231"/>
      <c r="BH200" s="231"/>
      <c r="BI200" s="231"/>
      <c r="BJ200" s="231"/>
      <c r="BK200" s="231"/>
      <c r="BL200" s="231"/>
      <c r="BM200" s="231"/>
      <c r="BN200" s="231"/>
      <c r="BO200" s="231"/>
      <c r="BP200" s="231"/>
      <c r="BQ200" s="231"/>
      <c r="BR200" s="231"/>
      <c r="BS200" s="231"/>
    </row>
    <row r="201" spans="1:71" s="203" customFormat="1">
      <c r="A201" s="120">
        <v>3</v>
      </c>
      <c r="B201" s="116" t="s">
        <v>165</v>
      </c>
      <c r="C201" s="116"/>
      <c r="D201" s="116"/>
      <c r="E201" s="80">
        <f>SUM('Aberdeen City:West Lothian'!E201)</f>
        <v>32574.823722629048</v>
      </c>
      <c r="F201" s="142">
        <f>SUM(F199:F200)</f>
        <v>31580</v>
      </c>
      <c r="G201" s="118"/>
      <c r="H201" s="142">
        <f>SUM(H199:H200)</f>
        <v>32603</v>
      </c>
      <c r="I201" s="29"/>
      <c r="J201" s="15"/>
      <c r="K201" s="15"/>
      <c r="L201" s="15"/>
      <c r="M201" s="8"/>
      <c r="N201" s="8"/>
      <c r="O201" s="231"/>
      <c r="P201" s="231"/>
      <c r="Q201" s="231"/>
      <c r="R201" s="231"/>
      <c r="S201" s="231"/>
      <c r="T201" s="231"/>
      <c r="U201" s="231"/>
      <c r="V201" s="231"/>
      <c r="W201" s="231"/>
      <c r="X201" s="231"/>
      <c r="Y201" s="231"/>
      <c r="Z201" s="231"/>
      <c r="AA201" s="231"/>
      <c r="AB201" s="231"/>
      <c r="AC201" s="231"/>
      <c r="AD201" s="231"/>
      <c r="AE201" s="231"/>
      <c r="AF201" s="231"/>
      <c r="AG201" s="231"/>
      <c r="AH201" s="231"/>
      <c r="AI201" s="231"/>
      <c r="AJ201" s="231"/>
      <c r="AK201" s="231"/>
      <c r="AL201" s="231"/>
      <c r="AM201" s="231"/>
      <c r="AN201" s="231"/>
      <c r="AO201" s="231"/>
      <c r="AP201" s="231"/>
      <c r="AQ201" s="231"/>
      <c r="AR201" s="231"/>
      <c r="AS201" s="231"/>
      <c r="AT201" s="231"/>
      <c r="AU201" s="231"/>
      <c r="AV201" s="231"/>
      <c r="AW201" s="231"/>
      <c r="AX201" s="231"/>
      <c r="AY201" s="231"/>
      <c r="AZ201" s="231"/>
      <c r="BA201" s="231"/>
      <c r="BB201" s="231"/>
      <c r="BC201" s="231"/>
      <c r="BD201" s="231"/>
      <c r="BE201" s="231"/>
      <c r="BF201" s="231"/>
      <c r="BG201" s="231"/>
      <c r="BH201" s="231"/>
      <c r="BI201" s="231"/>
      <c r="BJ201" s="231"/>
      <c r="BK201" s="231"/>
      <c r="BL201" s="231"/>
      <c r="BM201" s="231"/>
      <c r="BN201" s="231"/>
      <c r="BO201" s="231"/>
      <c r="BP201" s="231"/>
      <c r="BQ201" s="231"/>
      <c r="BR201" s="231"/>
      <c r="BS201" s="231"/>
    </row>
    <row r="202" spans="1:71" s="203" customFormat="1">
      <c r="A202" s="46"/>
      <c r="B202" s="132"/>
      <c r="C202" s="132"/>
      <c r="D202" s="132"/>
      <c r="E202" s="156"/>
      <c r="F202" s="139"/>
      <c r="G202" s="139"/>
      <c r="H202" s="139"/>
      <c r="I202" s="29"/>
      <c r="J202" s="15"/>
      <c r="K202" s="15"/>
      <c r="L202" s="15"/>
      <c r="M202" s="8"/>
      <c r="N202" s="8"/>
      <c r="O202" s="231"/>
      <c r="P202" s="231"/>
      <c r="Q202" s="231"/>
      <c r="R202" s="231"/>
      <c r="S202" s="231"/>
      <c r="T202" s="231"/>
      <c r="U202" s="231"/>
      <c r="V202" s="231"/>
      <c r="W202" s="231"/>
      <c r="X202" s="231"/>
      <c r="Y202" s="231"/>
      <c r="Z202" s="231"/>
      <c r="AA202" s="231"/>
      <c r="AB202" s="231"/>
      <c r="AC202" s="231"/>
      <c r="AD202" s="231"/>
      <c r="AE202" s="231"/>
      <c r="AF202" s="231"/>
      <c r="AG202" s="231"/>
      <c r="AH202" s="231"/>
      <c r="AI202" s="231"/>
      <c r="AJ202" s="231"/>
      <c r="AK202" s="231"/>
      <c r="AL202" s="231"/>
      <c r="AM202" s="231"/>
      <c r="AN202" s="231"/>
      <c r="AO202" s="231"/>
      <c r="AP202" s="231"/>
      <c r="AQ202" s="231"/>
      <c r="AR202" s="231"/>
      <c r="AS202" s="231"/>
      <c r="AT202" s="231"/>
      <c r="AU202" s="231"/>
      <c r="AV202" s="231"/>
      <c r="AW202" s="231"/>
      <c r="AX202" s="231"/>
      <c r="AY202" s="231"/>
      <c r="AZ202" s="231"/>
      <c r="BA202" s="231"/>
      <c r="BB202" s="231"/>
      <c r="BC202" s="231"/>
      <c r="BD202" s="231"/>
      <c r="BE202" s="231"/>
      <c r="BF202" s="231"/>
      <c r="BG202" s="231"/>
      <c r="BH202" s="231"/>
      <c r="BI202" s="231"/>
      <c r="BJ202" s="231"/>
      <c r="BK202" s="231"/>
      <c r="BL202" s="231"/>
      <c r="BM202" s="231"/>
      <c r="BN202" s="231"/>
      <c r="BO202" s="231"/>
      <c r="BP202" s="231"/>
      <c r="BQ202" s="231"/>
      <c r="BR202" s="231"/>
      <c r="BS202" s="231"/>
    </row>
    <row r="203" spans="1:71" s="203" customFormat="1">
      <c r="A203" s="153" t="s">
        <v>166</v>
      </c>
      <c r="B203" s="116"/>
      <c r="C203" s="116"/>
      <c r="D203" s="116"/>
      <c r="E203" s="140"/>
      <c r="F203" s="146"/>
      <c r="G203" s="118"/>
      <c r="H203" s="146"/>
      <c r="I203" s="29"/>
      <c r="J203" s="15"/>
      <c r="K203" s="15"/>
      <c r="L203" s="15"/>
      <c r="M203" s="8"/>
      <c r="N203" s="8"/>
      <c r="O203" s="231"/>
      <c r="P203" s="231"/>
      <c r="Q203" s="231"/>
      <c r="R203" s="231"/>
      <c r="S203" s="231"/>
      <c r="T203" s="231"/>
      <c r="U203" s="231"/>
      <c r="V203" s="231"/>
      <c r="W203" s="231"/>
      <c r="X203" s="231"/>
      <c r="Y203" s="231"/>
      <c r="Z203" s="231"/>
      <c r="AA203" s="231"/>
      <c r="AB203" s="231"/>
      <c r="AC203" s="231"/>
      <c r="AD203" s="231"/>
      <c r="AE203" s="231"/>
      <c r="AF203" s="231"/>
      <c r="AG203" s="231"/>
      <c r="AH203" s="231"/>
      <c r="AI203" s="231"/>
      <c r="AJ203" s="231"/>
      <c r="AK203" s="231"/>
      <c r="AL203" s="231"/>
      <c r="AM203" s="231"/>
      <c r="AN203" s="231"/>
      <c r="AO203" s="231"/>
      <c r="AP203" s="231"/>
      <c r="AQ203" s="231"/>
      <c r="AR203" s="231"/>
      <c r="AS203" s="231"/>
      <c r="AT203" s="231"/>
      <c r="AU203" s="231"/>
      <c r="AV203" s="231"/>
      <c r="AW203" s="231"/>
      <c r="AX203" s="231"/>
      <c r="AY203" s="231"/>
      <c r="AZ203" s="231"/>
      <c r="BA203" s="231"/>
      <c r="BB203" s="231"/>
      <c r="BC203" s="231"/>
      <c r="BD203" s="231"/>
      <c r="BE203" s="231"/>
      <c r="BF203" s="231"/>
      <c r="BG203" s="231"/>
      <c r="BH203" s="231"/>
      <c r="BI203" s="231"/>
      <c r="BJ203" s="231"/>
      <c r="BK203" s="231"/>
      <c r="BL203" s="231"/>
      <c r="BM203" s="231"/>
      <c r="BN203" s="231"/>
      <c r="BO203" s="231"/>
      <c r="BP203" s="231"/>
      <c r="BQ203" s="231"/>
      <c r="BR203" s="231"/>
      <c r="BS203" s="231"/>
    </row>
    <row r="204" spans="1:71" s="203" customFormat="1">
      <c r="A204" s="120">
        <v>4</v>
      </c>
      <c r="B204" s="47" t="s">
        <v>167</v>
      </c>
      <c r="C204" s="47"/>
      <c r="D204" s="47"/>
      <c r="E204" s="74">
        <f>SUM('Aberdeen City:West Lothian'!E204)</f>
        <v>171825.71305864234</v>
      </c>
      <c r="F204" s="52">
        <f>SUM('Aberdeen City:West Lothian'!F204)</f>
        <v>184605.95161082473</v>
      </c>
      <c r="G204" s="118"/>
      <c r="H204" s="122">
        <f>SUM('Aberdeen City:West Lothian'!H204)</f>
        <v>175768.93284793815</v>
      </c>
      <c r="I204" s="29"/>
      <c r="J204" s="15"/>
      <c r="K204" s="15"/>
      <c r="L204" s="15"/>
      <c r="M204" s="8"/>
      <c r="N204" s="8"/>
      <c r="O204" s="231"/>
      <c r="P204" s="231"/>
      <c r="Q204" s="231"/>
      <c r="R204" s="231"/>
      <c r="S204" s="231"/>
      <c r="T204" s="231"/>
      <c r="U204" s="231"/>
      <c r="V204" s="231"/>
      <c r="W204" s="231"/>
      <c r="X204" s="231"/>
      <c r="Y204" s="231"/>
      <c r="Z204" s="231"/>
      <c r="AA204" s="231"/>
      <c r="AB204" s="231"/>
      <c r="AC204" s="231"/>
      <c r="AD204" s="231"/>
      <c r="AE204" s="231"/>
      <c r="AF204" s="231"/>
      <c r="AG204" s="231"/>
      <c r="AH204" s="231"/>
      <c r="AI204" s="231"/>
      <c r="AJ204" s="231"/>
      <c r="AK204" s="231"/>
      <c r="AL204" s="231"/>
      <c r="AM204" s="231"/>
      <c r="AN204" s="231"/>
      <c r="AO204" s="231"/>
      <c r="AP204" s="231"/>
      <c r="AQ204" s="231"/>
      <c r="AR204" s="231"/>
      <c r="AS204" s="231"/>
      <c r="AT204" s="231"/>
      <c r="AU204" s="231"/>
      <c r="AV204" s="231"/>
      <c r="AW204" s="231"/>
      <c r="AX204" s="231"/>
      <c r="AY204" s="231"/>
      <c r="AZ204" s="231"/>
      <c r="BA204" s="231"/>
      <c r="BB204" s="231"/>
      <c r="BC204" s="231"/>
      <c r="BD204" s="231"/>
      <c r="BE204" s="231"/>
      <c r="BF204" s="231"/>
      <c r="BG204" s="231"/>
      <c r="BH204" s="231"/>
      <c r="BI204" s="231"/>
      <c r="BJ204" s="231"/>
      <c r="BK204" s="231"/>
      <c r="BL204" s="231"/>
      <c r="BM204" s="231"/>
      <c r="BN204" s="231"/>
      <c r="BO204" s="231"/>
      <c r="BP204" s="231"/>
      <c r="BQ204" s="231"/>
      <c r="BR204" s="231"/>
      <c r="BS204" s="231"/>
    </row>
    <row r="205" spans="1:71" s="203" customFormat="1">
      <c r="A205" s="120">
        <v>5</v>
      </c>
      <c r="B205" s="47" t="s">
        <v>168</v>
      </c>
      <c r="C205" s="47"/>
      <c r="D205" s="47"/>
      <c r="E205" s="49">
        <f>SUM('Aberdeen City:West Lothian'!E205)</f>
        <v>277337.87636746303</v>
      </c>
      <c r="F205" s="52">
        <f>SUM('Aberdeen City:West Lothian'!F205)</f>
        <v>282313.78482010309</v>
      </c>
      <c r="G205" s="118"/>
      <c r="H205" s="122">
        <f>SUM('Aberdeen City:West Lothian'!H205)</f>
        <v>296092.42037474224</v>
      </c>
      <c r="I205" s="29"/>
      <c r="J205" s="15"/>
      <c r="K205" s="15"/>
      <c r="L205" s="15"/>
      <c r="M205" s="8"/>
      <c r="N205" s="8"/>
      <c r="O205" s="231"/>
      <c r="P205" s="231"/>
      <c r="Q205" s="231"/>
      <c r="R205" s="231"/>
      <c r="S205" s="231"/>
      <c r="T205" s="231"/>
      <c r="U205" s="231"/>
      <c r="V205" s="231"/>
      <c r="W205" s="231"/>
      <c r="X205" s="231"/>
      <c r="Y205" s="231"/>
      <c r="Z205" s="231"/>
      <c r="AA205" s="231"/>
      <c r="AB205" s="231"/>
      <c r="AC205" s="231"/>
      <c r="AD205" s="231"/>
      <c r="AE205" s="231"/>
      <c r="AF205" s="231"/>
      <c r="AG205" s="231"/>
      <c r="AH205" s="231"/>
      <c r="AI205" s="231"/>
      <c r="AJ205" s="231"/>
      <c r="AK205" s="231"/>
      <c r="AL205" s="231"/>
      <c r="AM205" s="231"/>
      <c r="AN205" s="231"/>
      <c r="AO205" s="231"/>
      <c r="AP205" s="231"/>
      <c r="AQ205" s="231"/>
      <c r="AR205" s="231"/>
      <c r="AS205" s="231"/>
      <c r="AT205" s="231"/>
      <c r="AU205" s="231"/>
      <c r="AV205" s="231"/>
      <c r="AW205" s="231"/>
      <c r="AX205" s="231"/>
      <c r="AY205" s="231"/>
      <c r="AZ205" s="231"/>
      <c r="BA205" s="231"/>
      <c r="BB205" s="231"/>
      <c r="BC205" s="231"/>
      <c r="BD205" s="231"/>
      <c r="BE205" s="231"/>
      <c r="BF205" s="231"/>
      <c r="BG205" s="231"/>
      <c r="BH205" s="231"/>
      <c r="BI205" s="231"/>
      <c r="BJ205" s="231"/>
      <c r="BK205" s="231"/>
      <c r="BL205" s="231"/>
      <c r="BM205" s="231"/>
      <c r="BN205" s="231"/>
      <c r="BO205" s="231"/>
      <c r="BP205" s="231"/>
      <c r="BQ205" s="231"/>
      <c r="BR205" s="231"/>
      <c r="BS205" s="231"/>
    </row>
    <row r="206" spans="1:71" s="203" customFormat="1">
      <c r="A206" s="120">
        <v>6</v>
      </c>
      <c r="B206" s="47" t="s">
        <v>169</v>
      </c>
      <c r="C206" s="47"/>
      <c r="D206" s="47"/>
      <c r="E206" s="49">
        <f>SUM('Aberdeen City:West Lothian'!E206)</f>
        <v>106218.34547071483</v>
      </c>
      <c r="F206" s="52">
        <f>SUM('Aberdeen City:West Lothian'!F206)</f>
        <v>122183.80353402061</v>
      </c>
      <c r="G206" s="118"/>
      <c r="H206" s="100">
        <f>SUM('Aberdeen City:West Lothian'!H206)</f>
        <v>109072.46696494846</v>
      </c>
      <c r="I206" s="29"/>
      <c r="J206" s="15"/>
      <c r="K206" s="15"/>
      <c r="L206" s="15"/>
      <c r="M206" s="8"/>
      <c r="N206" s="8"/>
      <c r="O206" s="231"/>
      <c r="P206" s="231"/>
      <c r="Q206" s="231"/>
      <c r="R206" s="231"/>
      <c r="S206" s="231"/>
      <c r="T206" s="231"/>
      <c r="U206" s="231"/>
      <c r="V206" s="231"/>
      <c r="W206" s="231"/>
      <c r="X206" s="231"/>
      <c r="Y206" s="231"/>
      <c r="Z206" s="231"/>
      <c r="AA206" s="231"/>
      <c r="AB206" s="231"/>
      <c r="AC206" s="231"/>
      <c r="AD206" s="231"/>
      <c r="AE206" s="231"/>
      <c r="AF206" s="231"/>
      <c r="AG206" s="231"/>
      <c r="AH206" s="231"/>
      <c r="AI206" s="231"/>
      <c r="AJ206" s="231"/>
      <c r="AK206" s="231"/>
      <c r="AL206" s="231"/>
      <c r="AM206" s="231"/>
      <c r="AN206" s="231"/>
      <c r="AO206" s="231"/>
      <c r="AP206" s="231"/>
      <c r="AQ206" s="231"/>
      <c r="AR206" s="231"/>
      <c r="AS206" s="231"/>
      <c r="AT206" s="231"/>
      <c r="AU206" s="231"/>
      <c r="AV206" s="231"/>
      <c r="AW206" s="231"/>
      <c r="AX206" s="231"/>
      <c r="AY206" s="231"/>
      <c r="AZ206" s="231"/>
      <c r="BA206" s="231"/>
      <c r="BB206" s="231"/>
      <c r="BC206" s="231"/>
      <c r="BD206" s="231"/>
      <c r="BE206" s="231"/>
      <c r="BF206" s="231"/>
      <c r="BG206" s="231"/>
      <c r="BH206" s="231"/>
      <c r="BI206" s="231"/>
      <c r="BJ206" s="231"/>
      <c r="BK206" s="231"/>
      <c r="BL206" s="231"/>
      <c r="BM206" s="231"/>
      <c r="BN206" s="231"/>
      <c r="BO206" s="231"/>
      <c r="BP206" s="231"/>
      <c r="BQ206" s="231"/>
      <c r="BR206" s="231"/>
      <c r="BS206" s="231"/>
    </row>
    <row r="207" spans="1:71" s="203" customFormat="1">
      <c r="A207" s="120">
        <v>7</v>
      </c>
      <c r="B207" s="116" t="s">
        <v>170</v>
      </c>
      <c r="C207" s="116"/>
      <c r="D207" s="116"/>
      <c r="E207" s="80">
        <f>SUM('Aberdeen City:West Lothian'!E207)</f>
        <v>555381.93489682022</v>
      </c>
      <c r="F207" s="142">
        <f>SUM(F204:F206)</f>
        <v>589103.53996494843</v>
      </c>
      <c r="G207" s="118"/>
      <c r="H207" s="142">
        <f>SUM(H204:H206)</f>
        <v>580933.82018762885</v>
      </c>
      <c r="I207" s="29"/>
      <c r="J207" s="15"/>
      <c r="K207" s="15"/>
      <c r="L207" s="15"/>
      <c r="M207" s="8"/>
      <c r="N207" s="8"/>
      <c r="O207" s="231"/>
      <c r="P207" s="231"/>
      <c r="Q207" s="231"/>
      <c r="R207" s="231"/>
      <c r="S207" s="231"/>
      <c r="T207" s="231"/>
      <c r="U207" s="231"/>
      <c r="V207" s="231"/>
      <c r="W207" s="231"/>
      <c r="X207" s="231"/>
      <c r="Y207" s="231"/>
      <c r="Z207" s="231"/>
      <c r="AA207" s="231"/>
      <c r="AB207" s="231"/>
      <c r="AC207" s="231"/>
      <c r="AD207" s="231"/>
      <c r="AE207" s="231"/>
      <c r="AF207" s="231"/>
      <c r="AG207" s="231"/>
      <c r="AH207" s="231"/>
      <c r="AI207" s="231"/>
      <c r="AJ207" s="231"/>
      <c r="AK207" s="231"/>
      <c r="AL207" s="231"/>
      <c r="AM207" s="231"/>
      <c r="AN207" s="231"/>
      <c r="AO207" s="231"/>
      <c r="AP207" s="231"/>
      <c r="AQ207" s="231"/>
      <c r="AR207" s="231"/>
      <c r="AS207" s="231"/>
      <c r="AT207" s="231"/>
      <c r="AU207" s="231"/>
      <c r="AV207" s="231"/>
      <c r="AW207" s="231"/>
      <c r="AX207" s="231"/>
      <c r="AY207" s="231"/>
      <c r="AZ207" s="231"/>
      <c r="BA207" s="231"/>
      <c r="BB207" s="231"/>
      <c r="BC207" s="231"/>
      <c r="BD207" s="231"/>
      <c r="BE207" s="231"/>
      <c r="BF207" s="231"/>
      <c r="BG207" s="231"/>
      <c r="BH207" s="231"/>
      <c r="BI207" s="231"/>
      <c r="BJ207" s="231"/>
      <c r="BK207" s="231"/>
      <c r="BL207" s="231"/>
      <c r="BM207" s="231"/>
      <c r="BN207" s="231"/>
      <c r="BO207" s="231"/>
      <c r="BP207" s="231"/>
      <c r="BQ207" s="231"/>
      <c r="BR207" s="231"/>
      <c r="BS207" s="231"/>
    </row>
    <row r="208" spans="1:71" s="203" customFormat="1">
      <c r="A208" s="46"/>
      <c r="B208" s="132"/>
      <c r="C208" s="132"/>
      <c r="D208" s="132"/>
      <c r="E208" s="156"/>
      <c r="F208" s="139"/>
      <c r="G208" s="139"/>
      <c r="H208" s="139"/>
      <c r="I208" s="29"/>
      <c r="J208" s="15"/>
      <c r="K208" s="15"/>
      <c r="L208" s="15"/>
      <c r="M208" s="8"/>
      <c r="N208" s="8"/>
      <c r="O208" s="231"/>
      <c r="P208" s="231"/>
      <c r="Q208" s="231"/>
      <c r="R208" s="231"/>
      <c r="S208" s="231"/>
      <c r="T208" s="231"/>
      <c r="U208" s="231"/>
      <c r="V208" s="231"/>
      <c r="W208" s="231"/>
      <c r="X208" s="231"/>
      <c r="Y208" s="231"/>
      <c r="Z208" s="231"/>
      <c r="AA208" s="231"/>
      <c r="AB208" s="231"/>
      <c r="AC208" s="231"/>
      <c r="AD208" s="231"/>
      <c r="AE208" s="231"/>
      <c r="AF208" s="231"/>
      <c r="AG208" s="231"/>
      <c r="AH208" s="231"/>
      <c r="AI208" s="231"/>
      <c r="AJ208" s="231"/>
      <c r="AK208" s="231"/>
      <c r="AL208" s="231"/>
      <c r="AM208" s="231"/>
      <c r="AN208" s="231"/>
      <c r="AO208" s="231"/>
      <c r="AP208" s="231"/>
      <c r="AQ208" s="231"/>
      <c r="AR208" s="231"/>
      <c r="AS208" s="231"/>
      <c r="AT208" s="231"/>
      <c r="AU208" s="231"/>
      <c r="AV208" s="231"/>
      <c r="AW208" s="231"/>
      <c r="AX208" s="231"/>
      <c r="AY208" s="231"/>
      <c r="AZ208" s="231"/>
      <c r="BA208" s="231"/>
      <c r="BB208" s="231"/>
      <c r="BC208" s="231"/>
      <c r="BD208" s="231"/>
      <c r="BE208" s="231"/>
      <c r="BF208" s="231"/>
      <c r="BG208" s="231"/>
      <c r="BH208" s="231"/>
      <c r="BI208" s="231"/>
      <c r="BJ208" s="231"/>
      <c r="BK208" s="231"/>
      <c r="BL208" s="231"/>
      <c r="BM208" s="231"/>
      <c r="BN208" s="231"/>
      <c r="BO208" s="231"/>
      <c r="BP208" s="231"/>
      <c r="BQ208" s="231"/>
      <c r="BR208" s="231"/>
      <c r="BS208" s="231"/>
    </row>
    <row r="209" spans="1:71" s="203" customFormat="1">
      <c r="A209" s="153" t="s">
        <v>121</v>
      </c>
      <c r="B209" s="168"/>
      <c r="C209" s="168"/>
      <c r="D209" s="168"/>
      <c r="E209" s="140"/>
      <c r="F209" s="146"/>
      <c r="G209" s="118"/>
      <c r="H209" s="146"/>
      <c r="I209" s="29"/>
      <c r="J209" s="15"/>
      <c r="K209" s="15"/>
      <c r="L209" s="15"/>
      <c r="M209" s="8"/>
      <c r="N209" s="8"/>
      <c r="O209" s="231"/>
      <c r="P209" s="231"/>
      <c r="Q209" s="231"/>
      <c r="R209" s="231"/>
      <c r="S209" s="231"/>
      <c r="T209" s="231"/>
      <c r="U209" s="231"/>
      <c r="V209" s="231"/>
      <c r="W209" s="231"/>
      <c r="X209" s="231"/>
      <c r="Y209" s="231"/>
      <c r="Z209" s="231"/>
      <c r="AA209" s="231"/>
      <c r="AB209" s="231"/>
      <c r="AC209" s="231"/>
      <c r="AD209" s="231"/>
      <c r="AE209" s="231"/>
      <c r="AF209" s="231"/>
      <c r="AG209" s="231"/>
      <c r="AH209" s="231"/>
      <c r="AI209" s="231"/>
      <c r="AJ209" s="231"/>
      <c r="AK209" s="231"/>
      <c r="AL209" s="231"/>
      <c r="AM209" s="231"/>
      <c r="AN209" s="231"/>
      <c r="AO209" s="231"/>
      <c r="AP209" s="231"/>
      <c r="AQ209" s="231"/>
      <c r="AR209" s="231"/>
      <c r="AS209" s="231"/>
      <c r="AT209" s="231"/>
      <c r="AU209" s="231"/>
      <c r="AV209" s="231"/>
      <c r="AW209" s="231"/>
      <c r="AX209" s="231"/>
      <c r="AY209" s="231"/>
      <c r="AZ209" s="231"/>
      <c r="BA209" s="231"/>
      <c r="BB209" s="231"/>
      <c r="BC209" s="231"/>
      <c r="BD209" s="231"/>
      <c r="BE209" s="231"/>
      <c r="BF209" s="231"/>
      <c r="BG209" s="231"/>
      <c r="BH209" s="231"/>
      <c r="BI209" s="231"/>
      <c r="BJ209" s="231"/>
      <c r="BK209" s="231"/>
      <c r="BL209" s="231"/>
      <c r="BM209" s="231"/>
      <c r="BN209" s="231"/>
      <c r="BO209" s="231"/>
      <c r="BP209" s="231"/>
      <c r="BQ209" s="231"/>
      <c r="BR209" s="231"/>
      <c r="BS209" s="231"/>
    </row>
    <row r="210" spans="1:71" s="203" customFormat="1">
      <c r="A210" s="120">
        <v>8</v>
      </c>
      <c r="B210" s="47" t="s">
        <v>171</v>
      </c>
      <c r="C210" s="47"/>
      <c r="D210" s="47"/>
      <c r="E210" s="74">
        <f>SUM('Aberdeen City:West Lothian'!E210)</f>
        <v>-3193.6362191099697</v>
      </c>
      <c r="F210" s="52">
        <f>SUM('Aberdeen City:West Lothian'!F210)</f>
        <v>-3311.9524391752575</v>
      </c>
      <c r="G210" s="118"/>
      <c r="H210" s="122">
        <f>SUM('Aberdeen City:West Lothian'!H210)</f>
        <v>-4499.2291608247424</v>
      </c>
      <c r="I210" s="29"/>
      <c r="J210" s="15"/>
      <c r="K210" s="15"/>
      <c r="L210" s="15"/>
      <c r="M210" s="8"/>
      <c r="N210" s="8"/>
      <c r="O210" s="231"/>
      <c r="P210" s="231"/>
      <c r="Q210" s="231"/>
      <c r="R210" s="231"/>
      <c r="S210" s="231"/>
      <c r="T210" s="231"/>
      <c r="U210" s="231"/>
      <c r="V210" s="231"/>
      <c r="W210" s="231"/>
      <c r="X210" s="231"/>
      <c r="Y210" s="231"/>
      <c r="Z210" s="231"/>
      <c r="AA210" s="231"/>
      <c r="AB210" s="231"/>
      <c r="AC210" s="231"/>
      <c r="AD210" s="231"/>
      <c r="AE210" s="231"/>
      <c r="AF210" s="231"/>
      <c r="AG210" s="231"/>
      <c r="AH210" s="231"/>
      <c r="AI210" s="231"/>
      <c r="AJ210" s="231"/>
      <c r="AK210" s="231"/>
      <c r="AL210" s="231"/>
      <c r="AM210" s="231"/>
      <c r="AN210" s="231"/>
      <c r="AO210" s="231"/>
      <c r="AP210" s="231"/>
      <c r="AQ210" s="231"/>
      <c r="AR210" s="231"/>
      <c r="AS210" s="231"/>
      <c r="AT210" s="231"/>
      <c r="AU210" s="231"/>
      <c r="AV210" s="231"/>
      <c r="AW210" s="231"/>
      <c r="AX210" s="231"/>
      <c r="AY210" s="231"/>
      <c r="AZ210" s="231"/>
      <c r="BA210" s="231"/>
      <c r="BB210" s="231"/>
      <c r="BC210" s="231"/>
      <c r="BD210" s="231"/>
      <c r="BE210" s="231"/>
      <c r="BF210" s="231"/>
      <c r="BG210" s="231"/>
      <c r="BH210" s="231"/>
      <c r="BI210" s="231"/>
      <c r="BJ210" s="231"/>
      <c r="BK210" s="231"/>
      <c r="BL210" s="231"/>
      <c r="BM210" s="231"/>
      <c r="BN210" s="231"/>
      <c r="BO210" s="231"/>
      <c r="BP210" s="231"/>
      <c r="BQ210" s="231"/>
      <c r="BR210" s="231"/>
      <c r="BS210" s="231"/>
    </row>
    <row r="211" spans="1:71" s="203" customFormat="1">
      <c r="A211" s="120">
        <v>9</v>
      </c>
      <c r="B211" s="47" t="s">
        <v>172</v>
      </c>
      <c r="C211" s="47"/>
      <c r="D211" s="47"/>
      <c r="E211" s="49">
        <f>SUM('Aberdeen City:West Lothian'!E211)</f>
        <v>1249</v>
      </c>
      <c r="F211" s="52">
        <f>SUM('Aberdeen City:West Lothian'!F211)</f>
        <v>1269</v>
      </c>
      <c r="G211" s="118"/>
      <c r="H211" s="122">
        <f>SUM('Aberdeen City:West Lothian'!H211)</f>
        <v>1223</v>
      </c>
      <c r="I211" s="29"/>
      <c r="J211" s="15"/>
      <c r="K211" s="15"/>
      <c r="L211" s="15"/>
      <c r="M211" s="8"/>
      <c r="N211" s="8"/>
      <c r="O211" s="231"/>
      <c r="P211" s="231"/>
      <c r="Q211" s="231"/>
      <c r="R211" s="231"/>
      <c r="S211" s="231"/>
      <c r="T211" s="231"/>
      <c r="U211" s="231"/>
      <c r="V211" s="231"/>
      <c r="W211" s="231"/>
      <c r="X211" s="231"/>
      <c r="Y211" s="231"/>
      <c r="Z211" s="231"/>
      <c r="AA211" s="231"/>
      <c r="AB211" s="231"/>
      <c r="AC211" s="231"/>
      <c r="AD211" s="231"/>
      <c r="AE211" s="231"/>
      <c r="AF211" s="231"/>
      <c r="AG211" s="231"/>
      <c r="AH211" s="231"/>
      <c r="AI211" s="231"/>
      <c r="AJ211" s="231"/>
      <c r="AK211" s="231"/>
      <c r="AL211" s="231"/>
      <c r="AM211" s="231"/>
      <c r="AN211" s="231"/>
      <c r="AO211" s="231"/>
      <c r="AP211" s="231"/>
      <c r="AQ211" s="231"/>
      <c r="AR211" s="231"/>
      <c r="AS211" s="231"/>
      <c r="AT211" s="231"/>
      <c r="AU211" s="231"/>
      <c r="AV211" s="231"/>
      <c r="AW211" s="231"/>
      <c r="AX211" s="231"/>
      <c r="AY211" s="231"/>
      <c r="AZ211" s="231"/>
      <c r="BA211" s="231"/>
      <c r="BB211" s="231"/>
      <c r="BC211" s="231"/>
      <c r="BD211" s="231"/>
      <c r="BE211" s="231"/>
      <c r="BF211" s="231"/>
      <c r="BG211" s="231"/>
      <c r="BH211" s="231"/>
      <c r="BI211" s="231"/>
      <c r="BJ211" s="231"/>
      <c r="BK211" s="231"/>
      <c r="BL211" s="231"/>
      <c r="BM211" s="231"/>
      <c r="BN211" s="231"/>
      <c r="BO211" s="231"/>
      <c r="BP211" s="231"/>
      <c r="BQ211" s="231"/>
      <c r="BR211" s="231"/>
      <c r="BS211" s="231"/>
    </row>
    <row r="212" spans="1:71" s="203" customFormat="1">
      <c r="A212" s="120">
        <v>10</v>
      </c>
      <c r="B212" s="47" t="s">
        <v>173</v>
      </c>
      <c r="C212" s="47"/>
      <c r="D212" s="47"/>
      <c r="E212" s="49">
        <f>SUM('Aberdeen City:West Lothian'!E212)</f>
        <v>10901.58121815997</v>
      </c>
      <c r="F212" s="52">
        <f>SUM('Aberdeen City:West Lothian'!F212)</f>
        <v>10123</v>
      </c>
      <c r="G212" s="118"/>
      <c r="H212" s="122">
        <f>SUM('Aberdeen City:West Lothian'!H212)</f>
        <v>10492</v>
      </c>
      <c r="I212" s="29"/>
      <c r="J212" s="15"/>
      <c r="K212" s="15"/>
      <c r="L212" s="15"/>
      <c r="M212" s="8"/>
      <c r="N212" s="8"/>
      <c r="O212" s="231"/>
      <c r="P212" s="231"/>
      <c r="Q212" s="231"/>
      <c r="R212" s="231"/>
      <c r="S212" s="231"/>
      <c r="T212" s="231"/>
      <c r="U212" s="231"/>
      <c r="V212" s="231"/>
      <c r="W212" s="231"/>
      <c r="X212" s="231"/>
      <c r="Y212" s="231"/>
      <c r="Z212" s="231"/>
      <c r="AA212" s="231"/>
      <c r="AB212" s="231"/>
      <c r="AC212" s="231"/>
      <c r="AD212" s="231"/>
      <c r="AE212" s="231"/>
      <c r="AF212" s="231"/>
      <c r="AG212" s="231"/>
      <c r="AH212" s="231"/>
      <c r="AI212" s="231"/>
      <c r="AJ212" s="231"/>
      <c r="AK212" s="231"/>
      <c r="AL212" s="231"/>
      <c r="AM212" s="231"/>
      <c r="AN212" s="231"/>
      <c r="AO212" s="231"/>
      <c r="AP212" s="231"/>
      <c r="AQ212" s="231"/>
      <c r="AR212" s="231"/>
      <c r="AS212" s="231"/>
      <c r="AT212" s="231"/>
      <c r="AU212" s="231"/>
      <c r="AV212" s="231"/>
      <c r="AW212" s="231"/>
      <c r="AX212" s="231"/>
      <c r="AY212" s="231"/>
      <c r="AZ212" s="231"/>
      <c r="BA212" s="231"/>
      <c r="BB212" s="231"/>
      <c r="BC212" s="231"/>
      <c r="BD212" s="231"/>
      <c r="BE212" s="231"/>
      <c r="BF212" s="231"/>
      <c r="BG212" s="231"/>
      <c r="BH212" s="231"/>
      <c r="BI212" s="231"/>
      <c r="BJ212" s="231"/>
      <c r="BK212" s="231"/>
      <c r="BL212" s="231"/>
      <c r="BM212" s="231"/>
      <c r="BN212" s="231"/>
      <c r="BO212" s="231"/>
      <c r="BP212" s="231"/>
      <c r="BQ212" s="231"/>
      <c r="BR212" s="231"/>
      <c r="BS212" s="231"/>
    </row>
    <row r="213" spans="1:71" s="203" customFormat="1">
      <c r="A213" s="120">
        <v>11</v>
      </c>
      <c r="B213" s="47" t="s">
        <v>174</v>
      </c>
      <c r="C213" s="47"/>
      <c r="D213" s="47"/>
      <c r="E213" s="49">
        <f>SUM('Aberdeen City:West Lothian'!E213)</f>
        <v>82064.639643982096</v>
      </c>
      <c r="F213" s="52">
        <f>SUM('Aberdeen City:West Lothian'!F213)</f>
        <v>79485.412474226803</v>
      </c>
      <c r="G213" s="118"/>
      <c r="H213" s="99">
        <f>SUM('Aberdeen City:West Lothian'!H213)</f>
        <v>78117.203814432985</v>
      </c>
      <c r="I213" s="29"/>
      <c r="J213" s="15"/>
      <c r="K213" s="15"/>
      <c r="L213" s="15"/>
      <c r="M213" s="8"/>
      <c r="N213" s="8"/>
      <c r="O213" s="231"/>
      <c r="P213" s="231"/>
      <c r="Q213" s="231"/>
      <c r="R213" s="231"/>
      <c r="S213" s="231"/>
      <c r="T213" s="231"/>
      <c r="U213" s="231"/>
      <c r="V213" s="231"/>
      <c r="W213" s="231"/>
      <c r="X213" s="231"/>
      <c r="Y213" s="231"/>
      <c r="Z213" s="231"/>
      <c r="AA213" s="231"/>
      <c r="AB213" s="231"/>
      <c r="AC213" s="231"/>
      <c r="AD213" s="231"/>
      <c r="AE213" s="231"/>
      <c r="AF213" s="231"/>
      <c r="AG213" s="231"/>
      <c r="AH213" s="231"/>
      <c r="AI213" s="231"/>
      <c r="AJ213" s="231"/>
      <c r="AK213" s="231"/>
      <c r="AL213" s="231"/>
      <c r="AM213" s="231"/>
      <c r="AN213" s="231"/>
      <c r="AO213" s="231"/>
      <c r="AP213" s="231"/>
      <c r="AQ213" s="231"/>
      <c r="AR213" s="231"/>
      <c r="AS213" s="231"/>
      <c r="AT213" s="231"/>
      <c r="AU213" s="231"/>
      <c r="AV213" s="231"/>
      <c r="AW213" s="231"/>
      <c r="AX213" s="231"/>
      <c r="AY213" s="231"/>
      <c r="AZ213" s="231"/>
      <c r="BA213" s="231"/>
      <c r="BB213" s="231"/>
      <c r="BC213" s="231"/>
      <c r="BD213" s="231"/>
      <c r="BE213" s="231"/>
      <c r="BF213" s="231"/>
      <c r="BG213" s="231"/>
      <c r="BH213" s="231"/>
      <c r="BI213" s="231"/>
      <c r="BJ213" s="231"/>
      <c r="BK213" s="231"/>
      <c r="BL213" s="231"/>
      <c r="BM213" s="231"/>
      <c r="BN213" s="231"/>
      <c r="BO213" s="231"/>
      <c r="BP213" s="231"/>
      <c r="BQ213" s="231"/>
      <c r="BR213" s="231"/>
      <c r="BS213" s="231"/>
    </row>
    <row r="214" spans="1:71" s="203" customFormat="1">
      <c r="A214" s="120">
        <v>12</v>
      </c>
      <c r="B214" s="116" t="s">
        <v>175</v>
      </c>
      <c r="C214" s="116"/>
      <c r="D214" s="116"/>
      <c r="E214" s="159">
        <f>SUM('Aberdeen City:West Lothian'!E214)</f>
        <v>678978.34326248139</v>
      </c>
      <c r="F214" s="61">
        <f>F201+F207+SUM(F210:F213)</f>
        <v>708249</v>
      </c>
      <c r="G214" s="118"/>
      <c r="H214" s="61">
        <f>H201+H207+SUM(H210:H213)</f>
        <v>698869.79484123713</v>
      </c>
      <c r="I214" s="29"/>
      <c r="J214" s="15"/>
      <c r="K214" s="15"/>
      <c r="L214" s="15"/>
      <c r="M214" s="8"/>
      <c r="N214" s="8"/>
      <c r="O214" s="231"/>
      <c r="P214" s="231"/>
      <c r="Q214" s="231"/>
      <c r="R214" s="231"/>
      <c r="S214" s="231"/>
      <c r="T214" s="231"/>
      <c r="U214" s="231"/>
      <c r="V214" s="231"/>
      <c r="W214" s="231"/>
      <c r="X214" s="231"/>
      <c r="Y214" s="231"/>
      <c r="Z214" s="231"/>
      <c r="AA214" s="231"/>
      <c r="AB214" s="231"/>
      <c r="AC214" s="231"/>
      <c r="AD214" s="231"/>
      <c r="AE214" s="231"/>
      <c r="AF214" s="231"/>
      <c r="AG214" s="231"/>
      <c r="AH214" s="231"/>
      <c r="AI214" s="231"/>
      <c r="AJ214" s="231"/>
      <c r="AK214" s="231"/>
      <c r="AL214" s="231"/>
      <c r="AM214" s="231"/>
      <c r="AN214" s="231"/>
      <c r="AO214" s="231"/>
      <c r="AP214" s="231"/>
      <c r="AQ214" s="231"/>
      <c r="AR214" s="231"/>
      <c r="AS214" s="231"/>
      <c r="AT214" s="231"/>
      <c r="AU214" s="231"/>
      <c r="AV214" s="231"/>
      <c r="AW214" s="231"/>
      <c r="AX214" s="231"/>
      <c r="AY214" s="231"/>
      <c r="AZ214" s="231"/>
      <c r="BA214" s="231"/>
      <c r="BB214" s="231"/>
      <c r="BC214" s="231"/>
      <c r="BD214" s="231"/>
      <c r="BE214" s="231"/>
      <c r="BF214" s="231"/>
      <c r="BG214" s="231"/>
      <c r="BH214" s="231"/>
      <c r="BI214" s="231"/>
      <c r="BJ214" s="231"/>
      <c r="BK214" s="231"/>
      <c r="BL214" s="231"/>
      <c r="BM214" s="231"/>
      <c r="BN214" s="231"/>
      <c r="BO214" s="231"/>
      <c r="BP214" s="231"/>
      <c r="BQ214" s="231"/>
      <c r="BR214" s="231"/>
      <c r="BS214" s="231"/>
    </row>
    <row r="215" spans="1:71" s="203" customFormat="1">
      <c r="A215" s="111"/>
      <c r="B215" s="47"/>
      <c r="C215" s="47"/>
      <c r="D215" s="47"/>
      <c r="E215" s="117"/>
      <c r="F215" s="118"/>
      <c r="G215" s="118"/>
      <c r="H215" s="118"/>
      <c r="I215" s="29"/>
      <c r="J215" s="15"/>
      <c r="K215" s="15"/>
      <c r="L215" s="15"/>
      <c r="M215" s="8"/>
      <c r="N215" s="8"/>
      <c r="O215" s="231"/>
      <c r="P215" s="231"/>
      <c r="Q215" s="231"/>
      <c r="R215" s="231"/>
      <c r="S215" s="231"/>
      <c r="T215" s="231"/>
      <c r="U215" s="231"/>
      <c r="V215" s="231"/>
      <c r="W215" s="231"/>
      <c r="X215" s="231"/>
      <c r="Y215" s="231"/>
      <c r="Z215" s="231"/>
      <c r="AA215" s="231"/>
      <c r="AB215" s="231"/>
      <c r="AC215" s="231"/>
      <c r="AD215" s="231"/>
      <c r="AE215" s="231"/>
      <c r="AF215" s="231"/>
      <c r="AG215" s="231"/>
      <c r="AH215" s="231"/>
      <c r="AI215" s="231"/>
      <c r="AJ215" s="231"/>
      <c r="AK215" s="231"/>
      <c r="AL215" s="231"/>
      <c r="AM215" s="231"/>
      <c r="AN215" s="231"/>
      <c r="AO215" s="231"/>
      <c r="AP215" s="231"/>
      <c r="AQ215" s="231"/>
      <c r="AR215" s="231"/>
      <c r="AS215" s="231"/>
      <c r="AT215" s="231"/>
      <c r="AU215" s="231"/>
      <c r="AV215" s="231"/>
      <c r="AW215" s="231"/>
      <c r="AX215" s="231"/>
      <c r="AY215" s="231"/>
      <c r="AZ215" s="231"/>
      <c r="BA215" s="231"/>
      <c r="BB215" s="231"/>
      <c r="BC215" s="231"/>
      <c r="BD215" s="231"/>
      <c r="BE215" s="231"/>
      <c r="BF215" s="231"/>
      <c r="BG215" s="231"/>
      <c r="BH215" s="231"/>
      <c r="BI215" s="231"/>
      <c r="BJ215" s="231"/>
      <c r="BK215" s="231"/>
      <c r="BL215" s="231"/>
      <c r="BM215" s="231"/>
      <c r="BN215" s="231"/>
      <c r="BO215" s="231"/>
      <c r="BP215" s="231"/>
      <c r="BQ215" s="231"/>
      <c r="BR215" s="231"/>
      <c r="BS215" s="231"/>
    </row>
    <row r="216" spans="1:71" s="203" customFormat="1">
      <c r="A216" s="119" t="s">
        <v>176</v>
      </c>
      <c r="B216" s="116"/>
      <c r="C216" s="116"/>
      <c r="D216" s="116"/>
      <c r="E216" s="117"/>
      <c r="F216" s="160"/>
      <c r="G216" s="118"/>
      <c r="H216" s="160"/>
      <c r="I216" s="29"/>
      <c r="J216" s="15"/>
      <c r="K216" s="15"/>
      <c r="L216" s="15"/>
      <c r="M216" s="8"/>
      <c r="N216" s="8"/>
      <c r="O216" s="231"/>
      <c r="P216" s="231"/>
      <c r="Q216" s="231"/>
      <c r="R216" s="231"/>
      <c r="S216" s="231"/>
      <c r="T216" s="231"/>
      <c r="U216" s="231"/>
      <c r="V216" s="231"/>
      <c r="W216" s="231"/>
      <c r="X216" s="231"/>
      <c r="Y216" s="231"/>
      <c r="Z216" s="231"/>
      <c r="AA216" s="231"/>
      <c r="AB216" s="231"/>
      <c r="AC216" s="231"/>
      <c r="AD216" s="231"/>
      <c r="AE216" s="231"/>
      <c r="AF216" s="231"/>
      <c r="AG216" s="231"/>
      <c r="AH216" s="231"/>
      <c r="AI216" s="231"/>
      <c r="AJ216" s="231"/>
      <c r="AK216" s="231"/>
      <c r="AL216" s="231"/>
      <c r="AM216" s="231"/>
      <c r="AN216" s="231"/>
      <c r="AO216" s="231"/>
      <c r="AP216" s="231"/>
      <c r="AQ216" s="231"/>
      <c r="AR216" s="231"/>
      <c r="AS216" s="231"/>
      <c r="AT216" s="231"/>
      <c r="AU216" s="231"/>
      <c r="AV216" s="231"/>
      <c r="AW216" s="231"/>
      <c r="AX216" s="231"/>
      <c r="AY216" s="231"/>
      <c r="AZ216" s="231"/>
      <c r="BA216" s="231"/>
      <c r="BB216" s="231"/>
      <c r="BC216" s="231"/>
      <c r="BD216" s="231"/>
      <c r="BE216" s="231"/>
      <c r="BF216" s="231"/>
      <c r="BG216" s="231"/>
      <c r="BH216" s="231"/>
      <c r="BI216" s="231"/>
      <c r="BJ216" s="231"/>
      <c r="BK216" s="231"/>
      <c r="BL216" s="231"/>
      <c r="BM216" s="231"/>
      <c r="BN216" s="231"/>
      <c r="BO216" s="231"/>
      <c r="BP216" s="231"/>
      <c r="BQ216" s="231"/>
      <c r="BR216" s="231"/>
      <c r="BS216" s="231"/>
    </row>
    <row r="217" spans="1:71" s="203" customFormat="1">
      <c r="A217" s="120">
        <v>13</v>
      </c>
      <c r="B217" s="47" t="s">
        <v>177</v>
      </c>
      <c r="C217" s="47"/>
      <c r="D217" s="47"/>
      <c r="E217" s="41">
        <f>SUM('Aberdeen City:West Lothian'!E217)</f>
        <v>8308.8226987524758</v>
      </c>
      <c r="F217" s="121">
        <f>SUM('Aberdeen City:West Lothian'!F217)</f>
        <v>8882.0299999999988</v>
      </c>
      <c r="G217" s="118"/>
      <c r="H217" s="169">
        <f>SUM('Aberdeen City:West Lothian'!H217)</f>
        <v>7390.03</v>
      </c>
      <c r="I217" s="29"/>
      <c r="J217" s="15"/>
      <c r="K217" s="15"/>
      <c r="L217" s="15"/>
      <c r="M217" s="8"/>
      <c r="N217" s="8"/>
      <c r="O217" s="231"/>
      <c r="P217" s="231"/>
      <c r="Q217" s="231"/>
      <c r="R217" s="231"/>
      <c r="S217" s="231"/>
      <c r="T217" s="231"/>
      <c r="U217" s="231"/>
      <c r="V217" s="231"/>
      <c r="W217" s="231"/>
      <c r="X217" s="231"/>
      <c r="Y217" s="231"/>
      <c r="Z217" s="231"/>
      <c r="AA217" s="231"/>
      <c r="AB217" s="231"/>
      <c r="AC217" s="231"/>
      <c r="AD217" s="231"/>
      <c r="AE217" s="231"/>
      <c r="AF217" s="231"/>
      <c r="AG217" s="231"/>
      <c r="AH217" s="231"/>
      <c r="AI217" s="231"/>
      <c r="AJ217" s="231"/>
      <c r="AK217" s="231"/>
      <c r="AL217" s="231"/>
      <c r="AM217" s="231"/>
      <c r="AN217" s="231"/>
      <c r="AO217" s="231"/>
      <c r="AP217" s="231"/>
      <c r="AQ217" s="231"/>
      <c r="AR217" s="231"/>
      <c r="AS217" s="231"/>
      <c r="AT217" s="231"/>
      <c r="AU217" s="231"/>
      <c r="AV217" s="231"/>
      <c r="AW217" s="231"/>
      <c r="AX217" s="231"/>
      <c r="AY217" s="231"/>
      <c r="AZ217" s="231"/>
      <c r="BA217" s="231"/>
      <c r="BB217" s="231"/>
      <c r="BC217" s="231"/>
      <c r="BD217" s="231"/>
      <c r="BE217" s="231"/>
      <c r="BF217" s="231"/>
      <c r="BG217" s="231"/>
      <c r="BH217" s="231"/>
      <c r="BI217" s="231"/>
      <c r="BJ217" s="231"/>
      <c r="BK217" s="231"/>
      <c r="BL217" s="231"/>
      <c r="BM217" s="231"/>
      <c r="BN217" s="231"/>
      <c r="BO217" s="231"/>
      <c r="BP217" s="231"/>
      <c r="BQ217" s="231"/>
      <c r="BR217" s="231"/>
      <c r="BS217" s="231"/>
    </row>
    <row r="218" spans="1:71" s="203" customFormat="1">
      <c r="A218" s="124">
        <v>14</v>
      </c>
      <c r="B218" s="54" t="s">
        <v>178</v>
      </c>
      <c r="C218" s="54"/>
      <c r="D218" s="54"/>
      <c r="E218" s="56">
        <f>SUM('Aberdeen City:West Lothian'!E218)</f>
        <v>91511.095446930252</v>
      </c>
      <c r="F218" s="126">
        <f>SUM('Aberdeen City:West Lothian'!F218)</f>
        <v>91887.790000000008</v>
      </c>
      <c r="G218" s="118"/>
      <c r="H218" s="100">
        <f>SUM('Aberdeen City:West Lothian'!H218)</f>
        <v>90545.48000000001</v>
      </c>
      <c r="I218" s="29"/>
      <c r="J218" s="15"/>
      <c r="K218" s="15"/>
      <c r="L218" s="15"/>
      <c r="M218" s="8"/>
      <c r="N218" s="8"/>
      <c r="O218" s="231"/>
      <c r="P218" s="231"/>
      <c r="Q218" s="231"/>
      <c r="R218" s="231"/>
      <c r="S218" s="231"/>
      <c r="T218" s="231"/>
      <c r="U218" s="231"/>
      <c r="V218" s="231"/>
      <c r="W218" s="231"/>
      <c r="X218" s="231"/>
      <c r="Y218" s="231"/>
      <c r="Z218" s="231"/>
      <c r="AA218" s="231"/>
      <c r="AB218" s="231"/>
      <c r="AC218" s="231"/>
      <c r="AD218" s="231"/>
      <c r="AE218" s="231"/>
      <c r="AF218" s="231"/>
      <c r="AG218" s="231"/>
      <c r="AH218" s="231"/>
      <c r="AI218" s="231"/>
      <c r="AJ218" s="231"/>
      <c r="AK218" s="231"/>
      <c r="AL218" s="231"/>
      <c r="AM218" s="231"/>
      <c r="AN218" s="231"/>
      <c r="AO218" s="231"/>
      <c r="AP218" s="231"/>
      <c r="AQ218" s="231"/>
      <c r="AR218" s="231"/>
      <c r="AS218" s="231"/>
      <c r="AT218" s="231"/>
      <c r="AU218" s="231"/>
      <c r="AV218" s="231"/>
      <c r="AW218" s="231"/>
      <c r="AX218" s="231"/>
      <c r="AY218" s="231"/>
      <c r="AZ218" s="231"/>
      <c r="BA218" s="231"/>
      <c r="BB218" s="231"/>
      <c r="BC218" s="231"/>
      <c r="BD218" s="231"/>
      <c r="BE218" s="231"/>
      <c r="BF218" s="231"/>
      <c r="BG218" s="231"/>
      <c r="BH218" s="231"/>
      <c r="BI218" s="231"/>
      <c r="BJ218" s="231"/>
      <c r="BK218" s="231"/>
      <c r="BL218" s="231"/>
      <c r="BM218" s="231"/>
      <c r="BN218" s="231"/>
      <c r="BO218" s="231"/>
      <c r="BP218" s="231"/>
      <c r="BQ218" s="231"/>
      <c r="BR218" s="231"/>
      <c r="BS218" s="231"/>
    </row>
    <row r="219" spans="1:71" s="203" customFormat="1">
      <c r="A219" s="148"/>
      <c r="B219" s="29"/>
      <c r="C219" s="29"/>
      <c r="D219" s="170"/>
      <c r="E219" s="171"/>
      <c r="F219" s="29"/>
      <c r="G219" s="29"/>
      <c r="H219" s="207"/>
      <c r="I219" s="29"/>
      <c r="J219" s="15"/>
      <c r="K219" s="15"/>
      <c r="L219" s="15"/>
      <c r="M219" s="8"/>
      <c r="N219" s="8"/>
      <c r="O219" s="231"/>
      <c r="P219" s="231"/>
      <c r="Q219" s="231"/>
      <c r="R219" s="231"/>
      <c r="S219" s="231"/>
      <c r="T219" s="231"/>
      <c r="U219" s="231"/>
      <c r="V219" s="231"/>
      <c r="W219" s="231"/>
      <c r="X219" s="231"/>
      <c r="Y219" s="231"/>
      <c r="Z219" s="231"/>
      <c r="AA219" s="231"/>
      <c r="AB219" s="231"/>
      <c r="AC219" s="231"/>
      <c r="AD219" s="231"/>
      <c r="AE219" s="231"/>
      <c r="AF219" s="231"/>
      <c r="AG219" s="231"/>
      <c r="AH219" s="231"/>
      <c r="AI219" s="231"/>
      <c r="AJ219" s="231"/>
      <c r="AK219" s="231"/>
      <c r="AL219" s="231"/>
      <c r="AM219" s="231"/>
      <c r="AN219" s="231"/>
      <c r="AO219" s="231"/>
      <c r="AP219" s="231"/>
      <c r="AQ219" s="231"/>
      <c r="AR219" s="231"/>
      <c r="AS219" s="231"/>
      <c r="AT219" s="231"/>
      <c r="AU219" s="231"/>
      <c r="AV219" s="231"/>
      <c r="AW219" s="231"/>
      <c r="AX219" s="231"/>
      <c r="AY219" s="231"/>
      <c r="AZ219" s="231"/>
      <c r="BA219" s="231"/>
      <c r="BB219" s="231"/>
      <c r="BC219" s="231"/>
      <c r="BD219" s="231"/>
      <c r="BE219" s="231"/>
      <c r="BF219" s="231"/>
      <c r="BG219" s="231"/>
      <c r="BH219" s="231"/>
      <c r="BI219" s="231"/>
      <c r="BJ219" s="231"/>
      <c r="BK219" s="231"/>
      <c r="BL219" s="231"/>
      <c r="BM219" s="231"/>
      <c r="BN219" s="231"/>
      <c r="BO219" s="231"/>
      <c r="BP219" s="231"/>
      <c r="BQ219" s="231"/>
      <c r="BR219" s="231"/>
      <c r="BS219" s="231"/>
    </row>
    <row r="220" spans="1:71" s="203" customFormat="1">
      <c r="A220" s="148"/>
      <c r="B220" s="29"/>
      <c r="C220" s="29"/>
      <c r="D220" s="172"/>
      <c r="E220" s="152"/>
      <c r="F220" s="29"/>
      <c r="G220" s="29"/>
      <c r="H220" s="131" t="s">
        <v>27</v>
      </c>
      <c r="I220" s="29"/>
      <c r="J220" s="15"/>
      <c r="K220" s="15"/>
      <c r="L220" s="15"/>
      <c r="M220" s="8"/>
      <c r="N220" s="8"/>
      <c r="O220" s="231"/>
      <c r="P220" s="231"/>
      <c r="Q220" s="231"/>
      <c r="R220" s="231"/>
      <c r="S220" s="231"/>
      <c r="T220" s="231"/>
      <c r="U220" s="231"/>
      <c r="V220" s="231"/>
      <c r="W220" s="231"/>
      <c r="X220" s="231"/>
      <c r="Y220" s="231"/>
      <c r="Z220" s="231"/>
      <c r="AA220" s="231"/>
      <c r="AB220" s="231"/>
      <c r="AC220" s="231"/>
      <c r="AD220" s="231"/>
      <c r="AE220" s="231"/>
      <c r="AF220" s="231"/>
      <c r="AG220" s="231"/>
      <c r="AH220" s="231"/>
      <c r="AI220" s="231"/>
      <c r="AJ220" s="231"/>
      <c r="AK220" s="231"/>
      <c r="AL220" s="231"/>
      <c r="AM220" s="231"/>
      <c r="AN220" s="231"/>
      <c r="AO220" s="231"/>
      <c r="AP220" s="231"/>
      <c r="AQ220" s="231"/>
      <c r="AR220" s="231"/>
      <c r="AS220" s="231"/>
      <c r="AT220" s="231"/>
      <c r="AU220" s="231"/>
      <c r="AV220" s="231"/>
      <c r="AW220" s="231"/>
      <c r="AX220" s="231"/>
      <c r="AY220" s="231"/>
      <c r="AZ220" s="231"/>
      <c r="BA220" s="231"/>
      <c r="BB220" s="231"/>
      <c r="BC220" s="231"/>
      <c r="BD220" s="231"/>
      <c r="BE220" s="231"/>
      <c r="BF220" s="231"/>
      <c r="BG220" s="231"/>
      <c r="BH220" s="231"/>
      <c r="BI220" s="231"/>
      <c r="BJ220" s="231"/>
      <c r="BK220" s="231"/>
      <c r="BL220" s="231"/>
      <c r="BM220" s="231"/>
      <c r="BN220" s="231"/>
      <c r="BO220" s="231"/>
      <c r="BP220" s="231"/>
      <c r="BQ220" s="231"/>
      <c r="BR220" s="231"/>
      <c r="BS220" s="231"/>
    </row>
    <row r="221" spans="1:71" s="203" customFormat="1" ht="12.75" customHeight="1">
      <c r="A221" s="106" t="s">
        <v>10</v>
      </c>
      <c r="B221" s="164"/>
      <c r="C221" s="164"/>
      <c r="D221" s="164"/>
      <c r="E221" s="856" t="s">
        <v>377</v>
      </c>
      <c r="F221" s="853" t="s">
        <v>402</v>
      </c>
      <c r="G221" s="207"/>
      <c r="H221" s="856" t="s">
        <v>403</v>
      </c>
      <c r="I221" s="130"/>
      <c r="J221" s="239"/>
      <c r="K221" s="239"/>
      <c r="L221" s="15"/>
      <c r="M221" s="8"/>
      <c r="N221" s="8"/>
      <c r="O221" s="231"/>
      <c r="P221" s="231"/>
      <c r="Q221" s="231"/>
      <c r="R221" s="231"/>
      <c r="S221" s="231"/>
      <c r="T221" s="231"/>
      <c r="U221" s="231"/>
      <c r="V221" s="231"/>
      <c r="W221" s="231"/>
      <c r="X221" s="231"/>
      <c r="Y221" s="231"/>
      <c r="Z221" s="231"/>
      <c r="AA221" s="231"/>
      <c r="AB221" s="231"/>
      <c r="AC221" s="231"/>
      <c r="AD221" s="231"/>
      <c r="AE221" s="231"/>
      <c r="AF221" s="231"/>
      <c r="AG221" s="231"/>
      <c r="AH221" s="231"/>
      <c r="AI221" s="231"/>
      <c r="AJ221" s="231"/>
      <c r="AK221" s="231"/>
      <c r="AL221" s="231"/>
      <c r="AM221" s="231"/>
      <c r="AN221" s="231"/>
      <c r="AO221" s="231"/>
      <c r="AP221" s="231"/>
      <c r="AQ221" s="231"/>
      <c r="AR221" s="231"/>
      <c r="AS221" s="231"/>
      <c r="AT221" s="231"/>
      <c r="AU221" s="231"/>
      <c r="AV221" s="231"/>
      <c r="AW221" s="231"/>
      <c r="AX221" s="231"/>
      <c r="AY221" s="231"/>
      <c r="AZ221" s="231"/>
      <c r="BA221" s="231"/>
      <c r="BB221" s="231"/>
      <c r="BC221" s="231"/>
      <c r="BD221" s="231"/>
      <c r="BE221" s="231"/>
      <c r="BF221" s="231"/>
      <c r="BG221" s="231"/>
      <c r="BH221" s="231"/>
      <c r="BI221" s="231"/>
      <c r="BJ221" s="231"/>
      <c r="BK221" s="231"/>
      <c r="BL221" s="231"/>
      <c r="BM221" s="231"/>
      <c r="BN221" s="231"/>
      <c r="BO221" s="231"/>
      <c r="BP221" s="231"/>
      <c r="BQ221" s="231"/>
      <c r="BR221" s="231"/>
      <c r="BS221" s="231"/>
    </row>
    <row r="222" spans="1:71" s="203" customFormat="1">
      <c r="A222" s="109"/>
      <c r="B222" s="132"/>
      <c r="C222" s="132"/>
      <c r="D222" s="132"/>
      <c r="E222" s="859"/>
      <c r="F222" s="854"/>
      <c r="G222" s="207"/>
      <c r="H222" s="857"/>
      <c r="I222" s="130"/>
      <c r="J222" s="239"/>
      <c r="K222" s="239"/>
      <c r="L222" s="15"/>
      <c r="M222" s="8"/>
      <c r="N222" s="8"/>
      <c r="O222" s="231"/>
      <c r="P222" s="231"/>
      <c r="Q222" s="231"/>
      <c r="R222" s="231"/>
      <c r="S222" s="231"/>
      <c r="T222" s="231"/>
      <c r="U222" s="231"/>
      <c r="V222" s="231"/>
      <c r="W222" s="231"/>
      <c r="X222" s="231"/>
      <c r="Y222" s="231"/>
      <c r="Z222" s="231"/>
      <c r="AA222" s="231"/>
      <c r="AB222" s="231"/>
      <c r="AC222" s="231"/>
      <c r="AD222" s="231"/>
      <c r="AE222" s="231"/>
      <c r="AF222" s="231"/>
      <c r="AG222" s="231"/>
      <c r="AH222" s="231"/>
      <c r="AI222" s="231"/>
      <c r="AJ222" s="231"/>
      <c r="AK222" s="231"/>
      <c r="AL222" s="231"/>
      <c r="AM222" s="231"/>
      <c r="AN222" s="231"/>
      <c r="AO222" s="231"/>
      <c r="AP222" s="231"/>
      <c r="AQ222" s="231"/>
      <c r="AR222" s="231"/>
      <c r="AS222" s="231"/>
      <c r="AT222" s="231"/>
      <c r="AU222" s="231"/>
      <c r="AV222" s="231"/>
      <c r="AW222" s="231"/>
      <c r="AX222" s="231"/>
      <c r="AY222" s="231"/>
      <c r="AZ222" s="231"/>
      <c r="BA222" s="231"/>
      <c r="BB222" s="231"/>
      <c r="BC222" s="231"/>
      <c r="BD222" s="231"/>
      <c r="BE222" s="231"/>
      <c r="BF222" s="231"/>
      <c r="BG222" s="231"/>
      <c r="BH222" s="231"/>
      <c r="BI222" s="231"/>
      <c r="BJ222" s="231"/>
      <c r="BK222" s="231"/>
      <c r="BL222" s="231"/>
      <c r="BM222" s="231"/>
      <c r="BN222" s="231"/>
      <c r="BO222" s="231"/>
      <c r="BP222" s="231"/>
      <c r="BQ222" s="231"/>
      <c r="BR222" s="231"/>
      <c r="BS222" s="231"/>
    </row>
    <row r="223" spans="1:71" s="203" customFormat="1">
      <c r="A223" s="154" t="s">
        <v>179</v>
      </c>
      <c r="B223" s="116"/>
      <c r="C223" s="116"/>
      <c r="D223" s="116"/>
      <c r="E223" s="859"/>
      <c r="F223" s="854"/>
      <c r="G223" s="207"/>
      <c r="H223" s="857"/>
      <c r="I223" s="130"/>
      <c r="J223" s="239"/>
      <c r="K223" s="239"/>
      <c r="L223" s="15"/>
      <c r="M223" s="8"/>
      <c r="N223" s="8"/>
      <c r="O223" s="231"/>
      <c r="P223" s="231"/>
      <c r="Q223" s="231"/>
      <c r="R223" s="231"/>
      <c r="S223" s="231"/>
      <c r="T223" s="231"/>
      <c r="U223" s="231"/>
      <c r="V223" s="231"/>
      <c r="W223" s="231"/>
      <c r="X223" s="231"/>
      <c r="Y223" s="231"/>
      <c r="Z223" s="231"/>
      <c r="AA223" s="231"/>
      <c r="AB223" s="231"/>
      <c r="AC223" s="231"/>
      <c r="AD223" s="231"/>
      <c r="AE223" s="231"/>
      <c r="AF223" s="231"/>
      <c r="AG223" s="231"/>
      <c r="AH223" s="231"/>
      <c r="AI223" s="231"/>
      <c r="AJ223" s="231"/>
      <c r="AK223" s="231"/>
      <c r="AL223" s="231"/>
      <c r="AM223" s="231"/>
      <c r="AN223" s="231"/>
      <c r="AO223" s="231"/>
      <c r="AP223" s="231"/>
      <c r="AQ223" s="231"/>
      <c r="AR223" s="231"/>
      <c r="AS223" s="231"/>
      <c r="AT223" s="231"/>
      <c r="AU223" s="231"/>
      <c r="AV223" s="231"/>
      <c r="AW223" s="231"/>
      <c r="AX223" s="231"/>
      <c r="AY223" s="231"/>
      <c r="AZ223" s="231"/>
      <c r="BA223" s="231"/>
      <c r="BB223" s="231"/>
      <c r="BC223" s="231"/>
      <c r="BD223" s="231"/>
      <c r="BE223" s="231"/>
      <c r="BF223" s="231"/>
      <c r="BG223" s="231"/>
      <c r="BH223" s="231"/>
      <c r="BI223" s="231"/>
      <c r="BJ223" s="231"/>
      <c r="BK223" s="231"/>
      <c r="BL223" s="231"/>
      <c r="BM223" s="231"/>
      <c r="BN223" s="231"/>
      <c r="BO223" s="231"/>
      <c r="BP223" s="231"/>
      <c r="BQ223" s="231"/>
      <c r="BR223" s="231"/>
      <c r="BS223" s="231"/>
    </row>
    <row r="224" spans="1:71" s="203" customFormat="1">
      <c r="A224" s="109" t="s">
        <v>83</v>
      </c>
      <c r="B224" s="47"/>
      <c r="C224" s="47"/>
      <c r="D224" s="47"/>
      <c r="E224" s="859"/>
      <c r="F224" s="854"/>
      <c r="G224" s="207"/>
      <c r="H224" s="857"/>
      <c r="I224" s="130"/>
      <c r="J224" s="239"/>
      <c r="K224" s="239"/>
      <c r="L224" s="15"/>
      <c r="M224" s="8"/>
      <c r="N224" s="8"/>
      <c r="O224" s="231"/>
      <c r="P224" s="231"/>
      <c r="Q224" s="231"/>
      <c r="R224" s="231"/>
      <c r="S224" s="231"/>
      <c r="T224" s="231"/>
      <c r="U224" s="231"/>
      <c r="V224" s="231"/>
      <c r="W224" s="231"/>
      <c r="X224" s="231"/>
      <c r="Y224" s="231"/>
      <c r="Z224" s="231"/>
      <c r="AA224" s="231"/>
      <c r="AB224" s="231"/>
      <c r="AC224" s="231"/>
      <c r="AD224" s="231"/>
      <c r="AE224" s="231"/>
      <c r="AF224" s="231"/>
      <c r="AG224" s="231"/>
      <c r="AH224" s="231"/>
      <c r="AI224" s="231"/>
      <c r="AJ224" s="231"/>
      <c r="AK224" s="231"/>
      <c r="AL224" s="231"/>
      <c r="AM224" s="231"/>
      <c r="AN224" s="231"/>
      <c r="AO224" s="231"/>
      <c r="AP224" s="231"/>
      <c r="AQ224" s="231"/>
      <c r="AR224" s="231"/>
      <c r="AS224" s="231"/>
      <c r="AT224" s="231"/>
      <c r="AU224" s="231"/>
      <c r="AV224" s="231"/>
      <c r="AW224" s="231"/>
      <c r="AX224" s="231"/>
      <c r="AY224" s="231"/>
      <c r="AZ224" s="231"/>
      <c r="BA224" s="231"/>
      <c r="BB224" s="231"/>
      <c r="BC224" s="231"/>
      <c r="BD224" s="231"/>
      <c r="BE224" s="231"/>
      <c r="BF224" s="231"/>
      <c r="BG224" s="231"/>
      <c r="BH224" s="231"/>
      <c r="BI224" s="231"/>
      <c r="BJ224" s="231"/>
      <c r="BK224" s="231"/>
      <c r="BL224" s="231"/>
      <c r="BM224" s="231"/>
      <c r="BN224" s="231"/>
      <c r="BO224" s="231"/>
      <c r="BP224" s="231"/>
      <c r="BQ224" s="231"/>
      <c r="BR224" s="231"/>
      <c r="BS224" s="231"/>
    </row>
    <row r="225" spans="1:71" s="203" customFormat="1">
      <c r="A225" s="110" t="s">
        <v>84</v>
      </c>
      <c r="B225" s="132"/>
      <c r="C225" s="132"/>
      <c r="D225" s="132"/>
      <c r="E225" s="860"/>
      <c r="F225" s="855"/>
      <c r="G225" s="207"/>
      <c r="H225" s="858"/>
      <c r="I225" s="130"/>
      <c r="J225" s="239"/>
      <c r="K225" s="239"/>
      <c r="L225" s="15"/>
      <c r="M225" s="8"/>
      <c r="N225" s="8"/>
      <c r="O225" s="231"/>
      <c r="P225" s="231"/>
      <c r="Q225" s="231"/>
      <c r="R225" s="231"/>
      <c r="S225" s="231"/>
      <c r="T225" s="231"/>
      <c r="U225" s="231"/>
      <c r="V225" s="231"/>
      <c r="W225" s="231"/>
      <c r="X225" s="231"/>
      <c r="Y225" s="231"/>
      <c r="Z225" s="231"/>
      <c r="AA225" s="231"/>
      <c r="AB225" s="231"/>
      <c r="AC225" s="231"/>
      <c r="AD225" s="231"/>
      <c r="AE225" s="231"/>
      <c r="AF225" s="231"/>
      <c r="AG225" s="231"/>
      <c r="AH225" s="231"/>
      <c r="AI225" s="231"/>
      <c r="AJ225" s="231"/>
      <c r="AK225" s="231"/>
      <c r="AL225" s="231"/>
      <c r="AM225" s="231"/>
      <c r="AN225" s="231"/>
      <c r="AO225" s="231"/>
      <c r="AP225" s="231"/>
      <c r="AQ225" s="231"/>
      <c r="AR225" s="231"/>
      <c r="AS225" s="231"/>
      <c r="AT225" s="231"/>
      <c r="AU225" s="231"/>
      <c r="AV225" s="231"/>
      <c r="AW225" s="231"/>
      <c r="AX225" s="231"/>
      <c r="AY225" s="231"/>
      <c r="AZ225" s="231"/>
      <c r="BA225" s="231"/>
      <c r="BB225" s="231"/>
      <c r="BC225" s="231"/>
      <c r="BD225" s="231"/>
      <c r="BE225" s="231"/>
      <c r="BF225" s="231"/>
      <c r="BG225" s="231"/>
      <c r="BH225" s="231"/>
      <c r="BI225" s="231"/>
      <c r="BJ225" s="231"/>
      <c r="BK225" s="231"/>
      <c r="BL225" s="231"/>
      <c r="BM225" s="231"/>
      <c r="BN225" s="231"/>
      <c r="BO225" s="231"/>
      <c r="BP225" s="231"/>
      <c r="BQ225" s="231"/>
      <c r="BR225" s="231"/>
      <c r="BS225" s="231"/>
    </row>
    <row r="226" spans="1:71" s="203" customFormat="1">
      <c r="A226" s="120">
        <v>1</v>
      </c>
      <c r="B226" s="47" t="s">
        <v>180</v>
      </c>
      <c r="C226" s="47"/>
      <c r="D226" s="47"/>
      <c r="E226" s="41">
        <f>SUM('Aberdeen City:West Lothian'!E226)</f>
        <v>-1303.127411975127</v>
      </c>
      <c r="F226" s="52">
        <f>SUM('Aberdeen City:West Lothian'!F226)</f>
        <v>-2165</v>
      </c>
      <c r="G226" s="118"/>
      <c r="H226" s="133">
        <f>SUM('Aberdeen City:West Lothian'!H226)</f>
        <v>-1442</v>
      </c>
      <c r="I226" s="29"/>
      <c r="J226" s="15"/>
      <c r="K226" s="15"/>
      <c r="L226" s="15"/>
      <c r="M226" s="8"/>
      <c r="N226" s="8"/>
      <c r="O226" s="231"/>
      <c r="P226" s="231"/>
      <c r="Q226" s="231"/>
      <c r="R226" s="231"/>
      <c r="S226" s="231"/>
      <c r="T226" s="231"/>
      <c r="U226" s="231"/>
      <c r="V226" s="231"/>
      <c r="W226" s="231"/>
      <c r="X226" s="231"/>
      <c r="Y226" s="231"/>
      <c r="Z226" s="231"/>
      <c r="AA226" s="231"/>
      <c r="AB226" s="231"/>
      <c r="AC226" s="231"/>
      <c r="AD226" s="231"/>
      <c r="AE226" s="231"/>
      <c r="AF226" s="231"/>
      <c r="AG226" s="231"/>
      <c r="AH226" s="231"/>
      <c r="AI226" s="231"/>
      <c r="AJ226" s="231"/>
      <c r="AK226" s="231"/>
      <c r="AL226" s="231"/>
      <c r="AM226" s="231"/>
      <c r="AN226" s="231"/>
      <c r="AO226" s="231"/>
      <c r="AP226" s="231"/>
      <c r="AQ226" s="231"/>
      <c r="AR226" s="231"/>
      <c r="AS226" s="231"/>
      <c r="AT226" s="231"/>
      <c r="AU226" s="231"/>
      <c r="AV226" s="231"/>
      <c r="AW226" s="231"/>
      <c r="AX226" s="231"/>
      <c r="AY226" s="231"/>
      <c r="AZ226" s="231"/>
      <c r="BA226" s="231"/>
      <c r="BB226" s="231"/>
      <c r="BC226" s="231"/>
      <c r="BD226" s="231"/>
      <c r="BE226" s="231"/>
      <c r="BF226" s="231"/>
      <c r="BG226" s="231"/>
      <c r="BH226" s="231"/>
      <c r="BI226" s="231"/>
      <c r="BJ226" s="231"/>
      <c r="BK226" s="231"/>
      <c r="BL226" s="231"/>
      <c r="BM226" s="231"/>
      <c r="BN226" s="231"/>
      <c r="BO226" s="231"/>
      <c r="BP226" s="231"/>
      <c r="BQ226" s="231"/>
      <c r="BR226" s="231"/>
      <c r="BS226" s="231"/>
    </row>
    <row r="227" spans="1:71" s="203" customFormat="1">
      <c r="A227" s="120">
        <v>2</v>
      </c>
      <c r="B227" s="47" t="s">
        <v>181</v>
      </c>
      <c r="C227" s="47"/>
      <c r="D227" s="47"/>
      <c r="E227" s="49">
        <f>SUM('Aberdeen City:West Lothian'!E227)</f>
        <v>15205.651964000001</v>
      </c>
      <c r="F227" s="52">
        <f>SUM('Aberdeen City:West Lothian'!F227)</f>
        <v>12034</v>
      </c>
      <c r="G227" s="118"/>
      <c r="H227" s="122">
        <f>SUM('Aberdeen City:West Lothian'!H227)</f>
        <v>14069</v>
      </c>
      <c r="I227" s="29"/>
      <c r="J227" s="15"/>
      <c r="K227" s="15"/>
      <c r="L227" s="15"/>
      <c r="M227" s="8"/>
      <c r="N227" s="8"/>
      <c r="O227" s="231"/>
      <c r="P227" s="231"/>
      <c r="Q227" s="231"/>
      <c r="R227" s="231"/>
      <c r="S227" s="231"/>
      <c r="T227" s="231"/>
      <c r="U227" s="231"/>
      <c r="V227" s="231"/>
      <c r="W227" s="231"/>
      <c r="X227" s="231"/>
      <c r="Y227" s="231"/>
      <c r="Z227" s="231"/>
      <c r="AA227" s="231"/>
      <c r="AB227" s="231"/>
      <c r="AC227" s="231"/>
      <c r="AD227" s="231"/>
      <c r="AE227" s="231"/>
      <c r="AF227" s="231"/>
      <c r="AG227" s="231"/>
      <c r="AH227" s="231"/>
      <c r="AI227" s="231"/>
      <c r="AJ227" s="231"/>
      <c r="AK227" s="231"/>
      <c r="AL227" s="231"/>
      <c r="AM227" s="231"/>
      <c r="AN227" s="231"/>
      <c r="AO227" s="231"/>
      <c r="AP227" s="231"/>
      <c r="AQ227" s="231"/>
      <c r="AR227" s="231"/>
      <c r="AS227" s="231"/>
      <c r="AT227" s="231"/>
      <c r="AU227" s="231"/>
      <c r="AV227" s="231"/>
      <c r="AW227" s="231"/>
      <c r="AX227" s="231"/>
      <c r="AY227" s="231"/>
      <c r="AZ227" s="231"/>
      <c r="BA227" s="231"/>
      <c r="BB227" s="231"/>
      <c r="BC227" s="231"/>
      <c r="BD227" s="231"/>
      <c r="BE227" s="231"/>
      <c r="BF227" s="231"/>
      <c r="BG227" s="231"/>
      <c r="BH227" s="231"/>
      <c r="BI227" s="231"/>
      <c r="BJ227" s="231"/>
      <c r="BK227" s="231"/>
      <c r="BL227" s="231"/>
      <c r="BM227" s="231"/>
      <c r="BN227" s="231"/>
      <c r="BO227" s="231"/>
      <c r="BP227" s="231"/>
      <c r="BQ227" s="231"/>
      <c r="BR227" s="231"/>
      <c r="BS227" s="231"/>
    </row>
    <row r="228" spans="1:71" s="203" customFormat="1">
      <c r="A228" s="120">
        <v>3</v>
      </c>
      <c r="B228" s="47" t="s">
        <v>182</v>
      </c>
      <c r="C228" s="47"/>
      <c r="D228" s="47"/>
      <c r="E228" s="114">
        <f>SUM('Aberdeen City:West Lothian'!E228)</f>
        <v>29792.8021052</v>
      </c>
      <c r="F228" s="52">
        <f>SUM('Aberdeen City:West Lothian'!F228)</f>
        <v>28448</v>
      </c>
      <c r="G228" s="118"/>
      <c r="H228" s="122">
        <f>SUM('Aberdeen City:West Lothian'!H228)</f>
        <v>29991</v>
      </c>
      <c r="I228" s="29"/>
      <c r="J228" s="15"/>
      <c r="K228" s="15"/>
      <c r="L228" s="15"/>
      <c r="M228" s="8"/>
      <c r="N228" s="8"/>
      <c r="O228" s="231"/>
      <c r="P228" s="231"/>
      <c r="Q228" s="231"/>
      <c r="R228" s="231"/>
      <c r="S228" s="231"/>
      <c r="T228" s="231"/>
      <c r="U228" s="231"/>
      <c r="V228" s="231"/>
      <c r="W228" s="231"/>
      <c r="X228" s="231"/>
      <c r="Y228" s="231"/>
      <c r="Z228" s="231"/>
      <c r="AA228" s="231"/>
      <c r="AB228" s="231"/>
      <c r="AC228" s="231"/>
      <c r="AD228" s="231"/>
      <c r="AE228" s="231"/>
      <c r="AF228" s="231"/>
      <c r="AG228" s="231"/>
      <c r="AH228" s="231"/>
      <c r="AI228" s="231"/>
      <c r="AJ228" s="231"/>
      <c r="AK228" s="231"/>
      <c r="AL228" s="231"/>
      <c r="AM228" s="231"/>
      <c r="AN228" s="231"/>
      <c r="AO228" s="231"/>
      <c r="AP228" s="231"/>
      <c r="AQ228" s="231"/>
      <c r="AR228" s="231"/>
      <c r="AS228" s="231"/>
      <c r="AT228" s="231"/>
      <c r="AU228" s="231"/>
      <c r="AV228" s="231"/>
      <c r="AW228" s="231"/>
      <c r="AX228" s="231"/>
      <c r="AY228" s="231"/>
      <c r="AZ228" s="231"/>
      <c r="BA228" s="231"/>
      <c r="BB228" s="231"/>
      <c r="BC228" s="231"/>
      <c r="BD228" s="231"/>
      <c r="BE228" s="231"/>
      <c r="BF228" s="231"/>
      <c r="BG228" s="231"/>
      <c r="BH228" s="231"/>
      <c r="BI228" s="231"/>
      <c r="BJ228" s="231"/>
      <c r="BK228" s="231"/>
      <c r="BL228" s="231"/>
      <c r="BM228" s="231"/>
      <c r="BN228" s="231"/>
      <c r="BO228" s="231"/>
      <c r="BP228" s="231"/>
      <c r="BQ228" s="231"/>
      <c r="BR228" s="231"/>
      <c r="BS228" s="231"/>
    </row>
    <row r="229" spans="1:71" s="203" customFormat="1">
      <c r="A229" s="120">
        <v>4</v>
      </c>
      <c r="B229" s="47" t="s">
        <v>183</v>
      </c>
      <c r="C229" s="47"/>
      <c r="D229" s="47"/>
      <c r="E229" s="114">
        <f>SUM('Aberdeen City:West Lothian'!E229)</f>
        <v>12844.353015872</v>
      </c>
      <c r="F229" s="52">
        <f>SUM('Aberdeen City:West Lothian'!F229)</f>
        <v>14333</v>
      </c>
      <c r="G229" s="118"/>
      <c r="H229" s="122">
        <f>SUM('Aberdeen City:West Lothian'!H229)</f>
        <v>14038</v>
      </c>
      <c r="I229" s="29"/>
      <c r="J229" s="15"/>
      <c r="K229" s="15"/>
      <c r="L229" s="15"/>
      <c r="M229" s="8"/>
      <c r="N229" s="8"/>
      <c r="O229" s="231"/>
      <c r="P229" s="231"/>
      <c r="Q229" s="231"/>
      <c r="R229" s="231"/>
      <c r="S229" s="231"/>
      <c r="T229" s="231"/>
      <c r="U229" s="231"/>
      <c r="V229" s="231"/>
      <c r="W229" s="231"/>
      <c r="X229" s="231"/>
      <c r="Y229" s="231"/>
      <c r="Z229" s="231"/>
      <c r="AA229" s="231"/>
      <c r="AB229" s="231"/>
      <c r="AC229" s="231"/>
      <c r="AD229" s="231"/>
      <c r="AE229" s="231"/>
      <c r="AF229" s="231"/>
      <c r="AG229" s="231"/>
      <c r="AH229" s="231"/>
      <c r="AI229" s="231"/>
      <c r="AJ229" s="231"/>
      <c r="AK229" s="231"/>
      <c r="AL229" s="231"/>
      <c r="AM229" s="231"/>
      <c r="AN229" s="231"/>
      <c r="AO229" s="231"/>
      <c r="AP229" s="231"/>
      <c r="AQ229" s="231"/>
      <c r="AR229" s="231"/>
      <c r="AS229" s="231"/>
      <c r="AT229" s="231"/>
      <c r="AU229" s="231"/>
      <c r="AV229" s="231"/>
      <c r="AW229" s="231"/>
      <c r="AX229" s="231"/>
      <c r="AY229" s="231"/>
      <c r="AZ229" s="231"/>
      <c r="BA229" s="231"/>
      <c r="BB229" s="231"/>
      <c r="BC229" s="231"/>
      <c r="BD229" s="231"/>
      <c r="BE229" s="231"/>
      <c r="BF229" s="231"/>
      <c r="BG229" s="231"/>
      <c r="BH229" s="231"/>
      <c r="BI229" s="231"/>
      <c r="BJ229" s="231"/>
      <c r="BK229" s="231"/>
      <c r="BL229" s="231"/>
      <c r="BM229" s="231"/>
      <c r="BN229" s="231"/>
      <c r="BO229" s="231"/>
      <c r="BP229" s="231"/>
      <c r="BQ229" s="231"/>
      <c r="BR229" s="231"/>
      <c r="BS229" s="231"/>
    </row>
    <row r="230" spans="1:71" s="203" customFormat="1">
      <c r="A230" s="120">
        <v>5</v>
      </c>
      <c r="B230" s="47" t="s">
        <v>184</v>
      </c>
      <c r="C230" s="47"/>
      <c r="D230" s="47"/>
      <c r="E230" s="114">
        <f>SUM('Aberdeen City:West Lothian'!E230)</f>
        <v>184748.74586454759</v>
      </c>
      <c r="F230" s="52">
        <f>SUM('Aberdeen City:West Lothian'!F230)</f>
        <v>172697</v>
      </c>
      <c r="G230" s="118"/>
      <c r="H230" s="99">
        <f>SUM('Aberdeen City:West Lothian'!H230)</f>
        <v>164667</v>
      </c>
      <c r="I230" s="29"/>
      <c r="J230" s="15"/>
      <c r="K230" s="15"/>
      <c r="L230" s="15"/>
      <c r="M230" s="8"/>
      <c r="N230" s="8"/>
      <c r="O230" s="231"/>
      <c r="P230" s="231"/>
      <c r="Q230" s="231"/>
      <c r="R230" s="231"/>
      <c r="S230" s="231"/>
      <c r="T230" s="231"/>
      <c r="U230" s="231"/>
      <c r="V230" s="231"/>
      <c r="W230" s="231"/>
      <c r="X230" s="231"/>
      <c r="Y230" s="231"/>
      <c r="Z230" s="231"/>
      <c r="AA230" s="231"/>
      <c r="AB230" s="231"/>
      <c r="AC230" s="231"/>
      <c r="AD230" s="231"/>
      <c r="AE230" s="231"/>
      <c r="AF230" s="231"/>
      <c r="AG230" s="231"/>
      <c r="AH230" s="231"/>
      <c r="AI230" s="231"/>
      <c r="AJ230" s="231"/>
      <c r="AK230" s="231"/>
      <c r="AL230" s="231"/>
      <c r="AM230" s="231"/>
      <c r="AN230" s="231"/>
      <c r="AO230" s="231"/>
      <c r="AP230" s="231"/>
      <c r="AQ230" s="231"/>
      <c r="AR230" s="231"/>
      <c r="AS230" s="231"/>
      <c r="AT230" s="231"/>
      <c r="AU230" s="231"/>
      <c r="AV230" s="231"/>
      <c r="AW230" s="231"/>
      <c r="AX230" s="231"/>
      <c r="AY230" s="231"/>
      <c r="AZ230" s="231"/>
      <c r="BA230" s="231"/>
      <c r="BB230" s="231"/>
      <c r="BC230" s="231"/>
      <c r="BD230" s="231"/>
      <c r="BE230" s="231"/>
      <c r="BF230" s="231"/>
      <c r="BG230" s="231"/>
      <c r="BH230" s="231"/>
      <c r="BI230" s="231"/>
      <c r="BJ230" s="231"/>
      <c r="BK230" s="231"/>
      <c r="BL230" s="231"/>
      <c r="BM230" s="231"/>
      <c r="BN230" s="231"/>
      <c r="BO230" s="231"/>
      <c r="BP230" s="231"/>
      <c r="BQ230" s="231"/>
      <c r="BR230" s="231"/>
      <c r="BS230" s="231"/>
    </row>
    <row r="231" spans="1:71" s="203" customFormat="1">
      <c r="A231" s="124">
        <v>6</v>
      </c>
      <c r="B231" s="173" t="s">
        <v>185</v>
      </c>
      <c r="C231" s="173"/>
      <c r="D231" s="173"/>
      <c r="E231" s="159">
        <f>SUM('Aberdeen City:West Lothian'!E231)</f>
        <v>241288.42553764448</v>
      </c>
      <c r="F231" s="61">
        <f>SUM(F226:F230)</f>
        <v>225347</v>
      </c>
      <c r="G231" s="118"/>
      <c r="H231" s="61">
        <f>SUM(H226:H230)</f>
        <v>221323</v>
      </c>
      <c r="I231" s="29"/>
      <c r="J231" s="15"/>
      <c r="K231" s="15"/>
      <c r="L231" s="15"/>
      <c r="M231" s="8"/>
      <c r="N231" s="8"/>
      <c r="O231" s="231"/>
      <c r="P231" s="231"/>
      <c r="Q231" s="231"/>
      <c r="R231" s="231"/>
      <c r="S231" s="231"/>
      <c r="T231" s="231"/>
      <c r="U231" s="231"/>
      <c r="V231" s="231"/>
      <c r="W231" s="231"/>
      <c r="X231" s="231"/>
      <c r="Y231" s="231"/>
      <c r="Z231" s="231"/>
      <c r="AA231" s="231"/>
      <c r="AB231" s="231"/>
      <c r="AC231" s="231"/>
      <c r="AD231" s="231"/>
      <c r="AE231" s="231"/>
      <c r="AF231" s="231"/>
      <c r="AG231" s="231"/>
      <c r="AH231" s="231"/>
      <c r="AI231" s="231"/>
      <c r="AJ231" s="231"/>
      <c r="AK231" s="231"/>
      <c r="AL231" s="231"/>
      <c r="AM231" s="231"/>
      <c r="AN231" s="231"/>
      <c r="AO231" s="231"/>
      <c r="AP231" s="231"/>
      <c r="AQ231" s="231"/>
      <c r="AR231" s="231"/>
      <c r="AS231" s="231"/>
      <c r="AT231" s="231"/>
      <c r="AU231" s="231"/>
      <c r="AV231" s="231"/>
      <c r="AW231" s="231"/>
      <c r="AX231" s="231"/>
      <c r="AY231" s="231"/>
      <c r="AZ231" s="231"/>
      <c r="BA231" s="231"/>
      <c r="BB231" s="231"/>
      <c r="BC231" s="231"/>
      <c r="BD231" s="231"/>
      <c r="BE231" s="231"/>
      <c r="BF231" s="231"/>
      <c r="BG231" s="231"/>
      <c r="BH231" s="231"/>
      <c r="BI231" s="231"/>
      <c r="BJ231" s="231"/>
      <c r="BK231" s="231"/>
      <c r="BL231" s="231"/>
      <c r="BM231" s="231"/>
      <c r="BN231" s="231"/>
      <c r="BO231" s="231"/>
      <c r="BP231" s="231"/>
      <c r="BQ231" s="231"/>
      <c r="BR231" s="231"/>
      <c r="BS231" s="231"/>
    </row>
    <row r="232" spans="1:71" s="203" customFormat="1">
      <c r="A232" s="148"/>
      <c r="B232" s="29"/>
      <c r="C232" s="29"/>
      <c r="D232" s="170"/>
      <c r="E232" s="150"/>
      <c r="F232" s="29"/>
      <c r="G232" s="29"/>
      <c r="H232" s="207"/>
      <c r="I232" s="29"/>
      <c r="J232" s="15"/>
      <c r="K232" s="15"/>
      <c r="L232" s="15"/>
      <c r="M232" s="8"/>
      <c r="N232" s="8"/>
      <c r="O232" s="231"/>
      <c r="P232" s="231"/>
      <c r="Q232" s="231"/>
      <c r="R232" s="231"/>
      <c r="S232" s="231"/>
      <c r="T232" s="231"/>
      <c r="U232" s="231"/>
      <c r="V232" s="231"/>
      <c r="W232" s="231"/>
      <c r="X232" s="231"/>
      <c r="Y232" s="231"/>
      <c r="Z232" s="231"/>
      <c r="AA232" s="231"/>
      <c r="AB232" s="231"/>
      <c r="AC232" s="231"/>
      <c r="AD232" s="231"/>
      <c r="AE232" s="231"/>
      <c r="AF232" s="231"/>
      <c r="AG232" s="231"/>
      <c r="AH232" s="231"/>
      <c r="AI232" s="231"/>
      <c r="AJ232" s="231"/>
      <c r="AK232" s="231"/>
      <c r="AL232" s="231"/>
      <c r="AM232" s="231"/>
      <c r="AN232" s="231"/>
      <c r="AO232" s="231"/>
      <c r="AP232" s="231"/>
      <c r="AQ232" s="231"/>
      <c r="AR232" s="231"/>
      <c r="AS232" s="231"/>
      <c r="AT232" s="231"/>
      <c r="AU232" s="231"/>
      <c r="AV232" s="231"/>
      <c r="AW232" s="231"/>
      <c r="AX232" s="231"/>
      <c r="AY232" s="231"/>
      <c r="AZ232" s="231"/>
      <c r="BA232" s="231"/>
      <c r="BB232" s="231"/>
      <c r="BC232" s="231"/>
      <c r="BD232" s="231"/>
      <c r="BE232" s="231"/>
      <c r="BF232" s="231"/>
      <c r="BG232" s="231"/>
      <c r="BH232" s="231"/>
      <c r="BI232" s="231"/>
      <c r="BJ232" s="231"/>
      <c r="BK232" s="231"/>
      <c r="BL232" s="231"/>
      <c r="BM232" s="231"/>
      <c r="BN232" s="231"/>
      <c r="BO232" s="231"/>
      <c r="BP232" s="231"/>
      <c r="BQ232" s="231"/>
      <c r="BR232" s="231"/>
      <c r="BS232" s="231"/>
    </row>
    <row r="233" spans="1:71" s="203" customFormat="1">
      <c r="A233" s="148"/>
      <c r="B233" s="29"/>
      <c r="C233" s="29"/>
      <c r="D233" s="172"/>
      <c r="E233" s="152"/>
      <c r="F233" s="29"/>
      <c r="G233" s="29"/>
      <c r="H233" s="131" t="s">
        <v>27</v>
      </c>
      <c r="I233" s="29"/>
      <c r="J233" s="15"/>
      <c r="K233" s="15"/>
      <c r="L233" s="15"/>
      <c r="M233" s="8"/>
      <c r="N233" s="8"/>
      <c r="O233" s="231"/>
      <c r="P233" s="231"/>
      <c r="Q233" s="231"/>
      <c r="R233" s="231"/>
      <c r="S233" s="231"/>
      <c r="T233" s="231"/>
      <c r="U233" s="231"/>
      <c r="V233" s="231"/>
      <c r="W233" s="231"/>
      <c r="X233" s="231"/>
      <c r="Y233" s="231"/>
      <c r="Z233" s="231"/>
      <c r="AA233" s="231"/>
      <c r="AB233" s="231"/>
      <c r="AC233" s="231"/>
      <c r="AD233" s="231"/>
      <c r="AE233" s="231"/>
      <c r="AF233" s="231"/>
      <c r="AG233" s="231"/>
      <c r="AH233" s="231"/>
      <c r="AI233" s="231"/>
      <c r="AJ233" s="231"/>
      <c r="AK233" s="231"/>
      <c r="AL233" s="231"/>
      <c r="AM233" s="231"/>
      <c r="AN233" s="231"/>
      <c r="AO233" s="231"/>
      <c r="AP233" s="231"/>
      <c r="AQ233" s="231"/>
      <c r="AR233" s="231"/>
      <c r="AS233" s="231"/>
      <c r="AT233" s="231"/>
      <c r="AU233" s="231"/>
      <c r="AV233" s="231"/>
      <c r="AW233" s="231"/>
      <c r="AX233" s="231"/>
      <c r="AY233" s="231"/>
      <c r="AZ233" s="231"/>
      <c r="BA233" s="231"/>
      <c r="BB233" s="231"/>
      <c r="BC233" s="231"/>
      <c r="BD233" s="231"/>
      <c r="BE233" s="231"/>
      <c r="BF233" s="231"/>
      <c r="BG233" s="231"/>
      <c r="BH233" s="231"/>
      <c r="BI233" s="231"/>
      <c r="BJ233" s="231"/>
      <c r="BK233" s="231"/>
      <c r="BL233" s="231"/>
      <c r="BM233" s="231"/>
      <c r="BN233" s="231"/>
      <c r="BO233" s="231"/>
      <c r="BP233" s="231"/>
      <c r="BQ233" s="231"/>
      <c r="BR233" s="231"/>
      <c r="BS233" s="231"/>
    </row>
    <row r="234" spans="1:71" s="203" customFormat="1" ht="12.75" customHeight="1">
      <c r="A234" s="106" t="s">
        <v>12</v>
      </c>
      <c r="B234" s="164"/>
      <c r="C234" s="164"/>
      <c r="D234" s="164"/>
      <c r="E234" s="856" t="s">
        <v>377</v>
      </c>
      <c r="F234" s="853" t="s">
        <v>402</v>
      </c>
      <c r="G234" s="207"/>
      <c r="H234" s="856" t="s">
        <v>403</v>
      </c>
      <c r="I234" s="130"/>
      <c r="J234" s="239"/>
      <c r="K234" s="239"/>
      <c r="L234" s="15"/>
      <c r="M234" s="8"/>
      <c r="N234" s="8"/>
      <c r="O234" s="231"/>
      <c r="P234" s="231"/>
      <c r="Q234" s="231"/>
      <c r="R234" s="231"/>
      <c r="S234" s="231"/>
      <c r="T234" s="231"/>
      <c r="U234" s="231"/>
      <c r="V234" s="231"/>
      <c r="W234" s="231"/>
      <c r="X234" s="231"/>
      <c r="Y234" s="231"/>
      <c r="Z234" s="231"/>
      <c r="AA234" s="231"/>
      <c r="AB234" s="231"/>
      <c r="AC234" s="231"/>
      <c r="AD234" s="231"/>
      <c r="AE234" s="231"/>
      <c r="AF234" s="231"/>
      <c r="AG234" s="231"/>
      <c r="AH234" s="231"/>
      <c r="AI234" s="231"/>
      <c r="AJ234" s="231"/>
      <c r="AK234" s="231"/>
      <c r="AL234" s="231"/>
      <c r="AM234" s="231"/>
      <c r="AN234" s="231"/>
      <c r="AO234" s="231"/>
      <c r="AP234" s="231"/>
      <c r="AQ234" s="231"/>
      <c r="AR234" s="231"/>
      <c r="AS234" s="231"/>
      <c r="AT234" s="231"/>
      <c r="AU234" s="231"/>
      <c r="AV234" s="231"/>
      <c r="AW234" s="231"/>
      <c r="AX234" s="231"/>
      <c r="AY234" s="231"/>
      <c r="AZ234" s="231"/>
      <c r="BA234" s="231"/>
      <c r="BB234" s="231"/>
      <c r="BC234" s="231"/>
      <c r="BD234" s="231"/>
      <c r="BE234" s="231"/>
      <c r="BF234" s="231"/>
      <c r="BG234" s="231"/>
      <c r="BH234" s="231"/>
      <c r="BI234" s="231"/>
      <c r="BJ234" s="231"/>
      <c r="BK234" s="231"/>
      <c r="BL234" s="231"/>
      <c r="BM234" s="231"/>
      <c r="BN234" s="231"/>
      <c r="BO234" s="231"/>
      <c r="BP234" s="231"/>
      <c r="BQ234" s="231"/>
      <c r="BR234" s="231"/>
      <c r="BS234" s="231"/>
    </row>
    <row r="235" spans="1:71" s="203" customFormat="1">
      <c r="A235" s="165"/>
      <c r="B235" s="47"/>
      <c r="C235" s="47"/>
      <c r="D235" s="47"/>
      <c r="E235" s="859"/>
      <c r="F235" s="854"/>
      <c r="G235" s="207"/>
      <c r="H235" s="857"/>
      <c r="I235" s="130"/>
      <c r="J235" s="239"/>
      <c r="K235" s="239"/>
      <c r="L235" s="15"/>
      <c r="M235" s="8"/>
      <c r="N235" s="8"/>
      <c r="O235" s="231"/>
      <c r="P235" s="231"/>
      <c r="Q235" s="231"/>
      <c r="R235" s="231"/>
      <c r="S235" s="231"/>
      <c r="T235" s="231"/>
      <c r="U235" s="231"/>
      <c r="V235" s="231"/>
      <c r="W235" s="231"/>
      <c r="X235" s="231"/>
      <c r="Y235" s="231"/>
      <c r="Z235" s="231"/>
      <c r="AA235" s="231"/>
      <c r="AB235" s="231"/>
      <c r="AC235" s="231"/>
      <c r="AD235" s="231"/>
      <c r="AE235" s="231"/>
      <c r="AF235" s="231"/>
      <c r="AG235" s="231"/>
      <c r="AH235" s="231"/>
      <c r="AI235" s="231"/>
      <c r="AJ235" s="231"/>
      <c r="AK235" s="231"/>
      <c r="AL235" s="231"/>
      <c r="AM235" s="231"/>
      <c r="AN235" s="231"/>
      <c r="AO235" s="231"/>
      <c r="AP235" s="231"/>
      <c r="AQ235" s="231"/>
      <c r="AR235" s="231"/>
      <c r="AS235" s="231"/>
      <c r="AT235" s="231"/>
      <c r="AU235" s="231"/>
      <c r="AV235" s="231"/>
      <c r="AW235" s="231"/>
      <c r="AX235" s="231"/>
      <c r="AY235" s="231"/>
      <c r="AZ235" s="231"/>
      <c r="BA235" s="231"/>
      <c r="BB235" s="231"/>
      <c r="BC235" s="231"/>
      <c r="BD235" s="231"/>
      <c r="BE235" s="231"/>
      <c r="BF235" s="231"/>
      <c r="BG235" s="231"/>
      <c r="BH235" s="231"/>
      <c r="BI235" s="231"/>
      <c r="BJ235" s="231"/>
      <c r="BK235" s="231"/>
      <c r="BL235" s="231"/>
      <c r="BM235" s="231"/>
      <c r="BN235" s="231"/>
      <c r="BO235" s="231"/>
      <c r="BP235" s="231"/>
      <c r="BQ235" s="231"/>
      <c r="BR235" s="231"/>
      <c r="BS235" s="231"/>
    </row>
    <row r="236" spans="1:71" s="203" customFormat="1">
      <c r="A236" s="154" t="s">
        <v>186</v>
      </c>
      <c r="B236" s="174"/>
      <c r="C236" s="174"/>
      <c r="D236" s="174"/>
      <c r="E236" s="859"/>
      <c r="F236" s="854"/>
      <c r="G236" s="207"/>
      <c r="H236" s="857"/>
      <c r="I236" s="130"/>
      <c r="J236" s="239"/>
      <c r="K236" s="239"/>
      <c r="L236" s="15"/>
      <c r="M236" s="8"/>
      <c r="N236" s="8"/>
      <c r="O236" s="231"/>
      <c r="P236" s="231"/>
      <c r="Q236" s="231"/>
      <c r="R236" s="231"/>
      <c r="S236" s="231"/>
      <c r="T236" s="231"/>
      <c r="U236" s="231"/>
      <c r="V236" s="231"/>
      <c r="W236" s="231"/>
      <c r="X236" s="231"/>
      <c r="Y236" s="231"/>
      <c r="Z236" s="231"/>
      <c r="AA236" s="231"/>
      <c r="AB236" s="231"/>
      <c r="AC236" s="231"/>
      <c r="AD236" s="231"/>
      <c r="AE236" s="231"/>
      <c r="AF236" s="231"/>
      <c r="AG236" s="231"/>
      <c r="AH236" s="231"/>
      <c r="AI236" s="231"/>
      <c r="AJ236" s="231"/>
      <c r="AK236" s="231"/>
      <c r="AL236" s="231"/>
      <c r="AM236" s="231"/>
      <c r="AN236" s="231"/>
      <c r="AO236" s="231"/>
      <c r="AP236" s="231"/>
      <c r="AQ236" s="231"/>
      <c r="AR236" s="231"/>
      <c r="AS236" s="231"/>
      <c r="AT236" s="231"/>
      <c r="AU236" s="231"/>
      <c r="AV236" s="231"/>
      <c r="AW236" s="231"/>
      <c r="AX236" s="231"/>
      <c r="AY236" s="231"/>
      <c r="AZ236" s="231"/>
      <c r="BA236" s="231"/>
      <c r="BB236" s="231"/>
      <c r="BC236" s="231"/>
      <c r="BD236" s="231"/>
      <c r="BE236" s="231"/>
      <c r="BF236" s="231"/>
      <c r="BG236" s="231"/>
      <c r="BH236" s="231"/>
      <c r="BI236" s="231"/>
      <c r="BJ236" s="231"/>
      <c r="BK236" s="231"/>
      <c r="BL236" s="231"/>
      <c r="BM236" s="231"/>
      <c r="BN236" s="231"/>
      <c r="BO236" s="231"/>
      <c r="BP236" s="231"/>
      <c r="BQ236" s="231"/>
      <c r="BR236" s="231"/>
      <c r="BS236" s="231"/>
    </row>
    <row r="237" spans="1:71" s="203" customFormat="1">
      <c r="A237" s="109" t="s">
        <v>83</v>
      </c>
      <c r="B237" s="47"/>
      <c r="C237" s="47"/>
      <c r="D237" s="47"/>
      <c r="E237" s="859"/>
      <c r="F237" s="854"/>
      <c r="G237" s="207"/>
      <c r="H237" s="857"/>
      <c r="I237" s="130"/>
      <c r="J237" s="239"/>
      <c r="K237" s="239"/>
      <c r="L237" s="15"/>
      <c r="M237" s="8"/>
      <c r="N237" s="8"/>
      <c r="O237" s="231"/>
      <c r="P237" s="231"/>
      <c r="Q237" s="231"/>
      <c r="R237" s="231"/>
      <c r="S237" s="231"/>
      <c r="T237" s="231"/>
      <c r="U237" s="231"/>
      <c r="V237" s="231"/>
      <c r="W237" s="231"/>
      <c r="X237" s="231"/>
      <c r="Y237" s="231"/>
      <c r="Z237" s="231"/>
      <c r="AA237" s="231"/>
      <c r="AB237" s="231"/>
      <c r="AC237" s="231"/>
      <c r="AD237" s="231"/>
      <c r="AE237" s="231"/>
      <c r="AF237" s="231"/>
      <c r="AG237" s="231"/>
      <c r="AH237" s="231"/>
      <c r="AI237" s="231"/>
      <c r="AJ237" s="231"/>
      <c r="AK237" s="231"/>
      <c r="AL237" s="231"/>
      <c r="AM237" s="231"/>
      <c r="AN237" s="231"/>
      <c r="AO237" s="231"/>
      <c r="AP237" s="231"/>
      <c r="AQ237" s="231"/>
      <c r="AR237" s="231"/>
      <c r="AS237" s="231"/>
      <c r="AT237" s="231"/>
      <c r="AU237" s="231"/>
      <c r="AV237" s="231"/>
      <c r="AW237" s="231"/>
      <c r="AX237" s="231"/>
      <c r="AY237" s="231"/>
      <c r="AZ237" s="231"/>
      <c r="BA237" s="231"/>
      <c r="BB237" s="231"/>
      <c r="BC237" s="231"/>
      <c r="BD237" s="231"/>
      <c r="BE237" s="231"/>
      <c r="BF237" s="231"/>
      <c r="BG237" s="231"/>
      <c r="BH237" s="231"/>
      <c r="BI237" s="231"/>
      <c r="BJ237" s="231"/>
      <c r="BK237" s="231"/>
      <c r="BL237" s="231"/>
      <c r="BM237" s="231"/>
      <c r="BN237" s="231"/>
      <c r="BO237" s="231"/>
      <c r="BP237" s="231"/>
      <c r="BQ237" s="231"/>
      <c r="BR237" s="231"/>
      <c r="BS237" s="231"/>
    </row>
    <row r="238" spans="1:71" s="203" customFormat="1">
      <c r="A238" s="110" t="s">
        <v>84</v>
      </c>
      <c r="B238" s="174"/>
      <c r="C238" s="174"/>
      <c r="D238" s="174"/>
      <c r="E238" s="860"/>
      <c r="F238" s="855"/>
      <c r="G238" s="207"/>
      <c r="H238" s="858"/>
      <c r="I238" s="130"/>
      <c r="J238" s="239"/>
      <c r="K238" s="239"/>
      <c r="L238" s="15"/>
      <c r="M238" s="8"/>
      <c r="N238" s="8"/>
      <c r="O238" s="231"/>
      <c r="P238" s="231"/>
      <c r="Q238" s="231"/>
      <c r="R238" s="231"/>
      <c r="S238" s="231"/>
      <c r="T238" s="231"/>
      <c r="U238" s="231"/>
      <c r="V238" s="231"/>
      <c r="W238" s="231"/>
      <c r="X238" s="231"/>
      <c r="Y238" s="231"/>
      <c r="Z238" s="231"/>
      <c r="AA238" s="231"/>
      <c r="AB238" s="231"/>
      <c r="AC238" s="231"/>
      <c r="AD238" s="231"/>
      <c r="AE238" s="231"/>
      <c r="AF238" s="231"/>
      <c r="AG238" s="231"/>
      <c r="AH238" s="231"/>
      <c r="AI238" s="231"/>
      <c r="AJ238" s="231"/>
      <c r="AK238" s="231"/>
      <c r="AL238" s="231"/>
      <c r="AM238" s="231"/>
      <c r="AN238" s="231"/>
      <c r="AO238" s="231"/>
      <c r="AP238" s="231"/>
      <c r="AQ238" s="231"/>
      <c r="AR238" s="231"/>
      <c r="AS238" s="231"/>
      <c r="AT238" s="231"/>
      <c r="AU238" s="231"/>
      <c r="AV238" s="231"/>
      <c r="AW238" s="231"/>
      <c r="AX238" s="231"/>
      <c r="AY238" s="231"/>
      <c r="AZ238" s="231"/>
      <c r="BA238" s="231"/>
      <c r="BB238" s="231"/>
      <c r="BC238" s="231"/>
      <c r="BD238" s="231"/>
      <c r="BE238" s="231"/>
      <c r="BF238" s="231"/>
      <c r="BG238" s="231"/>
      <c r="BH238" s="231"/>
      <c r="BI238" s="231"/>
      <c r="BJ238" s="231"/>
      <c r="BK238" s="231"/>
      <c r="BL238" s="231"/>
      <c r="BM238" s="231"/>
      <c r="BN238" s="231"/>
      <c r="BO238" s="231"/>
      <c r="BP238" s="231"/>
      <c r="BQ238" s="231"/>
      <c r="BR238" s="231"/>
      <c r="BS238" s="231"/>
    </row>
    <row r="239" spans="1:71" s="203" customFormat="1">
      <c r="A239" s="153" t="s">
        <v>187</v>
      </c>
      <c r="B239" s="116"/>
      <c r="C239" s="116"/>
      <c r="D239" s="116"/>
      <c r="E239" s="167"/>
      <c r="F239" s="146"/>
      <c r="G239" s="118"/>
      <c r="H239" s="146"/>
      <c r="I239" s="29"/>
      <c r="J239" s="15"/>
      <c r="K239" s="15"/>
      <c r="L239" s="15"/>
      <c r="M239" s="8"/>
      <c r="N239" s="8"/>
      <c r="O239" s="231"/>
      <c r="P239" s="231"/>
      <c r="Q239" s="231"/>
      <c r="R239" s="231"/>
      <c r="S239" s="231"/>
      <c r="T239" s="231"/>
      <c r="U239" s="231"/>
      <c r="V239" s="231"/>
      <c r="W239" s="231"/>
      <c r="X239" s="231"/>
      <c r="Y239" s="231"/>
      <c r="Z239" s="231"/>
      <c r="AA239" s="231"/>
      <c r="AB239" s="231"/>
      <c r="AC239" s="231"/>
      <c r="AD239" s="231"/>
      <c r="AE239" s="231"/>
      <c r="AF239" s="231"/>
      <c r="AG239" s="231"/>
      <c r="AH239" s="231"/>
      <c r="AI239" s="231"/>
      <c r="AJ239" s="231"/>
      <c r="AK239" s="231"/>
      <c r="AL239" s="231"/>
      <c r="AM239" s="231"/>
      <c r="AN239" s="231"/>
      <c r="AO239" s="231"/>
      <c r="AP239" s="231"/>
      <c r="AQ239" s="231"/>
      <c r="AR239" s="231"/>
      <c r="AS239" s="231"/>
      <c r="AT239" s="231"/>
      <c r="AU239" s="231"/>
      <c r="AV239" s="231"/>
      <c r="AW239" s="231"/>
      <c r="AX239" s="231"/>
      <c r="AY239" s="231"/>
      <c r="AZ239" s="231"/>
      <c r="BA239" s="231"/>
      <c r="BB239" s="231"/>
      <c r="BC239" s="231"/>
      <c r="BD239" s="231"/>
      <c r="BE239" s="231"/>
      <c r="BF239" s="231"/>
      <c r="BG239" s="231"/>
      <c r="BH239" s="231"/>
      <c r="BI239" s="231"/>
      <c r="BJ239" s="231"/>
      <c r="BK239" s="231"/>
      <c r="BL239" s="231"/>
      <c r="BM239" s="231"/>
      <c r="BN239" s="231"/>
      <c r="BO239" s="231"/>
      <c r="BP239" s="231"/>
      <c r="BQ239" s="231"/>
      <c r="BR239" s="231"/>
      <c r="BS239" s="231"/>
    </row>
    <row r="240" spans="1:71" s="203" customFormat="1">
      <c r="A240" s="120">
        <v>1</v>
      </c>
      <c r="B240" s="47" t="s">
        <v>188</v>
      </c>
      <c r="C240" s="47"/>
      <c r="D240" s="47"/>
      <c r="E240" s="74">
        <f>SUM('Aberdeen City:West Lothian'!E240)</f>
        <v>39790.28226301197</v>
      </c>
      <c r="F240" s="52">
        <f>SUM('Aberdeen City:West Lothian'!F240)</f>
        <v>41878</v>
      </c>
      <c r="G240" s="118"/>
      <c r="H240" s="122">
        <f>SUM('Aberdeen City:West Lothian'!H240)</f>
        <v>46216</v>
      </c>
      <c r="I240" s="29"/>
      <c r="J240" s="15"/>
      <c r="K240" s="15"/>
      <c r="L240" s="15"/>
      <c r="M240" s="8"/>
      <c r="N240" s="8"/>
      <c r="O240" s="231"/>
      <c r="P240" s="231"/>
      <c r="Q240" s="231"/>
      <c r="R240" s="231"/>
      <c r="S240" s="231"/>
      <c r="T240" s="231"/>
      <c r="U240" s="231"/>
      <c r="V240" s="231"/>
      <c r="W240" s="231"/>
      <c r="X240" s="231"/>
      <c r="Y240" s="231"/>
      <c r="Z240" s="231"/>
      <c r="AA240" s="231"/>
      <c r="AB240" s="231"/>
      <c r="AC240" s="231"/>
      <c r="AD240" s="231"/>
      <c r="AE240" s="231"/>
      <c r="AF240" s="231"/>
      <c r="AG240" s="231"/>
      <c r="AH240" s="231"/>
      <c r="AI240" s="231"/>
      <c r="AJ240" s="231"/>
      <c r="AK240" s="231"/>
      <c r="AL240" s="231"/>
      <c r="AM240" s="231"/>
      <c r="AN240" s="231"/>
      <c r="AO240" s="231"/>
      <c r="AP240" s="231"/>
      <c r="AQ240" s="231"/>
      <c r="AR240" s="231"/>
      <c r="AS240" s="231"/>
      <c r="AT240" s="231"/>
      <c r="AU240" s="231"/>
      <c r="AV240" s="231"/>
      <c r="AW240" s="231"/>
      <c r="AX240" s="231"/>
      <c r="AY240" s="231"/>
      <c r="AZ240" s="231"/>
      <c r="BA240" s="231"/>
      <c r="BB240" s="231"/>
      <c r="BC240" s="231"/>
      <c r="BD240" s="231"/>
      <c r="BE240" s="231"/>
      <c r="BF240" s="231"/>
      <c r="BG240" s="231"/>
      <c r="BH240" s="231"/>
      <c r="BI240" s="231"/>
      <c r="BJ240" s="231"/>
      <c r="BK240" s="231"/>
      <c r="BL240" s="231"/>
      <c r="BM240" s="231"/>
      <c r="BN240" s="231"/>
      <c r="BO240" s="231"/>
      <c r="BP240" s="231"/>
      <c r="BQ240" s="231"/>
      <c r="BR240" s="231"/>
      <c r="BS240" s="231"/>
    </row>
    <row r="241" spans="1:71" s="203" customFormat="1">
      <c r="A241" s="350">
        <v>2</v>
      </c>
      <c r="B241" s="47" t="s">
        <v>189</v>
      </c>
      <c r="C241" s="47"/>
      <c r="D241" s="47"/>
      <c r="E241" s="114">
        <f>SUM('Aberdeen City:West Lothian'!E241)</f>
        <v>49251.591264189119</v>
      </c>
      <c r="F241" s="52">
        <f>SUM('Aberdeen City:West Lothian'!F241)</f>
        <v>53500</v>
      </c>
      <c r="G241" s="118"/>
      <c r="H241" s="100">
        <f>SUM('Aberdeen City:West Lothian'!H241)</f>
        <v>60428</v>
      </c>
      <c r="I241" s="29"/>
      <c r="J241" s="15"/>
      <c r="K241" s="15"/>
      <c r="L241" s="15"/>
      <c r="M241" s="8"/>
      <c r="N241" s="8"/>
      <c r="O241" s="231"/>
      <c r="P241" s="231"/>
      <c r="Q241" s="231"/>
      <c r="R241" s="231"/>
      <c r="S241" s="231"/>
      <c r="T241" s="231"/>
      <c r="U241" s="231"/>
      <c r="V241" s="231"/>
      <c r="W241" s="231"/>
      <c r="X241" s="231"/>
      <c r="Y241" s="231"/>
      <c r="Z241" s="231"/>
      <c r="AA241" s="231"/>
      <c r="AB241" s="231"/>
      <c r="AC241" s="231"/>
      <c r="AD241" s="231"/>
      <c r="AE241" s="231"/>
      <c r="AF241" s="231"/>
      <c r="AG241" s="231"/>
      <c r="AH241" s="231"/>
      <c r="AI241" s="231"/>
      <c r="AJ241" s="231"/>
      <c r="AK241" s="231"/>
      <c r="AL241" s="231"/>
      <c r="AM241" s="231"/>
      <c r="AN241" s="231"/>
      <c r="AO241" s="231"/>
      <c r="AP241" s="231"/>
      <c r="AQ241" s="231"/>
      <c r="AR241" s="231"/>
      <c r="AS241" s="231"/>
      <c r="AT241" s="231"/>
      <c r="AU241" s="231"/>
      <c r="AV241" s="231"/>
      <c r="AW241" s="231"/>
      <c r="AX241" s="231"/>
      <c r="AY241" s="231"/>
      <c r="AZ241" s="231"/>
      <c r="BA241" s="231"/>
      <c r="BB241" s="231"/>
      <c r="BC241" s="231"/>
      <c r="BD241" s="231"/>
      <c r="BE241" s="231"/>
      <c r="BF241" s="231"/>
      <c r="BG241" s="231"/>
      <c r="BH241" s="231"/>
      <c r="BI241" s="231"/>
      <c r="BJ241" s="231"/>
      <c r="BK241" s="231"/>
      <c r="BL241" s="231"/>
      <c r="BM241" s="231"/>
      <c r="BN241" s="231"/>
      <c r="BO241" s="231"/>
      <c r="BP241" s="231"/>
      <c r="BQ241" s="231"/>
      <c r="BR241" s="231"/>
      <c r="BS241" s="231"/>
    </row>
    <row r="242" spans="1:71" s="203" customFormat="1">
      <c r="A242" s="350">
        <v>3</v>
      </c>
      <c r="B242" s="168" t="s">
        <v>190</v>
      </c>
      <c r="C242" s="168"/>
      <c r="D242" s="168"/>
      <c r="E242" s="80">
        <f>SUM('Aberdeen City:West Lothian'!E242)</f>
        <v>89041.873527201082</v>
      </c>
      <c r="F242" s="142">
        <f>SUM(F240:F241)</f>
        <v>95378</v>
      </c>
      <c r="G242" s="118"/>
      <c r="H242" s="142">
        <f>SUM(H240:H241)</f>
        <v>106644</v>
      </c>
      <c r="I242" s="29"/>
      <c r="J242" s="15"/>
      <c r="K242" s="15"/>
      <c r="L242" s="15"/>
      <c r="M242" s="8"/>
      <c r="N242" s="8"/>
      <c r="O242" s="231"/>
      <c r="P242" s="231"/>
      <c r="Q242" s="231"/>
      <c r="R242" s="231"/>
      <c r="S242" s="231"/>
      <c r="T242" s="231"/>
      <c r="U242" s="231"/>
      <c r="V242" s="231"/>
      <c r="W242" s="231"/>
      <c r="X242" s="231"/>
      <c r="Y242" s="231"/>
      <c r="Z242" s="231"/>
      <c r="AA242" s="231"/>
      <c r="AB242" s="231"/>
      <c r="AC242" s="231"/>
      <c r="AD242" s="231"/>
      <c r="AE242" s="231"/>
      <c r="AF242" s="231"/>
      <c r="AG242" s="231"/>
      <c r="AH242" s="231"/>
      <c r="AI242" s="231"/>
      <c r="AJ242" s="231"/>
      <c r="AK242" s="231"/>
      <c r="AL242" s="231"/>
      <c r="AM242" s="231"/>
      <c r="AN242" s="231"/>
      <c r="AO242" s="231"/>
      <c r="AP242" s="231"/>
      <c r="AQ242" s="231"/>
      <c r="AR242" s="231"/>
      <c r="AS242" s="231"/>
      <c r="AT242" s="231"/>
      <c r="AU242" s="231"/>
      <c r="AV242" s="231"/>
      <c r="AW242" s="231"/>
      <c r="AX242" s="231"/>
      <c r="AY242" s="231"/>
      <c r="AZ242" s="231"/>
      <c r="BA242" s="231"/>
      <c r="BB242" s="231"/>
      <c r="BC242" s="231"/>
      <c r="BD242" s="231"/>
      <c r="BE242" s="231"/>
      <c r="BF242" s="231"/>
      <c r="BG242" s="231"/>
      <c r="BH242" s="231"/>
      <c r="BI242" s="231"/>
      <c r="BJ242" s="231"/>
      <c r="BK242" s="231"/>
      <c r="BL242" s="231"/>
      <c r="BM242" s="231"/>
      <c r="BN242" s="231"/>
      <c r="BO242" s="231"/>
      <c r="BP242" s="231"/>
      <c r="BQ242" s="231"/>
      <c r="BR242" s="231"/>
      <c r="BS242" s="231"/>
    </row>
    <row r="243" spans="1:71" s="203" customFormat="1">
      <c r="A243" s="350"/>
      <c r="B243" s="116"/>
      <c r="C243" s="116"/>
      <c r="D243" s="116"/>
      <c r="E243" s="117"/>
      <c r="F243" s="118"/>
      <c r="G243" s="118"/>
      <c r="H243" s="118"/>
      <c r="I243" s="29"/>
      <c r="J243" s="15"/>
      <c r="K243" s="15"/>
      <c r="L243" s="15"/>
      <c r="M243" s="8"/>
      <c r="N243" s="8"/>
      <c r="O243" s="231"/>
      <c r="P243" s="231"/>
      <c r="Q243" s="231"/>
      <c r="R243" s="231"/>
      <c r="S243" s="231"/>
      <c r="T243" s="231"/>
      <c r="U243" s="231"/>
      <c r="V243" s="231"/>
      <c r="W243" s="231"/>
      <c r="X243" s="231"/>
      <c r="Y243" s="231"/>
      <c r="Z243" s="231"/>
      <c r="AA243" s="231"/>
      <c r="AB243" s="231"/>
      <c r="AC243" s="231"/>
      <c r="AD243" s="231"/>
      <c r="AE243" s="231"/>
      <c r="AF243" s="231"/>
      <c r="AG243" s="231"/>
      <c r="AH243" s="231"/>
      <c r="AI243" s="231"/>
      <c r="AJ243" s="231"/>
      <c r="AK243" s="231"/>
      <c r="AL243" s="231"/>
      <c r="AM243" s="231"/>
      <c r="AN243" s="231"/>
      <c r="AO243" s="231"/>
      <c r="AP243" s="231"/>
      <c r="AQ243" s="231"/>
      <c r="AR243" s="231"/>
      <c r="AS243" s="231"/>
      <c r="AT243" s="231"/>
      <c r="AU243" s="231"/>
      <c r="AV243" s="231"/>
      <c r="AW243" s="231"/>
      <c r="AX243" s="231"/>
      <c r="AY243" s="231"/>
      <c r="AZ243" s="231"/>
      <c r="BA243" s="231"/>
      <c r="BB243" s="231"/>
      <c r="BC243" s="231"/>
      <c r="BD243" s="231"/>
      <c r="BE243" s="231"/>
      <c r="BF243" s="231"/>
      <c r="BG243" s="231"/>
      <c r="BH243" s="231"/>
      <c r="BI243" s="231"/>
      <c r="BJ243" s="231"/>
      <c r="BK243" s="231"/>
      <c r="BL243" s="231"/>
      <c r="BM243" s="231"/>
      <c r="BN243" s="231"/>
      <c r="BO243" s="231"/>
      <c r="BP243" s="231"/>
      <c r="BQ243" s="231"/>
      <c r="BR243" s="231"/>
      <c r="BS243" s="231"/>
    </row>
    <row r="244" spans="1:71" s="203" customFormat="1">
      <c r="A244" s="108" t="s">
        <v>191</v>
      </c>
      <c r="B244" s="47"/>
      <c r="C244" s="47"/>
      <c r="D244" s="47"/>
      <c r="E244" s="140"/>
      <c r="F244" s="146"/>
      <c r="G244" s="118"/>
      <c r="H244" s="146"/>
      <c r="I244" s="29"/>
      <c r="J244" s="15"/>
      <c r="K244" s="15"/>
      <c r="L244" s="15"/>
      <c r="M244" s="8"/>
      <c r="N244" s="8"/>
      <c r="O244" s="231"/>
      <c r="P244" s="231"/>
      <c r="Q244" s="231"/>
      <c r="R244" s="231"/>
      <c r="S244" s="231"/>
      <c r="T244" s="231"/>
      <c r="U244" s="231"/>
      <c r="V244" s="231"/>
      <c r="W244" s="231"/>
      <c r="X244" s="231"/>
      <c r="Y244" s="231"/>
      <c r="Z244" s="231"/>
      <c r="AA244" s="231"/>
      <c r="AB244" s="231"/>
      <c r="AC244" s="231"/>
      <c r="AD244" s="231"/>
      <c r="AE244" s="231"/>
      <c r="AF244" s="231"/>
      <c r="AG244" s="231"/>
      <c r="AH244" s="231"/>
      <c r="AI244" s="231"/>
      <c r="AJ244" s="231"/>
      <c r="AK244" s="231"/>
      <c r="AL244" s="231"/>
      <c r="AM244" s="231"/>
      <c r="AN244" s="231"/>
      <c r="AO244" s="231"/>
      <c r="AP244" s="231"/>
      <c r="AQ244" s="231"/>
      <c r="AR244" s="231"/>
      <c r="AS244" s="231"/>
      <c r="AT244" s="231"/>
      <c r="AU244" s="231"/>
      <c r="AV244" s="231"/>
      <c r="AW244" s="231"/>
      <c r="AX244" s="231"/>
      <c r="AY244" s="231"/>
      <c r="AZ244" s="231"/>
      <c r="BA244" s="231"/>
      <c r="BB244" s="231"/>
      <c r="BC244" s="231"/>
      <c r="BD244" s="231"/>
      <c r="BE244" s="231"/>
      <c r="BF244" s="231"/>
      <c r="BG244" s="231"/>
      <c r="BH244" s="231"/>
      <c r="BI244" s="231"/>
      <c r="BJ244" s="231"/>
      <c r="BK244" s="231"/>
      <c r="BL244" s="231"/>
      <c r="BM244" s="231"/>
      <c r="BN244" s="231"/>
      <c r="BO244" s="231"/>
      <c r="BP244" s="231"/>
      <c r="BQ244" s="231"/>
      <c r="BR244" s="231"/>
      <c r="BS244" s="231"/>
    </row>
    <row r="245" spans="1:71" s="203" customFormat="1">
      <c r="A245" s="350">
        <v>4</v>
      </c>
      <c r="B245" s="47" t="s">
        <v>192</v>
      </c>
      <c r="C245" s="47"/>
      <c r="D245" s="47"/>
      <c r="E245" s="74">
        <f>SUM('Aberdeen City:West Lothian'!E245)</f>
        <v>12054</v>
      </c>
      <c r="F245" s="52">
        <f>SUM('Aberdeen City:West Lothian'!F245)</f>
        <v>10048</v>
      </c>
      <c r="G245" s="118"/>
      <c r="H245" s="122">
        <f>SUM('Aberdeen City:West Lothian'!H245)</f>
        <v>9727</v>
      </c>
      <c r="I245" s="29"/>
      <c r="J245" s="15"/>
      <c r="K245" s="15"/>
      <c r="L245" s="15"/>
      <c r="M245" s="8"/>
      <c r="N245" s="8"/>
      <c r="O245" s="231"/>
      <c r="P245" s="231"/>
      <c r="Q245" s="231"/>
      <c r="R245" s="231"/>
      <c r="S245" s="231"/>
      <c r="T245" s="231"/>
      <c r="U245" s="231"/>
      <c r="V245" s="231"/>
      <c r="W245" s="231"/>
      <c r="X245" s="231"/>
      <c r="Y245" s="231"/>
      <c r="Z245" s="231"/>
      <c r="AA245" s="231"/>
      <c r="AB245" s="231"/>
      <c r="AC245" s="231"/>
      <c r="AD245" s="231"/>
      <c r="AE245" s="231"/>
      <c r="AF245" s="231"/>
      <c r="AG245" s="231"/>
      <c r="AH245" s="231"/>
      <c r="AI245" s="231"/>
      <c r="AJ245" s="231"/>
      <c r="AK245" s="231"/>
      <c r="AL245" s="231"/>
      <c r="AM245" s="231"/>
      <c r="AN245" s="231"/>
      <c r="AO245" s="231"/>
      <c r="AP245" s="231"/>
      <c r="AQ245" s="231"/>
      <c r="AR245" s="231"/>
      <c r="AS245" s="231"/>
      <c r="AT245" s="231"/>
      <c r="AU245" s="231"/>
      <c r="AV245" s="231"/>
      <c r="AW245" s="231"/>
      <c r="AX245" s="231"/>
      <c r="AY245" s="231"/>
      <c r="AZ245" s="231"/>
      <c r="BA245" s="231"/>
      <c r="BB245" s="231"/>
      <c r="BC245" s="231"/>
      <c r="BD245" s="231"/>
      <c r="BE245" s="231"/>
      <c r="BF245" s="231"/>
      <c r="BG245" s="231"/>
      <c r="BH245" s="231"/>
      <c r="BI245" s="231"/>
      <c r="BJ245" s="231"/>
      <c r="BK245" s="231"/>
      <c r="BL245" s="231"/>
      <c r="BM245" s="231"/>
      <c r="BN245" s="231"/>
      <c r="BO245" s="231"/>
      <c r="BP245" s="231"/>
      <c r="BQ245" s="231"/>
      <c r="BR245" s="231"/>
      <c r="BS245" s="231"/>
    </row>
    <row r="246" spans="1:71" s="203" customFormat="1">
      <c r="A246" s="350">
        <v>5</v>
      </c>
      <c r="B246" s="47" t="s">
        <v>193</v>
      </c>
      <c r="C246" s="47"/>
      <c r="D246" s="47"/>
      <c r="E246" s="49">
        <f>SUM('Aberdeen City:West Lothian'!E246)</f>
        <v>10447.539422381597</v>
      </c>
      <c r="F246" s="52">
        <f>SUM('Aberdeen City:West Lothian'!F246)</f>
        <v>10342</v>
      </c>
      <c r="G246" s="118"/>
      <c r="H246" s="100">
        <f>SUM('Aberdeen City:West Lothian'!H246)</f>
        <v>9978</v>
      </c>
      <c r="I246" s="29"/>
      <c r="J246" s="15"/>
      <c r="K246" s="15"/>
      <c r="L246" s="15"/>
      <c r="M246" s="8"/>
      <c r="N246" s="8"/>
      <c r="O246" s="231"/>
      <c r="P246" s="231"/>
      <c r="Q246" s="231"/>
      <c r="R246" s="231"/>
      <c r="S246" s="231"/>
      <c r="T246" s="231"/>
      <c r="U246" s="231"/>
      <c r="V246" s="231"/>
      <c r="W246" s="231"/>
      <c r="X246" s="231"/>
      <c r="Y246" s="231"/>
      <c r="Z246" s="231"/>
      <c r="AA246" s="231"/>
      <c r="AB246" s="231"/>
      <c r="AC246" s="231"/>
      <c r="AD246" s="231"/>
      <c r="AE246" s="231"/>
      <c r="AF246" s="231"/>
      <c r="AG246" s="231"/>
      <c r="AH246" s="231"/>
      <c r="AI246" s="231"/>
      <c r="AJ246" s="231"/>
      <c r="AK246" s="231"/>
      <c r="AL246" s="231"/>
      <c r="AM246" s="231"/>
      <c r="AN246" s="231"/>
      <c r="AO246" s="231"/>
      <c r="AP246" s="231"/>
      <c r="AQ246" s="231"/>
      <c r="AR246" s="231"/>
      <c r="AS246" s="231"/>
      <c r="AT246" s="231"/>
      <c r="AU246" s="231"/>
      <c r="AV246" s="231"/>
      <c r="AW246" s="231"/>
      <c r="AX246" s="231"/>
      <c r="AY246" s="231"/>
      <c r="AZ246" s="231"/>
      <c r="BA246" s="231"/>
      <c r="BB246" s="231"/>
      <c r="BC246" s="231"/>
      <c r="BD246" s="231"/>
      <c r="BE246" s="231"/>
      <c r="BF246" s="231"/>
      <c r="BG246" s="231"/>
      <c r="BH246" s="231"/>
      <c r="BI246" s="231"/>
      <c r="BJ246" s="231"/>
      <c r="BK246" s="231"/>
      <c r="BL246" s="231"/>
      <c r="BM246" s="231"/>
      <c r="BN246" s="231"/>
      <c r="BO246" s="231"/>
      <c r="BP246" s="231"/>
      <c r="BQ246" s="231"/>
      <c r="BR246" s="231"/>
      <c r="BS246" s="231"/>
    </row>
    <row r="247" spans="1:71" s="203" customFormat="1">
      <c r="A247" s="350">
        <v>6</v>
      </c>
      <c r="B247" s="116" t="s">
        <v>194</v>
      </c>
      <c r="C247" s="116"/>
      <c r="D247" s="116"/>
      <c r="E247" s="80">
        <f>SUM('Aberdeen City:West Lothian'!E247)</f>
        <v>22501.539422381597</v>
      </c>
      <c r="F247" s="142">
        <f>SUM(F245:F246)</f>
        <v>20390</v>
      </c>
      <c r="G247" s="118"/>
      <c r="H247" s="142">
        <f>SUM(H245:H246)</f>
        <v>19705</v>
      </c>
      <c r="I247" s="29"/>
      <c r="J247" s="15"/>
      <c r="K247" s="15"/>
      <c r="L247" s="15"/>
      <c r="M247" s="8"/>
      <c r="N247" s="8"/>
      <c r="O247" s="231"/>
      <c r="P247" s="231"/>
      <c r="Q247" s="231"/>
      <c r="R247" s="231"/>
      <c r="S247" s="231"/>
      <c r="T247" s="231"/>
      <c r="U247" s="231"/>
      <c r="V247" s="231"/>
      <c r="W247" s="231"/>
      <c r="X247" s="231"/>
      <c r="Y247" s="231"/>
      <c r="Z247" s="231"/>
      <c r="AA247" s="231"/>
      <c r="AB247" s="231"/>
      <c r="AC247" s="231"/>
      <c r="AD247" s="231"/>
      <c r="AE247" s="231"/>
      <c r="AF247" s="231"/>
      <c r="AG247" s="231"/>
      <c r="AH247" s="231"/>
      <c r="AI247" s="231"/>
      <c r="AJ247" s="231"/>
      <c r="AK247" s="231"/>
      <c r="AL247" s="231"/>
      <c r="AM247" s="231"/>
      <c r="AN247" s="231"/>
      <c r="AO247" s="231"/>
      <c r="AP247" s="231"/>
      <c r="AQ247" s="231"/>
      <c r="AR247" s="231"/>
      <c r="AS247" s="231"/>
      <c r="AT247" s="231"/>
      <c r="AU247" s="231"/>
      <c r="AV247" s="231"/>
      <c r="AW247" s="231"/>
      <c r="AX247" s="231"/>
      <c r="AY247" s="231"/>
      <c r="AZ247" s="231"/>
      <c r="BA247" s="231"/>
      <c r="BB247" s="231"/>
      <c r="BC247" s="231"/>
      <c r="BD247" s="231"/>
      <c r="BE247" s="231"/>
      <c r="BF247" s="231"/>
      <c r="BG247" s="231"/>
      <c r="BH247" s="231"/>
      <c r="BI247" s="231"/>
      <c r="BJ247" s="231"/>
      <c r="BK247" s="231"/>
      <c r="BL247" s="231"/>
      <c r="BM247" s="231"/>
      <c r="BN247" s="231"/>
      <c r="BO247" s="231"/>
      <c r="BP247" s="231"/>
      <c r="BQ247" s="231"/>
      <c r="BR247" s="231"/>
      <c r="BS247" s="231"/>
    </row>
    <row r="248" spans="1:71" s="203" customFormat="1">
      <c r="A248" s="350"/>
      <c r="B248" s="116"/>
      <c r="C248" s="116"/>
      <c r="D248" s="116"/>
      <c r="E248" s="117"/>
      <c r="F248" s="118"/>
      <c r="G248" s="118"/>
      <c r="H248" s="118"/>
      <c r="I248" s="29"/>
      <c r="J248" s="15"/>
      <c r="K248" s="15"/>
      <c r="L248" s="15"/>
      <c r="M248" s="8"/>
      <c r="N248" s="8"/>
      <c r="O248" s="231"/>
      <c r="P248" s="231"/>
      <c r="Q248" s="231"/>
      <c r="R248" s="231"/>
      <c r="S248" s="231"/>
      <c r="T248" s="231"/>
      <c r="U248" s="231"/>
      <c r="V248" s="231"/>
      <c r="W248" s="231"/>
      <c r="X248" s="231"/>
      <c r="Y248" s="231"/>
      <c r="Z248" s="231"/>
      <c r="AA248" s="231"/>
      <c r="AB248" s="231"/>
      <c r="AC248" s="231"/>
      <c r="AD248" s="231"/>
      <c r="AE248" s="231"/>
      <c r="AF248" s="231"/>
      <c r="AG248" s="231"/>
      <c r="AH248" s="231"/>
      <c r="AI248" s="231"/>
      <c r="AJ248" s="231"/>
      <c r="AK248" s="231"/>
      <c r="AL248" s="231"/>
      <c r="AM248" s="231"/>
      <c r="AN248" s="231"/>
      <c r="AO248" s="231"/>
      <c r="AP248" s="231"/>
      <c r="AQ248" s="231"/>
      <c r="AR248" s="231"/>
      <c r="AS248" s="231"/>
      <c r="AT248" s="231"/>
      <c r="AU248" s="231"/>
      <c r="AV248" s="231"/>
      <c r="AW248" s="231"/>
      <c r="AX248" s="231"/>
      <c r="AY248" s="231"/>
      <c r="AZ248" s="231"/>
      <c r="BA248" s="231"/>
      <c r="BB248" s="231"/>
      <c r="BC248" s="231"/>
      <c r="BD248" s="231"/>
      <c r="BE248" s="231"/>
      <c r="BF248" s="231"/>
      <c r="BG248" s="231"/>
      <c r="BH248" s="231"/>
      <c r="BI248" s="231"/>
      <c r="BJ248" s="231"/>
      <c r="BK248" s="231"/>
      <c r="BL248" s="231"/>
      <c r="BM248" s="231"/>
      <c r="BN248" s="231"/>
      <c r="BO248" s="231"/>
      <c r="BP248" s="231"/>
      <c r="BQ248" s="231"/>
      <c r="BR248" s="231"/>
      <c r="BS248" s="231"/>
    </row>
    <row r="249" spans="1:71" s="203" customFormat="1">
      <c r="A249" s="108" t="s">
        <v>195</v>
      </c>
      <c r="B249" s="116"/>
      <c r="C249" s="116"/>
      <c r="D249" s="116"/>
      <c r="E249" s="140"/>
      <c r="F249" s="146"/>
      <c r="G249" s="118"/>
      <c r="H249" s="175"/>
      <c r="I249" s="29"/>
      <c r="J249" s="15"/>
      <c r="K249" s="15"/>
      <c r="L249" s="15"/>
      <c r="M249" s="8"/>
      <c r="N249" s="8"/>
      <c r="O249" s="231"/>
      <c r="P249" s="231"/>
      <c r="Q249" s="231"/>
      <c r="R249" s="231"/>
      <c r="S249" s="231"/>
      <c r="T249" s="231"/>
      <c r="U249" s="231"/>
      <c r="V249" s="231"/>
      <c r="W249" s="231"/>
      <c r="X249" s="231"/>
      <c r="Y249" s="231"/>
      <c r="Z249" s="231"/>
      <c r="AA249" s="231"/>
      <c r="AB249" s="231"/>
      <c r="AC249" s="231"/>
      <c r="AD249" s="231"/>
      <c r="AE249" s="231"/>
      <c r="AF249" s="231"/>
      <c r="AG249" s="231"/>
      <c r="AH249" s="231"/>
      <c r="AI249" s="231"/>
      <c r="AJ249" s="231"/>
      <c r="AK249" s="231"/>
      <c r="AL249" s="231"/>
      <c r="AM249" s="231"/>
      <c r="AN249" s="231"/>
      <c r="AO249" s="231"/>
      <c r="AP249" s="231"/>
      <c r="AQ249" s="231"/>
      <c r="AR249" s="231"/>
      <c r="AS249" s="231"/>
      <c r="AT249" s="231"/>
      <c r="AU249" s="231"/>
      <c r="AV249" s="231"/>
      <c r="AW249" s="231"/>
      <c r="AX249" s="231"/>
      <c r="AY249" s="231"/>
      <c r="AZ249" s="231"/>
      <c r="BA249" s="231"/>
      <c r="BB249" s="231"/>
      <c r="BC249" s="231"/>
      <c r="BD249" s="231"/>
      <c r="BE249" s="231"/>
      <c r="BF249" s="231"/>
      <c r="BG249" s="231"/>
      <c r="BH249" s="231"/>
      <c r="BI249" s="231"/>
      <c r="BJ249" s="231"/>
      <c r="BK249" s="231"/>
      <c r="BL249" s="231"/>
      <c r="BM249" s="231"/>
      <c r="BN249" s="231"/>
      <c r="BO249" s="231"/>
      <c r="BP249" s="231"/>
      <c r="BQ249" s="231"/>
      <c r="BR249" s="231"/>
      <c r="BS249" s="231"/>
    </row>
    <row r="250" spans="1:71" s="203" customFormat="1">
      <c r="A250" s="350">
        <v>7</v>
      </c>
      <c r="B250" s="47" t="s">
        <v>196</v>
      </c>
      <c r="C250" s="47"/>
      <c r="D250" s="47"/>
      <c r="E250" s="74">
        <f>SUM('Aberdeen City:West Lothian'!E250)</f>
        <v>19341.52534485362</v>
      </c>
      <c r="F250" s="52">
        <f>SUM('Aberdeen City:West Lothian'!F250)</f>
        <v>19429</v>
      </c>
      <c r="G250" s="118"/>
      <c r="H250" s="133">
        <f>SUM('Aberdeen City:West Lothian'!H250)</f>
        <v>19967</v>
      </c>
      <c r="I250" s="29"/>
      <c r="J250" s="15"/>
      <c r="K250" s="15"/>
      <c r="L250" s="15"/>
      <c r="M250" s="8"/>
      <c r="N250" s="8"/>
      <c r="O250" s="231"/>
      <c r="P250" s="231"/>
      <c r="Q250" s="231"/>
      <c r="R250" s="231"/>
      <c r="S250" s="231"/>
      <c r="T250" s="231"/>
      <c r="U250" s="231"/>
      <c r="V250" s="231"/>
      <c r="W250" s="231"/>
      <c r="X250" s="231"/>
      <c r="Y250" s="231"/>
      <c r="Z250" s="231"/>
      <c r="AA250" s="231"/>
      <c r="AB250" s="231"/>
      <c r="AC250" s="231"/>
      <c r="AD250" s="231"/>
      <c r="AE250" s="231"/>
      <c r="AF250" s="231"/>
      <c r="AG250" s="231"/>
      <c r="AH250" s="231"/>
      <c r="AI250" s="231"/>
      <c r="AJ250" s="231"/>
      <c r="AK250" s="231"/>
      <c r="AL250" s="231"/>
      <c r="AM250" s="231"/>
      <c r="AN250" s="231"/>
      <c r="AO250" s="231"/>
      <c r="AP250" s="231"/>
      <c r="AQ250" s="231"/>
      <c r="AR250" s="231"/>
      <c r="AS250" s="231"/>
      <c r="AT250" s="231"/>
      <c r="AU250" s="231"/>
      <c r="AV250" s="231"/>
      <c r="AW250" s="231"/>
      <c r="AX250" s="231"/>
      <c r="AY250" s="231"/>
      <c r="AZ250" s="231"/>
      <c r="BA250" s="231"/>
      <c r="BB250" s="231"/>
      <c r="BC250" s="231"/>
      <c r="BD250" s="231"/>
      <c r="BE250" s="231"/>
      <c r="BF250" s="231"/>
      <c r="BG250" s="231"/>
      <c r="BH250" s="231"/>
      <c r="BI250" s="231"/>
      <c r="BJ250" s="231"/>
      <c r="BK250" s="231"/>
      <c r="BL250" s="231"/>
      <c r="BM250" s="231"/>
      <c r="BN250" s="231"/>
      <c r="BO250" s="231"/>
      <c r="BP250" s="231"/>
      <c r="BQ250" s="231"/>
      <c r="BR250" s="231"/>
      <c r="BS250" s="231"/>
    </row>
    <row r="251" spans="1:71" s="203" customFormat="1">
      <c r="A251" s="350">
        <v>8</v>
      </c>
      <c r="B251" s="47" t="s">
        <v>197</v>
      </c>
      <c r="C251" s="47"/>
      <c r="D251" s="47"/>
      <c r="E251" s="49">
        <f>SUM('Aberdeen City:West Lothian'!E251)</f>
        <v>141491.33439326542</v>
      </c>
      <c r="F251" s="52">
        <f>SUM('Aberdeen City:West Lothian'!F251)</f>
        <v>148115</v>
      </c>
      <c r="G251" s="118"/>
      <c r="H251" s="122">
        <f>SUM('Aberdeen City:West Lothian'!H251)</f>
        <v>143626</v>
      </c>
      <c r="I251" s="29"/>
      <c r="J251" s="15"/>
      <c r="K251" s="15"/>
      <c r="L251" s="15"/>
      <c r="M251" s="8"/>
      <c r="N251" s="8"/>
      <c r="O251" s="231"/>
      <c r="P251" s="231"/>
      <c r="Q251" s="231"/>
      <c r="R251" s="231"/>
      <c r="S251" s="231"/>
      <c r="T251" s="231"/>
      <c r="U251" s="231"/>
      <c r="V251" s="231"/>
      <c r="W251" s="231"/>
      <c r="X251" s="231"/>
      <c r="Y251" s="231"/>
      <c r="Z251" s="231"/>
      <c r="AA251" s="231"/>
      <c r="AB251" s="231"/>
      <c r="AC251" s="231"/>
      <c r="AD251" s="231"/>
      <c r="AE251" s="231"/>
      <c r="AF251" s="231"/>
      <c r="AG251" s="231"/>
      <c r="AH251" s="231"/>
      <c r="AI251" s="231"/>
      <c r="AJ251" s="231"/>
      <c r="AK251" s="231"/>
      <c r="AL251" s="231"/>
      <c r="AM251" s="231"/>
      <c r="AN251" s="231"/>
      <c r="AO251" s="231"/>
      <c r="AP251" s="231"/>
      <c r="AQ251" s="231"/>
      <c r="AR251" s="231"/>
      <c r="AS251" s="231"/>
      <c r="AT251" s="231"/>
      <c r="AU251" s="231"/>
      <c r="AV251" s="231"/>
      <c r="AW251" s="231"/>
      <c r="AX251" s="231"/>
      <c r="AY251" s="231"/>
      <c r="AZ251" s="231"/>
      <c r="BA251" s="231"/>
      <c r="BB251" s="231"/>
      <c r="BC251" s="231"/>
      <c r="BD251" s="231"/>
      <c r="BE251" s="231"/>
      <c r="BF251" s="231"/>
      <c r="BG251" s="231"/>
      <c r="BH251" s="231"/>
      <c r="BI251" s="231"/>
      <c r="BJ251" s="231"/>
      <c r="BK251" s="231"/>
      <c r="BL251" s="231"/>
      <c r="BM251" s="231"/>
      <c r="BN251" s="231"/>
      <c r="BO251" s="231"/>
      <c r="BP251" s="231"/>
      <c r="BQ251" s="231"/>
      <c r="BR251" s="231"/>
      <c r="BS251" s="231"/>
    </row>
    <row r="252" spans="1:71" s="203" customFormat="1">
      <c r="A252" s="350">
        <v>9</v>
      </c>
      <c r="B252" s="47" t="s">
        <v>198</v>
      </c>
      <c r="C252" s="47"/>
      <c r="D252" s="47"/>
      <c r="E252" s="49">
        <f>SUM('Aberdeen City:West Lothian'!E252)</f>
        <v>117797.76234681932</v>
      </c>
      <c r="F252" s="52">
        <f>SUM('Aberdeen City:West Lothian'!F252)</f>
        <v>115254</v>
      </c>
      <c r="G252" s="118"/>
      <c r="H252" s="122">
        <f>SUM('Aberdeen City:West Lothian'!H252)</f>
        <v>115309</v>
      </c>
      <c r="I252" s="29"/>
      <c r="J252" s="15"/>
      <c r="K252" s="15"/>
      <c r="L252" s="15"/>
      <c r="M252" s="8"/>
      <c r="N252" s="8"/>
      <c r="O252" s="231"/>
      <c r="P252" s="231"/>
      <c r="Q252" s="231"/>
      <c r="R252" s="231"/>
      <c r="S252" s="231"/>
      <c r="T252" s="231"/>
      <c r="U252" s="231"/>
      <c r="V252" s="231"/>
      <c r="W252" s="231"/>
      <c r="X252" s="231"/>
      <c r="Y252" s="231"/>
      <c r="Z252" s="231"/>
      <c r="AA252" s="231"/>
      <c r="AB252" s="231"/>
      <c r="AC252" s="231"/>
      <c r="AD252" s="231"/>
      <c r="AE252" s="231"/>
      <c r="AF252" s="231"/>
      <c r="AG252" s="231"/>
      <c r="AH252" s="231"/>
      <c r="AI252" s="231"/>
      <c r="AJ252" s="231"/>
      <c r="AK252" s="231"/>
      <c r="AL252" s="231"/>
      <c r="AM252" s="231"/>
      <c r="AN252" s="231"/>
      <c r="AO252" s="231"/>
      <c r="AP252" s="231"/>
      <c r="AQ252" s="231"/>
      <c r="AR252" s="231"/>
      <c r="AS252" s="231"/>
      <c r="AT252" s="231"/>
      <c r="AU252" s="231"/>
      <c r="AV252" s="231"/>
      <c r="AW252" s="231"/>
      <c r="AX252" s="231"/>
      <c r="AY252" s="231"/>
      <c r="AZ252" s="231"/>
      <c r="BA252" s="231"/>
      <c r="BB252" s="231"/>
      <c r="BC252" s="231"/>
      <c r="BD252" s="231"/>
      <c r="BE252" s="231"/>
      <c r="BF252" s="231"/>
      <c r="BG252" s="231"/>
      <c r="BH252" s="231"/>
      <c r="BI252" s="231"/>
      <c r="BJ252" s="231"/>
      <c r="BK252" s="231"/>
      <c r="BL252" s="231"/>
      <c r="BM252" s="231"/>
      <c r="BN252" s="231"/>
      <c r="BO252" s="231"/>
      <c r="BP252" s="231"/>
      <c r="BQ252" s="231"/>
      <c r="BR252" s="231"/>
      <c r="BS252" s="231"/>
    </row>
    <row r="253" spans="1:71" s="203" customFormat="1">
      <c r="A253" s="350">
        <v>10</v>
      </c>
      <c r="B253" s="47" t="s">
        <v>199</v>
      </c>
      <c r="C253" s="47"/>
      <c r="D253" s="47"/>
      <c r="E253" s="49">
        <f>SUM('Aberdeen City:West Lothian'!E253)</f>
        <v>50180.289825973567</v>
      </c>
      <c r="F253" s="52">
        <f>SUM('Aberdeen City:West Lothian'!F253)</f>
        <v>52745</v>
      </c>
      <c r="G253" s="118"/>
      <c r="H253" s="100">
        <f>SUM('Aberdeen City:West Lothian'!H253)</f>
        <v>51044</v>
      </c>
      <c r="I253" s="29"/>
      <c r="J253" s="15"/>
      <c r="K253" s="15"/>
      <c r="L253" s="15"/>
      <c r="M253" s="8"/>
      <c r="N253" s="8"/>
      <c r="O253" s="231"/>
      <c r="P253" s="231"/>
      <c r="Q253" s="231"/>
      <c r="R253" s="231"/>
      <c r="S253" s="231"/>
      <c r="T253" s="231"/>
      <c r="U253" s="231"/>
      <c r="V253" s="231"/>
      <c r="W253" s="231"/>
      <c r="X253" s="231"/>
      <c r="Y253" s="231"/>
      <c r="Z253" s="231"/>
      <c r="AA253" s="231"/>
      <c r="AB253" s="231"/>
      <c r="AC253" s="231"/>
      <c r="AD253" s="231"/>
      <c r="AE253" s="231"/>
      <c r="AF253" s="231"/>
      <c r="AG253" s="231"/>
      <c r="AH253" s="231"/>
      <c r="AI253" s="231"/>
      <c r="AJ253" s="231"/>
      <c r="AK253" s="231"/>
      <c r="AL253" s="231"/>
      <c r="AM253" s="231"/>
      <c r="AN253" s="231"/>
      <c r="AO253" s="231"/>
      <c r="AP253" s="231"/>
      <c r="AQ253" s="231"/>
      <c r="AR253" s="231"/>
      <c r="AS253" s="231"/>
      <c r="AT253" s="231"/>
      <c r="AU253" s="231"/>
      <c r="AV253" s="231"/>
      <c r="AW253" s="231"/>
      <c r="AX253" s="231"/>
      <c r="AY253" s="231"/>
      <c r="AZ253" s="231"/>
      <c r="BA253" s="231"/>
      <c r="BB253" s="231"/>
      <c r="BC253" s="231"/>
      <c r="BD253" s="231"/>
      <c r="BE253" s="231"/>
      <c r="BF253" s="231"/>
      <c r="BG253" s="231"/>
      <c r="BH253" s="231"/>
      <c r="BI253" s="231"/>
      <c r="BJ253" s="231"/>
      <c r="BK253" s="231"/>
      <c r="BL253" s="231"/>
      <c r="BM253" s="231"/>
      <c r="BN253" s="231"/>
      <c r="BO253" s="231"/>
      <c r="BP253" s="231"/>
      <c r="BQ253" s="231"/>
      <c r="BR253" s="231"/>
      <c r="BS253" s="231"/>
    </row>
    <row r="254" spans="1:71" s="203" customFormat="1">
      <c r="A254" s="350">
        <v>11</v>
      </c>
      <c r="B254" s="116" t="s">
        <v>200</v>
      </c>
      <c r="C254" s="116"/>
      <c r="D254" s="116"/>
      <c r="E254" s="80">
        <f>SUM('Aberdeen City:West Lothian'!E254)</f>
        <v>328810.91191091191</v>
      </c>
      <c r="F254" s="142">
        <f>SUM(F250:F253)</f>
        <v>335543</v>
      </c>
      <c r="G254" s="118"/>
      <c r="H254" s="142">
        <f>SUM(H250:H253)</f>
        <v>329946</v>
      </c>
      <c r="I254" s="260"/>
      <c r="J254" s="261"/>
      <c r="K254" s="261"/>
      <c r="L254" s="15"/>
      <c r="M254" s="8"/>
      <c r="N254" s="8"/>
      <c r="O254" s="231"/>
      <c r="P254" s="231"/>
      <c r="Q254" s="231"/>
      <c r="R254" s="231"/>
      <c r="S254" s="231"/>
      <c r="T254" s="231"/>
      <c r="U254" s="231"/>
      <c r="V254" s="231"/>
      <c r="W254" s="231"/>
      <c r="X254" s="231"/>
      <c r="Y254" s="231"/>
      <c r="Z254" s="231"/>
      <c r="AA254" s="231"/>
      <c r="AB254" s="231"/>
      <c r="AC254" s="231"/>
      <c r="AD254" s="231"/>
      <c r="AE254" s="231"/>
      <c r="AF254" s="231"/>
      <c r="AG254" s="231"/>
      <c r="AH254" s="231"/>
      <c r="AI254" s="231"/>
      <c r="AJ254" s="231"/>
      <c r="AK254" s="231"/>
      <c r="AL254" s="231"/>
      <c r="AM254" s="231"/>
      <c r="AN254" s="231"/>
      <c r="AO254" s="231"/>
      <c r="AP254" s="231"/>
      <c r="AQ254" s="231"/>
      <c r="AR254" s="231"/>
      <c r="AS254" s="231"/>
      <c r="AT254" s="231"/>
      <c r="AU254" s="231"/>
      <c r="AV254" s="231"/>
      <c r="AW254" s="231"/>
      <c r="AX254" s="231"/>
      <c r="AY254" s="231"/>
      <c r="AZ254" s="231"/>
      <c r="BA254" s="231"/>
      <c r="BB254" s="231"/>
      <c r="BC254" s="231"/>
      <c r="BD254" s="231"/>
      <c r="BE254" s="231"/>
      <c r="BF254" s="231"/>
      <c r="BG254" s="231"/>
      <c r="BH254" s="231"/>
      <c r="BI254" s="231"/>
      <c r="BJ254" s="231"/>
      <c r="BK254" s="231"/>
      <c r="BL254" s="231"/>
      <c r="BM254" s="231"/>
      <c r="BN254" s="231"/>
      <c r="BO254" s="231"/>
      <c r="BP254" s="231"/>
      <c r="BQ254" s="231"/>
      <c r="BR254" s="231"/>
      <c r="BS254" s="231"/>
    </row>
    <row r="255" spans="1:71" s="203" customFormat="1">
      <c r="A255" s="350"/>
      <c r="B255" s="116"/>
      <c r="C255" s="116"/>
      <c r="D255" s="116"/>
      <c r="E255" s="117"/>
      <c r="F255" s="118"/>
      <c r="G255" s="118"/>
      <c r="H255" s="118"/>
      <c r="I255" s="29"/>
      <c r="J255" s="15"/>
      <c r="K255" s="15"/>
      <c r="L255" s="15"/>
      <c r="M255" s="8"/>
      <c r="N255" s="8"/>
      <c r="O255" s="231"/>
      <c r="P255" s="231"/>
      <c r="Q255" s="231"/>
      <c r="R255" s="231"/>
      <c r="S255" s="231"/>
      <c r="T255" s="231"/>
      <c r="U255" s="231"/>
      <c r="V255" s="231"/>
      <c r="W255" s="231"/>
      <c r="X255" s="231"/>
      <c r="Y255" s="231"/>
      <c r="Z255" s="231"/>
      <c r="AA255" s="231"/>
      <c r="AB255" s="231"/>
      <c r="AC255" s="231"/>
      <c r="AD255" s="231"/>
      <c r="AE255" s="231"/>
      <c r="AF255" s="231"/>
      <c r="AG255" s="231"/>
      <c r="AH255" s="231"/>
      <c r="AI255" s="231"/>
      <c r="AJ255" s="231"/>
      <c r="AK255" s="231"/>
      <c r="AL255" s="231"/>
      <c r="AM255" s="231"/>
      <c r="AN255" s="231"/>
      <c r="AO255" s="231"/>
      <c r="AP255" s="231"/>
      <c r="AQ255" s="231"/>
      <c r="AR255" s="231"/>
      <c r="AS255" s="231"/>
      <c r="AT255" s="231"/>
      <c r="AU255" s="231"/>
      <c r="AV255" s="231"/>
      <c r="AW255" s="231"/>
      <c r="AX255" s="231"/>
      <c r="AY255" s="231"/>
      <c r="AZ255" s="231"/>
      <c r="BA255" s="231"/>
      <c r="BB255" s="231"/>
      <c r="BC255" s="231"/>
      <c r="BD255" s="231"/>
      <c r="BE255" s="231"/>
      <c r="BF255" s="231"/>
      <c r="BG255" s="231"/>
      <c r="BH255" s="231"/>
      <c r="BI255" s="231"/>
      <c r="BJ255" s="231"/>
      <c r="BK255" s="231"/>
      <c r="BL255" s="231"/>
      <c r="BM255" s="231"/>
      <c r="BN255" s="231"/>
      <c r="BO255" s="231"/>
      <c r="BP255" s="231"/>
      <c r="BQ255" s="231"/>
      <c r="BR255" s="231"/>
      <c r="BS255" s="231"/>
    </row>
    <row r="256" spans="1:71" s="203" customFormat="1">
      <c r="A256" s="350">
        <v>12</v>
      </c>
      <c r="B256" s="47" t="s">
        <v>201</v>
      </c>
      <c r="C256" s="47"/>
      <c r="D256" s="47"/>
      <c r="E256" s="176">
        <f>SUM('Aberdeen City:West Lothian'!E256)</f>
        <v>97180.085827514427</v>
      </c>
      <c r="F256" s="136">
        <f>SUM('Aberdeen City:West Lothian'!F256)</f>
        <v>96571</v>
      </c>
      <c r="G256" s="118"/>
      <c r="H256" s="177">
        <f>SUM('Aberdeen City:West Lothian'!H256)</f>
        <v>97530.356</v>
      </c>
      <c r="I256" s="260"/>
      <c r="J256" s="261"/>
      <c r="K256" s="261"/>
      <c r="L256" s="15"/>
      <c r="M256" s="8"/>
      <c r="N256" s="8"/>
      <c r="O256" s="231"/>
      <c r="P256" s="231"/>
      <c r="Q256" s="231"/>
      <c r="R256" s="231"/>
      <c r="S256" s="231"/>
      <c r="T256" s="231"/>
      <c r="U256" s="231"/>
      <c r="V256" s="231"/>
      <c r="W256" s="231"/>
      <c r="X256" s="231"/>
      <c r="Y256" s="231"/>
      <c r="Z256" s="231"/>
      <c r="AA256" s="231"/>
      <c r="AB256" s="231"/>
      <c r="AC256" s="231"/>
      <c r="AD256" s="231"/>
      <c r="AE256" s="231"/>
      <c r="AF256" s="231"/>
      <c r="AG256" s="231"/>
      <c r="AH256" s="231"/>
      <c r="AI256" s="231"/>
      <c r="AJ256" s="231"/>
      <c r="AK256" s="231"/>
      <c r="AL256" s="231"/>
      <c r="AM256" s="231"/>
      <c r="AN256" s="231"/>
      <c r="AO256" s="231"/>
      <c r="AP256" s="231"/>
      <c r="AQ256" s="231"/>
      <c r="AR256" s="231"/>
      <c r="AS256" s="231"/>
      <c r="AT256" s="231"/>
      <c r="AU256" s="231"/>
      <c r="AV256" s="231"/>
      <c r="AW256" s="231"/>
      <c r="AX256" s="231"/>
      <c r="AY256" s="231"/>
      <c r="AZ256" s="231"/>
      <c r="BA256" s="231"/>
      <c r="BB256" s="231"/>
      <c r="BC256" s="231"/>
      <c r="BD256" s="231"/>
      <c r="BE256" s="231"/>
      <c r="BF256" s="231"/>
      <c r="BG256" s="231"/>
      <c r="BH256" s="231"/>
      <c r="BI256" s="231"/>
      <c r="BJ256" s="231"/>
      <c r="BK256" s="231"/>
      <c r="BL256" s="231"/>
      <c r="BM256" s="231"/>
      <c r="BN256" s="231"/>
      <c r="BO256" s="231"/>
      <c r="BP256" s="231"/>
      <c r="BQ256" s="231"/>
      <c r="BR256" s="231"/>
      <c r="BS256" s="231"/>
    </row>
    <row r="257" spans="1:71" s="203" customFormat="1">
      <c r="A257" s="124">
        <v>13</v>
      </c>
      <c r="B257" s="94" t="s">
        <v>202</v>
      </c>
      <c r="C257" s="94"/>
      <c r="D257" s="94"/>
      <c r="E257" s="159">
        <f>SUM('Aberdeen City:West Lothian'!E257)</f>
        <v>537534.41068800911</v>
      </c>
      <c r="F257" s="61">
        <f>F242+F247+F254+F256</f>
        <v>547882</v>
      </c>
      <c r="G257" s="118"/>
      <c r="H257" s="61">
        <f>H242+H247+H254+H256</f>
        <v>553825.35600000003</v>
      </c>
      <c r="I257" s="21"/>
      <c r="J257" s="86"/>
      <c r="K257" s="86"/>
      <c r="L257" s="15"/>
      <c r="M257" s="8"/>
      <c r="N257" s="8"/>
      <c r="O257" s="231"/>
      <c r="P257" s="231"/>
      <c r="Q257" s="231"/>
      <c r="R257" s="231"/>
      <c r="S257" s="231"/>
      <c r="T257" s="231"/>
      <c r="U257" s="231"/>
      <c r="V257" s="231"/>
      <c r="W257" s="231"/>
      <c r="X257" s="231"/>
      <c r="Y257" s="231"/>
      <c r="Z257" s="231"/>
      <c r="AA257" s="231"/>
      <c r="AB257" s="231"/>
      <c r="AC257" s="231"/>
      <c r="AD257" s="231"/>
      <c r="AE257" s="231"/>
      <c r="AF257" s="231"/>
      <c r="AG257" s="231"/>
      <c r="AH257" s="231"/>
      <c r="AI257" s="231"/>
      <c r="AJ257" s="231"/>
      <c r="AK257" s="231"/>
      <c r="AL257" s="231"/>
      <c r="AM257" s="231"/>
      <c r="AN257" s="231"/>
      <c r="AO257" s="231"/>
      <c r="AP257" s="231"/>
      <c r="AQ257" s="231"/>
      <c r="AR257" s="231"/>
      <c r="AS257" s="231"/>
      <c r="AT257" s="231"/>
      <c r="AU257" s="231"/>
      <c r="AV257" s="231"/>
      <c r="AW257" s="231"/>
      <c r="AX257" s="231"/>
      <c r="AY257" s="231"/>
      <c r="AZ257" s="231"/>
      <c r="BA257" s="231"/>
      <c r="BB257" s="231"/>
      <c r="BC257" s="231"/>
      <c r="BD257" s="231"/>
      <c r="BE257" s="231"/>
      <c r="BF257" s="231"/>
      <c r="BG257" s="231"/>
      <c r="BH257" s="231"/>
      <c r="BI257" s="231"/>
      <c r="BJ257" s="231"/>
      <c r="BK257" s="231"/>
      <c r="BL257" s="231"/>
      <c r="BM257" s="231"/>
      <c r="BN257" s="231"/>
      <c r="BO257" s="231"/>
      <c r="BP257" s="231"/>
      <c r="BQ257" s="231"/>
      <c r="BR257" s="231"/>
      <c r="BS257" s="231"/>
    </row>
    <row r="258" spans="1:71" s="203" customFormat="1">
      <c r="A258" s="207"/>
      <c r="B258" s="207"/>
      <c r="C258" s="207"/>
      <c r="D258" s="208"/>
      <c r="E258" s="208"/>
      <c r="F258" s="207"/>
      <c r="G258" s="207"/>
      <c r="H258" s="207"/>
      <c r="I258" s="21"/>
      <c r="J258" s="86"/>
      <c r="K258" s="86"/>
      <c r="L258" s="15"/>
      <c r="M258" s="8"/>
      <c r="N258" s="8"/>
      <c r="O258" s="231"/>
      <c r="P258" s="231"/>
      <c r="Q258" s="231"/>
      <c r="R258" s="231"/>
      <c r="S258" s="231"/>
      <c r="T258" s="231"/>
      <c r="U258" s="231"/>
      <c r="V258" s="231"/>
      <c r="W258" s="231"/>
      <c r="X258" s="231"/>
      <c r="Y258" s="231"/>
      <c r="Z258" s="231"/>
      <c r="AA258" s="231"/>
      <c r="AB258" s="231"/>
      <c r="AC258" s="231"/>
      <c r="AD258" s="231"/>
      <c r="AE258" s="231"/>
      <c r="AF258" s="231"/>
      <c r="AG258" s="231"/>
      <c r="AH258" s="231"/>
      <c r="AI258" s="231"/>
      <c r="AJ258" s="231"/>
      <c r="AK258" s="231"/>
      <c r="AL258" s="231"/>
      <c r="AM258" s="231"/>
      <c r="AN258" s="231"/>
      <c r="AO258" s="231"/>
      <c r="AP258" s="231"/>
      <c r="AQ258" s="231"/>
      <c r="AR258" s="231"/>
      <c r="AS258" s="231"/>
      <c r="AT258" s="231"/>
      <c r="AU258" s="231"/>
      <c r="AV258" s="231"/>
      <c r="AW258" s="231"/>
      <c r="AX258" s="231"/>
      <c r="AY258" s="231"/>
      <c r="AZ258" s="231"/>
      <c r="BA258" s="231"/>
      <c r="BB258" s="231"/>
      <c r="BC258" s="231"/>
      <c r="BD258" s="231"/>
      <c r="BE258" s="231"/>
      <c r="BF258" s="231"/>
      <c r="BG258" s="231"/>
      <c r="BH258" s="231"/>
      <c r="BI258" s="231"/>
      <c r="BJ258" s="231"/>
      <c r="BK258" s="231"/>
      <c r="BL258" s="231"/>
      <c r="BM258" s="231"/>
      <c r="BN258" s="231"/>
      <c r="BO258" s="231"/>
      <c r="BP258" s="231"/>
      <c r="BQ258" s="231"/>
      <c r="BR258" s="231"/>
      <c r="BS258" s="231"/>
    </row>
    <row r="259" spans="1:71" s="203" customFormat="1">
      <c r="A259" s="23"/>
      <c r="B259" s="207"/>
      <c r="C259" s="207"/>
      <c r="D259" s="207"/>
      <c r="E259" s="207"/>
      <c r="F259" s="207"/>
      <c r="G259" s="207"/>
      <c r="H259" s="21"/>
      <c r="I259" s="21"/>
      <c r="J259" s="86"/>
      <c r="K259" s="86"/>
      <c r="L259" s="15"/>
      <c r="M259" s="8"/>
      <c r="N259" s="8"/>
      <c r="O259" s="231"/>
      <c r="P259" s="231"/>
      <c r="Q259" s="231"/>
      <c r="R259" s="231"/>
      <c r="S259" s="231"/>
      <c r="T259" s="231"/>
      <c r="U259" s="231"/>
      <c r="V259" s="231"/>
      <c r="W259" s="231"/>
      <c r="X259" s="231"/>
      <c r="Y259" s="231"/>
      <c r="Z259" s="231"/>
      <c r="AA259" s="231"/>
      <c r="AB259" s="231"/>
      <c r="AC259" s="231"/>
      <c r="AD259" s="231"/>
      <c r="AE259" s="231"/>
      <c r="AF259" s="231"/>
      <c r="AG259" s="231"/>
      <c r="AH259" s="231"/>
      <c r="AI259" s="231"/>
      <c r="AJ259" s="231"/>
      <c r="AK259" s="231"/>
      <c r="AL259" s="231"/>
      <c r="AM259" s="231"/>
      <c r="AN259" s="231"/>
      <c r="AO259" s="231"/>
      <c r="AP259" s="231"/>
      <c r="AQ259" s="231"/>
      <c r="AR259" s="231"/>
      <c r="AS259" s="231"/>
      <c r="AT259" s="231"/>
      <c r="AU259" s="231"/>
      <c r="AV259" s="231"/>
      <c r="AW259" s="231"/>
      <c r="AX259" s="231"/>
      <c r="AY259" s="231"/>
      <c r="AZ259" s="231"/>
      <c r="BA259" s="231"/>
      <c r="BB259" s="231"/>
      <c r="BC259" s="231"/>
      <c r="BD259" s="231"/>
      <c r="BE259" s="231"/>
      <c r="BF259" s="231"/>
      <c r="BG259" s="231"/>
      <c r="BH259" s="231"/>
      <c r="BI259" s="231"/>
      <c r="BJ259" s="231"/>
      <c r="BK259" s="231"/>
      <c r="BL259" s="231"/>
      <c r="BM259" s="231"/>
      <c r="BN259" s="231"/>
      <c r="BO259" s="231"/>
      <c r="BP259" s="231"/>
      <c r="BQ259" s="231"/>
      <c r="BR259" s="231"/>
      <c r="BS259" s="231"/>
    </row>
    <row r="260" spans="1:71" s="203" customFormat="1">
      <c r="A260" s="148"/>
      <c r="B260" s="29"/>
      <c r="C260" s="29"/>
      <c r="D260" s="172"/>
      <c r="E260" s="152"/>
      <c r="F260" s="29"/>
      <c r="G260" s="29"/>
      <c r="H260" s="131" t="s">
        <v>27</v>
      </c>
      <c r="I260" s="21"/>
      <c r="J260" s="86"/>
      <c r="K260" s="86"/>
      <c r="L260" s="15"/>
      <c r="M260" s="8"/>
      <c r="N260" s="8"/>
      <c r="O260" s="231"/>
      <c r="P260" s="231"/>
      <c r="Q260" s="231"/>
      <c r="R260" s="231"/>
      <c r="S260" s="231"/>
      <c r="T260" s="231"/>
      <c r="U260" s="231"/>
      <c r="V260" s="231"/>
      <c r="W260" s="231"/>
      <c r="X260" s="231"/>
      <c r="Y260" s="231"/>
      <c r="Z260" s="231"/>
      <c r="AA260" s="231"/>
      <c r="AB260" s="231"/>
      <c r="AC260" s="231"/>
      <c r="AD260" s="231"/>
      <c r="AE260" s="231"/>
      <c r="AF260" s="231"/>
      <c r="AG260" s="231"/>
      <c r="AH260" s="231"/>
      <c r="AI260" s="231"/>
      <c r="AJ260" s="231"/>
      <c r="AK260" s="231"/>
      <c r="AL260" s="231"/>
      <c r="AM260" s="231"/>
      <c r="AN260" s="231"/>
      <c r="AO260" s="231"/>
      <c r="AP260" s="231"/>
      <c r="AQ260" s="231"/>
      <c r="AR260" s="231"/>
      <c r="AS260" s="231"/>
      <c r="AT260" s="231"/>
      <c r="AU260" s="231"/>
      <c r="AV260" s="231"/>
      <c r="AW260" s="231"/>
      <c r="AX260" s="231"/>
      <c r="AY260" s="231"/>
      <c r="AZ260" s="231"/>
      <c r="BA260" s="231"/>
      <c r="BB260" s="231"/>
      <c r="BC260" s="231"/>
      <c r="BD260" s="231"/>
      <c r="BE260" s="231"/>
      <c r="BF260" s="231"/>
      <c r="BG260" s="231"/>
      <c r="BH260" s="231"/>
      <c r="BI260" s="231"/>
      <c r="BJ260" s="231"/>
      <c r="BK260" s="231"/>
      <c r="BL260" s="231"/>
      <c r="BM260" s="231"/>
      <c r="BN260" s="231"/>
      <c r="BO260" s="231"/>
      <c r="BP260" s="231"/>
      <c r="BQ260" s="231"/>
      <c r="BR260" s="231"/>
      <c r="BS260" s="231"/>
    </row>
    <row r="261" spans="1:71" s="203" customFormat="1" ht="12.75" customHeight="1">
      <c r="A261" s="106" t="s">
        <v>15</v>
      </c>
      <c r="B261" s="164"/>
      <c r="C261" s="164"/>
      <c r="D261" s="164"/>
      <c r="E261" s="856" t="s">
        <v>377</v>
      </c>
      <c r="F261" s="853" t="s">
        <v>402</v>
      </c>
      <c r="G261" s="207"/>
      <c r="H261" s="856" t="s">
        <v>403</v>
      </c>
      <c r="I261" s="21"/>
      <c r="J261" s="86"/>
      <c r="K261" s="86"/>
      <c r="L261" s="15"/>
      <c r="M261" s="8"/>
      <c r="N261" s="8"/>
      <c r="O261" s="231"/>
      <c r="P261" s="231"/>
      <c r="Q261" s="231"/>
      <c r="R261" s="231"/>
      <c r="S261" s="231"/>
      <c r="T261" s="231"/>
      <c r="U261" s="231"/>
      <c r="V261" s="231"/>
      <c r="W261" s="231"/>
      <c r="X261" s="231"/>
      <c r="Y261" s="231"/>
      <c r="Z261" s="231"/>
      <c r="AA261" s="231"/>
      <c r="AB261" s="231"/>
      <c r="AC261" s="231"/>
      <c r="AD261" s="231"/>
      <c r="AE261" s="231"/>
      <c r="AF261" s="231"/>
      <c r="AG261" s="231"/>
      <c r="AH261" s="231"/>
      <c r="AI261" s="231"/>
      <c r="AJ261" s="231"/>
      <c r="AK261" s="231"/>
      <c r="AL261" s="231"/>
      <c r="AM261" s="231"/>
      <c r="AN261" s="231"/>
      <c r="AO261" s="231"/>
      <c r="AP261" s="231"/>
      <c r="AQ261" s="231"/>
      <c r="AR261" s="231"/>
      <c r="AS261" s="231"/>
      <c r="AT261" s="231"/>
      <c r="AU261" s="231"/>
      <c r="AV261" s="231"/>
      <c r="AW261" s="231"/>
      <c r="AX261" s="231"/>
      <c r="AY261" s="231"/>
      <c r="AZ261" s="231"/>
      <c r="BA261" s="231"/>
      <c r="BB261" s="231"/>
      <c r="BC261" s="231"/>
      <c r="BD261" s="231"/>
      <c r="BE261" s="231"/>
      <c r="BF261" s="231"/>
      <c r="BG261" s="231"/>
      <c r="BH261" s="231"/>
      <c r="BI261" s="231"/>
      <c r="BJ261" s="231"/>
      <c r="BK261" s="231"/>
      <c r="BL261" s="231"/>
      <c r="BM261" s="231"/>
      <c r="BN261" s="231"/>
      <c r="BO261" s="231"/>
      <c r="BP261" s="231"/>
      <c r="BQ261" s="231"/>
      <c r="BR261" s="231"/>
      <c r="BS261" s="231"/>
    </row>
    <row r="262" spans="1:71" s="203" customFormat="1">
      <c r="A262" s="165"/>
      <c r="B262" s="47"/>
      <c r="C262" s="47"/>
      <c r="D262" s="47"/>
      <c r="E262" s="859"/>
      <c r="F262" s="854"/>
      <c r="G262" s="207"/>
      <c r="H262" s="857"/>
      <c r="I262" s="21"/>
      <c r="J262" s="86"/>
      <c r="K262" s="86"/>
      <c r="L262" s="15"/>
      <c r="M262" s="8"/>
      <c r="N262" s="8"/>
      <c r="O262" s="231"/>
      <c r="P262" s="231"/>
      <c r="Q262" s="231"/>
      <c r="R262" s="231"/>
      <c r="S262" s="231"/>
      <c r="T262" s="231"/>
      <c r="U262" s="231"/>
      <c r="V262" s="231"/>
      <c r="W262" s="231"/>
      <c r="X262" s="231"/>
      <c r="Y262" s="231"/>
      <c r="Z262" s="231"/>
      <c r="AA262" s="231"/>
      <c r="AB262" s="231"/>
      <c r="AC262" s="231"/>
      <c r="AD262" s="231"/>
      <c r="AE262" s="231"/>
      <c r="AF262" s="231"/>
      <c r="AG262" s="231"/>
      <c r="AH262" s="231"/>
      <c r="AI262" s="231"/>
      <c r="AJ262" s="231"/>
      <c r="AK262" s="231"/>
      <c r="AL262" s="231"/>
      <c r="AM262" s="231"/>
      <c r="AN262" s="231"/>
      <c r="AO262" s="231"/>
      <c r="AP262" s="231"/>
      <c r="AQ262" s="231"/>
      <c r="AR262" s="231"/>
      <c r="AS262" s="231"/>
      <c r="AT262" s="231"/>
      <c r="AU262" s="231"/>
      <c r="AV262" s="231"/>
      <c r="AW262" s="231"/>
      <c r="AX262" s="231"/>
      <c r="AY262" s="231"/>
      <c r="AZ262" s="231"/>
      <c r="BA262" s="231"/>
      <c r="BB262" s="231"/>
      <c r="BC262" s="231"/>
      <c r="BD262" s="231"/>
      <c r="BE262" s="231"/>
      <c r="BF262" s="231"/>
      <c r="BG262" s="231"/>
      <c r="BH262" s="231"/>
      <c r="BI262" s="231"/>
      <c r="BJ262" s="231"/>
      <c r="BK262" s="231"/>
      <c r="BL262" s="231"/>
      <c r="BM262" s="231"/>
      <c r="BN262" s="231"/>
      <c r="BO262" s="231"/>
      <c r="BP262" s="231"/>
      <c r="BQ262" s="231"/>
      <c r="BR262" s="231"/>
      <c r="BS262" s="231"/>
    </row>
    <row r="263" spans="1:71" s="203" customFormat="1">
      <c r="A263" s="109"/>
      <c r="B263" s="174"/>
      <c r="C263" s="174"/>
      <c r="D263" s="174"/>
      <c r="E263" s="859"/>
      <c r="F263" s="854"/>
      <c r="G263" s="207"/>
      <c r="H263" s="857"/>
      <c r="I263" s="21"/>
      <c r="J263" s="86"/>
      <c r="K263" s="86"/>
      <c r="L263" s="15"/>
      <c r="M263" s="8"/>
      <c r="N263" s="8"/>
      <c r="O263" s="231"/>
      <c r="P263" s="231"/>
      <c r="Q263" s="231"/>
      <c r="R263" s="231"/>
      <c r="S263" s="231"/>
      <c r="T263" s="231"/>
      <c r="U263" s="231"/>
      <c r="V263" s="231"/>
      <c r="W263" s="231"/>
      <c r="X263" s="231"/>
      <c r="Y263" s="231"/>
      <c r="Z263" s="231"/>
      <c r="AA263" s="231"/>
      <c r="AB263" s="231"/>
      <c r="AC263" s="231"/>
      <c r="AD263" s="231"/>
      <c r="AE263" s="231"/>
      <c r="AF263" s="231"/>
      <c r="AG263" s="231"/>
      <c r="AH263" s="231"/>
      <c r="AI263" s="231"/>
      <c r="AJ263" s="231"/>
      <c r="AK263" s="231"/>
      <c r="AL263" s="231"/>
      <c r="AM263" s="231"/>
      <c r="AN263" s="231"/>
      <c r="AO263" s="231"/>
      <c r="AP263" s="231"/>
      <c r="AQ263" s="231"/>
      <c r="AR263" s="231"/>
      <c r="AS263" s="231"/>
      <c r="AT263" s="231"/>
      <c r="AU263" s="231"/>
      <c r="AV263" s="231"/>
      <c r="AW263" s="231"/>
      <c r="AX263" s="231"/>
      <c r="AY263" s="231"/>
      <c r="AZ263" s="231"/>
      <c r="BA263" s="231"/>
      <c r="BB263" s="231"/>
      <c r="BC263" s="231"/>
      <c r="BD263" s="231"/>
      <c r="BE263" s="231"/>
      <c r="BF263" s="231"/>
      <c r="BG263" s="231"/>
      <c r="BH263" s="231"/>
      <c r="BI263" s="231"/>
      <c r="BJ263" s="231"/>
      <c r="BK263" s="231"/>
      <c r="BL263" s="231"/>
      <c r="BM263" s="231"/>
      <c r="BN263" s="231"/>
      <c r="BO263" s="231"/>
      <c r="BP263" s="231"/>
      <c r="BQ263" s="231"/>
      <c r="BR263" s="231"/>
      <c r="BS263" s="231"/>
    </row>
    <row r="264" spans="1:71" s="203" customFormat="1">
      <c r="A264" s="154" t="s">
        <v>203</v>
      </c>
      <c r="B264" s="47"/>
      <c r="C264" s="47"/>
      <c r="D264" s="47"/>
      <c r="E264" s="859"/>
      <c r="F264" s="854"/>
      <c r="G264" s="207"/>
      <c r="H264" s="857"/>
      <c r="I264" s="21"/>
      <c r="J264" s="86"/>
      <c r="K264" s="86"/>
      <c r="L264" s="15"/>
      <c r="M264" s="8"/>
      <c r="N264" s="8"/>
      <c r="O264" s="231"/>
      <c r="P264" s="231"/>
      <c r="Q264" s="231"/>
      <c r="R264" s="231"/>
      <c r="S264" s="231"/>
      <c r="T264" s="231"/>
      <c r="U264" s="231"/>
      <c r="V264" s="231"/>
      <c r="W264" s="231"/>
      <c r="X264" s="231"/>
      <c r="Y264" s="231"/>
      <c r="Z264" s="231"/>
      <c r="AA264" s="231"/>
      <c r="AB264" s="231"/>
      <c r="AC264" s="231"/>
      <c r="AD264" s="231"/>
      <c r="AE264" s="231"/>
      <c r="AF264" s="231"/>
      <c r="AG264" s="231"/>
      <c r="AH264" s="231"/>
      <c r="AI264" s="231"/>
      <c r="AJ264" s="231"/>
      <c r="AK264" s="231"/>
      <c r="AL264" s="231"/>
      <c r="AM264" s="231"/>
      <c r="AN264" s="231"/>
      <c r="AO264" s="231"/>
      <c r="AP264" s="231"/>
      <c r="AQ264" s="231"/>
      <c r="AR264" s="231"/>
      <c r="AS264" s="231"/>
      <c r="AT264" s="231"/>
      <c r="AU264" s="231"/>
      <c r="AV264" s="231"/>
      <c r="AW264" s="231"/>
      <c r="AX264" s="231"/>
      <c r="AY264" s="231"/>
      <c r="AZ264" s="231"/>
      <c r="BA264" s="231"/>
      <c r="BB264" s="231"/>
      <c r="BC264" s="231"/>
      <c r="BD264" s="231"/>
      <c r="BE264" s="231"/>
      <c r="BF264" s="231"/>
      <c r="BG264" s="231"/>
      <c r="BH264" s="231"/>
      <c r="BI264" s="231"/>
      <c r="BJ264" s="231"/>
      <c r="BK264" s="231"/>
      <c r="BL264" s="231"/>
      <c r="BM264" s="231"/>
      <c r="BN264" s="231"/>
      <c r="BO264" s="231"/>
      <c r="BP264" s="231"/>
      <c r="BQ264" s="231"/>
      <c r="BR264" s="231"/>
      <c r="BS264" s="231"/>
    </row>
    <row r="265" spans="1:71" s="203" customFormat="1">
      <c r="A265" s="109" t="s">
        <v>83</v>
      </c>
      <c r="B265" s="174"/>
      <c r="C265" s="174"/>
      <c r="D265" s="174"/>
      <c r="E265" s="860"/>
      <c r="F265" s="855"/>
      <c r="G265" s="207"/>
      <c r="H265" s="858"/>
      <c r="I265" s="21"/>
      <c r="J265" s="86"/>
      <c r="K265" s="86"/>
      <c r="L265" s="15"/>
      <c r="M265" s="8"/>
      <c r="N265" s="8"/>
      <c r="O265" s="231"/>
      <c r="P265" s="231"/>
      <c r="Q265" s="231"/>
      <c r="R265" s="231"/>
      <c r="S265" s="231"/>
      <c r="T265" s="231"/>
      <c r="U265" s="231"/>
      <c r="V265" s="231"/>
      <c r="W265" s="231"/>
      <c r="X265" s="231"/>
      <c r="Y265" s="231"/>
      <c r="Z265" s="231"/>
      <c r="AA265" s="231"/>
      <c r="AB265" s="231"/>
      <c r="AC265" s="231"/>
      <c r="AD265" s="231"/>
      <c r="AE265" s="231"/>
      <c r="AF265" s="231"/>
      <c r="AG265" s="231"/>
      <c r="AH265" s="231"/>
      <c r="AI265" s="231"/>
      <c r="AJ265" s="231"/>
      <c r="AK265" s="231"/>
      <c r="AL265" s="231"/>
      <c r="AM265" s="231"/>
      <c r="AN265" s="231"/>
      <c r="AO265" s="231"/>
      <c r="AP265" s="231"/>
      <c r="AQ265" s="231"/>
      <c r="AR265" s="231"/>
      <c r="AS265" s="231"/>
      <c r="AT265" s="231"/>
      <c r="AU265" s="231"/>
      <c r="AV265" s="231"/>
      <c r="AW265" s="231"/>
      <c r="AX265" s="231"/>
      <c r="AY265" s="231"/>
      <c r="AZ265" s="231"/>
      <c r="BA265" s="231"/>
      <c r="BB265" s="231"/>
      <c r="BC265" s="231"/>
      <c r="BD265" s="231"/>
      <c r="BE265" s="231"/>
      <c r="BF265" s="231"/>
      <c r="BG265" s="231"/>
      <c r="BH265" s="231"/>
      <c r="BI265" s="231"/>
      <c r="BJ265" s="231"/>
      <c r="BK265" s="231"/>
      <c r="BL265" s="231"/>
      <c r="BM265" s="231"/>
      <c r="BN265" s="231"/>
      <c r="BO265" s="231"/>
      <c r="BP265" s="231"/>
      <c r="BQ265" s="231"/>
      <c r="BR265" s="231"/>
      <c r="BS265" s="231"/>
    </row>
    <row r="266" spans="1:71" s="203" customFormat="1">
      <c r="A266" s="110" t="s">
        <v>84</v>
      </c>
      <c r="B266" s="116"/>
      <c r="C266" s="116"/>
      <c r="D266" s="116"/>
      <c r="E266" s="178"/>
      <c r="F266" s="146"/>
      <c r="G266" s="118"/>
      <c r="H266" s="146"/>
      <c r="I266" s="21"/>
      <c r="J266" s="86"/>
      <c r="K266" s="86"/>
      <c r="L266" s="15"/>
      <c r="M266" s="8"/>
      <c r="N266" s="8"/>
      <c r="O266" s="231"/>
      <c r="P266" s="231"/>
      <c r="Q266" s="231"/>
      <c r="R266" s="231"/>
      <c r="S266" s="231"/>
      <c r="T266" s="231"/>
      <c r="U266" s="231"/>
      <c r="V266" s="231"/>
      <c r="W266" s="231"/>
      <c r="X266" s="231"/>
      <c r="Y266" s="231"/>
      <c r="Z266" s="231"/>
      <c r="AA266" s="231"/>
      <c r="AB266" s="231"/>
      <c r="AC266" s="231"/>
      <c r="AD266" s="231"/>
      <c r="AE266" s="231"/>
      <c r="AF266" s="231"/>
      <c r="AG266" s="231"/>
      <c r="AH266" s="231"/>
      <c r="AI266" s="231"/>
      <c r="AJ266" s="231"/>
      <c r="AK266" s="231"/>
      <c r="AL266" s="231"/>
      <c r="AM266" s="231"/>
      <c r="AN266" s="231"/>
      <c r="AO266" s="231"/>
      <c r="AP266" s="231"/>
      <c r="AQ266" s="231"/>
      <c r="AR266" s="231"/>
      <c r="AS266" s="231"/>
      <c r="AT266" s="231"/>
      <c r="AU266" s="231"/>
      <c r="AV266" s="231"/>
      <c r="AW266" s="231"/>
      <c r="AX266" s="231"/>
      <c r="AY266" s="231"/>
      <c r="AZ266" s="231"/>
      <c r="BA266" s="231"/>
      <c r="BB266" s="231"/>
      <c r="BC266" s="231"/>
      <c r="BD266" s="231"/>
      <c r="BE266" s="231"/>
      <c r="BF266" s="231"/>
      <c r="BG266" s="231"/>
      <c r="BH266" s="231"/>
      <c r="BI266" s="231"/>
      <c r="BJ266" s="231"/>
      <c r="BK266" s="231"/>
      <c r="BL266" s="231"/>
      <c r="BM266" s="231"/>
      <c r="BN266" s="231"/>
      <c r="BO266" s="231"/>
      <c r="BP266" s="231"/>
      <c r="BQ266" s="231"/>
      <c r="BR266" s="231"/>
      <c r="BS266" s="231"/>
    </row>
    <row r="267" spans="1:71" s="203" customFormat="1">
      <c r="A267" s="120">
        <v>1</v>
      </c>
      <c r="B267" s="47" t="s">
        <v>204</v>
      </c>
      <c r="C267" s="47"/>
      <c r="D267" s="47"/>
      <c r="E267" s="74">
        <f>SUM('Aberdeen City:West Lothian'!E267)</f>
        <v>86</v>
      </c>
      <c r="F267" s="52">
        <f>SUM('Aberdeen City:West Lothian'!F267)</f>
        <v>110</v>
      </c>
      <c r="G267" s="118"/>
      <c r="H267" s="122">
        <f>SUM('Aberdeen City:West Lothian'!H267)</f>
        <v>49</v>
      </c>
      <c r="I267" s="21"/>
      <c r="J267" s="86"/>
      <c r="K267" s="86"/>
      <c r="L267" s="15"/>
      <c r="M267" s="8"/>
      <c r="N267" s="8"/>
      <c r="O267" s="231"/>
      <c r="P267" s="231"/>
      <c r="Q267" s="231"/>
      <c r="R267" s="231"/>
      <c r="S267" s="231"/>
      <c r="T267" s="231"/>
      <c r="U267" s="231"/>
      <c r="V267" s="231"/>
      <c r="W267" s="231"/>
      <c r="X267" s="231"/>
      <c r="Y267" s="231"/>
      <c r="Z267" s="231"/>
      <c r="AA267" s="231"/>
      <c r="AB267" s="231"/>
      <c r="AC267" s="231"/>
      <c r="AD267" s="231"/>
      <c r="AE267" s="231"/>
      <c r="AF267" s="231"/>
      <c r="AG267" s="231"/>
      <c r="AH267" s="231"/>
      <c r="AI267" s="231"/>
      <c r="AJ267" s="231"/>
      <c r="AK267" s="231"/>
      <c r="AL267" s="231"/>
      <c r="AM267" s="231"/>
      <c r="AN267" s="231"/>
      <c r="AO267" s="231"/>
      <c r="AP267" s="231"/>
      <c r="AQ267" s="231"/>
      <c r="AR267" s="231"/>
      <c r="AS267" s="231"/>
      <c r="AT267" s="231"/>
      <c r="AU267" s="231"/>
      <c r="AV267" s="231"/>
      <c r="AW267" s="231"/>
      <c r="AX267" s="231"/>
      <c r="AY267" s="231"/>
      <c r="AZ267" s="231"/>
      <c r="BA267" s="231"/>
      <c r="BB267" s="231"/>
      <c r="BC267" s="231"/>
      <c r="BD267" s="231"/>
      <c r="BE267" s="231"/>
      <c r="BF267" s="231"/>
      <c r="BG267" s="231"/>
      <c r="BH267" s="231"/>
      <c r="BI267" s="231"/>
      <c r="BJ267" s="231"/>
      <c r="BK267" s="231"/>
      <c r="BL267" s="231"/>
      <c r="BM267" s="231"/>
      <c r="BN267" s="231"/>
      <c r="BO267" s="231"/>
      <c r="BP267" s="231"/>
      <c r="BQ267" s="231"/>
      <c r="BR267" s="231"/>
      <c r="BS267" s="231"/>
    </row>
    <row r="268" spans="1:71" s="203" customFormat="1">
      <c r="A268" s="350">
        <v>2</v>
      </c>
      <c r="B268" s="166" t="s">
        <v>205</v>
      </c>
      <c r="C268" s="166"/>
      <c r="D268" s="47"/>
      <c r="E268" s="114">
        <f>SUM('Aberdeen City:West Lothian'!E268)</f>
        <v>5837.905030087355</v>
      </c>
      <c r="F268" s="52">
        <f>SUM('Aberdeen City:West Lothian'!F268)</f>
        <v>9154</v>
      </c>
      <c r="G268" s="118"/>
      <c r="H268" s="122">
        <f>SUM('Aberdeen City:West Lothian'!H268)</f>
        <v>5470</v>
      </c>
      <c r="I268" s="21"/>
      <c r="J268" s="86"/>
      <c r="K268" s="86"/>
      <c r="L268" s="15"/>
      <c r="M268" s="8"/>
      <c r="N268" s="8"/>
      <c r="O268" s="231"/>
      <c r="P268" s="231"/>
      <c r="Q268" s="231"/>
      <c r="R268" s="231"/>
      <c r="S268" s="231"/>
      <c r="T268" s="231"/>
      <c r="U268" s="231"/>
      <c r="V268" s="231"/>
      <c r="W268" s="231"/>
      <c r="X268" s="231"/>
      <c r="Y268" s="231"/>
      <c r="Z268" s="231"/>
      <c r="AA268" s="231"/>
      <c r="AB268" s="231"/>
      <c r="AC268" s="231"/>
      <c r="AD268" s="231"/>
      <c r="AE268" s="231"/>
      <c r="AF268" s="231"/>
      <c r="AG268" s="231"/>
      <c r="AH268" s="231"/>
      <c r="AI268" s="231"/>
      <c r="AJ268" s="231"/>
      <c r="AK268" s="231"/>
      <c r="AL268" s="231"/>
      <c r="AM268" s="231"/>
      <c r="AN268" s="231"/>
      <c r="AO268" s="231"/>
      <c r="AP268" s="231"/>
      <c r="AQ268" s="231"/>
      <c r="AR268" s="231"/>
      <c r="AS268" s="231"/>
      <c r="AT268" s="231"/>
      <c r="AU268" s="231"/>
      <c r="AV268" s="231"/>
      <c r="AW268" s="231"/>
      <c r="AX268" s="231"/>
      <c r="AY268" s="231"/>
      <c r="AZ268" s="231"/>
      <c r="BA268" s="231"/>
      <c r="BB268" s="231"/>
      <c r="BC268" s="231"/>
      <c r="BD268" s="231"/>
      <c r="BE268" s="231"/>
      <c r="BF268" s="231"/>
      <c r="BG268" s="231"/>
      <c r="BH268" s="231"/>
      <c r="BI268" s="231"/>
      <c r="BJ268" s="231"/>
      <c r="BK268" s="231"/>
      <c r="BL268" s="231"/>
      <c r="BM268" s="231"/>
      <c r="BN268" s="231"/>
      <c r="BO268" s="231"/>
      <c r="BP268" s="231"/>
      <c r="BQ268" s="231"/>
      <c r="BR268" s="231"/>
      <c r="BS268" s="231"/>
    </row>
    <row r="269" spans="1:71" s="203" customFormat="1">
      <c r="A269" s="120">
        <v>3</v>
      </c>
      <c r="B269" s="47" t="s">
        <v>206</v>
      </c>
      <c r="C269" s="47"/>
      <c r="D269" s="168"/>
      <c r="E269" s="114">
        <f>SUM('Aberdeen City:West Lothian'!E269)</f>
        <v>3923</v>
      </c>
      <c r="F269" s="52">
        <f>SUM('Aberdeen City:West Lothian'!F269)</f>
        <v>4185.1000000000004</v>
      </c>
      <c r="G269" s="118"/>
      <c r="H269" s="122">
        <f>SUM('Aberdeen City:West Lothian'!H269)</f>
        <v>4293.8</v>
      </c>
      <c r="I269" s="21"/>
      <c r="J269" s="86"/>
      <c r="K269" s="86"/>
      <c r="L269" s="15"/>
      <c r="M269" s="8"/>
      <c r="N269" s="8"/>
      <c r="O269" s="231"/>
      <c r="P269" s="231"/>
      <c r="Q269" s="231"/>
      <c r="R269" s="231"/>
      <c r="S269" s="231"/>
      <c r="T269" s="231"/>
      <c r="U269" s="231"/>
      <c r="V269" s="231"/>
      <c r="W269" s="231"/>
      <c r="X269" s="231"/>
      <c r="Y269" s="231"/>
      <c r="Z269" s="231"/>
      <c r="AA269" s="231"/>
      <c r="AB269" s="231"/>
      <c r="AC269" s="231"/>
      <c r="AD269" s="231"/>
      <c r="AE269" s="231"/>
      <c r="AF269" s="231"/>
      <c r="AG269" s="231"/>
      <c r="AH269" s="231"/>
      <c r="AI269" s="231"/>
      <c r="AJ269" s="231"/>
      <c r="AK269" s="231"/>
      <c r="AL269" s="231"/>
      <c r="AM269" s="231"/>
      <c r="AN269" s="231"/>
      <c r="AO269" s="231"/>
      <c r="AP269" s="231"/>
      <c r="AQ269" s="231"/>
      <c r="AR269" s="231"/>
      <c r="AS269" s="231"/>
      <c r="AT269" s="231"/>
      <c r="AU269" s="231"/>
      <c r="AV269" s="231"/>
      <c r="AW269" s="231"/>
      <c r="AX269" s="231"/>
      <c r="AY269" s="231"/>
      <c r="AZ269" s="231"/>
      <c r="BA269" s="231"/>
      <c r="BB269" s="231"/>
      <c r="BC269" s="231"/>
      <c r="BD269" s="231"/>
      <c r="BE269" s="231"/>
      <c r="BF269" s="231"/>
      <c r="BG269" s="231"/>
      <c r="BH269" s="231"/>
      <c r="BI269" s="231"/>
      <c r="BJ269" s="231"/>
      <c r="BK269" s="231"/>
      <c r="BL269" s="231"/>
      <c r="BM269" s="231"/>
      <c r="BN269" s="231"/>
      <c r="BO269" s="231"/>
      <c r="BP269" s="231"/>
      <c r="BQ269" s="231"/>
      <c r="BR269" s="231"/>
      <c r="BS269" s="231"/>
    </row>
    <row r="270" spans="1:71" s="203" customFormat="1">
      <c r="A270" s="350">
        <v>4</v>
      </c>
      <c r="B270" s="47" t="s">
        <v>207</v>
      </c>
      <c r="C270" s="47"/>
      <c r="D270" s="116"/>
      <c r="E270" s="114">
        <f>SUM('Aberdeen City:West Lothian'!E270)</f>
        <v>10860</v>
      </c>
      <c r="F270" s="52">
        <f>SUM('Aberdeen City:West Lothian'!F270)</f>
        <v>11359</v>
      </c>
      <c r="G270" s="118"/>
      <c r="H270" s="122">
        <f>SUM('Aberdeen City:West Lothian'!H270)</f>
        <v>9679</v>
      </c>
      <c r="I270" s="21"/>
      <c r="J270" s="86"/>
      <c r="K270" s="86"/>
      <c r="L270" s="15"/>
      <c r="M270" s="8"/>
      <c r="N270" s="8"/>
      <c r="O270" s="231"/>
      <c r="P270" s="231"/>
      <c r="Q270" s="231"/>
      <c r="R270" s="231"/>
      <c r="S270" s="231"/>
      <c r="T270" s="231"/>
      <c r="U270" s="231"/>
      <c r="V270" s="231"/>
      <c r="W270" s="231"/>
      <c r="X270" s="231"/>
      <c r="Y270" s="231"/>
      <c r="Z270" s="231"/>
      <c r="AA270" s="231"/>
      <c r="AB270" s="231"/>
      <c r="AC270" s="231"/>
      <c r="AD270" s="231"/>
      <c r="AE270" s="231"/>
      <c r="AF270" s="231"/>
      <c r="AG270" s="231"/>
      <c r="AH270" s="231"/>
      <c r="AI270" s="231"/>
      <c r="AJ270" s="231"/>
      <c r="AK270" s="231"/>
      <c r="AL270" s="231"/>
      <c r="AM270" s="231"/>
      <c r="AN270" s="231"/>
      <c r="AO270" s="231"/>
      <c r="AP270" s="231"/>
      <c r="AQ270" s="231"/>
      <c r="AR270" s="231"/>
      <c r="AS270" s="231"/>
      <c r="AT270" s="231"/>
      <c r="AU270" s="231"/>
      <c r="AV270" s="231"/>
      <c r="AW270" s="231"/>
      <c r="AX270" s="231"/>
      <c r="AY270" s="231"/>
      <c r="AZ270" s="231"/>
      <c r="BA270" s="231"/>
      <c r="BB270" s="231"/>
      <c r="BC270" s="231"/>
      <c r="BD270" s="231"/>
      <c r="BE270" s="231"/>
      <c r="BF270" s="231"/>
      <c r="BG270" s="231"/>
      <c r="BH270" s="231"/>
      <c r="BI270" s="231"/>
      <c r="BJ270" s="231"/>
      <c r="BK270" s="231"/>
      <c r="BL270" s="231"/>
      <c r="BM270" s="231"/>
      <c r="BN270" s="231"/>
      <c r="BO270" s="231"/>
      <c r="BP270" s="231"/>
      <c r="BQ270" s="231"/>
      <c r="BR270" s="231"/>
      <c r="BS270" s="231"/>
    </row>
    <row r="271" spans="1:71" s="203" customFormat="1">
      <c r="A271" s="120">
        <v>5</v>
      </c>
      <c r="B271" s="47" t="s">
        <v>208</v>
      </c>
      <c r="C271" s="47"/>
      <c r="D271" s="47"/>
      <c r="E271" s="114">
        <f>SUM('Aberdeen City:West Lothian'!E271)</f>
        <v>17705.976624027699</v>
      </c>
      <c r="F271" s="52">
        <f>SUM('Aberdeen City:West Lothian'!F271)</f>
        <v>14528</v>
      </c>
      <c r="G271" s="118"/>
      <c r="H271" s="122">
        <f>SUM('Aberdeen City:West Lothian'!H271)</f>
        <v>16714</v>
      </c>
      <c r="I271" s="21"/>
      <c r="J271" s="86"/>
      <c r="K271" s="86"/>
      <c r="L271" s="15"/>
      <c r="M271" s="8"/>
      <c r="N271" s="8"/>
      <c r="O271" s="231"/>
      <c r="P271" s="231"/>
      <c r="Q271" s="231"/>
      <c r="R271" s="231"/>
      <c r="S271" s="231"/>
      <c r="T271" s="231"/>
      <c r="U271" s="231"/>
      <c r="V271" s="231"/>
      <c r="W271" s="231"/>
      <c r="X271" s="231"/>
      <c r="Y271" s="231"/>
      <c r="Z271" s="231"/>
      <c r="AA271" s="231"/>
      <c r="AB271" s="231"/>
      <c r="AC271" s="231"/>
      <c r="AD271" s="231"/>
      <c r="AE271" s="231"/>
      <c r="AF271" s="231"/>
      <c r="AG271" s="231"/>
      <c r="AH271" s="231"/>
      <c r="AI271" s="231"/>
      <c r="AJ271" s="231"/>
      <c r="AK271" s="231"/>
      <c r="AL271" s="231"/>
      <c r="AM271" s="231"/>
      <c r="AN271" s="231"/>
      <c r="AO271" s="231"/>
      <c r="AP271" s="231"/>
      <c r="AQ271" s="231"/>
      <c r="AR271" s="231"/>
      <c r="AS271" s="231"/>
      <c r="AT271" s="231"/>
      <c r="AU271" s="231"/>
      <c r="AV271" s="231"/>
      <c r="AW271" s="231"/>
      <c r="AX271" s="231"/>
      <c r="AY271" s="231"/>
      <c r="AZ271" s="231"/>
      <c r="BA271" s="231"/>
      <c r="BB271" s="231"/>
      <c r="BC271" s="231"/>
      <c r="BD271" s="231"/>
      <c r="BE271" s="231"/>
      <c r="BF271" s="231"/>
      <c r="BG271" s="231"/>
      <c r="BH271" s="231"/>
      <c r="BI271" s="231"/>
      <c r="BJ271" s="231"/>
      <c r="BK271" s="231"/>
      <c r="BL271" s="231"/>
      <c r="BM271" s="231"/>
      <c r="BN271" s="231"/>
      <c r="BO271" s="231"/>
      <c r="BP271" s="231"/>
      <c r="BQ271" s="231"/>
      <c r="BR271" s="231"/>
      <c r="BS271" s="231"/>
    </row>
    <row r="272" spans="1:71" s="203" customFormat="1">
      <c r="A272" s="350">
        <v>6</v>
      </c>
      <c r="B272" s="47" t="s">
        <v>209</v>
      </c>
      <c r="C272" s="47"/>
      <c r="D272" s="47"/>
      <c r="E272" s="114">
        <f>SUM('Aberdeen City:West Lothian'!E272)</f>
        <v>4330.0807530366801</v>
      </c>
      <c r="F272" s="52">
        <f>SUM('Aberdeen City:West Lothian'!F272)</f>
        <v>3585</v>
      </c>
      <c r="G272" s="118"/>
      <c r="H272" s="122">
        <f>SUM('Aberdeen City:West Lothian'!H272)</f>
        <v>2614</v>
      </c>
      <c r="I272" s="21"/>
      <c r="J272" s="86"/>
      <c r="K272" s="86"/>
      <c r="L272" s="15"/>
      <c r="M272" s="8"/>
      <c r="N272" s="8"/>
      <c r="O272" s="231"/>
      <c r="P272" s="231"/>
      <c r="Q272" s="231"/>
      <c r="R272" s="231"/>
      <c r="S272" s="231"/>
      <c r="T272" s="231"/>
      <c r="U272" s="231"/>
      <c r="V272" s="231"/>
      <c r="W272" s="231"/>
      <c r="X272" s="231"/>
      <c r="Y272" s="231"/>
      <c r="Z272" s="231"/>
      <c r="AA272" s="231"/>
      <c r="AB272" s="231"/>
      <c r="AC272" s="231"/>
      <c r="AD272" s="231"/>
      <c r="AE272" s="231"/>
      <c r="AF272" s="231"/>
      <c r="AG272" s="231"/>
      <c r="AH272" s="231"/>
      <c r="AI272" s="231"/>
      <c r="AJ272" s="231"/>
      <c r="AK272" s="231"/>
      <c r="AL272" s="231"/>
      <c r="AM272" s="231"/>
      <c r="AN272" s="231"/>
      <c r="AO272" s="231"/>
      <c r="AP272" s="231"/>
      <c r="AQ272" s="231"/>
      <c r="AR272" s="231"/>
      <c r="AS272" s="231"/>
      <c r="AT272" s="231"/>
      <c r="AU272" s="231"/>
      <c r="AV272" s="231"/>
      <c r="AW272" s="231"/>
      <c r="AX272" s="231"/>
      <c r="AY272" s="231"/>
      <c r="AZ272" s="231"/>
      <c r="BA272" s="231"/>
      <c r="BB272" s="231"/>
      <c r="BC272" s="231"/>
      <c r="BD272" s="231"/>
      <c r="BE272" s="231"/>
      <c r="BF272" s="231"/>
      <c r="BG272" s="231"/>
      <c r="BH272" s="231"/>
      <c r="BI272" s="231"/>
      <c r="BJ272" s="231"/>
      <c r="BK272" s="231"/>
      <c r="BL272" s="231"/>
      <c r="BM272" s="231"/>
      <c r="BN272" s="231"/>
      <c r="BO272" s="231"/>
      <c r="BP272" s="231"/>
      <c r="BQ272" s="231"/>
      <c r="BR272" s="231"/>
      <c r="BS272" s="231"/>
    </row>
    <row r="273" spans="1:71" s="203" customFormat="1">
      <c r="A273" s="120">
        <v>7</v>
      </c>
      <c r="B273" s="47" t="s">
        <v>210</v>
      </c>
      <c r="C273" s="47"/>
      <c r="D273" s="47"/>
      <c r="E273" s="114">
        <f>SUM('Aberdeen City:West Lothian'!E273)</f>
        <v>97992.52461506924</v>
      </c>
      <c r="F273" s="52">
        <f>SUM('Aberdeen City:West Lothian'!F273)</f>
        <v>105562</v>
      </c>
      <c r="G273" s="118"/>
      <c r="H273" s="122">
        <f>SUM('Aberdeen City:West Lothian'!H273)</f>
        <v>98616.5</v>
      </c>
      <c r="I273" s="21"/>
      <c r="J273" s="86"/>
      <c r="K273" s="86"/>
      <c r="L273" s="15"/>
      <c r="M273" s="8"/>
      <c r="N273" s="8"/>
      <c r="O273" s="231"/>
      <c r="P273" s="231"/>
      <c r="Q273" s="231"/>
      <c r="R273" s="231"/>
      <c r="S273" s="231"/>
      <c r="T273" s="231"/>
      <c r="U273" s="231"/>
      <c r="V273" s="231"/>
      <c r="W273" s="231"/>
      <c r="X273" s="231"/>
      <c r="Y273" s="231"/>
      <c r="Z273" s="231"/>
      <c r="AA273" s="231"/>
      <c r="AB273" s="231"/>
      <c r="AC273" s="231"/>
      <c r="AD273" s="231"/>
      <c r="AE273" s="231"/>
      <c r="AF273" s="231"/>
      <c r="AG273" s="231"/>
      <c r="AH273" s="231"/>
      <c r="AI273" s="231"/>
      <c r="AJ273" s="231"/>
      <c r="AK273" s="231"/>
      <c r="AL273" s="231"/>
      <c r="AM273" s="231"/>
      <c r="AN273" s="231"/>
      <c r="AO273" s="231"/>
      <c r="AP273" s="231"/>
      <c r="AQ273" s="231"/>
      <c r="AR273" s="231"/>
      <c r="AS273" s="231"/>
      <c r="AT273" s="231"/>
      <c r="AU273" s="231"/>
      <c r="AV273" s="231"/>
      <c r="AW273" s="231"/>
      <c r="AX273" s="231"/>
      <c r="AY273" s="231"/>
      <c r="AZ273" s="231"/>
      <c r="BA273" s="231"/>
      <c r="BB273" s="231"/>
      <c r="BC273" s="231"/>
      <c r="BD273" s="231"/>
      <c r="BE273" s="231"/>
      <c r="BF273" s="231"/>
      <c r="BG273" s="231"/>
      <c r="BH273" s="231"/>
      <c r="BI273" s="231"/>
      <c r="BJ273" s="231"/>
      <c r="BK273" s="231"/>
      <c r="BL273" s="231"/>
      <c r="BM273" s="231"/>
      <c r="BN273" s="231"/>
      <c r="BO273" s="231"/>
      <c r="BP273" s="231"/>
      <c r="BQ273" s="231"/>
      <c r="BR273" s="231"/>
      <c r="BS273" s="231"/>
    </row>
    <row r="274" spans="1:71" s="203" customFormat="1">
      <c r="A274" s="350">
        <v>8</v>
      </c>
      <c r="B274" s="47" t="s">
        <v>211</v>
      </c>
      <c r="C274" s="47"/>
      <c r="D274" s="47"/>
      <c r="E274" s="114">
        <f>SUM('Aberdeen City:West Lothian'!E274)</f>
        <v>110371.28961315233</v>
      </c>
      <c r="F274" s="52">
        <f>SUM('Aberdeen City:West Lothian'!F274)</f>
        <v>99212</v>
      </c>
      <c r="G274" s="118"/>
      <c r="H274" s="122">
        <f>SUM('Aberdeen City:West Lothian'!H274)</f>
        <v>101021</v>
      </c>
      <c r="I274" s="21"/>
      <c r="J274" s="86"/>
      <c r="K274" s="86"/>
      <c r="L274" s="15"/>
      <c r="M274" s="8"/>
      <c r="N274" s="8"/>
      <c r="O274" s="231"/>
      <c r="P274" s="231"/>
      <c r="Q274" s="231"/>
      <c r="R274" s="231"/>
      <c r="S274" s="231"/>
      <c r="T274" s="231"/>
      <c r="U274" s="231"/>
      <c r="V274" s="231"/>
      <c r="W274" s="231"/>
      <c r="X274" s="231"/>
      <c r="Y274" s="231"/>
      <c r="Z274" s="231"/>
      <c r="AA274" s="231"/>
      <c r="AB274" s="231"/>
      <c r="AC274" s="231"/>
      <c r="AD274" s="231"/>
      <c r="AE274" s="231"/>
      <c r="AF274" s="231"/>
      <c r="AG274" s="231"/>
      <c r="AH274" s="231"/>
      <c r="AI274" s="231"/>
      <c r="AJ274" s="231"/>
      <c r="AK274" s="231"/>
      <c r="AL274" s="231"/>
      <c r="AM274" s="231"/>
      <c r="AN274" s="231"/>
      <c r="AO274" s="231"/>
      <c r="AP274" s="231"/>
      <c r="AQ274" s="231"/>
      <c r="AR274" s="231"/>
      <c r="AS274" s="231"/>
      <c r="AT274" s="231"/>
      <c r="AU274" s="231"/>
      <c r="AV274" s="231"/>
      <c r="AW274" s="231"/>
      <c r="AX274" s="231"/>
      <c r="AY274" s="231"/>
      <c r="AZ274" s="231"/>
      <c r="BA274" s="231"/>
      <c r="BB274" s="231"/>
      <c r="BC274" s="231"/>
      <c r="BD274" s="231"/>
      <c r="BE274" s="231"/>
      <c r="BF274" s="231"/>
      <c r="BG274" s="231"/>
      <c r="BH274" s="231"/>
      <c r="BI274" s="231"/>
      <c r="BJ274" s="231"/>
      <c r="BK274" s="231"/>
      <c r="BL274" s="231"/>
      <c r="BM274" s="231"/>
      <c r="BN274" s="231"/>
      <c r="BO274" s="231"/>
      <c r="BP274" s="231"/>
      <c r="BQ274" s="231"/>
      <c r="BR274" s="231"/>
      <c r="BS274" s="231"/>
    </row>
    <row r="275" spans="1:71" s="203" customFormat="1">
      <c r="A275" s="120">
        <v>9</v>
      </c>
      <c r="B275" s="47" t="s">
        <v>212</v>
      </c>
      <c r="C275" s="47"/>
      <c r="D275" s="47"/>
      <c r="E275" s="114">
        <f>SUM('Aberdeen City:West Lothian'!E275)</f>
        <v>11164.078023397362</v>
      </c>
      <c r="F275" s="52">
        <f>SUM('Aberdeen City:West Lothian'!F275)</f>
        <v>10142</v>
      </c>
      <c r="G275" s="118"/>
      <c r="H275" s="122">
        <f>SUM('Aberdeen City:West Lothian'!H275)</f>
        <v>8803</v>
      </c>
      <c r="I275" s="21"/>
      <c r="J275" s="86"/>
      <c r="K275" s="86"/>
      <c r="L275" s="15"/>
      <c r="M275" s="8"/>
      <c r="N275" s="8"/>
      <c r="O275" s="231"/>
      <c r="P275" s="231"/>
      <c r="Q275" s="231"/>
      <c r="R275" s="231"/>
      <c r="S275" s="231"/>
      <c r="T275" s="231"/>
      <c r="U275" s="231"/>
      <c r="V275" s="231"/>
      <c r="W275" s="231"/>
      <c r="X275" s="231"/>
      <c r="Y275" s="231"/>
      <c r="Z275" s="231"/>
      <c r="AA275" s="231"/>
      <c r="AB275" s="231"/>
      <c r="AC275" s="231"/>
      <c r="AD275" s="231"/>
      <c r="AE275" s="231"/>
      <c r="AF275" s="231"/>
      <c r="AG275" s="231"/>
      <c r="AH275" s="231"/>
      <c r="AI275" s="231"/>
      <c r="AJ275" s="231"/>
      <c r="AK275" s="231"/>
      <c r="AL275" s="231"/>
      <c r="AM275" s="231"/>
      <c r="AN275" s="231"/>
      <c r="AO275" s="231"/>
      <c r="AP275" s="231"/>
      <c r="AQ275" s="231"/>
      <c r="AR275" s="231"/>
      <c r="AS275" s="231"/>
      <c r="AT275" s="231"/>
      <c r="AU275" s="231"/>
      <c r="AV275" s="231"/>
      <c r="AW275" s="231"/>
      <c r="AX275" s="231"/>
      <c r="AY275" s="231"/>
      <c r="AZ275" s="231"/>
      <c r="BA275" s="231"/>
      <c r="BB275" s="231"/>
      <c r="BC275" s="231"/>
      <c r="BD275" s="231"/>
      <c r="BE275" s="231"/>
      <c r="BF275" s="231"/>
      <c r="BG275" s="231"/>
      <c r="BH275" s="231"/>
      <c r="BI275" s="231"/>
      <c r="BJ275" s="231"/>
      <c r="BK275" s="231"/>
      <c r="BL275" s="231"/>
      <c r="BM275" s="231"/>
      <c r="BN275" s="231"/>
      <c r="BO275" s="231"/>
      <c r="BP275" s="231"/>
      <c r="BQ275" s="231"/>
      <c r="BR275" s="231"/>
      <c r="BS275" s="231"/>
    </row>
    <row r="276" spans="1:71" s="203" customFormat="1">
      <c r="A276" s="350">
        <v>10</v>
      </c>
      <c r="B276" s="47" t="s">
        <v>213</v>
      </c>
      <c r="C276" s="47"/>
      <c r="D276" s="47"/>
      <c r="E276" s="114">
        <f>SUM('Aberdeen City:West Lothian'!E276)</f>
        <v>59936.855682668102</v>
      </c>
      <c r="F276" s="52">
        <f>SUM('Aberdeen City:West Lothian'!F276)</f>
        <v>70786</v>
      </c>
      <c r="G276" s="118"/>
      <c r="H276" s="99">
        <f>SUM('Aberdeen City:West Lothian'!H276)</f>
        <v>68816</v>
      </c>
      <c r="I276" s="21"/>
      <c r="J276" s="86"/>
      <c r="K276" s="86"/>
      <c r="L276" s="15"/>
      <c r="M276" s="8"/>
      <c r="N276" s="8"/>
      <c r="O276" s="231"/>
      <c r="P276" s="231"/>
      <c r="Q276" s="231"/>
      <c r="R276" s="231"/>
      <c r="S276" s="231"/>
      <c r="T276" s="231"/>
      <c r="U276" s="231"/>
      <c r="V276" s="231"/>
      <c r="W276" s="231"/>
      <c r="X276" s="231"/>
      <c r="Y276" s="231"/>
      <c r="Z276" s="231"/>
      <c r="AA276" s="231"/>
      <c r="AB276" s="231"/>
      <c r="AC276" s="231"/>
      <c r="AD276" s="231"/>
      <c r="AE276" s="231"/>
      <c r="AF276" s="231"/>
      <c r="AG276" s="231"/>
      <c r="AH276" s="231"/>
      <c r="AI276" s="231"/>
      <c r="AJ276" s="231"/>
      <c r="AK276" s="231"/>
      <c r="AL276" s="231"/>
      <c r="AM276" s="231"/>
      <c r="AN276" s="231"/>
      <c r="AO276" s="231"/>
      <c r="AP276" s="231"/>
      <c r="AQ276" s="231"/>
      <c r="AR276" s="231"/>
      <c r="AS276" s="231"/>
      <c r="AT276" s="231"/>
      <c r="AU276" s="231"/>
      <c r="AV276" s="231"/>
      <c r="AW276" s="231"/>
      <c r="AX276" s="231"/>
      <c r="AY276" s="231"/>
      <c r="AZ276" s="231"/>
      <c r="BA276" s="231"/>
      <c r="BB276" s="231"/>
      <c r="BC276" s="231"/>
      <c r="BD276" s="231"/>
      <c r="BE276" s="231"/>
      <c r="BF276" s="231"/>
      <c r="BG276" s="231"/>
      <c r="BH276" s="231"/>
      <c r="BI276" s="231"/>
      <c r="BJ276" s="231"/>
      <c r="BK276" s="231"/>
      <c r="BL276" s="231"/>
      <c r="BM276" s="231"/>
      <c r="BN276" s="231"/>
      <c r="BO276" s="231"/>
      <c r="BP276" s="231"/>
      <c r="BQ276" s="231"/>
      <c r="BR276" s="231"/>
      <c r="BS276" s="231"/>
    </row>
    <row r="277" spans="1:71" s="203" customFormat="1">
      <c r="A277" s="124">
        <v>11</v>
      </c>
      <c r="B277" s="94" t="s">
        <v>214</v>
      </c>
      <c r="C277" s="94"/>
      <c r="D277" s="94"/>
      <c r="E277" s="159">
        <f>SUM('Aberdeen City:West Lothian'!E277)</f>
        <v>322207.71034143877</v>
      </c>
      <c r="F277" s="61">
        <f>SUM(F267:F276)</f>
        <v>328623.09999999998</v>
      </c>
      <c r="G277" s="118"/>
      <c r="H277" s="61">
        <f>SUM(H267:H276)</f>
        <v>316076.3</v>
      </c>
      <c r="I277" s="21"/>
      <c r="J277" s="86"/>
      <c r="K277" s="86"/>
      <c r="L277" s="15"/>
      <c r="M277" s="8"/>
      <c r="N277" s="8"/>
      <c r="O277" s="231"/>
      <c r="P277" s="231"/>
      <c r="Q277" s="231"/>
      <c r="R277" s="231"/>
      <c r="S277" s="231"/>
      <c r="T277" s="231"/>
      <c r="U277" s="231"/>
      <c r="V277" s="231"/>
      <c r="W277" s="231"/>
      <c r="X277" s="231"/>
      <c r="Y277" s="231"/>
      <c r="Z277" s="231"/>
      <c r="AA277" s="231"/>
      <c r="AB277" s="231"/>
      <c r="AC277" s="231"/>
      <c r="AD277" s="231"/>
      <c r="AE277" s="231"/>
      <c r="AF277" s="231"/>
      <c r="AG277" s="231"/>
      <c r="AH277" s="231"/>
      <c r="AI277" s="231"/>
      <c r="AJ277" s="231"/>
      <c r="AK277" s="231"/>
      <c r="AL277" s="231"/>
      <c r="AM277" s="231"/>
      <c r="AN277" s="231"/>
      <c r="AO277" s="231"/>
      <c r="AP277" s="231"/>
      <c r="AQ277" s="231"/>
      <c r="AR277" s="231"/>
      <c r="AS277" s="231"/>
      <c r="AT277" s="231"/>
      <c r="AU277" s="231"/>
      <c r="AV277" s="231"/>
      <c r="AW277" s="231"/>
      <c r="AX277" s="231"/>
      <c r="AY277" s="231"/>
      <c r="AZ277" s="231"/>
      <c r="BA277" s="231"/>
      <c r="BB277" s="231"/>
      <c r="BC277" s="231"/>
      <c r="BD277" s="231"/>
      <c r="BE277" s="231"/>
      <c r="BF277" s="231"/>
      <c r="BG277" s="231"/>
      <c r="BH277" s="231"/>
      <c r="BI277" s="231"/>
      <c r="BJ277" s="231"/>
      <c r="BK277" s="231"/>
      <c r="BL277" s="231"/>
      <c r="BM277" s="231"/>
      <c r="BN277" s="231"/>
      <c r="BO277" s="231"/>
      <c r="BP277" s="231"/>
      <c r="BQ277" s="231"/>
      <c r="BR277" s="231"/>
      <c r="BS277" s="231"/>
    </row>
    <row r="278" spans="1:71" s="203" customFormat="1">
      <c r="A278" s="207"/>
      <c r="B278" s="207"/>
      <c r="C278" s="207"/>
      <c r="D278" s="207"/>
      <c r="E278" s="207"/>
      <c r="F278" s="207"/>
      <c r="G278" s="207"/>
      <c r="H278" s="207"/>
      <c r="I278" s="21"/>
      <c r="J278" s="86"/>
      <c r="K278" s="86"/>
      <c r="L278" s="15"/>
      <c r="M278" s="8"/>
      <c r="N278" s="8"/>
      <c r="O278" s="231"/>
      <c r="P278" s="231"/>
      <c r="Q278" s="231"/>
      <c r="R278" s="231"/>
      <c r="S278" s="231"/>
      <c r="T278" s="231"/>
      <c r="U278" s="231"/>
      <c r="V278" s="231"/>
      <c r="W278" s="231"/>
      <c r="X278" s="231"/>
      <c r="Y278" s="231"/>
      <c r="Z278" s="231"/>
      <c r="AA278" s="231"/>
      <c r="AB278" s="231"/>
      <c r="AC278" s="231"/>
      <c r="AD278" s="231"/>
      <c r="AE278" s="231"/>
      <c r="AF278" s="231"/>
      <c r="AG278" s="231"/>
      <c r="AH278" s="231"/>
      <c r="AI278" s="231"/>
      <c r="AJ278" s="231"/>
      <c r="AK278" s="231"/>
      <c r="AL278" s="231"/>
      <c r="AM278" s="231"/>
      <c r="AN278" s="231"/>
      <c r="AO278" s="231"/>
      <c r="AP278" s="231"/>
      <c r="AQ278" s="231"/>
      <c r="AR278" s="231"/>
      <c r="AS278" s="231"/>
      <c r="AT278" s="231"/>
      <c r="AU278" s="231"/>
      <c r="AV278" s="231"/>
      <c r="AW278" s="231"/>
      <c r="AX278" s="231"/>
      <c r="AY278" s="231"/>
      <c r="AZ278" s="231"/>
      <c r="BA278" s="231"/>
      <c r="BB278" s="231"/>
      <c r="BC278" s="231"/>
      <c r="BD278" s="231"/>
      <c r="BE278" s="231"/>
      <c r="BF278" s="231"/>
      <c r="BG278" s="231"/>
      <c r="BH278" s="231"/>
      <c r="BI278" s="231"/>
      <c r="BJ278" s="231"/>
      <c r="BK278" s="231"/>
      <c r="BL278" s="231"/>
      <c r="BM278" s="231"/>
      <c r="BN278" s="231"/>
      <c r="BO278" s="231"/>
      <c r="BP278" s="231"/>
      <c r="BQ278" s="231"/>
      <c r="BR278" s="231"/>
      <c r="BS278" s="231"/>
    </row>
    <row r="279" spans="1:71" s="203" customFormat="1">
      <c r="A279" s="207"/>
      <c r="B279" s="207"/>
      <c r="C279" s="207"/>
      <c r="D279" s="207"/>
      <c r="E279" s="207"/>
      <c r="F279" s="207"/>
      <c r="G279" s="207"/>
      <c r="H279" s="131" t="s">
        <v>27</v>
      </c>
      <c r="I279" s="21"/>
      <c r="J279" s="86"/>
      <c r="K279" s="86"/>
      <c r="L279" s="15"/>
      <c r="M279" s="8"/>
      <c r="N279" s="8"/>
      <c r="O279" s="231"/>
      <c r="P279" s="231"/>
      <c r="Q279" s="231"/>
      <c r="R279" s="231"/>
      <c r="S279" s="231"/>
      <c r="T279" s="231"/>
      <c r="U279" s="231"/>
      <c r="V279" s="231"/>
      <c r="W279" s="231"/>
      <c r="X279" s="231"/>
      <c r="Y279" s="231"/>
      <c r="Z279" s="231"/>
      <c r="AA279" s="231"/>
      <c r="AB279" s="231"/>
      <c r="AC279" s="231"/>
      <c r="AD279" s="231"/>
      <c r="AE279" s="231"/>
      <c r="AF279" s="231"/>
      <c r="AG279" s="231"/>
      <c r="AH279" s="231"/>
      <c r="AI279" s="231"/>
      <c r="AJ279" s="231"/>
      <c r="AK279" s="231"/>
      <c r="AL279" s="231"/>
      <c r="AM279" s="231"/>
      <c r="AN279" s="231"/>
      <c r="AO279" s="231"/>
      <c r="AP279" s="231"/>
      <c r="AQ279" s="231"/>
      <c r="AR279" s="231"/>
      <c r="AS279" s="231"/>
      <c r="AT279" s="231"/>
      <c r="AU279" s="231"/>
      <c r="AV279" s="231"/>
      <c r="AW279" s="231"/>
      <c r="AX279" s="231"/>
      <c r="AY279" s="231"/>
      <c r="AZ279" s="231"/>
      <c r="BA279" s="231"/>
      <c r="BB279" s="231"/>
      <c r="BC279" s="231"/>
      <c r="BD279" s="231"/>
      <c r="BE279" s="231"/>
      <c r="BF279" s="231"/>
      <c r="BG279" s="231"/>
      <c r="BH279" s="231"/>
      <c r="BI279" s="231"/>
      <c r="BJ279" s="231"/>
      <c r="BK279" s="231"/>
      <c r="BL279" s="231"/>
      <c r="BM279" s="231"/>
      <c r="BN279" s="231"/>
      <c r="BO279" s="231"/>
      <c r="BP279" s="231"/>
      <c r="BQ279" s="231"/>
      <c r="BR279" s="231"/>
      <c r="BS279" s="231"/>
    </row>
    <row r="280" spans="1:71" s="203" customFormat="1" ht="12.75" customHeight="1">
      <c r="A280" s="106" t="s">
        <v>18</v>
      </c>
      <c r="B280" s="164"/>
      <c r="C280" s="164"/>
      <c r="D280" s="164"/>
      <c r="E280" s="856" t="s">
        <v>377</v>
      </c>
      <c r="F280" s="853" t="s">
        <v>402</v>
      </c>
      <c r="G280" s="207"/>
      <c r="H280" s="856" t="s">
        <v>403</v>
      </c>
      <c r="I280" s="21"/>
      <c r="J280" s="86"/>
      <c r="K280" s="86"/>
      <c r="L280" s="15"/>
      <c r="M280" s="8"/>
      <c r="N280" s="8"/>
      <c r="O280" s="231"/>
      <c r="P280" s="231"/>
      <c r="Q280" s="231"/>
      <c r="R280" s="231"/>
      <c r="S280" s="231"/>
      <c r="T280" s="231"/>
      <c r="U280" s="231"/>
      <c r="V280" s="231"/>
      <c r="W280" s="231"/>
      <c r="X280" s="231"/>
      <c r="Y280" s="231"/>
      <c r="Z280" s="231"/>
      <c r="AA280" s="231"/>
      <c r="AB280" s="231"/>
      <c r="AC280" s="231"/>
      <c r="AD280" s="231"/>
      <c r="AE280" s="231"/>
      <c r="AF280" s="231"/>
      <c r="AG280" s="231"/>
      <c r="AH280" s="231"/>
      <c r="AI280" s="231"/>
      <c r="AJ280" s="231"/>
      <c r="AK280" s="231"/>
      <c r="AL280" s="231"/>
      <c r="AM280" s="231"/>
      <c r="AN280" s="231"/>
      <c r="AO280" s="231"/>
      <c r="AP280" s="231"/>
      <c r="AQ280" s="231"/>
      <c r="AR280" s="231"/>
      <c r="AS280" s="231"/>
      <c r="AT280" s="231"/>
      <c r="AU280" s="231"/>
      <c r="AV280" s="231"/>
      <c r="AW280" s="231"/>
      <c r="AX280" s="231"/>
      <c r="AY280" s="231"/>
      <c r="AZ280" s="231"/>
      <c r="BA280" s="231"/>
      <c r="BB280" s="231"/>
      <c r="BC280" s="231"/>
      <c r="BD280" s="231"/>
      <c r="BE280" s="231"/>
      <c r="BF280" s="231"/>
      <c r="BG280" s="231"/>
      <c r="BH280" s="231"/>
      <c r="BI280" s="231"/>
      <c r="BJ280" s="231"/>
      <c r="BK280" s="231"/>
      <c r="BL280" s="231"/>
      <c r="BM280" s="231"/>
      <c r="BN280" s="231"/>
      <c r="BO280" s="231"/>
      <c r="BP280" s="231"/>
      <c r="BQ280" s="231"/>
      <c r="BR280" s="231"/>
      <c r="BS280" s="231"/>
    </row>
    <row r="281" spans="1:71" s="203" customFormat="1">
      <c r="A281" s="165"/>
      <c r="B281" s="47"/>
      <c r="C281" s="47"/>
      <c r="D281" s="47"/>
      <c r="E281" s="859"/>
      <c r="F281" s="854"/>
      <c r="G281" s="207"/>
      <c r="H281" s="857"/>
      <c r="I281" s="21"/>
      <c r="J281" s="86"/>
      <c r="K281" s="86"/>
      <c r="L281" s="15"/>
      <c r="M281" s="8"/>
      <c r="N281" s="8"/>
      <c r="O281" s="231"/>
      <c r="P281" s="231"/>
      <c r="Q281" s="231"/>
      <c r="R281" s="231"/>
      <c r="S281" s="231"/>
      <c r="T281" s="231"/>
      <c r="U281" s="231"/>
      <c r="V281" s="231"/>
      <c r="W281" s="231"/>
      <c r="X281" s="231"/>
      <c r="Y281" s="231"/>
      <c r="Z281" s="231"/>
      <c r="AA281" s="231"/>
      <c r="AB281" s="231"/>
      <c r="AC281" s="231"/>
      <c r="AD281" s="231"/>
      <c r="AE281" s="231"/>
      <c r="AF281" s="231"/>
      <c r="AG281" s="231"/>
      <c r="AH281" s="231"/>
      <c r="AI281" s="231"/>
      <c r="AJ281" s="231"/>
      <c r="AK281" s="231"/>
      <c r="AL281" s="231"/>
      <c r="AM281" s="231"/>
      <c r="AN281" s="231"/>
      <c r="AO281" s="231"/>
      <c r="AP281" s="231"/>
      <c r="AQ281" s="231"/>
      <c r="AR281" s="231"/>
      <c r="AS281" s="231"/>
      <c r="AT281" s="231"/>
      <c r="AU281" s="231"/>
      <c r="AV281" s="231"/>
      <c r="AW281" s="231"/>
      <c r="AX281" s="231"/>
      <c r="AY281" s="231"/>
      <c r="AZ281" s="231"/>
      <c r="BA281" s="231"/>
      <c r="BB281" s="231"/>
      <c r="BC281" s="231"/>
      <c r="BD281" s="231"/>
      <c r="BE281" s="231"/>
      <c r="BF281" s="231"/>
      <c r="BG281" s="231"/>
      <c r="BH281" s="231"/>
      <c r="BI281" s="231"/>
      <c r="BJ281" s="231"/>
      <c r="BK281" s="231"/>
      <c r="BL281" s="231"/>
      <c r="BM281" s="231"/>
      <c r="BN281" s="231"/>
      <c r="BO281" s="231"/>
      <c r="BP281" s="231"/>
      <c r="BQ281" s="231"/>
      <c r="BR281" s="231"/>
      <c r="BS281" s="231"/>
    </row>
    <row r="282" spans="1:71" s="203" customFormat="1" ht="21.75" customHeight="1">
      <c r="A282" s="109"/>
      <c r="B282" s="174"/>
      <c r="C282" s="174"/>
      <c r="D282" s="174"/>
      <c r="E282" s="859"/>
      <c r="F282" s="854"/>
      <c r="G282" s="207"/>
      <c r="H282" s="857"/>
      <c r="I282" s="21"/>
      <c r="J282" s="86"/>
      <c r="K282" s="86"/>
      <c r="L282" s="15"/>
      <c r="M282" s="8"/>
      <c r="N282" s="8"/>
      <c r="O282" s="231"/>
      <c r="P282" s="231"/>
      <c r="Q282" s="231"/>
      <c r="R282" s="231"/>
      <c r="S282" s="231"/>
      <c r="T282" s="231"/>
      <c r="U282" s="231"/>
      <c r="V282" s="231"/>
      <c r="W282" s="231"/>
      <c r="X282" s="231"/>
      <c r="Y282" s="231"/>
      <c r="Z282" s="231"/>
      <c r="AA282" s="231"/>
      <c r="AB282" s="231"/>
      <c r="AC282" s="231"/>
      <c r="AD282" s="231"/>
      <c r="AE282" s="231"/>
      <c r="AF282" s="231"/>
      <c r="AG282" s="231"/>
      <c r="AH282" s="231"/>
      <c r="AI282" s="231"/>
      <c r="AJ282" s="231"/>
      <c r="AK282" s="231"/>
      <c r="AL282" s="231"/>
      <c r="AM282" s="231"/>
      <c r="AN282" s="231"/>
      <c r="AO282" s="231"/>
      <c r="AP282" s="231"/>
      <c r="AQ282" s="231"/>
      <c r="AR282" s="231"/>
      <c r="AS282" s="231"/>
      <c r="AT282" s="231"/>
      <c r="AU282" s="231"/>
      <c r="AV282" s="231"/>
      <c r="AW282" s="231"/>
      <c r="AX282" s="231"/>
      <c r="AY282" s="231"/>
      <c r="AZ282" s="231"/>
      <c r="BA282" s="231"/>
      <c r="BB282" s="231"/>
      <c r="BC282" s="231"/>
      <c r="BD282" s="231"/>
      <c r="BE282" s="231"/>
      <c r="BF282" s="231"/>
      <c r="BG282" s="231"/>
      <c r="BH282" s="231"/>
      <c r="BI282" s="231"/>
      <c r="BJ282" s="231"/>
      <c r="BK282" s="231"/>
      <c r="BL282" s="231"/>
      <c r="BM282" s="231"/>
      <c r="BN282" s="231"/>
      <c r="BO282" s="231"/>
      <c r="BP282" s="231"/>
      <c r="BQ282" s="231"/>
      <c r="BR282" s="231"/>
      <c r="BS282" s="231"/>
    </row>
    <row r="283" spans="1:71" s="203" customFormat="1">
      <c r="A283" s="154" t="s">
        <v>215</v>
      </c>
      <c r="B283" s="47"/>
      <c r="C283" s="47"/>
      <c r="D283" s="47"/>
      <c r="E283" s="859"/>
      <c r="F283" s="854"/>
      <c r="G283" s="207"/>
      <c r="H283" s="857"/>
      <c r="I283" s="21"/>
      <c r="J283" s="86"/>
      <c r="K283" s="86"/>
      <c r="L283" s="15"/>
      <c r="M283" s="8"/>
      <c r="N283" s="8"/>
      <c r="O283" s="231"/>
      <c r="P283" s="231"/>
      <c r="Q283" s="231"/>
      <c r="R283" s="231"/>
      <c r="S283" s="231"/>
      <c r="T283" s="231"/>
      <c r="U283" s="231"/>
      <c r="V283" s="231"/>
      <c r="W283" s="231"/>
      <c r="X283" s="231"/>
      <c r="Y283" s="231"/>
      <c r="Z283" s="231"/>
      <c r="AA283" s="231"/>
      <c r="AB283" s="231"/>
      <c r="AC283" s="231"/>
      <c r="AD283" s="231"/>
      <c r="AE283" s="231"/>
      <c r="AF283" s="231"/>
      <c r="AG283" s="231"/>
      <c r="AH283" s="231"/>
      <c r="AI283" s="231"/>
      <c r="AJ283" s="231"/>
      <c r="AK283" s="231"/>
      <c r="AL283" s="231"/>
      <c r="AM283" s="231"/>
      <c r="AN283" s="231"/>
      <c r="AO283" s="231"/>
      <c r="AP283" s="231"/>
      <c r="AQ283" s="231"/>
      <c r="AR283" s="231"/>
      <c r="AS283" s="231"/>
      <c r="AT283" s="231"/>
      <c r="AU283" s="231"/>
      <c r="AV283" s="231"/>
      <c r="AW283" s="231"/>
      <c r="AX283" s="231"/>
      <c r="AY283" s="231"/>
      <c r="AZ283" s="231"/>
      <c r="BA283" s="231"/>
      <c r="BB283" s="231"/>
      <c r="BC283" s="231"/>
      <c r="BD283" s="231"/>
      <c r="BE283" s="231"/>
      <c r="BF283" s="231"/>
      <c r="BG283" s="231"/>
      <c r="BH283" s="231"/>
      <c r="BI283" s="231"/>
      <c r="BJ283" s="231"/>
      <c r="BK283" s="231"/>
      <c r="BL283" s="231"/>
      <c r="BM283" s="231"/>
      <c r="BN283" s="231"/>
      <c r="BO283" s="231"/>
      <c r="BP283" s="231"/>
      <c r="BQ283" s="231"/>
      <c r="BR283" s="231"/>
      <c r="BS283" s="231"/>
    </row>
    <row r="284" spans="1:71" s="203" customFormat="1">
      <c r="A284" s="109" t="s">
        <v>83</v>
      </c>
      <c r="B284" s="174"/>
      <c r="C284" s="174"/>
      <c r="D284" s="174"/>
      <c r="E284" s="860"/>
      <c r="F284" s="855"/>
      <c r="G284" s="207"/>
      <c r="H284" s="858"/>
      <c r="I284" s="21"/>
      <c r="J284" s="86"/>
      <c r="K284" s="86"/>
      <c r="L284" s="15"/>
      <c r="M284" s="8"/>
      <c r="N284" s="8"/>
      <c r="O284" s="231"/>
      <c r="P284" s="231"/>
      <c r="Q284" s="231"/>
      <c r="R284" s="231"/>
      <c r="S284" s="231"/>
      <c r="T284" s="231"/>
      <c r="U284" s="231"/>
      <c r="V284" s="231"/>
      <c r="W284" s="231"/>
      <c r="X284" s="231"/>
      <c r="Y284" s="231"/>
      <c r="Z284" s="231"/>
      <c r="AA284" s="231"/>
      <c r="AB284" s="231"/>
      <c r="AC284" s="231"/>
      <c r="AD284" s="231"/>
      <c r="AE284" s="231"/>
      <c r="AF284" s="231"/>
      <c r="AG284" s="231"/>
      <c r="AH284" s="231"/>
      <c r="AI284" s="231"/>
      <c r="AJ284" s="231"/>
      <c r="AK284" s="231"/>
      <c r="AL284" s="231"/>
      <c r="AM284" s="231"/>
      <c r="AN284" s="231"/>
      <c r="AO284" s="231"/>
      <c r="AP284" s="231"/>
      <c r="AQ284" s="231"/>
      <c r="AR284" s="231"/>
      <c r="AS284" s="231"/>
      <c r="AT284" s="231"/>
      <c r="AU284" s="231"/>
      <c r="AV284" s="231"/>
      <c r="AW284" s="231"/>
      <c r="AX284" s="231"/>
      <c r="AY284" s="231"/>
      <c r="AZ284" s="231"/>
      <c r="BA284" s="231"/>
      <c r="BB284" s="231"/>
      <c r="BC284" s="231"/>
      <c r="BD284" s="231"/>
      <c r="BE284" s="231"/>
      <c r="BF284" s="231"/>
      <c r="BG284" s="231"/>
      <c r="BH284" s="231"/>
      <c r="BI284" s="231"/>
      <c r="BJ284" s="231"/>
      <c r="BK284" s="231"/>
      <c r="BL284" s="231"/>
      <c r="BM284" s="231"/>
      <c r="BN284" s="231"/>
      <c r="BO284" s="231"/>
      <c r="BP284" s="231"/>
      <c r="BQ284" s="231"/>
      <c r="BR284" s="231"/>
      <c r="BS284" s="231"/>
    </row>
    <row r="285" spans="1:71" s="203" customFormat="1">
      <c r="A285" s="110" t="s">
        <v>84</v>
      </c>
      <c r="B285" s="116"/>
      <c r="C285" s="116"/>
      <c r="D285" s="116"/>
      <c r="E285" s="178"/>
      <c r="F285" s="146"/>
      <c r="G285" s="118"/>
      <c r="H285" s="146"/>
      <c r="I285" s="21"/>
      <c r="J285" s="86"/>
      <c r="K285" s="86"/>
      <c r="L285" s="15"/>
      <c r="M285" s="8"/>
      <c r="N285" s="8"/>
      <c r="O285" s="231"/>
      <c r="P285" s="231"/>
      <c r="Q285" s="231"/>
      <c r="R285" s="231"/>
      <c r="S285" s="231"/>
      <c r="T285" s="231"/>
      <c r="U285" s="231"/>
      <c r="V285" s="231"/>
      <c r="W285" s="231"/>
      <c r="X285" s="231"/>
      <c r="Y285" s="231"/>
      <c r="Z285" s="231"/>
      <c r="AA285" s="231"/>
      <c r="AB285" s="231"/>
      <c r="AC285" s="231"/>
      <c r="AD285" s="231"/>
      <c r="AE285" s="231"/>
      <c r="AF285" s="231"/>
      <c r="AG285" s="231"/>
      <c r="AH285" s="231"/>
      <c r="AI285" s="231"/>
      <c r="AJ285" s="231"/>
      <c r="AK285" s="231"/>
      <c r="AL285" s="231"/>
      <c r="AM285" s="231"/>
      <c r="AN285" s="231"/>
      <c r="AO285" s="231"/>
      <c r="AP285" s="231"/>
      <c r="AQ285" s="231"/>
      <c r="AR285" s="231"/>
      <c r="AS285" s="231"/>
      <c r="AT285" s="231"/>
      <c r="AU285" s="231"/>
      <c r="AV285" s="231"/>
      <c r="AW285" s="231"/>
      <c r="AX285" s="231"/>
      <c r="AY285" s="231"/>
      <c r="AZ285" s="231"/>
      <c r="BA285" s="231"/>
      <c r="BB285" s="231"/>
      <c r="BC285" s="231"/>
      <c r="BD285" s="231"/>
      <c r="BE285" s="231"/>
      <c r="BF285" s="231"/>
      <c r="BG285" s="231"/>
      <c r="BH285" s="231"/>
      <c r="BI285" s="231"/>
      <c r="BJ285" s="231"/>
      <c r="BK285" s="231"/>
      <c r="BL285" s="231"/>
      <c r="BM285" s="231"/>
      <c r="BN285" s="231"/>
      <c r="BO285" s="231"/>
      <c r="BP285" s="231"/>
      <c r="BQ285" s="231"/>
      <c r="BR285" s="231"/>
      <c r="BS285" s="231"/>
    </row>
    <row r="286" spans="1:71" s="203" customFormat="1">
      <c r="A286" s="120">
        <v>1</v>
      </c>
      <c r="B286" s="47" t="s">
        <v>216</v>
      </c>
      <c r="C286" s="47"/>
      <c r="D286" s="47"/>
      <c r="E286" s="74">
        <f>SUM('Aberdeen City:West Lothian'!E286)</f>
        <v>15886.29158601028</v>
      </c>
      <c r="F286" s="52">
        <f>SUM('Aberdeen City:West Lothian'!F286)</f>
        <v>16253</v>
      </c>
      <c r="G286" s="118"/>
      <c r="H286" s="122">
        <f>SUM('Aberdeen City:West Lothian'!H286)</f>
        <v>16477</v>
      </c>
      <c r="I286" s="21"/>
      <c r="J286" s="86"/>
      <c r="K286" s="86"/>
      <c r="L286" s="15"/>
      <c r="M286" s="8"/>
      <c r="N286" s="8"/>
      <c r="O286" s="231"/>
      <c r="P286" s="231"/>
      <c r="Q286" s="231"/>
      <c r="R286" s="231"/>
      <c r="S286" s="231"/>
      <c r="T286" s="231"/>
      <c r="U286" s="231"/>
      <c r="V286" s="231"/>
      <c r="W286" s="231"/>
      <c r="X286" s="231"/>
      <c r="Y286" s="231"/>
      <c r="Z286" s="231"/>
      <c r="AA286" s="231"/>
      <c r="AB286" s="231"/>
      <c r="AC286" s="231"/>
      <c r="AD286" s="231"/>
      <c r="AE286" s="231"/>
      <c r="AF286" s="231"/>
      <c r="AG286" s="231"/>
      <c r="AH286" s="231"/>
      <c r="AI286" s="231"/>
      <c r="AJ286" s="231"/>
      <c r="AK286" s="231"/>
      <c r="AL286" s="231"/>
      <c r="AM286" s="231"/>
      <c r="AN286" s="231"/>
      <c r="AO286" s="231"/>
      <c r="AP286" s="231"/>
      <c r="AQ286" s="231"/>
      <c r="AR286" s="231"/>
      <c r="AS286" s="231"/>
      <c r="AT286" s="231"/>
      <c r="AU286" s="231"/>
      <c r="AV286" s="231"/>
      <c r="AW286" s="231"/>
      <c r="AX286" s="231"/>
      <c r="AY286" s="231"/>
      <c r="AZ286" s="231"/>
      <c r="BA286" s="231"/>
      <c r="BB286" s="231"/>
      <c r="BC286" s="231"/>
      <c r="BD286" s="231"/>
      <c r="BE286" s="231"/>
      <c r="BF286" s="231"/>
      <c r="BG286" s="231"/>
      <c r="BH286" s="231"/>
      <c r="BI286" s="231"/>
      <c r="BJ286" s="231"/>
      <c r="BK286" s="231"/>
      <c r="BL286" s="231"/>
      <c r="BM286" s="231"/>
      <c r="BN286" s="231"/>
      <c r="BO286" s="231"/>
      <c r="BP286" s="231"/>
      <c r="BQ286" s="231"/>
      <c r="BR286" s="231"/>
      <c r="BS286" s="231"/>
    </row>
    <row r="287" spans="1:71" s="203" customFormat="1">
      <c r="A287" s="350">
        <v>2</v>
      </c>
      <c r="B287" s="47" t="s">
        <v>217</v>
      </c>
      <c r="C287" s="47"/>
      <c r="D287" s="47"/>
      <c r="E287" s="114">
        <f>SUM('Aberdeen City:West Lothian'!E287)</f>
        <v>6869.9790031769899</v>
      </c>
      <c r="F287" s="52">
        <f>SUM('Aberdeen City:West Lothian'!F287)</f>
        <v>6231</v>
      </c>
      <c r="G287" s="118"/>
      <c r="H287" s="122">
        <f>SUM('Aberdeen City:West Lothian'!H287)</f>
        <v>6752</v>
      </c>
      <c r="I287" s="21"/>
      <c r="J287" s="86"/>
      <c r="K287" s="86"/>
      <c r="L287" s="15"/>
      <c r="M287" s="8"/>
      <c r="N287" s="8"/>
      <c r="O287" s="231"/>
      <c r="P287" s="231"/>
      <c r="Q287" s="231"/>
      <c r="R287" s="231"/>
      <c r="S287" s="231"/>
      <c r="T287" s="231"/>
      <c r="U287" s="231"/>
      <c r="V287" s="231"/>
      <c r="W287" s="231"/>
      <c r="X287" s="231"/>
      <c r="Y287" s="231"/>
      <c r="Z287" s="231"/>
      <c r="AA287" s="231"/>
      <c r="AB287" s="231"/>
      <c r="AC287" s="231"/>
      <c r="AD287" s="231"/>
      <c r="AE287" s="231"/>
      <c r="AF287" s="231"/>
      <c r="AG287" s="231"/>
      <c r="AH287" s="231"/>
      <c r="AI287" s="231"/>
      <c r="AJ287" s="231"/>
      <c r="AK287" s="231"/>
      <c r="AL287" s="231"/>
      <c r="AM287" s="231"/>
      <c r="AN287" s="231"/>
      <c r="AO287" s="231"/>
      <c r="AP287" s="231"/>
      <c r="AQ287" s="231"/>
      <c r="AR287" s="231"/>
      <c r="AS287" s="231"/>
      <c r="AT287" s="231"/>
      <c r="AU287" s="231"/>
      <c r="AV287" s="231"/>
      <c r="AW287" s="231"/>
      <c r="AX287" s="231"/>
      <c r="AY287" s="231"/>
      <c r="AZ287" s="231"/>
      <c r="BA287" s="231"/>
      <c r="BB287" s="231"/>
      <c r="BC287" s="231"/>
      <c r="BD287" s="231"/>
      <c r="BE287" s="231"/>
      <c r="BF287" s="231"/>
      <c r="BG287" s="231"/>
      <c r="BH287" s="231"/>
      <c r="BI287" s="231"/>
      <c r="BJ287" s="231"/>
      <c r="BK287" s="231"/>
      <c r="BL287" s="231"/>
      <c r="BM287" s="231"/>
      <c r="BN287" s="231"/>
      <c r="BO287" s="231"/>
      <c r="BP287" s="231"/>
      <c r="BQ287" s="231"/>
      <c r="BR287" s="231"/>
      <c r="BS287" s="231"/>
    </row>
    <row r="288" spans="1:71" s="203" customFormat="1">
      <c r="A288" s="120">
        <v>3</v>
      </c>
      <c r="B288" s="90" t="s">
        <v>218</v>
      </c>
      <c r="C288" s="166"/>
      <c r="D288" s="168"/>
      <c r="E288" s="114">
        <f>SUM('Aberdeen City:West Lothian'!E288)</f>
        <v>40048.517561051201</v>
      </c>
      <c r="F288" s="52">
        <f>SUM('Aberdeen City:West Lothian'!F288)</f>
        <v>40353</v>
      </c>
      <c r="G288" s="118"/>
      <c r="H288" s="122">
        <f>SUM('Aberdeen City:West Lothian'!H288)</f>
        <v>39354</v>
      </c>
      <c r="I288" s="21"/>
      <c r="J288" s="86"/>
      <c r="K288" s="86"/>
      <c r="L288" s="15"/>
      <c r="M288" s="8"/>
      <c r="N288" s="8"/>
      <c r="O288" s="231"/>
      <c r="P288" s="231"/>
      <c r="Q288" s="231"/>
      <c r="R288" s="231"/>
      <c r="S288" s="231"/>
      <c r="T288" s="231"/>
      <c r="U288" s="231"/>
      <c r="V288" s="231"/>
      <c r="W288" s="231"/>
      <c r="X288" s="231"/>
      <c r="Y288" s="231"/>
      <c r="Z288" s="231"/>
      <c r="AA288" s="231"/>
      <c r="AB288" s="231"/>
      <c r="AC288" s="231"/>
      <c r="AD288" s="231"/>
      <c r="AE288" s="231"/>
      <c r="AF288" s="231"/>
      <c r="AG288" s="231"/>
      <c r="AH288" s="231"/>
      <c r="AI288" s="231"/>
      <c r="AJ288" s="231"/>
      <c r="AK288" s="231"/>
      <c r="AL288" s="231"/>
      <c r="AM288" s="231"/>
      <c r="AN288" s="231"/>
      <c r="AO288" s="231"/>
      <c r="AP288" s="231"/>
      <c r="AQ288" s="231"/>
      <c r="AR288" s="231"/>
      <c r="AS288" s="231"/>
      <c r="AT288" s="231"/>
      <c r="AU288" s="231"/>
      <c r="AV288" s="231"/>
      <c r="AW288" s="231"/>
      <c r="AX288" s="231"/>
      <c r="AY288" s="231"/>
      <c r="AZ288" s="231"/>
      <c r="BA288" s="231"/>
      <c r="BB288" s="231"/>
      <c r="BC288" s="231"/>
      <c r="BD288" s="231"/>
      <c r="BE288" s="231"/>
      <c r="BF288" s="231"/>
      <c r="BG288" s="231"/>
      <c r="BH288" s="231"/>
      <c r="BI288" s="231"/>
      <c r="BJ288" s="231"/>
      <c r="BK288" s="231"/>
      <c r="BL288" s="231"/>
      <c r="BM288" s="231"/>
      <c r="BN288" s="231"/>
      <c r="BO288" s="231"/>
      <c r="BP288" s="231"/>
      <c r="BQ288" s="231"/>
      <c r="BR288" s="231"/>
      <c r="BS288" s="231"/>
    </row>
    <row r="289" spans="1:71" s="203" customFormat="1">
      <c r="A289" s="350">
        <v>4</v>
      </c>
      <c r="B289" s="47" t="s">
        <v>219</v>
      </c>
      <c r="C289" s="47"/>
      <c r="D289" s="116"/>
      <c r="E289" s="114">
        <f>SUM('Aberdeen City:West Lothian'!E289)</f>
        <v>3423.086300410168</v>
      </c>
      <c r="F289" s="52">
        <f>SUM('Aberdeen City:West Lothian'!F289)</f>
        <v>3443</v>
      </c>
      <c r="G289" s="118"/>
      <c r="H289" s="122">
        <f>SUM('Aberdeen City:West Lothian'!H289)</f>
        <v>3486</v>
      </c>
      <c r="I289" s="21"/>
      <c r="J289" s="86"/>
      <c r="K289" s="86"/>
      <c r="L289" s="15"/>
      <c r="M289" s="8"/>
      <c r="N289" s="8"/>
      <c r="O289" s="231"/>
      <c r="P289" s="231"/>
      <c r="Q289" s="231"/>
      <c r="R289" s="231"/>
      <c r="S289" s="231"/>
      <c r="T289" s="231"/>
      <c r="U289" s="231"/>
      <c r="V289" s="231"/>
      <c r="W289" s="231"/>
      <c r="X289" s="231"/>
      <c r="Y289" s="231"/>
      <c r="Z289" s="231"/>
      <c r="AA289" s="231"/>
      <c r="AB289" s="231"/>
      <c r="AC289" s="231"/>
      <c r="AD289" s="231"/>
      <c r="AE289" s="231"/>
      <c r="AF289" s="231"/>
      <c r="AG289" s="231"/>
      <c r="AH289" s="231"/>
      <c r="AI289" s="231"/>
      <c r="AJ289" s="231"/>
      <c r="AK289" s="231"/>
      <c r="AL289" s="231"/>
      <c r="AM289" s="231"/>
      <c r="AN289" s="231"/>
      <c r="AO289" s="231"/>
      <c r="AP289" s="231"/>
      <c r="AQ289" s="231"/>
      <c r="AR289" s="231"/>
      <c r="AS289" s="231"/>
      <c r="AT289" s="231"/>
      <c r="AU289" s="231"/>
      <c r="AV289" s="231"/>
      <c r="AW289" s="231"/>
      <c r="AX289" s="231"/>
      <c r="AY289" s="231"/>
      <c r="AZ289" s="231"/>
      <c r="BA289" s="231"/>
      <c r="BB289" s="231"/>
      <c r="BC289" s="231"/>
      <c r="BD289" s="231"/>
      <c r="BE289" s="231"/>
      <c r="BF289" s="231"/>
      <c r="BG289" s="231"/>
      <c r="BH289" s="231"/>
      <c r="BI289" s="231"/>
      <c r="BJ289" s="231"/>
      <c r="BK289" s="231"/>
      <c r="BL289" s="231"/>
      <c r="BM289" s="231"/>
      <c r="BN289" s="231"/>
      <c r="BO289" s="231"/>
      <c r="BP289" s="231"/>
      <c r="BQ289" s="231"/>
      <c r="BR289" s="231"/>
      <c r="BS289" s="231"/>
    </row>
    <row r="290" spans="1:71" s="203" customFormat="1">
      <c r="A290" s="350">
        <v>5</v>
      </c>
      <c r="B290" s="47" t="s">
        <v>220</v>
      </c>
      <c r="C290" s="47"/>
      <c r="D290" s="47"/>
      <c r="E290" s="114">
        <f>SUM('Aberdeen City:West Lothian'!E290)</f>
        <v>-2700.8440469523812</v>
      </c>
      <c r="F290" s="52">
        <f>SUM('Aberdeen City:West Lothian'!F290)</f>
        <v>-2884</v>
      </c>
      <c r="G290" s="118"/>
      <c r="H290" s="122">
        <f>SUM('Aberdeen City:West Lothian'!H290)</f>
        <v>-3145</v>
      </c>
      <c r="I290" s="21"/>
      <c r="J290" s="86"/>
      <c r="K290" s="86"/>
      <c r="L290" s="15"/>
      <c r="M290" s="8"/>
      <c r="N290" s="8"/>
      <c r="O290" s="231"/>
      <c r="P290" s="231"/>
      <c r="Q290" s="231"/>
      <c r="R290" s="231"/>
      <c r="S290" s="231"/>
      <c r="T290" s="231"/>
      <c r="U290" s="231"/>
      <c r="V290" s="231"/>
      <c r="W290" s="231"/>
      <c r="X290" s="231"/>
      <c r="Y290" s="231"/>
      <c r="Z290" s="231"/>
      <c r="AA290" s="231"/>
      <c r="AB290" s="231"/>
      <c r="AC290" s="231"/>
      <c r="AD290" s="231"/>
      <c r="AE290" s="231"/>
      <c r="AF290" s="231"/>
      <c r="AG290" s="231"/>
      <c r="AH290" s="231"/>
      <c r="AI290" s="231"/>
      <c r="AJ290" s="231"/>
      <c r="AK290" s="231"/>
      <c r="AL290" s="231"/>
      <c r="AM290" s="231"/>
      <c r="AN290" s="231"/>
      <c r="AO290" s="231"/>
      <c r="AP290" s="231"/>
      <c r="AQ290" s="231"/>
      <c r="AR290" s="231"/>
      <c r="AS290" s="231"/>
      <c r="AT290" s="231"/>
      <c r="AU290" s="231"/>
      <c r="AV290" s="231"/>
      <c r="AW290" s="231"/>
      <c r="AX290" s="231"/>
      <c r="AY290" s="231"/>
      <c r="AZ290" s="231"/>
      <c r="BA290" s="231"/>
      <c r="BB290" s="231"/>
      <c r="BC290" s="231"/>
      <c r="BD290" s="231"/>
      <c r="BE290" s="231"/>
      <c r="BF290" s="231"/>
      <c r="BG290" s="231"/>
      <c r="BH290" s="231"/>
      <c r="BI290" s="231"/>
      <c r="BJ290" s="231"/>
      <c r="BK290" s="231"/>
      <c r="BL290" s="231"/>
      <c r="BM290" s="231"/>
      <c r="BN290" s="231"/>
      <c r="BO290" s="231"/>
      <c r="BP290" s="231"/>
      <c r="BQ290" s="231"/>
      <c r="BR290" s="231"/>
      <c r="BS290" s="231"/>
    </row>
    <row r="291" spans="1:71" s="203" customFormat="1">
      <c r="A291" s="120">
        <v>6</v>
      </c>
      <c r="B291" s="47" t="s">
        <v>221</v>
      </c>
      <c r="C291" s="47"/>
      <c r="D291" s="47"/>
      <c r="E291" s="114">
        <f>SUM('Aberdeen City:West Lothian'!E291)</f>
        <v>2647.4234409132287</v>
      </c>
      <c r="F291" s="52">
        <f>SUM('Aberdeen City:West Lothian'!F291)</f>
        <v>3754</v>
      </c>
      <c r="G291" s="118"/>
      <c r="H291" s="122">
        <f>SUM('Aberdeen City:West Lothian'!H291)</f>
        <v>3054</v>
      </c>
      <c r="I291" s="21"/>
      <c r="J291" s="86"/>
      <c r="K291" s="86"/>
      <c r="L291" s="15"/>
      <c r="M291" s="15"/>
      <c r="N291" s="15"/>
      <c r="O291" s="231"/>
      <c r="P291" s="231"/>
      <c r="Q291" s="231"/>
      <c r="R291" s="231"/>
      <c r="S291" s="231"/>
      <c r="T291" s="231"/>
      <c r="U291" s="231"/>
      <c r="V291" s="231"/>
      <c r="W291" s="231"/>
      <c r="X291" s="231"/>
      <c r="Y291" s="231"/>
      <c r="Z291" s="231"/>
      <c r="AA291" s="231"/>
      <c r="AB291" s="231"/>
      <c r="AC291" s="231"/>
      <c r="AD291" s="231"/>
      <c r="AE291" s="231"/>
      <c r="AF291" s="231"/>
      <c r="AG291" s="231"/>
      <c r="AH291" s="231"/>
      <c r="AI291" s="231"/>
      <c r="AJ291" s="231"/>
      <c r="AK291" s="231"/>
      <c r="AL291" s="231"/>
      <c r="AM291" s="231"/>
      <c r="AN291" s="231"/>
      <c r="AO291" s="231"/>
      <c r="AP291" s="231"/>
      <c r="AQ291" s="231"/>
      <c r="AR291" s="231"/>
      <c r="AS291" s="231"/>
      <c r="AT291" s="231"/>
      <c r="AU291" s="231"/>
      <c r="AV291" s="231"/>
      <c r="AW291" s="231"/>
      <c r="AX291" s="231"/>
      <c r="AY291" s="231"/>
      <c r="AZ291" s="231"/>
      <c r="BA291" s="231"/>
      <c r="BB291" s="231"/>
      <c r="BC291" s="231"/>
      <c r="BD291" s="231"/>
      <c r="BE291" s="231"/>
      <c r="BF291" s="231"/>
      <c r="BG291" s="231"/>
      <c r="BH291" s="231"/>
      <c r="BI291" s="231"/>
      <c r="BJ291" s="231"/>
      <c r="BK291" s="231"/>
      <c r="BL291" s="231"/>
      <c r="BM291" s="231"/>
      <c r="BN291" s="231"/>
      <c r="BO291" s="231"/>
      <c r="BP291" s="231"/>
      <c r="BQ291" s="231"/>
      <c r="BR291" s="231"/>
      <c r="BS291" s="231"/>
    </row>
    <row r="292" spans="1:71" s="203" customFormat="1">
      <c r="A292" s="350">
        <v>7</v>
      </c>
      <c r="B292" s="47" t="s">
        <v>222</v>
      </c>
      <c r="C292" s="47"/>
      <c r="D292" s="116"/>
      <c r="E292" s="114">
        <f>SUM('Aberdeen City:West Lothian'!E292)</f>
        <v>9602.34</v>
      </c>
      <c r="F292" s="52">
        <f>SUM('Aberdeen City:West Lothian'!F292)</f>
        <v>10118</v>
      </c>
      <c r="G292" s="118"/>
      <c r="H292" s="122">
        <f>SUM('Aberdeen City:West Lothian'!H292)</f>
        <v>10578</v>
      </c>
      <c r="I292" s="21"/>
      <c r="J292" s="86"/>
      <c r="K292" s="86"/>
      <c r="L292" s="15"/>
      <c r="M292" s="8"/>
      <c r="N292" s="8"/>
      <c r="O292" s="231"/>
      <c r="P292" s="231"/>
      <c r="Q292" s="231"/>
      <c r="R292" s="231"/>
      <c r="S292" s="231"/>
      <c r="T292" s="231"/>
      <c r="U292" s="231"/>
      <c r="V292" s="231"/>
      <c r="W292" s="231"/>
      <c r="X292" s="231"/>
      <c r="Y292" s="231"/>
      <c r="Z292" s="231"/>
      <c r="AA292" s="231"/>
      <c r="AB292" s="231"/>
      <c r="AC292" s="231"/>
      <c r="AD292" s="231"/>
      <c r="AE292" s="231"/>
      <c r="AF292" s="231"/>
      <c r="AG292" s="231"/>
      <c r="AH292" s="231"/>
      <c r="AI292" s="231"/>
      <c r="AJ292" s="231"/>
      <c r="AK292" s="231"/>
      <c r="AL292" s="231"/>
      <c r="AM292" s="231"/>
      <c r="AN292" s="231"/>
      <c r="AO292" s="231"/>
      <c r="AP292" s="231"/>
      <c r="AQ292" s="231"/>
      <c r="AR292" s="231"/>
      <c r="AS292" s="231"/>
      <c r="AT292" s="231"/>
      <c r="AU292" s="231"/>
      <c r="AV292" s="231"/>
      <c r="AW292" s="231"/>
      <c r="AX292" s="231"/>
      <c r="AY292" s="231"/>
      <c r="AZ292" s="231"/>
      <c r="BA292" s="231"/>
      <c r="BB292" s="231"/>
      <c r="BC292" s="231"/>
      <c r="BD292" s="231"/>
      <c r="BE292" s="231"/>
      <c r="BF292" s="231"/>
      <c r="BG292" s="231"/>
      <c r="BH292" s="231"/>
      <c r="BI292" s="231"/>
      <c r="BJ292" s="231"/>
      <c r="BK292" s="231"/>
      <c r="BL292" s="231"/>
      <c r="BM292" s="231"/>
      <c r="BN292" s="231"/>
      <c r="BO292" s="231"/>
      <c r="BP292" s="231"/>
      <c r="BQ292" s="231"/>
      <c r="BR292" s="231"/>
      <c r="BS292" s="231"/>
    </row>
    <row r="293" spans="1:71" s="203" customFormat="1">
      <c r="A293" s="120">
        <v>8</v>
      </c>
      <c r="B293" s="47" t="s">
        <v>223</v>
      </c>
      <c r="C293" s="47"/>
      <c r="D293" s="116"/>
      <c r="E293" s="114">
        <f>SUM('Aberdeen City:West Lothian'!E293)</f>
        <v>17212.6646</v>
      </c>
      <c r="F293" s="52">
        <f>SUM('Aberdeen City:West Lothian'!F293)</f>
        <v>17868.8</v>
      </c>
      <c r="G293" s="118"/>
      <c r="H293" s="122">
        <f>SUM('Aberdeen City:West Lothian'!H293)</f>
        <v>18890.2</v>
      </c>
      <c r="I293" s="21"/>
      <c r="J293" s="86"/>
      <c r="K293" s="86"/>
      <c r="L293" s="15"/>
      <c r="M293" s="8"/>
      <c r="N293" s="8"/>
      <c r="O293" s="231"/>
      <c r="P293" s="231"/>
      <c r="Q293" s="231"/>
      <c r="R293" s="231"/>
      <c r="S293" s="231"/>
      <c r="T293" s="231"/>
      <c r="U293" s="231"/>
      <c r="V293" s="231"/>
      <c r="W293" s="231"/>
      <c r="X293" s="231"/>
      <c r="Y293" s="231"/>
      <c r="Z293" s="231"/>
      <c r="AA293" s="231"/>
      <c r="AB293" s="231"/>
      <c r="AC293" s="231"/>
      <c r="AD293" s="231"/>
      <c r="AE293" s="231"/>
      <c r="AF293" s="231"/>
      <c r="AG293" s="231"/>
      <c r="AH293" s="231"/>
      <c r="AI293" s="231"/>
      <c r="AJ293" s="231"/>
      <c r="AK293" s="231"/>
      <c r="AL293" s="231"/>
      <c r="AM293" s="231"/>
      <c r="AN293" s="231"/>
      <c r="AO293" s="231"/>
      <c r="AP293" s="231"/>
      <c r="AQ293" s="231"/>
      <c r="AR293" s="231"/>
      <c r="AS293" s="231"/>
      <c r="AT293" s="231"/>
      <c r="AU293" s="231"/>
      <c r="AV293" s="231"/>
      <c r="AW293" s="231"/>
      <c r="AX293" s="231"/>
      <c r="AY293" s="231"/>
      <c r="AZ293" s="231"/>
      <c r="BA293" s="231"/>
      <c r="BB293" s="231"/>
      <c r="BC293" s="231"/>
      <c r="BD293" s="231"/>
      <c r="BE293" s="231"/>
      <c r="BF293" s="231"/>
      <c r="BG293" s="231"/>
      <c r="BH293" s="231"/>
      <c r="BI293" s="231"/>
      <c r="BJ293" s="231"/>
      <c r="BK293" s="231"/>
      <c r="BL293" s="231"/>
      <c r="BM293" s="231"/>
      <c r="BN293" s="231"/>
      <c r="BO293" s="231"/>
      <c r="BP293" s="231"/>
      <c r="BQ293" s="231"/>
      <c r="BR293" s="231"/>
      <c r="BS293" s="231"/>
    </row>
    <row r="294" spans="1:71" s="203" customFormat="1">
      <c r="A294" s="350">
        <v>9</v>
      </c>
      <c r="B294" s="47" t="s">
        <v>224</v>
      </c>
      <c r="C294" s="47"/>
      <c r="D294" s="116"/>
      <c r="E294" s="114">
        <f>SUM('Aberdeen City:West Lothian'!E294)</f>
        <v>10576.9954</v>
      </c>
      <c r="F294" s="52">
        <f>SUM('Aberdeen City:West Lothian'!F294)</f>
        <v>10022.200000000001</v>
      </c>
      <c r="G294" s="118"/>
      <c r="H294" s="122">
        <f>SUM('Aberdeen City:West Lothian'!H294)</f>
        <v>10265.799999999999</v>
      </c>
      <c r="I294" s="21"/>
      <c r="J294" s="86"/>
      <c r="K294" s="86"/>
      <c r="L294" s="15"/>
      <c r="M294" s="8"/>
      <c r="N294" s="15"/>
      <c r="O294" s="231"/>
      <c r="P294" s="231"/>
      <c r="Q294" s="231"/>
      <c r="R294" s="231"/>
      <c r="S294" s="231"/>
      <c r="T294" s="231"/>
      <c r="U294" s="231"/>
      <c r="V294" s="231"/>
      <c r="W294" s="231"/>
      <c r="X294" s="231"/>
      <c r="Y294" s="231"/>
      <c r="Z294" s="231"/>
      <c r="AA294" s="231"/>
      <c r="AB294" s="231"/>
      <c r="AC294" s="231"/>
      <c r="AD294" s="231"/>
      <c r="AE294" s="231"/>
      <c r="AF294" s="231"/>
      <c r="AG294" s="231"/>
      <c r="AH294" s="231"/>
      <c r="AI294" s="231"/>
      <c r="AJ294" s="231"/>
      <c r="AK294" s="231"/>
      <c r="AL294" s="231"/>
      <c r="AM294" s="231"/>
      <c r="AN294" s="231"/>
      <c r="AO294" s="231"/>
      <c r="AP294" s="231"/>
      <c r="AQ294" s="231"/>
      <c r="AR294" s="231"/>
      <c r="AS294" s="231"/>
      <c r="AT294" s="231"/>
      <c r="AU294" s="231"/>
      <c r="AV294" s="231"/>
      <c r="AW294" s="231"/>
      <c r="AX294" s="231"/>
      <c r="AY294" s="231"/>
      <c r="AZ294" s="231"/>
      <c r="BA294" s="231"/>
      <c r="BB294" s="231"/>
      <c r="BC294" s="231"/>
      <c r="BD294" s="231"/>
      <c r="BE294" s="231"/>
      <c r="BF294" s="231"/>
      <c r="BG294" s="231"/>
      <c r="BH294" s="231"/>
      <c r="BI294" s="231"/>
      <c r="BJ294" s="231"/>
      <c r="BK294" s="231"/>
      <c r="BL294" s="231"/>
      <c r="BM294" s="231"/>
      <c r="BN294" s="231"/>
      <c r="BO294" s="231"/>
      <c r="BP294" s="231"/>
      <c r="BQ294" s="231"/>
      <c r="BR294" s="231"/>
      <c r="BS294" s="231"/>
    </row>
    <row r="295" spans="1:71" s="203" customFormat="1">
      <c r="A295" s="120">
        <v>10</v>
      </c>
      <c r="B295" s="47" t="s">
        <v>225</v>
      </c>
      <c r="C295" s="47"/>
      <c r="D295" s="47"/>
      <c r="E295" s="114">
        <f>SUM('Aberdeen City:West Lothian'!E295)</f>
        <v>5817</v>
      </c>
      <c r="F295" s="52">
        <f>SUM('Aberdeen City:West Lothian'!F295)</f>
        <v>5971</v>
      </c>
      <c r="G295" s="118"/>
      <c r="H295" s="122">
        <f>SUM('Aberdeen City:West Lothian'!H295)</f>
        <v>5736</v>
      </c>
      <c r="I295" s="21"/>
      <c r="J295" s="86"/>
      <c r="K295" s="86"/>
      <c r="L295" s="15"/>
      <c r="M295" s="8"/>
      <c r="N295" s="15"/>
      <c r="O295" s="231"/>
      <c r="P295" s="231"/>
      <c r="Q295" s="231"/>
      <c r="R295" s="231"/>
      <c r="S295" s="231"/>
      <c r="T295" s="231"/>
      <c r="U295" s="231"/>
      <c r="V295" s="231"/>
      <c r="W295" s="231"/>
      <c r="X295" s="231"/>
      <c r="Y295" s="231"/>
      <c r="Z295" s="231"/>
      <c r="AA295" s="231"/>
      <c r="AB295" s="231"/>
      <c r="AC295" s="231"/>
      <c r="AD295" s="231"/>
      <c r="AE295" s="231"/>
      <c r="AF295" s="231"/>
      <c r="AG295" s="231"/>
      <c r="AH295" s="231"/>
      <c r="AI295" s="231"/>
      <c r="AJ295" s="231"/>
      <c r="AK295" s="231"/>
      <c r="AL295" s="231"/>
      <c r="AM295" s="231"/>
      <c r="AN295" s="231"/>
      <c r="AO295" s="231"/>
      <c r="AP295" s="231"/>
      <c r="AQ295" s="231"/>
      <c r="AR295" s="231"/>
      <c r="AS295" s="231"/>
      <c r="AT295" s="231"/>
      <c r="AU295" s="231"/>
      <c r="AV295" s="231"/>
      <c r="AW295" s="231"/>
      <c r="AX295" s="231"/>
      <c r="AY295" s="231"/>
      <c r="AZ295" s="231"/>
      <c r="BA295" s="231"/>
      <c r="BB295" s="231"/>
      <c r="BC295" s="231"/>
      <c r="BD295" s="231"/>
      <c r="BE295" s="231"/>
      <c r="BF295" s="231"/>
      <c r="BG295" s="231"/>
      <c r="BH295" s="231"/>
      <c r="BI295" s="231"/>
      <c r="BJ295" s="231"/>
      <c r="BK295" s="231"/>
      <c r="BL295" s="231"/>
      <c r="BM295" s="231"/>
      <c r="BN295" s="231"/>
      <c r="BO295" s="231"/>
      <c r="BP295" s="231"/>
      <c r="BQ295" s="231"/>
      <c r="BR295" s="231"/>
      <c r="BS295" s="231"/>
    </row>
    <row r="296" spans="1:71" s="203" customFormat="1">
      <c r="A296" s="350">
        <v>11</v>
      </c>
      <c r="B296" s="47" t="s">
        <v>226</v>
      </c>
      <c r="C296" s="47"/>
      <c r="D296" s="47"/>
      <c r="E296" s="114">
        <f>SUM('Aberdeen City:West Lothian'!E296)</f>
        <v>4795.9639999999999</v>
      </c>
      <c r="F296" s="52">
        <f>SUM('Aberdeen City:West Lothian'!F296)</f>
        <v>4250</v>
      </c>
      <c r="G296" s="118"/>
      <c r="H296" s="122">
        <f>SUM('Aberdeen City:West Lothian'!H296)</f>
        <v>4618</v>
      </c>
      <c r="I296" s="21"/>
      <c r="J296" s="86"/>
      <c r="K296" s="86"/>
      <c r="L296" s="15"/>
      <c r="M296" s="8"/>
      <c r="N296" s="15"/>
      <c r="O296" s="231"/>
      <c r="P296" s="231"/>
      <c r="Q296" s="231"/>
      <c r="R296" s="231"/>
      <c r="S296" s="231"/>
      <c r="T296" s="231"/>
      <c r="U296" s="231"/>
      <c r="V296" s="231"/>
      <c r="W296" s="231"/>
      <c r="X296" s="231"/>
      <c r="Y296" s="231"/>
      <c r="Z296" s="231"/>
      <c r="AA296" s="231"/>
      <c r="AB296" s="231"/>
      <c r="AC296" s="231"/>
      <c r="AD296" s="231"/>
      <c r="AE296" s="231"/>
      <c r="AF296" s="231"/>
      <c r="AG296" s="231"/>
      <c r="AH296" s="231"/>
      <c r="AI296" s="231"/>
      <c r="AJ296" s="231"/>
      <c r="AK296" s="231"/>
      <c r="AL296" s="231"/>
      <c r="AM296" s="231"/>
      <c r="AN296" s="231"/>
      <c r="AO296" s="231"/>
      <c r="AP296" s="231"/>
      <c r="AQ296" s="231"/>
      <c r="AR296" s="231"/>
      <c r="AS296" s="231"/>
      <c r="AT296" s="231"/>
      <c r="AU296" s="231"/>
      <c r="AV296" s="231"/>
      <c r="AW296" s="231"/>
      <c r="AX296" s="231"/>
      <c r="AY296" s="231"/>
      <c r="AZ296" s="231"/>
      <c r="BA296" s="231"/>
      <c r="BB296" s="231"/>
      <c r="BC296" s="231"/>
      <c r="BD296" s="231"/>
      <c r="BE296" s="231"/>
      <c r="BF296" s="231"/>
      <c r="BG296" s="231"/>
      <c r="BH296" s="231"/>
      <c r="BI296" s="231"/>
      <c r="BJ296" s="231"/>
      <c r="BK296" s="231"/>
      <c r="BL296" s="231"/>
      <c r="BM296" s="231"/>
      <c r="BN296" s="231"/>
      <c r="BO296" s="231"/>
      <c r="BP296" s="231"/>
      <c r="BQ296" s="231"/>
      <c r="BR296" s="231"/>
      <c r="BS296" s="231"/>
    </row>
    <row r="297" spans="1:71" s="203" customFormat="1">
      <c r="A297" s="120">
        <v>12</v>
      </c>
      <c r="B297" s="47" t="s">
        <v>227</v>
      </c>
      <c r="C297" s="47"/>
      <c r="D297" s="47"/>
      <c r="E297" s="114">
        <f>SUM('Aberdeen City:West Lothian'!E297)</f>
        <v>4125.194661399928</v>
      </c>
      <c r="F297" s="52">
        <f>SUM('Aberdeen City:West Lothian'!F297)</f>
        <v>5764</v>
      </c>
      <c r="G297" s="118"/>
      <c r="H297" s="122">
        <f>SUM('Aberdeen City:West Lothian'!H297)</f>
        <v>5176</v>
      </c>
      <c r="I297" s="21"/>
      <c r="J297" s="86"/>
      <c r="K297" s="86"/>
      <c r="L297" s="15"/>
      <c r="M297" s="8"/>
      <c r="N297" s="15"/>
      <c r="O297" s="231"/>
      <c r="P297" s="231"/>
      <c r="Q297" s="231"/>
      <c r="R297" s="231"/>
      <c r="S297" s="231"/>
      <c r="T297" s="231"/>
      <c r="U297" s="231"/>
      <c r="V297" s="231"/>
      <c r="W297" s="231"/>
      <c r="X297" s="231"/>
      <c r="Y297" s="231"/>
      <c r="Z297" s="231"/>
      <c r="AA297" s="231"/>
      <c r="AB297" s="231"/>
      <c r="AC297" s="231"/>
      <c r="AD297" s="231"/>
      <c r="AE297" s="231"/>
      <c r="AF297" s="231"/>
      <c r="AG297" s="231"/>
      <c r="AH297" s="231"/>
      <c r="AI297" s="231"/>
      <c r="AJ297" s="231"/>
      <c r="AK297" s="231"/>
      <c r="AL297" s="231"/>
      <c r="AM297" s="231"/>
      <c r="AN297" s="231"/>
      <c r="AO297" s="231"/>
      <c r="AP297" s="231"/>
      <c r="AQ297" s="231"/>
      <c r="AR297" s="231"/>
      <c r="AS297" s="231"/>
      <c r="AT297" s="231"/>
      <c r="AU297" s="231"/>
      <c r="AV297" s="231"/>
      <c r="AW297" s="231"/>
      <c r="AX297" s="231"/>
      <c r="AY297" s="231"/>
      <c r="AZ297" s="231"/>
      <c r="BA297" s="231"/>
      <c r="BB297" s="231"/>
      <c r="BC297" s="231"/>
      <c r="BD297" s="231"/>
      <c r="BE297" s="231"/>
      <c r="BF297" s="231"/>
      <c r="BG297" s="231"/>
      <c r="BH297" s="231"/>
      <c r="BI297" s="231"/>
      <c r="BJ297" s="231"/>
      <c r="BK297" s="231"/>
      <c r="BL297" s="231"/>
      <c r="BM297" s="231"/>
      <c r="BN297" s="231"/>
      <c r="BO297" s="231"/>
      <c r="BP297" s="231"/>
      <c r="BQ297" s="231"/>
      <c r="BR297" s="231"/>
      <c r="BS297" s="231"/>
    </row>
    <row r="298" spans="1:71" s="203" customFormat="1">
      <c r="A298" s="350">
        <v>13</v>
      </c>
      <c r="B298" s="47" t="s">
        <v>228</v>
      </c>
      <c r="C298" s="47"/>
      <c r="D298" s="47"/>
      <c r="E298" s="114">
        <f>SUM('Aberdeen City:West Lothian'!E298)</f>
        <v>114813.01619349337</v>
      </c>
      <c r="F298" s="52">
        <f>SUM('Aberdeen City:West Lothian'!F298)</f>
        <v>126599</v>
      </c>
      <c r="G298" s="118"/>
      <c r="H298" s="122">
        <f>SUM('Aberdeen City:West Lothian'!H298)</f>
        <v>118751</v>
      </c>
      <c r="I298" s="21"/>
      <c r="J298" s="86"/>
      <c r="K298" s="86"/>
      <c r="L298" s="15"/>
      <c r="M298" s="8"/>
      <c r="N298" s="15"/>
      <c r="O298" s="231"/>
      <c r="P298" s="231"/>
      <c r="Q298" s="231"/>
      <c r="R298" s="231"/>
      <c r="S298" s="231"/>
      <c r="T298" s="231"/>
      <c r="U298" s="231"/>
      <c r="V298" s="231"/>
      <c r="W298" s="231"/>
      <c r="X298" s="231"/>
      <c r="Y298" s="231"/>
      <c r="Z298" s="231"/>
      <c r="AA298" s="231"/>
      <c r="AB298" s="231"/>
      <c r="AC298" s="231"/>
      <c r="AD298" s="231"/>
      <c r="AE298" s="231"/>
      <c r="AF298" s="231"/>
      <c r="AG298" s="231"/>
      <c r="AH298" s="231"/>
      <c r="AI298" s="231"/>
      <c r="AJ298" s="231"/>
      <c r="AK298" s="231"/>
      <c r="AL298" s="231"/>
      <c r="AM298" s="231"/>
      <c r="AN298" s="231"/>
      <c r="AO298" s="231"/>
      <c r="AP298" s="231"/>
      <c r="AQ298" s="231"/>
      <c r="AR298" s="231"/>
      <c r="AS298" s="231"/>
      <c r="AT298" s="231"/>
      <c r="AU298" s="231"/>
      <c r="AV298" s="231"/>
      <c r="AW298" s="231"/>
      <c r="AX298" s="231"/>
      <c r="AY298" s="231"/>
      <c r="AZ298" s="231"/>
      <c r="BA298" s="231"/>
      <c r="BB298" s="231"/>
      <c r="BC298" s="231"/>
      <c r="BD298" s="231"/>
      <c r="BE298" s="231"/>
      <c r="BF298" s="231"/>
      <c r="BG298" s="231"/>
      <c r="BH298" s="231"/>
      <c r="BI298" s="231"/>
      <c r="BJ298" s="231"/>
      <c r="BK298" s="231"/>
      <c r="BL298" s="231"/>
      <c r="BM298" s="231"/>
      <c r="BN298" s="231"/>
      <c r="BO298" s="231"/>
      <c r="BP298" s="231"/>
      <c r="BQ298" s="231"/>
      <c r="BR298" s="231"/>
      <c r="BS298" s="231"/>
    </row>
    <row r="299" spans="1:71" s="203" customFormat="1">
      <c r="A299" s="120">
        <v>14</v>
      </c>
      <c r="B299" s="47" t="s">
        <v>229</v>
      </c>
      <c r="C299" s="47"/>
      <c r="D299" s="116"/>
      <c r="E299" s="114">
        <f>SUM('Aberdeen City:West Lothian'!E299)</f>
        <v>0</v>
      </c>
      <c r="F299" s="52">
        <f>SUM('Aberdeen City:West Lothian'!F299)</f>
        <v>1</v>
      </c>
      <c r="G299" s="118"/>
      <c r="H299" s="122">
        <f>SUM('Aberdeen City:West Lothian'!H299)</f>
        <v>0</v>
      </c>
      <c r="I299" s="21"/>
      <c r="J299" s="86"/>
      <c r="K299" s="86"/>
      <c r="L299" s="15"/>
      <c r="M299" s="8"/>
      <c r="N299" s="15"/>
      <c r="O299" s="231"/>
      <c r="P299" s="231"/>
      <c r="Q299" s="231"/>
      <c r="R299" s="231"/>
      <c r="S299" s="231"/>
      <c r="T299" s="231"/>
      <c r="U299" s="231"/>
      <c r="V299" s="231"/>
      <c r="W299" s="231"/>
      <c r="X299" s="231"/>
      <c r="Y299" s="231"/>
      <c r="Z299" s="231"/>
      <c r="AA299" s="231"/>
      <c r="AB299" s="231"/>
      <c r="AC299" s="231"/>
      <c r="AD299" s="231"/>
      <c r="AE299" s="231"/>
      <c r="AF299" s="231"/>
      <c r="AG299" s="231"/>
      <c r="AH299" s="231"/>
      <c r="AI299" s="231"/>
      <c r="AJ299" s="231"/>
      <c r="AK299" s="231"/>
      <c r="AL299" s="231"/>
      <c r="AM299" s="231"/>
      <c r="AN299" s="231"/>
      <c r="AO299" s="231"/>
      <c r="AP299" s="231"/>
      <c r="AQ299" s="231"/>
      <c r="AR299" s="231"/>
      <c r="AS299" s="231"/>
      <c r="AT299" s="231"/>
      <c r="AU299" s="231"/>
      <c r="AV299" s="231"/>
      <c r="AW299" s="231"/>
      <c r="AX299" s="231"/>
      <c r="AY299" s="231"/>
      <c r="AZ299" s="231"/>
      <c r="BA299" s="231"/>
      <c r="BB299" s="231"/>
      <c r="BC299" s="231"/>
      <c r="BD299" s="231"/>
      <c r="BE299" s="231"/>
      <c r="BF299" s="231"/>
      <c r="BG299" s="231"/>
      <c r="BH299" s="231"/>
      <c r="BI299" s="231"/>
      <c r="BJ299" s="231"/>
      <c r="BK299" s="231"/>
      <c r="BL299" s="231"/>
      <c r="BM299" s="231"/>
      <c r="BN299" s="231"/>
      <c r="BO299" s="231"/>
      <c r="BP299" s="231"/>
      <c r="BQ299" s="231"/>
      <c r="BR299" s="231"/>
      <c r="BS299" s="231"/>
    </row>
    <row r="300" spans="1:71" s="203" customFormat="1">
      <c r="A300" s="350">
        <v>15</v>
      </c>
      <c r="B300" s="47" t="s">
        <v>230</v>
      </c>
      <c r="C300" s="47"/>
      <c r="D300" s="116"/>
      <c r="E300" s="114">
        <f>SUM('Aberdeen City:West Lothian'!E300)</f>
        <v>84868.08004999999</v>
      </c>
      <c r="F300" s="52">
        <f>SUM('Aberdeen City:West Lothian'!F300)</f>
        <v>93120</v>
      </c>
      <c r="G300" s="118"/>
      <c r="H300" s="122">
        <f>SUM('Aberdeen City:West Lothian'!H300)</f>
        <v>86164</v>
      </c>
      <c r="I300" s="21"/>
      <c r="J300" s="86"/>
      <c r="K300" s="86"/>
      <c r="L300" s="15"/>
      <c r="M300" s="8"/>
      <c r="N300" s="15"/>
      <c r="O300" s="231"/>
      <c r="P300" s="231"/>
      <c r="Q300" s="231"/>
      <c r="R300" s="231"/>
      <c r="S300" s="231"/>
      <c r="T300" s="231"/>
      <c r="U300" s="231"/>
      <c r="V300" s="231"/>
      <c r="W300" s="231"/>
      <c r="X300" s="231"/>
      <c r="Y300" s="231"/>
      <c r="Z300" s="231"/>
      <c r="AA300" s="231"/>
      <c r="AB300" s="231"/>
      <c r="AC300" s="231"/>
      <c r="AD300" s="231"/>
      <c r="AE300" s="231"/>
      <c r="AF300" s="231"/>
      <c r="AG300" s="231"/>
      <c r="AH300" s="231"/>
      <c r="AI300" s="231"/>
      <c r="AJ300" s="231"/>
      <c r="AK300" s="231"/>
      <c r="AL300" s="231"/>
      <c r="AM300" s="231"/>
      <c r="AN300" s="231"/>
      <c r="AO300" s="231"/>
      <c r="AP300" s="231"/>
      <c r="AQ300" s="231"/>
      <c r="AR300" s="231"/>
      <c r="AS300" s="231"/>
      <c r="AT300" s="231"/>
      <c r="AU300" s="231"/>
      <c r="AV300" s="231"/>
      <c r="AW300" s="231"/>
      <c r="AX300" s="231"/>
      <c r="AY300" s="231"/>
      <c r="AZ300" s="231"/>
      <c r="BA300" s="231"/>
      <c r="BB300" s="231"/>
      <c r="BC300" s="231"/>
      <c r="BD300" s="231"/>
      <c r="BE300" s="231"/>
      <c r="BF300" s="231"/>
      <c r="BG300" s="231"/>
      <c r="BH300" s="231"/>
      <c r="BI300" s="231"/>
      <c r="BJ300" s="231"/>
      <c r="BK300" s="231"/>
      <c r="BL300" s="231"/>
      <c r="BM300" s="231"/>
      <c r="BN300" s="231"/>
      <c r="BO300" s="231"/>
      <c r="BP300" s="231"/>
      <c r="BQ300" s="231"/>
      <c r="BR300" s="231"/>
      <c r="BS300" s="231"/>
    </row>
    <row r="301" spans="1:71" s="203" customFormat="1">
      <c r="A301" s="120">
        <v>17</v>
      </c>
      <c r="B301" s="47" t="s">
        <v>231</v>
      </c>
      <c r="C301" s="47"/>
      <c r="D301" s="47"/>
      <c r="E301" s="114">
        <f>SUM('Aberdeen City:West Lothian'!E301)</f>
        <v>62311.183573382885</v>
      </c>
      <c r="F301" s="52">
        <f>SUM('Aberdeen City:West Lothian'!F301)</f>
        <v>48476</v>
      </c>
      <c r="G301" s="118"/>
      <c r="H301" s="99">
        <f>SUM('Aberdeen City:West Lothian'!H301)</f>
        <v>45096</v>
      </c>
      <c r="I301" s="21"/>
      <c r="J301" s="86"/>
      <c r="K301" s="86"/>
      <c r="L301" s="15"/>
      <c r="M301" s="8"/>
      <c r="N301" s="15"/>
      <c r="O301" s="231"/>
      <c r="P301" s="231"/>
      <c r="Q301" s="231"/>
      <c r="R301" s="231"/>
      <c r="S301" s="231"/>
      <c r="T301" s="231"/>
      <c r="U301" s="231"/>
      <c r="V301" s="231"/>
      <c r="W301" s="231"/>
      <c r="X301" s="231"/>
      <c r="Y301" s="231"/>
      <c r="Z301" s="231"/>
      <c r="AA301" s="231"/>
      <c r="AB301" s="231"/>
      <c r="AC301" s="231"/>
      <c r="AD301" s="231"/>
      <c r="AE301" s="231"/>
      <c r="AF301" s="231"/>
      <c r="AG301" s="231"/>
      <c r="AH301" s="231"/>
      <c r="AI301" s="231"/>
      <c r="AJ301" s="231"/>
      <c r="AK301" s="231"/>
      <c r="AL301" s="231"/>
      <c r="AM301" s="231"/>
      <c r="AN301" s="231"/>
      <c r="AO301" s="231"/>
      <c r="AP301" s="231"/>
      <c r="AQ301" s="231"/>
      <c r="AR301" s="231"/>
      <c r="AS301" s="231"/>
      <c r="AT301" s="231"/>
      <c r="AU301" s="231"/>
      <c r="AV301" s="231"/>
      <c r="AW301" s="231"/>
      <c r="AX301" s="231"/>
      <c r="AY301" s="231"/>
      <c r="AZ301" s="231"/>
      <c r="BA301" s="231"/>
      <c r="BB301" s="231"/>
      <c r="BC301" s="231"/>
      <c r="BD301" s="231"/>
      <c r="BE301" s="231"/>
      <c r="BF301" s="231"/>
      <c r="BG301" s="231"/>
      <c r="BH301" s="231"/>
      <c r="BI301" s="231"/>
      <c r="BJ301" s="231"/>
      <c r="BK301" s="231"/>
      <c r="BL301" s="231"/>
      <c r="BM301" s="231"/>
      <c r="BN301" s="231"/>
      <c r="BO301" s="231"/>
      <c r="BP301" s="231"/>
      <c r="BQ301" s="231"/>
      <c r="BR301" s="231"/>
      <c r="BS301" s="231"/>
    </row>
    <row r="302" spans="1:71" s="203" customFormat="1">
      <c r="A302" s="351">
        <v>18</v>
      </c>
      <c r="B302" s="94" t="s">
        <v>232</v>
      </c>
      <c r="C302" s="94"/>
      <c r="D302" s="94"/>
      <c r="E302" s="159">
        <f>SUM('Aberdeen City:West Lothian'!E302)</f>
        <v>380296.89232288569</v>
      </c>
      <c r="F302" s="61">
        <f>SUM(F286:F301)</f>
        <v>389340</v>
      </c>
      <c r="G302" s="118"/>
      <c r="H302" s="61">
        <f>SUM(H286:H301)</f>
        <v>371253</v>
      </c>
      <c r="I302" s="21"/>
      <c r="J302" s="86"/>
      <c r="K302" s="86"/>
      <c r="L302" s="15"/>
      <c r="M302" s="8"/>
      <c r="N302" s="15"/>
      <c r="O302" s="231"/>
      <c r="P302" s="231"/>
      <c r="Q302" s="231"/>
      <c r="R302" s="231"/>
      <c r="S302" s="231"/>
      <c r="T302" s="231"/>
      <c r="U302" s="231"/>
      <c r="V302" s="231"/>
      <c r="W302" s="231"/>
      <c r="X302" s="231"/>
      <c r="Y302" s="231"/>
      <c r="Z302" s="231"/>
      <c r="AA302" s="231"/>
      <c r="AB302" s="231"/>
      <c r="AC302" s="231"/>
      <c r="AD302" s="231"/>
      <c r="AE302" s="231"/>
      <c r="AF302" s="231"/>
      <c r="AG302" s="231"/>
      <c r="AH302" s="231"/>
      <c r="AI302" s="231"/>
      <c r="AJ302" s="231"/>
      <c r="AK302" s="231"/>
      <c r="AL302" s="231"/>
      <c r="AM302" s="231"/>
      <c r="AN302" s="231"/>
      <c r="AO302" s="231"/>
      <c r="AP302" s="231"/>
      <c r="AQ302" s="231"/>
      <c r="AR302" s="231"/>
      <c r="AS302" s="231"/>
      <c r="AT302" s="231"/>
      <c r="AU302" s="231"/>
      <c r="AV302" s="231"/>
      <c r="AW302" s="231"/>
      <c r="AX302" s="231"/>
      <c r="AY302" s="231"/>
      <c r="AZ302" s="231"/>
      <c r="BA302" s="231"/>
      <c r="BB302" s="231"/>
      <c r="BC302" s="231"/>
      <c r="BD302" s="231"/>
      <c r="BE302" s="231"/>
      <c r="BF302" s="231"/>
      <c r="BG302" s="231"/>
      <c r="BH302" s="231"/>
      <c r="BI302" s="231"/>
      <c r="BJ302" s="231"/>
      <c r="BK302" s="231"/>
      <c r="BL302" s="231"/>
      <c r="BM302" s="231"/>
      <c r="BN302" s="231"/>
      <c r="BO302" s="231"/>
      <c r="BP302" s="231"/>
      <c r="BQ302" s="231"/>
      <c r="BR302" s="231"/>
      <c r="BS302" s="231"/>
    </row>
    <row r="303" spans="1:71" s="203" customFormat="1">
      <c r="A303" s="179"/>
      <c r="B303" s="180"/>
      <c r="C303" s="180"/>
      <c r="D303" s="181"/>
      <c r="E303" s="182"/>
      <c r="F303" s="183"/>
      <c r="G303" s="21"/>
      <c r="H303" s="183"/>
      <c r="I303" s="21"/>
      <c r="J303" s="86"/>
      <c r="K303" s="86"/>
      <c r="L303" s="15"/>
      <c r="M303" s="8"/>
      <c r="N303" s="15"/>
      <c r="O303" s="231"/>
      <c r="P303" s="231"/>
      <c r="Q303" s="231"/>
      <c r="R303" s="231"/>
      <c r="S303" s="231"/>
      <c r="T303" s="231"/>
      <c r="U303" s="231"/>
      <c r="V303" s="231"/>
      <c r="W303" s="231"/>
      <c r="X303" s="231"/>
      <c r="Y303" s="231"/>
      <c r="Z303" s="231"/>
      <c r="AA303" s="231"/>
      <c r="AB303" s="231"/>
      <c r="AC303" s="231"/>
      <c r="AD303" s="231"/>
      <c r="AE303" s="231"/>
      <c r="AF303" s="231"/>
      <c r="AG303" s="231"/>
      <c r="AH303" s="231"/>
      <c r="AI303" s="231"/>
      <c r="AJ303" s="231"/>
      <c r="AK303" s="231"/>
      <c r="AL303" s="231"/>
      <c r="AM303" s="231"/>
      <c r="AN303" s="231"/>
      <c r="AO303" s="231"/>
      <c r="AP303" s="231"/>
      <c r="AQ303" s="231"/>
      <c r="AR303" s="231"/>
      <c r="AS303" s="231"/>
      <c r="AT303" s="231"/>
      <c r="AU303" s="231"/>
      <c r="AV303" s="231"/>
      <c r="AW303" s="231"/>
      <c r="AX303" s="231"/>
      <c r="AY303" s="231"/>
      <c r="AZ303" s="231"/>
      <c r="BA303" s="231"/>
      <c r="BB303" s="231"/>
      <c r="BC303" s="231"/>
      <c r="BD303" s="231"/>
      <c r="BE303" s="231"/>
      <c r="BF303" s="231"/>
      <c r="BG303" s="231"/>
      <c r="BH303" s="231"/>
      <c r="BI303" s="231"/>
      <c r="BJ303" s="231"/>
      <c r="BK303" s="231"/>
      <c r="BL303" s="231"/>
      <c r="BM303" s="231"/>
      <c r="BN303" s="231"/>
      <c r="BO303" s="231"/>
      <c r="BP303" s="231"/>
      <c r="BQ303" s="231"/>
      <c r="BR303" s="231"/>
      <c r="BS303" s="231"/>
    </row>
    <row r="304" spans="1:71" s="203" customFormat="1">
      <c r="A304" s="184"/>
      <c r="B304" s="207"/>
      <c r="C304" s="207"/>
      <c r="D304" s="209"/>
      <c r="E304" s="185"/>
      <c r="F304" s="207"/>
      <c r="G304" s="207"/>
      <c r="H304" s="131" t="s">
        <v>27</v>
      </c>
      <c r="I304" s="21"/>
      <c r="J304" s="86"/>
      <c r="K304" s="86"/>
      <c r="L304" s="15"/>
      <c r="M304" s="8"/>
      <c r="N304" s="15"/>
      <c r="O304" s="231"/>
      <c r="P304" s="231"/>
      <c r="Q304" s="231"/>
      <c r="R304" s="231"/>
      <c r="S304" s="231"/>
      <c r="T304" s="231"/>
      <c r="U304" s="231"/>
      <c r="V304" s="231"/>
      <c r="W304" s="231"/>
      <c r="X304" s="231"/>
      <c r="Y304" s="231"/>
      <c r="Z304" s="231"/>
      <c r="AA304" s="231"/>
      <c r="AB304" s="231"/>
      <c r="AC304" s="231"/>
      <c r="AD304" s="231"/>
      <c r="AE304" s="231"/>
      <c r="AF304" s="231"/>
      <c r="AG304" s="231"/>
      <c r="AH304" s="231"/>
      <c r="AI304" s="231"/>
      <c r="AJ304" s="231"/>
      <c r="AK304" s="231"/>
      <c r="AL304" s="231"/>
      <c r="AM304" s="231"/>
      <c r="AN304" s="231"/>
      <c r="AO304" s="231"/>
      <c r="AP304" s="231"/>
      <c r="AQ304" s="231"/>
      <c r="AR304" s="231"/>
      <c r="AS304" s="231"/>
      <c r="AT304" s="231"/>
      <c r="AU304" s="231"/>
      <c r="AV304" s="231"/>
      <c r="AW304" s="231"/>
      <c r="AX304" s="231"/>
      <c r="AY304" s="231"/>
      <c r="AZ304" s="231"/>
      <c r="BA304" s="231"/>
      <c r="BB304" s="231"/>
      <c r="BC304" s="231"/>
      <c r="BD304" s="231"/>
      <c r="BE304" s="231"/>
      <c r="BF304" s="231"/>
      <c r="BG304" s="231"/>
      <c r="BH304" s="231"/>
      <c r="BI304" s="231"/>
      <c r="BJ304" s="231"/>
      <c r="BK304" s="231"/>
      <c r="BL304" s="231"/>
      <c r="BM304" s="231"/>
      <c r="BN304" s="231"/>
      <c r="BO304" s="231"/>
      <c r="BP304" s="231"/>
      <c r="BQ304" s="231"/>
      <c r="BR304" s="231"/>
      <c r="BS304" s="231"/>
    </row>
    <row r="305" spans="1:71" s="203" customFormat="1" ht="12.75" customHeight="1">
      <c r="A305" s="106" t="s">
        <v>21</v>
      </c>
      <c r="B305" s="164"/>
      <c r="C305" s="164"/>
      <c r="D305" s="164"/>
      <c r="E305" s="856" t="s">
        <v>377</v>
      </c>
      <c r="F305" s="853" t="s">
        <v>402</v>
      </c>
      <c r="G305" s="207"/>
      <c r="H305" s="856" t="s">
        <v>403</v>
      </c>
      <c r="I305" s="21"/>
      <c r="J305" s="86"/>
      <c r="K305" s="86"/>
      <c r="L305" s="15"/>
      <c r="M305" s="8"/>
      <c r="N305" s="15"/>
      <c r="O305" s="231"/>
      <c r="P305" s="231"/>
      <c r="Q305" s="231"/>
      <c r="R305" s="231"/>
      <c r="S305" s="231"/>
      <c r="T305" s="231"/>
      <c r="U305" s="231"/>
      <c r="V305" s="231"/>
      <c r="W305" s="231"/>
      <c r="X305" s="231"/>
      <c r="Y305" s="231"/>
      <c r="Z305" s="231"/>
      <c r="AA305" s="231"/>
      <c r="AB305" s="231"/>
      <c r="AC305" s="231"/>
      <c r="AD305" s="231"/>
      <c r="AE305" s="231"/>
      <c r="AF305" s="231"/>
      <c r="AG305" s="231"/>
      <c r="AH305" s="231"/>
      <c r="AI305" s="231"/>
      <c r="AJ305" s="231"/>
      <c r="AK305" s="231"/>
      <c r="AL305" s="231"/>
      <c r="AM305" s="231"/>
      <c r="AN305" s="231"/>
      <c r="AO305" s="231"/>
      <c r="AP305" s="231"/>
      <c r="AQ305" s="231"/>
      <c r="AR305" s="231"/>
      <c r="AS305" s="231"/>
      <c r="AT305" s="231"/>
      <c r="AU305" s="231"/>
      <c r="AV305" s="231"/>
      <c r="AW305" s="231"/>
      <c r="AX305" s="231"/>
      <c r="AY305" s="231"/>
      <c r="AZ305" s="231"/>
      <c r="BA305" s="231"/>
      <c r="BB305" s="231"/>
      <c r="BC305" s="231"/>
      <c r="BD305" s="231"/>
      <c r="BE305" s="231"/>
      <c r="BF305" s="231"/>
      <c r="BG305" s="231"/>
      <c r="BH305" s="231"/>
      <c r="BI305" s="231"/>
      <c r="BJ305" s="231"/>
      <c r="BK305" s="231"/>
      <c r="BL305" s="231"/>
      <c r="BM305" s="231"/>
      <c r="BN305" s="231"/>
      <c r="BO305" s="231"/>
      <c r="BP305" s="231"/>
      <c r="BQ305" s="231"/>
      <c r="BR305" s="231"/>
      <c r="BS305" s="231"/>
    </row>
    <row r="306" spans="1:71" s="203" customFormat="1">
      <c r="A306" s="165"/>
      <c r="B306" s="47"/>
      <c r="C306" s="47"/>
      <c r="D306" s="47"/>
      <c r="E306" s="859"/>
      <c r="F306" s="854"/>
      <c r="G306" s="207"/>
      <c r="H306" s="857"/>
      <c r="I306" s="21"/>
      <c r="J306" s="86"/>
      <c r="K306" s="86"/>
      <c r="L306" s="15"/>
      <c r="M306" s="8"/>
      <c r="N306" s="15"/>
      <c r="O306" s="231"/>
      <c r="P306" s="231"/>
      <c r="Q306" s="231"/>
      <c r="R306" s="231"/>
      <c r="S306" s="231"/>
      <c r="T306" s="231"/>
      <c r="U306" s="231"/>
      <c r="V306" s="231"/>
      <c r="W306" s="231"/>
      <c r="X306" s="231"/>
      <c r="Y306" s="231"/>
      <c r="Z306" s="231"/>
      <c r="AA306" s="231"/>
      <c r="AB306" s="231"/>
      <c r="AC306" s="231"/>
      <c r="AD306" s="231"/>
      <c r="AE306" s="231"/>
      <c r="AF306" s="231"/>
      <c r="AG306" s="231"/>
      <c r="AH306" s="231"/>
      <c r="AI306" s="231"/>
      <c r="AJ306" s="231"/>
      <c r="AK306" s="231"/>
      <c r="AL306" s="231"/>
      <c r="AM306" s="231"/>
      <c r="AN306" s="231"/>
      <c r="AO306" s="231"/>
      <c r="AP306" s="231"/>
      <c r="AQ306" s="231"/>
      <c r="AR306" s="231"/>
      <c r="AS306" s="231"/>
      <c r="AT306" s="231"/>
      <c r="AU306" s="231"/>
      <c r="AV306" s="231"/>
      <c r="AW306" s="231"/>
      <c r="AX306" s="231"/>
      <c r="AY306" s="231"/>
      <c r="AZ306" s="231"/>
      <c r="BA306" s="231"/>
      <c r="BB306" s="231"/>
      <c r="BC306" s="231"/>
      <c r="BD306" s="231"/>
      <c r="BE306" s="231"/>
      <c r="BF306" s="231"/>
      <c r="BG306" s="231"/>
      <c r="BH306" s="231"/>
      <c r="BI306" s="231"/>
      <c r="BJ306" s="231"/>
      <c r="BK306" s="231"/>
      <c r="BL306" s="231"/>
      <c r="BM306" s="231"/>
      <c r="BN306" s="231"/>
      <c r="BO306" s="231"/>
      <c r="BP306" s="231"/>
      <c r="BQ306" s="231"/>
      <c r="BR306" s="231"/>
      <c r="BS306" s="231"/>
    </row>
    <row r="307" spans="1:71" s="203" customFormat="1" ht="12.75" customHeight="1">
      <c r="A307" s="109"/>
      <c r="B307" s="174"/>
      <c r="C307" s="174"/>
      <c r="D307" s="174"/>
      <c r="E307" s="859"/>
      <c r="F307" s="854"/>
      <c r="G307" s="207"/>
      <c r="H307" s="857"/>
      <c r="I307" s="21"/>
      <c r="J307" s="86"/>
      <c r="K307" s="86"/>
      <c r="L307" s="15"/>
      <c r="M307" s="8"/>
      <c r="N307" s="15"/>
      <c r="O307" s="231"/>
      <c r="P307" s="231"/>
      <c r="Q307" s="231"/>
      <c r="R307" s="231"/>
      <c r="S307" s="231"/>
      <c r="T307" s="231"/>
      <c r="U307" s="231"/>
      <c r="V307" s="231"/>
      <c r="W307" s="231"/>
      <c r="X307" s="231"/>
      <c r="Y307" s="231"/>
      <c r="Z307" s="231"/>
      <c r="AA307" s="231"/>
      <c r="AB307" s="231"/>
      <c r="AC307" s="231"/>
      <c r="AD307" s="231"/>
      <c r="AE307" s="231"/>
      <c r="AF307" s="231"/>
      <c r="AG307" s="231"/>
      <c r="AH307" s="231"/>
      <c r="AI307" s="231"/>
      <c r="AJ307" s="231"/>
      <c r="AK307" s="231"/>
      <c r="AL307" s="231"/>
      <c r="AM307" s="231"/>
      <c r="AN307" s="231"/>
      <c r="AO307" s="231"/>
      <c r="AP307" s="231"/>
      <c r="AQ307" s="231"/>
      <c r="AR307" s="231"/>
      <c r="AS307" s="231"/>
      <c r="AT307" s="231"/>
      <c r="AU307" s="231"/>
      <c r="AV307" s="231"/>
      <c r="AW307" s="231"/>
      <c r="AX307" s="231"/>
      <c r="AY307" s="231"/>
      <c r="AZ307" s="231"/>
      <c r="BA307" s="231"/>
      <c r="BB307" s="231"/>
      <c r="BC307" s="231"/>
      <c r="BD307" s="231"/>
      <c r="BE307" s="231"/>
      <c r="BF307" s="231"/>
      <c r="BG307" s="231"/>
      <c r="BH307" s="231"/>
      <c r="BI307" s="231"/>
      <c r="BJ307" s="231"/>
      <c r="BK307" s="231"/>
      <c r="BL307" s="231"/>
      <c r="BM307" s="231"/>
      <c r="BN307" s="231"/>
      <c r="BO307" s="231"/>
      <c r="BP307" s="231"/>
      <c r="BQ307" s="231"/>
      <c r="BR307" s="231"/>
      <c r="BS307" s="231"/>
    </row>
    <row r="308" spans="1:71" s="203" customFormat="1">
      <c r="A308" s="154" t="s">
        <v>233</v>
      </c>
      <c r="B308" s="47"/>
      <c r="C308" s="47"/>
      <c r="D308" s="47"/>
      <c r="E308" s="859"/>
      <c r="F308" s="854"/>
      <c r="G308" s="207"/>
      <c r="H308" s="857"/>
      <c r="I308" s="21"/>
      <c r="J308" s="86"/>
      <c r="K308" s="86"/>
      <c r="L308" s="15"/>
      <c r="M308" s="8"/>
      <c r="N308" s="15"/>
      <c r="O308" s="231"/>
      <c r="P308" s="231"/>
      <c r="Q308" s="231"/>
      <c r="R308" s="231"/>
      <c r="S308" s="231"/>
      <c r="T308" s="231"/>
      <c r="U308" s="231"/>
      <c r="V308" s="231"/>
      <c r="W308" s="231"/>
      <c r="X308" s="231"/>
      <c r="Y308" s="231"/>
      <c r="Z308" s="231"/>
      <c r="AA308" s="231"/>
      <c r="AB308" s="231"/>
      <c r="AC308" s="231"/>
      <c r="AD308" s="231"/>
      <c r="AE308" s="231"/>
      <c r="AF308" s="231"/>
      <c r="AG308" s="231"/>
      <c r="AH308" s="231"/>
      <c r="AI308" s="231"/>
      <c r="AJ308" s="231"/>
      <c r="AK308" s="231"/>
      <c r="AL308" s="231"/>
      <c r="AM308" s="231"/>
      <c r="AN308" s="231"/>
      <c r="AO308" s="231"/>
      <c r="AP308" s="231"/>
      <c r="AQ308" s="231"/>
      <c r="AR308" s="231"/>
      <c r="AS308" s="231"/>
      <c r="AT308" s="231"/>
      <c r="AU308" s="231"/>
      <c r="AV308" s="231"/>
      <c r="AW308" s="231"/>
      <c r="AX308" s="231"/>
      <c r="AY308" s="231"/>
      <c r="AZ308" s="231"/>
      <c r="BA308" s="231"/>
      <c r="BB308" s="231"/>
      <c r="BC308" s="231"/>
      <c r="BD308" s="231"/>
      <c r="BE308" s="231"/>
      <c r="BF308" s="231"/>
      <c r="BG308" s="231"/>
      <c r="BH308" s="231"/>
      <c r="BI308" s="231"/>
      <c r="BJ308" s="231"/>
      <c r="BK308" s="231"/>
      <c r="BL308" s="231"/>
      <c r="BM308" s="231"/>
      <c r="BN308" s="231"/>
      <c r="BO308" s="231"/>
      <c r="BP308" s="231"/>
      <c r="BQ308" s="231"/>
      <c r="BR308" s="231"/>
      <c r="BS308" s="231"/>
    </row>
    <row r="309" spans="1:71" s="203" customFormat="1">
      <c r="A309" s="109" t="s">
        <v>83</v>
      </c>
      <c r="B309" s="174"/>
      <c r="C309" s="174"/>
      <c r="D309" s="174"/>
      <c r="E309" s="860"/>
      <c r="F309" s="855"/>
      <c r="G309" s="207"/>
      <c r="H309" s="858"/>
      <c r="I309" s="21"/>
      <c r="J309" s="86"/>
      <c r="K309" s="86"/>
      <c r="L309" s="15"/>
      <c r="M309" s="8"/>
      <c r="N309" s="15"/>
      <c r="O309" s="231"/>
      <c r="P309" s="231"/>
      <c r="Q309" s="231"/>
      <c r="R309" s="231"/>
      <c r="S309" s="231"/>
      <c r="T309" s="231"/>
      <c r="U309" s="231"/>
      <c r="V309" s="231"/>
      <c r="W309" s="231"/>
      <c r="X309" s="231"/>
      <c r="Y309" s="231"/>
      <c r="Z309" s="231"/>
      <c r="AA309" s="231"/>
      <c r="AB309" s="231"/>
      <c r="AC309" s="231"/>
      <c r="AD309" s="231"/>
      <c r="AE309" s="231"/>
      <c r="AF309" s="231"/>
      <c r="AG309" s="231"/>
      <c r="AH309" s="231"/>
      <c r="AI309" s="231"/>
      <c r="AJ309" s="231"/>
      <c r="AK309" s="231"/>
      <c r="AL309" s="231"/>
      <c r="AM309" s="231"/>
      <c r="AN309" s="231"/>
      <c r="AO309" s="231"/>
      <c r="AP309" s="231"/>
      <c r="AQ309" s="231"/>
      <c r="AR309" s="231"/>
      <c r="AS309" s="231"/>
      <c r="AT309" s="231"/>
      <c r="AU309" s="231"/>
      <c r="AV309" s="231"/>
      <c r="AW309" s="231"/>
      <c r="AX309" s="231"/>
      <c r="AY309" s="231"/>
      <c r="AZ309" s="231"/>
      <c r="BA309" s="231"/>
      <c r="BB309" s="231"/>
      <c r="BC309" s="231"/>
      <c r="BD309" s="231"/>
      <c r="BE309" s="231"/>
      <c r="BF309" s="231"/>
      <c r="BG309" s="231"/>
      <c r="BH309" s="231"/>
      <c r="BI309" s="231"/>
      <c r="BJ309" s="231"/>
      <c r="BK309" s="231"/>
      <c r="BL309" s="231"/>
      <c r="BM309" s="231"/>
      <c r="BN309" s="231"/>
      <c r="BO309" s="231"/>
      <c r="BP309" s="231"/>
      <c r="BQ309" s="231"/>
      <c r="BR309" s="231"/>
      <c r="BS309" s="231"/>
    </row>
    <row r="310" spans="1:71" s="203" customFormat="1">
      <c r="A310" s="110" t="s">
        <v>84</v>
      </c>
      <c r="B310" s="116"/>
      <c r="C310" s="116"/>
      <c r="D310" s="116"/>
      <c r="E310" s="262"/>
      <c r="F310" s="146"/>
      <c r="G310" s="118"/>
      <c r="H310" s="146"/>
      <c r="I310" s="21"/>
      <c r="J310" s="86"/>
      <c r="K310" s="86"/>
      <c r="L310" s="15"/>
      <c r="M310" s="8"/>
      <c r="N310" s="8"/>
      <c r="O310" s="231"/>
      <c r="P310" s="231"/>
      <c r="Q310" s="231"/>
      <c r="R310" s="231"/>
      <c r="S310" s="231"/>
      <c r="T310" s="231"/>
      <c r="U310" s="231"/>
      <c r="V310" s="231"/>
      <c r="W310" s="231"/>
      <c r="X310" s="231"/>
      <c r="Y310" s="231"/>
      <c r="Z310" s="231"/>
      <c r="AA310" s="231"/>
      <c r="AB310" s="231"/>
      <c r="AC310" s="231"/>
      <c r="AD310" s="231"/>
      <c r="AE310" s="231"/>
      <c r="AF310" s="231"/>
      <c r="AG310" s="231"/>
      <c r="AH310" s="231"/>
      <c r="AI310" s="231"/>
      <c r="AJ310" s="231"/>
      <c r="AK310" s="231"/>
      <c r="AL310" s="231"/>
      <c r="AM310" s="231"/>
      <c r="AN310" s="231"/>
      <c r="AO310" s="231"/>
      <c r="AP310" s="231"/>
      <c r="AQ310" s="231"/>
      <c r="AR310" s="231"/>
      <c r="AS310" s="231"/>
      <c r="AT310" s="231"/>
      <c r="AU310" s="231"/>
      <c r="AV310" s="231"/>
      <c r="AW310" s="231"/>
      <c r="AX310" s="231"/>
      <c r="AY310" s="231"/>
      <c r="AZ310" s="231"/>
      <c r="BA310" s="231"/>
      <c r="BB310" s="231"/>
      <c r="BC310" s="231"/>
      <c r="BD310" s="231"/>
      <c r="BE310" s="231"/>
      <c r="BF310" s="231"/>
      <c r="BG310" s="231"/>
      <c r="BH310" s="231"/>
      <c r="BI310" s="231"/>
      <c r="BJ310" s="231"/>
      <c r="BK310" s="231"/>
      <c r="BL310" s="231"/>
      <c r="BM310" s="231"/>
      <c r="BN310" s="231"/>
      <c r="BO310" s="231"/>
      <c r="BP310" s="231"/>
      <c r="BQ310" s="231"/>
      <c r="BR310" s="231"/>
      <c r="BS310" s="231"/>
    </row>
    <row r="311" spans="1:71" s="203" customFormat="1">
      <c r="A311" s="120">
        <v>1</v>
      </c>
      <c r="B311" s="47" t="s">
        <v>258</v>
      </c>
      <c r="C311" s="47"/>
      <c r="D311" s="186"/>
      <c r="E311" s="74">
        <f>SUM('Aberdeen City:West Lothian'!E311)</f>
        <v>-42599.335999999996</v>
      </c>
      <c r="F311" s="52">
        <f>SUM('Aberdeen City:West Lothian'!F311)</f>
        <v>-27171.751671653434</v>
      </c>
      <c r="G311" s="43"/>
      <c r="H311" s="52">
        <f>SUM('Aberdeen City:West Lothian'!H311)</f>
        <v>-36597.937626932689</v>
      </c>
      <c r="I311" s="21"/>
      <c r="J311" s="86"/>
      <c r="K311" s="86"/>
      <c r="L311" s="15"/>
      <c r="M311" s="8"/>
      <c r="N311" s="8"/>
      <c r="O311" s="231"/>
      <c r="P311" s="231"/>
      <c r="Q311" s="231"/>
      <c r="R311" s="231"/>
      <c r="S311" s="231"/>
      <c r="T311" s="231"/>
      <c r="U311" s="231"/>
      <c r="V311" s="231"/>
      <c r="W311" s="231"/>
      <c r="X311" s="231"/>
      <c r="Y311" s="231"/>
      <c r="Z311" s="231"/>
      <c r="AA311" s="231"/>
      <c r="AB311" s="231"/>
      <c r="AC311" s="231"/>
      <c r="AD311" s="231"/>
      <c r="AE311" s="231"/>
      <c r="AF311" s="231"/>
      <c r="AG311" s="231"/>
      <c r="AH311" s="231"/>
      <c r="AI311" s="231"/>
      <c r="AJ311" s="231"/>
      <c r="AK311" s="231"/>
      <c r="AL311" s="231"/>
      <c r="AM311" s="231"/>
      <c r="AN311" s="231"/>
      <c r="AO311" s="231"/>
      <c r="AP311" s="231"/>
      <c r="AQ311" s="231"/>
      <c r="AR311" s="231"/>
      <c r="AS311" s="231"/>
      <c r="AT311" s="231"/>
      <c r="AU311" s="231"/>
      <c r="AV311" s="231"/>
      <c r="AW311" s="231"/>
      <c r="AX311" s="231"/>
      <c r="AY311" s="231"/>
      <c r="AZ311" s="231"/>
      <c r="BA311" s="231"/>
      <c r="BB311" s="231"/>
      <c r="BC311" s="231"/>
      <c r="BD311" s="231"/>
      <c r="BE311" s="231"/>
      <c r="BF311" s="231"/>
      <c r="BG311" s="231"/>
      <c r="BH311" s="231"/>
      <c r="BI311" s="231"/>
      <c r="BJ311" s="231"/>
      <c r="BK311" s="231"/>
      <c r="BL311" s="231"/>
      <c r="BM311" s="231"/>
      <c r="BN311" s="231"/>
      <c r="BO311" s="231"/>
      <c r="BP311" s="231"/>
      <c r="BQ311" s="231"/>
      <c r="BR311" s="231"/>
      <c r="BS311" s="231"/>
    </row>
    <row r="312" spans="1:71" s="203" customFormat="1">
      <c r="A312" s="120">
        <v>2</v>
      </c>
      <c r="B312" s="47" t="s">
        <v>234</v>
      </c>
      <c r="C312" s="47"/>
      <c r="D312" s="186"/>
      <c r="E312" s="114">
        <f>SUM('Aberdeen City:West Lothian'!E312)</f>
        <v>18302</v>
      </c>
      <c r="F312" s="52">
        <f>SUM('Aberdeen City:West Lothian'!F312)</f>
        <v>17295</v>
      </c>
      <c r="G312" s="43"/>
      <c r="H312" s="52">
        <f>SUM('Aberdeen City:West Lothian'!H312)</f>
        <v>16178</v>
      </c>
      <c r="I312" s="21"/>
      <c r="J312" s="86"/>
      <c r="K312" s="86"/>
      <c r="L312" s="15"/>
      <c r="M312" s="8"/>
      <c r="N312" s="8"/>
      <c r="O312" s="231"/>
      <c r="P312" s="231"/>
      <c r="Q312" s="231"/>
      <c r="R312" s="231"/>
      <c r="S312" s="231"/>
      <c r="T312" s="231"/>
      <c r="U312" s="231"/>
      <c r="V312" s="231"/>
      <c r="W312" s="231"/>
      <c r="X312" s="231"/>
      <c r="Y312" s="231"/>
      <c r="Z312" s="231"/>
      <c r="AA312" s="231"/>
      <c r="AB312" s="231"/>
      <c r="AC312" s="231"/>
      <c r="AD312" s="231"/>
      <c r="AE312" s="231"/>
      <c r="AF312" s="231"/>
      <c r="AG312" s="231"/>
      <c r="AH312" s="231"/>
      <c r="AI312" s="231"/>
      <c r="AJ312" s="231"/>
      <c r="AK312" s="231"/>
      <c r="AL312" s="231"/>
      <c r="AM312" s="231"/>
      <c r="AN312" s="231"/>
      <c r="AO312" s="231"/>
      <c r="AP312" s="231"/>
      <c r="AQ312" s="231"/>
      <c r="AR312" s="231"/>
      <c r="AS312" s="231"/>
      <c r="AT312" s="231"/>
      <c r="AU312" s="231"/>
      <c r="AV312" s="231"/>
      <c r="AW312" s="231"/>
      <c r="AX312" s="231"/>
      <c r="AY312" s="231"/>
      <c r="AZ312" s="231"/>
      <c r="BA312" s="231"/>
      <c r="BB312" s="231"/>
      <c r="BC312" s="231"/>
      <c r="BD312" s="231"/>
      <c r="BE312" s="231"/>
      <c r="BF312" s="231"/>
      <c r="BG312" s="231"/>
      <c r="BH312" s="231"/>
      <c r="BI312" s="231"/>
      <c r="BJ312" s="231"/>
      <c r="BK312" s="231"/>
      <c r="BL312" s="231"/>
      <c r="BM312" s="231"/>
      <c r="BN312" s="231"/>
      <c r="BO312" s="231"/>
      <c r="BP312" s="231"/>
      <c r="BQ312" s="231"/>
      <c r="BR312" s="231"/>
      <c r="BS312" s="231"/>
    </row>
    <row r="313" spans="1:71" s="203" customFormat="1">
      <c r="A313" s="120">
        <v>3</v>
      </c>
      <c r="B313" s="47" t="s">
        <v>259</v>
      </c>
      <c r="C313" s="47"/>
      <c r="D313" s="186"/>
      <c r="E313" s="114">
        <f>SUM('Aberdeen City:West Lothian'!E313)</f>
        <v>-19133</v>
      </c>
      <c r="F313" s="52">
        <f>SUM('Aberdeen City:West Lothian'!F313)</f>
        <v>-22087</v>
      </c>
      <c r="G313" s="43"/>
      <c r="H313" s="52">
        <f>SUM('Aberdeen City:West Lothian'!H313)</f>
        <v>-20867</v>
      </c>
      <c r="I313" s="21"/>
      <c r="J313" s="86"/>
      <c r="K313" s="86"/>
      <c r="L313" s="15"/>
      <c r="M313" s="8"/>
      <c r="N313" s="8"/>
      <c r="O313" s="231"/>
      <c r="P313" s="231"/>
      <c r="Q313" s="231"/>
      <c r="R313" s="231"/>
      <c r="S313" s="231"/>
      <c r="T313" s="231"/>
      <c r="U313" s="231"/>
      <c r="V313" s="231"/>
      <c r="W313" s="231"/>
      <c r="X313" s="231"/>
      <c r="Y313" s="231"/>
      <c r="Z313" s="231"/>
      <c r="AA313" s="231"/>
      <c r="AB313" s="231"/>
      <c r="AC313" s="231"/>
      <c r="AD313" s="231"/>
      <c r="AE313" s="231"/>
      <c r="AF313" s="231"/>
      <c r="AG313" s="231"/>
      <c r="AH313" s="231"/>
      <c r="AI313" s="231"/>
      <c r="AJ313" s="231"/>
      <c r="AK313" s="231"/>
      <c r="AL313" s="231"/>
      <c r="AM313" s="231"/>
      <c r="AN313" s="231"/>
      <c r="AO313" s="231"/>
      <c r="AP313" s="231"/>
      <c r="AQ313" s="231"/>
      <c r="AR313" s="231"/>
      <c r="AS313" s="231"/>
      <c r="AT313" s="231"/>
      <c r="AU313" s="231"/>
      <c r="AV313" s="231"/>
      <c r="AW313" s="231"/>
      <c r="AX313" s="231"/>
      <c r="AY313" s="231"/>
      <c r="AZ313" s="231"/>
      <c r="BA313" s="231"/>
      <c r="BB313" s="231"/>
      <c r="BC313" s="231"/>
      <c r="BD313" s="231"/>
      <c r="BE313" s="231"/>
      <c r="BF313" s="231"/>
      <c r="BG313" s="231"/>
      <c r="BH313" s="231"/>
      <c r="BI313" s="231"/>
      <c r="BJ313" s="231"/>
      <c r="BK313" s="231"/>
      <c r="BL313" s="231"/>
      <c r="BM313" s="231"/>
      <c r="BN313" s="231"/>
      <c r="BO313" s="231"/>
      <c r="BP313" s="231"/>
      <c r="BQ313" s="231"/>
      <c r="BR313" s="231"/>
      <c r="BS313" s="231"/>
    </row>
    <row r="314" spans="1:71" s="203" customFormat="1">
      <c r="A314" s="120">
        <v>4</v>
      </c>
      <c r="B314" s="47" t="s">
        <v>235</v>
      </c>
      <c r="C314" s="47"/>
      <c r="D314" s="186"/>
      <c r="E314" s="114">
        <f>SUM('Aberdeen City:West Lothian'!E314)</f>
        <v>457222.25781443203</v>
      </c>
      <c r="F314" s="52">
        <f>SUM('Aberdeen City:West Lothian'!F314)</f>
        <v>409198.93648000003</v>
      </c>
      <c r="G314" s="43"/>
      <c r="H314" s="52">
        <f>SUM('Aberdeen City:West Lothian'!H314)</f>
        <v>374564</v>
      </c>
      <c r="I314" s="21"/>
      <c r="J314" s="86"/>
      <c r="K314" s="86"/>
      <c r="L314" s="15"/>
      <c r="M314" s="8"/>
      <c r="N314" s="8"/>
      <c r="O314" s="231"/>
      <c r="P314" s="231"/>
      <c r="Q314" s="231"/>
      <c r="R314" s="231"/>
      <c r="S314" s="231"/>
      <c r="T314" s="231"/>
      <c r="U314" s="231"/>
      <c r="V314" s="231"/>
      <c r="W314" s="231"/>
      <c r="X314" s="231"/>
      <c r="Y314" s="231"/>
      <c r="Z314" s="231"/>
      <c r="AA314" s="231"/>
      <c r="AB314" s="231"/>
      <c r="AC314" s="231"/>
      <c r="AD314" s="231"/>
      <c r="AE314" s="231"/>
      <c r="AF314" s="231"/>
      <c r="AG314" s="231"/>
      <c r="AH314" s="231"/>
      <c r="AI314" s="231"/>
      <c r="AJ314" s="231"/>
      <c r="AK314" s="231"/>
      <c r="AL314" s="231"/>
      <c r="AM314" s="231"/>
      <c r="AN314" s="231"/>
      <c r="AO314" s="231"/>
      <c r="AP314" s="231"/>
      <c r="AQ314" s="231"/>
      <c r="AR314" s="231"/>
      <c r="AS314" s="231"/>
      <c r="AT314" s="231"/>
      <c r="AU314" s="231"/>
      <c r="AV314" s="231"/>
      <c r="AW314" s="231"/>
      <c r="AX314" s="231"/>
      <c r="AY314" s="231"/>
      <c r="AZ314" s="231"/>
      <c r="BA314" s="231"/>
      <c r="BB314" s="231"/>
      <c r="BC314" s="231"/>
      <c r="BD314" s="231"/>
      <c r="BE314" s="231"/>
      <c r="BF314" s="231"/>
      <c r="BG314" s="231"/>
      <c r="BH314" s="231"/>
      <c r="BI314" s="231"/>
      <c r="BJ314" s="231"/>
      <c r="BK314" s="231"/>
      <c r="BL314" s="231"/>
      <c r="BM314" s="231"/>
      <c r="BN314" s="231"/>
      <c r="BO314" s="231"/>
      <c r="BP314" s="231"/>
      <c r="BQ314" s="231"/>
      <c r="BR314" s="231"/>
      <c r="BS314" s="231"/>
    </row>
    <row r="315" spans="1:71" s="203" customFormat="1">
      <c r="A315" s="120">
        <v>5</v>
      </c>
      <c r="B315" s="47" t="s">
        <v>236</v>
      </c>
      <c r="C315" s="47"/>
      <c r="D315" s="186"/>
      <c r="E315" s="114">
        <f>SUM('Aberdeen City:West Lothian'!E315)</f>
        <v>96069</v>
      </c>
      <c r="F315" s="52">
        <f>SUM('Aberdeen City:West Lothian'!F315)</f>
        <v>100991.67026019417</v>
      </c>
      <c r="G315" s="187"/>
      <c r="H315" s="52">
        <f>SUM('Aberdeen City:West Lothian'!H315)</f>
        <v>107366.67026019417</v>
      </c>
      <c r="I315" s="21"/>
      <c r="J315" s="86"/>
      <c r="K315" s="86"/>
      <c r="L315" s="192"/>
      <c r="M315" s="8"/>
      <c r="N315" s="8"/>
      <c r="O315" s="231"/>
      <c r="P315" s="231"/>
      <c r="Q315" s="231"/>
      <c r="R315" s="231"/>
      <c r="S315" s="231"/>
      <c r="T315" s="231"/>
      <c r="U315" s="231"/>
      <c r="V315" s="231"/>
      <c r="W315" s="231"/>
      <c r="X315" s="231"/>
      <c r="Y315" s="231"/>
      <c r="Z315" s="231"/>
      <c r="AA315" s="231"/>
      <c r="AB315" s="231"/>
      <c r="AC315" s="231"/>
      <c r="AD315" s="231"/>
      <c r="AE315" s="231"/>
      <c r="AF315" s="231"/>
      <c r="AG315" s="231"/>
      <c r="AH315" s="231"/>
      <c r="AI315" s="231"/>
      <c r="AJ315" s="231"/>
      <c r="AK315" s="231"/>
      <c r="AL315" s="231"/>
      <c r="AM315" s="231"/>
      <c r="AN315" s="231"/>
      <c r="AO315" s="231"/>
      <c r="AP315" s="231"/>
      <c r="AQ315" s="231"/>
      <c r="AR315" s="231"/>
      <c r="AS315" s="231"/>
      <c r="AT315" s="231"/>
      <c r="AU315" s="231"/>
      <c r="AV315" s="231"/>
      <c r="AW315" s="231"/>
      <c r="AX315" s="231"/>
      <c r="AY315" s="231"/>
      <c r="AZ315" s="231"/>
      <c r="BA315" s="231"/>
      <c r="BB315" s="231"/>
      <c r="BC315" s="231"/>
      <c r="BD315" s="231"/>
      <c r="BE315" s="231"/>
      <c r="BF315" s="231"/>
      <c r="BG315" s="231"/>
      <c r="BH315" s="231"/>
      <c r="BI315" s="231"/>
      <c r="BJ315" s="231"/>
      <c r="BK315" s="231"/>
      <c r="BL315" s="231"/>
      <c r="BM315" s="231"/>
      <c r="BN315" s="231"/>
      <c r="BO315" s="231"/>
      <c r="BP315" s="231"/>
      <c r="BQ315" s="231"/>
      <c r="BR315" s="231"/>
      <c r="BS315" s="231"/>
    </row>
    <row r="316" spans="1:71" s="203" customFormat="1">
      <c r="A316" s="120">
        <v>6</v>
      </c>
      <c r="B316" s="47" t="s">
        <v>237</v>
      </c>
      <c r="C316" s="47"/>
      <c r="D316" s="186"/>
      <c r="E316" s="114">
        <f>SUM('Aberdeen City:West Lothian'!E316)</f>
        <v>635722.41506887903</v>
      </c>
      <c r="F316" s="52">
        <f>SUM('Aberdeen City:West Lothian'!F316)</f>
        <v>652594.5335563221</v>
      </c>
      <c r="G316" s="43"/>
      <c r="H316" s="52">
        <f>SUM('Aberdeen City:West Lothian'!H316)</f>
        <v>663511.84005632205</v>
      </c>
      <c r="I316" s="21"/>
      <c r="J316" s="86"/>
      <c r="K316" s="86"/>
      <c r="L316" s="192"/>
      <c r="M316" s="8"/>
      <c r="N316" s="8"/>
      <c r="O316" s="231"/>
      <c r="P316" s="231"/>
      <c r="Q316" s="231"/>
      <c r="R316" s="231"/>
      <c r="S316" s="231"/>
      <c r="T316" s="231"/>
      <c r="U316" s="231"/>
      <c r="V316" s="231"/>
      <c r="W316" s="231"/>
      <c r="X316" s="231"/>
      <c r="Y316" s="231"/>
      <c r="Z316" s="231"/>
      <c r="AA316" s="231"/>
      <c r="AB316" s="231"/>
      <c r="AC316" s="231"/>
      <c r="AD316" s="231"/>
      <c r="AE316" s="231"/>
      <c r="AF316" s="231"/>
      <c r="AG316" s="231"/>
      <c r="AH316" s="231"/>
      <c r="AI316" s="231"/>
      <c r="AJ316" s="231"/>
      <c r="AK316" s="231"/>
      <c r="AL316" s="231"/>
      <c r="AM316" s="231"/>
      <c r="AN316" s="231"/>
      <c r="AO316" s="231"/>
      <c r="AP316" s="231"/>
      <c r="AQ316" s="231"/>
      <c r="AR316" s="231"/>
      <c r="AS316" s="231"/>
      <c r="AT316" s="231"/>
      <c r="AU316" s="231"/>
      <c r="AV316" s="231"/>
      <c r="AW316" s="231"/>
      <c r="AX316" s="231"/>
      <c r="AY316" s="231"/>
      <c r="AZ316" s="231"/>
      <c r="BA316" s="231"/>
      <c r="BB316" s="231"/>
      <c r="BC316" s="231"/>
      <c r="BD316" s="231"/>
      <c r="BE316" s="231"/>
      <c r="BF316" s="231"/>
      <c r="BG316" s="231"/>
      <c r="BH316" s="231"/>
      <c r="BI316" s="231"/>
      <c r="BJ316" s="231"/>
      <c r="BK316" s="231"/>
      <c r="BL316" s="231"/>
      <c r="BM316" s="231"/>
      <c r="BN316" s="231"/>
      <c r="BO316" s="231"/>
      <c r="BP316" s="231"/>
      <c r="BQ316" s="231"/>
      <c r="BR316" s="231"/>
      <c r="BS316" s="231"/>
    </row>
    <row r="317" spans="1:71" s="203" customFormat="1">
      <c r="A317" s="120">
        <v>7</v>
      </c>
      <c r="B317" s="47" t="s">
        <v>238</v>
      </c>
      <c r="C317" s="47"/>
      <c r="D317" s="186"/>
      <c r="E317" s="114">
        <f>SUM('Aberdeen City:West Lothian'!E317)</f>
        <v>5765</v>
      </c>
      <c r="F317" s="52">
        <f>SUM('Aberdeen City:West Lothian'!F317)</f>
        <v>6031.7275399999999</v>
      </c>
      <c r="G317" s="43"/>
      <c r="H317" s="52">
        <f>SUM('Aberdeen City:West Lothian'!H317)</f>
        <v>5580</v>
      </c>
      <c r="I317" s="21"/>
      <c r="J317" s="86"/>
      <c r="K317" s="86"/>
      <c r="L317" s="192"/>
      <c r="M317" s="8"/>
      <c r="N317" s="8"/>
      <c r="O317" s="231"/>
      <c r="P317" s="231"/>
      <c r="Q317" s="231"/>
      <c r="R317" s="231"/>
      <c r="S317" s="231"/>
      <c r="T317" s="231"/>
      <c r="U317" s="231"/>
      <c r="V317" s="231"/>
      <c r="W317" s="231"/>
      <c r="X317" s="231"/>
      <c r="Y317" s="231"/>
      <c r="Z317" s="231"/>
      <c r="AA317" s="231"/>
      <c r="AB317" s="231"/>
      <c r="AC317" s="231"/>
      <c r="AD317" s="231"/>
      <c r="AE317" s="231"/>
      <c r="AF317" s="231"/>
      <c r="AG317" s="231"/>
      <c r="AH317" s="231"/>
      <c r="AI317" s="231"/>
      <c r="AJ317" s="231"/>
      <c r="AK317" s="231"/>
      <c r="AL317" s="231"/>
      <c r="AM317" s="231"/>
      <c r="AN317" s="231"/>
      <c r="AO317" s="231"/>
      <c r="AP317" s="231"/>
      <c r="AQ317" s="231"/>
      <c r="AR317" s="231"/>
      <c r="AS317" s="231"/>
      <c r="AT317" s="231"/>
      <c r="AU317" s="231"/>
      <c r="AV317" s="231"/>
      <c r="AW317" s="231"/>
      <c r="AX317" s="231"/>
      <c r="AY317" s="231"/>
      <c r="AZ317" s="231"/>
      <c r="BA317" s="231"/>
      <c r="BB317" s="231"/>
      <c r="BC317" s="231"/>
      <c r="BD317" s="231"/>
      <c r="BE317" s="231"/>
      <c r="BF317" s="231"/>
      <c r="BG317" s="231"/>
      <c r="BH317" s="231"/>
      <c r="BI317" s="231"/>
      <c r="BJ317" s="231"/>
      <c r="BK317" s="231"/>
      <c r="BL317" s="231"/>
      <c r="BM317" s="231"/>
      <c r="BN317" s="231"/>
      <c r="BO317" s="231"/>
      <c r="BP317" s="231"/>
      <c r="BQ317" s="231"/>
      <c r="BR317" s="231"/>
      <c r="BS317" s="231"/>
    </row>
    <row r="318" spans="1:71" s="203" customFormat="1">
      <c r="A318" s="120">
        <v>8</v>
      </c>
      <c r="B318" s="47" t="s">
        <v>239</v>
      </c>
      <c r="C318" s="47"/>
      <c r="D318" s="186"/>
      <c r="E318" s="114">
        <f>SUM('Aberdeen City:West Lothian'!E318)</f>
        <v>3820</v>
      </c>
      <c r="F318" s="52">
        <f>SUM('Aberdeen City:West Lothian'!F318)</f>
        <v>4707.3847299999998</v>
      </c>
      <c r="G318" s="43"/>
      <c r="H318" s="52">
        <f>SUM('Aberdeen City:West Lothian'!H318)</f>
        <v>4659</v>
      </c>
      <c r="I318" s="21"/>
      <c r="J318" s="86"/>
      <c r="K318" s="86"/>
      <c r="L318" s="192"/>
      <c r="M318" s="8"/>
      <c r="N318" s="8"/>
      <c r="O318" s="231"/>
      <c r="P318" s="231"/>
      <c r="Q318" s="231"/>
      <c r="R318" s="231"/>
      <c r="S318" s="231"/>
      <c r="T318" s="231"/>
      <c r="U318" s="231"/>
      <c r="V318" s="231"/>
      <c r="W318" s="231"/>
      <c r="X318" s="231"/>
      <c r="Y318" s="231"/>
      <c r="Z318" s="231"/>
      <c r="AA318" s="231"/>
      <c r="AB318" s="231"/>
      <c r="AC318" s="231"/>
      <c r="AD318" s="231"/>
      <c r="AE318" s="231"/>
      <c r="AF318" s="231"/>
      <c r="AG318" s="231"/>
      <c r="AH318" s="231"/>
      <c r="AI318" s="231"/>
      <c r="AJ318" s="231"/>
      <c r="AK318" s="231"/>
      <c r="AL318" s="231"/>
      <c r="AM318" s="231"/>
      <c r="AN318" s="231"/>
      <c r="AO318" s="231"/>
      <c r="AP318" s="231"/>
      <c r="AQ318" s="231"/>
      <c r="AR318" s="231"/>
      <c r="AS318" s="231"/>
      <c r="AT318" s="231"/>
      <c r="AU318" s="231"/>
      <c r="AV318" s="231"/>
      <c r="AW318" s="231"/>
      <c r="AX318" s="231"/>
      <c r="AY318" s="231"/>
      <c r="AZ318" s="231"/>
      <c r="BA318" s="231"/>
      <c r="BB318" s="231"/>
      <c r="BC318" s="231"/>
      <c r="BD318" s="231"/>
      <c r="BE318" s="231"/>
      <c r="BF318" s="231"/>
      <c r="BG318" s="231"/>
      <c r="BH318" s="231"/>
      <c r="BI318" s="231"/>
      <c r="BJ318" s="231"/>
      <c r="BK318" s="231"/>
      <c r="BL318" s="231"/>
      <c r="BM318" s="231"/>
      <c r="BN318" s="231"/>
      <c r="BO318" s="231"/>
      <c r="BP318" s="231"/>
      <c r="BQ318" s="231"/>
      <c r="BR318" s="231"/>
      <c r="BS318" s="231"/>
    </row>
    <row r="319" spans="1:71" s="203" customFormat="1">
      <c r="A319" s="350">
        <v>9</v>
      </c>
      <c r="B319" s="90" t="s">
        <v>260</v>
      </c>
      <c r="C319" s="47"/>
      <c r="D319" s="47"/>
      <c r="E319" s="114">
        <f>SUM('Aberdeen City:West Lothian'!E319)</f>
        <v>13259</v>
      </c>
      <c r="F319" s="188"/>
      <c r="G319" s="43"/>
      <c r="H319" s="189">
        <f>SUM('Aberdeen City:West Lothian'!H319)</f>
        <v>11403</v>
      </c>
      <c r="I319" s="21"/>
      <c r="J319" s="86"/>
      <c r="K319" s="86"/>
      <c r="L319" s="192"/>
      <c r="M319" s="8"/>
      <c r="N319" s="8"/>
      <c r="O319" s="231"/>
      <c r="P319" s="231"/>
      <c r="Q319" s="231"/>
      <c r="R319" s="231"/>
      <c r="S319" s="231"/>
      <c r="T319" s="231"/>
      <c r="U319" s="231"/>
      <c r="V319" s="231"/>
      <c r="W319" s="231"/>
      <c r="X319" s="231"/>
      <c r="Y319" s="231"/>
      <c r="Z319" s="231"/>
      <c r="AA319" s="231"/>
      <c r="AB319" s="231"/>
      <c r="AC319" s="231"/>
      <c r="AD319" s="231"/>
      <c r="AE319" s="231"/>
      <c r="AF319" s="231"/>
      <c r="AG319" s="231"/>
      <c r="AH319" s="231"/>
      <c r="AI319" s="231"/>
      <c r="AJ319" s="231"/>
      <c r="AK319" s="231"/>
      <c r="AL319" s="231"/>
      <c r="AM319" s="231"/>
      <c r="AN319" s="231"/>
      <c r="AO319" s="231"/>
      <c r="AP319" s="231"/>
      <c r="AQ319" s="231"/>
      <c r="AR319" s="231"/>
      <c r="AS319" s="231"/>
      <c r="AT319" s="231"/>
      <c r="AU319" s="231"/>
      <c r="AV319" s="231"/>
      <c r="AW319" s="231"/>
      <c r="AX319" s="231"/>
      <c r="AY319" s="231"/>
      <c r="AZ319" s="231"/>
      <c r="BA319" s="231"/>
      <c r="BB319" s="231"/>
      <c r="BC319" s="231"/>
      <c r="BD319" s="231"/>
      <c r="BE319" s="231"/>
      <c r="BF319" s="231"/>
      <c r="BG319" s="231"/>
      <c r="BH319" s="231"/>
      <c r="BI319" s="231"/>
      <c r="BJ319" s="231"/>
      <c r="BK319" s="231"/>
      <c r="BL319" s="231"/>
      <c r="BM319" s="231"/>
      <c r="BN319" s="231"/>
      <c r="BO319" s="231"/>
      <c r="BP319" s="231"/>
      <c r="BQ319" s="231"/>
      <c r="BR319" s="231"/>
      <c r="BS319" s="231"/>
    </row>
    <row r="320" spans="1:71" s="203" customFormat="1">
      <c r="A320" s="124">
        <v>10</v>
      </c>
      <c r="B320" s="94" t="s">
        <v>62</v>
      </c>
      <c r="C320" s="94"/>
      <c r="D320" s="94"/>
      <c r="E320" s="159">
        <f>SUM('Aberdeen City:West Lothian'!E320)</f>
        <v>1168427.3368833112</v>
      </c>
      <c r="F320" s="61">
        <f>F311+F312+F313+F314+F315+F316+F317+F318</f>
        <v>1141560.5008948629</v>
      </c>
      <c r="G320" s="118"/>
      <c r="H320" s="61">
        <f>H311+H312+H313+H314+H315+H316+H317+H318+H319</f>
        <v>1125797.5726895835</v>
      </c>
      <c r="I320" s="183"/>
      <c r="J320" s="243"/>
      <c r="K320" s="243"/>
      <c r="L320" s="192"/>
      <c r="M320" s="8"/>
      <c r="N320" s="8"/>
      <c r="O320" s="231"/>
      <c r="P320" s="231"/>
      <c r="Q320" s="231"/>
      <c r="R320" s="231"/>
      <c r="S320" s="231"/>
      <c r="T320" s="231"/>
      <c r="U320" s="231"/>
      <c r="V320" s="231"/>
      <c r="W320" s="231"/>
      <c r="X320" s="231"/>
      <c r="Y320" s="231"/>
      <c r="Z320" s="231"/>
      <c r="AA320" s="231"/>
      <c r="AB320" s="231"/>
      <c r="AC320" s="231"/>
      <c r="AD320" s="231"/>
      <c r="AE320" s="231"/>
      <c r="AF320" s="231"/>
      <c r="AG320" s="231"/>
      <c r="AH320" s="231"/>
      <c r="AI320" s="231"/>
      <c r="AJ320" s="231"/>
      <c r="AK320" s="231"/>
      <c r="AL320" s="231"/>
      <c r="AM320" s="231"/>
      <c r="AN320" s="231"/>
      <c r="AO320" s="231"/>
      <c r="AP320" s="231"/>
      <c r="AQ320" s="231"/>
      <c r="AR320" s="231"/>
      <c r="AS320" s="231"/>
      <c r="AT320" s="231"/>
      <c r="AU320" s="231"/>
      <c r="AV320" s="231"/>
      <c r="AW320" s="231"/>
      <c r="AX320" s="231"/>
      <c r="AY320" s="231"/>
      <c r="AZ320" s="231"/>
      <c r="BA320" s="231"/>
      <c r="BB320" s="231"/>
      <c r="BC320" s="231"/>
      <c r="BD320" s="231"/>
      <c r="BE320" s="231"/>
      <c r="BF320" s="231"/>
      <c r="BG320" s="231"/>
      <c r="BH320" s="231"/>
      <c r="BI320" s="231"/>
      <c r="BJ320" s="231"/>
      <c r="BK320" s="231"/>
      <c r="BL320" s="231"/>
      <c r="BM320" s="231"/>
      <c r="BN320" s="231"/>
      <c r="BO320" s="231"/>
      <c r="BP320" s="231"/>
      <c r="BQ320" s="231"/>
      <c r="BR320" s="231"/>
      <c r="BS320" s="231"/>
    </row>
    <row r="321" spans="1:71" s="203" customFormat="1">
      <c r="A321" s="179"/>
      <c r="B321" s="180"/>
      <c r="C321" s="180"/>
      <c r="D321" s="180"/>
      <c r="E321" s="180"/>
      <c r="F321" s="183"/>
      <c r="G321" s="21"/>
      <c r="H321" s="183"/>
      <c r="I321" s="183"/>
      <c r="J321" s="243"/>
      <c r="K321" s="243"/>
      <c r="L321" s="192"/>
      <c r="M321" s="8"/>
      <c r="N321" s="8"/>
      <c r="O321" s="231"/>
      <c r="P321" s="231"/>
      <c r="Q321" s="231"/>
      <c r="R321" s="231"/>
      <c r="S321" s="231"/>
      <c r="T321" s="231"/>
      <c r="U321" s="231"/>
      <c r="V321" s="231"/>
      <c r="W321" s="231"/>
      <c r="X321" s="231"/>
      <c r="Y321" s="231"/>
      <c r="Z321" s="231"/>
      <c r="AA321" s="231"/>
      <c r="AB321" s="231"/>
      <c r="AC321" s="231"/>
      <c r="AD321" s="231"/>
      <c r="AE321" s="231"/>
      <c r="AF321" s="231"/>
      <c r="AG321" s="231"/>
      <c r="AH321" s="231"/>
      <c r="AI321" s="231"/>
      <c r="AJ321" s="231"/>
      <c r="AK321" s="231"/>
      <c r="AL321" s="231"/>
      <c r="AM321" s="231"/>
      <c r="AN321" s="231"/>
      <c r="AO321" s="231"/>
      <c r="AP321" s="231"/>
      <c r="AQ321" s="231"/>
      <c r="AR321" s="231"/>
      <c r="AS321" s="231"/>
      <c r="AT321" s="231"/>
      <c r="AU321" s="231"/>
      <c r="AV321" s="231"/>
      <c r="AW321" s="231"/>
      <c r="AX321" s="231"/>
      <c r="AY321" s="231"/>
      <c r="AZ321" s="231"/>
      <c r="BA321" s="231"/>
      <c r="BB321" s="231"/>
      <c r="BC321" s="231"/>
      <c r="BD321" s="231"/>
      <c r="BE321" s="231"/>
      <c r="BF321" s="231"/>
      <c r="BG321" s="231"/>
      <c r="BH321" s="231"/>
      <c r="BI321" s="231"/>
      <c r="BJ321" s="231"/>
      <c r="BK321" s="231"/>
      <c r="BL321" s="231"/>
      <c r="BM321" s="231"/>
      <c r="BN321" s="231"/>
      <c r="BO321" s="231"/>
      <c r="BP321" s="231"/>
      <c r="BQ321" s="231"/>
      <c r="BR321" s="231"/>
      <c r="BS321" s="231"/>
    </row>
    <row r="322" spans="1:71" s="203" customFormat="1">
      <c r="A322" s="148"/>
      <c r="B322" s="207"/>
      <c r="C322" s="207"/>
      <c r="D322" s="29"/>
      <c r="E322" s="29"/>
      <c r="F322" s="29"/>
      <c r="G322" s="29"/>
      <c r="H322" s="31" t="s">
        <v>27</v>
      </c>
      <c r="I322" s="2"/>
      <c r="J322" s="14"/>
      <c r="K322" s="14"/>
      <c r="L322" s="192"/>
      <c r="M322" s="8"/>
      <c r="N322" s="8"/>
      <c r="O322" s="231"/>
      <c r="P322" s="231"/>
      <c r="Q322" s="231"/>
      <c r="R322" s="231"/>
      <c r="S322" s="231"/>
      <c r="T322" s="231"/>
      <c r="U322" s="231"/>
      <c r="V322" s="231"/>
      <c r="W322" s="231"/>
      <c r="X322" s="231"/>
      <c r="Y322" s="231"/>
      <c r="Z322" s="231"/>
      <c r="AA322" s="231"/>
      <c r="AB322" s="231"/>
      <c r="AC322" s="231"/>
      <c r="AD322" s="231"/>
      <c r="AE322" s="231"/>
      <c r="AF322" s="231"/>
      <c r="AG322" s="231"/>
      <c r="AH322" s="231"/>
      <c r="AI322" s="231"/>
      <c r="AJ322" s="231"/>
      <c r="AK322" s="231"/>
      <c r="AL322" s="231"/>
      <c r="AM322" s="231"/>
      <c r="AN322" s="231"/>
      <c r="AO322" s="231"/>
      <c r="AP322" s="231"/>
      <c r="AQ322" s="231"/>
      <c r="AR322" s="231"/>
      <c r="AS322" s="231"/>
      <c r="AT322" s="231"/>
      <c r="AU322" s="231"/>
      <c r="AV322" s="231"/>
      <c r="AW322" s="231"/>
      <c r="AX322" s="231"/>
      <c r="AY322" s="231"/>
      <c r="AZ322" s="231"/>
      <c r="BA322" s="231"/>
      <c r="BB322" s="231"/>
      <c r="BC322" s="231"/>
      <c r="BD322" s="231"/>
      <c r="BE322" s="231"/>
      <c r="BF322" s="231"/>
      <c r="BG322" s="231"/>
      <c r="BH322" s="231"/>
      <c r="BI322" s="231"/>
      <c r="BJ322" s="231"/>
      <c r="BK322" s="231"/>
      <c r="BL322" s="231"/>
      <c r="BM322" s="231"/>
      <c r="BN322" s="231"/>
      <c r="BO322" s="231"/>
      <c r="BP322" s="231"/>
      <c r="BQ322" s="231"/>
      <c r="BR322" s="231"/>
      <c r="BS322" s="231"/>
    </row>
    <row r="323" spans="1:71" s="203" customFormat="1">
      <c r="A323" s="190" t="s">
        <v>240</v>
      </c>
      <c r="B323" s="263"/>
      <c r="C323" s="861" t="s">
        <v>405</v>
      </c>
      <c r="D323" s="862"/>
      <c r="E323" s="862"/>
      <c r="F323" s="862"/>
      <c r="G323" s="862"/>
      <c r="H323" s="863"/>
      <c r="I323" s="210"/>
      <c r="J323" s="192"/>
      <c r="K323" s="192"/>
      <c r="L323" s="192"/>
      <c r="M323" s="8"/>
      <c r="N323" s="8"/>
      <c r="O323" s="231"/>
      <c r="P323" s="231"/>
      <c r="Q323" s="231"/>
      <c r="R323" s="231"/>
      <c r="S323" s="231"/>
      <c r="T323" s="231"/>
      <c r="U323" s="231"/>
      <c r="V323" s="231"/>
      <c r="W323" s="231"/>
      <c r="X323" s="231"/>
      <c r="Y323" s="231"/>
      <c r="Z323" s="231"/>
      <c r="AA323" s="231"/>
      <c r="AB323" s="231"/>
      <c r="AC323" s="231"/>
      <c r="AD323" s="231"/>
      <c r="AE323" s="231"/>
      <c r="AF323" s="231"/>
      <c r="AG323" s="231"/>
      <c r="AH323" s="231"/>
      <c r="AI323" s="231"/>
      <c r="AJ323" s="231"/>
      <c r="AK323" s="231"/>
      <c r="AL323" s="231"/>
      <c r="AM323" s="231"/>
      <c r="AN323" s="231"/>
      <c r="AO323" s="231"/>
      <c r="AP323" s="231"/>
      <c r="AQ323" s="231"/>
      <c r="AR323" s="231"/>
      <c r="AS323" s="231"/>
      <c r="AT323" s="231"/>
      <c r="AU323" s="231"/>
      <c r="AV323" s="231"/>
      <c r="AW323" s="231"/>
      <c r="AX323" s="231"/>
      <c r="AY323" s="231"/>
      <c r="AZ323" s="231"/>
      <c r="BA323" s="231"/>
      <c r="BB323" s="231"/>
      <c r="BC323" s="231"/>
      <c r="BD323" s="231"/>
      <c r="BE323" s="231"/>
      <c r="BF323" s="231"/>
      <c r="BG323" s="231"/>
      <c r="BH323" s="231"/>
      <c r="BI323" s="231"/>
      <c r="BJ323" s="231"/>
      <c r="BK323" s="231"/>
      <c r="BL323" s="231"/>
      <c r="BM323" s="231"/>
      <c r="BN323" s="231"/>
      <c r="BO323" s="231"/>
      <c r="BP323" s="231"/>
      <c r="BQ323" s="231"/>
      <c r="BR323" s="231"/>
      <c r="BS323" s="231"/>
    </row>
    <row r="324" spans="1:71" s="203" customFormat="1" ht="39" thickBot="1">
      <c r="A324" s="110" t="s">
        <v>84</v>
      </c>
      <c r="B324" s="116"/>
      <c r="C324" s="35" t="s">
        <v>52</v>
      </c>
      <c r="D324" s="35" t="s">
        <v>53</v>
      </c>
      <c r="E324" s="37" t="s">
        <v>54</v>
      </c>
      <c r="F324" s="37" t="s">
        <v>55</v>
      </c>
      <c r="G324" s="37" t="s">
        <v>241</v>
      </c>
      <c r="H324" s="35" t="s">
        <v>121</v>
      </c>
      <c r="I324" s="29"/>
      <c r="J324" s="15"/>
      <c r="K324" s="15"/>
      <c r="L324" s="192"/>
      <c r="M324" s="8"/>
      <c r="N324" s="8"/>
      <c r="O324" s="231"/>
      <c r="P324" s="231"/>
      <c r="Q324" s="231"/>
      <c r="R324" s="231"/>
      <c r="S324" s="231"/>
      <c r="T324" s="231"/>
      <c r="U324" s="231"/>
      <c r="V324" s="231"/>
      <c r="W324" s="231"/>
      <c r="X324" s="231"/>
      <c r="Y324" s="231"/>
      <c r="Z324" s="231"/>
      <c r="AA324" s="231"/>
      <c r="AB324" s="231"/>
      <c r="AC324" s="231"/>
      <c r="AD324" s="231"/>
      <c r="AE324" s="231"/>
      <c r="AF324" s="231"/>
      <c r="AG324" s="231"/>
      <c r="AH324" s="231"/>
      <c r="AI324" s="231"/>
      <c r="AJ324" s="231"/>
      <c r="AK324" s="231"/>
      <c r="AL324" s="231"/>
      <c r="AM324" s="231"/>
      <c r="AN324" s="231"/>
      <c r="AO324" s="231"/>
      <c r="AP324" s="231"/>
      <c r="AQ324" s="231"/>
      <c r="AR324" s="231"/>
      <c r="AS324" s="231"/>
      <c r="AT324" s="231"/>
      <c r="AU324" s="231"/>
      <c r="AV324" s="231"/>
      <c r="AW324" s="231"/>
      <c r="AX324" s="231"/>
      <c r="AY324" s="231"/>
      <c r="AZ324" s="231"/>
      <c r="BA324" s="231"/>
      <c r="BB324" s="231"/>
      <c r="BC324" s="231"/>
      <c r="BD324" s="231"/>
      <c r="BE324" s="231"/>
      <c r="BF324" s="231"/>
      <c r="BG324" s="231"/>
      <c r="BH324" s="231"/>
      <c r="BI324" s="231"/>
      <c r="BJ324" s="231"/>
      <c r="BK324" s="231"/>
      <c r="BL324" s="231"/>
      <c r="BM324" s="231"/>
      <c r="BN324" s="231"/>
      <c r="BO324" s="231"/>
      <c r="BP324" s="231"/>
      <c r="BQ324" s="231"/>
      <c r="BR324" s="231"/>
      <c r="BS324" s="231"/>
    </row>
    <row r="325" spans="1:71" s="203" customFormat="1" ht="13.5" thickBot="1">
      <c r="A325" s="350">
        <v>1</v>
      </c>
      <c r="B325" s="116" t="s">
        <v>242</v>
      </c>
      <c r="C325" s="193">
        <f t="shared" ref="C325:H325" si="0">SUM(C326:C329)</f>
        <v>519179</v>
      </c>
      <c r="D325" s="193">
        <f t="shared" si="0"/>
        <v>1452</v>
      </c>
      <c r="E325" s="193">
        <f t="shared" si="0"/>
        <v>11283</v>
      </c>
      <c r="F325" s="193">
        <f t="shared" si="0"/>
        <v>12933</v>
      </c>
      <c r="G325" s="193">
        <f>SUM(G326:G329)</f>
        <v>4812</v>
      </c>
      <c r="H325" s="193">
        <f t="shared" si="0"/>
        <v>2766</v>
      </c>
      <c r="I325" s="207"/>
      <c r="J325" s="15"/>
      <c r="K325" s="15"/>
      <c r="L325" s="192"/>
      <c r="M325" s="8"/>
      <c r="N325" s="8"/>
      <c r="O325" s="231"/>
      <c r="P325" s="231"/>
      <c r="Q325" s="231"/>
      <c r="R325" s="231"/>
      <c r="S325" s="231"/>
      <c r="T325" s="231"/>
      <c r="U325" s="231"/>
      <c r="V325" s="231"/>
      <c r="W325" s="231"/>
      <c r="X325" s="231"/>
      <c r="Y325" s="231"/>
      <c r="Z325" s="231"/>
      <c r="AA325" s="231"/>
      <c r="AB325" s="231"/>
      <c r="AC325" s="231"/>
      <c r="AD325" s="231"/>
      <c r="AE325" s="231"/>
      <c r="AF325" s="231"/>
      <c r="AG325" s="231"/>
      <c r="AH325" s="231"/>
      <c r="AI325" s="231"/>
      <c r="AJ325" s="231"/>
      <c r="AK325" s="231"/>
      <c r="AL325" s="231"/>
      <c r="AM325" s="231"/>
      <c r="AN325" s="231"/>
      <c r="AO325" s="231"/>
      <c r="AP325" s="231"/>
      <c r="AQ325" s="231"/>
      <c r="AR325" s="231"/>
      <c r="AS325" s="231"/>
      <c r="AT325" s="231"/>
      <c r="AU325" s="231"/>
      <c r="AV325" s="231"/>
      <c r="AW325" s="231"/>
      <c r="AX325" s="231"/>
      <c r="AY325" s="231"/>
      <c r="AZ325" s="231"/>
      <c r="BA325" s="231"/>
      <c r="BB325" s="231"/>
      <c r="BC325" s="231"/>
      <c r="BD325" s="231"/>
      <c r="BE325" s="231"/>
      <c r="BF325" s="231"/>
      <c r="BG325" s="231"/>
      <c r="BH325" s="231"/>
      <c r="BI325" s="231"/>
      <c r="BJ325" s="231"/>
      <c r="BK325" s="231"/>
      <c r="BL325" s="231"/>
      <c r="BM325" s="231"/>
      <c r="BN325" s="231"/>
      <c r="BO325" s="231"/>
      <c r="BP325" s="231"/>
      <c r="BQ325" s="231"/>
      <c r="BR325" s="231"/>
      <c r="BS325" s="231"/>
    </row>
    <row r="326" spans="1:71" s="203" customFormat="1">
      <c r="A326" s="350">
        <v>2</v>
      </c>
      <c r="B326" s="47" t="s">
        <v>243</v>
      </c>
      <c r="C326" s="169">
        <f>SUM('Aberdeen City:West Lothian'!C326)</f>
        <v>182734</v>
      </c>
      <c r="D326" s="169">
        <f>SUM('Aberdeen City:West Lothian'!D326)</f>
        <v>509</v>
      </c>
      <c r="E326" s="169">
        <f>SUM('Aberdeen City:West Lothian'!E326)</f>
        <v>1460</v>
      </c>
      <c r="F326" s="169">
        <f>SUM('Aberdeen City:West Lothian'!F326)</f>
        <v>8604</v>
      </c>
      <c r="G326" s="169">
        <f>SUM('Aberdeen City:West Lothian'!G326)</f>
        <v>1845</v>
      </c>
      <c r="H326" s="169">
        <f>SUM('Aberdeen City:West Lothian'!H326)</f>
        <v>882</v>
      </c>
      <c r="I326" s="207"/>
      <c r="J326" s="15"/>
      <c r="K326" s="15"/>
      <c r="L326" s="192"/>
      <c r="M326" s="8"/>
      <c r="N326" s="8"/>
      <c r="O326" s="231"/>
      <c r="P326" s="231"/>
      <c r="Q326" s="231"/>
      <c r="R326" s="231"/>
      <c r="S326" s="231"/>
      <c r="T326" s="231"/>
      <c r="U326" s="231"/>
      <c r="V326" s="231"/>
      <c r="W326" s="231"/>
      <c r="X326" s="231"/>
      <c r="Y326" s="231"/>
      <c r="Z326" s="231"/>
      <c r="AA326" s="231"/>
      <c r="AB326" s="231"/>
      <c r="AC326" s="231"/>
      <c r="AD326" s="231"/>
      <c r="AE326" s="231"/>
      <c r="AF326" s="231"/>
      <c r="AG326" s="231"/>
      <c r="AH326" s="231"/>
      <c r="AI326" s="231"/>
      <c r="AJ326" s="231"/>
      <c r="AK326" s="231"/>
      <c r="AL326" s="231"/>
      <c r="AM326" s="231"/>
      <c r="AN326" s="231"/>
      <c r="AO326" s="231"/>
      <c r="AP326" s="231"/>
      <c r="AQ326" s="231"/>
      <c r="AR326" s="231"/>
      <c r="AS326" s="231"/>
      <c r="AT326" s="231"/>
      <c r="AU326" s="231"/>
      <c r="AV326" s="231"/>
      <c r="AW326" s="231"/>
      <c r="AX326" s="231"/>
      <c r="AY326" s="231"/>
      <c r="AZ326" s="231"/>
      <c r="BA326" s="231"/>
      <c r="BB326" s="231"/>
      <c r="BC326" s="231"/>
      <c r="BD326" s="231"/>
      <c r="BE326" s="231"/>
      <c r="BF326" s="231"/>
      <c r="BG326" s="231"/>
      <c r="BH326" s="231"/>
      <c r="BI326" s="231"/>
      <c r="BJ326" s="231"/>
      <c r="BK326" s="231"/>
      <c r="BL326" s="231"/>
      <c r="BM326" s="231"/>
      <c r="BN326" s="231"/>
      <c r="BO326" s="231"/>
      <c r="BP326" s="231"/>
      <c r="BQ326" s="231"/>
      <c r="BR326" s="231"/>
      <c r="BS326" s="231"/>
    </row>
    <row r="327" spans="1:71" s="203" customFormat="1">
      <c r="A327" s="350">
        <v>3</v>
      </c>
      <c r="B327" s="47" t="s">
        <v>244</v>
      </c>
      <c r="C327" s="99">
        <f>SUM('Aberdeen City:West Lothian'!C327)</f>
        <v>218409</v>
      </c>
      <c r="D327" s="99">
        <f>SUM('Aberdeen City:West Lothian'!D327)</f>
        <v>565</v>
      </c>
      <c r="E327" s="99">
        <f>SUM('Aberdeen City:West Lothian'!E327)</f>
        <v>6491</v>
      </c>
      <c r="F327" s="99">
        <f>SUM('Aberdeen City:West Lothian'!F327)</f>
        <v>1433</v>
      </c>
      <c r="G327" s="99">
        <f>SUM('Aberdeen City:West Lothian'!G327)</f>
        <v>1861</v>
      </c>
      <c r="H327" s="99">
        <f>SUM('Aberdeen City:West Lothian'!H327)</f>
        <v>1116</v>
      </c>
      <c r="I327" s="207"/>
      <c r="J327" s="15"/>
      <c r="K327" s="15"/>
      <c r="L327" s="8"/>
      <c r="M327" s="8"/>
      <c r="N327" s="8"/>
      <c r="O327" s="231"/>
      <c r="P327" s="231"/>
      <c r="Q327" s="231"/>
      <c r="R327" s="231"/>
      <c r="S327" s="231"/>
      <c r="T327" s="231"/>
      <c r="U327" s="231"/>
      <c r="V327" s="231"/>
      <c r="W327" s="231"/>
      <c r="X327" s="231"/>
      <c r="Y327" s="231"/>
      <c r="Z327" s="231"/>
      <c r="AA327" s="231"/>
      <c r="AB327" s="231"/>
      <c r="AC327" s="231"/>
      <c r="AD327" s="231"/>
      <c r="AE327" s="231"/>
      <c r="AF327" s="231"/>
      <c r="AG327" s="231"/>
      <c r="AH327" s="231"/>
      <c r="AI327" s="231"/>
      <c r="AJ327" s="231"/>
      <c r="AK327" s="231"/>
      <c r="AL327" s="231"/>
      <c r="AM327" s="231"/>
      <c r="AN327" s="231"/>
      <c r="AO327" s="231"/>
      <c r="AP327" s="231"/>
      <c r="AQ327" s="231"/>
      <c r="AR327" s="231"/>
      <c r="AS327" s="231"/>
      <c r="AT327" s="231"/>
      <c r="AU327" s="231"/>
      <c r="AV327" s="231"/>
      <c r="AW327" s="231"/>
      <c r="AX327" s="231"/>
      <c r="AY327" s="231"/>
      <c r="AZ327" s="231"/>
      <c r="BA327" s="231"/>
      <c r="BB327" s="231"/>
      <c r="BC327" s="231"/>
      <c r="BD327" s="231"/>
      <c r="BE327" s="231"/>
      <c r="BF327" s="231"/>
      <c r="BG327" s="231"/>
      <c r="BH327" s="231"/>
      <c r="BI327" s="231"/>
      <c r="BJ327" s="231"/>
      <c r="BK327" s="231"/>
      <c r="BL327" s="231"/>
      <c r="BM327" s="231"/>
      <c r="BN327" s="231"/>
      <c r="BO327" s="231"/>
      <c r="BP327" s="231"/>
      <c r="BQ327" s="231"/>
      <c r="BR327" s="231"/>
      <c r="BS327" s="231"/>
    </row>
    <row r="328" spans="1:71" s="203" customFormat="1">
      <c r="A328" s="350">
        <v>4</v>
      </c>
      <c r="B328" s="47" t="s">
        <v>245</v>
      </c>
      <c r="C328" s="99">
        <f>SUM('Aberdeen City:West Lothian'!C328)</f>
        <v>104490</v>
      </c>
      <c r="D328" s="99">
        <f>SUM('Aberdeen City:West Lothian'!D328)</f>
        <v>168</v>
      </c>
      <c r="E328" s="99">
        <f>SUM('Aberdeen City:West Lothian'!E328)</f>
        <v>3067</v>
      </c>
      <c r="F328" s="99">
        <f>SUM('Aberdeen City:West Lothian'!F328)</f>
        <v>2896</v>
      </c>
      <c r="G328" s="99">
        <f>SUM('Aberdeen City:West Lothian'!G328)</f>
        <v>1106</v>
      </c>
      <c r="H328" s="99">
        <f>SUM('Aberdeen City:West Lothian'!H328)</f>
        <v>686</v>
      </c>
      <c r="I328" s="207"/>
      <c r="J328" s="15"/>
      <c r="K328" s="15"/>
      <c r="L328" s="8"/>
      <c r="M328" s="8"/>
      <c r="N328" s="8"/>
      <c r="O328" s="231"/>
      <c r="P328" s="231"/>
      <c r="Q328" s="231"/>
      <c r="R328" s="231"/>
      <c r="S328" s="231"/>
      <c r="T328" s="231"/>
      <c r="U328" s="231"/>
      <c r="V328" s="231"/>
      <c r="W328" s="231"/>
      <c r="X328" s="231"/>
      <c r="Y328" s="231"/>
      <c r="Z328" s="231"/>
      <c r="AA328" s="231"/>
      <c r="AB328" s="231"/>
      <c r="AC328" s="231"/>
      <c r="AD328" s="231"/>
      <c r="AE328" s="231"/>
      <c r="AF328" s="231"/>
      <c r="AG328" s="231"/>
      <c r="AH328" s="231"/>
      <c r="AI328" s="231"/>
      <c r="AJ328" s="231"/>
      <c r="AK328" s="231"/>
      <c r="AL328" s="231"/>
      <c r="AM328" s="231"/>
      <c r="AN328" s="231"/>
      <c r="AO328" s="231"/>
      <c r="AP328" s="231"/>
      <c r="AQ328" s="231"/>
      <c r="AR328" s="231"/>
      <c r="AS328" s="231"/>
      <c r="AT328" s="231"/>
      <c r="AU328" s="231"/>
      <c r="AV328" s="231"/>
      <c r="AW328" s="231"/>
      <c r="AX328" s="231"/>
      <c r="AY328" s="231"/>
      <c r="AZ328" s="231"/>
      <c r="BA328" s="231"/>
      <c r="BB328" s="231"/>
      <c r="BC328" s="231"/>
      <c r="BD328" s="231"/>
      <c r="BE328" s="231"/>
      <c r="BF328" s="231"/>
      <c r="BG328" s="231"/>
      <c r="BH328" s="231"/>
      <c r="BI328" s="231"/>
      <c r="BJ328" s="231"/>
      <c r="BK328" s="231"/>
      <c r="BL328" s="231"/>
      <c r="BM328" s="231"/>
      <c r="BN328" s="231"/>
      <c r="BO328" s="231"/>
      <c r="BP328" s="231"/>
      <c r="BQ328" s="231"/>
      <c r="BR328" s="231"/>
      <c r="BS328" s="231"/>
    </row>
    <row r="329" spans="1:71" s="203" customFormat="1">
      <c r="A329" s="351">
        <v>5</v>
      </c>
      <c r="B329" s="54" t="s">
        <v>246</v>
      </c>
      <c r="C329" s="100">
        <f>SUM('Aberdeen City:West Lothian'!C329)</f>
        <v>13546</v>
      </c>
      <c r="D329" s="100">
        <f>SUM('Aberdeen City:West Lothian'!D329)</f>
        <v>210</v>
      </c>
      <c r="E329" s="100">
        <f>SUM('Aberdeen City:West Lothian'!E329)</f>
        <v>265</v>
      </c>
      <c r="F329" s="100">
        <f>SUM('Aberdeen City:West Lothian'!F329)</f>
        <v>0</v>
      </c>
      <c r="G329" s="100">
        <f>SUM('Aberdeen City:West Lothian'!G329)</f>
        <v>0</v>
      </c>
      <c r="H329" s="100">
        <f>SUM('Aberdeen City:West Lothian'!H329)</f>
        <v>82</v>
      </c>
      <c r="I329" s="207"/>
      <c r="J329" s="15"/>
      <c r="K329" s="15"/>
      <c r="L329" s="8"/>
      <c r="M329" s="8"/>
      <c r="N329" s="8"/>
      <c r="O329" s="231"/>
      <c r="P329" s="231"/>
      <c r="Q329" s="231"/>
      <c r="R329" s="231"/>
      <c r="S329" s="231"/>
      <c r="T329" s="231"/>
      <c r="U329" s="231"/>
      <c r="V329" s="231"/>
      <c r="W329" s="231"/>
      <c r="X329" s="231"/>
      <c r="Y329" s="231"/>
      <c r="Z329" s="231"/>
      <c r="AA329" s="231"/>
      <c r="AB329" s="231"/>
      <c r="AC329" s="231"/>
      <c r="AD329" s="231"/>
      <c r="AE329" s="231"/>
      <c r="AF329" s="231"/>
      <c r="AG329" s="231"/>
      <c r="AH329" s="231"/>
      <c r="AI329" s="231"/>
      <c r="AJ329" s="231"/>
      <c r="AK329" s="231"/>
      <c r="AL329" s="231"/>
      <c r="AM329" s="231"/>
      <c r="AN329" s="231"/>
      <c r="AO329" s="231"/>
      <c r="AP329" s="231"/>
      <c r="AQ329" s="231"/>
      <c r="AR329" s="231"/>
      <c r="AS329" s="231"/>
      <c r="AT329" s="231"/>
      <c r="AU329" s="231"/>
      <c r="AV329" s="231"/>
      <c r="AW329" s="231"/>
      <c r="AX329" s="231"/>
      <c r="AY329" s="231"/>
      <c r="AZ329" s="231"/>
      <c r="BA329" s="231"/>
      <c r="BB329" s="231"/>
      <c r="BC329" s="231"/>
      <c r="BD329" s="231"/>
      <c r="BE329" s="231"/>
      <c r="BF329" s="231"/>
      <c r="BG329" s="231"/>
      <c r="BH329" s="231"/>
      <c r="BI329" s="231"/>
      <c r="BJ329" s="231"/>
      <c r="BK329" s="231"/>
      <c r="BL329" s="231"/>
      <c r="BM329" s="231"/>
      <c r="BN329" s="231"/>
      <c r="BO329" s="231"/>
      <c r="BP329" s="231"/>
      <c r="BQ329" s="231"/>
      <c r="BR329" s="231"/>
      <c r="BS329" s="231"/>
    </row>
    <row r="330" spans="1:71" s="203" customFormat="1">
      <c r="A330" s="350"/>
      <c r="B330" s="47"/>
      <c r="C330" s="864" t="s">
        <v>404</v>
      </c>
      <c r="D330" s="865"/>
      <c r="E330" s="865"/>
      <c r="F330" s="865"/>
      <c r="G330" s="865"/>
      <c r="H330" s="866"/>
      <c r="I330" s="207"/>
      <c r="J330" s="15"/>
      <c r="K330" s="15"/>
      <c r="L330" s="8"/>
      <c r="M330" s="8"/>
      <c r="N330" s="8"/>
      <c r="O330" s="231"/>
      <c r="P330" s="231"/>
      <c r="Q330" s="231"/>
      <c r="R330" s="231"/>
      <c r="S330" s="231"/>
      <c r="T330" s="231"/>
      <c r="U330" s="231"/>
      <c r="V330" s="231"/>
      <c r="W330" s="231"/>
      <c r="X330" s="231"/>
      <c r="Y330" s="231"/>
      <c r="Z330" s="231"/>
      <c r="AA330" s="231"/>
      <c r="AB330" s="231"/>
      <c r="AC330" s="231"/>
      <c r="AD330" s="231"/>
      <c r="AE330" s="231"/>
      <c r="AF330" s="231"/>
      <c r="AG330" s="231"/>
      <c r="AH330" s="231"/>
      <c r="AI330" s="231"/>
      <c r="AJ330" s="231"/>
      <c r="AK330" s="231"/>
      <c r="AL330" s="231"/>
      <c r="AM330" s="231"/>
      <c r="AN330" s="231"/>
      <c r="AO330" s="231"/>
      <c r="AP330" s="231"/>
      <c r="AQ330" s="231"/>
      <c r="AR330" s="231"/>
      <c r="AS330" s="231"/>
      <c r="AT330" s="231"/>
      <c r="AU330" s="231"/>
      <c r="AV330" s="231"/>
      <c r="AW330" s="231"/>
      <c r="AX330" s="231"/>
      <c r="AY330" s="231"/>
      <c r="AZ330" s="231"/>
      <c r="BA330" s="231"/>
      <c r="BB330" s="231"/>
      <c r="BC330" s="231"/>
      <c r="BD330" s="231"/>
      <c r="BE330" s="231"/>
      <c r="BF330" s="231"/>
      <c r="BG330" s="231"/>
      <c r="BH330" s="231"/>
      <c r="BI330" s="231"/>
      <c r="BJ330" s="231"/>
      <c r="BK330" s="231"/>
      <c r="BL330" s="231"/>
      <c r="BM330" s="231"/>
      <c r="BN330" s="231"/>
      <c r="BO330" s="231"/>
      <c r="BP330" s="231"/>
      <c r="BQ330" s="231"/>
      <c r="BR330" s="231"/>
      <c r="BS330" s="231"/>
    </row>
    <row r="331" spans="1:71" s="203" customFormat="1" ht="37.5" customHeight="1" thickBot="1">
      <c r="A331" s="110" t="s">
        <v>84</v>
      </c>
      <c r="B331" s="116"/>
      <c r="C331" s="35" t="s">
        <v>52</v>
      </c>
      <c r="D331" s="35" t="s">
        <v>53</v>
      </c>
      <c r="E331" s="37" t="s">
        <v>54</v>
      </c>
      <c r="F331" s="37" t="s">
        <v>55</v>
      </c>
      <c r="G331" s="37" t="s">
        <v>241</v>
      </c>
      <c r="H331" s="35" t="s">
        <v>121</v>
      </c>
      <c r="I331" s="207"/>
      <c r="J331" s="15"/>
      <c r="K331" s="15"/>
      <c r="L331" s="8"/>
      <c r="M331" s="8"/>
      <c r="N331" s="15"/>
      <c r="O331" s="231"/>
      <c r="P331" s="231"/>
      <c r="Q331" s="231"/>
      <c r="R331" s="231"/>
      <c r="S331" s="231"/>
      <c r="T331" s="231"/>
      <c r="U331" s="231"/>
      <c r="V331" s="231"/>
      <c r="W331" s="231"/>
      <c r="X331" s="231"/>
      <c r="Y331" s="231"/>
      <c r="Z331" s="231"/>
      <c r="AA331" s="231"/>
      <c r="AB331" s="231"/>
      <c r="AC331" s="231"/>
      <c r="AD331" s="231"/>
      <c r="AE331" s="231"/>
      <c r="AF331" s="231"/>
      <c r="AG331" s="231"/>
      <c r="AH331" s="231"/>
      <c r="AI331" s="231"/>
      <c r="AJ331" s="231"/>
      <c r="AK331" s="231"/>
      <c r="AL331" s="231"/>
      <c r="AM331" s="231"/>
      <c r="AN331" s="231"/>
      <c r="AO331" s="231"/>
      <c r="AP331" s="231"/>
      <c r="AQ331" s="231"/>
      <c r="AR331" s="231"/>
      <c r="AS331" s="231"/>
      <c r="AT331" s="231"/>
      <c r="AU331" s="231"/>
      <c r="AV331" s="231"/>
      <c r="AW331" s="231"/>
      <c r="AX331" s="231"/>
      <c r="AY331" s="231"/>
      <c r="AZ331" s="231"/>
      <c r="BA331" s="231"/>
      <c r="BB331" s="231"/>
      <c r="BC331" s="231"/>
      <c r="BD331" s="231"/>
      <c r="BE331" s="231"/>
      <c r="BF331" s="231"/>
      <c r="BG331" s="231"/>
      <c r="BH331" s="231"/>
      <c r="BI331" s="231"/>
      <c r="BJ331" s="231"/>
      <c r="BK331" s="231"/>
      <c r="BL331" s="231"/>
      <c r="BM331" s="231"/>
      <c r="BN331" s="231"/>
      <c r="BO331" s="231"/>
      <c r="BP331" s="231"/>
      <c r="BQ331" s="231"/>
      <c r="BR331" s="231"/>
      <c r="BS331" s="231"/>
    </row>
    <row r="332" spans="1:71" s="203" customFormat="1" ht="13.5" thickBot="1">
      <c r="A332" s="350">
        <v>1</v>
      </c>
      <c r="B332" s="116" t="s">
        <v>242</v>
      </c>
      <c r="C332" s="193">
        <f t="shared" ref="C332:H332" si="1">SUM(C333:C336)</f>
        <v>534518</v>
      </c>
      <c r="D332" s="193">
        <f t="shared" si="1"/>
        <v>1470</v>
      </c>
      <c r="E332" s="193">
        <f t="shared" si="1"/>
        <v>11446</v>
      </c>
      <c r="F332" s="193">
        <f t="shared" si="1"/>
        <v>8854</v>
      </c>
      <c r="G332" s="193">
        <f>SUM(G333:G336)</f>
        <v>4840</v>
      </c>
      <c r="H332" s="193">
        <f t="shared" si="1"/>
        <v>2798</v>
      </c>
      <c r="I332" s="207"/>
      <c r="J332" s="15"/>
      <c r="K332" s="15"/>
      <c r="L332" s="8"/>
      <c r="M332" s="8"/>
      <c r="N332" s="15"/>
      <c r="O332" s="231"/>
      <c r="P332" s="231"/>
      <c r="Q332" s="231"/>
      <c r="R332" s="231"/>
      <c r="S332" s="231"/>
      <c r="T332" s="231"/>
      <c r="U332" s="231"/>
      <c r="V332" s="231"/>
      <c r="W332" s="231"/>
      <c r="X332" s="231"/>
      <c r="Y332" s="231"/>
      <c r="Z332" s="231"/>
      <c r="AA332" s="231"/>
      <c r="AB332" s="231"/>
      <c r="AC332" s="231"/>
      <c r="AD332" s="231"/>
      <c r="AE332" s="231"/>
      <c r="AF332" s="231"/>
      <c r="AG332" s="231"/>
      <c r="AH332" s="231"/>
      <c r="AI332" s="231"/>
      <c r="AJ332" s="231"/>
      <c r="AK332" s="231"/>
      <c r="AL332" s="231"/>
      <c r="AM332" s="231"/>
      <c r="AN332" s="231"/>
      <c r="AO332" s="231"/>
      <c r="AP332" s="231"/>
      <c r="AQ332" s="231"/>
      <c r="AR332" s="231"/>
      <c r="AS332" s="231"/>
      <c r="AT332" s="231"/>
      <c r="AU332" s="231"/>
      <c r="AV332" s="231"/>
      <c r="AW332" s="231"/>
      <c r="AX332" s="231"/>
      <c r="AY332" s="231"/>
      <c r="AZ332" s="231"/>
      <c r="BA332" s="231"/>
      <c r="BB332" s="231"/>
      <c r="BC332" s="231"/>
      <c r="BD332" s="231"/>
      <c r="BE332" s="231"/>
      <c r="BF332" s="231"/>
      <c r="BG332" s="231"/>
      <c r="BH332" s="231"/>
      <c r="BI332" s="231"/>
      <c r="BJ332" s="231"/>
      <c r="BK332" s="231"/>
      <c r="BL332" s="231"/>
      <c r="BM332" s="231"/>
      <c r="BN332" s="231"/>
      <c r="BO332" s="231"/>
      <c r="BP332" s="231"/>
      <c r="BQ332" s="231"/>
      <c r="BR332" s="231"/>
      <c r="BS332" s="231"/>
    </row>
    <row r="333" spans="1:71" s="203" customFormat="1">
      <c r="A333" s="350">
        <v>2</v>
      </c>
      <c r="B333" s="47" t="s">
        <v>243</v>
      </c>
      <c r="C333" s="169">
        <f>SUM('Aberdeen City:West Lothian'!C333)</f>
        <v>186340</v>
      </c>
      <c r="D333" s="169">
        <f>SUM('Aberdeen City:West Lothian'!D333)</f>
        <v>519</v>
      </c>
      <c r="E333" s="169">
        <f>SUM('Aberdeen City:West Lothian'!E333)</f>
        <v>1484</v>
      </c>
      <c r="F333" s="169">
        <f>SUM('Aberdeen City:West Lothian'!F333)</f>
        <v>5296</v>
      </c>
      <c r="G333" s="169">
        <f>SUM('Aberdeen City:West Lothian'!G333)</f>
        <v>1450</v>
      </c>
      <c r="H333" s="169">
        <f>SUM('Aberdeen City:West Lothian'!H333)</f>
        <v>908</v>
      </c>
      <c r="I333" s="207"/>
      <c r="J333" s="15"/>
      <c r="K333" s="15"/>
      <c r="L333" s="8"/>
      <c r="M333" s="8"/>
      <c r="N333" s="15"/>
      <c r="O333" s="231"/>
      <c r="P333" s="231"/>
      <c r="Q333" s="231"/>
      <c r="R333" s="231"/>
      <c r="S333" s="231"/>
      <c r="T333" s="231"/>
      <c r="U333" s="231"/>
      <c r="V333" s="231"/>
      <c r="W333" s="231"/>
      <c r="X333" s="231"/>
      <c r="Y333" s="231"/>
      <c r="Z333" s="231"/>
      <c r="AA333" s="231"/>
      <c r="AB333" s="231"/>
      <c r="AC333" s="231"/>
      <c r="AD333" s="231"/>
      <c r="AE333" s="231"/>
      <c r="AF333" s="231"/>
      <c r="AG333" s="231"/>
      <c r="AH333" s="231"/>
      <c r="AI333" s="231"/>
      <c r="AJ333" s="231"/>
      <c r="AK333" s="231"/>
      <c r="AL333" s="231"/>
      <c r="AM333" s="231"/>
      <c r="AN333" s="231"/>
      <c r="AO333" s="231"/>
      <c r="AP333" s="231"/>
      <c r="AQ333" s="231"/>
      <c r="AR333" s="231"/>
      <c r="AS333" s="231"/>
      <c r="AT333" s="231"/>
      <c r="AU333" s="231"/>
      <c r="AV333" s="231"/>
      <c r="AW333" s="231"/>
      <c r="AX333" s="231"/>
      <c r="AY333" s="231"/>
      <c r="AZ333" s="231"/>
      <c r="BA333" s="231"/>
      <c r="BB333" s="231"/>
      <c r="BC333" s="231"/>
      <c r="BD333" s="231"/>
      <c r="BE333" s="231"/>
      <c r="BF333" s="231"/>
      <c r="BG333" s="231"/>
      <c r="BH333" s="231"/>
      <c r="BI333" s="231"/>
      <c r="BJ333" s="231"/>
      <c r="BK333" s="231"/>
      <c r="BL333" s="231"/>
      <c r="BM333" s="231"/>
      <c r="BN333" s="231"/>
      <c r="BO333" s="231"/>
      <c r="BP333" s="231"/>
      <c r="BQ333" s="231"/>
      <c r="BR333" s="231"/>
      <c r="BS333" s="231"/>
    </row>
    <row r="334" spans="1:71" s="203" customFormat="1">
      <c r="A334" s="350">
        <v>3</v>
      </c>
      <c r="B334" s="47" t="s">
        <v>244</v>
      </c>
      <c r="C334" s="99">
        <f>SUM('Aberdeen City:West Lothian'!C334)</f>
        <v>219284</v>
      </c>
      <c r="D334" s="99">
        <f>SUM('Aberdeen City:West Lothian'!D334)</f>
        <v>555</v>
      </c>
      <c r="E334" s="99">
        <f>SUM('Aberdeen City:West Lothian'!E334)</f>
        <v>5985</v>
      </c>
      <c r="F334" s="99">
        <f>SUM('Aberdeen City:West Lothian'!F334)</f>
        <v>0</v>
      </c>
      <c r="G334" s="99">
        <f>SUM('Aberdeen City:West Lothian'!G334)</f>
        <v>1909</v>
      </c>
      <c r="H334" s="99">
        <f>SUM('Aberdeen City:West Lothian'!H334)</f>
        <v>1010</v>
      </c>
      <c r="I334" s="207"/>
      <c r="J334" s="15"/>
      <c r="K334" s="15"/>
      <c r="L334" s="8"/>
      <c r="M334" s="8"/>
      <c r="N334" s="15"/>
      <c r="O334" s="231"/>
      <c r="P334" s="231"/>
      <c r="Q334" s="231"/>
      <c r="R334" s="231"/>
      <c r="S334" s="231"/>
      <c r="T334" s="231"/>
      <c r="U334" s="231"/>
      <c r="V334" s="231"/>
      <c r="W334" s="231"/>
      <c r="X334" s="231"/>
      <c r="Y334" s="231"/>
      <c r="Z334" s="231"/>
      <c r="AA334" s="231"/>
      <c r="AB334" s="231"/>
      <c r="AC334" s="231"/>
      <c r="AD334" s="231"/>
      <c r="AE334" s="231"/>
      <c r="AF334" s="231"/>
      <c r="AG334" s="231"/>
      <c r="AH334" s="231"/>
      <c r="AI334" s="231"/>
      <c r="AJ334" s="231"/>
      <c r="AK334" s="231"/>
      <c r="AL334" s="231"/>
      <c r="AM334" s="231"/>
      <c r="AN334" s="231"/>
      <c r="AO334" s="231"/>
      <c r="AP334" s="231"/>
      <c r="AQ334" s="231"/>
      <c r="AR334" s="231"/>
      <c r="AS334" s="231"/>
      <c r="AT334" s="231"/>
      <c r="AU334" s="231"/>
      <c r="AV334" s="231"/>
      <c r="AW334" s="231"/>
      <c r="AX334" s="231"/>
      <c r="AY334" s="231"/>
      <c r="AZ334" s="231"/>
      <c r="BA334" s="231"/>
      <c r="BB334" s="231"/>
      <c r="BC334" s="231"/>
      <c r="BD334" s="231"/>
      <c r="BE334" s="231"/>
      <c r="BF334" s="231"/>
      <c r="BG334" s="231"/>
      <c r="BH334" s="231"/>
      <c r="BI334" s="231"/>
      <c r="BJ334" s="231"/>
      <c r="BK334" s="231"/>
      <c r="BL334" s="231"/>
      <c r="BM334" s="231"/>
      <c r="BN334" s="231"/>
      <c r="BO334" s="231"/>
      <c r="BP334" s="231"/>
      <c r="BQ334" s="231"/>
      <c r="BR334" s="231"/>
      <c r="BS334" s="231"/>
    </row>
    <row r="335" spans="1:71" s="203" customFormat="1">
      <c r="A335" s="350">
        <v>4</v>
      </c>
      <c r="B335" s="47" t="s">
        <v>245</v>
      </c>
      <c r="C335" s="99">
        <f>SUM('Aberdeen City:West Lothian'!C335)</f>
        <v>114368</v>
      </c>
      <c r="D335" s="99">
        <f>SUM('Aberdeen City:West Lothian'!D335)</f>
        <v>159</v>
      </c>
      <c r="E335" s="99">
        <f>SUM('Aberdeen City:West Lothian'!E335)</f>
        <v>2253</v>
      </c>
      <c r="F335" s="99">
        <f>SUM('Aberdeen City:West Lothian'!F335)</f>
        <v>3558</v>
      </c>
      <c r="G335" s="99">
        <f>SUM('Aberdeen City:West Lothian'!G335)</f>
        <v>1481</v>
      </c>
      <c r="H335" s="99">
        <f>SUM('Aberdeen City:West Lothian'!H335)</f>
        <v>785</v>
      </c>
      <c r="I335" s="207"/>
      <c r="J335" s="15"/>
      <c r="K335" s="15"/>
      <c r="L335" s="8"/>
      <c r="M335" s="8"/>
      <c r="N335" s="15"/>
      <c r="O335" s="231"/>
      <c r="P335" s="231"/>
      <c r="Q335" s="231"/>
      <c r="R335" s="231"/>
      <c r="S335" s="231"/>
      <c r="T335" s="231"/>
      <c r="U335" s="231"/>
      <c r="V335" s="231"/>
      <c r="W335" s="231"/>
      <c r="X335" s="231"/>
      <c r="Y335" s="231"/>
      <c r="Z335" s="231"/>
      <c r="AA335" s="231"/>
      <c r="AB335" s="231"/>
      <c r="AC335" s="231"/>
      <c r="AD335" s="231"/>
      <c r="AE335" s="231"/>
      <c r="AF335" s="231"/>
      <c r="AG335" s="231"/>
      <c r="AH335" s="231"/>
      <c r="AI335" s="231"/>
      <c r="AJ335" s="231"/>
      <c r="AK335" s="231"/>
      <c r="AL335" s="231"/>
      <c r="AM335" s="231"/>
      <c r="AN335" s="231"/>
      <c r="AO335" s="231"/>
      <c r="AP335" s="231"/>
      <c r="AQ335" s="231"/>
      <c r="AR335" s="231"/>
      <c r="AS335" s="231"/>
      <c r="AT335" s="231"/>
      <c r="AU335" s="231"/>
      <c r="AV335" s="231"/>
      <c r="AW335" s="231"/>
      <c r="AX335" s="231"/>
      <c r="AY335" s="231"/>
      <c r="AZ335" s="231"/>
      <c r="BA335" s="231"/>
      <c r="BB335" s="231"/>
      <c r="BC335" s="231"/>
      <c r="BD335" s="231"/>
      <c r="BE335" s="231"/>
      <c r="BF335" s="231"/>
      <c r="BG335" s="231"/>
      <c r="BH335" s="231"/>
      <c r="BI335" s="231"/>
      <c r="BJ335" s="231"/>
      <c r="BK335" s="231"/>
      <c r="BL335" s="231"/>
      <c r="BM335" s="231"/>
      <c r="BN335" s="231"/>
      <c r="BO335" s="231"/>
      <c r="BP335" s="231"/>
      <c r="BQ335" s="231"/>
      <c r="BR335" s="231"/>
      <c r="BS335" s="231"/>
    </row>
    <row r="336" spans="1:71" s="203" customFormat="1">
      <c r="A336" s="351">
        <v>5</v>
      </c>
      <c r="B336" s="54" t="s">
        <v>246</v>
      </c>
      <c r="C336" s="100">
        <f>SUM('Aberdeen City:West Lothian'!C336)</f>
        <v>14526</v>
      </c>
      <c r="D336" s="100">
        <f>SUM('Aberdeen City:West Lothian'!D336)</f>
        <v>237</v>
      </c>
      <c r="E336" s="100">
        <f>SUM('Aberdeen City:West Lothian'!E336)</f>
        <v>1724</v>
      </c>
      <c r="F336" s="100">
        <f>SUM('Aberdeen City:West Lothian'!F336)</f>
        <v>0</v>
      </c>
      <c r="G336" s="100">
        <f>SUM('Aberdeen City:West Lothian'!G336)</f>
        <v>0</v>
      </c>
      <c r="H336" s="100">
        <f>SUM('Aberdeen City:West Lothian'!H336)</f>
        <v>95</v>
      </c>
      <c r="I336" s="207"/>
      <c r="J336" s="15"/>
      <c r="K336" s="15"/>
      <c r="L336" s="8"/>
      <c r="M336" s="8"/>
      <c r="N336" s="15"/>
      <c r="O336" s="231"/>
      <c r="P336" s="231"/>
      <c r="Q336" s="231"/>
      <c r="R336" s="231"/>
      <c r="S336" s="231"/>
      <c r="T336" s="231"/>
      <c r="U336" s="231"/>
      <c r="V336" s="231"/>
      <c r="W336" s="231"/>
      <c r="X336" s="231"/>
      <c r="Y336" s="231"/>
      <c r="Z336" s="231"/>
      <c r="AA336" s="231"/>
      <c r="AB336" s="231"/>
      <c r="AC336" s="231"/>
      <c r="AD336" s="231"/>
      <c r="AE336" s="231"/>
      <c r="AF336" s="231"/>
      <c r="AG336" s="231"/>
      <c r="AH336" s="231"/>
      <c r="AI336" s="231"/>
      <c r="AJ336" s="231"/>
      <c r="AK336" s="231"/>
      <c r="AL336" s="231"/>
      <c r="AM336" s="231"/>
      <c r="AN336" s="231"/>
      <c r="AO336" s="231"/>
      <c r="AP336" s="231"/>
      <c r="AQ336" s="231"/>
      <c r="AR336" s="231"/>
      <c r="AS336" s="231"/>
      <c r="AT336" s="231"/>
      <c r="AU336" s="231"/>
      <c r="AV336" s="231"/>
      <c r="AW336" s="231"/>
      <c r="AX336" s="231"/>
      <c r="AY336" s="231"/>
      <c r="AZ336" s="231"/>
      <c r="BA336" s="231"/>
      <c r="BB336" s="231"/>
      <c r="BC336" s="231"/>
      <c r="BD336" s="231"/>
      <c r="BE336" s="231"/>
      <c r="BF336" s="231"/>
      <c r="BG336" s="231"/>
      <c r="BH336" s="231"/>
      <c r="BI336" s="231"/>
      <c r="BJ336" s="231"/>
      <c r="BK336" s="231"/>
      <c r="BL336" s="231"/>
      <c r="BM336" s="231"/>
      <c r="BN336" s="231"/>
      <c r="BO336" s="231"/>
      <c r="BP336" s="231"/>
      <c r="BQ336" s="231"/>
      <c r="BR336" s="231"/>
      <c r="BS336" s="231"/>
    </row>
    <row r="337" spans="1:71" s="203" customFormat="1">
      <c r="A337" s="23"/>
      <c r="B337" s="207"/>
      <c r="C337" s="207"/>
      <c r="D337" s="207"/>
      <c r="E337" s="207"/>
      <c r="F337" s="207"/>
      <c r="G337" s="207"/>
      <c r="H337" s="21"/>
      <c r="I337" s="21"/>
      <c r="J337" s="86"/>
      <c r="K337" s="86"/>
      <c r="L337" s="8"/>
      <c r="M337" s="8"/>
      <c r="N337" s="15"/>
      <c r="O337" s="231"/>
      <c r="P337" s="231"/>
      <c r="Q337" s="231"/>
      <c r="R337" s="231"/>
      <c r="S337" s="231"/>
      <c r="T337" s="231"/>
      <c r="U337" s="231"/>
      <c r="V337" s="231"/>
      <c r="W337" s="231"/>
      <c r="X337" s="231"/>
      <c r="Y337" s="231"/>
      <c r="Z337" s="231"/>
      <c r="AA337" s="231"/>
      <c r="AB337" s="231"/>
      <c r="AC337" s="231"/>
      <c r="AD337" s="231"/>
      <c r="AE337" s="231"/>
      <c r="AF337" s="231"/>
      <c r="AG337" s="231"/>
      <c r="AH337" s="231"/>
      <c r="AI337" s="231"/>
      <c r="AJ337" s="231"/>
      <c r="AK337" s="231"/>
      <c r="AL337" s="231"/>
      <c r="AM337" s="231"/>
      <c r="AN337" s="231"/>
      <c r="AO337" s="231"/>
      <c r="AP337" s="231"/>
      <c r="AQ337" s="231"/>
      <c r="AR337" s="231"/>
      <c r="AS337" s="231"/>
      <c r="AT337" s="231"/>
      <c r="AU337" s="231"/>
      <c r="AV337" s="231"/>
      <c r="AW337" s="231"/>
      <c r="AX337" s="231"/>
      <c r="AY337" s="231"/>
      <c r="AZ337" s="231"/>
      <c r="BA337" s="231"/>
      <c r="BB337" s="231"/>
      <c r="BC337" s="231"/>
      <c r="BD337" s="231"/>
      <c r="BE337" s="231"/>
      <c r="BF337" s="231"/>
      <c r="BG337" s="231"/>
      <c r="BH337" s="231"/>
      <c r="BI337" s="231"/>
      <c r="BJ337" s="231"/>
      <c r="BK337" s="231"/>
      <c r="BL337" s="231"/>
      <c r="BM337" s="231"/>
      <c r="BN337" s="231"/>
      <c r="BO337" s="231"/>
      <c r="BP337" s="231"/>
      <c r="BQ337" s="231"/>
      <c r="BR337" s="231"/>
      <c r="BS337" s="231"/>
    </row>
    <row r="338" spans="1:71" s="203" customFormat="1" ht="12.75" customHeight="1">
      <c r="A338" s="23"/>
      <c r="B338" s="207"/>
      <c r="C338" s="207"/>
      <c r="D338" s="207"/>
      <c r="E338" s="207"/>
      <c r="F338" s="207"/>
      <c r="G338" s="207"/>
      <c r="H338" s="21"/>
      <c r="I338" s="21"/>
      <c r="J338" s="86"/>
      <c r="K338" s="86"/>
      <c r="L338" s="8"/>
      <c r="M338" s="8"/>
      <c r="N338" s="15"/>
      <c r="O338" s="231"/>
      <c r="P338" s="231"/>
      <c r="Q338" s="231"/>
      <c r="R338" s="231"/>
      <c r="S338" s="231"/>
      <c r="T338" s="231"/>
      <c r="U338" s="231"/>
      <c r="V338" s="231"/>
      <c r="W338" s="231"/>
      <c r="X338" s="231"/>
      <c r="Y338" s="231"/>
      <c r="Z338" s="231"/>
      <c r="AA338" s="231"/>
      <c r="AB338" s="231"/>
      <c r="AC338" s="231"/>
      <c r="AD338" s="231"/>
      <c r="AE338" s="231"/>
      <c r="AF338" s="231"/>
      <c r="AG338" s="231"/>
      <c r="AH338" s="231"/>
      <c r="AI338" s="231"/>
      <c r="AJ338" s="231"/>
      <c r="AK338" s="231"/>
      <c r="AL338" s="231"/>
      <c r="AM338" s="231"/>
      <c r="AN338" s="231"/>
      <c r="AO338" s="231"/>
      <c r="AP338" s="231"/>
      <c r="AQ338" s="231"/>
      <c r="AR338" s="231"/>
      <c r="AS338" s="231"/>
      <c r="AT338" s="231"/>
      <c r="AU338" s="231"/>
      <c r="AV338" s="231"/>
      <c r="AW338" s="231"/>
      <c r="AX338" s="231"/>
      <c r="AY338" s="231"/>
      <c r="AZ338" s="231"/>
      <c r="BA338" s="231"/>
      <c r="BB338" s="231"/>
      <c r="BC338" s="231"/>
      <c r="BD338" s="231"/>
      <c r="BE338" s="231"/>
      <c r="BF338" s="231"/>
      <c r="BG338" s="231"/>
      <c r="BH338" s="231"/>
      <c r="BI338" s="231"/>
      <c r="BJ338" s="231"/>
      <c r="BK338" s="231"/>
      <c r="BL338" s="231"/>
      <c r="BM338" s="231"/>
      <c r="BN338" s="231"/>
      <c r="BO338" s="231"/>
      <c r="BP338" s="231"/>
      <c r="BQ338" s="231"/>
      <c r="BR338" s="231"/>
      <c r="BS338" s="231"/>
    </row>
    <row r="339" spans="1:71" s="203" customFormat="1">
      <c r="A339" s="23"/>
      <c r="B339" s="207"/>
      <c r="C339" s="207"/>
      <c r="D339" s="207"/>
      <c r="E339" s="207"/>
      <c r="F339" s="207"/>
      <c r="G339" s="207"/>
      <c r="H339" s="21"/>
      <c r="I339" s="21"/>
      <c r="J339" s="86"/>
      <c r="K339" s="86"/>
      <c r="L339" s="8"/>
      <c r="M339" s="8"/>
      <c r="N339" s="15"/>
      <c r="O339" s="231"/>
      <c r="P339" s="231"/>
      <c r="Q339" s="231"/>
      <c r="R339" s="231"/>
      <c r="S339" s="231"/>
      <c r="T339" s="231"/>
      <c r="U339" s="231"/>
      <c r="V339" s="231"/>
      <c r="W339" s="231"/>
      <c r="X339" s="231"/>
      <c r="Y339" s="231"/>
      <c r="Z339" s="231"/>
      <c r="AA339" s="231"/>
      <c r="AB339" s="231"/>
      <c r="AC339" s="231"/>
      <c r="AD339" s="231"/>
      <c r="AE339" s="231"/>
      <c r="AF339" s="231"/>
      <c r="AG339" s="231"/>
      <c r="AH339" s="231"/>
      <c r="AI339" s="231"/>
      <c r="AJ339" s="231"/>
      <c r="AK339" s="231"/>
      <c r="AL339" s="231"/>
      <c r="AM339" s="231"/>
      <c r="AN339" s="231"/>
      <c r="AO339" s="231"/>
      <c r="AP339" s="231"/>
      <c r="AQ339" s="231"/>
      <c r="AR339" s="231"/>
      <c r="AS339" s="231"/>
      <c r="AT339" s="231"/>
      <c r="AU339" s="231"/>
      <c r="AV339" s="231"/>
      <c r="AW339" s="231"/>
      <c r="AX339" s="231"/>
      <c r="AY339" s="231"/>
      <c r="AZ339" s="231"/>
      <c r="BA339" s="231"/>
      <c r="BB339" s="231"/>
      <c r="BC339" s="231"/>
      <c r="BD339" s="231"/>
      <c r="BE339" s="231"/>
      <c r="BF339" s="231"/>
      <c r="BG339" s="231"/>
      <c r="BH339" s="231"/>
      <c r="BI339" s="231"/>
      <c r="BJ339" s="231"/>
      <c r="BK339" s="231"/>
      <c r="BL339" s="231"/>
      <c r="BM339" s="231"/>
      <c r="BN339" s="231"/>
      <c r="BO339" s="231"/>
      <c r="BP339" s="231"/>
      <c r="BQ339" s="231"/>
      <c r="BR339" s="231"/>
      <c r="BS339" s="231"/>
    </row>
    <row r="340" spans="1:71" s="203" customFormat="1">
      <c r="A340" s="23"/>
      <c r="B340" s="207"/>
      <c r="C340" s="207"/>
      <c r="D340" s="207"/>
      <c r="E340" s="207"/>
      <c r="F340" s="207"/>
      <c r="G340" s="207"/>
      <c r="H340" s="131" t="s">
        <v>27</v>
      </c>
      <c r="I340" s="21"/>
      <c r="J340" s="86"/>
      <c r="K340" s="86"/>
      <c r="L340" s="8"/>
      <c r="M340" s="8"/>
      <c r="N340" s="15"/>
      <c r="O340" s="231"/>
      <c r="P340" s="231"/>
      <c r="Q340" s="231"/>
      <c r="R340" s="231"/>
      <c r="S340" s="231"/>
      <c r="T340" s="231"/>
      <c r="U340" s="231"/>
      <c r="V340" s="231"/>
      <c r="W340" s="231"/>
      <c r="X340" s="231"/>
      <c r="Y340" s="231"/>
      <c r="Z340" s="231"/>
      <c r="AA340" s="231"/>
      <c r="AB340" s="231"/>
      <c r="AC340" s="231"/>
      <c r="AD340" s="231"/>
      <c r="AE340" s="231"/>
      <c r="AF340" s="231"/>
      <c r="AG340" s="231"/>
      <c r="AH340" s="231"/>
      <c r="AI340" s="231"/>
      <c r="AJ340" s="231"/>
      <c r="AK340" s="231"/>
      <c r="AL340" s="231"/>
      <c r="AM340" s="231"/>
      <c r="AN340" s="231"/>
      <c r="AO340" s="231"/>
      <c r="AP340" s="231"/>
      <c r="AQ340" s="231"/>
      <c r="AR340" s="231"/>
      <c r="AS340" s="231"/>
      <c r="AT340" s="231"/>
      <c r="AU340" s="231"/>
      <c r="AV340" s="231"/>
      <c r="AW340" s="231"/>
      <c r="AX340" s="231"/>
      <c r="AY340" s="231"/>
      <c r="AZ340" s="231"/>
      <c r="BA340" s="231"/>
      <c r="BB340" s="231"/>
      <c r="BC340" s="231"/>
      <c r="BD340" s="231"/>
      <c r="BE340" s="231"/>
      <c r="BF340" s="231"/>
      <c r="BG340" s="231"/>
      <c r="BH340" s="231"/>
      <c r="BI340" s="231"/>
      <c r="BJ340" s="231"/>
      <c r="BK340" s="231"/>
      <c r="BL340" s="231"/>
      <c r="BM340" s="231"/>
      <c r="BN340" s="231"/>
      <c r="BO340" s="231"/>
      <c r="BP340" s="231"/>
      <c r="BQ340" s="231"/>
      <c r="BR340" s="231"/>
      <c r="BS340" s="231"/>
    </row>
    <row r="341" spans="1:71" s="203" customFormat="1">
      <c r="A341" s="197"/>
      <c r="B341" s="69"/>
      <c r="C341" s="69"/>
      <c r="D341" s="69"/>
      <c r="E341" s="856" t="s">
        <v>377</v>
      </c>
      <c r="F341" s="853" t="s">
        <v>402</v>
      </c>
      <c r="G341" s="207"/>
      <c r="H341" s="856" t="s">
        <v>403</v>
      </c>
      <c r="I341" s="21"/>
      <c r="J341" s="86"/>
      <c r="K341" s="86"/>
      <c r="L341" s="15"/>
      <c r="M341" s="8"/>
      <c r="N341" s="15"/>
      <c r="O341" s="231"/>
      <c r="P341" s="231"/>
      <c r="Q341" s="231"/>
      <c r="R341" s="231"/>
      <c r="S341" s="231"/>
      <c r="T341" s="231"/>
      <c r="U341" s="231"/>
      <c r="V341" s="231"/>
      <c r="W341" s="231"/>
      <c r="X341" s="231"/>
      <c r="Y341" s="231"/>
      <c r="Z341" s="231"/>
      <c r="AA341" s="231"/>
      <c r="AB341" s="231"/>
      <c r="AC341" s="231"/>
      <c r="AD341" s="231"/>
      <c r="AE341" s="231"/>
      <c r="AF341" s="231"/>
      <c r="AG341" s="231"/>
      <c r="AH341" s="231"/>
      <c r="AI341" s="231"/>
      <c r="AJ341" s="231"/>
      <c r="AK341" s="231"/>
      <c r="AL341" s="231"/>
      <c r="AM341" s="231"/>
      <c r="AN341" s="231"/>
      <c r="AO341" s="231"/>
      <c r="AP341" s="231"/>
      <c r="AQ341" s="231"/>
      <c r="AR341" s="231"/>
      <c r="AS341" s="231"/>
      <c r="AT341" s="231"/>
      <c r="AU341" s="231"/>
      <c r="AV341" s="231"/>
      <c r="AW341" s="231"/>
      <c r="AX341" s="231"/>
      <c r="AY341" s="231"/>
      <c r="AZ341" s="231"/>
      <c r="BA341" s="231"/>
      <c r="BB341" s="231"/>
      <c r="BC341" s="231"/>
      <c r="BD341" s="231"/>
      <c r="BE341" s="231"/>
      <c r="BF341" s="231"/>
      <c r="BG341" s="231"/>
      <c r="BH341" s="231"/>
      <c r="BI341" s="231"/>
      <c r="BJ341" s="231"/>
      <c r="BK341" s="231"/>
      <c r="BL341" s="231"/>
      <c r="BM341" s="231"/>
      <c r="BN341" s="231"/>
      <c r="BO341" s="231"/>
      <c r="BP341" s="231"/>
      <c r="BQ341" s="231"/>
      <c r="BR341" s="231"/>
      <c r="BS341" s="231"/>
    </row>
    <row r="342" spans="1:71" s="203" customFormat="1">
      <c r="A342" s="144" t="s">
        <v>261</v>
      </c>
      <c r="B342" s="116"/>
      <c r="C342" s="116"/>
      <c r="D342" s="116"/>
      <c r="E342" s="859"/>
      <c r="F342" s="854"/>
      <c r="G342" s="207"/>
      <c r="H342" s="857"/>
      <c r="I342" s="21"/>
      <c r="J342" s="86"/>
      <c r="K342" s="86"/>
      <c r="L342" s="15"/>
      <c r="M342" s="8"/>
      <c r="N342" s="15"/>
      <c r="O342" s="231"/>
      <c r="P342" s="231"/>
      <c r="Q342" s="231"/>
      <c r="R342" s="231"/>
      <c r="S342" s="231"/>
      <c r="T342" s="231"/>
      <c r="U342" s="231"/>
      <c r="V342" s="231"/>
      <c r="W342" s="231"/>
      <c r="X342" s="231"/>
      <c r="Y342" s="231"/>
      <c r="Z342" s="231"/>
      <c r="AA342" s="231"/>
      <c r="AB342" s="231"/>
      <c r="AC342" s="231"/>
      <c r="AD342" s="231"/>
      <c r="AE342" s="231"/>
      <c r="AF342" s="231"/>
      <c r="AG342" s="231"/>
      <c r="AH342" s="231"/>
      <c r="AI342" s="231"/>
      <c r="AJ342" s="231"/>
      <c r="AK342" s="231"/>
      <c r="AL342" s="231"/>
      <c r="AM342" s="231"/>
      <c r="AN342" s="231"/>
      <c r="AO342" s="231"/>
      <c r="AP342" s="231"/>
      <c r="AQ342" s="231"/>
      <c r="AR342" s="231"/>
      <c r="AS342" s="231"/>
      <c r="AT342" s="231"/>
      <c r="AU342" s="231"/>
      <c r="AV342" s="231"/>
      <c r="AW342" s="231"/>
      <c r="AX342" s="231"/>
      <c r="AY342" s="231"/>
      <c r="AZ342" s="231"/>
      <c r="BA342" s="231"/>
      <c r="BB342" s="231"/>
      <c r="BC342" s="231"/>
      <c r="BD342" s="231"/>
      <c r="BE342" s="231"/>
      <c r="BF342" s="231"/>
      <c r="BG342" s="231"/>
      <c r="BH342" s="231"/>
      <c r="BI342" s="231"/>
      <c r="BJ342" s="231"/>
      <c r="BK342" s="231"/>
      <c r="BL342" s="231"/>
      <c r="BM342" s="231"/>
      <c r="BN342" s="231"/>
      <c r="BO342" s="231"/>
      <c r="BP342" s="231"/>
      <c r="BQ342" s="231"/>
      <c r="BR342" s="231"/>
      <c r="BS342" s="231"/>
    </row>
    <row r="343" spans="1:71" s="203" customFormat="1">
      <c r="A343" s="119"/>
      <c r="B343" s="116"/>
      <c r="C343" s="116"/>
      <c r="D343" s="116"/>
      <c r="E343" s="859"/>
      <c r="F343" s="854"/>
      <c r="G343" s="207"/>
      <c r="H343" s="857"/>
      <c r="I343" s="21"/>
      <c r="J343" s="86"/>
      <c r="K343" s="86"/>
      <c r="L343" s="15"/>
      <c r="M343" s="8"/>
      <c r="N343" s="15"/>
      <c r="O343" s="231"/>
      <c r="P343" s="231"/>
      <c r="Q343" s="231"/>
      <c r="R343" s="231"/>
      <c r="S343" s="231"/>
      <c r="T343" s="231"/>
      <c r="U343" s="231"/>
      <c r="V343" s="231"/>
      <c r="W343" s="231"/>
      <c r="X343" s="231"/>
      <c r="Y343" s="231"/>
      <c r="Z343" s="231"/>
      <c r="AA343" s="231"/>
      <c r="AB343" s="231"/>
      <c r="AC343" s="231"/>
      <c r="AD343" s="231"/>
      <c r="AE343" s="231"/>
      <c r="AF343" s="231"/>
      <c r="AG343" s="231"/>
      <c r="AH343" s="231"/>
      <c r="AI343" s="231"/>
      <c r="AJ343" s="231"/>
      <c r="AK343" s="231"/>
      <c r="AL343" s="231"/>
      <c r="AM343" s="231"/>
      <c r="AN343" s="231"/>
      <c r="AO343" s="231"/>
      <c r="AP343" s="231"/>
      <c r="AQ343" s="231"/>
      <c r="AR343" s="231"/>
      <c r="AS343" s="231"/>
      <c r="AT343" s="231"/>
      <c r="AU343" s="231"/>
      <c r="AV343" s="231"/>
      <c r="AW343" s="231"/>
      <c r="AX343" s="231"/>
      <c r="AY343" s="231"/>
      <c r="AZ343" s="231"/>
      <c r="BA343" s="231"/>
      <c r="BB343" s="231"/>
      <c r="BC343" s="231"/>
      <c r="BD343" s="231"/>
      <c r="BE343" s="231"/>
      <c r="BF343" s="231"/>
      <c r="BG343" s="231"/>
      <c r="BH343" s="231"/>
      <c r="BI343" s="231"/>
      <c r="BJ343" s="231"/>
      <c r="BK343" s="231"/>
      <c r="BL343" s="231"/>
      <c r="BM343" s="231"/>
      <c r="BN343" s="231"/>
      <c r="BO343" s="231"/>
      <c r="BP343" s="231"/>
      <c r="BQ343" s="231"/>
      <c r="BR343" s="231"/>
      <c r="BS343" s="231"/>
    </row>
    <row r="344" spans="1:71" s="203" customFormat="1">
      <c r="A344" s="198" t="s">
        <v>262</v>
      </c>
      <c r="B344" s="116"/>
      <c r="C344" s="116"/>
      <c r="D344" s="116"/>
      <c r="E344" s="859"/>
      <c r="F344" s="854"/>
      <c r="G344" s="207"/>
      <c r="H344" s="857"/>
      <c r="I344" s="21"/>
      <c r="J344" s="86"/>
      <c r="K344" s="86"/>
      <c r="L344" s="15"/>
      <c r="M344" s="8"/>
      <c r="N344" s="15"/>
      <c r="O344" s="231"/>
      <c r="P344" s="231"/>
      <c r="Q344" s="231"/>
      <c r="R344" s="231"/>
      <c r="S344" s="231"/>
      <c r="T344" s="231"/>
      <c r="U344" s="231"/>
      <c r="V344" s="231"/>
      <c r="W344" s="231"/>
      <c r="X344" s="231"/>
      <c r="Y344" s="231"/>
      <c r="Z344" s="231"/>
      <c r="AA344" s="231"/>
      <c r="AB344" s="231"/>
      <c r="AC344" s="231"/>
      <c r="AD344" s="231"/>
      <c r="AE344" s="231"/>
      <c r="AF344" s="231"/>
      <c r="AG344" s="231"/>
      <c r="AH344" s="231"/>
      <c r="AI344" s="231"/>
      <c r="AJ344" s="231"/>
      <c r="AK344" s="231"/>
      <c r="AL344" s="231"/>
      <c r="AM344" s="231"/>
      <c r="AN344" s="231"/>
      <c r="AO344" s="231"/>
      <c r="AP344" s="231"/>
      <c r="AQ344" s="231"/>
      <c r="AR344" s="231"/>
      <c r="AS344" s="231"/>
      <c r="AT344" s="231"/>
      <c r="AU344" s="231"/>
      <c r="AV344" s="231"/>
      <c r="AW344" s="231"/>
      <c r="AX344" s="231"/>
      <c r="AY344" s="231"/>
      <c r="AZ344" s="231"/>
      <c r="BA344" s="231"/>
      <c r="BB344" s="231"/>
      <c r="BC344" s="231"/>
      <c r="BD344" s="231"/>
      <c r="BE344" s="231"/>
      <c r="BF344" s="231"/>
      <c r="BG344" s="231"/>
      <c r="BH344" s="231"/>
      <c r="BI344" s="231"/>
      <c r="BJ344" s="231"/>
      <c r="BK344" s="231"/>
      <c r="BL344" s="231"/>
      <c r="BM344" s="231"/>
      <c r="BN344" s="231"/>
      <c r="BO344" s="231"/>
      <c r="BP344" s="231"/>
      <c r="BQ344" s="231"/>
      <c r="BR344" s="231"/>
      <c r="BS344" s="231"/>
    </row>
    <row r="345" spans="1:71" s="203" customFormat="1">
      <c r="A345" s="198" t="s">
        <v>330</v>
      </c>
      <c r="B345" s="116"/>
      <c r="C345" s="116"/>
      <c r="D345" s="116"/>
      <c r="E345" s="860"/>
      <c r="F345" s="855"/>
      <c r="G345" s="207"/>
      <c r="H345" s="858"/>
      <c r="I345" s="21"/>
      <c r="J345" s="86"/>
      <c r="K345" s="86"/>
      <c r="L345" s="15"/>
      <c r="M345" s="8"/>
      <c r="N345" s="8"/>
      <c r="O345" s="231"/>
      <c r="P345" s="231"/>
      <c r="Q345" s="231"/>
      <c r="R345" s="231"/>
      <c r="S345" s="231"/>
      <c r="T345" s="231"/>
      <c r="U345" s="231"/>
      <c r="V345" s="231"/>
      <c r="W345" s="231"/>
      <c r="X345" s="231"/>
      <c r="Y345" s="231"/>
      <c r="Z345" s="231"/>
      <c r="AA345" s="231"/>
      <c r="AB345" s="231"/>
      <c r="AC345" s="231"/>
      <c r="AD345" s="231"/>
      <c r="AE345" s="231"/>
      <c r="AF345" s="231"/>
      <c r="AG345" s="231"/>
      <c r="AH345" s="231"/>
      <c r="AI345" s="231"/>
      <c r="AJ345" s="231"/>
      <c r="AK345" s="231"/>
      <c r="AL345" s="231"/>
      <c r="AM345" s="231"/>
      <c r="AN345" s="231"/>
      <c r="AO345" s="231"/>
      <c r="AP345" s="231"/>
      <c r="AQ345" s="231"/>
      <c r="AR345" s="231"/>
      <c r="AS345" s="231"/>
      <c r="AT345" s="231"/>
      <c r="AU345" s="231"/>
      <c r="AV345" s="231"/>
      <c r="AW345" s="231"/>
      <c r="AX345" s="231"/>
      <c r="AY345" s="231"/>
      <c r="AZ345" s="231"/>
      <c r="BA345" s="231"/>
      <c r="BB345" s="231"/>
      <c r="BC345" s="231"/>
      <c r="BD345" s="231"/>
      <c r="BE345" s="231"/>
      <c r="BF345" s="231"/>
      <c r="BG345" s="231"/>
      <c r="BH345" s="231"/>
      <c r="BI345" s="231"/>
      <c r="BJ345" s="231"/>
      <c r="BK345" s="231"/>
      <c r="BL345" s="231"/>
      <c r="BM345" s="231"/>
      <c r="BN345" s="231"/>
      <c r="BO345" s="231"/>
      <c r="BP345" s="231"/>
      <c r="BQ345" s="231"/>
      <c r="BR345" s="231"/>
      <c r="BS345" s="231"/>
    </row>
    <row r="346" spans="1:71" s="203" customFormat="1">
      <c r="A346" s="119"/>
      <c r="B346" s="47"/>
      <c r="C346" s="116"/>
      <c r="D346" s="116"/>
      <c r="E346" s="178"/>
      <c r="F346" s="146"/>
      <c r="G346" s="23"/>
      <c r="H346" s="264"/>
      <c r="I346" s="21"/>
      <c r="J346" s="86"/>
      <c r="K346" s="86"/>
      <c r="L346" s="202"/>
      <c r="M346" s="8"/>
      <c r="N346" s="8"/>
      <c r="O346" s="231"/>
      <c r="P346" s="231"/>
      <c r="Q346" s="231"/>
      <c r="R346" s="231"/>
      <c r="S346" s="231"/>
      <c r="T346" s="231"/>
      <c r="U346" s="231"/>
      <c r="V346" s="231"/>
      <c r="W346" s="231"/>
      <c r="X346" s="231"/>
      <c r="Y346" s="231"/>
      <c r="Z346" s="231"/>
      <c r="AA346" s="231"/>
      <c r="AB346" s="231"/>
      <c r="AC346" s="231"/>
      <c r="AD346" s="231"/>
      <c r="AE346" s="231"/>
      <c r="AF346" s="231"/>
      <c r="AG346" s="231"/>
      <c r="AH346" s="231"/>
      <c r="AI346" s="231"/>
      <c r="AJ346" s="231"/>
      <c r="AK346" s="231"/>
      <c r="AL346" s="231"/>
      <c r="AM346" s="231"/>
      <c r="AN346" s="231"/>
      <c r="AO346" s="231"/>
      <c r="AP346" s="231"/>
      <c r="AQ346" s="231"/>
      <c r="AR346" s="231"/>
      <c r="AS346" s="231"/>
      <c r="AT346" s="231"/>
      <c r="AU346" s="231"/>
      <c r="AV346" s="231"/>
      <c r="AW346" s="231"/>
      <c r="AX346" s="231"/>
      <c r="AY346" s="231"/>
      <c r="AZ346" s="231"/>
      <c r="BA346" s="231"/>
      <c r="BB346" s="231"/>
      <c r="BC346" s="231"/>
      <c r="BD346" s="231"/>
      <c r="BE346" s="231"/>
      <c r="BF346" s="231"/>
      <c r="BG346" s="231"/>
      <c r="BH346" s="231"/>
      <c r="BI346" s="231"/>
      <c r="BJ346" s="231"/>
      <c r="BK346" s="231"/>
      <c r="BL346" s="231"/>
      <c r="BM346" s="231"/>
      <c r="BN346" s="231"/>
      <c r="BO346" s="231"/>
      <c r="BP346" s="231"/>
      <c r="BQ346" s="231"/>
      <c r="BR346" s="231"/>
      <c r="BS346" s="231"/>
    </row>
    <row r="347" spans="1:71" s="203" customFormat="1">
      <c r="A347" s="350">
        <v>1</v>
      </c>
      <c r="B347" s="47" t="s">
        <v>263</v>
      </c>
      <c r="C347" s="116"/>
      <c r="D347" s="116"/>
      <c r="E347" s="354">
        <f>SUM('Aberdeen City:West Lothian'!E347)</f>
        <v>344693</v>
      </c>
      <c r="F347" s="265">
        <f>SUM('Aberdeen City:West Lothian'!F347)</f>
        <v>335592</v>
      </c>
      <c r="G347" s="43"/>
      <c r="H347" s="126">
        <f>SUM('Aberdeen City:West Lothian'!H347)</f>
        <v>344410</v>
      </c>
      <c r="I347" s="86"/>
      <c r="J347" s="86"/>
      <c r="K347" s="86"/>
      <c r="L347" s="202"/>
      <c r="M347" s="8"/>
      <c r="N347" s="8"/>
      <c r="O347" s="231"/>
      <c r="P347" s="231"/>
      <c r="Q347" s="231"/>
      <c r="R347" s="231"/>
      <c r="S347" s="231"/>
      <c r="T347" s="231"/>
      <c r="U347" s="231"/>
      <c r="V347" s="231"/>
      <c r="W347" s="231"/>
      <c r="X347" s="231"/>
      <c r="Y347" s="231"/>
      <c r="Z347" s="231"/>
      <c r="AA347" s="231"/>
      <c r="AB347" s="231"/>
      <c r="AC347" s="231"/>
      <c r="AD347" s="231"/>
      <c r="AE347" s="231"/>
      <c r="AF347" s="231"/>
      <c r="AG347" s="231"/>
      <c r="AH347" s="231"/>
      <c r="AI347" s="231"/>
      <c r="AJ347" s="231"/>
      <c r="AK347" s="231"/>
      <c r="AL347" s="231"/>
      <c r="AM347" s="231"/>
      <c r="AN347" s="231"/>
      <c r="AO347" s="231"/>
      <c r="AP347" s="231"/>
      <c r="AQ347" s="231"/>
      <c r="AR347" s="231"/>
      <c r="AS347" s="231"/>
      <c r="AT347" s="231"/>
      <c r="AU347" s="231"/>
      <c r="AV347" s="231"/>
      <c r="AW347" s="231"/>
      <c r="AX347" s="231"/>
      <c r="AY347" s="231"/>
      <c r="AZ347" s="231"/>
      <c r="BA347" s="231"/>
      <c r="BB347" s="231"/>
      <c r="BC347" s="231"/>
      <c r="BD347" s="231"/>
      <c r="BE347" s="231"/>
      <c r="BF347" s="231"/>
      <c r="BG347" s="231"/>
      <c r="BH347" s="231"/>
      <c r="BI347" s="231"/>
      <c r="BJ347" s="231"/>
      <c r="BK347" s="231"/>
      <c r="BL347" s="231"/>
      <c r="BM347" s="231"/>
      <c r="BN347" s="231"/>
      <c r="BO347" s="231"/>
      <c r="BP347" s="231"/>
      <c r="BQ347" s="231"/>
      <c r="BR347" s="231"/>
      <c r="BS347" s="231"/>
    </row>
    <row r="348" spans="1:71" s="203" customFormat="1">
      <c r="A348" s="350"/>
      <c r="B348" s="47"/>
      <c r="C348" s="116"/>
      <c r="D348" s="116"/>
      <c r="E348" s="355"/>
      <c r="F348" s="188"/>
      <c r="G348" s="43"/>
      <c r="H348" s="188"/>
      <c r="I348" s="86"/>
      <c r="J348" s="86"/>
      <c r="K348" s="86"/>
      <c r="L348" s="200"/>
      <c r="M348" s="8"/>
      <c r="N348" s="8"/>
      <c r="O348" s="231"/>
      <c r="P348" s="231"/>
      <c r="Q348" s="231"/>
      <c r="R348" s="231"/>
      <c r="S348" s="231"/>
      <c r="T348" s="231"/>
      <c r="U348" s="231"/>
      <c r="V348" s="231"/>
      <c r="W348" s="231"/>
      <c r="X348" s="231"/>
      <c r="Y348" s="231"/>
      <c r="Z348" s="231"/>
      <c r="AA348" s="231"/>
      <c r="AB348" s="231"/>
      <c r="AC348" s="231"/>
      <c r="AD348" s="231"/>
      <c r="AE348" s="231"/>
      <c r="AF348" s="231"/>
      <c r="AG348" s="231"/>
      <c r="AH348" s="231"/>
      <c r="AI348" s="231"/>
      <c r="AJ348" s="231"/>
      <c r="AK348" s="231"/>
      <c r="AL348" s="231"/>
      <c r="AM348" s="231"/>
      <c r="AN348" s="231"/>
      <c r="AO348" s="231"/>
      <c r="AP348" s="231"/>
      <c r="AQ348" s="231"/>
      <c r="AR348" s="231"/>
      <c r="AS348" s="231"/>
      <c r="AT348" s="231"/>
      <c r="AU348" s="231"/>
      <c r="AV348" s="231"/>
      <c r="AW348" s="231"/>
      <c r="AX348" s="231"/>
      <c r="AY348" s="231"/>
      <c r="AZ348" s="231"/>
      <c r="BA348" s="231"/>
      <c r="BB348" s="231"/>
      <c r="BC348" s="231"/>
      <c r="BD348" s="231"/>
      <c r="BE348" s="231"/>
      <c r="BF348" s="231"/>
      <c r="BG348" s="231"/>
      <c r="BH348" s="231"/>
      <c r="BI348" s="231"/>
      <c r="BJ348" s="231"/>
      <c r="BK348" s="231"/>
      <c r="BL348" s="231"/>
      <c r="BM348" s="231"/>
      <c r="BN348" s="231"/>
      <c r="BO348" s="231"/>
      <c r="BP348" s="231"/>
      <c r="BQ348" s="231"/>
      <c r="BR348" s="231"/>
      <c r="BS348" s="231"/>
    </row>
    <row r="349" spans="1:71" s="203" customFormat="1">
      <c r="A349" s="108" t="s">
        <v>378</v>
      </c>
      <c r="B349" s="47"/>
      <c r="C349" s="116"/>
      <c r="D349" s="116"/>
      <c r="E349" s="355"/>
      <c r="F349" s="188"/>
      <c r="G349" s="43"/>
      <c r="H349" s="188"/>
      <c r="I349" s="86"/>
      <c r="J349" s="86"/>
      <c r="K349" s="86"/>
      <c r="L349" s="200"/>
      <c r="M349" s="8"/>
      <c r="N349" s="8"/>
      <c r="O349" s="231"/>
      <c r="P349" s="231"/>
      <c r="Q349" s="231"/>
      <c r="R349" s="231"/>
      <c r="S349" s="231"/>
      <c r="T349" s="231"/>
      <c r="U349" s="231"/>
      <c r="V349" s="231"/>
      <c r="W349" s="231"/>
      <c r="X349" s="231"/>
      <c r="Y349" s="231"/>
      <c r="Z349" s="231"/>
      <c r="AA349" s="231"/>
      <c r="AB349" s="231"/>
      <c r="AC349" s="231"/>
      <c r="AD349" s="231"/>
      <c r="AE349" s="231"/>
      <c r="AF349" s="231"/>
      <c r="AG349" s="231"/>
      <c r="AH349" s="231"/>
      <c r="AI349" s="231"/>
      <c r="AJ349" s="231"/>
      <c r="AK349" s="231"/>
      <c r="AL349" s="231"/>
      <c r="AM349" s="231"/>
      <c r="AN349" s="231"/>
      <c r="AO349" s="231"/>
      <c r="AP349" s="231"/>
      <c r="AQ349" s="231"/>
      <c r="AR349" s="231"/>
      <c r="AS349" s="231"/>
      <c r="AT349" s="231"/>
      <c r="AU349" s="231"/>
      <c r="AV349" s="231"/>
      <c r="AW349" s="231"/>
      <c r="AX349" s="231"/>
      <c r="AY349" s="231"/>
      <c r="AZ349" s="231"/>
      <c r="BA349" s="231"/>
      <c r="BB349" s="231"/>
      <c r="BC349" s="231"/>
      <c r="BD349" s="231"/>
      <c r="BE349" s="231"/>
      <c r="BF349" s="231"/>
      <c r="BG349" s="231"/>
      <c r="BH349" s="231"/>
      <c r="BI349" s="231"/>
      <c r="BJ349" s="231"/>
      <c r="BK349" s="231"/>
      <c r="BL349" s="231"/>
      <c r="BM349" s="231"/>
      <c r="BN349" s="231"/>
      <c r="BO349" s="231"/>
      <c r="BP349" s="231"/>
      <c r="BQ349" s="231"/>
      <c r="BR349" s="231"/>
      <c r="BS349" s="231"/>
    </row>
    <row r="350" spans="1:71" s="203" customFormat="1">
      <c r="A350" s="350"/>
      <c r="B350" s="47"/>
      <c r="C350" s="116"/>
      <c r="D350" s="116"/>
      <c r="E350" s="355"/>
      <c r="F350" s="188"/>
      <c r="G350" s="43"/>
      <c r="H350" s="188"/>
      <c r="I350" s="86"/>
      <c r="J350" s="86"/>
      <c r="K350" s="86"/>
      <c r="L350" s="15"/>
      <c r="M350" s="8"/>
      <c r="N350" s="8"/>
      <c r="O350" s="231"/>
      <c r="P350" s="231"/>
      <c r="Q350" s="231"/>
      <c r="R350" s="231"/>
      <c r="S350" s="231"/>
      <c r="T350" s="231"/>
      <c r="U350" s="231"/>
      <c r="V350" s="231"/>
      <c r="W350" s="231"/>
      <c r="X350" s="231"/>
      <c r="Y350" s="231"/>
      <c r="Z350" s="231"/>
      <c r="AA350" s="231"/>
      <c r="AB350" s="231"/>
      <c r="AC350" s="231"/>
      <c r="AD350" s="231"/>
      <c r="AE350" s="231"/>
      <c r="AF350" s="231"/>
      <c r="AG350" s="231"/>
      <c r="AH350" s="231"/>
      <c r="AI350" s="231"/>
      <c r="AJ350" s="231"/>
      <c r="AK350" s="231"/>
      <c r="AL350" s="231"/>
      <c r="AM350" s="231"/>
      <c r="AN350" s="231"/>
      <c r="AO350" s="231"/>
      <c r="AP350" s="231"/>
      <c r="AQ350" s="231"/>
      <c r="AR350" s="231"/>
      <c r="AS350" s="231"/>
      <c r="AT350" s="231"/>
      <c r="AU350" s="231"/>
      <c r="AV350" s="231"/>
      <c r="AW350" s="231"/>
      <c r="AX350" s="231"/>
      <c r="AY350" s="231"/>
      <c r="AZ350" s="231"/>
      <c r="BA350" s="231"/>
      <c r="BB350" s="231"/>
      <c r="BC350" s="231"/>
      <c r="BD350" s="231"/>
      <c r="BE350" s="231"/>
      <c r="BF350" s="231"/>
      <c r="BG350" s="231"/>
      <c r="BH350" s="231"/>
      <c r="BI350" s="231"/>
      <c r="BJ350" s="231"/>
      <c r="BK350" s="231"/>
      <c r="BL350" s="231"/>
      <c r="BM350" s="231"/>
      <c r="BN350" s="231"/>
      <c r="BO350" s="231"/>
      <c r="BP350" s="231"/>
      <c r="BQ350" s="231"/>
      <c r="BR350" s="231"/>
      <c r="BS350" s="231"/>
    </row>
    <row r="351" spans="1:71" s="203" customFormat="1">
      <c r="A351" s="198" t="s">
        <v>379</v>
      </c>
      <c r="B351" s="47"/>
      <c r="C351" s="116"/>
      <c r="D351" s="116"/>
      <c r="E351" s="355"/>
      <c r="F351" s="188"/>
      <c r="G351" s="43"/>
      <c r="H351" s="188"/>
      <c r="I351" s="86"/>
      <c r="J351" s="86"/>
      <c r="K351" s="86"/>
      <c r="L351" s="15"/>
      <c r="M351" s="8"/>
      <c r="N351" s="8"/>
      <c r="O351" s="231"/>
      <c r="P351" s="231"/>
      <c r="Q351" s="231"/>
      <c r="R351" s="231"/>
      <c r="S351" s="231"/>
      <c r="T351" s="231"/>
      <c r="U351" s="231"/>
      <c r="V351" s="231"/>
      <c r="W351" s="231"/>
      <c r="X351" s="231"/>
      <c r="Y351" s="231"/>
      <c r="Z351" s="231"/>
      <c r="AA351" s="231"/>
      <c r="AB351" s="231"/>
      <c r="AC351" s="231"/>
      <c r="AD351" s="231"/>
      <c r="AE351" s="231"/>
      <c r="AF351" s="231"/>
      <c r="AG351" s="231"/>
      <c r="AH351" s="231"/>
      <c r="AI351" s="231"/>
      <c r="AJ351" s="231"/>
      <c r="AK351" s="231"/>
      <c r="AL351" s="231"/>
      <c r="AM351" s="231"/>
      <c r="AN351" s="231"/>
      <c r="AO351" s="231"/>
      <c r="AP351" s="231"/>
      <c r="AQ351" s="231"/>
      <c r="AR351" s="231"/>
      <c r="AS351" s="231"/>
      <c r="AT351" s="231"/>
      <c r="AU351" s="231"/>
      <c r="AV351" s="231"/>
      <c r="AW351" s="231"/>
      <c r="AX351" s="231"/>
      <c r="AY351" s="231"/>
      <c r="AZ351" s="231"/>
      <c r="BA351" s="231"/>
      <c r="BB351" s="231"/>
      <c r="BC351" s="231"/>
      <c r="BD351" s="231"/>
      <c r="BE351" s="231"/>
      <c r="BF351" s="231"/>
      <c r="BG351" s="231"/>
      <c r="BH351" s="231"/>
      <c r="BI351" s="231"/>
      <c r="BJ351" s="231"/>
      <c r="BK351" s="231"/>
      <c r="BL351" s="231"/>
      <c r="BM351" s="231"/>
      <c r="BN351" s="231"/>
      <c r="BO351" s="231"/>
      <c r="BP351" s="231"/>
      <c r="BQ351" s="231"/>
      <c r="BR351" s="231"/>
      <c r="BS351" s="231"/>
    </row>
    <row r="352" spans="1:71" s="203" customFormat="1">
      <c r="A352" s="350"/>
      <c r="B352" s="47"/>
      <c r="C352" s="116"/>
      <c r="D352" s="116"/>
      <c r="E352" s="355"/>
      <c r="F352" s="188"/>
      <c r="G352" s="43"/>
      <c r="H352" s="188"/>
      <c r="I352" s="86"/>
      <c r="J352" s="86"/>
      <c r="K352" s="201"/>
      <c r="L352" s="15"/>
      <c r="M352" s="8"/>
      <c r="N352" s="8"/>
      <c r="O352" s="231"/>
      <c r="P352" s="231"/>
      <c r="Q352" s="231"/>
      <c r="R352" s="231"/>
      <c r="S352" s="231"/>
      <c r="T352" s="231"/>
      <c r="U352" s="231"/>
      <c r="V352" s="231"/>
      <c r="W352" s="231"/>
      <c r="X352" s="231"/>
      <c r="Y352" s="231"/>
      <c r="Z352" s="231"/>
      <c r="AA352" s="231"/>
      <c r="AB352" s="231"/>
      <c r="AC352" s="231"/>
      <c r="AD352" s="231"/>
      <c r="AE352" s="231"/>
      <c r="AF352" s="231"/>
      <c r="AG352" s="231"/>
      <c r="AH352" s="231"/>
      <c r="AI352" s="231"/>
      <c r="AJ352" s="231"/>
      <c r="AK352" s="231"/>
      <c r="AL352" s="231"/>
      <c r="AM352" s="231"/>
      <c r="AN352" s="231"/>
      <c r="AO352" s="231"/>
      <c r="AP352" s="231"/>
      <c r="AQ352" s="231"/>
      <c r="AR352" s="231"/>
      <c r="AS352" s="231"/>
      <c r="AT352" s="231"/>
      <c r="AU352" s="231"/>
      <c r="AV352" s="231"/>
      <c r="AW352" s="231"/>
      <c r="AX352" s="231"/>
      <c r="AY352" s="231"/>
      <c r="AZ352" s="231"/>
      <c r="BA352" s="231"/>
      <c r="BB352" s="231"/>
      <c r="BC352" s="231"/>
      <c r="BD352" s="231"/>
      <c r="BE352" s="231"/>
      <c r="BF352" s="231"/>
      <c r="BG352" s="231"/>
      <c r="BH352" s="231"/>
      <c r="BI352" s="231"/>
      <c r="BJ352" s="231"/>
      <c r="BK352" s="231"/>
      <c r="BL352" s="231"/>
      <c r="BM352" s="231"/>
      <c r="BN352" s="231"/>
      <c r="BO352" s="231"/>
      <c r="BP352" s="231"/>
      <c r="BQ352" s="231"/>
      <c r="BR352" s="231"/>
      <c r="BS352" s="231"/>
    </row>
    <row r="353" spans="1:71" s="203" customFormat="1">
      <c r="A353" s="350">
        <v>2</v>
      </c>
      <c r="B353" s="47" t="s">
        <v>52</v>
      </c>
      <c r="C353" s="116"/>
      <c r="D353" s="116"/>
      <c r="E353" s="74">
        <f>SUM('Aberdeen City:West Lothian'!E353)</f>
        <v>6685</v>
      </c>
      <c r="F353" s="265">
        <f>SUM('Aberdeen City:West Lothian'!F353)</f>
        <v>9112</v>
      </c>
      <c r="G353" s="43"/>
      <c r="H353" s="126">
        <f>SUM('Aberdeen City:West Lothian'!H353)</f>
        <v>9086</v>
      </c>
      <c r="I353" s="86"/>
      <c r="J353" s="86"/>
      <c r="K353" s="86"/>
      <c r="L353" s="15"/>
      <c r="M353" s="8"/>
      <c r="N353" s="8"/>
      <c r="O353" s="231"/>
      <c r="P353" s="231"/>
      <c r="Q353" s="231"/>
      <c r="R353" s="231"/>
      <c r="S353" s="231"/>
      <c r="T353" s="231"/>
      <c r="U353" s="231"/>
      <c r="V353" s="231"/>
      <c r="W353" s="231"/>
      <c r="X353" s="231"/>
      <c r="Y353" s="231"/>
      <c r="Z353" s="231"/>
      <c r="AA353" s="231"/>
      <c r="AB353" s="231"/>
      <c r="AC353" s="231"/>
      <c r="AD353" s="231"/>
      <c r="AE353" s="231"/>
      <c r="AF353" s="231"/>
      <c r="AG353" s="231"/>
      <c r="AH353" s="231"/>
      <c r="AI353" s="231"/>
      <c r="AJ353" s="231"/>
      <c r="AK353" s="231"/>
      <c r="AL353" s="231"/>
      <c r="AM353" s="231"/>
      <c r="AN353" s="231"/>
      <c r="AO353" s="231"/>
      <c r="AP353" s="231"/>
      <c r="AQ353" s="231"/>
      <c r="AR353" s="231"/>
      <c r="AS353" s="231"/>
      <c r="AT353" s="231"/>
      <c r="AU353" s="231"/>
      <c r="AV353" s="231"/>
      <c r="AW353" s="231"/>
      <c r="AX353" s="231"/>
      <c r="AY353" s="231"/>
      <c r="AZ353" s="231"/>
      <c r="BA353" s="231"/>
      <c r="BB353" s="231"/>
      <c r="BC353" s="231"/>
      <c r="BD353" s="231"/>
      <c r="BE353" s="231"/>
      <c r="BF353" s="231"/>
      <c r="BG353" s="231"/>
      <c r="BH353" s="231"/>
      <c r="BI353" s="231"/>
      <c r="BJ353" s="231"/>
      <c r="BK353" s="231"/>
      <c r="BL353" s="231"/>
      <c r="BM353" s="231"/>
      <c r="BN353" s="231"/>
      <c r="BO353" s="231"/>
      <c r="BP353" s="231"/>
      <c r="BQ353" s="231"/>
      <c r="BR353" s="231"/>
      <c r="BS353" s="231"/>
    </row>
    <row r="354" spans="1:71" s="203" customFormat="1">
      <c r="A354" s="350">
        <v>3</v>
      </c>
      <c r="B354" s="47" t="s">
        <v>53</v>
      </c>
      <c r="C354" s="116"/>
      <c r="D354" s="116"/>
      <c r="E354" s="49">
        <f>SUM('Aberdeen City:West Lothian'!E354)</f>
        <v>520</v>
      </c>
      <c r="F354" s="265">
        <f>SUM('Aberdeen City:West Lothian'!F354)</f>
        <v>2975</v>
      </c>
      <c r="G354" s="43"/>
      <c r="H354" s="126">
        <f>SUM('Aberdeen City:West Lothian'!H354)</f>
        <v>2977</v>
      </c>
      <c r="I354" s="86"/>
      <c r="J354" s="86"/>
      <c r="K354" s="202"/>
      <c r="L354" s="15"/>
      <c r="M354" s="8"/>
      <c r="N354" s="8"/>
      <c r="O354" s="231"/>
      <c r="P354" s="231"/>
      <c r="Q354" s="231"/>
      <c r="R354" s="231"/>
      <c r="S354" s="231"/>
      <c r="T354" s="231"/>
      <c r="U354" s="231"/>
      <c r="V354" s="231"/>
      <c r="W354" s="231"/>
      <c r="X354" s="231"/>
      <c r="Y354" s="231"/>
      <c r="Z354" s="231"/>
      <c r="AA354" s="231"/>
      <c r="AB354" s="231"/>
      <c r="AC354" s="231"/>
      <c r="AD354" s="231"/>
      <c r="AE354" s="231"/>
      <c r="AF354" s="231"/>
      <c r="AG354" s="231"/>
      <c r="AH354" s="231"/>
      <c r="AI354" s="231"/>
      <c r="AJ354" s="231"/>
      <c r="AK354" s="231"/>
      <c r="AL354" s="231"/>
      <c r="AM354" s="231"/>
      <c r="AN354" s="231"/>
      <c r="AO354" s="231"/>
      <c r="AP354" s="231"/>
      <c r="AQ354" s="231"/>
      <c r="AR354" s="231"/>
      <c r="AS354" s="231"/>
      <c r="AT354" s="231"/>
      <c r="AU354" s="231"/>
      <c r="AV354" s="231"/>
      <c r="AW354" s="231"/>
      <c r="AX354" s="231"/>
      <c r="AY354" s="231"/>
      <c r="AZ354" s="231"/>
      <c r="BA354" s="231"/>
      <c r="BB354" s="231"/>
      <c r="BC354" s="231"/>
      <c r="BD354" s="231"/>
      <c r="BE354" s="231"/>
      <c r="BF354" s="231"/>
      <c r="BG354" s="231"/>
      <c r="BH354" s="231"/>
      <c r="BI354" s="231"/>
      <c r="BJ354" s="231"/>
      <c r="BK354" s="231"/>
      <c r="BL354" s="231"/>
      <c r="BM354" s="231"/>
      <c r="BN354" s="231"/>
      <c r="BO354" s="231"/>
      <c r="BP354" s="231"/>
      <c r="BQ354" s="231"/>
      <c r="BR354" s="231"/>
      <c r="BS354" s="231"/>
    </row>
    <row r="355" spans="1:71" s="203" customFormat="1">
      <c r="A355" s="350">
        <v>4</v>
      </c>
      <c r="B355" s="47" t="s">
        <v>54</v>
      </c>
      <c r="C355" s="116"/>
      <c r="D355" s="116"/>
      <c r="E355" s="49">
        <f>SUM('Aberdeen City:West Lothian'!E355)</f>
        <v>8349.1389999999992</v>
      </c>
      <c r="F355" s="265">
        <f>SUM('Aberdeen City:West Lothian'!F355)</f>
        <v>8978</v>
      </c>
      <c r="G355" s="43"/>
      <c r="H355" s="126">
        <f>SUM('Aberdeen City:West Lothian'!H355)</f>
        <v>6861</v>
      </c>
      <c r="I355" s="86"/>
      <c r="J355" s="86"/>
      <c r="K355" s="202"/>
      <c r="L355" s="15"/>
      <c r="M355" s="8"/>
      <c r="N355" s="8"/>
      <c r="O355" s="231"/>
      <c r="P355" s="231"/>
      <c r="Q355" s="231"/>
      <c r="R355" s="231"/>
      <c r="S355" s="231"/>
      <c r="T355" s="231"/>
      <c r="U355" s="231"/>
      <c r="V355" s="231"/>
      <c r="W355" s="231"/>
      <c r="X355" s="231"/>
      <c r="Y355" s="231"/>
      <c r="Z355" s="231"/>
      <c r="AA355" s="231"/>
      <c r="AB355" s="231"/>
      <c r="AC355" s="231"/>
      <c r="AD355" s="231"/>
      <c r="AE355" s="231"/>
      <c r="AF355" s="231"/>
      <c r="AG355" s="231"/>
      <c r="AH355" s="231"/>
      <c r="AI355" s="231"/>
      <c r="AJ355" s="231"/>
      <c r="AK355" s="231"/>
      <c r="AL355" s="231"/>
      <c r="AM355" s="231"/>
      <c r="AN355" s="231"/>
      <c r="AO355" s="231"/>
      <c r="AP355" s="231"/>
      <c r="AQ355" s="231"/>
      <c r="AR355" s="231"/>
      <c r="AS355" s="231"/>
      <c r="AT355" s="231"/>
      <c r="AU355" s="231"/>
      <c r="AV355" s="231"/>
      <c r="AW355" s="231"/>
      <c r="AX355" s="231"/>
      <c r="AY355" s="231"/>
      <c r="AZ355" s="231"/>
      <c r="BA355" s="231"/>
      <c r="BB355" s="231"/>
      <c r="BC355" s="231"/>
      <c r="BD355" s="231"/>
      <c r="BE355" s="231"/>
      <c r="BF355" s="231"/>
      <c r="BG355" s="231"/>
      <c r="BH355" s="231"/>
      <c r="BI355" s="231"/>
      <c r="BJ355" s="231"/>
      <c r="BK355" s="231"/>
      <c r="BL355" s="231"/>
      <c r="BM355" s="231"/>
      <c r="BN355" s="231"/>
      <c r="BO355" s="231"/>
      <c r="BP355" s="231"/>
      <c r="BQ355" s="231"/>
      <c r="BR355" s="231"/>
      <c r="BS355" s="231"/>
    </row>
    <row r="356" spans="1:71" s="203" customFormat="1">
      <c r="A356" s="350">
        <v>5</v>
      </c>
      <c r="B356" s="47" t="s">
        <v>55</v>
      </c>
      <c r="C356" s="116"/>
      <c r="D356" s="116"/>
      <c r="E356" s="49">
        <f>SUM('Aberdeen City:West Lothian'!E356)</f>
        <v>2891</v>
      </c>
      <c r="F356" s="265">
        <f>SUM('Aberdeen City:West Lothian'!F356)</f>
        <v>1715</v>
      </c>
      <c r="G356" s="43"/>
      <c r="H356" s="126">
        <f>SUM('Aberdeen City:West Lothian'!H356)</f>
        <v>1076</v>
      </c>
      <c r="I356" s="86"/>
      <c r="J356" s="86"/>
      <c r="K356" s="200"/>
      <c r="L356" s="15"/>
      <c r="M356" s="8"/>
      <c r="N356" s="8"/>
      <c r="O356" s="231"/>
      <c r="P356" s="231"/>
      <c r="Q356" s="231"/>
      <c r="R356" s="231"/>
      <c r="S356" s="231"/>
      <c r="T356" s="231"/>
      <c r="U356" s="231"/>
      <c r="V356" s="231"/>
      <c r="W356" s="231"/>
      <c r="X356" s="231"/>
      <c r="Y356" s="231"/>
      <c r="Z356" s="231"/>
      <c r="AA356" s="231"/>
      <c r="AB356" s="231"/>
      <c r="AC356" s="231"/>
      <c r="AD356" s="231"/>
      <c r="AE356" s="231"/>
      <c r="AF356" s="231"/>
      <c r="AG356" s="231"/>
      <c r="AH356" s="231"/>
      <c r="AI356" s="231"/>
      <c r="AJ356" s="231"/>
      <c r="AK356" s="231"/>
      <c r="AL356" s="231"/>
      <c r="AM356" s="231"/>
      <c r="AN356" s="231"/>
      <c r="AO356" s="231"/>
      <c r="AP356" s="231"/>
      <c r="AQ356" s="231"/>
      <c r="AR356" s="231"/>
      <c r="AS356" s="231"/>
      <c r="AT356" s="231"/>
      <c r="AU356" s="231"/>
      <c r="AV356" s="231"/>
      <c r="AW356" s="231"/>
      <c r="AX356" s="231"/>
      <c r="AY356" s="231"/>
      <c r="AZ356" s="231"/>
      <c r="BA356" s="231"/>
      <c r="BB356" s="231"/>
      <c r="BC356" s="231"/>
      <c r="BD356" s="231"/>
      <c r="BE356" s="231"/>
      <c r="BF356" s="231"/>
      <c r="BG356" s="231"/>
      <c r="BH356" s="231"/>
      <c r="BI356" s="231"/>
      <c r="BJ356" s="231"/>
      <c r="BK356" s="231"/>
      <c r="BL356" s="231"/>
      <c r="BM356" s="231"/>
      <c r="BN356" s="231"/>
      <c r="BO356" s="231"/>
      <c r="BP356" s="231"/>
      <c r="BQ356" s="231"/>
      <c r="BR356" s="231"/>
      <c r="BS356" s="231"/>
    </row>
    <row r="357" spans="1:71" s="203" customFormat="1">
      <c r="A357" s="350">
        <v>6</v>
      </c>
      <c r="B357" s="47" t="s">
        <v>56</v>
      </c>
      <c r="C357" s="116"/>
      <c r="D357" s="116"/>
      <c r="E357" s="49">
        <f>SUM('Aberdeen City:West Lothian'!E357)</f>
        <v>1082.96</v>
      </c>
      <c r="F357" s="265">
        <f>SUM('Aberdeen City:West Lothian'!F357)</f>
        <v>584</v>
      </c>
      <c r="G357" s="43"/>
      <c r="H357" s="126">
        <f>SUM('Aberdeen City:West Lothian'!H357)</f>
        <v>753</v>
      </c>
      <c r="I357" s="86"/>
      <c r="J357" s="86"/>
      <c r="K357" s="266"/>
      <c r="L357" s="15"/>
      <c r="M357" s="8"/>
      <c r="N357" s="8"/>
      <c r="O357" s="231"/>
      <c r="P357" s="231"/>
      <c r="Q357" s="231"/>
      <c r="R357" s="231"/>
      <c r="S357" s="231"/>
      <c r="T357" s="231"/>
      <c r="U357" s="231"/>
      <c r="V357" s="231"/>
      <c r="W357" s="231"/>
      <c r="X357" s="231"/>
      <c r="Y357" s="231"/>
      <c r="Z357" s="231"/>
      <c r="AA357" s="231"/>
      <c r="AB357" s="231"/>
      <c r="AC357" s="231"/>
      <c r="AD357" s="231"/>
      <c r="AE357" s="231"/>
      <c r="AF357" s="231"/>
      <c r="AG357" s="231"/>
      <c r="AH357" s="231"/>
      <c r="AI357" s="231"/>
      <c r="AJ357" s="231"/>
      <c r="AK357" s="231"/>
      <c r="AL357" s="231"/>
      <c r="AM357" s="231"/>
      <c r="AN357" s="231"/>
      <c r="AO357" s="231"/>
      <c r="AP357" s="231"/>
      <c r="AQ357" s="231"/>
      <c r="AR357" s="231"/>
      <c r="AS357" s="231"/>
      <c r="AT357" s="231"/>
      <c r="AU357" s="231"/>
      <c r="AV357" s="231"/>
      <c r="AW357" s="231"/>
      <c r="AX357" s="231"/>
      <c r="AY357" s="231"/>
      <c r="AZ357" s="231"/>
      <c r="BA357" s="231"/>
      <c r="BB357" s="231"/>
      <c r="BC357" s="231"/>
      <c r="BD357" s="231"/>
      <c r="BE357" s="231"/>
      <c r="BF357" s="231"/>
      <c r="BG357" s="231"/>
      <c r="BH357" s="231"/>
      <c r="BI357" s="231"/>
      <c r="BJ357" s="231"/>
      <c r="BK357" s="231"/>
      <c r="BL357" s="231"/>
      <c r="BM357" s="231"/>
      <c r="BN357" s="231"/>
      <c r="BO357" s="231"/>
      <c r="BP357" s="231"/>
      <c r="BQ357" s="231"/>
      <c r="BR357" s="231"/>
      <c r="BS357" s="231"/>
    </row>
    <row r="358" spans="1:71" s="203" customFormat="1">
      <c r="A358" s="350">
        <v>7</v>
      </c>
      <c r="B358" s="47" t="s">
        <v>57</v>
      </c>
      <c r="C358" s="116"/>
      <c r="D358" s="116"/>
      <c r="E358" s="49">
        <f>SUM('Aberdeen City:West Lothian'!E358)</f>
        <v>2064</v>
      </c>
      <c r="F358" s="265">
        <f>SUM('Aberdeen City:West Lothian'!F358)</f>
        <v>2760</v>
      </c>
      <c r="G358" s="43"/>
      <c r="H358" s="126">
        <f>SUM('Aberdeen City:West Lothian'!H358)</f>
        <v>50</v>
      </c>
      <c r="I358" s="86"/>
      <c r="J358" s="86"/>
      <c r="K358" s="266"/>
      <c r="L358" s="15"/>
      <c r="M358" s="8"/>
      <c r="N358" s="8"/>
      <c r="O358" s="231"/>
      <c r="P358" s="231"/>
      <c r="Q358" s="231"/>
      <c r="R358" s="231"/>
      <c r="S358" s="231"/>
      <c r="T358" s="231"/>
      <c r="U358" s="231"/>
      <c r="V358" s="231"/>
      <c r="W358" s="231"/>
      <c r="X358" s="231"/>
      <c r="Y358" s="231"/>
      <c r="Z358" s="231"/>
      <c r="AA358" s="231"/>
      <c r="AB358" s="231"/>
      <c r="AC358" s="231"/>
      <c r="AD358" s="231"/>
      <c r="AE358" s="231"/>
      <c r="AF358" s="231"/>
      <c r="AG358" s="231"/>
      <c r="AH358" s="231"/>
      <c r="AI358" s="231"/>
      <c r="AJ358" s="231"/>
      <c r="AK358" s="231"/>
      <c r="AL358" s="231"/>
      <c r="AM358" s="231"/>
      <c r="AN358" s="231"/>
      <c r="AO358" s="231"/>
      <c r="AP358" s="231"/>
      <c r="AQ358" s="231"/>
      <c r="AR358" s="231"/>
      <c r="AS358" s="231"/>
      <c r="AT358" s="231"/>
      <c r="AU358" s="231"/>
      <c r="AV358" s="231"/>
      <c r="AW358" s="231"/>
      <c r="AX358" s="231"/>
      <c r="AY358" s="231"/>
      <c r="AZ358" s="231"/>
      <c r="BA358" s="231"/>
      <c r="BB358" s="231"/>
      <c r="BC358" s="231"/>
      <c r="BD358" s="231"/>
      <c r="BE358" s="231"/>
      <c r="BF358" s="231"/>
      <c r="BG358" s="231"/>
      <c r="BH358" s="231"/>
      <c r="BI358" s="231"/>
      <c r="BJ358" s="231"/>
      <c r="BK358" s="231"/>
      <c r="BL358" s="231"/>
      <c r="BM358" s="231"/>
      <c r="BN358" s="231"/>
      <c r="BO358" s="231"/>
      <c r="BP358" s="231"/>
      <c r="BQ358" s="231"/>
      <c r="BR358" s="231"/>
      <c r="BS358" s="231"/>
    </row>
    <row r="359" spans="1:71" s="203" customFormat="1">
      <c r="A359" s="350">
        <v>8</v>
      </c>
      <c r="B359" s="47" t="s">
        <v>58</v>
      </c>
      <c r="C359" s="116"/>
      <c r="D359" s="116"/>
      <c r="E359" s="49">
        <f>SUM('Aberdeen City:West Lothian'!E359)</f>
        <v>21223.696</v>
      </c>
      <c r="F359" s="265">
        <f>SUM('Aberdeen City:West Lothian'!F359)</f>
        <v>4267</v>
      </c>
      <c r="G359" s="43"/>
      <c r="H359" s="126">
        <f>SUM('Aberdeen City:West Lothian'!H359)</f>
        <v>546</v>
      </c>
      <c r="I359" s="86"/>
      <c r="J359" s="86"/>
      <c r="K359" s="266"/>
      <c r="L359" s="15"/>
      <c r="M359" s="8"/>
      <c r="N359" s="8"/>
      <c r="O359" s="231"/>
      <c r="P359" s="231"/>
      <c r="Q359" s="231"/>
      <c r="R359" s="231"/>
      <c r="S359" s="231"/>
      <c r="T359" s="231"/>
      <c r="U359" s="231"/>
      <c r="V359" s="231"/>
      <c r="W359" s="231"/>
      <c r="X359" s="231"/>
      <c r="Y359" s="231"/>
      <c r="Z359" s="231"/>
      <c r="AA359" s="231"/>
      <c r="AB359" s="231"/>
      <c r="AC359" s="231"/>
      <c r="AD359" s="231"/>
      <c r="AE359" s="231"/>
      <c r="AF359" s="231"/>
      <c r="AG359" s="231"/>
      <c r="AH359" s="231"/>
      <c r="AI359" s="231"/>
      <c r="AJ359" s="231"/>
      <c r="AK359" s="231"/>
      <c r="AL359" s="231"/>
      <c r="AM359" s="231"/>
      <c r="AN359" s="231"/>
      <c r="AO359" s="231"/>
      <c r="AP359" s="231"/>
      <c r="AQ359" s="231"/>
      <c r="AR359" s="231"/>
      <c r="AS359" s="231"/>
      <c r="AT359" s="231"/>
      <c r="AU359" s="231"/>
      <c r="AV359" s="231"/>
      <c r="AW359" s="231"/>
      <c r="AX359" s="231"/>
      <c r="AY359" s="231"/>
      <c r="AZ359" s="231"/>
      <c r="BA359" s="231"/>
      <c r="BB359" s="231"/>
      <c r="BC359" s="231"/>
      <c r="BD359" s="231"/>
      <c r="BE359" s="231"/>
      <c r="BF359" s="231"/>
      <c r="BG359" s="231"/>
      <c r="BH359" s="231"/>
      <c r="BI359" s="231"/>
      <c r="BJ359" s="231"/>
      <c r="BK359" s="231"/>
      <c r="BL359" s="231"/>
      <c r="BM359" s="231"/>
      <c r="BN359" s="231"/>
      <c r="BO359" s="231"/>
      <c r="BP359" s="231"/>
      <c r="BQ359" s="231"/>
      <c r="BR359" s="231"/>
      <c r="BS359" s="231"/>
    </row>
    <row r="360" spans="1:71" s="203" customFormat="1">
      <c r="A360" s="350">
        <v>9</v>
      </c>
      <c r="B360" s="47" t="s">
        <v>59</v>
      </c>
      <c r="C360" s="116"/>
      <c r="D360" s="116"/>
      <c r="E360" s="49">
        <f>SUM('Aberdeen City:West Lothian'!E360)</f>
        <v>-170</v>
      </c>
      <c r="F360" s="265">
        <f>SUM('Aberdeen City:West Lothian'!F360)</f>
        <v>-1236</v>
      </c>
      <c r="G360" s="43"/>
      <c r="H360" s="126">
        <f>SUM('Aberdeen City:West Lothian'!H360)</f>
        <v>-2777</v>
      </c>
      <c r="I360" s="86"/>
      <c r="J360" s="86"/>
      <c r="K360" s="266"/>
      <c r="L360" s="15"/>
      <c r="M360" s="8"/>
      <c r="N360" s="8"/>
      <c r="O360" s="231"/>
      <c r="P360" s="231"/>
      <c r="Q360" s="231"/>
      <c r="R360" s="231"/>
      <c r="S360" s="231"/>
      <c r="T360" s="231"/>
      <c r="U360" s="231"/>
      <c r="V360" s="231"/>
      <c r="W360" s="231"/>
      <c r="X360" s="231"/>
      <c r="Y360" s="231"/>
      <c r="Z360" s="231"/>
      <c r="AA360" s="231"/>
      <c r="AB360" s="231"/>
      <c r="AC360" s="231"/>
      <c r="AD360" s="231"/>
      <c r="AE360" s="231"/>
      <c r="AF360" s="231"/>
      <c r="AG360" s="231"/>
      <c r="AH360" s="231"/>
      <c r="AI360" s="231"/>
      <c r="AJ360" s="231"/>
      <c r="AK360" s="231"/>
      <c r="AL360" s="231"/>
      <c r="AM360" s="231"/>
      <c r="AN360" s="231"/>
      <c r="AO360" s="231"/>
      <c r="AP360" s="231"/>
      <c r="AQ360" s="231"/>
      <c r="AR360" s="231"/>
      <c r="AS360" s="231"/>
      <c r="AT360" s="231"/>
      <c r="AU360" s="231"/>
      <c r="AV360" s="231"/>
      <c r="AW360" s="231"/>
      <c r="AX360" s="231"/>
      <c r="AY360" s="231"/>
      <c r="AZ360" s="231"/>
      <c r="BA360" s="231"/>
      <c r="BB360" s="231"/>
      <c r="BC360" s="231"/>
      <c r="BD360" s="231"/>
      <c r="BE360" s="231"/>
      <c r="BF360" s="231"/>
      <c r="BG360" s="231"/>
      <c r="BH360" s="231"/>
      <c r="BI360" s="231"/>
      <c r="BJ360" s="231"/>
      <c r="BK360" s="231"/>
      <c r="BL360" s="231"/>
      <c r="BM360" s="231"/>
      <c r="BN360" s="231"/>
      <c r="BO360" s="231"/>
      <c r="BP360" s="231"/>
      <c r="BQ360" s="231"/>
      <c r="BR360" s="231"/>
      <c r="BS360" s="231"/>
    </row>
    <row r="361" spans="1:71" s="203" customFormat="1">
      <c r="A361" s="350">
        <v>10</v>
      </c>
      <c r="B361" s="47" t="s">
        <v>60</v>
      </c>
      <c r="C361" s="116"/>
      <c r="D361" s="116"/>
      <c r="E361" s="49">
        <f>SUM('Aberdeen City:West Lothian'!E361)</f>
        <v>0</v>
      </c>
      <c r="F361" s="265">
        <f>SUM('Aberdeen City:West Lothian'!F361)</f>
        <v>0</v>
      </c>
      <c r="G361" s="43"/>
      <c r="H361" s="126">
        <f>SUM('Aberdeen City:West Lothian'!H361)</f>
        <v>32</v>
      </c>
      <c r="I361" s="86"/>
      <c r="J361" s="86"/>
      <c r="K361" s="266"/>
      <c r="L361" s="15"/>
      <c r="M361" s="8"/>
      <c r="N361" s="8"/>
      <c r="O361" s="231"/>
      <c r="P361" s="231"/>
      <c r="Q361" s="231"/>
      <c r="R361" s="231"/>
      <c r="S361" s="231"/>
      <c r="T361" s="231"/>
      <c r="U361" s="231"/>
      <c r="V361" s="231"/>
      <c r="W361" s="231"/>
      <c r="X361" s="231"/>
      <c r="Y361" s="231"/>
      <c r="Z361" s="231"/>
      <c r="AA361" s="231"/>
      <c r="AB361" s="231"/>
      <c r="AC361" s="231"/>
      <c r="AD361" s="231"/>
      <c r="AE361" s="231"/>
      <c r="AF361" s="231"/>
      <c r="AG361" s="231"/>
      <c r="AH361" s="231"/>
      <c r="AI361" s="231"/>
      <c r="AJ361" s="231"/>
      <c r="AK361" s="231"/>
      <c r="AL361" s="231"/>
      <c r="AM361" s="231"/>
      <c r="AN361" s="231"/>
      <c r="AO361" s="231"/>
      <c r="AP361" s="231"/>
      <c r="AQ361" s="231"/>
      <c r="AR361" s="231"/>
      <c r="AS361" s="231"/>
      <c r="AT361" s="231"/>
      <c r="AU361" s="231"/>
      <c r="AV361" s="231"/>
      <c r="AW361" s="231"/>
      <c r="AX361" s="231"/>
      <c r="AY361" s="231"/>
      <c r="AZ361" s="231"/>
      <c r="BA361" s="231"/>
      <c r="BB361" s="231"/>
      <c r="BC361" s="231"/>
      <c r="BD361" s="231"/>
      <c r="BE361" s="231"/>
      <c r="BF361" s="231"/>
      <c r="BG361" s="231"/>
      <c r="BH361" s="231"/>
      <c r="BI361" s="231"/>
      <c r="BJ361" s="231"/>
      <c r="BK361" s="231"/>
      <c r="BL361" s="231"/>
      <c r="BM361" s="231"/>
      <c r="BN361" s="231"/>
      <c r="BO361" s="231"/>
      <c r="BP361" s="231"/>
      <c r="BQ361" s="231"/>
      <c r="BR361" s="231"/>
      <c r="BS361" s="231"/>
    </row>
    <row r="362" spans="1:71" s="203" customFormat="1">
      <c r="A362" s="350">
        <v>11</v>
      </c>
      <c r="B362" s="47" t="s">
        <v>61</v>
      </c>
      <c r="C362" s="116"/>
      <c r="D362" s="116"/>
      <c r="E362" s="49">
        <f>SUM('Aberdeen City:West Lothian'!E362)</f>
        <v>1565</v>
      </c>
      <c r="F362" s="265">
        <f>SUM('Aberdeen City:West Lothian'!F362)</f>
        <v>2247</v>
      </c>
      <c r="G362" s="43"/>
      <c r="H362" s="126">
        <f>SUM('Aberdeen City:West Lothian'!H362)</f>
        <v>1624</v>
      </c>
      <c r="I362" s="86"/>
      <c r="J362" s="86"/>
      <c r="K362" s="266"/>
      <c r="L362" s="15"/>
      <c r="M362" s="8"/>
      <c r="N362" s="8"/>
      <c r="O362" s="231"/>
      <c r="P362" s="231"/>
      <c r="Q362" s="231"/>
      <c r="R362" s="231"/>
      <c r="S362" s="231"/>
      <c r="T362" s="231"/>
      <c r="U362" s="231"/>
      <c r="V362" s="231"/>
      <c r="W362" s="231"/>
      <c r="X362" s="231"/>
      <c r="Y362" s="231"/>
      <c r="Z362" s="231"/>
      <c r="AA362" s="231"/>
      <c r="AB362" s="231"/>
      <c r="AC362" s="231"/>
      <c r="AD362" s="231"/>
      <c r="AE362" s="231"/>
      <c r="AF362" s="231"/>
      <c r="AG362" s="231"/>
      <c r="AH362" s="231"/>
      <c r="AI362" s="231"/>
      <c r="AJ362" s="231"/>
      <c r="AK362" s="231"/>
      <c r="AL362" s="231"/>
      <c r="AM362" s="231"/>
      <c r="AN362" s="231"/>
      <c r="AO362" s="231"/>
      <c r="AP362" s="231"/>
      <c r="AQ362" s="231"/>
      <c r="AR362" s="231"/>
      <c r="AS362" s="231"/>
      <c r="AT362" s="231"/>
      <c r="AU362" s="231"/>
      <c r="AV362" s="231"/>
      <c r="AW362" s="231"/>
      <c r="AX362" s="231"/>
      <c r="AY362" s="231"/>
      <c r="AZ362" s="231"/>
      <c r="BA362" s="231"/>
      <c r="BB362" s="231"/>
      <c r="BC362" s="231"/>
      <c r="BD362" s="231"/>
      <c r="BE362" s="231"/>
      <c r="BF362" s="231"/>
      <c r="BG362" s="231"/>
      <c r="BH362" s="231"/>
      <c r="BI362" s="231"/>
      <c r="BJ362" s="231"/>
      <c r="BK362" s="231"/>
      <c r="BL362" s="231"/>
      <c r="BM362" s="231"/>
      <c r="BN362" s="231"/>
      <c r="BO362" s="231"/>
      <c r="BP362" s="231"/>
      <c r="BQ362" s="231"/>
      <c r="BR362" s="231"/>
      <c r="BS362" s="231"/>
    </row>
    <row r="363" spans="1:71" s="203" customFormat="1">
      <c r="A363" s="351">
        <v>12</v>
      </c>
      <c r="B363" s="54" t="s">
        <v>380</v>
      </c>
      <c r="C363" s="94"/>
      <c r="D363" s="94"/>
      <c r="E363" s="135">
        <f>SUM('Aberdeen City:West Lothian'!E363)</f>
        <v>44210.794999999998</v>
      </c>
      <c r="F363" s="61">
        <f>SUM(F353:F362)</f>
        <v>31402</v>
      </c>
      <c r="G363" s="43"/>
      <c r="H363" s="61">
        <f>SUM(H353:H362)</f>
        <v>20228</v>
      </c>
      <c r="I363" s="86"/>
      <c r="J363" s="86"/>
      <c r="K363" s="266"/>
      <c r="L363" s="15"/>
      <c r="M363" s="8"/>
      <c r="N363" s="8"/>
      <c r="O363" s="231"/>
      <c r="P363" s="231"/>
      <c r="Q363" s="231"/>
      <c r="R363" s="231"/>
      <c r="S363" s="231"/>
      <c r="T363" s="231"/>
      <c r="U363" s="231"/>
      <c r="V363" s="231"/>
      <c r="W363" s="231"/>
      <c r="X363" s="231"/>
      <c r="Y363" s="231"/>
      <c r="Z363" s="231"/>
      <c r="AA363" s="231"/>
      <c r="AB363" s="231"/>
      <c r="AC363" s="231"/>
      <c r="AD363" s="231"/>
      <c r="AE363" s="231"/>
      <c r="AF363" s="231"/>
      <c r="AG363" s="231"/>
      <c r="AH363" s="231"/>
      <c r="AI363" s="231"/>
      <c r="AJ363" s="231"/>
      <c r="AK363" s="231"/>
      <c r="AL363" s="231"/>
      <c r="AM363" s="231"/>
      <c r="AN363" s="231"/>
      <c r="AO363" s="231"/>
      <c r="AP363" s="231"/>
      <c r="AQ363" s="231"/>
      <c r="AR363" s="231"/>
      <c r="AS363" s="231"/>
      <c r="AT363" s="231"/>
      <c r="AU363" s="231"/>
      <c r="AV363" s="231"/>
      <c r="AW363" s="231"/>
      <c r="AX363" s="231"/>
      <c r="AY363" s="231"/>
      <c r="AZ363" s="231"/>
      <c r="BA363" s="231"/>
      <c r="BB363" s="231"/>
      <c r="BC363" s="231"/>
      <c r="BD363" s="231"/>
      <c r="BE363" s="231"/>
      <c r="BF363" s="231"/>
      <c r="BG363" s="231"/>
      <c r="BH363" s="231"/>
      <c r="BI363" s="231"/>
      <c r="BJ363" s="231"/>
      <c r="BK363" s="231"/>
      <c r="BL363" s="231"/>
      <c r="BM363" s="231"/>
      <c r="BN363" s="231"/>
      <c r="BO363" s="231"/>
      <c r="BP363" s="231"/>
      <c r="BQ363" s="231"/>
      <c r="BR363" s="231"/>
      <c r="BS363" s="231"/>
    </row>
    <row r="364" spans="1:71" s="203" customFormat="1">
      <c r="A364" s="199"/>
      <c r="B364" s="15"/>
      <c r="C364" s="15"/>
      <c r="D364" s="15"/>
      <c r="E364" s="15"/>
      <c r="F364" s="15"/>
      <c r="G364" s="15"/>
      <c r="H364" s="15"/>
      <c r="I364" s="86"/>
      <c r="J364" s="86"/>
      <c r="K364" s="86"/>
      <c r="L364" s="200"/>
      <c r="M364" s="8"/>
      <c r="N364" s="8"/>
      <c r="O364" s="231"/>
      <c r="P364" s="231"/>
      <c r="Q364" s="231"/>
      <c r="R364" s="231"/>
      <c r="S364" s="231"/>
      <c r="T364" s="231"/>
      <c r="U364" s="231"/>
      <c r="V364" s="231"/>
      <c r="W364" s="231"/>
      <c r="X364" s="231"/>
      <c r="Y364" s="231"/>
      <c r="Z364" s="231"/>
      <c r="AA364" s="231"/>
      <c r="AB364" s="231"/>
      <c r="AC364" s="231"/>
      <c r="AD364" s="231"/>
      <c r="AE364" s="231"/>
      <c r="AF364" s="231"/>
      <c r="AG364" s="231"/>
      <c r="AH364" s="231"/>
      <c r="AI364" s="231"/>
      <c r="AJ364" s="231"/>
      <c r="AK364" s="231"/>
      <c r="AL364" s="231"/>
      <c r="AM364" s="231"/>
      <c r="AN364" s="231"/>
      <c r="AO364" s="231"/>
      <c r="AP364" s="231"/>
      <c r="AQ364" s="231"/>
      <c r="AR364" s="231"/>
      <c r="AS364" s="231"/>
      <c r="AT364" s="231"/>
      <c r="AU364" s="231"/>
      <c r="AV364" s="231"/>
      <c r="AW364" s="231"/>
      <c r="AX364" s="231"/>
      <c r="AY364" s="231"/>
      <c r="AZ364" s="231"/>
      <c r="BA364" s="231"/>
      <c r="BB364" s="231"/>
      <c r="BC364" s="231"/>
      <c r="BD364" s="231"/>
      <c r="BE364" s="231"/>
      <c r="BF364" s="231"/>
      <c r="BG364" s="231"/>
      <c r="BH364" s="231"/>
      <c r="BI364" s="231"/>
      <c r="BJ364" s="231"/>
      <c r="BK364" s="231"/>
      <c r="BL364" s="231"/>
      <c r="BM364" s="231"/>
      <c r="BN364" s="231"/>
      <c r="BO364" s="231"/>
      <c r="BP364" s="231"/>
      <c r="BQ364" s="231"/>
      <c r="BR364" s="231"/>
      <c r="BS364" s="231"/>
    </row>
    <row r="365" spans="1:71" s="203" customFormat="1">
      <c r="A365" s="199"/>
      <c r="B365" s="15"/>
      <c r="C365" s="15"/>
      <c r="D365" s="15"/>
      <c r="E365" s="15"/>
      <c r="F365" s="15"/>
      <c r="G365" s="15"/>
      <c r="H365" s="86"/>
      <c r="I365" s="86"/>
      <c r="J365" s="86"/>
      <c r="K365" s="86"/>
      <c r="L365" s="15"/>
      <c r="M365" s="8"/>
      <c r="N365" s="8"/>
      <c r="O365" s="231"/>
      <c r="P365" s="231"/>
      <c r="Q365" s="231"/>
      <c r="R365" s="231"/>
      <c r="S365" s="231"/>
      <c r="T365" s="231"/>
      <c r="U365" s="231"/>
      <c r="V365" s="231"/>
      <c r="W365" s="231"/>
      <c r="X365" s="231"/>
      <c r="Y365" s="231"/>
      <c r="Z365" s="231"/>
      <c r="AA365" s="231"/>
      <c r="AB365" s="231"/>
      <c r="AC365" s="231"/>
      <c r="AD365" s="231"/>
      <c r="AE365" s="231"/>
      <c r="AF365" s="231"/>
      <c r="AG365" s="231"/>
      <c r="AH365" s="231"/>
      <c r="AI365" s="231"/>
      <c r="AJ365" s="231"/>
      <c r="AK365" s="231"/>
      <c r="AL365" s="231"/>
      <c r="AM365" s="231"/>
      <c r="AN365" s="231"/>
      <c r="AO365" s="231"/>
      <c r="AP365" s="231"/>
      <c r="AQ365" s="231"/>
      <c r="AR365" s="231"/>
      <c r="AS365" s="231"/>
      <c r="AT365" s="231"/>
      <c r="AU365" s="231"/>
      <c r="AV365" s="231"/>
      <c r="AW365" s="231"/>
      <c r="AX365" s="231"/>
      <c r="AY365" s="231"/>
      <c r="AZ365" s="231"/>
      <c r="BA365" s="231"/>
      <c r="BB365" s="231"/>
      <c r="BC365" s="231"/>
      <c r="BD365" s="231"/>
      <c r="BE365" s="231"/>
      <c r="BF365" s="231"/>
      <c r="BG365" s="231"/>
      <c r="BH365" s="231"/>
      <c r="BI365" s="231"/>
      <c r="BJ365" s="231"/>
      <c r="BK365" s="231"/>
      <c r="BL365" s="231"/>
      <c r="BM365" s="231"/>
      <c r="BN365" s="231"/>
      <c r="BO365" s="231"/>
      <c r="BP365" s="231"/>
      <c r="BQ365" s="231"/>
      <c r="BR365" s="231"/>
      <c r="BS365" s="231"/>
    </row>
    <row r="366" spans="1:71" s="8" customFormat="1"/>
    <row r="367" spans="1:71" s="8" customFormat="1"/>
    <row r="368" spans="1:71" s="8" customFormat="1"/>
    <row r="369" s="8" customFormat="1"/>
    <row r="370" s="8" customFormat="1"/>
    <row r="371" s="8" customFormat="1"/>
    <row r="372" s="8" customFormat="1"/>
    <row r="373" s="8" customFormat="1"/>
    <row r="374" s="8" customFormat="1"/>
    <row r="375" s="8" customFormat="1"/>
    <row r="376" s="8" customFormat="1"/>
    <row r="377" s="8" customFormat="1"/>
    <row r="378" s="8" customFormat="1"/>
    <row r="379" s="8" customFormat="1"/>
    <row r="380" s="8" customFormat="1"/>
    <row r="381" s="8" customFormat="1"/>
    <row r="382" s="8" customFormat="1" ht="12.75" hidden="1" customHeight="1"/>
    <row r="383" s="8" customFormat="1" ht="12.75" hidden="1" customHeight="1"/>
    <row r="384" s="8" customFormat="1" ht="12.75" hidden="1" customHeight="1"/>
    <row r="385" s="8" customFormat="1" ht="12.75" hidden="1" customHeight="1"/>
    <row r="386" s="8" customFormat="1" ht="12.75" hidden="1" customHeight="1"/>
    <row r="387" s="8" customFormat="1" ht="12.75" hidden="1" customHeight="1"/>
    <row r="388" s="8" customFormat="1" ht="12.75" hidden="1" customHeight="1"/>
    <row r="389" s="8" customFormat="1" ht="12.75" hidden="1" customHeight="1"/>
    <row r="390" s="8" customFormat="1" ht="12.75" hidden="1" customHeight="1"/>
    <row r="391" s="8" customFormat="1" ht="12.75" hidden="1" customHeight="1"/>
    <row r="392" s="8" customFormat="1" ht="12.75" hidden="1" customHeight="1"/>
    <row r="393" s="8" customFormat="1" ht="12.75" hidden="1" customHeight="1"/>
    <row r="394" s="8" customFormat="1" ht="12.75" hidden="1" customHeight="1"/>
    <row r="395" s="8" customFormat="1" ht="12.75" hidden="1" customHeight="1"/>
    <row r="396" s="8" customFormat="1" ht="12.75" hidden="1" customHeight="1"/>
    <row r="397" s="8" customFormat="1"/>
    <row r="398" s="8" customFormat="1"/>
    <row r="399" s="8" customFormat="1"/>
    <row r="400" s="8" customFormat="1"/>
    <row r="401" s="8" customFormat="1"/>
    <row r="402" s="8" customFormat="1"/>
    <row r="403" s="8" customFormat="1"/>
    <row r="404" s="8" customFormat="1"/>
    <row r="405" s="8" customFormat="1"/>
    <row r="406" s="8" customFormat="1"/>
    <row r="407" s="8" customFormat="1"/>
    <row r="408" s="8" customFormat="1"/>
    <row r="409" s="8" customFormat="1"/>
    <row r="410" s="8" customFormat="1"/>
    <row r="411" s="8" customFormat="1"/>
    <row r="412" s="8" customFormat="1"/>
    <row r="413" s="8" customFormat="1"/>
    <row r="414" s="8" customFormat="1"/>
    <row r="415" s="8" customFormat="1"/>
    <row r="416" s="8" customFormat="1"/>
    <row r="417" s="8" customFormat="1"/>
    <row r="418" s="8" customFormat="1"/>
    <row r="419" s="8" customFormat="1"/>
    <row r="420" s="8" customFormat="1"/>
    <row r="421" s="8" customFormat="1"/>
    <row r="422" s="8" customFormat="1"/>
    <row r="423" s="8" customFormat="1"/>
    <row r="424" s="8" customFormat="1"/>
    <row r="425" s="8" customFormat="1"/>
    <row r="426" s="8" customFormat="1"/>
    <row r="427" s="8" customFormat="1"/>
    <row r="428" s="8" customFormat="1"/>
    <row r="429" s="8" customFormat="1"/>
    <row r="430" s="8" customFormat="1"/>
    <row r="431" s="8" customFormat="1"/>
    <row r="432" s="8" customFormat="1"/>
    <row r="433" s="8" customFormat="1"/>
    <row r="434" s="8" customFormat="1"/>
    <row r="435" s="8" customFormat="1"/>
    <row r="436" s="8" customFormat="1"/>
    <row r="437" s="8" customFormat="1"/>
    <row r="438" s="8" customFormat="1"/>
    <row r="439" s="8" customFormat="1"/>
    <row r="440" s="8" customFormat="1"/>
    <row r="441" s="8" customFormat="1"/>
    <row r="442" s="8" customFormat="1"/>
    <row r="443" s="8" customFormat="1"/>
    <row r="444" s="8" customFormat="1"/>
    <row r="445" s="8" customFormat="1"/>
    <row r="446" s="8" customFormat="1"/>
    <row r="447" s="8" customFormat="1"/>
    <row r="448" s="8" customFormat="1"/>
    <row r="449" s="8" customFormat="1"/>
  </sheetData>
  <mergeCells count="59">
    <mergeCell ref="H23:H24"/>
    <mergeCell ref="A40:D41"/>
    <mergeCell ref="E40:E41"/>
    <mergeCell ref="F40:F41"/>
    <mergeCell ref="H40:H41"/>
    <mergeCell ref="A25:A27"/>
    <mergeCell ref="B25:D27"/>
    <mergeCell ref="E25:E27"/>
    <mergeCell ref="F25:F27"/>
    <mergeCell ref="H25:H27"/>
    <mergeCell ref="B3:B4"/>
    <mergeCell ref="C3:D4"/>
    <mergeCell ref="A5:B5"/>
    <mergeCell ref="D6:H6"/>
    <mergeCell ref="A9:I9"/>
    <mergeCell ref="D10:F10"/>
    <mergeCell ref="C14:F14"/>
    <mergeCell ref="C15:F15"/>
    <mergeCell ref="C16:F16"/>
    <mergeCell ref="C17:F17"/>
    <mergeCell ref="C18:F18"/>
    <mergeCell ref="C19:F19"/>
    <mergeCell ref="A23:D24"/>
    <mergeCell ref="E23:E24"/>
    <mergeCell ref="F23:F24"/>
    <mergeCell ref="H66:H70"/>
    <mergeCell ref="I66:I70"/>
    <mergeCell ref="E91:E95"/>
    <mergeCell ref="F91:F95"/>
    <mergeCell ref="H91:H95"/>
    <mergeCell ref="E66:E70"/>
    <mergeCell ref="F66:F70"/>
    <mergeCell ref="G66:G70"/>
    <mergeCell ref="E153:E157"/>
    <mergeCell ref="F153:F157"/>
    <mergeCell ref="H153:H157"/>
    <mergeCell ref="E193:E197"/>
    <mergeCell ref="F193:F197"/>
    <mergeCell ref="H193:H197"/>
    <mergeCell ref="E221:E225"/>
    <mergeCell ref="F221:F225"/>
    <mergeCell ref="H221:H225"/>
    <mergeCell ref="E234:E238"/>
    <mergeCell ref="F234:F238"/>
    <mergeCell ref="H234:H238"/>
    <mergeCell ref="F341:F345"/>
    <mergeCell ref="H341:H345"/>
    <mergeCell ref="E341:E345"/>
    <mergeCell ref="E261:E265"/>
    <mergeCell ref="F261:F265"/>
    <mergeCell ref="H261:H265"/>
    <mergeCell ref="E280:E284"/>
    <mergeCell ref="F280:F284"/>
    <mergeCell ref="H280:H284"/>
    <mergeCell ref="E305:E309"/>
    <mergeCell ref="F305:F309"/>
    <mergeCell ref="H305:H309"/>
    <mergeCell ref="C323:H323"/>
    <mergeCell ref="C330:H330"/>
  </mergeCells>
  <phoneticPr fontId="10" type="noConversion"/>
  <conditionalFormatting sqref="F71:F76 F286:F301 F311:F318 F80:F88 F96:F97 F103:F104 F106 F110:F114 F118:F124 F128:F134 F138:F142 F146:F149 F159:F162 F166:F168 F171:F172 F175:F177 F183:F190 F199:F200 F204:F206 F210:F213 F217:F218 F226:F230 F240:F241 F245:F246 F250:F253 F256 F267:F276">
    <cfRule type="expression" dxfId="66" priority="309" stopIfTrue="1">
      <formula>ISBLANK(F71)</formula>
    </cfRule>
    <cfRule type="expression" dxfId="65" priority="310" stopIfTrue="1">
      <formula>IF(AND(OR(F71-E71&gt;500,F71-E71&lt;-500),OR(#REF!&gt;0.1,#REF!&lt;-0.1)),TRUE,FALSE)</formula>
    </cfRule>
  </conditionalFormatting>
  <dataValidations disablePrompts="1" count="1">
    <dataValidation errorStyle="information" allowBlank="1" showInputMessage="1" showErrorMessage="1" errorTitle="POBE 2006" error="Please select from the drop-down menu..." prompt="Please select your Authority from the drop-down menu..." sqref="C3:D4"/>
  </dataValidations>
  <hyperlinks>
    <hyperlink ref="F7" r:id="rId1" display="lgfstats@scotland.gsi.gov.uk"/>
    <hyperlink ref="D6" r:id="rId2"/>
    <hyperlink ref="D10" r:id="rId3" display="^lgfstats@gov.scot"/>
    <hyperlink ref="B14" location="'POBE 2017'!A28" display="PART 1 - Expenditure"/>
    <hyperlink ref="C19:F19" location="'POBE 2017'!A323" display="Sheet 10. - PUBLIC PRIVATE PARTNERSHIPS/PRIVATE FINANCE INITIATIVES"/>
    <hyperlink ref="B15" location="'POBE 2017'!A40" display="PART 2 - Income and Balances"/>
    <hyperlink ref="B16" location="'POBE 2017'!A66" display="Sheet 1. EDUCATION"/>
    <hyperlink ref="B17" location="'POBE 2017'!A91" display="Sheet 2. SOCIAL WORK"/>
    <hyperlink ref="B18" location="'POBE 2017'!A153" display="Sheet 3. ROADS AND TRANSPORT"/>
    <hyperlink ref="B19" location="'POBE 2017'!A193" display="Sheet 4. ENVIRONMENTAL SERVICES"/>
    <hyperlink ref="C14:F14" location="'POBE 2017'!A221" display="Sheet 5. PLANNING AND DEVELOPMENT SERVICES"/>
    <hyperlink ref="C15:F15" location="'POBE 2017'!A234" display="Sheet 6. CULTURAL AND RELATED SERVICES"/>
    <hyperlink ref="C16:F16" location="'POBE 2017'!A261" display="Sheet 7. HOUSING"/>
    <hyperlink ref="C17:F17" location="'POBE 2017'!A280" display="Sheet 8. CENTRAL SERVICES"/>
    <hyperlink ref="C18:F18" location="'POBE 2017'!A305" display="Sheet 9. OTHER EXPENDITURE"/>
  </hyperlinks>
  <pageMargins left="0.75" right="0.75" top="1" bottom="1" header="0.5" footer="0.5"/>
  <pageSetup paperSize="9" scale="10" orientation="landscape" r:id="rId4"/>
  <headerFooter alignWithMargins="0"/>
  <ignoredErrors>
    <ignoredError sqref="F226:F230" unlocked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AO402"/>
  <sheetViews>
    <sheetView topLeftCell="A181" zoomScale="80" zoomScaleNormal="80" workbookViewId="0">
      <selection activeCell="F188" sqref="F188"/>
    </sheetView>
  </sheetViews>
  <sheetFormatPr defaultColWidth="9.140625" defaultRowHeight="12.75"/>
  <cols>
    <col min="1" max="1" width="10.5703125" customWidth="1"/>
    <col min="2" max="2" width="43" customWidth="1"/>
    <col min="3" max="3" width="24.5703125" customWidth="1"/>
    <col min="4" max="4" width="14.7109375" customWidth="1"/>
    <col min="5" max="5" width="21.5703125" customWidth="1"/>
    <col min="6" max="6" width="19.140625" customWidth="1"/>
    <col min="7" max="7" width="17.42578125" customWidth="1"/>
    <col min="8" max="8" width="19.28515625" customWidth="1"/>
    <col min="9" max="9" width="17.85546875" customWidth="1"/>
    <col min="10" max="10" width="4.7109375" style="271" customWidth="1"/>
    <col min="11" max="15" width="9.140625" style="271"/>
    <col min="16" max="41" width="9.140625" style="231"/>
  </cols>
  <sheetData>
    <row r="1" spans="1:41" s="203" customFormat="1" ht="51" customHeight="1">
      <c r="A1" s="442" t="s">
        <v>410</v>
      </c>
      <c r="B1" s="443"/>
      <c r="C1" s="5"/>
      <c r="D1" s="5"/>
      <c r="E1" s="5"/>
      <c r="F1" s="5"/>
      <c r="G1" s="6"/>
      <c r="H1" s="7"/>
      <c r="I1" s="444"/>
      <c r="J1" s="301"/>
      <c r="K1" s="231"/>
      <c r="L1" s="231"/>
      <c r="M1" s="231"/>
      <c r="N1" s="231"/>
      <c r="O1" s="231"/>
      <c r="P1" s="231"/>
      <c r="Q1" s="231"/>
      <c r="R1" s="231"/>
      <c r="S1" s="231"/>
      <c r="T1" s="231"/>
      <c r="U1" s="231"/>
      <c r="V1" s="231"/>
      <c r="W1" s="231"/>
      <c r="X1" s="231"/>
      <c r="Y1" s="231"/>
      <c r="Z1" s="231"/>
      <c r="AA1" s="231"/>
      <c r="AB1" s="231"/>
      <c r="AC1" s="231"/>
      <c r="AD1" s="231"/>
      <c r="AE1" s="231"/>
      <c r="AF1" s="231"/>
      <c r="AG1" s="231"/>
      <c r="AH1" s="231"/>
      <c r="AI1" s="231"/>
      <c r="AJ1" s="231"/>
      <c r="AK1" s="231"/>
      <c r="AL1" s="231"/>
      <c r="AM1" s="231"/>
      <c r="AN1" s="231"/>
      <c r="AO1" s="231"/>
    </row>
    <row r="2" spans="1:41" s="203" customFormat="1" ht="35.25">
      <c r="A2" s="445"/>
      <c r="B2" s="446"/>
      <c r="C2" s="447"/>
      <c r="D2" s="447"/>
      <c r="E2" s="447"/>
      <c r="F2" s="448"/>
      <c r="G2" s="448"/>
      <c r="H2" s="448"/>
      <c r="I2" s="448"/>
      <c r="J2" s="448"/>
      <c r="K2" s="231"/>
      <c r="L2" s="231"/>
      <c r="M2" s="231"/>
      <c r="N2" s="231"/>
      <c r="O2" s="231"/>
      <c r="P2" s="231"/>
      <c r="Q2" s="231"/>
      <c r="R2" s="231"/>
      <c r="S2" s="231"/>
      <c r="T2" s="231"/>
      <c r="U2" s="231"/>
      <c r="V2" s="231"/>
      <c r="W2" s="231"/>
      <c r="X2" s="231"/>
      <c r="Y2" s="231"/>
      <c r="Z2" s="231"/>
      <c r="AA2" s="231"/>
      <c r="AB2" s="231"/>
      <c r="AC2" s="231"/>
      <c r="AD2" s="231"/>
      <c r="AE2" s="231"/>
      <c r="AF2" s="231"/>
      <c r="AG2" s="231"/>
      <c r="AH2" s="231"/>
      <c r="AI2" s="231"/>
      <c r="AJ2" s="231"/>
      <c r="AK2" s="231"/>
      <c r="AL2" s="231"/>
      <c r="AM2" s="231"/>
      <c r="AN2" s="231"/>
      <c r="AO2" s="231"/>
    </row>
    <row r="3" spans="1:41" s="203" customFormat="1" ht="15">
      <c r="A3" s="450"/>
      <c r="B3" s="952" t="s">
        <v>0</v>
      </c>
      <c r="C3" s="884" t="s">
        <v>3</v>
      </c>
      <c r="D3" s="885"/>
      <c r="E3" s="451"/>
      <c r="F3" s="271"/>
      <c r="G3" s="271"/>
      <c r="H3" s="452"/>
      <c r="I3" s="271"/>
      <c r="J3" s="271"/>
      <c r="K3" s="231"/>
      <c r="L3" s="231"/>
      <c r="M3" s="231"/>
      <c r="N3" s="231"/>
      <c r="O3" s="231"/>
      <c r="P3" s="231"/>
      <c r="Q3" s="231"/>
      <c r="R3" s="231"/>
      <c r="S3" s="231"/>
      <c r="T3" s="231"/>
      <c r="U3" s="231"/>
      <c r="V3" s="231"/>
      <c r="W3" s="231"/>
      <c r="X3" s="231"/>
      <c r="Y3" s="231"/>
      <c r="Z3" s="231"/>
      <c r="AA3" s="231"/>
      <c r="AB3" s="231"/>
      <c r="AC3" s="231"/>
      <c r="AD3" s="231"/>
      <c r="AE3" s="231"/>
      <c r="AF3" s="231"/>
      <c r="AG3" s="231"/>
      <c r="AH3" s="231"/>
      <c r="AI3" s="231"/>
      <c r="AJ3" s="231"/>
      <c r="AK3" s="231"/>
      <c r="AL3" s="231"/>
      <c r="AM3" s="231"/>
      <c r="AN3" s="231"/>
      <c r="AO3" s="231"/>
    </row>
    <row r="4" spans="1:41" s="203" customFormat="1" ht="15">
      <c r="A4" s="453"/>
      <c r="B4" s="953"/>
      <c r="C4" s="886"/>
      <c r="D4" s="887"/>
      <c r="E4" s="451"/>
      <c r="F4" s="271"/>
      <c r="G4" s="271"/>
      <c r="H4" s="452"/>
      <c r="I4" s="271"/>
      <c r="J4" s="271"/>
      <c r="K4" s="231"/>
      <c r="L4" s="231"/>
      <c r="M4" s="231"/>
      <c r="N4" s="231"/>
      <c r="O4" s="231"/>
      <c r="P4" s="231"/>
      <c r="Q4" s="231"/>
      <c r="R4" s="231"/>
      <c r="S4" s="231"/>
      <c r="T4" s="231"/>
      <c r="U4" s="231"/>
      <c r="V4" s="231"/>
      <c r="W4" s="231"/>
      <c r="X4" s="231"/>
      <c r="Y4" s="231"/>
      <c r="Z4" s="231"/>
      <c r="AA4" s="231"/>
      <c r="AB4" s="231"/>
      <c r="AC4" s="231"/>
      <c r="AD4" s="231"/>
      <c r="AE4" s="231"/>
      <c r="AF4" s="231"/>
      <c r="AG4" s="231"/>
      <c r="AH4" s="231"/>
      <c r="AI4" s="231"/>
      <c r="AJ4" s="231"/>
      <c r="AK4" s="231"/>
      <c r="AL4" s="231"/>
      <c r="AM4" s="231"/>
      <c r="AN4" s="231"/>
      <c r="AO4" s="231"/>
    </row>
    <row r="5" spans="1:41" s="203" customFormat="1" ht="15">
      <c r="A5" s="954"/>
      <c r="B5" s="955"/>
      <c r="C5" s="454"/>
      <c r="D5" s="455"/>
      <c r="E5" s="455"/>
      <c r="F5" s="271"/>
      <c r="G5" s="271"/>
      <c r="H5" s="271"/>
      <c r="I5" s="449"/>
      <c r="J5" s="449"/>
      <c r="K5" s="231"/>
      <c r="L5" s="231"/>
      <c r="M5" s="231"/>
      <c r="N5" s="231"/>
      <c r="O5" s="231"/>
      <c r="P5" s="231"/>
      <c r="Q5" s="231"/>
      <c r="R5" s="231"/>
      <c r="S5" s="231"/>
      <c r="T5" s="231"/>
      <c r="U5" s="231"/>
      <c r="V5" s="231"/>
      <c r="W5" s="231"/>
      <c r="X5" s="231"/>
      <c r="Y5" s="231"/>
      <c r="Z5" s="231"/>
      <c r="AA5" s="231"/>
      <c r="AB5" s="231"/>
      <c r="AC5" s="231"/>
      <c r="AD5" s="231"/>
      <c r="AE5" s="231"/>
      <c r="AF5" s="231"/>
      <c r="AG5" s="231"/>
      <c r="AH5" s="231"/>
      <c r="AI5" s="231"/>
      <c r="AJ5" s="231"/>
      <c r="AK5" s="231"/>
      <c r="AL5" s="231"/>
      <c r="AM5" s="231"/>
      <c r="AN5" s="231"/>
      <c r="AO5" s="231"/>
    </row>
    <row r="6" spans="1:41" s="203" customFormat="1" ht="23.25" customHeight="1">
      <c r="A6" s="456" t="s">
        <v>1</v>
      </c>
      <c r="B6" s="457"/>
      <c r="C6" s="458"/>
      <c r="D6" s="956" t="s">
        <v>249</v>
      </c>
      <c r="E6" s="956"/>
      <c r="F6" s="956"/>
      <c r="G6" s="956"/>
      <c r="H6" s="956"/>
      <c r="I6" s="459"/>
      <c r="J6" s="452"/>
      <c r="K6" s="231"/>
      <c r="L6" s="231"/>
      <c r="M6" s="231"/>
      <c r="N6" s="231"/>
      <c r="O6" s="231"/>
      <c r="P6" s="231"/>
      <c r="Q6" s="231"/>
      <c r="R6" s="231"/>
      <c r="S6" s="231"/>
      <c r="T6" s="231"/>
      <c r="U6" s="231"/>
      <c r="V6" s="231"/>
      <c r="W6" s="231"/>
      <c r="X6" s="231"/>
      <c r="Y6" s="231"/>
      <c r="Z6" s="231"/>
      <c r="AA6" s="231"/>
      <c r="AB6" s="231"/>
      <c r="AC6" s="231"/>
      <c r="AD6" s="231"/>
      <c r="AE6" s="231"/>
      <c r="AF6" s="231"/>
      <c r="AG6" s="231"/>
      <c r="AH6" s="231"/>
      <c r="AI6" s="231"/>
      <c r="AJ6" s="231"/>
      <c r="AK6" s="231"/>
      <c r="AL6" s="231"/>
      <c r="AM6" s="231"/>
      <c r="AN6" s="231"/>
      <c r="AO6" s="231"/>
    </row>
    <row r="7" spans="1:41" s="203" customFormat="1" ht="18.75" customHeight="1">
      <c r="A7" s="456" t="s">
        <v>419</v>
      </c>
      <c r="B7" s="457"/>
      <c r="C7" s="457"/>
      <c r="D7" s="457"/>
      <c r="E7" s="457"/>
      <c r="F7" s="460" t="s">
        <v>250</v>
      </c>
      <c r="G7"/>
      <c r="H7" s="461"/>
      <c r="I7" s="459"/>
      <c r="J7" s="452"/>
      <c r="K7" s="231"/>
      <c r="L7" s="231"/>
      <c r="M7" s="231"/>
      <c r="N7" s="231"/>
      <c r="O7" s="231"/>
      <c r="P7" s="231"/>
      <c r="Q7" s="231"/>
      <c r="R7" s="231"/>
      <c r="S7" s="231"/>
      <c r="T7" s="231"/>
      <c r="U7" s="231"/>
      <c r="V7" s="231"/>
      <c r="W7" s="231"/>
      <c r="X7" s="231"/>
      <c r="Y7" s="231"/>
      <c r="Z7" s="231"/>
      <c r="AA7" s="231"/>
      <c r="AB7" s="231"/>
      <c r="AC7" s="231"/>
      <c r="AD7" s="231"/>
      <c r="AE7" s="231"/>
      <c r="AF7" s="231"/>
      <c r="AG7" s="231"/>
      <c r="AH7" s="231"/>
      <c r="AI7" s="231"/>
      <c r="AJ7" s="231"/>
      <c r="AK7" s="231"/>
      <c r="AL7" s="231"/>
      <c r="AM7" s="231"/>
      <c r="AN7" s="231"/>
      <c r="AO7" s="231"/>
    </row>
    <row r="8" spans="1:41" s="203" customFormat="1" ht="24" customHeight="1">
      <c r="A8" s="462" t="s">
        <v>408</v>
      </c>
      <c r="B8" s="457"/>
      <c r="C8" s="457"/>
      <c r="D8" s="457"/>
      <c r="E8" s="457"/>
      <c r="F8" s="457"/>
      <c r="G8" s="797"/>
      <c r="H8" s="461"/>
      <c r="I8" s="459"/>
      <c r="J8" s="452"/>
      <c r="K8" s="231"/>
      <c r="L8" s="231"/>
      <c r="M8" s="231"/>
      <c r="N8" s="231"/>
      <c r="O8" s="231"/>
      <c r="P8" s="231"/>
      <c r="Q8" s="231"/>
      <c r="R8" s="231"/>
      <c r="S8" s="231"/>
      <c r="T8" s="231"/>
      <c r="U8" s="231"/>
      <c r="V8" s="231"/>
      <c r="W8" s="231"/>
      <c r="X8" s="231"/>
      <c r="Y8" s="231"/>
      <c r="Z8" s="231"/>
      <c r="AA8" s="231"/>
      <c r="AB8" s="231"/>
      <c r="AC8" s="231"/>
      <c r="AD8" s="231"/>
      <c r="AE8" s="231"/>
      <c r="AF8" s="231"/>
      <c r="AG8" s="231"/>
      <c r="AH8" s="231"/>
      <c r="AI8" s="231"/>
      <c r="AJ8" s="231"/>
      <c r="AK8" s="231"/>
      <c r="AL8" s="231"/>
      <c r="AM8" s="231"/>
      <c r="AN8" s="231"/>
      <c r="AO8" s="231"/>
    </row>
    <row r="9" spans="1:41" s="203" customFormat="1" ht="30.75" customHeight="1">
      <c r="A9" s="957" t="s">
        <v>420</v>
      </c>
      <c r="B9" s="958"/>
      <c r="C9" s="958"/>
      <c r="D9" s="958"/>
      <c r="E9" s="958"/>
      <c r="F9" s="958"/>
      <c r="G9" s="958"/>
      <c r="H9" s="958"/>
      <c r="I9" s="958"/>
      <c r="J9" s="463"/>
      <c r="K9" s="231"/>
      <c r="L9" s="231"/>
      <c r="M9" s="231"/>
      <c r="N9" s="231"/>
      <c r="O9" s="231"/>
      <c r="P9" s="231"/>
      <c r="Q9" s="231"/>
      <c r="R9" s="231"/>
      <c r="S9" s="231"/>
      <c r="T9" s="231"/>
      <c r="U9" s="231"/>
      <c r="V9" s="231"/>
      <c r="W9" s="231"/>
      <c r="X9" s="231"/>
      <c r="Y9" s="231"/>
      <c r="Z9" s="231"/>
      <c r="AA9" s="231"/>
      <c r="AB9" s="231"/>
      <c r="AC9" s="231"/>
      <c r="AD9" s="231"/>
      <c r="AE9" s="231"/>
      <c r="AF9" s="231"/>
      <c r="AG9" s="231"/>
      <c r="AH9" s="231"/>
      <c r="AI9" s="231"/>
      <c r="AJ9" s="231"/>
      <c r="AK9" s="231"/>
      <c r="AL9" s="231"/>
      <c r="AM9" s="231"/>
      <c r="AN9" s="231"/>
      <c r="AO9" s="231"/>
    </row>
    <row r="10" spans="1:41" s="203" customFormat="1" ht="12.75" customHeight="1">
      <c r="A10" s="462" t="s">
        <v>409</v>
      </c>
      <c r="B10" s="456"/>
      <c r="C10"/>
      <c r="D10" s="959" t="s">
        <v>250</v>
      </c>
      <c r="E10" s="960"/>
      <c r="F10" s="960"/>
      <c r="G10" s="457"/>
      <c r="H10" s="457"/>
      <c r="I10" s="459"/>
      <c r="J10" s="452"/>
      <c r="K10" s="231"/>
      <c r="L10" s="231"/>
      <c r="M10" s="231"/>
      <c r="N10" s="231"/>
      <c r="O10" s="231"/>
      <c r="P10" s="231"/>
      <c r="Q10" s="231"/>
      <c r="R10" s="231"/>
      <c r="S10" s="231"/>
      <c r="T10" s="231"/>
      <c r="U10" s="231"/>
      <c r="V10" s="231"/>
      <c r="W10" s="231"/>
      <c r="X10" s="231"/>
      <c r="Y10" s="231"/>
      <c r="Z10" s="231"/>
      <c r="AA10" s="231"/>
      <c r="AB10" s="231"/>
      <c r="AC10" s="231"/>
      <c r="AD10" s="231"/>
      <c r="AE10" s="231"/>
      <c r="AF10" s="231"/>
      <c r="AG10" s="231"/>
      <c r="AH10" s="231"/>
      <c r="AI10" s="231"/>
      <c r="AJ10" s="231"/>
      <c r="AK10" s="231"/>
      <c r="AL10" s="231"/>
      <c r="AM10" s="231"/>
      <c r="AN10" s="231"/>
      <c r="AO10" s="231"/>
    </row>
    <row r="11" spans="1:41" s="203" customFormat="1">
      <c r="A11" s="464"/>
      <c r="B11" s="457"/>
      <c r="C11" s="457"/>
      <c r="D11" s="457"/>
      <c r="E11" s="457"/>
      <c r="F11" s="457"/>
      <c r="G11" s="461"/>
      <c r="H11" s="461"/>
      <c r="I11" s="459"/>
      <c r="J11" s="452"/>
      <c r="K11" s="231"/>
      <c r="L11" s="231"/>
      <c r="M11" s="231"/>
      <c r="N11" s="231"/>
      <c r="O11" s="231"/>
      <c r="P11" s="231"/>
      <c r="Q11" s="231"/>
      <c r="R11" s="231"/>
      <c r="S11" s="231"/>
      <c r="T11" s="231"/>
      <c r="U11" s="231"/>
      <c r="V11" s="231"/>
      <c r="W11" s="231"/>
      <c r="X11" s="231"/>
      <c r="Y11" s="231"/>
      <c r="Z11" s="231"/>
      <c r="AA11" s="231"/>
      <c r="AB11" s="231"/>
      <c r="AC11" s="231"/>
      <c r="AD11" s="231"/>
      <c r="AE11" s="231"/>
      <c r="AF11" s="231"/>
      <c r="AG11" s="231"/>
      <c r="AH11" s="231"/>
      <c r="AI11" s="231"/>
      <c r="AJ11" s="231"/>
      <c r="AK11" s="231"/>
      <c r="AL11" s="231"/>
      <c r="AM11" s="231"/>
      <c r="AN11" s="231"/>
      <c r="AO11" s="231"/>
    </row>
    <row r="12" spans="1:41" s="203" customFormat="1">
      <c r="A12" s="465"/>
      <c r="B12" s="466" t="s">
        <v>7</v>
      </c>
      <c r="C12" s="467"/>
      <c r="D12" s="356"/>
      <c r="E12" s="356"/>
      <c r="F12" s="357"/>
      <c r="G12" s="461"/>
      <c r="H12" s="461"/>
      <c r="I12" s="459"/>
      <c r="J12" s="452"/>
      <c r="K12" s="231"/>
      <c r="L12" s="231"/>
      <c r="M12" s="231"/>
      <c r="N12" s="231"/>
      <c r="O12" s="231"/>
      <c r="P12" s="231"/>
      <c r="Q12" s="231"/>
      <c r="R12" s="231"/>
      <c r="S12" s="231"/>
      <c r="T12" s="231"/>
      <c r="U12" s="231"/>
      <c r="V12" s="231"/>
      <c r="W12" s="231"/>
      <c r="X12" s="231"/>
      <c r="Y12" s="231"/>
      <c r="Z12" s="231"/>
      <c r="AA12" s="231"/>
      <c r="AB12" s="231"/>
      <c r="AC12" s="231"/>
      <c r="AD12" s="231"/>
      <c r="AE12" s="231"/>
      <c r="AF12" s="231"/>
      <c r="AG12" s="231"/>
      <c r="AH12" s="231"/>
      <c r="AI12" s="231"/>
      <c r="AJ12" s="231"/>
      <c r="AK12" s="231"/>
      <c r="AL12" s="231"/>
      <c r="AM12" s="231"/>
      <c r="AN12" s="231"/>
      <c r="AO12" s="231"/>
    </row>
    <row r="13" spans="1:41" s="203" customFormat="1">
      <c r="A13" s="464"/>
      <c r="B13" s="468"/>
      <c r="C13" s="469"/>
      <c r="D13" s="452"/>
      <c r="E13" s="452"/>
      <c r="F13" s="359"/>
      <c r="G13" s="457"/>
      <c r="H13" s="461"/>
      <c r="I13" s="459"/>
      <c r="J13" s="452"/>
      <c r="K13" s="231"/>
      <c r="L13" s="231"/>
      <c r="M13" s="231"/>
      <c r="N13" s="231"/>
      <c r="O13" s="231"/>
      <c r="P13" s="231"/>
      <c r="Q13" s="231"/>
      <c r="R13" s="231"/>
      <c r="S13" s="231"/>
      <c r="T13" s="231"/>
      <c r="U13" s="231"/>
      <c r="V13" s="231"/>
      <c r="W13" s="231"/>
      <c r="X13" s="231"/>
      <c r="Y13" s="231"/>
      <c r="Z13" s="231"/>
      <c r="AA13" s="231"/>
      <c r="AB13" s="231"/>
      <c r="AC13" s="231"/>
      <c r="AD13" s="231"/>
      <c r="AE13" s="231"/>
      <c r="AF13" s="231"/>
      <c r="AG13" s="231"/>
      <c r="AH13" s="231"/>
      <c r="AI13" s="231"/>
      <c r="AJ13" s="231"/>
      <c r="AK13" s="231"/>
      <c r="AL13" s="231"/>
      <c r="AM13" s="231"/>
      <c r="AN13" s="231"/>
      <c r="AO13" s="231"/>
    </row>
    <row r="14" spans="1:41" s="203" customFormat="1">
      <c r="A14" s="464"/>
      <c r="B14" s="363" t="s">
        <v>328</v>
      </c>
      <c r="C14" s="961" t="s">
        <v>10</v>
      </c>
      <c r="D14" s="961"/>
      <c r="E14" s="961"/>
      <c r="F14" s="871"/>
      <c r="G14" s="457"/>
      <c r="H14" s="461"/>
      <c r="I14" s="459"/>
      <c r="J14" s="452"/>
      <c r="K14" s="231"/>
      <c r="L14" s="231"/>
      <c r="M14" s="231"/>
      <c r="N14" s="231"/>
      <c r="O14" s="231"/>
      <c r="P14" s="231"/>
      <c r="Q14" s="231"/>
      <c r="R14" s="231"/>
      <c r="S14" s="231"/>
      <c r="T14" s="231"/>
      <c r="U14" s="231"/>
      <c r="V14" s="231"/>
      <c r="W14" s="231"/>
      <c r="X14" s="231"/>
      <c r="Y14" s="231"/>
      <c r="Z14" s="231"/>
      <c r="AA14" s="231"/>
      <c r="AB14" s="231"/>
      <c r="AC14" s="231"/>
      <c r="AD14" s="231"/>
      <c r="AE14" s="231"/>
      <c r="AF14" s="231"/>
      <c r="AG14" s="231"/>
      <c r="AH14" s="231"/>
      <c r="AI14" s="231"/>
      <c r="AJ14" s="231"/>
      <c r="AK14" s="231"/>
      <c r="AL14" s="231"/>
      <c r="AM14" s="231"/>
      <c r="AN14" s="231"/>
      <c r="AO14" s="231"/>
    </row>
    <row r="15" spans="1:41" s="203" customFormat="1">
      <c r="A15" s="464"/>
      <c r="B15" s="363" t="s">
        <v>329</v>
      </c>
      <c r="C15" s="961" t="s">
        <v>12</v>
      </c>
      <c r="D15" s="961"/>
      <c r="E15" s="961"/>
      <c r="F15" s="871"/>
      <c r="G15" s="457"/>
      <c r="H15" s="461"/>
      <c r="I15" s="459"/>
      <c r="J15" s="452"/>
      <c r="K15" s="231"/>
      <c r="L15" s="231"/>
      <c r="M15" s="231"/>
      <c r="N15" s="231"/>
      <c r="O15" s="231"/>
      <c r="P15" s="231"/>
      <c r="Q15" s="231"/>
      <c r="R15" s="231"/>
      <c r="S15" s="231"/>
      <c r="T15" s="231"/>
      <c r="U15" s="231"/>
      <c r="V15" s="231"/>
      <c r="W15" s="231"/>
      <c r="X15" s="231"/>
      <c r="Y15" s="231"/>
      <c r="Z15" s="231"/>
      <c r="AA15" s="231"/>
      <c r="AB15" s="231"/>
      <c r="AC15" s="231"/>
      <c r="AD15" s="231"/>
      <c r="AE15" s="231"/>
      <c r="AF15" s="231"/>
      <c r="AG15" s="231"/>
      <c r="AH15" s="231"/>
      <c r="AI15" s="231"/>
      <c r="AJ15" s="231"/>
      <c r="AK15" s="231"/>
      <c r="AL15" s="231"/>
      <c r="AM15" s="231"/>
      <c r="AN15" s="231"/>
      <c r="AO15" s="231"/>
    </row>
    <row r="16" spans="1:41" s="203" customFormat="1">
      <c r="A16" s="464"/>
      <c r="B16" s="360" t="s">
        <v>14</v>
      </c>
      <c r="C16" s="961" t="s">
        <v>15</v>
      </c>
      <c r="D16" s="961"/>
      <c r="E16" s="961"/>
      <c r="F16" s="871"/>
      <c r="G16" s="457"/>
      <c r="H16" s="461"/>
      <c r="I16" s="459"/>
      <c r="J16" s="452"/>
      <c r="K16" s="231"/>
      <c r="L16" s="231"/>
      <c r="M16" s="231"/>
      <c r="N16" s="231"/>
      <c r="O16" s="231"/>
      <c r="P16" s="231"/>
      <c r="Q16" s="231"/>
      <c r="R16" s="231"/>
      <c r="S16" s="231"/>
      <c r="T16" s="231"/>
      <c r="U16" s="231"/>
      <c r="V16" s="231"/>
      <c r="W16" s="231"/>
      <c r="X16" s="231"/>
      <c r="Y16" s="231"/>
      <c r="Z16" s="231"/>
      <c r="AA16" s="231"/>
      <c r="AB16" s="231"/>
      <c r="AC16" s="231"/>
      <c r="AD16" s="231"/>
      <c r="AE16" s="231"/>
      <c r="AF16" s="231"/>
      <c r="AG16" s="231"/>
      <c r="AH16" s="231"/>
      <c r="AI16" s="231"/>
      <c r="AJ16" s="231"/>
      <c r="AK16" s="231"/>
      <c r="AL16" s="231"/>
      <c r="AM16" s="231"/>
      <c r="AN16" s="231"/>
      <c r="AO16" s="231"/>
    </row>
    <row r="17" spans="1:41" s="203" customFormat="1">
      <c r="A17" s="464"/>
      <c r="B17" s="360" t="s">
        <v>17</v>
      </c>
      <c r="C17" s="961" t="s">
        <v>18</v>
      </c>
      <c r="D17" s="961"/>
      <c r="E17" s="961"/>
      <c r="F17" s="871"/>
      <c r="G17" s="457"/>
      <c r="H17" s="461"/>
      <c r="I17" s="459"/>
      <c r="J17" s="452"/>
      <c r="K17" s="231"/>
      <c r="L17" s="231"/>
      <c r="M17" s="231"/>
      <c r="N17" s="231"/>
      <c r="O17" s="231"/>
      <c r="P17" s="231"/>
      <c r="Q17" s="231"/>
      <c r="R17" s="231"/>
      <c r="S17" s="231"/>
      <c r="T17" s="231"/>
      <c r="U17" s="231"/>
      <c r="V17" s="231"/>
      <c r="W17" s="231"/>
      <c r="X17" s="231"/>
      <c r="Y17" s="231"/>
      <c r="Z17" s="231"/>
      <c r="AA17" s="231"/>
      <c r="AB17" s="231"/>
      <c r="AC17" s="231"/>
      <c r="AD17" s="231"/>
      <c r="AE17" s="231"/>
      <c r="AF17" s="231"/>
      <c r="AG17" s="231"/>
      <c r="AH17" s="231"/>
      <c r="AI17" s="231"/>
      <c r="AJ17" s="231"/>
      <c r="AK17" s="231"/>
      <c r="AL17" s="231"/>
      <c r="AM17" s="231"/>
      <c r="AN17" s="231"/>
      <c r="AO17" s="231"/>
    </row>
    <row r="18" spans="1:41" s="203" customFormat="1">
      <c r="A18" s="464"/>
      <c r="B18" s="360" t="s">
        <v>20</v>
      </c>
      <c r="C18" s="961" t="s">
        <v>21</v>
      </c>
      <c r="D18" s="961"/>
      <c r="E18" s="961"/>
      <c r="F18" s="871"/>
      <c r="G18" s="457"/>
      <c r="H18" s="461"/>
      <c r="I18" s="459"/>
      <c r="J18" s="452"/>
      <c r="K18" s="231"/>
      <c r="L18" s="231"/>
      <c r="M18" s="231"/>
      <c r="N18" s="231"/>
      <c r="O18" s="231"/>
      <c r="P18" s="231"/>
      <c r="Q18" s="231"/>
      <c r="R18" s="231"/>
      <c r="S18" s="231"/>
      <c r="T18" s="231"/>
      <c r="U18" s="231"/>
      <c r="V18" s="231"/>
      <c r="W18" s="231"/>
      <c r="X18" s="231"/>
      <c r="Y18" s="231"/>
      <c r="Z18" s="231"/>
      <c r="AA18" s="231"/>
      <c r="AB18" s="231"/>
      <c r="AC18" s="231"/>
      <c r="AD18" s="231"/>
      <c r="AE18" s="231"/>
      <c r="AF18" s="231"/>
      <c r="AG18" s="231"/>
      <c r="AH18" s="231"/>
      <c r="AI18" s="231"/>
      <c r="AJ18" s="231"/>
      <c r="AK18" s="231"/>
      <c r="AL18" s="231"/>
      <c r="AM18" s="231"/>
      <c r="AN18" s="231"/>
      <c r="AO18" s="231"/>
    </row>
    <row r="19" spans="1:41" s="203" customFormat="1">
      <c r="A19" s="464"/>
      <c r="B19" s="361" t="s">
        <v>23</v>
      </c>
      <c r="C19" s="872" t="s">
        <v>24</v>
      </c>
      <c r="D19" s="872"/>
      <c r="E19" s="872"/>
      <c r="F19" s="873"/>
      <c r="G19" s="461"/>
      <c r="H19" s="461"/>
      <c r="I19" s="459"/>
      <c r="J19" s="271"/>
      <c r="K19" s="231"/>
      <c r="L19" s="231"/>
      <c r="M19" s="231"/>
      <c r="N19" s="231"/>
      <c r="O19" s="231"/>
      <c r="P19" s="231"/>
      <c r="Q19" s="231"/>
      <c r="R19" s="231"/>
      <c r="S19" s="231"/>
      <c r="T19" s="231"/>
      <c r="U19" s="231"/>
      <c r="V19" s="231"/>
      <c r="W19" s="231"/>
      <c r="X19" s="231"/>
      <c r="Y19" s="231"/>
      <c r="Z19" s="231"/>
      <c r="AA19" s="231"/>
      <c r="AB19" s="231"/>
      <c r="AC19" s="231"/>
      <c r="AD19" s="231"/>
      <c r="AE19" s="231"/>
      <c r="AF19" s="231"/>
      <c r="AG19" s="231"/>
      <c r="AH19" s="231"/>
      <c r="AI19" s="231"/>
      <c r="AJ19" s="231"/>
      <c r="AK19" s="231"/>
      <c r="AL19" s="231"/>
      <c r="AM19" s="231"/>
      <c r="AN19" s="231"/>
      <c r="AO19" s="231"/>
    </row>
    <row r="20" spans="1:41" s="203" customFormat="1">
      <c r="A20" s="28"/>
      <c r="B20" s="455"/>
      <c r="C20" s="455"/>
      <c r="D20" s="455"/>
      <c r="E20" s="455"/>
      <c r="F20" s="455"/>
      <c r="G20" s="455"/>
      <c r="H20" s="455"/>
      <c r="I20" s="455"/>
      <c r="J20" s="271"/>
      <c r="K20" s="231"/>
      <c r="L20" s="231"/>
      <c r="M20" s="231"/>
      <c r="N20" s="231"/>
      <c r="O20" s="231"/>
      <c r="P20" s="231"/>
      <c r="Q20" s="231"/>
      <c r="R20" s="231"/>
      <c r="S20" s="231"/>
      <c r="T20" s="231"/>
      <c r="U20" s="231"/>
      <c r="V20" s="231"/>
      <c r="W20" s="231"/>
      <c r="X20" s="231"/>
      <c r="Y20" s="231"/>
      <c r="Z20" s="231"/>
      <c r="AA20" s="231"/>
      <c r="AB20" s="231"/>
      <c r="AC20" s="231"/>
      <c r="AD20" s="231"/>
      <c r="AE20" s="231"/>
      <c r="AF20" s="231"/>
      <c r="AG20" s="231"/>
      <c r="AH20" s="231"/>
      <c r="AI20" s="231"/>
      <c r="AJ20" s="231"/>
      <c r="AK20" s="231"/>
      <c r="AL20" s="231"/>
      <c r="AM20" s="231"/>
      <c r="AN20" s="231"/>
      <c r="AO20" s="231"/>
    </row>
    <row r="21" spans="1:41" s="203" customFormat="1" ht="19.5">
      <c r="A21" s="470"/>
      <c r="B21" s="451"/>
      <c r="C21" s="451"/>
      <c r="D21" s="451"/>
      <c r="E21" s="451"/>
      <c r="F21" s="451"/>
      <c r="G21" s="451"/>
      <c r="H21" s="471" t="s">
        <v>27</v>
      </c>
      <c r="I21" s="472"/>
      <c r="J21" s="473"/>
      <c r="K21" s="231"/>
      <c r="L21" s="231"/>
      <c r="M21" s="231"/>
      <c r="N21" s="231"/>
      <c r="O21" s="231"/>
      <c r="P21" s="231"/>
      <c r="Q21" s="231"/>
      <c r="R21" s="231"/>
      <c r="S21" s="231"/>
      <c r="T21" s="231"/>
      <c r="U21" s="231"/>
      <c r="V21" s="231"/>
      <c r="W21" s="231"/>
      <c r="X21" s="231"/>
      <c r="Y21" s="231"/>
      <c r="Z21" s="231"/>
      <c r="AA21" s="231"/>
      <c r="AB21" s="231"/>
      <c r="AC21" s="231"/>
      <c r="AD21" s="231"/>
      <c r="AE21" s="231"/>
      <c r="AF21" s="231"/>
      <c r="AG21" s="231"/>
      <c r="AH21" s="231"/>
      <c r="AI21" s="231"/>
      <c r="AJ21" s="231"/>
      <c r="AK21" s="231"/>
      <c r="AL21" s="231"/>
      <c r="AM21" s="231"/>
      <c r="AN21" s="231"/>
      <c r="AO21" s="231"/>
    </row>
    <row r="22" spans="1:41" s="203" customFormat="1" ht="18.75" customHeight="1">
      <c r="A22" s="474"/>
      <c r="B22" s="459"/>
      <c r="C22" s="459"/>
      <c r="D22" s="459"/>
      <c r="E22" s="459"/>
      <c r="F22" s="475">
        <v>1</v>
      </c>
      <c r="G22" s="476"/>
      <c r="H22" s="475">
        <v>2</v>
      </c>
      <c r="I22" s="476"/>
      <c r="J22" s="477"/>
      <c r="K22" s="231"/>
      <c r="L22" s="231"/>
      <c r="M22" s="231"/>
      <c r="N22" s="231"/>
      <c r="O22" s="231"/>
      <c r="P22" s="231"/>
      <c r="Q22" s="231"/>
      <c r="R22" s="231"/>
      <c r="S22" s="231"/>
      <c r="T22" s="231"/>
      <c r="U22" s="231"/>
      <c r="V22" s="231"/>
      <c r="W22" s="231"/>
      <c r="X22" s="231"/>
      <c r="Y22" s="231"/>
      <c r="Z22" s="231"/>
      <c r="AA22" s="231"/>
      <c r="AB22" s="231"/>
      <c r="AC22" s="231"/>
      <c r="AD22" s="231"/>
      <c r="AE22" s="231"/>
      <c r="AF22" s="231"/>
      <c r="AG22" s="231"/>
      <c r="AH22" s="231"/>
      <c r="AI22" s="231"/>
      <c r="AJ22" s="231"/>
      <c r="AK22" s="231"/>
      <c r="AL22" s="231"/>
      <c r="AM22" s="231"/>
      <c r="AN22" s="231"/>
      <c r="AO22" s="231"/>
    </row>
    <row r="23" spans="1:41" s="203" customFormat="1" ht="21.95" customHeight="1">
      <c r="A23" s="938" t="s">
        <v>30</v>
      </c>
      <c r="B23" s="939"/>
      <c r="C23" s="939"/>
      <c r="D23" s="939"/>
      <c r="E23" s="933" t="s">
        <v>376</v>
      </c>
      <c r="F23" s="910" t="s">
        <v>407</v>
      </c>
      <c r="G23" s="478"/>
      <c r="H23" s="933" t="s">
        <v>406</v>
      </c>
      <c r="I23" s="478"/>
      <c r="J23" s="479"/>
      <c r="K23" s="231"/>
      <c r="L23" s="231"/>
      <c r="M23" s="231"/>
      <c r="N23" s="231"/>
      <c r="O23" s="231"/>
      <c r="P23" s="231"/>
      <c r="Q23" s="231"/>
      <c r="R23" s="231"/>
      <c r="S23" s="231"/>
      <c r="T23" s="231"/>
      <c r="U23" s="231"/>
      <c r="V23" s="231"/>
      <c r="W23" s="231"/>
      <c r="X23" s="231"/>
      <c r="Y23" s="231"/>
      <c r="Z23" s="231"/>
      <c r="AA23" s="231"/>
      <c r="AB23" s="231"/>
      <c r="AC23" s="231"/>
      <c r="AD23" s="231"/>
      <c r="AE23" s="231"/>
      <c r="AF23" s="231"/>
      <c r="AG23" s="231"/>
      <c r="AH23" s="231"/>
      <c r="AI23" s="231"/>
      <c r="AJ23" s="231"/>
      <c r="AK23" s="231"/>
      <c r="AL23" s="231"/>
      <c r="AM23" s="231"/>
      <c r="AN23" s="231"/>
      <c r="AO23" s="231"/>
    </row>
    <row r="24" spans="1:41" s="203" customFormat="1" ht="21.95" customHeight="1">
      <c r="A24" s="930"/>
      <c r="B24" s="931"/>
      <c r="C24" s="931"/>
      <c r="D24" s="931"/>
      <c r="E24" s="934"/>
      <c r="F24" s="912"/>
      <c r="G24" s="464"/>
      <c r="H24" s="934"/>
      <c r="I24" s="478"/>
      <c r="J24" s="479"/>
      <c r="K24" s="231"/>
      <c r="L24" s="231"/>
      <c r="M24" s="231"/>
      <c r="N24" s="231"/>
      <c r="O24" s="231"/>
      <c r="P24" s="231"/>
      <c r="Q24" s="231"/>
      <c r="R24" s="231"/>
      <c r="S24" s="231"/>
      <c r="T24" s="231"/>
      <c r="U24" s="231"/>
      <c r="V24" s="231"/>
      <c r="W24" s="231"/>
      <c r="X24" s="231"/>
      <c r="Y24" s="231"/>
      <c r="Z24" s="231"/>
      <c r="AA24" s="231"/>
      <c r="AB24" s="231"/>
      <c r="AC24" s="231"/>
      <c r="AD24" s="231"/>
      <c r="AE24" s="231"/>
      <c r="AF24" s="231"/>
      <c r="AG24" s="231"/>
      <c r="AH24" s="231"/>
      <c r="AI24" s="231"/>
      <c r="AJ24" s="231"/>
      <c r="AK24" s="231"/>
      <c r="AL24" s="231"/>
      <c r="AM24" s="231"/>
      <c r="AN24" s="231"/>
      <c r="AO24" s="231"/>
    </row>
    <row r="25" spans="1:41" s="203" customFormat="1" ht="21.95" customHeight="1">
      <c r="A25" s="940" t="s">
        <v>48</v>
      </c>
      <c r="B25" s="943" t="s">
        <v>49</v>
      </c>
      <c r="C25" s="943"/>
      <c r="D25" s="944"/>
      <c r="E25" s="949" t="s">
        <v>50</v>
      </c>
      <c r="F25" s="951" t="s">
        <v>51</v>
      </c>
      <c r="G25" s="476"/>
      <c r="H25" s="949" t="s">
        <v>50</v>
      </c>
      <c r="I25" s="478"/>
      <c r="J25" s="479"/>
      <c r="K25" s="231"/>
      <c r="L25" s="231"/>
      <c r="M25" s="231"/>
      <c r="N25" s="231"/>
      <c r="O25" s="231"/>
      <c r="P25" s="231"/>
      <c r="Q25" s="231"/>
      <c r="R25" s="231"/>
      <c r="S25" s="231"/>
      <c r="T25" s="231"/>
      <c r="U25" s="231"/>
      <c r="V25" s="231"/>
      <c r="W25" s="231"/>
      <c r="X25" s="231"/>
      <c r="Y25" s="231"/>
      <c r="Z25" s="231"/>
      <c r="AA25" s="231"/>
      <c r="AB25" s="231"/>
      <c r="AC25" s="231"/>
      <c r="AD25" s="231"/>
      <c r="AE25" s="231"/>
      <c r="AF25" s="231"/>
      <c r="AG25" s="231"/>
      <c r="AH25" s="231"/>
      <c r="AI25" s="231"/>
      <c r="AJ25" s="231"/>
      <c r="AK25" s="231"/>
      <c r="AL25" s="231"/>
      <c r="AM25" s="231"/>
      <c r="AN25" s="231"/>
      <c r="AO25" s="231"/>
    </row>
    <row r="26" spans="1:41" s="203" customFormat="1" ht="21.95" customHeight="1">
      <c r="A26" s="941"/>
      <c r="B26" s="945"/>
      <c r="C26" s="945"/>
      <c r="D26" s="946"/>
      <c r="E26" s="950"/>
      <c r="F26" s="911"/>
      <c r="G26" s="476"/>
      <c r="H26" s="950"/>
      <c r="I26" s="478"/>
      <c r="J26" s="479"/>
      <c r="K26" s="231"/>
      <c r="L26" s="231"/>
      <c r="M26" s="231"/>
      <c r="N26" s="231"/>
      <c r="O26" s="231"/>
      <c r="P26" s="231"/>
      <c r="Q26" s="231"/>
      <c r="R26" s="231"/>
      <c r="S26" s="231"/>
      <c r="T26" s="231"/>
      <c r="U26" s="231"/>
      <c r="V26" s="231"/>
      <c r="W26" s="231"/>
      <c r="X26" s="231"/>
      <c r="Y26" s="231"/>
      <c r="Z26" s="231"/>
      <c r="AA26" s="231"/>
      <c r="AB26" s="231"/>
      <c r="AC26" s="231"/>
      <c r="AD26" s="231"/>
      <c r="AE26" s="231"/>
      <c r="AF26" s="231"/>
      <c r="AG26" s="231"/>
      <c r="AH26" s="231"/>
      <c r="AI26" s="231"/>
      <c r="AJ26" s="231"/>
      <c r="AK26" s="231"/>
      <c r="AL26" s="231"/>
      <c r="AM26" s="231"/>
      <c r="AN26" s="231"/>
      <c r="AO26" s="231"/>
    </row>
    <row r="27" spans="1:41" s="203" customFormat="1" ht="21.95" customHeight="1">
      <c r="A27" s="942"/>
      <c r="B27" s="947"/>
      <c r="C27" s="947"/>
      <c r="D27" s="948"/>
      <c r="E27" s="934"/>
      <c r="F27" s="912"/>
      <c r="G27" s="476"/>
      <c r="H27" s="934"/>
      <c r="I27" s="478"/>
      <c r="J27" s="479"/>
      <c r="K27" s="231"/>
      <c r="L27" s="231"/>
      <c r="M27" s="231"/>
      <c r="N27" s="231"/>
      <c r="O27" s="231"/>
      <c r="P27" s="231"/>
      <c r="Q27" s="231"/>
      <c r="R27" s="231"/>
      <c r="S27" s="231"/>
      <c r="T27" s="231"/>
      <c r="U27" s="231"/>
      <c r="V27" s="231"/>
      <c r="W27" s="231"/>
      <c r="X27" s="231"/>
      <c r="Y27" s="231"/>
      <c r="Z27" s="231"/>
      <c r="AA27" s="231"/>
      <c r="AB27" s="231"/>
      <c r="AC27" s="231"/>
      <c r="AD27" s="231"/>
      <c r="AE27" s="231"/>
      <c r="AF27" s="231"/>
      <c r="AG27" s="231"/>
      <c r="AH27" s="231"/>
      <c r="AI27" s="231"/>
      <c r="AJ27" s="231"/>
      <c r="AK27" s="231"/>
      <c r="AL27" s="231"/>
      <c r="AM27" s="231"/>
      <c r="AN27" s="231"/>
      <c r="AO27" s="231"/>
    </row>
    <row r="28" spans="1:41" s="203" customFormat="1">
      <c r="A28" s="481">
        <v>1</v>
      </c>
      <c r="B28" s="482" t="s">
        <v>52</v>
      </c>
      <c r="C28" s="482"/>
      <c r="D28" s="483"/>
      <c r="E28" s="484">
        <v>185820</v>
      </c>
      <c r="F28" s="485">
        <f>F77</f>
        <v>175597</v>
      </c>
      <c r="G28" s="486"/>
      <c r="H28" s="487">
        <f>H77</f>
        <v>188120</v>
      </c>
      <c r="I28" s="486"/>
      <c r="J28" s="488"/>
      <c r="K28" s="231"/>
      <c r="L28" s="231"/>
      <c r="M28" s="231"/>
      <c r="N28" s="231"/>
      <c r="O28" s="231"/>
      <c r="P28" s="231"/>
      <c r="Q28" s="231"/>
      <c r="R28" s="231"/>
      <c r="S28" s="231"/>
      <c r="T28" s="231"/>
      <c r="U28" s="231"/>
      <c r="V28" s="231"/>
      <c r="W28" s="231"/>
      <c r="X28" s="231"/>
      <c r="Y28" s="231"/>
      <c r="Z28" s="231"/>
      <c r="AA28" s="231"/>
      <c r="AB28" s="231"/>
      <c r="AC28" s="231"/>
      <c r="AD28" s="231"/>
      <c r="AE28" s="231"/>
      <c r="AF28" s="231"/>
      <c r="AG28" s="231"/>
      <c r="AH28" s="231"/>
      <c r="AI28" s="231"/>
      <c r="AJ28" s="231"/>
      <c r="AK28" s="231"/>
      <c r="AL28" s="231"/>
      <c r="AM28" s="231"/>
      <c r="AN28" s="231"/>
      <c r="AO28" s="231"/>
    </row>
    <row r="29" spans="1:41" s="203" customFormat="1">
      <c r="A29" s="489">
        <v>2</v>
      </c>
      <c r="B29" s="490" t="s">
        <v>53</v>
      </c>
      <c r="C29" s="490"/>
      <c r="D29" s="491"/>
      <c r="E29" s="492">
        <v>137621</v>
      </c>
      <c r="F29" s="493">
        <f>F105</f>
        <v>144654</v>
      </c>
      <c r="G29" s="486"/>
      <c r="H29" s="494">
        <f>H105</f>
        <v>142704</v>
      </c>
      <c r="I29" s="486"/>
      <c r="J29" s="488"/>
      <c r="K29" s="231"/>
      <c r="L29" s="231"/>
      <c r="M29" s="231"/>
      <c r="N29" s="231"/>
      <c r="O29" s="231"/>
      <c r="P29" s="231"/>
      <c r="Q29" s="231"/>
      <c r="R29" s="231"/>
      <c r="S29" s="231"/>
      <c r="T29" s="231"/>
      <c r="U29" s="231"/>
      <c r="V29" s="231"/>
      <c r="W29" s="231"/>
      <c r="X29" s="231"/>
      <c r="Y29" s="231"/>
      <c r="Z29" s="231"/>
      <c r="AA29" s="231"/>
      <c r="AB29" s="231"/>
      <c r="AC29" s="231"/>
      <c r="AD29" s="231"/>
      <c r="AE29" s="231"/>
      <c r="AF29" s="231"/>
      <c r="AG29" s="231"/>
      <c r="AH29" s="231"/>
      <c r="AI29" s="231"/>
      <c r="AJ29" s="231"/>
      <c r="AK29" s="231"/>
      <c r="AL29" s="231"/>
      <c r="AM29" s="231"/>
      <c r="AN29" s="231"/>
      <c r="AO29" s="231"/>
    </row>
    <row r="30" spans="1:41" s="203" customFormat="1">
      <c r="A30" s="489">
        <v>3</v>
      </c>
      <c r="B30" s="490" t="s">
        <v>54</v>
      </c>
      <c r="C30" s="490"/>
      <c r="D30" s="491"/>
      <c r="E30" s="492">
        <v>10272</v>
      </c>
      <c r="F30" s="493">
        <f>F180</f>
        <v>10658</v>
      </c>
      <c r="G30" s="486"/>
      <c r="H30" s="494">
        <f>H180</f>
        <v>9605</v>
      </c>
      <c r="I30" s="486"/>
      <c r="J30" s="488"/>
      <c r="K30" s="231"/>
      <c r="L30" s="231"/>
      <c r="M30" s="231"/>
      <c r="N30" s="231"/>
      <c r="O30" s="231"/>
      <c r="P30" s="231"/>
      <c r="Q30" s="231"/>
      <c r="R30" s="231"/>
      <c r="S30" s="231"/>
      <c r="T30" s="231"/>
      <c r="U30" s="231"/>
      <c r="V30" s="231"/>
      <c r="W30" s="231"/>
      <c r="X30" s="231"/>
      <c r="Y30" s="231"/>
      <c r="Z30" s="231"/>
      <c r="AA30" s="231"/>
      <c r="AB30" s="231"/>
      <c r="AC30" s="231"/>
      <c r="AD30" s="231"/>
      <c r="AE30" s="231"/>
      <c r="AF30" s="231"/>
      <c r="AG30" s="231"/>
      <c r="AH30" s="231"/>
      <c r="AI30" s="231"/>
      <c r="AJ30" s="231"/>
      <c r="AK30" s="231"/>
      <c r="AL30" s="231"/>
      <c r="AM30" s="231"/>
      <c r="AN30" s="231"/>
      <c r="AO30" s="231"/>
    </row>
    <row r="31" spans="1:41" s="203" customFormat="1">
      <c r="A31" s="489">
        <v>4</v>
      </c>
      <c r="B31" s="490" t="s">
        <v>55</v>
      </c>
      <c r="C31" s="490"/>
      <c r="D31" s="491"/>
      <c r="E31" s="492">
        <v>30590</v>
      </c>
      <c r="F31" s="493">
        <f>F214</f>
        <v>30560</v>
      </c>
      <c r="G31" s="486"/>
      <c r="H31" s="494">
        <f>H214</f>
        <v>30121</v>
      </c>
      <c r="I31" s="486"/>
      <c r="J31" s="488"/>
      <c r="K31" s="231"/>
      <c r="L31" s="231"/>
      <c r="M31" s="231"/>
      <c r="N31" s="231"/>
      <c r="O31" s="231"/>
      <c r="P31" s="231"/>
      <c r="Q31" s="231"/>
      <c r="R31" s="231"/>
      <c r="S31" s="231"/>
      <c r="T31" s="231"/>
      <c r="U31" s="231"/>
      <c r="V31" s="231"/>
      <c r="W31" s="231"/>
      <c r="X31" s="231"/>
      <c r="Y31" s="231"/>
      <c r="Z31" s="231"/>
      <c r="AA31" s="231"/>
      <c r="AB31" s="231"/>
      <c r="AC31" s="231"/>
      <c r="AD31" s="231"/>
      <c r="AE31" s="231"/>
      <c r="AF31" s="231"/>
      <c r="AG31" s="231"/>
      <c r="AH31" s="231"/>
      <c r="AI31" s="231"/>
      <c r="AJ31" s="231"/>
      <c r="AK31" s="231"/>
      <c r="AL31" s="231"/>
      <c r="AM31" s="231"/>
      <c r="AN31" s="231"/>
      <c r="AO31" s="231"/>
    </row>
    <row r="32" spans="1:41" s="203" customFormat="1">
      <c r="A32" s="489">
        <v>5</v>
      </c>
      <c r="B32" s="490" t="s">
        <v>56</v>
      </c>
      <c r="C32" s="490"/>
      <c r="D32" s="491"/>
      <c r="E32" s="492">
        <v>10372</v>
      </c>
      <c r="F32" s="493">
        <f>F231</f>
        <v>9052</v>
      </c>
      <c r="G32" s="486"/>
      <c r="H32" s="494">
        <f>H231</f>
        <v>8581</v>
      </c>
      <c r="I32" s="486"/>
      <c r="J32" s="488"/>
      <c r="K32" s="231"/>
      <c r="L32" s="231"/>
      <c r="M32" s="231"/>
      <c r="N32" s="231"/>
      <c r="O32" s="231"/>
      <c r="P32" s="231"/>
      <c r="Q32" s="231"/>
      <c r="R32" s="231"/>
      <c r="S32" s="231"/>
      <c r="T32" s="231"/>
      <c r="U32" s="231"/>
      <c r="V32" s="231"/>
      <c r="W32" s="231"/>
      <c r="X32" s="231"/>
      <c r="Y32" s="231"/>
      <c r="Z32" s="231"/>
      <c r="AA32" s="231"/>
      <c r="AB32" s="231"/>
      <c r="AC32" s="231"/>
      <c r="AD32" s="231"/>
      <c r="AE32" s="231"/>
      <c r="AF32" s="231"/>
      <c r="AG32" s="231"/>
      <c r="AH32" s="231"/>
      <c r="AI32" s="231"/>
      <c r="AJ32" s="231"/>
      <c r="AK32" s="231"/>
      <c r="AL32" s="231"/>
      <c r="AM32" s="231"/>
      <c r="AN32" s="231"/>
      <c r="AO32" s="231"/>
    </row>
    <row r="33" spans="1:41" s="203" customFormat="1">
      <c r="A33" s="489">
        <v>6</v>
      </c>
      <c r="B33" s="490" t="s">
        <v>57</v>
      </c>
      <c r="C33" s="490"/>
      <c r="D33" s="491"/>
      <c r="E33" s="492">
        <v>27463</v>
      </c>
      <c r="F33" s="493">
        <f>F257</f>
        <v>26099</v>
      </c>
      <c r="G33" s="486"/>
      <c r="H33" s="494">
        <f>H257</f>
        <v>20597</v>
      </c>
      <c r="I33" s="486"/>
      <c r="J33" s="488"/>
      <c r="K33" s="231"/>
      <c r="L33" s="231"/>
      <c r="M33" s="231"/>
      <c r="N33" s="231"/>
      <c r="O33" s="231"/>
      <c r="P33" s="231"/>
      <c r="Q33" s="231"/>
      <c r="R33" s="231"/>
      <c r="S33" s="231"/>
      <c r="T33" s="231"/>
      <c r="U33" s="231"/>
      <c r="V33" s="231"/>
      <c r="W33" s="231"/>
      <c r="X33" s="231"/>
      <c r="Y33" s="231"/>
      <c r="Z33" s="231"/>
      <c r="AA33" s="231"/>
      <c r="AB33" s="231"/>
      <c r="AC33" s="231"/>
      <c r="AD33" s="231"/>
      <c r="AE33" s="231"/>
      <c r="AF33" s="231"/>
      <c r="AG33" s="231"/>
      <c r="AH33" s="231"/>
      <c r="AI33" s="231"/>
      <c r="AJ33" s="231"/>
      <c r="AK33" s="231"/>
      <c r="AL33" s="231"/>
      <c r="AM33" s="231"/>
      <c r="AN33" s="231"/>
      <c r="AO33" s="231"/>
    </row>
    <row r="34" spans="1:41" s="203" customFormat="1">
      <c r="A34" s="489">
        <v>7</v>
      </c>
      <c r="B34" s="490" t="s">
        <v>58</v>
      </c>
      <c r="C34" s="490"/>
      <c r="D34" s="491"/>
      <c r="E34" s="492">
        <v>13648</v>
      </c>
      <c r="F34" s="493">
        <f>F277</f>
        <v>12563</v>
      </c>
      <c r="G34" s="486"/>
      <c r="H34" s="493">
        <f>H277</f>
        <v>13222</v>
      </c>
      <c r="I34" s="486"/>
      <c r="J34" s="488"/>
      <c r="K34" s="231"/>
      <c r="L34" s="231"/>
      <c r="M34" s="231"/>
      <c r="N34" s="231"/>
      <c r="O34" s="231"/>
      <c r="P34" s="231"/>
      <c r="Q34" s="231"/>
      <c r="R34" s="231"/>
      <c r="S34" s="231"/>
      <c r="T34" s="231"/>
      <c r="U34" s="231"/>
      <c r="V34" s="231"/>
      <c r="W34" s="231"/>
      <c r="X34" s="231"/>
      <c r="Y34" s="231"/>
      <c r="Z34" s="231"/>
      <c r="AA34" s="231"/>
      <c r="AB34" s="231"/>
      <c r="AC34" s="231"/>
      <c r="AD34" s="231"/>
      <c r="AE34" s="231"/>
      <c r="AF34" s="231"/>
      <c r="AG34" s="231"/>
      <c r="AH34" s="231"/>
      <c r="AI34" s="231"/>
      <c r="AJ34" s="231"/>
      <c r="AK34" s="231"/>
      <c r="AL34" s="231"/>
      <c r="AM34" s="231"/>
      <c r="AN34" s="231"/>
      <c r="AO34" s="231"/>
    </row>
    <row r="35" spans="1:41" s="203" customFormat="1">
      <c r="A35" s="489">
        <v>8</v>
      </c>
      <c r="B35" s="490" t="s">
        <v>59</v>
      </c>
      <c r="C35" s="490"/>
      <c r="D35" s="491"/>
      <c r="E35" s="492">
        <v>-7930</v>
      </c>
      <c r="F35" s="493">
        <f>F302</f>
        <v>6210</v>
      </c>
      <c r="G35" s="486"/>
      <c r="H35" s="493">
        <f>H302</f>
        <v>6711</v>
      </c>
      <c r="I35" s="461"/>
      <c r="J35" s="488"/>
      <c r="K35" s="231"/>
      <c r="L35" s="231"/>
      <c r="M35" s="231"/>
      <c r="N35" s="231"/>
      <c r="O35" s="231"/>
      <c r="P35" s="231"/>
      <c r="Q35" s="231"/>
      <c r="R35" s="231"/>
      <c r="S35" s="231"/>
      <c r="T35" s="231"/>
      <c r="U35" s="231"/>
      <c r="V35" s="231"/>
      <c r="W35" s="231"/>
      <c r="X35" s="231"/>
      <c r="Y35" s="231"/>
      <c r="Z35" s="231"/>
      <c r="AA35" s="231"/>
      <c r="AB35" s="231"/>
      <c r="AC35" s="231"/>
      <c r="AD35" s="231"/>
      <c r="AE35" s="231"/>
      <c r="AF35" s="231"/>
      <c r="AG35" s="231"/>
      <c r="AH35" s="231"/>
      <c r="AI35" s="231"/>
      <c r="AJ35" s="231"/>
      <c r="AK35" s="231"/>
      <c r="AL35" s="231"/>
      <c r="AM35" s="231"/>
      <c r="AN35" s="231"/>
      <c r="AO35" s="231"/>
    </row>
    <row r="36" spans="1:41" s="203" customFormat="1">
      <c r="A36" s="489">
        <v>9</v>
      </c>
      <c r="B36" s="490" t="s">
        <v>60</v>
      </c>
      <c r="C36" s="490"/>
      <c r="D36" s="491"/>
      <c r="E36" s="492">
        <v>0</v>
      </c>
      <c r="F36" s="52"/>
      <c r="G36" s="486"/>
      <c r="H36" s="52"/>
      <c r="I36" s="461"/>
      <c r="J36" s="488"/>
      <c r="K36" s="231"/>
      <c r="L36" s="231"/>
      <c r="M36" s="231"/>
      <c r="N36" s="231"/>
      <c r="O36" s="231"/>
      <c r="P36" s="231"/>
      <c r="Q36" s="231"/>
      <c r="R36" s="231"/>
      <c r="S36" s="231"/>
      <c r="T36" s="231"/>
      <c r="U36" s="231"/>
      <c r="V36" s="231"/>
      <c r="W36" s="231"/>
      <c r="X36" s="231"/>
      <c r="Y36" s="231"/>
      <c r="Z36" s="231"/>
      <c r="AA36" s="231"/>
      <c r="AB36" s="231"/>
      <c r="AC36" s="231"/>
      <c r="AD36" s="231"/>
      <c r="AE36" s="231"/>
      <c r="AF36" s="231"/>
      <c r="AG36" s="231"/>
      <c r="AH36" s="231"/>
      <c r="AI36" s="231"/>
      <c r="AJ36" s="231"/>
      <c r="AK36" s="231"/>
      <c r="AL36" s="231"/>
      <c r="AM36" s="231"/>
      <c r="AN36" s="231"/>
      <c r="AO36" s="231"/>
    </row>
    <row r="37" spans="1:41" s="203" customFormat="1">
      <c r="A37" s="495">
        <v>10</v>
      </c>
      <c r="B37" s="496" t="s">
        <v>61</v>
      </c>
      <c r="C37" s="496"/>
      <c r="D37" s="497"/>
      <c r="E37" s="498">
        <v>32084</v>
      </c>
      <c r="F37" s="499">
        <f>F320</f>
        <v>34891.500894862766</v>
      </c>
      <c r="G37" s="486"/>
      <c r="H37" s="499">
        <f>H320</f>
        <v>45151.572689583518</v>
      </c>
      <c r="I37" s="461"/>
      <c r="J37" s="488"/>
      <c r="K37" s="231"/>
      <c r="L37" s="231"/>
      <c r="M37" s="231"/>
      <c r="N37" s="231"/>
      <c r="O37" s="231"/>
      <c r="P37" s="231"/>
      <c r="Q37" s="231"/>
      <c r="R37" s="231"/>
      <c r="S37" s="231"/>
      <c r="T37" s="231"/>
      <c r="U37" s="231"/>
      <c r="V37" s="231"/>
      <c r="W37" s="231"/>
      <c r="X37" s="231"/>
      <c r="Y37" s="231"/>
      <c r="Z37" s="231"/>
      <c r="AA37" s="231"/>
      <c r="AB37" s="231"/>
      <c r="AC37" s="231"/>
      <c r="AD37" s="231"/>
      <c r="AE37" s="231"/>
      <c r="AF37" s="231"/>
      <c r="AG37" s="231"/>
      <c r="AH37" s="231"/>
      <c r="AI37" s="231"/>
      <c r="AJ37" s="231"/>
      <c r="AK37" s="231"/>
      <c r="AL37" s="231"/>
      <c r="AM37" s="231"/>
      <c r="AN37" s="231"/>
      <c r="AO37" s="231"/>
    </row>
    <row r="38" spans="1:41" s="203" customFormat="1">
      <c r="A38" s="475">
        <v>11</v>
      </c>
      <c r="B38" s="500" t="s">
        <v>62</v>
      </c>
      <c r="C38" s="500"/>
      <c r="D38" s="501"/>
      <c r="E38" s="502">
        <v>439940</v>
      </c>
      <c r="F38" s="503">
        <f>SUM(F28:F37)</f>
        <v>450284.50089486275</v>
      </c>
      <c r="G38" s="486"/>
      <c r="H38" s="503">
        <f>SUM(H28:H37)</f>
        <v>464812.57268958353</v>
      </c>
      <c r="I38" s="504"/>
      <c r="J38" s="479"/>
      <c r="K38" s="231"/>
      <c r="L38" s="231"/>
      <c r="M38" s="231"/>
      <c r="N38" s="231"/>
      <c r="O38" s="231"/>
      <c r="P38" s="231"/>
      <c r="Q38" s="231"/>
      <c r="R38" s="231"/>
      <c r="S38" s="231"/>
      <c r="T38" s="231"/>
      <c r="U38" s="231"/>
      <c r="V38" s="231"/>
      <c r="W38" s="231"/>
      <c r="X38" s="231"/>
      <c r="Y38" s="231"/>
      <c r="Z38" s="231"/>
      <c r="AA38" s="231"/>
      <c r="AB38" s="231"/>
      <c r="AC38" s="231"/>
      <c r="AD38" s="231"/>
      <c r="AE38" s="231"/>
      <c r="AF38" s="231"/>
      <c r="AG38" s="231"/>
      <c r="AH38" s="231"/>
      <c r="AI38" s="231"/>
      <c r="AJ38" s="231"/>
      <c r="AK38" s="231"/>
      <c r="AL38" s="231"/>
      <c r="AM38" s="231"/>
      <c r="AN38" s="231"/>
      <c r="AO38" s="231"/>
    </row>
    <row r="39" spans="1:41" s="203" customFormat="1" ht="12.75" customHeight="1">
      <c r="A39" s="505"/>
      <c r="B39" s="506"/>
      <c r="C39" s="506"/>
      <c r="D39" s="507"/>
      <c r="E39" s="508"/>
      <c r="F39" s="509"/>
      <c r="G39" s="461"/>
      <c r="H39" s="509"/>
      <c r="I39" s="504"/>
      <c r="J39" s="479"/>
      <c r="K39" s="231"/>
      <c r="L39" s="231"/>
      <c r="M39" s="231"/>
      <c r="N39" s="231"/>
      <c r="O39" s="231"/>
      <c r="P39" s="231"/>
      <c r="Q39" s="231"/>
      <c r="R39" s="231"/>
      <c r="S39" s="231"/>
      <c r="T39" s="231"/>
      <c r="U39" s="231"/>
      <c r="V39" s="231"/>
      <c r="W39" s="231"/>
      <c r="X39" s="231"/>
      <c r="Y39" s="231"/>
      <c r="Z39" s="231"/>
      <c r="AA39" s="231"/>
      <c r="AB39" s="231"/>
      <c r="AC39" s="231"/>
      <c r="AD39" s="231"/>
      <c r="AE39" s="231"/>
      <c r="AF39" s="231"/>
      <c r="AG39" s="231"/>
      <c r="AH39" s="231"/>
      <c r="AI39" s="231"/>
      <c r="AJ39" s="231"/>
      <c r="AK39" s="231"/>
      <c r="AL39" s="231"/>
      <c r="AM39" s="231"/>
      <c r="AN39" s="231"/>
      <c r="AO39" s="231"/>
    </row>
    <row r="40" spans="1:41" s="203" customFormat="1" ht="12.75" customHeight="1">
      <c r="A40" s="927" t="s">
        <v>63</v>
      </c>
      <c r="B40" s="928"/>
      <c r="C40" s="928"/>
      <c r="D40" s="929"/>
      <c r="E40" s="933" t="s">
        <v>376</v>
      </c>
      <c r="F40" s="910" t="s">
        <v>407</v>
      </c>
      <c r="G40" s="478"/>
      <c r="H40" s="933" t="s">
        <v>406</v>
      </c>
      <c r="I40" s="486"/>
      <c r="J40" s="488"/>
      <c r="K40" s="231"/>
      <c r="L40" s="231"/>
      <c r="M40" s="231"/>
      <c r="N40" s="231"/>
      <c r="O40" s="231"/>
      <c r="P40" s="231"/>
      <c r="Q40" s="231"/>
      <c r="R40" s="231"/>
      <c r="S40" s="231"/>
      <c r="T40" s="231"/>
      <c r="U40" s="231"/>
      <c r="V40" s="231"/>
      <c r="W40" s="231"/>
      <c r="X40" s="231"/>
      <c r="Y40" s="231"/>
      <c r="Z40" s="231"/>
      <c r="AA40" s="231"/>
      <c r="AB40" s="231"/>
      <c r="AC40" s="231"/>
      <c r="AD40" s="231"/>
      <c r="AE40" s="231"/>
      <c r="AF40" s="231"/>
      <c r="AG40" s="231"/>
      <c r="AH40" s="231"/>
      <c r="AI40" s="231"/>
      <c r="AJ40" s="231"/>
      <c r="AK40" s="231"/>
      <c r="AL40" s="231"/>
      <c r="AM40" s="231"/>
      <c r="AN40" s="231"/>
      <c r="AO40" s="231"/>
    </row>
    <row r="41" spans="1:41" s="203" customFormat="1" ht="27.75" customHeight="1">
      <c r="A41" s="930"/>
      <c r="B41" s="931"/>
      <c r="C41" s="931"/>
      <c r="D41" s="932"/>
      <c r="E41" s="934"/>
      <c r="F41" s="912"/>
      <c r="G41" s="464"/>
      <c r="H41" s="934"/>
      <c r="I41" s="486"/>
      <c r="J41" s="488"/>
      <c r="K41" s="231"/>
      <c r="L41" s="231"/>
      <c r="M41" s="231"/>
      <c r="N41" s="231"/>
      <c r="O41" s="231"/>
      <c r="P41" s="231"/>
      <c r="Q41" s="231"/>
      <c r="R41" s="231"/>
      <c r="S41" s="231"/>
      <c r="T41" s="231"/>
      <c r="U41" s="231"/>
      <c r="V41" s="231"/>
      <c r="W41" s="231"/>
      <c r="X41" s="231"/>
      <c r="Y41" s="231"/>
      <c r="Z41" s="231"/>
      <c r="AA41" s="231"/>
      <c r="AB41" s="231"/>
      <c r="AC41" s="231"/>
      <c r="AD41" s="231"/>
      <c r="AE41" s="231"/>
      <c r="AF41" s="231"/>
      <c r="AG41" s="231"/>
      <c r="AH41" s="231"/>
      <c r="AI41" s="231"/>
      <c r="AJ41" s="231"/>
      <c r="AK41" s="231"/>
      <c r="AL41" s="231"/>
      <c r="AM41" s="231"/>
      <c r="AN41" s="231"/>
      <c r="AO41" s="231"/>
    </row>
    <row r="42" spans="1:41" s="203" customFormat="1">
      <c r="A42" s="798" t="s">
        <v>64</v>
      </c>
      <c r="B42" s="510" t="s">
        <v>65</v>
      </c>
      <c r="C42" s="510"/>
      <c r="D42" s="511"/>
      <c r="E42" s="512"/>
      <c r="F42" s="513" t="str">
        <f>IF(OR(F43&lt;0,F44&lt;0,F47&lt;0,F48&lt;0,H43&lt;0,H44&lt;0,H47&lt;0,H48&lt;0),"Funding should be recorded as positive figures",".")</f>
        <v>.</v>
      </c>
      <c r="G42" s="514"/>
      <c r="H42" s="515"/>
      <c r="I42" s="486"/>
      <c r="J42" s="488"/>
      <c r="K42" s="231"/>
      <c r="L42" s="231"/>
      <c r="M42" s="231"/>
      <c r="N42" s="231"/>
      <c r="O42" s="231"/>
      <c r="P42" s="231"/>
      <c r="Q42" s="231"/>
      <c r="R42" s="231"/>
      <c r="S42" s="231"/>
      <c r="T42" s="231"/>
      <c r="U42" s="231"/>
      <c r="V42" s="231"/>
      <c r="W42" s="231"/>
      <c r="X42" s="231"/>
      <c r="Y42" s="231"/>
      <c r="Z42" s="231"/>
      <c r="AA42" s="231"/>
      <c r="AB42" s="231"/>
      <c r="AC42" s="231"/>
      <c r="AD42" s="231"/>
      <c r="AE42" s="231"/>
      <c r="AF42" s="231"/>
      <c r="AG42" s="231"/>
      <c r="AH42" s="231"/>
      <c r="AI42" s="231"/>
      <c r="AJ42" s="231"/>
      <c r="AK42" s="231"/>
      <c r="AL42" s="231"/>
      <c r="AM42" s="231"/>
      <c r="AN42" s="231"/>
      <c r="AO42" s="231"/>
    </row>
    <row r="43" spans="1:41" s="203" customFormat="1">
      <c r="A43" s="489">
        <v>1</v>
      </c>
      <c r="B43" s="490" t="s">
        <v>66</v>
      </c>
      <c r="C43" s="490"/>
      <c r="D43" s="491"/>
      <c r="E43" s="516">
        <v>84062</v>
      </c>
      <c r="F43" s="241">
        <v>94027.999999999985</v>
      </c>
      <c r="G43" s="514"/>
      <c r="H43" s="75">
        <v>63399</v>
      </c>
      <c r="I43" s="486"/>
      <c r="J43" s="488"/>
      <c r="K43" s="231"/>
      <c r="L43" s="231"/>
      <c r="M43" s="231"/>
      <c r="N43" s="231"/>
      <c r="O43" s="231"/>
      <c r="P43" s="231"/>
      <c r="Q43" s="231"/>
      <c r="R43" s="231"/>
      <c r="S43" s="231"/>
      <c r="T43" s="231"/>
      <c r="U43" s="231"/>
      <c r="V43" s="231"/>
      <c r="W43" s="231"/>
      <c r="X43" s="231"/>
      <c r="Y43" s="231"/>
      <c r="Z43" s="231"/>
      <c r="AA43" s="231"/>
      <c r="AB43" s="231"/>
      <c r="AC43" s="231"/>
      <c r="AD43" s="231"/>
      <c r="AE43" s="231"/>
      <c r="AF43" s="231"/>
      <c r="AG43" s="231"/>
      <c r="AH43" s="231"/>
      <c r="AI43" s="231"/>
      <c r="AJ43" s="231"/>
      <c r="AK43" s="231"/>
      <c r="AL43" s="231"/>
      <c r="AM43" s="231"/>
      <c r="AN43" s="231"/>
      <c r="AO43" s="231"/>
    </row>
    <row r="44" spans="1:41" s="203" customFormat="1">
      <c r="A44" s="489">
        <v>2</v>
      </c>
      <c r="B44" s="490" t="s">
        <v>67</v>
      </c>
      <c r="C44" s="490"/>
      <c r="D44" s="491"/>
      <c r="E44" s="492">
        <v>227801</v>
      </c>
      <c r="F44" s="241">
        <v>227801</v>
      </c>
      <c r="G44" s="514"/>
      <c r="H44" s="75">
        <v>258560</v>
      </c>
      <c r="I44" s="486"/>
      <c r="J44" s="488"/>
      <c r="K44" s="231"/>
      <c r="L44" s="231"/>
      <c r="M44" s="231"/>
      <c r="N44" s="231"/>
      <c r="O44" s="231"/>
      <c r="P44" s="231"/>
      <c r="Q44" s="231"/>
      <c r="R44" s="231"/>
      <c r="S44" s="231"/>
      <c r="T44" s="231"/>
      <c r="U44" s="231"/>
      <c r="V44" s="231"/>
      <c r="W44" s="231"/>
      <c r="X44" s="231"/>
      <c r="Y44" s="231"/>
      <c r="Z44" s="231"/>
      <c r="AA44" s="231"/>
      <c r="AB44" s="231"/>
      <c r="AC44" s="231"/>
      <c r="AD44" s="231"/>
      <c r="AE44" s="231"/>
      <c r="AF44" s="231"/>
      <c r="AG44" s="231"/>
      <c r="AH44" s="231"/>
      <c r="AI44" s="231"/>
      <c r="AJ44" s="231"/>
      <c r="AK44" s="231"/>
      <c r="AL44" s="231"/>
      <c r="AM44" s="231"/>
      <c r="AN44" s="231"/>
      <c r="AO44" s="231"/>
    </row>
    <row r="45" spans="1:41" s="203" customFormat="1">
      <c r="A45" s="489">
        <v>3</v>
      </c>
      <c r="B45" s="490" t="s">
        <v>68</v>
      </c>
      <c r="C45" s="490"/>
      <c r="D45" s="491"/>
      <c r="E45" s="492">
        <v>0</v>
      </c>
      <c r="F45" s="52"/>
      <c r="G45" s="514"/>
      <c r="H45" s="75"/>
      <c r="I45" s="486"/>
      <c r="J45" s="488"/>
      <c r="K45" s="231"/>
      <c r="L45" s="231"/>
      <c r="M45" s="231"/>
      <c r="N45" s="231"/>
      <c r="O45" s="231"/>
      <c r="P45" s="231"/>
      <c r="Q45" s="231"/>
      <c r="R45" s="231"/>
      <c r="S45" s="231"/>
      <c r="T45" s="231"/>
      <c r="U45" s="231"/>
      <c r="V45" s="231"/>
      <c r="W45" s="231"/>
      <c r="X45" s="231"/>
      <c r="Y45" s="231"/>
      <c r="Z45" s="231"/>
      <c r="AA45" s="231"/>
      <c r="AB45" s="231"/>
      <c r="AC45" s="231"/>
      <c r="AD45" s="231"/>
      <c r="AE45" s="231"/>
      <c r="AF45" s="231"/>
      <c r="AG45" s="231"/>
      <c r="AH45" s="231"/>
      <c r="AI45" s="231"/>
      <c r="AJ45" s="231"/>
      <c r="AK45" s="231"/>
      <c r="AL45" s="231"/>
      <c r="AM45" s="231"/>
      <c r="AN45" s="231"/>
      <c r="AO45" s="231"/>
    </row>
    <row r="46" spans="1:41" s="203" customFormat="1">
      <c r="A46" s="489">
        <v>4</v>
      </c>
      <c r="B46" s="490" t="s">
        <v>70</v>
      </c>
      <c r="C46" s="490"/>
      <c r="D46" s="491"/>
      <c r="E46" s="492">
        <v>0</v>
      </c>
      <c r="F46" s="52"/>
      <c r="G46" s="514"/>
      <c r="H46" s="75"/>
      <c r="I46" s="486"/>
      <c r="J46" s="488"/>
      <c r="K46" s="231"/>
      <c r="L46" s="231"/>
      <c r="M46" s="231"/>
      <c r="N46" s="231"/>
      <c r="O46" s="231"/>
      <c r="P46" s="231"/>
      <c r="Q46" s="231"/>
      <c r="R46" s="231"/>
      <c r="S46" s="231"/>
      <c r="T46" s="231"/>
      <c r="U46" s="231"/>
      <c r="V46" s="231"/>
      <c r="W46" s="231"/>
      <c r="X46" s="231"/>
      <c r="Y46" s="231"/>
      <c r="Z46" s="231"/>
      <c r="AA46" s="231"/>
      <c r="AB46" s="231"/>
      <c r="AC46" s="231"/>
      <c r="AD46" s="231"/>
      <c r="AE46" s="231"/>
      <c r="AF46" s="231"/>
      <c r="AG46" s="231"/>
      <c r="AH46" s="231"/>
      <c r="AI46" s="231"/>
      <c r="AJ46" s="231"/>
      <c r="AK46" s="231"/>
      <c r="AL46" s="231"/>
      <c r="AM46" s="231"/>
      <c r="AN46" s="231"/>
      <c r="AO46" s="231"/>
    </row>
    <row r="47" spans="1:41" s="203" customFormat="1">
      <c r="A47" s="489">
        <v>5</v>
      </c>
      <c r="B47" s="490" t="s">
        <v>69</v>
      </c>
      <c r="C47" s="490"/>
      <c r="D47" s="491"/>
      <c r="E47" s="492">
        <v>8385</v>
      </c>
      <c r="F47" s="52">
        <v>8386</v>
      </c>
      <c r="G47" s="514"/>
      <c r="H47" s="76">
        <v>20337</v>
      </c>
      <c r="I47" s="486"/>
      <c r="J47" s="488"/>
      <c r="K47" s="231"/>
      <c r="L47" s="231"/>
      <c r="M47" s="231"/>
      <c r="N47" s="231"/>
      <c r="O47" s="231"/>
      <c r="P47" s="231"/>
      <c r="Q47" s="231"/>
      <c r="R47" s="231"/>
      <c r="S47" s="231"/>
      <c r="T47" s="231"/>
      <c r="U47" s="231"/>
      <c r="V47" s="231"/>
      <c r="W47" s="231"/>
      <c r="X47" s="231"/>
      <c r="Y47" s="231"/>
      <c r="Z47" s="231"/>
      <c r="AA47" s="231"/>
      <c r="AB47" s="231"/>
      <c r="AC47" s="231"/>
      <c r="AD47" s="231"/>
      <c r="AE47" s="231"/>
      <c r="AF47" s="231"/>
      <c r="AG47" s="231"/>
      <c r="AH47" s="231"/>
      <c r="AI47" s="231"/>
      <c r="AJ47" s="231"/>
      <c r="AK47" s="231"/>
      <c r="AL47" s="231"/>
      <c r="AM47" s="231"/>
      <c r="AN47" s="231"/>
      <c r="AO47" s="231"/>
    </row>
    <row r="48" spans="1:41" s="203" customFormat="1">
      <c r="A48" s="489">
        <v>6</v>
      </c>
      <c r="B48" s="517" t="s">
        <v>253</v>
      </c>
      <c r="C48" s="490"/>
      <c r="D48" s="518"/>
      <c r="E48" s="492">
        <v>91893</v>
      </c>
      <c r="F48" s="52">
        <v>116223.51655</v>
      </c>
      <c r="G48" s="514"/>
      <c r="H48" s="52">
        <v>122517</v>
      </c>
      <c r="I48" s="486"/>
      <c r="J48" s="488"/>
      <c r="K48" s="231"/>
      <c r="L48" s="231"/>
      <c r="M48" s="231"/>
      <c r="N48" s="231"/>
      <c r="O48" s="231"/>
      <c r="P48" s="231"/>
      <c r="Q48" s="231"/>
      <c r="R48" s="231"/>
      <c r="S48" s="231"/>
      <c r="T48" s="231"/>
      <c r="U48" s="231"/>
      <c r="V48" s="231"/>
      <c r="W48" s="231"/>
      <c r="X48" s="231"/>
      <c r="Y48" s="231"/>
      <c r="Z48" s="231"/>
      <c r="AA48" s="231"/>
      <c r="AB48" s="231"/>
      <c r="AC48" s="231"/>
      <c r="AD48" s="231"/>
      <c r="AE48" s="231"/>
      <c r="AF48" s="231"/>
      <c r="AG48" s="231"/>
      <c r="AH48" s="231"/>
      <c r="AI48" s="231"/>
      <c r="AJ48" s="231"/>
      <c r="AK48" s="231"/>
      <c r="AL48" s="231"/>
      <c r="AM48" s="231"/>
      <c r="AN48" s="231"/>
      <c r="AO48" s="231"/>
    </row>
    <row r="49" spans="1:41" s="203" customFormat="1">
      <c r="A49" s="519">
        <v>7</v>
      </c>
      <c r="B49" s="520" t="s">
        <v>71</v>
      </c>
      <c r="C49" s="500"/>
      <c r="D49" s="521"/>
      <c r="E49" s="522">
        <v>412141</v>
      </c>
      <c r="F49" s="523">
        <f>SUM(F43:F48)</f>
        <v>446438.51655</v>
      </c>
      <c r="G49" s="524"/>
      <c r="H49" s="525">
        <f>SUM(H43:H48)</f>
        <v>464813</v>
      </c>
      <c r="I49" s="526"/>
      <c r="J49" s="527"/>
      <c r="K49" s="231"/>
      <c r="L49" s="231"/>
      <c r="M49" s="231"/>
      <c r="N49" s="231"/>
      <c r="O49" s="231"/>
      <c r="P49" s="231"/>
      <c r="Q49" s="231"/>
      <c r="R49" s="231"/>
      <c r="S49" s="231"/>
      <c r="T49" s="231"/>
      <c r="U49" s="231"/>
      <c r="V49" s="231"/>
      <c r="W49" s="231"/>
      <c r="X49" s="231"/>
      <c r="Y49" s="231"/>
      <c r="Z49" s="231"/>
      <c r="AA49" s="231"/>
      <c r="AB49" s="231"/>
      <c r="AC49" s="231"/>
      <c r="AD49" s="231"/>
      <c r="AE49" s="231"/>
      <c r="AF49" s="231"/>
      <c r="AG49" s="231"/>
      <c r="AH49" s="231"/>
      <c r="AI49" s="231"/>
      <c r="AJ49" s="231"/>
      <c r="AK49" s="231"/>
      <c r="AL49" s="231"/>
      <c r="AM49" s="231"/>
      <c r="AN49" s="231"/>
      <c r="AO49" s="231"/>
    </row>
    <row r="50" spans="1:41" s="203" customFormat="1">
      <c r="A50" s="528"/>
      <c r="B50" s="84"/>
      <c r="C50" s="84"/>
      <c r="D50" s="84"/>
      <c r="E50" s="529"/>
      <c r="F50" s="84"/>
      <c r="G50" s="488"/>
      <c r="H50" s="488"/>
      <c r="I50" s="461"/>
      <c r="J50" s="488"/>
      <c r="K50" s="231"/>
      <c r="L50" s="231"/>
      <c r="M50" s="231"/>
      <c r="N50" s="231"/>
      <c r="O50" s="231"/>
      <c r="P50" s="231"/>
      <c r="Q50" s="231"/>
      <c r="R50" s="231"/>
      <c r="S50" s="231"/>
      <c r="T50" s="231"/>
      <c r="U50" s="231"/>
      <c r="V50" s="231"/>
      <c r="W50" s="231"/>
      <c r="X50" s="231"/>
      <c r="Y50" s="231"/>
      <c r="Z50" s="231"/>
      <c r="AA50" s="231"/>
      <c r="AB50" s="231"/>
      <c r="AC50" s="231"/>
      <c r="AD50" s="231"/>
      <c r="AE50" s="231"/>
      <c r="AF50" s="231"/>
      <c r="AG50" s="231"/>
      <c r="AH50" s="231"/>
      <c r="AI50" s="231"/>
      <c r="AJ50" s="231"/>
      <c r="AK50" s="231"/>
      <c r="AL50" s="231"/>
      <c r="AM50" s="231"/>
      <c r="AN50" s="231"/>
      <c r="AO50" s="231"/>
    </row>
    <row r="51" spans="1:41" s="203" customFormat="1">
      <c r="A51" s="798" t="s">
        <v>72</v>
      </c>
      <c r="B51" s="530" t="s">
        <v>254</v>
      </c>
      <c r="C51" s="510"/>
      <c r="D51" s="511"/>
      <c r="E51" s="531"/>
      <c r="F51" s="532"/>
      <c r="G51" s="514"/>
      <c r="H51" s="533"/>
      <c r="I51" s="486"/>
      <c r="J51" s="488"/>
      <c r="K51" s="231"/>
      <c r="L51" s="231"/>
      <c r="M51" s="231"/>
      <c r="N51" s="231"/>
      <c r="O51" s="231"/>
      <c r="P51" s="231"/>
      <c r="Q51" s="231"/>
      <c r="R51" s="231"/>
      <c r="S51" s="231"/>
      <c r="T51" s="231"/>
      <c r="U51" s="231"/>
      <c r="V51" s="231"/>
      <c r="W51" s="231"/>
      <c r="X51" s="231"/>
      <c r="Y51" s="231"/>
      <c r="Z51" s="231"/>
      <c r="AA51" s="231"/>
      <c r="AB51" s="231"/>
      <c r="AC51" s="231"/>
      <c r="AD51" s="231"/>
      <c r="AE51" s="231"/>
      <c r="AF51" s="231"/>
      <c r="AG51" s="231"/>
      <c r="AH51" s="231"/>
      <c r="AI51" s="231"/>
      <c r="AJ51" s="231"/>
      <c r="AK51" s="231"/>
      <c r="AL51" s="231"/>
      <c r="AM51" s="231"/>
      <c r="AN51" s="231"/>
      <c r="AO51" s="231"/>
    </row>
    <row r="52" spans="1:41" s="203" customFormat="1">
      <c r="A52" s="489">
        <v>8</v>
      </c>
      <c r="B52" s="517" t="s">
        <v>73</v>
      </c>
      <c r="C52" s="490"/>
      <c r="D52" s="491"/>
      <c r="E52" s="516">
        <v>439940</v>
      </c>
      <c r="F52" s="493">
        <f>F38</f>
        <v>450284.50089486275</v>
      </c>
      <c r="G52" s="514"/>
      <c r="H52" s="535">
        <f>H38</f>
        <v>464812.57268958353</v>
      </c>
      <c r="I52" s="486"/>
      <c r="J52" s="488"/>
      <c r="K52" s="231"/>
      <c r="L52" s="231"/>
      <c r="M52" s="231"/>
      <c r="N52" s="231"/>
      <c r="O52" s="231"/>
      <c r="P52" s="231"/>
      <c r="Q52" s="231"/>
      <c r="R52" s="231"/>
      <c r="S52" s="231"/>
      <c r="T52" s="231"/>
      <c r="U52" s="231"/>
      <c r="V52" s="231"/>
      <c r="W52" s="231"/>
      <c r="X52" s="231"/>
      <c r="Y52" s="231"/>
      <c r="Z52" s="231"/>
      <c r="AA52" s="231"/>
      <c r="AB52" s="231"/>
      <c r="AC52" s="231"/>
      <c r="AD52" s="231"/>
      <c r="AE52" s="231"/>
      <c r="AF52" s="231"/>
      <c r="AG52" s="231"/>
      <c r="AH52" s="231"/>
      <c r="AI52" s="231"/>
      <c r="AJ52" s="231"/>
      <c r="AK52" s="231"/>
      <c r="AL52" s="231"/>
      <c r="AM52" s="231"/>
      <c r="AN52" s="231"/>
      <c r="AO52" s="231"/>
    </row>
    <row r="53" spans="1:41" s="203" customFormat="1">
      <c r="A53" s="489">
        <v>9</v>
      </c>
      <c r="B53" s="517" t="s">
        <v>74</v>
      </c>
      <c r="C53" s="490"/>
      <c r="D53" s="491"/>
      <c r="E53" s="492">
        <v>412141</v>
      </c>
      <c r="F53" s="536">
        <f>F49</f>
        <v>446438.51655</v>
      </c>
      <c r="G53" s="514"/>
      <c r="H53" s="535">
        <f>H49</f>
        <v>464813</v>
      </c>
      <c r="I53" s="486"/>
      <c r="J53" s="488"/>
      <c r="K53" s="231"/>
      <c r="L53" s="231"/>
      <c r="M53" s="231"/>
      <c r="N53" s="231"/>
      <c r="O53" s="231"/>
      <c r="P53" s="231"/>
      <c r="Q53" s="231"/>
      <c r="R53" s="231"/>
      <c r="S53" s="231"/>
      <c r="T53" s="231"/>
      <c r="U53" s="231"/>
      <c r="V53" s="231"/>
      <c r="W53" s="231"/>
      <c r="X53" s="231"/>
      <c r="Y53" s="231"/>
      <c r="Z53" s="231"/>
      <c r="AA53" s="231"/>
      <c r="AB53" s="231"/>
      <c r="AC53" s="231"/>
      <c r="AD53" s="231"/>
      <c r="AE53" s="231"/>
      <c r="AF53" s="231"/>
      <c r="AG53" s="231"/>
      <c r="AH53" s="231"/>
      <c r="AI53" s="231"/>
      <c r="AJ53" s="231"/>
      <c r="AK53" s="231"/>
      <c r="AL53" s="231"/>
      <c r="AM53" s="231"/>
      <c r="AN53" s="231"/>
      <c r="AO53" s="231"/>
    </row>
    <row r="54" spans="1:41" s="203" customFormat="1">
      <c r="A54" s="800">
        <v>10</v>
      </c>
      <c r="B54" s="537" t="s">
        <v>255</v>
      </c>
      <c r="C54" s="538"/>
      <c r="D54" s="497"/>
      <c r="E54" s="539">
        <v>-27799</v>
      </c>
      <c r="F54" s="540">
        <f>F53-F52</f>
        <v>-3845.9843448627507</v>
      </c>
      <c r="G54" s="514"/>
      <c r="H54" s="541">
        <f>H53-H52</f>
        <v>0.42731041647493839</v>
      </c>
      <c r="I54" s="486"/>
      <c r="J54" s="488"/>
      <c r="K54" s="231"/>
      <c r="L54" s="231"/>
      <c r="M54" s="231"/>
      <c r="N54" s="231"/>
      <c r="O54" s="231"/>
      <c r="P54" s="231"/>
      <c r="Q54" s="231"/>
      <c r="R54" s="231"/>
      <c r="S54" s="231"/>
      <c r="T54" s="231"/>
      <c r="U54" s="231"/>
      <c r="V54" s="231"/>
      <c r="W54" s="231"/>
      <c r="X54" s="231"/>
      <c r="Y54" s="231"/>
      <c r="Z54" s="231"/>
      <c r="AA54" s="231"/>
      <c r="AB54" s="231"/>
      <c r="AC54" s="231"/>
      <c r="AD54" s="231"/>
      <c r="AE54" s="231"/>
      <c r="AF54" s="231"/>
      <c r="AG54" s="231"/>
      <c r="AH54" s="231"/>
      <c r="AI54" s="231"/>
      <c r="AJ54" s="231"/>
      <c r="AK54" s="231"/>
      <c r="AL54" s="231"/>
      <c r="AM54" s="231"/>
      <c r="AN54" s="231"/>
      <c r="AO54" s="231"/>
    </row>
    <row r="55" spans="1:41" s="203" customFormat="1">
      <c r="A55" s="528"/>
      <c r="B55" s="84"/>
      <c r="C55" s="84"/>
      <c r="D55" s="84"/>
      <c r="E55" s="529"/>
      <c r="F55" s="84"/>
      <c r="G55" s="488"/>
      <c r="H55" s="488"/>
      <c r="I55" s="461"/>
      <c r="J55" s="488"/>
      <c r="K55" s="231"/>
      <c r="L55" s="231"/>
      <c r="M55" s="231"/>
      <c r="N55" s="231"/>
      <c r="O55" s="231"/>
      <c r="P55" s="231"/>
      <c r="Q55" s="231"/>
      <c r="R55" s="231"/>
      <c r="S55" s="231"/>
      <c r="T55" s="231"/>
      <c r="U55" s="231"/>
      <c r="V55" s="231"/>
      <c r="W55" s="231"/>
      <c r="X55" s="231"/>
      <c r="Y55" s="231"/>
      <c r="Z55" s="231"/>
      <c r="AA55" s="231"/>
      <c r="AB55" s="231"/>
      <c r="AC55" s="231"/>
      <c r="AD55" s="231"/>
      <c r="AE55" s="231"/>
      <c r="AF55" s="231"/>
      <c r="AG55" s="231"/>
      <c r="AH55" s="231"/>
      <c r="AI55" s="231"/>
      <c r="AJ55" s="231"/>
      <c r="AK55" s="231"/>
      <c r="AL55" s="231"/>
      <c r="AM55" s="231"/>
      <c r="AN55" s="231"/>
      <c r="AO55" s="231"/>
    </row>
    <row r="56" spans="1:41" s="203" customFormat="1">
      <c r="A56" s="798" t="s">
        <v>75</v>
      </c>
      <c r="B56" s="510" t="s">
        <v>256</v>
      </c>
      <c r="C56" s="510"/>
      <c r="D56" s="511"/>
      <c r="E56" s="531"/>
      <c r="F56" s="532"/>
      <c r="G56" s="514"/>
      <c r="H56" s="533"/>
      <c r="I56" s="486"/>
      <c r="J56" s="488"/>
      <c r="K56" s="231"/>
      <c r="L56" s="231"/>
      <c r="M56" s="231"/>
      <c r="N56" s="231"/>
      <c r="O56" s="231"/>
      <c r="P56" s="231"/>
      <c r="Q56" s="231"/>
      <c r="R56" s="231"/>
      <c r="S56" s="231"/>
      <c r="T56" s="231"/>
      <c r="U56" s="231"/>
      <c r="V56" s="231"/>
      <c r="W56" s="231"/>
      <c r="X56" s="231"/>
      <c r="Y56" s="231"/>
      <c r="Z56" s="231"/>
      <c r="AA56" s="231"/>
      <c r="AB56" s="231"/>
      <c r="AC56" s="231"/>
      <c r="AD56" s="231"/>
      <c r="AE56" s="231"/>
      <c r="AF56" s="231"/>
      <c r="AG56" s="231"/>
      <c r="AH56" s="231"/>
      <c r="AI56" s="231"/>
      <c r="AJ56" s="231"/>
      <c r="AK56" s="231"/>
      <c r="AL56" s="231"/>
      <c r="AM56" s="231"/>
      <c r="AN56" s="231"/>
      <c r="AO56" s="231"/>
    </row>
    <row r="57" spans="1:41" s="203" customFormat="1">
      <c r="A57" s="489">
        <v>11</v>
      </c>
      <c r="B57" s="490" t="s">
        <v>76</v>
      </c>
      <c r="C57" s="490"/>
      <c r="D57" s="491"/>
      <c r="E57" s="516">
        <v>49970</v>
      </c>
      <c r="F57" s="52">
        <v>40697</v>
      </c>
      <c r="G57" s="514"/>
      <c r="H57" s="535">
        <f>F61</f>
        <v>36851.015655137249</v>
      </c>
      <c r="I57" s="486"/>
      <c r="J57" s="488"/>
      <c r="K57" s="231"/>
      <c r="L57" s="231"/>
      <c r="M57" s="231"/>
      <c r="N57" s="231"/>
      <c r="O57" s="231"/>
      <c r="P57" s="231"/>
      <c r="Q57" s="231"/>
      <c r="R57" s="231"/>
      <c r="S57" s="231"/>
      <c r="T57" s="231"/>
      <c r="U57" s="231"/>
      <c r="V57" s="231"/>
      <c r="W57" s="231"/>
      <c r="X57" s="231"/>
      <c r="Y57" s="231"/>
      <c r="Z57" s="231"/>
      <c r="AA57" s="231"/>
      <c r="AB57" s="231"/>
      <c r="AC57" s="231"/>
      <c r="AD57" s="231"/>
      <c r="AE57" s="231"/>
      <c r="AF57" s="231"/>
      <c r="AG57" s="231"/>
      <c r="AH57" s="231"/>
      <c r="AI57" s="231"/>
      <c r="AJ57" s="231"/>
      <c r="AK57" s="231"/>
      <c r="AL57" s="231"/>
      <c r="AM57" s="231"/>
      <c r="AN57" s="231"/>
      <c r="AO57" s="231"/>
    </row>
    <row r="58" spans="1:41" s="203" customFormat="1">
      <c r="A58" s="489">
        <v>12</v>
      </c>
      <c r="B58" s="517" t="s">
        <v>257</v>
      </c>
      <c r="C58" s="490"/>
      <c r="D58" s="491"/>
      <c r="E58" s="492">
        <v>-27799</v>
      </c>
      <c r="F58" s="536">
        <f>F54</f>
        <v>-3845.9843448627507</v>
      </c>
      <c r="G58" s="514"/>
      <c r="H58" s="542">
        <f>H54</f>
        <v>0.42731041647493839</v>
      </c>
      <c r="I58" s="486"/>
      <c r="J58" s="488"/>
      <c r="K58" s="231"/>
      <c r="L58" s="231"/>
      <c r="M58" s="231"/>
      <c r="N58" s="231"/>
      <c r="O58" s="231"/>
      <c r="P58" s="231"/>
      <c r="Q58" s="231"/>
      <c r="R58" s="231"/>
      <c r="S58" s="231"/>
      <c r="T58" s="231"/>
      <c r="U58" s="231"/>
      <c r="V58" s="231"/>
      <c r="W58" s="231"/>
      <c r="X58" s="231"/>
      <c r="Y58" s="231"/>
      <c r="Z58" s="231"/>
      <c r="AA58" s="231"/>
      <c r="AB58" s="231"/>
      <c r="AC58" s="231"/>
      <c r="AD58" s="231"/>
      <c r="AE58" s="231"/>
      <c r="AF58" s="231"/>
      <c r="AG58" s="231"/>
      <c r="AH58" s="231"/>
      <c r="AI58" s="231"/>
      <c r="AJ58" s="231"/>
      <c r="AK58" s="231"/>
      <c r="AL58" s="231"/>
      <c r="AM58" s="231"/>
      <c r="AN58" s="231"/>
      <c r="AO58" s="231"/>
    </row>
    <row r="59" spans="1:41" s="203" customFormat="1">
      <c r="A59" s="489">
        <v>13</v>
      </c>
      <c r="B59" s="490" t="s">
        <v>77</v>
      </c>
      <c r="C59" s="490"/>
      <c r="D59" s="491"/>
      <c r="E59" s="492">
        <v>0</v>
      </c>
      <c r="F59" s="52"/>
      <c r="G59" s="514"/>
      <c r="H59" s="543"/>
      <c r="I59" s="486"/>
      <c r="J59" s="488"/>
      <c r="K59" s="231"/>
      <c r="L59" s="231"/>
      <c r="M59" s="231"/>
      <c r="N59" s="231"/>
      <c r="O59" s="231"/>
      <c r="P59" s="231"/>
      <c r="Q59" s="231"/>
      <c r="R59" s="231"/>
      <c r="S59" s="231"/>
      <c r="T59" s="231"/>
      <c r="U59" s="231"/>
      <c r="V59" s="231"/>
      <c r="W59" s="231"/>
      <c r="X59" s="231"/>
      <c r="Y59" s="231"/>
      <c r="Z59" s="231"/>
      <c r="AA59" s="231"/>
      <c r="AB59" s="231"/>
      <c r="AC59" s="231"/>
      <c r="AD59" s="231"/>
      <c r="AE59" s="231"/>
      <c r="AF59" s="231"/>
      <c r="AG59" s="231"/>
      <c r="AH59" s="231"/>
      <c r="AI59" s="231"/>
      <c r="AJ59" s="231"/>
      <c r="AK59" s="231"/>
      <c r="AL59" s="231"/>
      <c r="AM59" s="231"/>
      <c r="AN59" s="231"/>
      <c r="AO59" s="231"/>
    </row>
    <row r="60" spans="1:41" s="203" customFormat="1">
      <c r="A60" s="489">
        <v>14</v>
      </c>
      <c r="B60" s="490" t="s">
        <v>78</v>
      </c>
      <c r="C60" s="490"/>
      <c r="D60" s="491"/>
      <c r="E60" s="492">
        <v>0</v>
      </c>
      <c r="F60" s="52"/>
      <c r="G60" s="514"/>
      <c r="H60" s="544"/>
      <c r="I60" s="486"/>
      <c r="J60" s="488"/>
      <c r="K60" s="231"/>
      <c r="L60" s="231"/>
      <c r="M60" s="231"/>
      <c r="N60" s="231"/>
      <c r="O60" s="231"/>
      <c r="P60" s="231"/>
      <c r="Q60" s="231"/>
      <c r="R60" s="231"/>
      <c r="S60" s="231"/>
      <c r="T60" s="231"/>
      <c r="U60" s="231"/>
      <c r="V60" s="231"/>
      <c r="W60" s="231"/>
      <c r="X60" s="231"/>
      <c r="Y60" s="231"/>
      <c r="Z60" s="231"/>
      <c r="AA60" s="231"/>
      <c r="AB60" s="231"/>
      <c r="AC60" s="231"/>
      <c r="AD60" s="231"/>
      <c r="AE60" s="231"/>
      <c r="AF60" s="231"/>
      <c r="AG60" s="231"/>
      <c r="AH60" s="231"/>
      <c r="AI60" s="231"/>
      <c r="AJ60" s="231"/>
      <c r="AK60" s="231"/>
      <c r="AL60" s="231"/>
      <c r="AM60" s="231"/>
      <c r="AN60" s="231"/>
      <c r="AO60" s="231"/>
    </row>
    <row r="61" spans="1:41" s="203" customFormat="1">
      <c r="A61" s="495">
        <v>15</v>
      </c>
      <c r="B61" s="496" t="s">
        <v>79</v>
      </c>
      <c r="C61" s="496"/>
      <c r="D61" s="497"/>
      <c r="E61" s="498">
        <v>22171</v>
      </c>
      <c r="F61" s="540">
        <f>F57+F58+F59+F60</f>
        <v>36851.015655137249</v>
      </c>
      <c r="G61" s="514"/>
      <c r="H61" s="545">
        <f>H57+H58+H59+H60</f>
        <v>36851.442965553724</v>
      </c>
      <c r="I61" s="486"/>
      <c r="J61" s="488"/>
      <c r="K61" s="231"/>
      <c r="L61" s="231"/>
      <c r="M61" s="231"/>
      <c r="N61" s="231"/>
      <c r="O61" s="231"/>
      <c r="P61" s="231"/>
      <c r="Q61" s="231"/>
      <c r="R61" s="231"/>
      <c r="S61" s="231"/>
      <c r="T61" s="231"/>
      <c r="U61" s="231"/>
      <c r="V61" s="231"/>
      <c r="W61" s="231"/>
      <c r="X61" s="231"/>
      <c r="Y61" s="231"/>
      <c r="Z61" s="231"/>
      <c r="AA61" s="231"/>
      <c r="AB61" s="231"/>
      <c r="AC61" s="231"/>
      <c r="AD61" s="231"/>
      <c r="AE61" s="231"/>
      <c r="AF61" s="231"/>
      <c r="AG61" s="231"/>
      <c r="AH61" s="231"/>
      <c r="AI61" s="231"/>
      <c r="AJ61" s="231"/>
      <c r="AK61" s="231"/>
      <c r="AL61" s="231"/>
      <c r="AM61" s="231"/>
      <c r="AN61" s="231"/>
      <c r="AO61" s="231"/>
    </row>
    <row r="62" spans="1:41" s="203" customFormat="1">
      <c r="A62" s="546"/>
      <c r="B62" s="457"/>
      <c r="C62" s="457"/>
      <c r="D62" s="457"/>
      <c r="E62" s="547"/>
      <c r="F62" s="461"/>
      <c r="G62" s="461"/>
      <c r="H62" s="461"/>
      <c r="I62" s="461"/>
      <c r="J62" s="488"/>
      <c r="K62" s="231"/>
      <c r="L62" s="231"/>
      <c r="M62" s="231"/>
      <c r="N62" s="231"/>
      <c r="O62" s="231"/>
      <c r="P62" s="231"/>
      <c r="Q62" s="231"/>
      <c r="R62" s="231"/>
      <c r="S62" s="231"/>
      <c r="T62" s="231"/>
      <c r="U62" s="231"/>
      <c r="V62" s="231"/>
      <c r="W62" s="231"/>
      <c r="X62" s="231"/>
      <c r="Y62" s="231"/>
      <c r="Z62" s="231"/>
      <c r="AA62" s="231"/>
      <c r="AB62" s="231"/>
      <c r="AC62" s="231"/>
      <c r="AD62" s="231"/>
      <c r="AE62" s="231"/>
      <c r="AF62" s="231"/>
      <c r="AG62" s="231"/>
      <c r="AH62" s="231"/>
      <c r="AI62" s="231"/>
      <c r="AJ62" s="231"/>
      <c r="AK62" s="231"/>
      <c r="AL62" s="231"/>
      <c r="AM62" s="231"/>
      <c r="AN62" s="231"/>
      <c r="AO62" s="231"/>
    </row>
    <row r="63" spans="1:41" s="203" customFormat="1" ht="12.75" customHeight="1">
      <c r="A63" s="464"/>
      <c r="B63" s="457"/>
      <c r="C63" s="457"/>
      <c r="D63" s="457"/>
      <c r="E63" s="452"/>
      <c r="F63" s="457"/>
      <c r="G63" s="457"/>
      <c r="H63" s="461"/>
      <c r="I63" s="461"/>
      <c r="J63" s="488"/>
      <c r="K63" s="231"/>
      <c r="L63" s="231"/>
      <c r="M63" s="231"/>
      <c r="N63" s="231"/>
      <c r="O63" s="231"/>
      <c r="P63" s="231"/>
      <c r="Q63" s="231"/>
      <c r="R63" s="231"/>
      <c r="S63" s="231"/>
      <c r="T63" s="231"/>
      <c r="U63" s="231"/>
      <c r="V63" s="231"/>
      <c r="W63" s="231"/>
      <c r="X63" s="231"/>
      <c r="Y63" s="231"/>
      <c r="Z63" s="231"/>
      <c r="AA63" s="231"/>
      <c r="AB63" s="231"/>
      <c r="AC63" s="231"/>
      <c r="AD63" s="231"/>
      <c r="AE63" s="231"/>
      <c r="AF63" s="231"/>
      <c r="AG63" s="231"/>
      <c r="AH63" s="231"/>
      <c r="AI63" s="231"/>
      <c r="AJ63" s="231"/>
      <c r="AK63" s="231"/>
      <c r="AL63" s="231"/>
      <c r="AM63" s="231"/>
      <c r="AN63" s="231"/>
      <c r="AO63" s="231"/>
    </row>
    <row r="64" spans="1:41" s="203" customFormat="1" ht="15">
      <c r="A64" s="548" t="s">
        <v>80</v>
      </c>
      <c r="B64" s="459"/>
      <c r="C64" s="459"/>
      <c r="D64" s="459"/>
      <c r="E64" s="452"/>
      <c r="F64" s="459"/>
      <c r="G64" s="459"/>
      <c r="H64" s="459"/>
      <c r="I64" s="459"/>
      <c r="J64" s="452"/>
      <c r="K64" s="231"/>
      <c r="L64" s="231"/>
      <c r="M64" s="231"/>
      <c r="N64" s="231"/>
      <c r="O64" s="231"/>
      <c r="P64" s="231"/>
      <c r="Q64" s="231"/>
      <c r="R64" s="231"/>
      <c r="S64" s="231"/>
      <c r="T64" s="231"/>
      <c r="U64" s="231"/>
      <c r="V64" s="231"/>
      <c r="W64" s="231"/>
      <c r="X64" s="231"/>
      <c r="Y64" s="231"/>
      <c r="Z64" s="231"/>
      <c r="AA64" s="231"/>
      <c r="AB64" s="231"/>
      <c r="AC64" s="231"/>
      <c r="AD64" s="231"/>
      <c r="AE64" s="231"/>
      <c r="AF64" s="231"/>
      <c r="AG64" s="231"/>
      <c r="AH64" s="231"/>
      <c r="AI64" s="231"/>
      <c r="AJ64" s="231"/>
      <c r="AK64" s="231"/>
      <c r="AL64" s="231"/>
      <c r="AM64" s="231"/>
      <c r="AN64" s="231"/>
      <c r="AO64" s="231"/>
    </row>
    <row r="65" spans="1:41" s="203" customFormat="1">
      <c r="A65" s="474"/>
      <c r="B65" s="459"/>
      <c r="C65" s="459"/>
      <c r="D65" s="459"/>
      <c r="E65" s="549"/>
      <c r="F65" s="459"/>
      <c r="G65" s="459"/>
      <c r="H65" s="459"/>
      <c r="I65" s="550" t="s">
        <v>27</v>
      </c>
      <c r="J65" s="551"/>
      <c r="K65" s="231"/>
      <c r="L65" s="231"/>
      <c r="M65" s="231"/>
      <c r="N65" s="231"/>
      <c r="O65" s="231"/>
      <c r="P65" s="231"/>
      <c r="Q65" s="231"/>
      <c r="R65" s="231"/>
      <c r="S65" s="231"/>
      <c r="T65" s="231"/>
      <c r="U65" s="231"/>
      <c r="V65" s="231"/>
      <c r="W65" s="231"/>
      <c r="X65" s="231"/>
      <c r="Y65" s="231"/>
      <c r="Z65" s="231"/>
      <c r="AA65" s="231"/>
      <c r="AB65" s="231"/>
      <c r="AC65" s="231"/>
      <c r="AD65" s="231"/>
      <c r="AE65" s="231"/>
      <c r="AF65" s="231"/>
      <c r="AG65" s="231"/>
      <c r="AH65" s="231"/>
      <c r="AI65" s="231"/>
      <c r="AJ65" s="231"/>
      <c r="AK65" s="231"/>
      <c r="AL65" s="231"/>
      <c r="AM65" s="231"/>
      <c r="AN65" s="231"/>
      <c r="AO65" s="231"/>
    </row>
    <row r="66" spans="1:41" s="203" customFormat="1">
      <c r="A66" s="552" t="s">
        <v>14</v>
      </c>
      <c r="B66" s="553"/>
      <c r="C66" s="553"/>
      <c r="D66" s="553"/>
      <c r="E66" s="910" t="s">
        <v>377</v>
      </c>
      <c r="F66" s="935" t="s">
        <v>402</v>
      </c>
      <c r="G66" s="924" t="s">
        <v>81</v>
      </c>
      <c r="H66" s="935" t="s">
        <v>403</v>
      </c>
      <c r="I66" s="924" t="s">
        <v>81</v>
      </c>
      <c r="J66" s="479"/>
      <c r="K66" s="231"/>
      <c r="L66" s="231"/>
      <c r="M66" s="231"/>
      <c r="N66" s="231"/>
      <c r="O66" s="231"/>
      <c r="P66" s="231"/>
      <c r="Q66" s="231"/>
      <c r="R66" s="231"/>
      <c r="S66" s="231"/>
      <c r="T66" s="231"/>
      <c r="U66" s="231"/>
      <c r="V66" s="231"/>
      <c r="W66" s="231"/>
      <c r="X66" s="231"/>
      <c r="Y66" s="231"/>
      <c r="Z66" s="231"/>
      <c r="AA66" s="231"/>
      <c r="AB66" s="231"/>
      <c r="AC66" s="231"/>
      <c r="AD66" s="231"/>
      <c r="AE66" s="231"/>
      <c r="AF66" s="231"/>
      <c r="AG66" s="231"/>
      <c r="AH66" s="231"/>
      <c r="AI66" s="231"/>
      <c r="AJ66" s="231"/>
      <c r="AK66" s="231"/>
      <c r="AL66" s="231"/>
      <c r="AM66" s="231"/>
      <c r="AN66" s="231"/>
      <c r="AO66" s="231"/>
    </row>
    <row r="67" spans="1:41" s="203" customFormat="1" ht="21" customHeight="1">
      <c r="A67" s="554"/>
      <c r="B67" s="490"/>
      <c r="C67" s="490"/>
      <c r="D67" s="490"/>
      <c r="E67" s="911"/>
      <c r="F67" s="936"/>
      <c r="G67" s="925"/>
      <c r="H67" s="936"/>
      <c r="I67" s="925"/>
      <c r="J67" s="479"/>
      <c r="K67" s="231"/>
      <c r="L67" s="231"/>
      <c r="M67" s="231"/>
      <c r="N67" s="231"/>
      <c r="O67" s="231"/>
      <c r="P67" s="231"/>
      <c r="Q67" s="231"/>
      <c r="R67" s="231"/>
      <c r="S67" s="231"/>
      <c r="T67" s="231"/>
      <c r="U67" s="231"/>
      <c r="V67" s="231"/>
      <c r="W67" s="231"/>
      <c r="X67" s="231"/>
      <c r="Y67" s="231"/>
      <c r="Z67" s="231"/>
      <c r="AA67" s="231"/>
      <c r="AB67" s="231"/>
      <c r="AC67" s="231"/>
      <c r="AD67" s="231"/>
      <c r="AE67" s="231"/>
      <c r="AF67" s="231"/>
      <c r="AG67" s="231"/>
      <c r="AH67" s="231"/>
      <c r="AI67" s="231"/>
      <c r="AJ67" s="231"/>
      <c r="AK67" s="231"/>
      <c r="AL67" s="231"/>
      <c r="AM67" s="231"/>
      <c r="AN67" s="231"/>
      <c r="AO67" s="231"/>
    </row>
    <row r="68" spans="1:41" s="203" customFormat="1">
      <c r="A68" s="555" t="s">
        <v>82</v>
      </c>
      <c r="B68" s="490"/>
      <c r="C68" s="490"/>
      <c r="D68" s="490"/>
      <c r="E68" s="911"/>
      <c r="F68" s="936"/>
      <c r="G68" s="925"/>
      <c r="H68" s="936"/>
      <c r="I68" s="925"/>
      <c r="J68" s="479"/>
      <c r="K68" s="231"/>
      <c r="L68" s="231"/>
      <c r="M68" s="231"/>
      <c r="N68" s="231"/>
      <c r="O68" s="231"/>
      <c r="P68" s="231"/>
      <c r="Q68" s="231"/>
      <c r="R68" s="231"/>
      <c r="S68" s="231"/>
      <c r="T68" s="231"/>
      <c r="U68" s="231"/>
      <c r="V68" s="231"/>
      <c r="W68" s="231"/>
      <c r="X68" s="231"/>
      <c r="Y68" s="231"/>
      <c r="Z68" s="231"/>
      <c r="AA68" s="231"/>
      <c r="AB68" s="231"/>
      <c r="AC68" s="231"/>
      <c r="AD68" s="231"/>
      <c r="AE68" s="231"/>
      <c r="AF68" s="231"/>
      <c r="AG68" s="231"/>
      <c r="AH68" s="231"/>
      <c r="AI68" s="231"/>
      <c r="AJ68" s="231"/>
      <c r="AK68" s="231"/>
      <c r="AL68" s="231"/>
      <c r="AM68" s="231"/>
      <c r="AN68" s="231"/>
      <c r="AO68" s="231"/>
    </row>
    <row r="69" spans="1:41" s="203" customFormat="1">
      <c r="A69" s="555" t="s">
        <v>83</v>
      </c>
      <c r="B69" s="490"/>
      <c r="C69" s="490"/>
      <c r="D69" s="490"/>
      <c r="E69" s="911"/>
      <c r="F69" s="936"/>
      <c r="G69" s="925"/>
      <c r="H69" s="936"/>
      <c r="I69" s="925"/>
      <c r="J69" s="479"/>
      <c r="K69" s="231"/>
      <c r="L69" s="231"/>
      <c r="M69" s="231"/>
      <c r="N69" s="231"/>
      <c r="O69" s="231"/>
      <c r="P69" s="231"/>
      <c r="Q69" s="231"/>
      <c r="R69" s="231"/>
      <c r="S69" s="231"/>
      <c r="T69" s="231"/>
      <c r="U69" s="231"/>
      <c r="V69" s="231"/>
      <c r="W69" s="231"/>
      <c r="X69" s="231"/>
      <c r="Y69" s="231"/>
      <c r="Z69" s="231"/>
      <c r="AA69" s="231"/>
      <c r="AB69" s="231"/>
      <c r="AC69" s="231"/>
      <c r="AD69" s="231"/>
      <c r="AE69" s="231"/>
      <c r="AF69" s="231"/>
      <c r="AG69" s="231"/>
      <c r="AH69" s="231"/>
      <c r="AI69" s="231"/>
      <c r="AJ69" s="231"/>
      <c r="AK69" s="231"/>
      <c r="AL69" s="231"/>
      <c r="AM69" s="231"/>
      <c r="AN69" s="231"/>
      <c r="AO69" s="231"/>
    </row>
    <row r="70" spans="1:41" s="203" customFormat="1">
      <c r="A70" s="556" t="s">
        <v>84</v>
      </c>
      <c r="B70" s="490"/>
      <c r="C70" s="490"/>
      <c r="D70" s="490"/>
      <c r="E70" s="912"/>
      <c r="F70" s="937"/>
      <c r="G70" s="926"/>
      <c r="H70" s="937"/>
      <c r="I70" s="926"/>
      <c r="J70" s="479"/>
      <c r="K70" s="231"/>
      <c r="L70" s="231"/>
      <c r="M70" s="231"/>
      <c r="N70" s="231"/>
      <c r="O70" s="231"/>
      <c r="P70" s="231"/>
      <c r="Q70" s="231"/>
      <c r="R70" s="231"/>
      <c r="S70" s="231"/>
      <c r="T70" s="231"/>
      <c r="U70" s="231"/>
      <c r="V70" s="231"/>
      <c r="W70" s="231"/>
      <c r="X70" s="231"/>
      <c r="Y70" s="231"/>
      <c r="Z70" s="231"/>
      <c r="AA70" s="231"/>
      <c r="AB70" s="231"/>
      <c r="AC70" s="231"/>
      <c r="AD70" s="231"/>
      <c r="AE70" s="231"/>
      <c r="AF70" s="231"/>
      <c r="AG70" s="231"/>
      <c r="AH70" s="231"/>
      <c r="AI70" s="231"/>
      <c r="AJ70" s="231"/>
      <c r="AK70" s="231"/>
      <c r="AL70" s="231"/>
      <c r="AM70" s="231"/>
      <c r="AN70" s="231"/>
      <c r="AO70" s="231"/>
    </row>
    <row r="71" spans="1:41" s="203" customFormat="1">
      <c r="A71" s="557">
        <v>1</v>
      </c>
      <c r="B71" s="490" t="s">
        <v>85</v>
      </c>
      <c r="C71" s="490"/>
      <c r="D71" s="490"/>
      <c r="E71" s="484">
        <v>20607</v>
      </c>
      <c r="F71" s="247">
        <f>18835</f>
        <v>18835</v>
      </c>
      <c r="G71" s="558">
        <v>8362</v>
      </c>
      <c r="H71" s="559">
        <v>31104</v>
      </c>
      <c r="I71" s="558">
        <v>9727</v>
      </c>
      <c r="J71" s="488"/>
      <c r="K71" s="231"/>
      <c r="L71" s="231"/>
      <c r="M71" s="231"/>
      <c r="N71" s="231"/>
      <c r="O71" s="231"/>
      <c r="P71" s="231"/>
      <c r="Q71" s="231"/>
      <c r="R71" s="231"/>
      <c r="S71" s="231"/>
      <c r="T71" s="231"/>
      <c r="U71" s="231"/>
      <c r="V71" s="231"/>
      <c r="W71" s="231"/>
      <c r="X71" s="231"/>
      <c r="Y71" s="231"/>
      <c r="Z71" s="231"/>
      <c r="AA71" s="231"/>
      <c r="AB71" s="231"/>
      <c r="AC71" s="231"/>
      <c r="AD71" s="231"/>
      <c r="AE71" s="231"/>
      <c r="AF71" s="231"/>
      <c r="AG71" s="231"/>
      <c r="AH71" s="231"/>
      <c r="AI71" s="231"/>
      <c r="AJ71" s="231"/>
      <c r="AK71" s="231"/>
      <c r="AL71" s="231"/>
      <c r="AM71" s="231"/>
      <c r="AN71" s="231"/>
      <c r="AO71" s="231"/>
    </row>
    <row r="72" spans="1:41" s="203" customFormat="1">
      <c r="A72" s="557">
        <v>2</v>
      </c>
      <c r="B72" s="490" t="s">
        <v>86</v>
      </c>
      <c r="C72" s="490"/>
      <c r="D72" s="490"/>
      <c r="E72" s="492">
        <v>76923</v>
      </c>
      <c r="F72" s="247">
        <f>72213-1105+2162</f>
        <v>73270</v>
      </c>
      <c r="G72" s="561">
        <v>48509</v>
      </c>
      <c r="H72" s="562">
        <f>74053-1105</f>
        <v>72948</v>
      </c>
      <c r="I72" s="561">
        <v>51174</v>
      </c>
      <c r="J72" s="488"/>
      <c r="K72" s="231"/>
      <c r="L72" s="231"/>
      <c r="M72" s="231"/>
      <c r="N72" s="231"/>
      <c r="O72" s="231"/>
      <c r="P72" s="231"/>
      <c r="Q72" s="231"/>
      <c r="R72" s="231"/>
      <c r="S72" s="231"/>
      <c r="T72" s="231"/>
      <c r="U72" s="231"/>
      <c r="V72" s="231"/>
      <c r="W72" s="231"/>
      <c r="X72" s="231"/>
      <c r="Y72" s="231"/>
      <c r="Z72" s="231"/>
      <c r="AA72" s="231"/>
      <c r="AB72" s="231"/>
      <c r="AC72" s="231"/>
      <c r="AD72" s="231"/>
      <c r="AE72" s="231"/>
      <c r="AF72" s="231"/>
      <c r="AG72" s="231"/>
      <c r="AH72" s="231"/>
      <c r="AI72" s="231"/>
      <c r="AJ72" s="231"/>
      <c r="AK72" s="231"/>
      <c r="AL72" s="231"/>
      <c r="AM72" s="231"/>
      <c r="AN72" s="231"/>
      <c r="AO72" s="231"/>
    </row>
    <row r="73" spans="1:41" s="203" customFormat="1">
      <c r="A73" s="557">
        <v>3</v>
      </c>
      <c r="B73" s="490" t="s">
        <v>87</v>
      </c>
      <c r="C73" s="490"/>
      <c r="D73" s="490"/>
      <c r="E73" s="564">
        <v>62999</v>
      </c>
      <c r="F73" s="247">
        <f>60234-1592+582</f>
        <v>59224</v>
      </c>
      <c r="G73" s="561">
        <v>42797</v>
      </c>
      <c r="H73" s="562">
        <f>61080-1592</f>
        <v>59488</v>
      </c>
      <c r="I73" s="561">
        <v>44927</v>
      </c>
      <c r="J73" s="488"/>
      <c r="K73" s="231"/>
      <c r="L73" s="231"/>
      <c r="M73" s="231"/>
      <c r="N73" s="231"/>
      <c r="O73" s="231"/>
      <c r="P73" s="231"/>
      <c r="Q73" s="231"/>
      <c r="R73" s="231"/>
      <c r="S73" s="231"/>
      <c r="T73" s="231"/>
      <c r="U73" s="231"/>
      <c r="V73" s="231"/>
      <c r="W73" s="231"/>
      <c r="X73" s="231"/>
      <c r="Y73" s="231"/>
      <c r="Z73" s="231"/>
      <c r="AA73" s="231"/>
      <c r="AB73" s="231"/>
      <c r="AC73" s="231"/>
      <c r="AD73" s="231"/>
      <c r="AE73" s="231"/>
      <c r="AF73" s="231"/>
      <c r="AG73" s="231"/>
      <c r="AH73" s="231"/>
      <c r="AI73" s="231"/>
      <c r="AJ73" s="231"/>
      <c r="AK73" s="231"/>
      <c r="AL73" s="231"/>
      <c r="AM73" s="231"/>
      <c r="AN73" s="231"/>
      <c r="AO73" s="231"/>
    </row>
    <row r="74" spans="1:41" s="203" customFormat="1">
      <c r="A74" s="557">
        <v>4</v>
      </c>
      <c r="B74" s="490" t="s">
        <v>88</v>
      </c>
      <c r="C74" s="490"/>
      <c r="D74" s="490"/>
      <c r="E74" s="564">
        <v>18690</v>
      </c>
      <c r="F74" s="247">
        <f>14019+47+4400</f>
        <v>18466</v>
      </c>
      <c r="G74" s="561">
        <v>7218</v>
      </c>
      <c r="H74" s="562">
        <f>14544+4400</f>
        <v>18944</v>
      </c>
      <c r="I74" s="561">
        <v>9206</v>
      </c>
      <c r="J74" s="488"/>
      <c r="K74" s="231"/>
      <c r="L74" s="231"/>
      <c r="M74" s="231"/>
      <c r="N74" s="231"/>
      <c r="O74" s="231"/>
      <c r="P74" s="231"/>
      <c r="Q74" s="231"/>
      <c r="R74" s="231"/>
      <c r="S74" s="231"/>
      <c r="T74" s="231"/>
      <c r="U74" s="231"/>
      <c r="V74" s="231"/>
      <c r="W74" s="231"/>
      <c r="X74" s="231"/>
      <c r="Y74" s="231"/>
      <c r="Z74" s="231"/>
      <c r="AA74" s="231"/>
      <c r="AB74" s="231"/>
      <c r="AC74" s="231"/>
      <c r="AD74" s="231"/>
      <c r="AE74" s="231"/>
      <c r="AF74" s="231"/>
      <c r="AG74" s="231"/>
      <c r="AH74" s="231"/>
      <c r="AI74" s="231"/>
      <c r="AJ74" s="231"/>
      <c r="AK74" s="231"/>
      <c r="AL74" s="231"/>
      <c r="AM74" s="231"/>
      <c r="AN74" s="231"/>
      <c r="AO74" s="231"/>
    </row>
    <row r="75" spans="1:41" s="203" customFormat="1">
      <c r="A75" s="557">
        <v>5</v>
      </c>
      <c r="B75" s="490" t="s">
        <v>89</v>
      </c>
      <c r="C75" s="490" t="s">
        <v>90</v>
      </c>
      <c r="D75" s="490"/>
      <c r="E75" s="564">
        <v>6574</v>
      </c>
      <c r="F75" s="247">
        <f>5846-67</f>
        <v>5779</v>
      </c>
      <c r="G75" s="561">
        <v>0</v>
      </c>
      <c r="H75" s="562">
        <f>5676-67</f>
        <v>5609</v>
      </c>
      <c r="I75" s="561">
        <v>0</v>
      </c>
      <c r="J75" s="488"/>
      <c r="K75" s="231"/>
      <c r="L75" s="231"/>
      <c r="M75" s="231"/>
      <c r="N75" s="231"/>
      <c r="O75" s="231"/>
      <c r="P75" s="231"/>
      <c r="Q75" s="231"/>
      <c r="R75" s="231"/>
      <c r="S75" s="231"/>
      <c r="T75" s="231"/>
      <c r="U75" s="231"/>
      <c r="V75" s="231"/>
      <c r="W75" s="231"/>
      <c r="X75" s="231"/>
      <c r="Y75" s="231"/>
      <c r="Z75" s="231"/>
      <c r="AA75" s="231"/>
      <c r="AB75" s="231"/>
      <c r="AC75" s="231"/>
      <c r="AD75" s="231"/>
      <c r="AE75" s="231"/>
      <c r="AF75" s="231"/>
      <c r="AG75" s="231"/>
      <c r="AH75" s="231"/>
      <c r="AI75" s="231"/>
      <c r="AJ75" s="231"/>
      <c r="AK75" s="231"/>
      <c r="AL75" s="231"/>
      <c r="AM75" s="231"/>
      <c r="AN75" s="231"/>
      <c r="AO75" s="231"/>
    </row>
    <row r="76" spans="1:41" s="203" customFormat="1">
      <c r="A76" s="799"/>
      <c r="B76" s="801"/>
      <c r="C76" s="490" t="s">
        <v>91</v>
      </c>
      <c r="D76" s="490"/>
      <c r="E76" s="564">
        <v>27</v>
      </c>
      <c r="F76" s="247">
        <v>23</v>
      </c>
      <c r="G76" s="565">
        <v>0</v>
      </c>
      <c r="H76" s="566">
        <v>27</v>
      </c>
      <c r="I76" s="565">
        <v>0</v>
      </c>
      <c r="J76" s="488"/>
      <c r="K76" s="231"/>
      <c r="L76" s="231"/>
      <c r="M76" s="231"/>
      <c r="N76" s="231"/>
      <c r="O76" s="231"/>
      <c r="P76" s="231"/>
      <c r="Q76" s="231"/>
      <c r="R76" s="231"/>
      <c r="S76" s="231"/>
      <c r="T76" s="231"/>
      <c r="U76" s="231"/>
      <c r="V76" s="231"/>
      <c r="W76" s="231"/>
      <c r="X76" s="231"/>
      <c r="Y76" s="231"/>
      <c r="Z76" s="231"/>
      <c r="AA76" s="231"/>
      <c r="AB76" s="231"/>
      <c r="AC76" s="231"/>
      <c r="AD76" s="231"/>
      <c r="AE76" s="231"/>
      <c r="AF76" s="231"/>
      <c r="AG76" s="231"/>
      <c r="AH76" s="231"/>
      <c r="AI76" s="231"/>
      <c r="AJ76" s="231"/>
      <c r="AK76" s="231"/>
      <c r="AL76" s="231"/>
      <c r="AM76" s="231"/>
      <c r="AN76" s="231"/>
      <c r="AO76" s="231"/>
    </row>
    <row r="77" spans="1:41" s="203" customFormat="1">
      <c r="A77" s="557">
        <v>6</v>
      </c>
      <c r="B77" s="567" t="s">
        <v>92</v>
      </c>
      <c r="C77" s="567"/>
      <c r="D77" s="490"/>
      <c r="E77" s="522">
        <v>185820</v>
      </c>
      <c r="F77" s="568">
        <f>SUM(F71:F76)</f>
        <v>175597</v>
      </c>
      <c r="G77" s="569">
        <f>SUM(G71:G76)</f>
        <v>106886</v>
      </c>
      <c r="H77" s="570">
        <f>SUM(H71:H76)</f>
        <v>188120</v>
      </c>
      <c r="I77" s="569">
        <f>SUM(I71:I76)</f>
        <v>115034</v>
      </c>
      <c r="J77" s="527"/>
      <c r="K77" s="231"/>
      <c r="L77" s="231"/>
      <c r="M77" s="231"/>
      <c r="N77" s="231"/>
      <c r="O77" s="231"/>
      <c r="P77" s="231"/>
      <c r="Q77" s="231"/>
      <c r="R77" s="231"/>
      <c r="S77" s="231"/>
      <c r="T77" s="231"/>
      <c r="U77" s="231"/>
      <c r="V77" s="231"/>
      <c r="W77" s="231"/>
      <c r="X77" s="231"/>
      <c r="Y77" s="231"/>
      <c r="Z77" s="231"/>
      <c r="AA77" s="231"/>
      <c r="AB77" s="231"/>
      <c r="AC77" s="231"/>
      <c r="AD77" s="231"/>
      <c r="AE77" s="231"/>
      <c r="AF77" s="231"/>
      <c r="AG77" s="231"/>
      <c r="AH77" s="231"/>
      <c r="AI77" s="231"/>
      <c r="AJ77" s="231"/>
      <c r="AK77" s="231"/>
      <c r="AL77" s="231"/>
      <c r="AM77" s="231"/>
      <c r="AN77" s="231"/>
      <c r="AO77" s="231"/>
    </row>
    <row r="78" spans="1:41" s="203" customFormat="1">
      <c r="A78" s="799"/>
      <c r="B78" s="490"/>
      <c r="C78" s="490"/>
      <c r="D78" s="490"/>
      <c r="E78" s="571"/>
      <c r="F78" s="572"/>
      <c r="G78" s="572"/>
      <c r="H78" s="572"/>
      <c r="I78" s="572"/>
      <c r="J78" s="488"/>
      <c r="K78" s="231"/>
      <c r="L78" s="231"/>
      <c r="M78" s="231"/>
      <c r="N78" s="231"/>
      <c r="O78" s="231"/>
      <c r="P78" s="231"/>
      <c r="Q78" s="231"/>
      <c r="R78" s="231"/>
      <c r="S78" s="231"/>
      <c r="T78" s="231"/>
      <c r="U78" s="231"/>
      <c r="V78" s="231"/>
      <c r="W78" s="231"/>
      <c r="X78" s="231"/>
      <c r="Y78" s="231"/>
      <c r="Z78" s="231"/>
      <c r="AA78" s="231"/>
      <c r="AB78" s="231"/>
      <c r="AC78" s="231"/>
      <c r="AD78" s="231"/>
      <c r="AE78" s="231"/>
      <c r="AF78" s="231"/>
      <c r="AG78" s="231"/>
      <c r="AH78" s="231"/>
      <c r="AI78" s="231"/>
      <c r="AJ78" s="231"/>
      <c r="AK78" s="231"/>
      <c r="AL78" s="231"/>
      <c r="AM78" s="231"/>
      <c r="AN78" s="231"/>
      <c r="AO78" s="231"/>
    </row>
    <row r="79" spans="1:41" s="203" customFormat="1">
      <c r="A79" s="573" t="s">
        <v>93</v>
      </c>
      <c r="B79" s="567"/>
      <c r="C79" s="567"/>
      <c r="D79" s="567"/>
      <c r="E79" s="571"/>
      <c r="F79" s="572"/>
      <c r="G79" s="572"/>
      <c r="H79" s="572"/>
      <c r="I79" s="572"/>
      <c r="J79" s="488"/>
      <c r="K79" s="231"/>
      <c r="L79" s="231"/>
      <c r="M79" s="231"/>
      <c r="N79" s="231"/>
      <c r="O79" s="231"/>
      <c r="P79" s="231"/>
      <c r="Q79" s="231"/>
      <c r="R79" s="231"/>
      <c r="S79" s="231"/>
      <c r="T79" s="231"/>
      <c r="U79" s="231"/>
      <c r="V79" s="231"/>
      <c r="W79" s="231"/>
      <c r="X79" s="231"/>
      <c r="Y79" s="231"/>
      <c r="Z79" s="231"/>
      <c r="AA79" s="231"/>
      <c r="AB79" s="231"/>
      <c r="AC79" s="231"/>
      <c r="AD79" s="231"/>
      <c r="AE79" s="231"/>
      <c r="AF79" s="231"/>
      <c r="AG79" s="231"/>
      <c r="AH79" s="231"/>
      <c r="AI79" s="231"/>
      <c r="AJ79" s="231"/>
      <c r="AK79" s="231"/>
      <c r="AL79" s="231"/>
      <c r="AM79" s="231"/>
      <c r="AN79" s="231"/>
      <c r="AO79" s="231"/>
    </row>
    <row r="80" spans="1:41" s="203" customFormat="1">
      <c r="A80" s="799">
        <v>7</v>
      </c>
      <c r="B80" s="490" t="s">
        <v>94</v>
      </c>
      <c r="C80" s="490"/>
      <c r="D80" s="490"/>
      <c r="E80" s="484">
        <v>3934</v>
      </c>
      <c r="F80" s="253">
        <v>2060</v>
      </c>
      <c r="G80" s="558">
        <v>2500</v>
      </c>
      <c r="H80" s="559">
        <v>3272</v>
      </c>
      <c r="I80" s="558">
        <v>1188</v>
      </c>
      <c r="J80" s="488"/>
      <c r="K80" s="231"/>
      <c r="L80" s="231"/>
      <c r="M80" s="231"/>
      <c r="N80" s="231"/>
      <c r="O80" s="231"/>
      <c r="P80" s="231"/>
      <c r="Q80" s="231"/>
      <c r="R80" s="231"/>
      <c r="S80" s="231"/>
      <c r="T80" s="231"/>
      <c r="U80" s="231"/>
      <c r="V80" s="231"/>
      <c r="W80" s="231"/>
      <c r="X80" s="231"/>
      <c r="Y80" s="231"/>
      <c r="Z80" s="231"/>
      <c r="AA80" s="231"/>
      <c r="AB80" s="231"/>
      <c r="AC80" s="231"/>
      <c r="AD80" s="231"/>
      <c r="AE80" s="231"/>
      <c r="AF80" s="231"/>
      <c r="AG80" s="231"/>
      <c r="AH80" s="231"/>
      <c r="AI80" s="231"/>
      <c r="AJ80" s="231"/>
      <c r="AK80" s="231"/>
      <c r="AL80" s="231"/>
      <c r="AM80" s="231"/>
      <c r="AN80" s="231"/>
      <c r="AO80" s="231"/>
    </row>
    <row r="81" spans="1:41" s="203" customFormat="1">
      <c r="A81" s="799">
        <v>8</v>
      </c>
      <c r="B81" s="490" t="s">
        <v>95</v>
      </c>
      <c r="C81" s="490"/>
      <c r="D81" s="490"/>
      <c r="E81" s="492">
        <v>41202</v>
      </c>
      <c r="F81" s="247">
        <v>38921</v>
      </c>
      <c r="G81" s="561">
        <v>41992</v>
      </c>
      <c r="H81" s="562">
        <v>42209</v>
      </c>
      <c r="I81" s="561">
        <v>39816</v>
      </c>
      <c r="J81" s="488"/>
      <c r="K81" s="231"/>
      <c r="L81" s="231"/>
      <c r="M81" s="231"/>
      <c r="N81" s="231"/>
      <c r="O81" s="231"/>
      <c r="P81" s="231"/>
      <c r="Q81" s="231"/>
      <c r="R81" s="231"/>
      <c r="S81" s="231"/>
      <c r="T81" s="231"/>
      <c r="U81" s="231"/>
      <c r="V81" s="231"/>
      <c r="W81" s="231"/>
      <c r="X81" s="231"/>
      <c r="Y81" s="231"/>
      <c r="Z81" s="231"/>
      <c r="AA81" s="231"/>
      <c r="AB81" s="231"/>
      <c r="AC81" s="231"/>
      <c r="AD81" s="231"/>
      <c r="AE81" s="231"/>
      <c r="AF81" s="231"/>
      <c r="AG81" s="231"/>
      <c r="AH81" s="231"/>
      <c r="AI81" s="231"/>
      <c r="AJ81" s="231"/>
      <c r="AK81" s="231"/>
      <c r="AL81" s="231"/>
      <c r="AM81" s="231"/>
      <c r="AN81" s="231"/>
      <c r="AO81" s="231"/>
    </row>
    <row r="82" spans="1:41" s="203" customFormat="1">
      <c r="A82" s="799">
        <v>9</v>
      </c>
      <c r="B82" s="490" t="s">
        <v>96</v>
      </c>
      <c r="C82" s="490"/>
      <c r="D82" s="490"/>
      <c r="E82" s="492">
        <v>35941</v>
      </c>
      <c r="F82" s="247">
        <v>35045</v>
      </c>
      <c r="G82" s="561">
        <v>37086</v>
      </c>
      <c r="H82" s="562">
        <v>37334</v>
      </c>
      <c r="I82" s="561">
        <v>34915</v>
      </c>
      <c r="J82" s="488"/>
      <c r="K82" s="231"/>
      <c r="L82" s="231"/>
      <c r="M82" s="231"/>
      <c r="N82" s="231"/>
      <c r="O82" s="231"/>
      <c r="P82" s="231"/>
      <c r="Q82" s="231"/>
      <c r="R82" s="231"/>
      <c r="S82" s="231"/>
      <c r="T82" s="231"/>
      <c r="U82" s="231"/>
      <c r="V82" s="231"/>
      <c r="W82" s="231"/>
      <c r="X82" s="231"/>
      <c r="Y82" s="231"/>
      <c r="Z82" s="231"/>
      <c r="AA82" s="231"/>
      <c r="AB82" s="231"/>
      <c r="AC82" s="231"/>
      <c r="AD82" s="231"/>
      <c r="AE82" s="231"/>
      <c r="AF82" s="231"/>
      <c r="AG82" s="231"/>
      <c r="AH82" s="231"/>
      <c r="AI82" s="231"/>
      <c r="AJ82" s="231"/>
      <c r="AK82" s="231"/>
      <c r="AL82" s="231"/>
      <c r="AM82" s="231"/>
      <c r="AN82" s="231"/>
      <c r="AO82" s="231"/>
    </row>
    <row r="83" spans="1:41" s="203" customFormat="1">
      <c r="A83" s="799">
        <v>10</v>
      </c>
      <c r="B83" s="517" t="s">
        <v>97</v>
      </c>
      <c r="C83" s="490"/>
      <c r="D83" s="490"/>
      <c r="E83" s="492">
        <v>27896</v>
      </c>
      <c r="F83" s="247">
        <v>26906</v>
      </c>
      <c r="G83" s="561">
        <v>20141</v>
      </c>
      <c r="H83" s="562">
        <v>28569</v>
      </c>
      <c r="I83" s="561">
        <v>21077</v>
      </c>
      <c r="J83" s="488"/>
      <c r="K83" s="231"/>
      <c r="L83" s="231"/>
      <c r="M83" s="231"/>
      <c r="N83" s="231"/>
      <c r="O83" s="231"/>
      <c r="P83" s="231"/>
      <c r="Q83" s="231"/>
      <c r="R83" s="231"/>
      <c r="S83" s="231"/>
      <c r="T83" s="231"/>
      <c r="U83" s="231"/>
      <c r="V83" s="231"/>
      <c r="W83" s="231"/>
      <c r="X83" s="231"/>
      <c r="Y83" s="231"/>
      <c r="Z83" s="231"/>
      <c r="AA83" s="231"/>
      <c r="AB83" s="231"/>
      <c r="AC83" s="231"/>
      <c r="AD83" s="231"/>
      <c r="AE83" s="231"/>
      <c r="AF83" s="231"/>
      <c r="AG83" s="231"/>
      <c r="AH83" s="231"/>
      <c r="AI83" s="231"/>
      <c r="AJ83" s="231"/>
      <c r="AK83" s="231"/>
      <c r="AL83" s="231"/>
      <c r="AM83" s="231"/>
      <c r="AN83" s="231"/>
      <c r="AO83" s="231"/>
    </row>
    <row r="84" spans="1:41" s="203" customFormat="1">
      <c r="A84" s="799">
        <v>11</v>
      </c>
      <c r="B84" s="517" t="s">
        <v>98</v>
      </c>
      <c r="C84" s="490"/>
      <c r="D84" s="490"/>
      <c r="E84" s="492">
        <v>3103</v>
      </c>
      <c r="F84" s="247">
        <f>2699+555</f>
        <v>3254</v>
      </c>
      <c r="G84" s="561">
        <v>0</v>
      </c>
      <c r="H84" s="562">
        <f>2324+555</f>
        <v>2879</v>
      </c>
      <c r="I84" s="561">
        <v>0</v>
      </c>
      <c r="J84" s="488"/>
      <c r="K84" s="231"/>
      <c r="L84" s="231"/>
      <c r="M84" s="231"/>
      <c r="N84" s="231"/>
      <c r="O84" s="231"/>
      <c r="P84" s="231"/>
      <c r="Q84" s="231"/>
      <c r="R84" s="231"/>
      <c r="S84" s="231"/>
      <c r="T84" s="231"/>
      <c r="U84" s="231"/>
      <c r="V84" s="231"/>
      <c r="W84" s="231"/>
      <c r="X84" s="231"/>
      <c r="Y84" s="231"/>
      <c r="Z84" s="231"/>
      <c r="AA84" s="231"/>
      <c r="AB84" s="231"/>
      <c r="AC84" s="231"/>
      <c r="AD84" s="231"/>
      <c r="AE84" s="231"/>
      <c r="AF84" s="231"/>
      <c r="AG84" s="231"/>
      <c r="AH84" s="231"/>
      <c r="AI84" s="231"/>
      <c r="AJ84" s="231"/>
      <c r="AK84" s="231"/>
      <c r="AL84" s="231"/>
      <c r="AM84" s="231"/>
      <c r="AN84" s="231"/>
      <c r="AO84" s="231"/>
    </row>
    <row r="85" spans="1:41" s="203" customFormat="1">
      <c r="A85" s="799">
        <v>12</v>
      </c>
      <c r="B85" s="490" t="s">
        <v>99</v>
      </c>
      <c r="C85" s="490"/>
      <c r="D85" s="490"/>
      <c r="E85" s="492">
        <v>4750</v>
      </c>
      <c r="F85" s="247">
        <v>4316</v>
      </c>
      <c r="G85" s="561">
        <v>0</v>
      </c>
      <c r="H85" s="562">
        <v>4432</v>
      </c>
      <c r="I85" s="561">
        <v>0</v>
      </c>
      <c r="J85" s="488"/>
      <c r="K85" s="231"/>
      <c r="L85" s="231"/>
      <c r="M85" s="231"/>
      <c r="N85" s="231"/>
      <c r="O85" s="231"/>
      <c r="P85" s="231"/>
      <c r="Q85" s="231"/>
      <c r="R85" s="231"/>
      <c r="S85" s="231"/>
      <c r="T85" s="231"/>
      <c r="U85" s="231"/>
      <c r="V85" s="231"/>
      <c r="W85" s="231"/>
      <c r="X85" s="231"/>
      <c r="Y85" s="231"/>
      <c r="Z85" s="231"/>
      <c r="AA85" s="231"/>
      <c r="AB85" s="231"/>
      <c r="AC85" s="231"/>
      <c r="AD85" s="231"/>
      <c r="AE85" s="231"/>
      <c r="AF85" s="231"/>
      <c r="AG85" s="231"/>
      <c r="AH85" s="231"/>
      <c r="AI85" s="231"/>
      <c r="AJ85" s="231"/>
      <c r="AK85" s="231"/>
      <c r="AL85" s="231"/>
      <c r="AM85" s="231"/>
      <c r="AN85" s="231"/>
      <c r="AO85" s="231"/>
    </row>
    <row r="86" spans="1:41" s="203" customFormat="1">
      <c r="A86" s="799">
        <v>13</v>
      </c>
      <c r="B86" s="490" t="s">
        <v>100</v>
      </c>
      <c r="C86" s="490"/>
      <c r="D86" s="490"/>
      <c r="E86" s="492">
        <v>35976</v>
      </c>
      <c r="F86" s="247">
        <v>35840</v>
      </c>
      <c r="G86" s="561">
        <v>24940</v>
      </c>
      <c r="H86" s="562">
        <v>36450</v>
      </c>
      <c r="I86" s="561">
        <v>25430</v>
      </c>
      <c r="J86" s="488"/>
      <c r="K86" s="231"/>
      <c r="L86" s="231"/>
      <c r="M86" s="231"/>
      <c r="N86" s="231"/>
      <c r="O86" s="231"/>
      <c r="P86" s="231"/>
      <c r="Q86" s="231"/>
      <c r="R86" s="231"/>
      <c r="S86" s="231"/>
      <c r="T86" s="231"/>
      <c r="U86" s="231"/>
      <c r="V86" s="231"/>
      <c r="W86" s="231"/>
      <c r="X86" s="231"/>
      <c r="Y86" s="231"/>
      <c r="Z86" s="231"/>
      <c r="AA86" s="231"/>
      <c r="AB86" s="231"/>
      <c r="AC86" s="231"/>
      <c r="AD86" s="231"/>
      <c r="AE86" s="231"/>
      <c r="AF86" s="231"/>
      <c r="AG86" s="231"/>
      <c r="AH86" s="231"/>
      <c r="AI86" s="231"/>
      <c r="AJ86" s="231"/>
      <c r="AK86" s="231"/>
      <c r="AL86" s="231"/>
      <c r="AM86" s="231"/>
      <c r="AN86" s="231"/>
      <c r="AO86" s="231"/>
    </row>
    <row r="87" spans="1:41" s="203" customFormat="1">
      <c r="A87" s="799">
        <v>14</v>
      </c>
      <c r="B87" s="490" t="s">
        <v>101</v>
      </c>
      <c r="C87" s="490"/>
      <c r="D87" s="490"/>
      <c r="E87" s="492">
        <v>320</v>
      </c>
      <c r="F87" s="247">
        <v>296</v>
      </c>
      <c r="G87" s="561">
        <v>0</v>
      </c>
      <c r="H87" s="562">
        <v>372</v>
      </c>
      <c r="I87" s="561">
        <v>0</v>
      </c>
      <c r="J87" s="488"/>
      <c r="K87" s="231"/>
      <c r="L87" s="231"/>
      <c r="M87" s="231"/>
      <c r="N87" s="231"/>
      <c r="O87" s="231"/>
      <c r="P87" s="231"/>
      <c r="Q87" s="231"/>
      <c r="R87" s="231"/>
      <c r="S87" s="231"/>
      <c r="T87" s="231"/>
      <c r="U87" s="231"/>
      <c r="V87" s="231"/>
      <c r="W87" s="231"/>
      <c r="X87" s="231"/>
      <c r="Y87" s="231"/>
      <c r="Z87" s="231"/>
      <c r="AA87" s="231"/>
      <c r="AB87" s="231"/>
      <c r="AC87" s="231"/>
      <c r="AD87" s="231"/>
      <c r="AE87" s="231"/>
      <c r="AF87" s="231"/>
      <c r="AG87" s="231"/>
      <c r="AH87" s="231"/>
      <c r="AI87" s="231"/>
      <c r="AJ87" s="231"/>
      <c r="AK87" s="231"/>
      <c r="AL87" s="231"/>
      <c r="AM87" s="231"/>
      <c r="AN87" s="231"/>
      <c r="AO87" s="231"/>
    </row>
    <row r="88" spans="1:41" s="203" customFormat="1">
      <c r="A88" s="800">
        <v>15</v>
      </c>
      <c r="B88" s="574" t="s">
        <v>102</v>
      </c>
      <c r="C88" s="496"/>
      <c r="D88" s="496"/>
      <c r="E88" s="498">
        <v>0</v>
      </c>
      <c r="F88" s="254">
        <v>0</v>
      </c>
      <c r="G88" s="575">
        <v>0</v>
      </c>
      <c r="H88" s="576">
        <v>0</v>
      </c>
      <c r="I88" s="575">
        <v>0</v>
      </c>
      <c r="J88" s="488"/>
      <c r="K88" s="231"/>
      <c r="L88" s="231"/>
      <c r="M88" s="231"/>
      <c r="N88" s="231"/>
      <c r="O88" s="231"/>
      <c r="P88" s="231"/>
      <c r="Q88" s="231"/>
      <c r="R88" s="231"/>
      <c r="S88" s="231"/>
      <c r="T88" s="231"/>
      <c r="U88" s="231"/>
      <c r="V88" s="231"/>
      <c r="W88" s="231"/>
      <c r="X88" s="231"/>
      <c r="Y88" s="231"/>
      <c r="Z88" s="231"/>
      <c r="AA88" s="231"/>
      <c r="AB88" s="231"/>
      <c r="AC88" s="231"/>
      <c r="AD88" s="231"/>
      <c r="AE88" s="231"/>
      <c r="AF88" s="231"/>
      <c r="AG88" s="231"/>
      <c r="AH88" s="231"/>
      <c r="AI88" s="231"/>
      <c r="AJ88" s="231"/>
      <c r="AK88" s="231"/>
      <c r="AL88" s="231"/>
      <c r="AM88" s="231"/>
      <c r="AN88" s="231"/>
      <c r="AO88" s="231"/>
    </row>
    <row r="89" spans="1:41" s="203" customFormat="1">
      <c r="A89" s="577"/>
      <c r="B89" s="578"/>
      <c r="C89" s="578"/>
      <c r="D89" s="578"/>
      <c r="E89" s="452"/>
      <c r="F89" s="579"/>
      <c r="G89" s="459"/>
      <c r="H89" s="457"/>
      <c r="I89" s="459"/>
      <c r="J89" s="452"/>
      <c r="K89" s="231"/>
      <c r="L89" s="231"/>
      <c r="M89" s="231"/>
      <c r="N89" s="231"/>
      <c r="O89" s="231"/>
      <c r="P89" s="231"/>
      <c r="Q89" s="231"/>
      <c r="R89" s="231"/>
      <c r="S89" s="231"/>
      <c r="T89" s="231"/>
      <c r="U89" s="231"/>
      <c r="V89" s="231"/>
      <c r="W89" s="231"/>
      <c r="X89" s="231"/>
      <c r="Y89" s="231"/>
      <c r="Z89" s="231"/>
      <c r="AA89" s="231"/>
      <c r="AB89" s="231"/>
      <c r="AC89" s="231"/>
      <c r="AD89" s="231"/>
      <c r="AE89" s="231"/>
      <c r="AF89" s="231"/>
      <c r="AG89" s="231"/>
      <c r="AH89" s="231"/>
      <c r="AI89" s="231"/>
      <c r="AJ89" s="231"/>
      <c r="AK89" s="231"/>
      <c r="AL89" s="231"/>
      <c r="AM89" s="231"/>
      <c r="AN89" s="231"/>
      <c r="AO89" s="231"/>
    </row>
    <row r="90" spans="1:41" s="203" customFormat="1">
      <c r="A90" s="577"/>
      <c r="B90" s="578"/>
      <c r="C90" s="578"/>
      <c r="D90" s="578"/>
      <c r="E90" s="549"/>
      <c r="F90" s="579"/>
      <c r="G90" s="459"/>
      <c r="H90" s="550" t="s">
        <v>27</v>
      </c>
      <c r="I90" s="459"/>
      <c r="J90" s="452"/>
      <c r="K90" s="231"/>
      <c r="L90" s="231"/>
      <c r="M90" s="231"/>
      <c r="N90" s="231"/>
      <c r="O90" s="231"/>
      <c r="P90" s="231"/>
      <c r="Q90" s="231"/>
      <c r="R90" s="231"/>
      <c r="S90" s="231"/>
      <c r="T90" s="231"/>
      <c r="U90" s="231"/>
      <c r="V90" s="231"/>
      <c r="W90" s="231"/>
      <c r="X90" s="231"/>
      <c r="Y90" s="231"/>
      <c r="Z90" s="231"/>
      <c r="AA90" s="231"/>
      <c r="AB90" s="231"/>
      <c r="AC90" s="231"/>
      <c r="AD90" s="231"/>
      <c r="AE90" s="231"/>
      <c r="AF90" s="231"/>
      <c r="AG90" s="231"/>
      <c r="AH90" s="231"/>
      <c r="AI90" s="231"/>
      <c r="AJ90" s="231"/>
      <c r="AK90" s="231"/>
      <c r="AL90" s="231"/>
      <c r="AM90" s="231"/>
      <c r="AN90" s="231"/>
      <c r="AO90" s="231"/>
    </row>
    <row r="91" spans="1:41" s="203" customFormat="1">
      <c r="A91" s="552" t="s">
        <v>17</v>
      </c>
      <c r="B91" s="553"/>
      <c r="C91" s="553"/>
      <c r="D91" s="553"/>
      <c r="E91" s="910" t="s">
        <v>421</v>
      </c>
      <c r="F91" s="910" t="s">
        <v>402</v>
      </c>
      <c r="G91" s="580"/>
      <c r="H91" s="910" t="s">
        <v>403</v>
      </c>
      <c r="I91" s="459"/>
      <c r="J91" s="452"/>
      <c r="K91" s="231"/>
      <c r="L91" s="231"/>
      <c r="M91" s="231"/>
      <c r="N91" s="231"/>
      <c r="O91" s="231"/>
      <c r="P91" s="231"/>
      <c r="Q91" s="231"/>
      <c r="R91" s="231"/>
      <c r="S91" s="231"/>
      <c r="T91" s="231"/>
      <c r="U91" s="231"/>
      <c r="V91" s="231"/>
      <c r="W91" s="231"/>
      <c r="X91" s="231"/>
      <c r="Y91" s="231"/>
      <c r="Z91" s="231"/>
      <c r="AA91" s="231"/>
      <c r="AB91" s="231"/>
      <c r="AC91" s="231"/>
      <c r="AD91" s="231"/>
      <c r="AE91" s="231"/>
      <c r="AF91" s="231"/>
      <c r="AG91" s="231"/>
      <c r="AH91" s="231"/>
      <c r="AI91" s="231"/>
      <c r="AJ91" s="231"/>
      <c r="AK91" s="231"/>
      <c r="AL91" s="231"/>
      <c r="AM91" s="231"/>
      <c r="AN91" s="231"/>
      <c r="AO91" s="231"/>
    </row>
    <row r="92" spans="1:41" s="203" customFormat="1" ht="12.75" customHeight="1">
      <c r="A92" s="555"/>
      <c r="B92" s="581"/>
      <c r="C92" s="581"/>
      <c r="D92" s="581"/>
      <c r="E92" s="911"/>
      <c r="F92" s="911"/>
      <c r="G92" s="459"/>
      <c r="H92" s="911"/>
      <c r="I92" s="459"/>
      <c r="J92" s="452"/>
      <c r="K92" s="231"/>
      <c r="L92" s="231"/>
      <c r="M92" s="231"/>
      <c r="N92" s="231"/>
      <c r="O92" s="231"/>
      <c r="P92" s="231"/>
      <c r="Q92" s="231"/>
      <c r="R92" s="231"/>
      <c r="S92" s="231"/>
      <c r="T92" s="231"/>
      <c r="U92" s="231"/>
      <c r="V92" s="231"/>
      <c r="W92" s="231"/>
      <c r="X92" s="231"/>
      <c r="Y92" s="231"/>
      <c r="Z92" s="231"/>
      <c r="AA92" s="231"/>
      <c r="AB92" s="231"/>
      <c r="AC92" s="231"/>
      <c r="AD92" s="231"/>
      <c r="AE92" s="231"/>
      <c r="AF92" s="231"/>
      <c r="AG92" s="231"/>
      <c r="AH92" s="231"/>
      <c r="AI92" s="231"/>
      <c r="AJ92" s="231"/>
      <c r="AK92" s="231"/>
      <c r="AL92" s="231"/>
      <c r="AM92" s="231"/>
      <c r="AN92" s="231"/>
      <c r="AO92" s="231"/>
    </row>
    <row r="93" spans="1:41" s="203" customFormat="1">
      <c r="A93" s="555" t="s">
        <v>103</v>
      </c>
      <c r="B93" s="581"/>
      <c r="C93" s="581"/>
      <c r="D93" s="581"/>
      <c r="E93" s="911"/>
      <c r="F93" s="911"/>
      <c r="G93" s="459"/>
      <c r="H93" s="911"/>
      <c r="I93" s="459"/>
      <c r="J93" s="452"/>
      <c r="K93" s="231"/>
      <c r="L93" s="231"/>
      <c r="M93" s="231"/>
      <c r="N93" s="231"/>
      <c r="O93" s="231"/>
      <c r="P93" s="231"/>
      <c r="Q93" s="231"/>
      <c r="R93" s="231"/>
      <c r="S93" s="231"/>
      <c r="T93" s="231"/>
      <c r="U93" s="231"/>
      <c r="V93" s="231"/>
      <c r="W93" s="231"/>
      <c r="X93" s="231"/>
      <c r="Y93" s="231"/>
      <c r="Z93" s="231"/>
      <c r="AA93" s="231"/>
      <c r="AB93" s="231"/>
      <c r="AC93" s="231"/>
      <c r="AD93" s="231"/>
      <c r="AE93" s="231"/>
      <c r="AF93" s="231"/>
      <c r="AG93" s="231"/>
      <c r="AH93" s="231"/>
      <c r="AI93" s="231"/>
      <c r="AJ93" s="231"/>
      <c r="AK93" s="231"/>
      <c r="AL93" s="231"/>
      <c r="AM93" s="231"/>
      <c r="AN93" s="231"/>
      <c r="AO93" s="231"/>
    </row>
    <row r="94" spans="1:41" s="203" customFormat="1">
      <c r="A94" s="555" t="s">
        <v>83</v>
      </c>
      <c r="B94" s="581"/>
      <c r="C94" s="581"/>
      <c r="D94" s="581"/>
      <c r="E94" s="911"/>
      <c r="F94" s="911"/>
      <c r="G94" s="579"/>
      <c r="H94" s="911"/>
      <c r="I94" s="459"/>
      <c r="J94" s="452"/>
      <c r="K94" s="231"/>
      <c r="L94" s="231"/>
      <c r="M94" s="231"/>
      <c r="N94" s="231"/>
      <c r="O94" s="231"/>
      <c r="P94" s="231"/>
      <c r="Q94" s="231"/>
      <c r="R94" s="231"/>
      <c r="S94" s="231"/>
      <c r="T94" s="231"/>
      <c r="U94" s="231"/>
      <c r="V94" s="231"/>
      <c r="W94" s="231"/>
      <c r="X94" s="231"/>
      <c r="Y94" s="231"/>
      <c r="Z94" s="231"/>
      <c r="AA94" s="231"/>
      <c r="AB94" s="231"/>
      <c r="AC94" s="231"/>
      <c r="AD94" s="231"/>
      <c r="AE94" s="231"/>
      <c r="AF94" s="231"/>
      <c r="AG94" s="231"/>
      <c r="AH94" s="231"/>
      <c r="AI94" s="231"/>
      <c r="AJ94" s="231"/>
      <c r="AK94" s="231"/>
      <c r="AL94" s="231"/>
      <c r="AM94" s="231"/>
      <c r="AN94" s="231"/>
      <c r="AO94" s="231"/>
    </row>
    <row r="95" spans="1:41" s="203" customFormat="1">
      <c r="A95" s="556" t="s">
        <v>84</v>
      </c>
      <c r="B95" s="581"/>
      <c r="C95" s="581"/>
      <c r="D95" s="581"/>
      <c r="E95" s="912"/>
      <c r="F95" s="912"/>
      <c r="G95" s="579"/>
      <c r="H95" s="912"/>
      <c r="I95" s="579"/>
      <c r="J95" s="477"/>
      <c r="K95" s="231"/>
      <c r="L95" s="231"/>
      <c r="M95" s="231"/>
      <c r="N95" s="231"/>
      <c r="O95" s="231"/>
      <c r="P95" s="231"/>
      <c r="Q95" s="231"/>
      <c r="R95" s="231"/>
      <c r="S95" s="231"/>
      <c r="T95" s="231"/>
      <c r="U95" s="231"/>
      <c r="V95" s="231"/>
      <c r="W95" s="231"/>
      <c r="X95" s="231"/>
      <c r="Y95" s="231"/>
      <c r="Z95" s="231"/>
      <c r="AA95" s="231"/>
      <c r="AB95" s="231"/>
      <c r="AC95" s="231"/>
      <c r="AD95" s="231"/>
      <c r="AE95" s="231"/>
      <c r="AF95" s="231"/>
      <c r="AG95" s="231"/>
      <c r="AH95" s="231"/>
      <c r="AI95" s="231"/>
      <c r="AJ95" s="231"/>
      <c r="AK95" s="231"/>
      <c r="AL95" s="231"/>
      <c r="AM95" s="231"/>
      <c r="AN95" s="231"/>
      <c r="AO95" s="231"/>
    </row>
    <row r="96" spans="1:41" s="203" customFormat="1">
      <c r="A96" s="799">
        <v>1</v>
      </c>
      <c r="B96" s="490" t="s">
        <v>104</v>
      </c>
      <c r="C96" s="490"/>
      <c r="D96" s="490"/>
      <c r="E96" s="484">
        <v>574</v>
      </c>
      <c r="F96" s="52">
        <v>739</v>
      </c>
      <c r="G96" s="572"/>
      <c r="H96" s="560">
        <v>797</v>
      </c>
      <c r="I96" s="582"/>
      <c r="J96" s="583"/>
      <c r="K96" s="231"/>
      <c r="L96" s="231"/>
      <c r="M96" s="231"/>
      <c r="N96" s="231"/>
      <c r="O96" s="231"/>
      <c r="P96" s="231"/>
      <c r="Q96" s="231"/>
      <c r="R96" s="231"/>
      <c r="S96" s="231"/>
      <c r="T96" s="231"/>
      <c r="U96" s="231"/>
      <c r="V96" s="231"/>
      <c r="W96" s="231"/>
      <c r="X96" s="231"/>
      <c r="Y96" s="231"/>
      <c r="Z96" s="231"/>
      <c r="AA96" s="231"/>
      <c r="AB96" s="231"/>
      <c r="AC96" s="231"/>
      <c r="AD96" s="231"/>
      <c r="AE96" s="231"/>
      <c r="AF96" s="231"/>
      <c r="AG96" s="231"/>
      <c r="AH96" s="231"/>
      <c r="AI96" s="231"/>
      <c r="AJ96" s="231"/>
      <c r="AK96" s="231"/>
      <c r="AL96" s="231"/>
      <c r="AM96" s="231"/>
      <c r="AN96" s="231"/>
      <c r="AO96" s="231"/>
    </row>
    <row r="97" spans="1:41" s="203" customFormat="1">
      <c r="A97" s="799">
        <v>2</v>
      </c>
      <c r="B97" s="490" t="s">
        <v>105</v>
      </c>
      <c r="C97" s="490"/>
      <c r="D97" s="490"/>
      <c r="E97" s="492">
        <v>60</v>
      </c>
      <c r="F97" s="52">
        <v>64</v>
      </c>
      <c r="G97" s="572"/>
      <c r="H97" s="563">
        <v>59</v>
      </c>
      <c r="I97" s="582"/>
      <c r="J97" s="583"/>
      <c r="K97" s="231"/>
      <c r="L97" s="231"/>
      <c r="M97" s="231"/>
      <c r="N97" s="231"/>
      <c r="O97" s="231"/>
      <c r="P97" s="231"/>
      <c r="Q97" s="231"/>
      <c r="R97" s="231"/>
      <c r="S97" s="231"/>
      <c r="T97" s="231"/>
      <c r="U97" s="231"/>
      <c r="V97" s="231"/>
      <c r="W97" s="231"/>
      <c r="X97" s="231"/>
      <c r="Y97" s="231"/>
      <c r="Z97" s="231"/>
      <c r="AA97" s="231"/>
      <c r="AB97" s="231"/>
      <c r="AC97" s="231"/>
      <c r="AD97" s="231"/>
      <c r="AE97" s="231"/>
      <c r="AF97" s="231"/>
      <c r="AG97" s="231"/>
      <c r="AH97" s="231"/>
      <c r="AI97" s="231"/>
      <c r="AJ97" s="231"/>
      <c r="AK97" s="231"/>
      <c r="AL97" s="231"/>
      <c r="AM97" s="231"/>
      <c r="AN97" s="231"/>
      <c r="AO97" s="231"/>
    </row>
    <row r="98" spans="1:41" s="203" customFormat="1">
      <c r="A98" s="799">
        <v>3</v>
      </c>
      <c r="B98" s="490" t="s">
        <v>106</v>
      </c>
      <c r="C98" s="490"/>
      <c r="D98" s="490"/>
      <c r="E98" s="564">
        <v>43266</v>
      </c>
      <c r="F98" s="493">
        <f>F115</f>
        <v>47872</v>
      </c>
      <c r="G98" s="572"/>
      <c r="H98" s="493">
        <f>H115</f>
        <v>45739</v>
      </c>
      <c r="I98" s="582"/>
      <c r="J98" s="583"/>
      <c r="K98" s="231"/>
      <c r="L98" s="231"/>
      <c r="M98" s="231"/>
      <c r="N98" s="231"/>
      <c r="O98" s="231"/>
      <c r="P98" s="231"/>
      <c r="Q98" s="231"/>
      <c r="R98" s="231"/>
      <c r="S98" s="231"/>
      <c r="T98" s="231"/>
      <c r="U98" s="231"/>
      <c r="V98" s="231"/>
      <c r="W98" s="231"/>
      <c r="X98" s="231"/>
      <c r="Y98" s="231"/>
      <c r="Z98" s="231"/>
      <c r="AA98" s="231"/>
      <c r="AB98" s="231"/>
      <c r="AC98" s="231"/>
      <c r="AD98" s="231"/>
      <c r="AE98" s="231"/>
      <c r="AF98" s="231"/>
      <c r="AG98" s="231"/>
      <c r="AH98" s="231"/>
      <c r="AI98" s="231"/>
      <c r="AJ98" s="231"/>
      <c r="AK98" s="231"/>
      <c r="AL98" s="231"/>
      <c r="AM98" s="231"/>
      <c r="AN98" s="231"/>
      <c r="AO98" s="231"/>
    </row>
    <row r="99" spans="1:41" s="203" customFormat="1">
      <c r="A99" s="799">
        <v>4</v>
      </c>
      <c r="B99" s="490" t="s">
        <v>107</v>
      </c>
      <c r="C99" s="490"/>
      <c r="D99" s="490"/>
      <c r="E99" s="564">
        <v>55007</v>
      </c>
      <c r="F99" s="493">
        <f>F125</f>
        <v>55618</v>
      </c>
      <c r="G99" s="572"/>
      <c r="H99" s="493">
        <f>H125</f>
        <v>56804</v>
      </c>
      <c r="I99" s="582"/>
      <c r="J99" s="583"/>
      <c r="K99" s="231"/>
      <c r="L99" s="231"/>
      <c r="M99" s="231"/>
      <c r="N99" s="231"/>
      <c r="O99" s="231"/>
      <c r="P99" s="231"/>
      <c r="Q99" s="231"/>
      <c r="R99" s="231"/>
      <c r="S99" s="231"/>
      <c r="T99" s="231"/>
      <c r="U99" s="231"/>
      <c r="V99" s="231"/>
      <c r="W99" s="231"/>
      <c r="X99" s="231"/>
      <c r="Y99" s="231"/>
      <c r="Z99" s="231"/>
      <c r="AA99" s="231"/>
      <c r="AB99" s="231"/>
      <c r="AC99" s="231"/>
      <c r="AD99" s="231"/>
      <c r="AE99" s="231"/>
      <c r="AF99" s="231"/>
      <c r="AG99" s="231"/>
      <c r="AH99" s="231"/>
      <c r="AI99" s="231"/>
      <c r="AJ99" s="231"/>
      <c r="AK99" s="231"/>
      <c r="AL99" s="231"/>
      <c r="AM99" s="231"/>
      <c r="AN99" s="231"/>
      <c r="AO99" s="231"/>
    </row>
    <row r="100" spans="1:41" s="203" customFormat="1">
      <c r="A100" s="799">
        <v>5</v>
      </c>
      <c r="B100" s="490" t="s">
        <v>108</v>
      </c>
      <c r="C100" s="490"/>
      <c r="D100" s="490"/>
      <c r="E100" s="564">
        <v>6764</v>
      </c>
      <c r="F100" s="493">
        <f>F135</f>
        <v>6216</v>
      </c>
      <c r="G100" s="572"/>
      <c r="H100" s="493">
        <f>H135</f>
        <v>6572</v>
      </c>
      <c r="I100" s="582"/>
      <c r="J100" s="583"/>
      <c r="K100" s="231"/>
      <c r="L100" s="231"/>
      <c r="M100" s="231"/>
      <c r="N100" s="231"/>
      <c r="O100" s="231"/>
      <c r="P100" s="231"/>
      <c r="Q100" s="231"/>
      <c r="R100" s="231"/>
      <c r="S100" s="231"/>
      <c r="T100" s="231"/>
      <c r="U100" s="231"/>
      <c r="V100" s="231"/>
      <c r="W100" s="231"/>
      <c r="X100" s="231"/>
      <c r="Y100" s="231"/>
      <c r="Z100" s="231"/>
      <c r="AA100" s="231"/>
      <c r="AB100" s="231"/>
      <c r="AC100" s="231"/>
      <c r="AD100" s="231"/>
      <c r="AE100" s="231"/>
      <c r="AF100" s="231"/>
      <c r="AG100" s="231"/>
      <c r="AH100" s="231"/>
      <c r="AI100" s="231"/>
      <c r="AJ100" s="231"/>
      <c r="AK100" s="231"/>
      <c r="AL100" s="231"/>
      <c r="AM100" s="231"/>
      <c r="AN100" s="231"/>
      <c r="AO100" s="231"/>
    </row>
    <row r="101" spans="1:41" s="203" customFormat="1">
      <c r="A101" s="799">
        <v>6</v>
      </c>
      <c r="B101" s="490" t="s">
        <v>109</v>
      </c>
      <c r="C101" s="490"/>
      <c r="D101" s="490"/>
      <c r="E101" s="564">
        <v>21718</v>
      </c>
      <c r="F101" s="493">
        <f>F143</f>
        <v>22091</v>
      </c>
      <c r="G101" s="572"/>
      <c r="H101" s="493">
        <f>H143</f>
        <v>21178</v>
      </c>
      <c r="I101" s="582"/>
      <c r="J101" s="583"/>
      <c r="K101" s="231"/>
      <c r="L101" s="231"/>
      <c r="M101" s="231"/>
      <c r="N101" s="231"/>
      <c r="O101" s="231"/>
      <c r="P101" s="231"/>
      <c r="Q101" s="231"/>
      <c r="R101" s="231"/>
      <c r="S101" s="231"/>
      <c r="T101" s="231"/>
      <c r="U101" s="231"/>
      <c r="V101" s="231"/>
      <c r="W101" s="231"/>
      <c r="X101" s="231"/>
      <c r="Y101" s="231"/>
      <c r="Z101" s="231"/>
      <c r="AA101" s="231"/>
      <c r="AB101" s="231"/>
      <c r="AC101" s="231"/>
      <c r="AD101" s="231"/>
      <c r="AE101" s="231"/>
      <c r="AF101" s="231"/>
      <c r="AG101" s="231"/>
      <c r="AH101" s="231"/>
      <c r="AI101" s="231"/>
      <c r="AJ101" s="231"/>
      <c r="AK101" s="231"/>
      <c r="AL101" s="231"/>
      <c r="AM101" s="231"/>
      <c r="AN101" s="231"/>
      <c r="AO101" s="231"/>
    </row>
    <row r="102" spans="1:41" s="203" customFormat="1">
      <c r="A102" s="799">
        <v>7</v>
      </c>
      <c r="B102" s="490" t="s">
        <v>110</v>
      </c>
      <c r="C102" s="490"/>
      <c r="D102" s="490"/>
      <c r="E102" s="564">
        <v>4116</v>
      </c>
      <c r="F102" s="493">
        <f>F150</f>
        <v>5102</v>
      </c>
      <c r="G102" s="572"/>
      <c r="H102" s="493">
        <f>H150</f>
        <v>4880</v>
      </c>
      <c r="I102" s="582"/>
      <c r="J102" s="583"/>
      <c r="K102" s="231"/>
      <c r="L102" s="231"/>
      <c r="M102" s="231"/>
      <c r="N102" s="231"/>
      <c r="O102" s="231"/>
      <c r="P102" s="231"/>
      <c r="Q102" s="231"/>
      <c r="R102" s="231"/>
      <c r="S102" s="231"/>
      <c r="T102" s="231"/>
      <c r="U102" s="231"/>
      <c r="V102" s="231"/>
      <c r="W102" s="231"/>
      <c r="X102" s="231"/>
      <c r="Y102" s="231"/>
      <c r="Z102" s="231"/>
      <c r="AA102" s="231"/>
      <c r="AB102" s="231"/>
      <c r="AC102" s="231"/>
      <c r="AD102" s="231"/>
      <c r="AE102" s="231"/>
      <c r="AF102" s="231"/>
      <c r="AG102" s="231"/>
      <c r="AH102" s="231"/>
      <c r="AI102" s="231"/>
      <c r="AJ102" s="231"/>
      <c r="AK102" s="231"/>
      <c r="AL102" s="231"/>
      <c r="AM102" s="231"/>
      <c r="AN102" s="231"/>
      <c r="AO102" s="231"/>
    </row>
    <row r="103" spans="1:41" s="203" customFormat="1">
      <c r="A103" s="799">
        <v>8</v>
      </c>
      <c r="B103" s="490" t="s">
        <v>111</v>
      </c>
      <c r="C103" s="490"/>
      <c r="D103" s="490"/>
      <c r="E103" s="564">
        <v>2069</v>
      </c>
      <c r="F103" s="52">
        <v>2503</v>
      </c>
      <c r="G103" s="572"/>
      <c r="H103" s="563">
        <v>2394</v>
      </c>
      <c r="I103" s="582"/>
      <c r="J103" s="583"/>
      <c r="K103" s="231"/>
      <c r="L103" s="231"/>
      <c r="M103" s="231"/>
      <c r="N103" s="231"/>
      <c r="O103" s="231"/>
      <c r="P103" s="231"/>
      <c r="Q103" s="231"/>
      <c r="R103" s="231"/>
      <c r="S103" s="231"/>
      <c r="T103" s="231"/>
      <c r="U103" s="231"/>
      <c r="V103" s="231"/>
      <c r="W103" s="231"/>
      <c r="X103" s="231"/>
      <c r="Y103" s="231"/>
      <c r="Z103" s="231"/>
      <c r="AA103" s="231"/>
      <c r="AB103" s="231"/>
      <c r="AC103" s="231"/>
      <c r="AD103" s="231"/>
      <c r="AE103" s="231"/>
      <c r="AF103" s="231"/>
      <c r="AG103" s="231"/>
      <c r="AH103" s="231"/>
      <c r="AI103" s="231"/>
      <c r="AJ103" s="231"/>
      <c r="AK103" s="231"/>
      <c r="AL103" s="231"/>
      <c r="AM103" s="231"/>
      <c r="AN103" s="231"/>
      <c r="AO103" s="231"/>
    </row>
    <row r="104" spans="1:41" s="203" customFormat="1">
      <c r="A104" s="799">
        <v>9</v>
      </c>
      <c r="B104" s="490" t="s">
        <v>112</v>
      </c>
      <c r="C104" s="490"/>
      <c r="D104" s="490"/>
      <c r="E104" s="564">
        <v>4047</v>
      </c>
      <c r="F104" s="52">
        <v>4449</v>
      </c>
      <c r="G104" s="572"/>
      <c r="H104" s="563">
        <v>4281</v>
      </c>
      <c r="I104" s="582"/>
      <c r="J104" s="583"/>
      <c r="K104" s="231"/>
      <c r="L104" s="231"/>
      <c r="M104" s="231"/>
      <c r="N104" s="231"/>
      <c r="O104" s="231"/>
      <c r="P104" s="231"/>
      <c r="Q104" s="231"/>
      <c r="R104" s="231"/>
      <c r="S104" s="231"/>
      <c r="T104" s="231"/>
      <c r="U104" s="231"/>
      <c r="V104" s="231"/>
      <c r="W104" s="231"/>
      <c r="X104" s="231"/>
      <c r="Y104" s="231"/>
      <c r="Z104" s="231"/>
      <c r="AA104" s="231"/>
      <c r="AB104" s="231"/>
      <c r="AC104" s="231"/>
      <c r="AD104" s="231"/>
      <c r="AE104" s="231"/>
      <c r="AF104" s="231"/>
      <c r="AG104" s="231"/>
      <c r="AH104" s="231"/>
      <c r="AI104" s="231"/>
      <c r="AJ104" s="231"/>
      <c r="AK104" s="231"/>
      <c r="AL104" s="231"/>
      <c r="AM104" s="231"/>
      <c r="AN104" s="231"/>
      <c r="AO104" s="231"/>
    </row>
    <row r="105" spans="1:41" s="203" customFormat="1">
      <c r="A105" s="557" t="s">
        <v>113</v>
      </c>
      <c r="B105" s="567" t="s">
        <v>114</v>
      </c>
      <c r="C105" s="567"/>
      <c r="D105" s="490"/>
      <c r="E105" s="584">
        <v>137621</v>
      </c>
      <c r="F105" s="503">
        <f>SUM(F96:F104)</f>
        <v>144654</v>
      </c>
      <c r="G105" s="572"/>
      <c r="H105" s="503">
        <f>SUM(H96:H104)</f>
        <v>142704</v>
      </c>
      <c r="I105" s="582"/>
      <c r="J105" s="583"/>
      <c r="K105" s="231"/>
      <c r="L105" s="231"/>
      <c r="M105" s="231"/>
      <c r="N105" s="231"/>
      <c r="O105" s="231"/>
      <c r="P105" s="231"/>
      <c r="Q105" s="231"/>
      <c r="R105" s="231"/>
      <c r="S105" s="231"/>
      <c r="T105" s="231"/>
      <c r="U105" s="231"/>
      <c r="V105" s="231"/>
      <c r="W105" s="231"/>
      <c r="X105" s="231"/>
      <c r="Y105" s="231"/>
      <c r="Z105" s="231"/>
      <c r="AA105" s="231"/>
      <c r="AB105" s="231"/>
      <c r="AC105" s="231"/>
      <c r="AD105" s="231"/>
      <c r="AE105" s="231"/>
      <c r="AF105" s="231"/>
      <c r="AG105" s="231"/>
      <c r="AH105" s="231"/>
      <c r="AI105" s="231"/>
      <c r="AJ105" s="231"/>
      <c r="AK105" s="231"/>
      <c r="AL105" s="231"/>
      <c r="AM105" s="231"/>
      <c r="AN105" s="231"/>
      <c r="AO105" s="231"/>
    </row>
    <row r="106" spans="1:41" s="203" customFormat="1">
      <c r="A106" s="799">
        <v>11</v>
      </c>
      <c r="B106" s="517" t="s">
        <v>115</v>
      </c>
      <c r="C106" s="490"/>
      <c r="D106" s="490"/>
      <c r="E106" s="585">
        <v>0</v>
      </c>
      <c r="F106" s="136">
        <v>174</v>
      </c>
      <c r="G106" s="572"/>
      <c r="H106" s="586">
        <v>163</v>
      </c>
      <c r="I106" s="582"/>
      <c r="J106" s="583"/>
      <c r="K106" s="231"/>
      <c r="L106" s="231"/>
      <c r="M106" s="231"/>
      <c r="N106" s="231"/>
      <c r="O106" s="231"/>
      <c r="P106" s="231"/>
      <c r="Q106" s="231"/>
      <c r="R106" s="231"/>
      <c r="S106" s="231"/>
      <c r="T106" s="231"/>
      <c r="U106" s="231"/>
      <c r="V106" s="231"/>
      <c r="W106" s="231"/>
      <c r="X106" s="231"/>
      <c r="Y106" s="231"/>
      <c r="Z106" s="231"/>
      <c r="AA106" s="231"/>
      <c r="AB106" s="231"/>
      <c r="AC106" s="231"/>
      <c r="AD106" s="231"/>
      <c r="AE106" s="231"/>
      <c r="AF106" s="231"/>
      <c r="AG106" s="231"/>
      <c r="AH106" s="231"/>
      <c r="AI106" s="231"/>
      <c r="AJ106" s="231"/>
      <c r="AK106" s="231"/>
      <c r="AL106" s="231"/>
      <c r="AM106" s="231"/>
      <c r="AN106" s="231"/>
      <c r="AO106" s="231"/>
    </row>
    <row r="107" spans="1:41" s="203" customFormat="1">
      <c r="A107" s="557"/>
      <c r="B107" s="490"/>
      <c r="C107" s="490"/>
      <c r="D107" s="587"/>
      <c r="E107" s="571"/>
      <c r="F107" s="582"/>
      <c r="G107" s="582"/>
      <c r="H107" s="582"/>
      <c r="I107" s="582"/>
      <c r="J107" s="583"/>
      <c r="K107" s="231"/>
      <c r="L107" s="231"/>
      <c r="M107" s="231"/>
      <c r="N107" s="231"/>
      <c r="O107" s="231"/>
      <c r="P107" s="231"/>
      <c r="Q107" s="231"/>
      <c r="R107" s="231"/>
      <c r="S107" s="231"/>
      <c r="T107" s="231"/>
      <c r="U107" s="231"/>
      <c r="V107" s="231"/>
      <c r="W107" s="231"/>
      <c r="X107" s="231"/>
      <c r="Y107" s="231"/>
      <c r="Z107" s="231"/>
      <c r="AA107" s="231"/>
      <c r="AB107" s="231"/>
      <c r="AC107" s="231"/>
      <c r="AD107" s="231"/>
      <c r="AE107" s="231"/>
      <c r="AF107" s="231"/>
      <c r="AG107" s="231"/>
      <c r="AH107" s="231"/>
      <c r="AI107" s="231"/>
      <c r="AJ107" s="231"/>
      <c r="AK107" s="231"/>
      <c r="AL107" s="231"/>
      <c r="AM107" s="231"/>
      <c r="AN107" s="231"/>
      <c r="AO107" s="231"/>
    </row>
    <row r="108" spans="1:41" s="203" customFormat="1">
      <c r="A108" s="573" t="s">
        <v>116</v>
      </c>
      <c r="B108" s="490"/>
      <c r="C108" s="490"/>
      <c r="D108" s="490"/>
      <c r="E108" s="571"/>
      <c r="F108" s="582"/>
      <c r="G108" s="582"/>
      <c r="H108" s="582"/>
      <c r="I108" s="582"/>
      <c r="J108" s="583"/>
      <c r="K108" s="231"/>
      <c r="L108" s="231"/>
      <c r="M108" s="231"/>
      <c r="N108" s="231"/>
      <c r="O108" s="231"/>
      <c r="P108" s="231"/>
      <c r="Q108" s="231"/>
      <c r="R108" s="231"/>
      <c r="S108" s="231"/>
      <c r="T108" s="231"/>
      <c r="U108" s="231"/>
      <c r="V108" s="231"/>
      <c r="W108" s="231"/>
      <c r="X108" s="231"/>
      <c r="Y108" s="231"/>
      <c r="Z108" s="231"/>
      <c r="AA108" s="231"/>
      <c r="AB108" s="231"/>
      <c r="AC108" s="231"/>
      <c r="AD108" s="231"/>
      <c r="AE108" s="231"/>
      <c r="AF108" s="231"/>
      <c r="AG108" s="231"/>
      <c r="AH108" s="231"/>
      <c r="AI108" s="231"/>
      <c r="AJ108" s="231"/>
      <c r="AK108" s="231"/>
      <c r="AL108" s="231"/>
      <c r="AM108" s="231"/>
      <c r="AN108" s="231"/>
      <c r="AO108" s="231"/>
    </row>
    <row r="109" spans="1:41" s="203" customFormat="1">
      <c r="A109" s="573" t="s">
        <v>106</v>
      </c>
      <c r="B109" s="490"/>
      <c r="C109" s="490"/>
      <c r="D109" s="490"/>
      <c r="E109" s="588"/>
      <c r="F109" s="589"/>
      <c r="G109" s="582"/>
      <c r="H109" s="589"/>
      <c r="I109" s="582"/>
      <c r="J109" s="583"/>
      <c r="K109" s="231"/>
      <c r="L109" s="231"/>
      <c r="M109" s="231"/>
      <c r="N109" s="231"/>
      <c r="O109" s="231"/>
      <c r="P109" s="231"/>
      <c r="Q109" s="231"/>
      <c r="R109" s="231"/>
      <c r="S109" s="231"/>
      <c r="T109" s="231"/>
      <c r="U109" s="231"/>
      <c r="V109" s="231"/>
      <c r="W109" s="231"/>
      <c r="X109" s="231"/>
      <c r="Y109" s="231"/>
      <c r="Z109" s="231"/>
      <c r="AA109" s="231"/>
      <c r="AB109" s="231"/>
      <c r="AC109" s="231"/>
      <c r="AD109" s="231"/>
      <c r="AE109" s="231"/>
      <c r="AF109" s="231"/>
      <c r="AG109" s="231"/>
      <c r="AH109" s="231"/>
      <c r="AI109" s="231"/>
      <c r="AJ109" s="231"/>
      <c r="AK109" s="231"/>
      <c r="AL109" s="231"/>
      <c r="AM109" s="231"/>
      <c r="AN109" s="231"/>
      <c r="AO109" s="231"/>
    </row>
    <row r="110" spans="1:41" s="203" customFormat="1">
      <c r="A110" s="799">
        <v>12</v>
      </c>
      <c r="B110" s="490" t="s">
        <v>117</v>
      </c>
      <c r="C110" s="490"/>
      <c r="D110" s="490"/>
      <c r="E110" s="492">
        <v>15486</v>
      </c>
      <c r="F110" s="52">
        <v>15142</v>
      </c>
      <c r="G110" s="572"/>
      <c r="H110" s="563">
        <v>15233</v>
      </c>
      <c r="I110" s="582"/>
      <c r="J110" s="583"/>
      <c r="K110" s="231"/>
      <c r="L110" s="231"/>
      <c r="M110" s="231"/>
      <c r="N110" s="231"/>
      <c r="O110" s="231"/>
      <c r="P110" s="231"/>
      <c r="Q110" s="231"/>
      <c r="R110" s="231"/>
      <c r="S110" s="231"/>
      <c r="T110" s="231"/>
      <c r="U110" s="231"/>
      <c r="V110" s="231"/>
      <c r="W110" s="231"/>
      <c r="X110" s="231"/>
      <c r="Y110" s="231"/>
      <c r="Z110" s="231"/>
      <c r="AA110" s="231"/>
      <c r="AB110" s="231"/>
      <c r="AC110" s="231"/>
      <c r="AD110" s="231"/>
      <c r="AE110" s="231"/>
      <c r="AF110" s="231"/>
      <c r="AG110" s="231"/>
      <c r="AH110" s="231"/>
      <c r="AI110" s="231"/>
      <c r="AJ110" s="231"/>
      <c r="AK110" s="231"/>
      <c r="AL110" s="231"/>
      <c r="AM110" s="231"/>
      <c r="AN110" s="231"/>
      <c r="AO110" s="231"/>
    </row>
    <row r="111" spans="1:41" s="203" customFormat="1">
      <c r="A111" s="799">
        <v>13</v>
      </c>
      <c r="B111" s="490" t="s">
        <v>118</v>
      </c>
      <c r="C111" s="490"/>
      <c r="D111" s="490"/>
      <c r="E111" s="492">
        <v>11803</v>
      </c>
      <c r="F111" s="52">
        <v>15593</v>
      </c>
      <c r="G111" s="572"/>
      <c r="H111" s="563">
        <v>14391</v>
      </c>
      <c r="I111" s="582"/>
      <c r="J111" s="583"/>
      <c r="K111" s="231"/>
      <c r="L111" s="231"/>
      <c r="M111" s="231"/>
      <c r="N111" s="231"/>
      <c r="O111" s="231"/>
      <c r="P111" s="231"/>
      <c r="Q111" s="231"/>
      <c r="R111" s="231"/>
      <c r="S111" s="231"/>
      <c r="T111" s="231"/>
      <c r="U111" s="231"/>
      <c r="V111" s="231"/>
      <c r="W111" s="231"/>
      <c r="X111" s="231"/>
      <c r="Y111" s="231"/>
      <c r="Z111" s="231"/>
      <c r="AA111" s="231"/>
      <c r="AB111" s="231"/>
      <c r="AC111" s="231"/>
      <c r="AD111" s="231"/>
      <c r="AE111" s="231"/>
      <c r="AF111" s="231"/>
      <c r="AG111" s="231"/>
      <c r="AH111" s="231"/>
      <c r="AI111" s="231"/>
      <c r="AJ111" s="231"/>
      <c r="AK111" s="231"/>
      <c r="AL111" s="231"/>
      <c r="AM111" s="231"/>
      <c r="AN111" s="231"/>
      <c r="AO111" s="231"/>
    </row>
    <row r="112" spans="1:41" s="203" customFormat="1">
      <c r="A112" s="799">
        <v>14</v>
      </c>
      <c r="B112" s="490" t="s">
        <v>119</v>
      </c>
      <c r="C112" s="490"/>
      <c r="D112" s="490"/>
      <c r="E112" s="492">
        <v>12686</v>
      </c>
      <c r="F112" s="52">
        <v>11932</v>
      </c>
      <c r="G112" s="572"/>
      <c r="H112" s="563">
        <v>10513</v>
      </c>
      <c r="I112" s="582"/>
      <c r="J112" s="583"/>
      <c r="K112" s="231"/>
      <c r="L112" s="231"/>
      <c r="M112" s="231"/>
      <c r="N112" s="231"/>
      <c r="O112" s="231"/>
      <c r="P112" s="231"/>
      <c r="Q112" s="231"/>
      <c r="R112" s="231"/>
      <c r="S112" s="231"/>
      <c r="T112" s="231"/>
      <c r="U112" s="231"/>
      <c r="V112" s="231"/>
      <c r="W112" s="231"/>
      <c r="X112" s="231"/>
      <c r="Y112" s="231"/>
      <c r="Z112" s="231"/>
      <c r="AA112" s="231"/>
      <c r="AB112" s="231"/>
      <c r="AC112" s="231"/>
      <c r="AD112" s="231"/>
      <c r="AE112" s="231"/>
      <c r="AF112" s="231"/>
      <c r="AG112" s="231"/>
      <c r="AH112" s="231"/>
      <c r="AI112" s="231"/>
      <c r="AJ112" s="231"/>
      <c r="AK112" s="231"/>
      <c r="AL112" s="231"/>
      <c r="AM112" s="231"/>
      <c r="AN112" s="231"/>
      <c r="AO112" s="231"/>
    </row>
    <row r="113" spans="1:41" s="203" customFormat="1">
      <c r="A113" s="799">
        <v>15</v>
      </c>
      <c r="B113" s="490" t="s">
        <v>120</v>
      </c>
      <c r="C113" s="490"/>
      <c r="D113" s="490"/>
      <c r="E113" s="492">
        <v>381</v>
      </c>
      <c r="F113" s="52">
        <v>634</v>
      </c>
      <c r="G113" s="572"/>
      <c r="H113" s="563">
        <v>442</v>
      </c>
      <c r="I113" s="582"/>
      <c r="J113" s="583"/>
      <c r="K113" s="231"/>
      <c r="L113" s="231"/>
      <c r="M113" s="231"/>
      <c r="N113" s="231"/>
      <c r="O113" s="231"/>
      <c r="P113" s="231"/>
      <c r="Q113" s="231"/>
      <c r="R113" s="231"/>
      <c r="S113" s="231"/>
      <c r="T113" s="231"/>
      <c r="U113" s="231"/>
      <c r="V113" s="231"/>
      <c r="W113" s="231"/>
      <c r="X113" s="231"/>
      <c r="Y113" s="231"/>
      <c r="Z113" s="231"/>
      <c r="AA113" s="231"/>
      <c r="AB113" s="231"/>
      <c r="AC113" s="231"/>
      <c r="AD113" s="231"/>
      <c r="AE113" s="231"/>
      <c r="AF113" s="231"/>
      <c r="AG113" s="231"/>
      <c r="AH113" s="231"/>
      <c r="AI113" s="231"/>
      <c r="AJ113" s="231"/>
      <c r="AK113" s="231"/>
      <c r="AL113" s="231"/>
      <c r="AM113" s="231"/>
      <c r="AN113" s="231"/>
      <c r="AO113" s="231"/>
    </row>
    <row r="114" spans="1:41" s="203" customFormat="1">
      <c r="A114" s="799">
        <v>16</v>
      </c>
      <c r="B114" s="490" t="s">
        <v>121</v>
      </c>
      <c r="C114" s="490"/>
      <c r="D114" s="490"/>
      <c r="E114" s="492">
        <v>2910</v>
      </c>
      <c r="F114" s="52">
        <v>4571</v>
      </c>
      <c r="G114" s="572"/>
      <c r="H114" s="544">
        <v>5160</v>
      </c>
      <c r="I114" s="582"/>
      <c r="J114" s="583"/>
      <c r="K114" s="231"/>
      <c r="L114" s="231"/>
      <c r="M114" s="231"/>
      <c r="N114" s="231"/>
      <c r="O114" s="231"/>
      <c r="P114" s="231"/>
      <c r="Q114" s="231"/>
      <c r="R114" s="231"/>
      <c r="S114" s="231"/>
      <c r="T114" s="231"/>
      <c r="U114" s="231"/>
      <c r="V114" s="231"/>
      <c r="W114" s="231"/>
      <c r="X114" s="231"/>
      <c r="Y114" s="231"/>
      <c r="Z114" s="231"/>
      <c r="AA114" s="231"/>
      <c r="AB114" s="231"/>
      <c r="AC114" s="231"/>
      <c r="AD114" s="231"/>
      <c r="AE114" s="231"/>
      <c r="AF114" s="231"/>
      <c r="AG114" s="231"/>
      <c r="AH114" s="231"/>
      <c r="AI114" s="231"/>
      <c r="AJ114" s="231"/>
      <c r="AK114" s="231"/>
      <c r="AL114" s="231"/>
      <c r="AM114" s="231"/>
      <c r="AN114" s="231"/>
      <c r="AO114" s="231"/>
    </row>
    <row r="115" spans="1:41" s="203" customFormat="1">
      <c r="A115" s="799">
        <v>17</v>
      </c>
      <c r="B115" s="567" t="s">
        <v>122</v>
      </c>
      <c r="C115" s="567"/>
      <c r="D115" s="567"/>
      <c r="E115" s="522">
        <v>43266</v>
      </c>
      <c r="F115" s="590">
        <f>SUM(F110:F114)</f>
        <v>47872</v>
      </c>
      <c r="G115" s="572"/>
      <c r="H115" s="590">
        <f>SUM(H110:H114)</f>
        <v>45739</v>
      </c>
      <c r="I115" s="582"/>
      <c r="J115" s="583"/>
      <c r="K115" s="231"/>
      <c r="L115" s="231"/>
      <c r="M115" s="231"/>
      <c r="N115" s="231"/>
      <c r="O115" s="231"/>
      <c r="P115" s="231"/>
      <c r="Q115" s="231"/>
      <c r="R115" s="231"/>
      <c r="S115" s="231"/>
      <c r="T115" s="231"/>
      <c r="U115" s="231"/>
      <c r="V115" s="231"/>
      <c r="W115" s="231"/>
      <c r="X115" s="231"/>
      <c r="Y115" s="231"/>
      <c r="Z115" s="231"/>
      <c r="AA115" s="231"/>
      <c r="AB115" s="231"/>
      <c r="AC115" s="231"/>
      <c r="AD115" s="231"/>
      <c r="AE115" s="231"/>
      <c r="AF115" s="231"/>
      <c r="AG115" s="231"/>
      <c r="AH115" s="231"/>
      <c r="AI115" s="231"/>
      <c r="AJ115" s="231"/>
      <c r="AK115" s="231"/>
      <c r="AL115" s="231"/>
      <c r="AM115" s="231"/>
      <c r="AN115" s="231"/>
      <c r="AO115" s="231"/>
    </row>
    <row r="116" spans="1:41" s="203" customFormat="1">
      <c r="A116" s="557"/>
      <c r="B116" s="567"/>
      <c r="C116" s="567"/>
      <c r="D116" s="567"/>
      <c r="E116" s="591"/>
      <c r="F116" s="572"/>
      <c r="G116" s="572"/>
      <c r="H116" s="572"/>
      <c r="I116" s="582"/>
      <c r="J116" s="583"/>
      <c r="K116" s="231"/>
      <c r="L116" s="231"/>
      <c r="M116" s="231"/>
      <c r="N116" s="231"/>
      <c r="O116" s="231"/>
      <c r="P116" s="231"/>
      <c r="Q116" s="231"/>
      <c r="R116" s="231"/>
      <c r="S116" s="231"/>
      <c r="T116" s="231"/>
      <c r="U116" s="231"/>
      <c r="V116" s="231"/>
      <c r="W116" s="231"/>
      <c r="X116" s="231"/>
      <c r="Y116" s="231"/>
      <c r="Z116" s="231"/>
      <c r="AA116" s="231"/>
      <c r="AB116" s="231"/>
      <c r="AC116" s="231"/>
      <c r="AD116" s="231"/>
      <c r="AE116" s="231"/>
      <c r="AF116" s="231"/>
      <c r="AG116" s="231"/>
      <c r="AH116" s="231"/>
      <c r="AI116" s="231"/>
      <c r="AJ116" s="231"/>
      <c r="AK116" s="231"/>
      <c r="AL116" s="231"/>
      <c r="AM116" s="231"/>
      <c r="AN116" s="231"/>
      <c r="AO116" s="231"/>
    </row>
    <row r="117" spans="1:41" s="203" customFormat="1">
      <c r="A117" s="592" t="s">
        <v>107</v>
      </c>
      <c r="B117" s="567"/>
      <c r="C117" s="567"/>
      <c r="D117" s="567"/>
      <c r="E117" s="593"/>
      <c r="F117" s="534"/>
      <c r="G117" s="572"/>
      <c r="H117" s="534"/>
      <c r="I117" s="582"/>
      <c r="J117" s="583"/>
      <c r="K117" s="231"/>
      <c r="L117" s="231"/>
      <c r="M117" s="231"/>
      <c r="N117" s="231"/>
      <c r="O117" s="231"/>
      <c r="P117" s="231"/>
      <c r="Q117" s="231"/>
      <c r="R117" s="231"/>
      <c r="S117" s="231"/>
      <c r="T117" s="231"/>
      <c r="U117" s="231"/>
      <c r="V117" s="231"/>
      <c r="W117" s="231"/>
      <c r="X117" s="231"/>
      <c r="Y117" s="231"/>
      <c r="Z117" s="231"/>
      <c r="AA117" s="231"/>
      <c r="AB117" s="231"/>
      <c r="AC117" s="231"/>
      <c r="AD117" s="231"/>
      <c r="AE117" s="231"/>
      <c r="AF117" s="231"/>
      <c r="AG117" s="231"/>
      <c r="AH117" s="231"/>
      <c r="AI117" s="231"/>
      <c r="AJ117" s="231"/>
      <c r="AK117" s="231"/>
      <c r="AL117" s="231"/>
      <c r="AM117" s="231"/>
      <c r="AN117" s="231"/>
      <c r="AO117" s="231"/>
    </row>
    <row r="118" spans="1:41" s="203" customFormat="1">
      <c r="A118" s="799">
        <v>18</v>
      </c>
      <c r="B118" s="490" t="s">
        <v>123</v>
      </c>
      <c r="C118" s="490"/>
      <c r="D118" s="490"/>
      <c r="E118" s="492">
        <v>4265</v>
      </c>
      <c r="F118" s="52">
        <v>2134</v>
      </c>
      <c r="G118" s="572"/>
      <c r="H118" s="563">
        <v>3578</v>
      </c>
      <c r="I118" s="582"/>
      <c r="J118" s="583"/>
      <c r="K118" s="231"/>
      <c r="L118" s="231"/>
      <c r="M118" s="231"/>
      <c r="N118" s="231"/>
      <c r="O118" s="231"/>
      <c r="P118" s="231"/>
      <c r="Q118" s="231"/>
      <c r="R118" s="231"/>
      <c r="S118" s="231"/>
      <c r="T118" s="231"/>
      <c r="U118" s="231"/>
      <c r="V118" s="231"/>
      <c r="W118" s="231"/>
      <c r="X118" s="231"/>
      <c r="Y118" s="231"/>
      <c r="Z118" s="231"/>
      <c r="AA118" s="231"/>
      <c r="AB118" s="231"/>
      <c r="AC118" s="231"/>
      <c r="AD118" s="231"/>
      <c r="AE118" s="231"/>
      <c r="AF118" s="231"/>
      <c r="AG118" s="231"/>
      <c r="AH118" s="231"/>
      <c r="AI118" s="231"/>
      <c r="AJ118" s="231"/>
      <c r="AK118" s="231"/>
      <c r="AL118" s="231"/>
      <c r="AM118" s="231"/>
      <c r="AN118" s="231"/>
      <c r="AO118" s="231"/>
    </row>
    <row r="119" spans="1:41" s="203" customFormat="1">
      <c r="A119" s="799">
        <v>19</v>
      </c>
      <c r="B119" s="490" t="s">
        <v>124</v>
      </c>
      <c r="C119" s="490"/>
      <c r="D119" s="490"/>
      <c r="E119" s="492">
        <v>18684</v>
      </c>
      <c r="F119" s="52">
        <v>19502</v>
      </c>
      <c r="G119" s="572"/>
      <c r="H119" s="563">
        <v>18959</v>
      </c>
      <c r="I119" s="582"/>
      <c r="J119" s="583"/>
      <c r="K119" s="231"/>
      <c r="L119" s="231"/>
      <c r="M119" s="231"/>
      <c r="N119" s="231"/>
      <c r="O119" s="231"/>
      <c r="P119" s="231"/>
      <c r="Q119" s="231"/>
      <c r="R119" s="231"/>
      <c r="S119" s="231"/>
      <c r="T119" s="231"/>
      <c r="U119" s="231"/>
      <c r="V119" s="231"/>
      <c r="W119" s="231"/>
      <c r="X119" s="231"/>
      <c r="Y119" s="231"/>
      <c r="Z119" s="231"/>
      <c r="AA119" s="231"/>
      <c r="AB119" s="231"/>
      <c r="AC119" s="231"/>
      <c r="AD119" s="231"/>
      <c r="AE119" s="231"/>
      <c r="AF119" s="231"/>
      <c r="AG119" s="231"/>
      <c r="AH119" s="231"/>
      <c r="AI119" s="231"/>
      <c r="AJ119" s="231"/>
      <c r="AK119" s="231"/>
      <c r="AL119" s="231"/>
      <c r="AM119" s="231"/>
      <c r="AN119" s="231"/>
      <c r="AO119" s="231"/>
    </row>
    <row r="120" spans="1:41" s="203" customFormat="1">
      <c r="A120" s="799">
        <v>20</v>
      </c>
      <c r="B120" s="490" t="s">
        <v>119</v>
      </c>
      <c r="C120" s="490"/>
      <c r="D120" s="490"/>
      <c r="E120" s="492">
        <v>28476</v>
      </c>
      <c r="F120" s="52">
        <f>31149-4</f>
        <v>31145</v>
      </c>
      <c r="G120" s="572"/>
      <c r="H120" s="563">
        <f>30667-1</f>
        <v>30666</v>
      </c>
      <c r="I120" s="582"/>
      <c r="J120" s="583"/>
      <c r="K120" s="231"/>
      <c r="L120" s="231"/>
      <c r="M120" s="231"/>
      <c r="N120" s="231"/>
      <c r="O120" s="231"/>
      <c r="P120" s="231"/>
      <c r="Q120" s="231"/>
      <c r="R120" s="231"/>
      <c r="S120" s="231"/>
      <c r="T120" s="231"/>
      <c r="U120" s="231"/>
      <c r="V120" s="231"/>
      <c r="W120" s="231"/>
      <c r="X120" s="231"/>
      <c r="Y120" s="231"/>
      <c r="Z120" s="231"/>
      <c r="AA120" s="231"/>
      <c r="AB120" s="231"/>
      <c r="AC120" s="231"/>
      <c r="AD120" s="231"/>
      <c r="AE120" s="231"/>
      <c r="AF120" s="231"/>
      <c r="AG120" s="231"/>
      <c r="AH120" s="231"/>
      <c r="AI120" s="231"/>
      <c r="AJ120" s="231"/>
      <c r="AK120" s="231"/>
      <c r="AL120" s="231"/>
      <c r="AM120" s="231"/>
      <c r="AN120" s="231"/>
      <c r="AO120" s="231"/>
    </row>
    <row r="121" spans="1:41" s="203" customFormat="1">
      <c r="A121" s="799">
        <v>21</v>
      </c>
      <c r="B121" s="490" t="s">
        <v>120</v>
      </c>
      <c r="C121" s="490"/>
      <c r="D121" s="490"/>
      <c r="E121" s="492">
        <v>1347</v>
      </c>
      <c r="F121" s="52">
        <v>1520</v>
      </c>
      <c r="G121" s="572"/>
      <c r="H121" s="563">
        <v>1509</v>
      </c>
      <c r="I121" s="582"/>
      <c r="J121" s="583"/>
      <c r="K121" s="231"/>
      <c r="L121" s="231"/>
      <c r="M121" s="231"/>
      <c r="N121" s="231"/>
      <c r="O121" s="231"/>
      <c r="P121" s="231"/>
      <c r="Q121" s="231"/>
      <c r="R121" s="231"/>
      <c r="S121" s="231"/>
      <c r="T121" s="231"/>
      <c r="U121" s="231"/>
      <c r="V121" s="231"/>
      <c r="W121" s="231"/>
      <c r="X121" s="231"/>
      <c r="Y121" s="231"/>
      <c r="Z121" s="231"/>
      <c r="AA121" s="231"/>
      <c r="AB121" s="231"/>
      <c r="AC121" s="231"/>
      <c r="AD121" s="231"/>
      <c r="AE121" s="231"/>
      <c r="AF121" s="231"/>
      <c r="AG121" s="231"/>
      <c r="AH121" s="231"/>
      <c r="AI121" s="231"/>
      <c r="AJ121" s="231"/>
      <c r="AK121" s="231"/>
      <c r="AL121" s="231"/>
      <c r="AM121" s="231"/>
      <c r="AN121" s="231"/>
      <c r="AO121" s="231"/>
    </row>
    <row r="122" spans="1:41" s="203" customFormat="1">
      <c r="A122" s="799">
        <v>22</v>
      </c>
      <c r="B122" s="490" t="s">
        <v>125</v>
      </c>
      <c r="C122" s="490"/>
      <c r="D122" s="490"/>
      <c r="E122" s="492">
        <v>358</v>
      </c>
      <c r="F122" s="52">
        <v>317</v>
      </c>
      <c r="G122" s="572"/>
      <c r="H122" s="563">
        <v>519</v>
      </c>
      <c r="I122" s="582"/>
      <c r="J122" s="583"/>
      <c r="K122" s="231"/>
      <c r="L122" s="231"/>
      <c r="M122" s="231"/>
      <c r="N122" s="231"/>
      <c r="O122" s="231"/>
      <c r="P122" s="231"/>
      <c r="Q122" s="231"/>
      <c r="R122" s="231"/>
      <c r="S122" s="231"/>
      <c r="T122" s="231"/>
      <c r="U122" s="231"/>
      <c r="V122" s="231"/>
      <c r="W122" s="231"/>
      <c r="X122" s="231"/>
      <c r="Y122" s="231"/>
      <c r="Z122" s="231"/>
      <c r="AA122" s="231"/>
      <c r="AB122" s="231"/>
      <c r="AC122" s="231"/>
      <c r="AD122" s="231"/>
      <c r="AE122" s="231"/>
      <c r="AF122" s="231"/>
      <c r="AG122" s="231"/>
      <c r="AH122" s="231"/>
      <c r="AI122" s="231"/>
      <c r="AJ122" s="231"/>
      <c r="AK122" s="231"/>
      <c r="AL122" s="231"/>
      <c r="AM122" s="231"/>
      <c r="AN122" s="231"/>
      <c r="AO122" s="231"/>
    </row>
    <row r="123" spans="1:41" s="203" customFormat="1">
      <c r="A123" s="799">
        <v>23</v>
      </c>
      <c r="B123" s="517" t="s">
        <v>126</v>
      </c>
      <c r="C123" s="490"/>
      <c r="D123" s="490"/>
      <c r="E123" s="492">
        <v>1120</v>
      </c>
      <c r="F123" s="52">
        <v>834</v>
      </c>
      <c r="G123" s="572"/>
      <c r="H123" s="543">
        <v>1084</v>
      </c>
      <c r="I123" s="582"/>
      <c r="J123" s="583"/>
      <c r="K123" s="231"/>
      <c r="L123" s="231"/>
      <c r="M123" s="231"/>
      <c r="N123" s="231"/>
      <c r="O123" s="231"/>
      <c r="P123" s="231"/>
      <c r="Q123" s="231"/>
      <c r="R123" s="231"/>
      <c r="S123" s="231"/>
      <c r="T123" s="231"/>
      <c r="U123" s="231"/>
      <c r="V123" s="231"/>
      <c r="W123" s="231"/>
      <c r="X123" s="231"/>
      <c r="Y123" s="231"/>
      <c r="Z123" s="231"/>
      <c r="AA123" s="231"/>
      <c r="AB123" s="231"/>
      <c r="AC123" s="231"/>
      <c r="AD123" s="231"/>
      <c r="AE123" s="231"/>
      <c r="AF123" s="231"/>
      <c r="AG123" s="231"/>
      <c r="AH123" s="231"/>
      <c r="AI123" s="231"/>
      <c r="AJ123" s="231"/>
      <c r="AK123" s="231"/>
      <c r="AL123" s="231"/>
      <c r="AM123" s="231"/>
      <c r="AN123" s="231"/>
      <c r="AO123" s="231"/>
    </row>
    <row r="124" spans="1:41" s="203" customFormat="1">
      <c r="A124" s="799">
        <v>24</v>
      </c>
      <c r="B124" s="490" t="s">
        <v>121</v>
      </c>
      <c r="C124" s="490"/>
      <c r="D124" s="490"/>
      <c r="E124" s="492">
        <v>757</v>
      </c>
      <c r="F124" s="52">
        <v>166</v>
      </c>
      <c r="G124" s="572"/>
      <c r="H124" s="544">
        <v>489</v>
      </c>
      <c r="I124" s="582"/>
      <c r="J124" s="583"/>
      <c r="K124" s="231"/>
      <c r="L124" s="231"/>
      <c r="M124" s="231"/>
      <c r="N124" s="231"/>
      <c r="O124" s="231"/>
      <c r="P124" s="231"/>
      <c r="Q124" s="231"/>
      <c r="R124" s="231"/>
      <c r="S124" s="231"/>
      <c r="T124" s="231"/>
      <c r="U124" s="231"/>
      <c r="V124" s="231"/>
      <c r="W124" s="231"/>
      <c r="X124" s="231"/>
      <c r="Y124" s="231"/>
      <c r="Z124" s="231"/>
      <c r="AA124" s="231"/>
      <c r="AB124" s="231"/>
      <c r="AC124" s="231"/>
      <c r="AD124" s="231"/>
      <c r="AE124" s="231"/>
      <c r="AF124" s="231"/>
      <c r="AG124" s="231"/>
      <c r="AH124" s="231"/>
      <c r="AI124" s="231"/>
      <c r="AJ124" s="231"/>
      <c r="AK124" s="231"/>
      <c r="AL124" s="231"/>
      <c r="AM124" s="231"/>
      <c r="AN124" s="231"/>
      <c r="AO124" s="231"/>
    </row>
    <row r="125" spans="1:41" s="203" customFormat="1">
      <c r="A125" s="799">
        <v>25</v>
      </c>
      <c r="B125" s="594" t="s">
        <v>127</v>
      </c>
      <c r="C125" s="594"/>
      <c r="D125" s="594"/>
      <c r="E125" s="522">
        <v>55007</v>
      </c>
      <c r="F125" s="590">
        <f>SUM(F118:F124)</f>
        <v>55618</v>
      </c>
      <c r="G125" s="572"/>
      <c r="H125" s="590">
        <f>SUM(H118:H124)</f>
        <v>56804</v>
      </c>
      <c r="I125" s="582"/>
      <c r="J125" s="583"/>
      <c r="K125" s="231"/>
      <c r="L125" s="231"/>
      <c r="M125" s="231"/>
      <c r="N125" s="231"/>
      <c r="O125" s="231"/>
      <c r="P125" s="231"/>
      <c r="Q125" s="231"/>
      <c r="R125" s="231"/>
      <c r="S125" s="231"/>
      <c r="T125" s="231"/>
      <c r="U125" s="231"/>
      <c r="V125" s="231"/>
      <c r="W125" s="231"/>
      <c r="X125" s="231"/>
      <c r="Y125" s="231"/>
      <c r="Z125" s="231"/>
      <c r="AA125" s="231"/>
      <c r="AB125" s="231"/>
      <c r="AC125" s="231"/>
      <c r="AD125" s="231"/>
      <c r="AE125" s="231"/>
      <c r="AF125" s="231"/>
      <c r="AG125" s="231"/>
      <c r="AH125" s="231"/>
      <c r="AI125" s="231"/>
      <c r="AJ125" s="231"/>
      <c r="AK125" s="231"/>
      <c r="AL125" s="231"/>
      <c r="AM125" s="231"/>
      <c r="AN125" s="231"/>
      <c r="AO125" s="231"/>
    </row>
    <row r="126" spans="1:41" s="203" customFormat="1">
      <c r="A126" s="557"/>
      <c r="B126" s="490"/>
      <c r="C126" s="490"/>
      <c r="D126" s="490"/>
      <c r="E126" s="571"/>
      <c r="F126" s="572"/>
      <c r="G126" s="572"/>
      <c r="H126" s="572"/>
      <c r="I126" s="582"/>
      <c r="J126" s="583"/>
      <c r="K126" s="231"/>
      <c r="L126" s="231"/>
      <c r="M126" s="231"/>
      <c r="N126" s="231"/>
      <c r="O126" s="231"/>
      <c r="P126" s="231"/>
      <c r="Q126" s="231"/>
      <c r="R126" s="231"/>
      <c r="S126" s="231"/>
      <c r="T126" s="231"/>
      <c r="U126" s="231"/>
      <c r="V126" s="231"/>
      <c r="W126" s="231"/>
      <c r="X126" s="231"/>
      <c r="Y126" s="231"/>
      <c r="Z126" s="231"/>
      <c r="AA126" s="231"/>
      <c r="AB126" s="231"/>
      <c r="AC126" s="231"/>
      <c r="AD126" s="231"/>
      <c r="AE126" s="231"/>
      <c r="AF126" s="231"/>
      <c r="AG126" s="231"/>
      <c r="AH126" s="231"/>
      <c r="AI126" s="231"/>
      <c r="AJ126" s="231"/>
      <c r="AK126" s="231"/>
      <c r="AL126" s="231"/>
      <c r="AM126" s="231"/>
      <c r="AN126" s="231"/>
      <c r="AO126" s="231"/>
    </row>
    <row r="127" spans="1:41" s="203" customFormat="1">
      <c r="A127" s="573" t="s">
        <v>108</v>
      </c>
      <c r="B127" s="594"/>
      <c r="C127" s="594"/>
      <c r="D127" s="594"/>
      <c r="E127" s="588"/>
      <c r="F127" s="534"/>
      <c r="G127" s="572"/>
      <c r="H127" s="534"/>
      <c r="I127" s="582"/>
      <c r="J127" s="583"/>
      <c r="K127" s="231"/>
      <c r="L127" s="231"/>
      <c r="M127" s="231"/>
      <c r="N127" s="231"/>
      <c r="O127" s="231"/>
      <c r="P127" s="231"/>
      <c r="Q127" s="231"/>
      <c r="R127" s="231"/>
      <c r="S127" s="231"/>
      <c r="T127" s="231"/>
      <c r="U127" s="231"/>
      <c r="V127" s="231"/>
      <c r="W127" s="231"/>
      <c r="X127" s="231"/>
      <c r="Y127" s="231"/>
      <c r="Z127" s="231"/>
      <c r="AA127" s="231"/>
      <c r="AB127" s="231"/>
      <c r="AC127" s="231"/>
      <c r="AD127" s="231"/>
      <c r="AE127" s="231"/>
      <c r="AF127" s="231"/>
      <c r="AG127" s="231"/>
      <c r="AH127" s="231"/>
      <c r="AI127" s="231"/>
      <c r="AJ127" s="231"/>
      <c r="AK127" s="231"/>
      <c r="AL127" s="231"/>
      <c r="AM127" s="231"/>
      <c r="AN127" s="231"/>
      <c r="AO127" s="231"/>
    </row>
    <row r="128" spans="1:41" s="203" customFormat="1">
      <c r="A128" s="799">
        <v>26</v>
      </c>
      <c r="B128" s="490" t="s">
        <v>123</v>
      </c>
      <c r="C128" s="490"/>
      <c r="D128" s="490"/>
      <c r="E128" s="516">
        <v>780</v>
      </c>
      <c r="F128" s="52">
        <v>987</v>
      </c>
      <c r="G128" s="572"/>
      <c r="H128" s="563">
        <v>1003</v>
      </c>
      <c r="I128" s="582"/>
      <c r="J128" s="583"/>
      <c r="K128" s="231"/>
      <c r="L128" s="231"/>
      <c r="M128" s="231"/>
      <c r="N128" s="231"/>
      <c r="O128" s="231"/>
      <c r="P128" s="231"/>
      <c r="Q128" s="231"/>
      <c r="R128" s="231"/>
      <c r="S128" s="231"/>
      <c r="T128" s="231"/>
      <c r="U128" s="231"/>
      <c r="V128" s="231"/>
      <c r="W128" s="231"/>
      <c r="X128" s="231"/>
      <c r="Y128" s="231"/>
      <c r="Z128" s="231"/>
      <c r="AA128" s="231"/>
      <c r="AB128" s="231"/>
      <c r="AC128" s="231"/>
      <c r="AD128" s="231"/>
      <c r="AE128" s="231"/>
      <c r="AF128" s="231"/>
      <c r="AG128" s="231"/>
      <c r="AH128" s="231"/>
      <c r="AI128" s="231"/>
      <c r="AJ128" s="231"/>
      <c r="AK128" s="231"/>
      <c r="AL128" s="231"/>
      <c r="AM128" s="231"/>
      <c r="AN128" s="231"/>
      <c r="AO128" s="231"/>
    </row>
    <row r="129" spans="1:41" s="203" customFormat="1">
      <c r="A129" s="799">
        <v>27</v>
      </c>
      <c r="B129" s="490" t="s">
        <v>124</v>
      </c>
      <c r="C129" s="490"/>
      <c r="D129" s="490"/>
      <c r="E129" s="492">
        <v>1636</v>
      </c>
      <c r="F129" s="52">
        <v>1550</v>
      </c>
      <c r="G129" s="572"/>
      <c r="H129" s="563">
        <v>1628</v>
      </c>
      <c r="I129" s="582"/>
      <c r="J129" s="583"/>
      <c r="K129" s="231"/>
      <c r="L129" s="231"/>
      <c r="M129" s="231"/>
      <c r="N129" s="231"/>
      <c r="O129" s="231"/>
      <c r="P129" s="231"/>
      <c r="Q129" s="231"/>
      <c r="R129" s="231"/>
      <c r="S129" s="231"/>
      <c r="T129" s="231"/>
      <c r="U129" s="231"/>
      <c r="V129" s="231"/>
      <c r="W129" s="231"/>
      <c r="X129" s="231"/>
      <c r="Y129" s="231"/>
      <c r="Z129" s="231"/>
      <c r="AA129" s="231"/>
      <c r="AB129" s="231"/>
      <c r="AC129" s="231"/>
      <c r="AD129" s="231"/>
      <c r="AE129" s="231"/>
      <c r="AF129" s="231"/>
      <c r="AG129" s="231"/>
      <c r="AH129" s="231"/>
      <c r="AI129" s="231"/>
      <c r="AJ129" s="231"/>
      <c r="AK129" s="231"/>
      <c r="AL129" s="231"/>
      <c r="AM129" s="231"/>
      <c r="AN129" s="231"/>
      <c r="AO129" s="231"/>
    </row>
    <row r="130" spans="1:41" s="203" customFormat="1">
      <c r="A130" s="799">
        <v>28</v>
      </c>
      <c r="B130" s="490" t="s">
        <v>119</v>
      </c>
      <c r="C130" s="490"/>
      <c r="D130" s="490"/>
      <c r="E130" s="492">
        <v>2493</v>
      </c>
      <c r="F130" s="52">
        <v>2401</v>
      </c>
      <c r="G130" s="572"/>
      <c r="H130" s="563">
        <v>2744</v>
      </c>
      <c r="I130" s="582"/>
      <c r="J130" s="583"/>
      <c r="K130" s="231"/>
      <c r="L130" s="231"/>
      <c r="M130" s="231"/>
      <c r="N130" s="231"/>
      <c r="O130" s="231"/>
      <c r="P130" s="231"/>
      <c r="Q130" s="231"/>
      <c r="R130" s="231"/>
      <c r="S130" s="231"/>
      <c r="T130" s="231"/>
      <c r="U130" s="231"/>
      <c r="V130" s="231"/>
      <c r="W130" s="231"/>
      <c r="X130" s="231"/>
      <c r="Y130" s="231"/>
      <c r="Z130" s="231"/>
      <c r="AA130" s="231"/>
      <c r="AB130" s="231"/>
      <c r="AC130" s="231"/>
      <c r="AD130" s="231"/>
      <c r="AE130" s="231"/>
      <c r="AF130" s="231"/>
      <c r="AG130" s="231"/>
      <c r="AH130" s="231"/>
      <c r="AI130" s="231"/>
      <c r="AJ130" s="231"/>
      <c r="AK130" s="231"/>
      <c r="AL130" s="231"/>
      <c r="AM130" s="231"/>
      <c r="AN130" s="231"/>
      <c r="AO130" s="231"/>
    </row>
    <row r="131" spans="1:41" s="203" customFormat="1">
      <c r="A131" s="799">
        <v>29</v>
      </c>
      <c r="B131" s="490" t="s">
        <v>120</v>
      </c>
      <c r="C131" s="490"/>
      <c r="D131" s="490"/>
      <c r="E131" s="492">
        <v>190</v>
      </c>
      <c r="F131" s="52">
        <v>78</v>
      </c>
      <c r="G131" s="572"/>
      <c r="H131" s="563">
        <v>76</v>
      </c>
      <c r="I131" s="582"/>
      <c r="J131" s="583"/>
      <c r="K131" s="231"/>
      <c r="L131" s="231"/>
      <c r="M131" s="231"/>
      <c r="N131" s="231"/>
      <c r="O131" s="231"/>
      <c r="P131" s="231"/>
      <c r="Q131" s="231"/>
      <c r="R131" s="231"/>
      <c r="S131" s="231"/>
      <c r="T131" s="231"/>
      <c r="U131" s="231"/>
      <c r="V131" s="231"/>
      <c r="W131" s="231"/>
      <c r="X131" s="231"/>
      <c r="Y131" s="231"/>
      <c r="Z131" s="231"/>
      <c r="AA131" s="231"/>
      <c r="AB131" s="231"/>
      <c r="AC131" s="231"/>
      <c r="AD131" s="231"/>
      <c r="AE131" s="231"/>
      <c r="AF131" s="231"/>
      <c r="AG131" s="231"/>
      <c r="AH131" s="231"/>
      <c r="AI131" s="231"/>
      <c r="AJ131" s="231"/>
      <c r="AK131" s="231"/>
      <c r="AL131" s="231"/>
      <c r="AM131" s="231"/>
      <c r="AN131" s="231"/>
      <c r="AO131" s="231"/>
    </row>
    <row r="132" spans="1:41" s="203" customFormat="1">
      <c r="A132" s="799">
        <v>30</v>
      </c>
      <c r="B132" s="490" t="s">
        <v>125</v>
      </c>
      <c r="C132" s="490"/>
      <c r="D132" s="490"/>
      <c r="E132" s="492">
        <v>197</v>
      </c>
      <c r="F132" s="52">
        <v>197</v>
      </c>
      <c r="G132" s="572"/>
      <c r="H132" s="563">
        <v>0</v>
      </c>
      <c r="I132" s="582"/>
      <c r="J132" s="583"/>
      <c r="K132" s="231"/>
      <c r="L132" s="231"/>
      <c r="M132" s="231"/>
      <c r="N132" s="231"/>
      <c r="O132" s="231"/>
      <c r="P132" s="231"/>
      <c r="Q132" s="231"/>
      <c r="R132" s="231"/>
      <c r="S132" s="231"/>
      <c r="T132" s="231"/>
      <c r="U132" s="231"/>
      <c r="V132" s="231"/>
      <c r="W132" s="231"/>
      <c r="X132" s="231"/>
      <c r="Y132" s="231"/>
      <c r="Z132" s="231"/>
      <c r="AA132" s="231"/>
      <c r="AB132" s="231"/>
      <c r="AC132" s="231"/>
      <c r="AD132" s="231"/>
      <c r="AE132" s="231"/>
      <c r="AF132" s="231"/>
      <c r="AG132" s="231"/>
      <c r="AH132" s="231"/>
      <c r="AI132" s="231"/>
      <c r="AJ132" s="231"/>
      <c r="AK132" s="231"/>
      <c r="AL132" s="231"/>
      <c r="AM132" s="231"/>
      <c r="AN132" s="231"/>
      <c r="AO132" s="231"/>
    </row>
    <row r="133" spans="1:41" s="203" customFormat="1">
      <c r="A133" s="799">
        <v>31</v>
      </c>
      <c r="B133" s="517" t="s">
        <v>126</v>
      </c>
      <c r="C133" s="490"/>
      <c r="D133" s="490"/>
      <c r="E133" s="492">
        <v>672</v>
      </c>
      <c r="F133" s="52">
        <v>466</v>
      </c>
      <c r="G133" s="572"/>
      <c r="H133" s="563">
        <v>595</v>
      </c>
      <c r="I133" s="582"/>
      <c r="J133" s="583"/>
      <c r="K133" s="231"/>
      <c r="L133" s="231"/>
      <c r="M133" s="231"/>
      <c r="N133" s="231"/>
      <c r="O133" s="231"/>
      <c r="P133" s="231"/>
      <c r="Q133" s="231"/>
      <c r="R133" s="231"/>
      <c r="S133" s="231"/>
      <c r="T133" s="231"/>
      <c r="U133" s="231"/>
      <c r="V133" s="231"/>
      <c r="W133" s="231"/>
      <c r="X133" s="231"/>
      <c r="Y133" s="231"/>
      <c r="Z133" s="231"/>
      <c r="AA133" s="231"/>
      <c r="AB133" s="231"/>
      <c r="AC133" s="231"/>
      <c r="AD133" s="231"/>
      <c r="AE133" s="231"/>
      <c r="AF133" s="231"/>
      <c r="AG133" s="231"/>
      <c r="AH133" s="231"/>
      <c r="AI133" s="231"/>
      <c r="AJ133" s="231"/>
      <c r="AK133" s="231"/>
      <c r="AL133" s="231"/>
      <c r="AM133" s="231"/>
      <c r="AN133" s="231"/>
      <c r="AO133" s="231"/>
    </row>
    <row r="134" spans="1:41" s="203" customFormat="1">
      <c r="A134" s="799">
        <v>32</v>
      </c>
      <c r="B134" s="490" t="s">
        <v>121</v>
      </c>
      <c r="C134" s="490"/>
      <c r="D134" s="490"/>
      <c r="E134" s="492">
        <v>796</v>
      </c>
      <c r="F134" s="52">
        <v>537</v>
      </c>
      <c r="G134" s="572"/>
      <c r="H134" s="544">
        <v>526</v>
      </c>
      <c r="I134" s="582"/>
      <c r="J134" s="583"/>
      <c r="K134" s="231"/>
      <c r="L134" s="231"/>
      <c r="M134" s="231"/>
      <c r="N134" s="231"/>
      <c r="O134" s="231"/>
      <c r="P134" s="231"/>
      <c r="Q134" s="231"/>
      <c r="R134" s="231"/>
      <c r="S134" s="231"/>
      <c r="T134" s="231"/>
      <c r="U134" s="231"/>
      <c r="V134" s="231"/>
      <c r="W134" s="231"/>
      <c r="X134" s="231"/>
      <c r="Y134" s="231"/>
      <c r="Z134" s="231"/>
      <c r="AA134" s="231"/>
      <c r="AB134" s="231"/>
      <c r="AC134" s="231"/>
      <c r="AD134" s="231"/>
      <c r="AE134" s="231"/>
      <c r="AF134" s="231"/>
      <c r="AG134" s="231"/>
      <c r="AH134" s="231"/>
      <c r="AI134" s="231"/>
      <c r="AJ134" s="231"/>
      <c r="AK134" s="231"/>
      <c r="AL134" s="231"/>
      <c r="AM134" s="231"/>
      <c r="AN134" s="231"/>
      <c r="AO134" s="231"/>
    </row>
    <row r="135" spans="1:41" s="203" customFormat="1">
      <c r="A135" s="799">
        <v>33</v>
      </c>
      <c r="B135" s="567" t="s">
        <v>128</v>
      </c>
      <c r="C135" s="567"/>
      <c r="D135" s="567"/>
      <c r="E135" s="522">
        <v>6764</v>
      </c>
      <c r="F135" s="590">
        <f>SUM(F128:F134)</f>
        <v>6216</v>
      </c>
      <c r="G135" s="572"/>
      <c r="H135" s="590">
        <f>SUM(H128:H134)</f>
        <v>6572</v>
      </c>
      <c r="I135" s="582"/>
      <c r="J135" s="583"/>
      <c r="K135" s="231"/>
      <c r="L135" s="231"/>
      <c r="M135" s="231"/>
      <c r="N135" s="231"/>
      <c r="O135" s="231"/>
      <c r="P135" s="231"/>
      <c r="Q135" s="231"/>
      <c r="R135" s="231"/>
      <c r="S135" s="231"/>
      <c r="T135" s="231"/>
      <c r="U135" s="231"/>
      <c r="V135" s="231"/>
      <c r="W135" s="231"/>
      <c r="X135" s="231"/>
      <c r="Y135" s="231"/>
      <c r="Z135" s="231"/>
      <c r="AA135" s="231"/>
      <c r="AB135" s="231"/>
      <c r="AC135" s="231"/>
      <c r="AD135" s="231"/>
      <c r="AE135" s="231"/>
      <c r="AF135" s="231"/>
      <c r="AG135" s="231"/>
      <c r="AH135" s="231"/>
      <c r="AI135" s="231"/>
      <c r="AJ135" s="231"/>
      <c r="AK135" s="231"/>
      <c r="AL135" s="231"/>
      <c r="AM135" s="231"/>
      <c r="AN135" s="231"/>
      <c r="AO135" s="231"/>
    </row>
    <row r="136" spans="1:41" s="203" customFormat="1">
      <c r="A136" s="557"/>
      <c r="B136" s="490"/>
      <c r="C136" s="490"/>
      <c r="D136" s="587"/>
      <c r="E136" s="571"/>
      <c r="F136" s="572"/>
      <c r="G136" s="572"/>
      <c r="H136" s="572"/>
      <c r="I136" s="582"/>
      <c r="J136" s="583"/>
      <c r="K136" s="231"/>
      <c r="L136" s="231"/>
      <c r="M136" s="231"/>
      <c r="N136" s="231"/>
      <c r="O136" s="231"/>
      <c r="P136" s="231"/>
      <c r="Q136" s="231"/>
      <c r="R136" s="231"/>
      <c r="S136" s="231"/>
      <c r="T136" s="231"/>
      <c r="U136" s="231"/>
      <c r="V136" s="231"/>
      <c r="W136" s="231"/>
      <c r="X136" s="231"/>
      <c r="Y136" s="231"/>
      <c r="Z136" s="231"/>
      <c r="AA136" s="231"/>
      <c r="AB136" s="231"/>
      <c r="AC136" s="231"/>
      <c r="AD136" s="231"/>
      <c r="AE136" s="231"/>
      <c r="AF136" s="231"/>
      <c r="AG136" s="231"/>
      <c r="AH136" s="231"/>
      <c r="AI136" s="231"/>
      <c r="AJ136" s="231"/>
      <c r="AK136" s="231"/>
      <c r="AL136" s="231"/>
      <c r="AM136" s="231"/>
      <c r="AN136" s="231"/>
      <c r="AO136" s="231"/>
    </row>
    <row r="137" spans="1:41" s="203" customFormat="1">
      <c r="A137" s="573" t="s">
        <v>109</v>
      </c>
      <c r="B137" s="567"/>
      <c r="C137" s="567"/>
      <c r="D137" s="567"/>
      <c r="E137" s="588"/>
      <c r="F137" s="534"/>
      <c r="G137" s="572"/>
      <c r="H137" s="534"/>
      <c r="I137" s="582"/>
      <c r="J137" s="583"/>
      <c r="K137" s="231"/>
      <c r="L137" s="231"/>
      <c r="M137" s="231"/>
      <c r="N137" s="231"/>
      <c r="O137" s="231"/>
      <c r="P137" s="231"/>
      <c r="Q137" s="231"/>
      <c r="R137" s="231"/>
      <c r="S137" s="231"/>
      <c r="T137" s="231"/>
      <c r="U137" s="231"/>
      <c r="V137" s="231"/>
      <c r="W137" s="231"/>
      <c r="X137" s="231"/>
      <c r="Y137" s="231"/>
      <c r="Z137" s="231"/>
      <c r="AA137" s="231"/>
      <c r="AB137" s="231"/>
      <c r="AC137" s="231"/>
      <c r="AD137" s="231"/>
      <c r="AE137" s="231"/>
      <c r="AF137" s="231"/>
      <c r="AG137" s="231"/>
      <c r="AH137" s="231"/>
      <c r="AI137" s="231"/>
      <c r="AJ137" s="231"/>
      <c r="AK137" s="231"/>
      <c r="AL137" s="231"/>
      <c r="AM137" s="231"/>
      <c r="AN137" s="231"/>
      <c r="AO137" s="231"/>
    </row>
    <row r="138" spans="1:41" s="203" customFormat="1">
      <c r="A138" s="799">
        <v>34</v>
      </c>
      <c r="B138" s="490" t="s">
        <v>123</v>
      </c>
      <c r="C138" s="490"/>
      <c r="D138" s="490"/>
      <c r="E138" s="492">
        <v>877</v>
      </c>
      <c r="F138" s="52">
        <v>629</v>
      </c>
      <c r="G138" s="572"/>
      <c r="H138" s="563">
        <v>716</v>
      </c>
      <c r="I138" s="582"/>
      <c r="J138" s="583"/>
      <c r="K138" s="231"/>
      <c r="L138" s="231"/>
      <c r="M138" s="231"/>
      <c r="N138" s="231"/>
      <c r="O138" s="231"/>
      <c r="P138" s="231"/>
      <c r="Q138" s="231"/>
      <c r="R138" s="231"/>
      <c r="S138" s="231"/>
      <c r="T138" s="231"/>
      <c r="U138" s="231"/>
      <c r="V138" s="231"/>
      <c r="W138" s="231"/>
      <c r="X138" s="231"/>
      <c r="Y138" s="231"/>
      <c r="Z138" s="231"/>
      <c r="AA138" s="231"/>
      <c r="AB138" s="231"/>
      <c r="AC138" s="231"/>
      <c r="AD138" s="231"/>
      <c r="AE138" s="231"/>
      <c r="AF138" s="231"/>
      <c r="AG138" s="231"/>
      <c r="AH138" s="231"/>
      <c r="AI138" s="231"/>
      <c r="AJ138" s="231"/>
      <c r="AK138" s="231"/>
      <c r="AL138" s="231"/>
      <c r="AM138" s="231"/>
      <c r="AN138" s="231"/>
      <c r="AO138" s="231"/>
    </row>
    <row r="139" spans="1:41" s="203" customFormat="1">
      <c r="A139" s="799">
        <v>35</v>
      </c>
      <c r="B139" s="490" t="s">
        <v>119</v>
      </c>
      <c r="C139" s="490"/>
      <c r="D139" s="490"/>
      <c r="E139" s="492">
        <v>5647</v>
      </c>
      <c r="F139" s="52">
        <v>6606</v>
      </c>
      <c r="G139" s="572"/>
      <c r="H139" s="563">
        <v>6788</v>
      </c>
      <c r="I139" s="582"/>
      <c r="J139" s="583"/>
      <c r="K139" s="231"/>
      <c r="L139" s="231"/>
      <c r="M139" s="231"/>
      <c r="N139" s="231"/>
      <c r="O139" s="231"/>
      <c r="P139" s="231"/>
      <c r="Q139" s="231"/>
      <c r="R139" s="231"/>
      <c r="S139" s="231"/>
      <c r="T139" s="231"/>
      <c r="U139" s="231"/>
      <c r="V139" s="231"/>
      <c r="W139" s="231"/>
      <c r="X139" s="231"/>
      <c r="Y139" s="231"/>
      <c r="Z139" s="231"/>
      <c r="AA139" s="231"/>
      <c r="AB139" s="231"/>
      <c r="AC139" s="231"/>
      <c r="AD139" s="231"/>
      <c r="AE139" s="231"/>
      <c r="AF139" s="231"/>
      <c r="AG139" s="231"/>
      <c r="AH139" s="231"/>
      <c r="AI139" s="231"/>
      <c r="AJ139" s="231"/>
      <c r="AK139" s="231"/>
      <c r="AL139" s="231"/>
      <c r="AM139" s="231"/>
      <c r="AN139" s="231"/>
      <c r="AO139" s="231"/>
    </row>
    <row r="140" spans="1:41" s="203" customFormat="1">
      <c r="A140" s="799">
        <v>36</v>
      </c>
      <c r="B140" s="490" t="s">
        <v>120</v>
      </c>
      <c r="C140" s="490"/>
      <c r="D140" s="490"/>
      <c r="E140" s="492">
        <v>1314</v>
      </c>
      <c r="F140" s="52">
        <v>728</v>
      </c>
      <c r="G140" s="572"/>
      <c r="H140" s="563">
        <v>850</v>
      </c>
      <c r="I140" s="582"/>
      <c r="J140" s="583"/>
      <c r="K140" s="231"/>
      <c r="L140" s="231"/>
      <c r="M140" s="231"/>
      <c r="N140" s="231"/>
      <c r="O140" s="231"/>
      <c r="P140" s="231"/>
      <c r="Q140" s="231"/>
      <c r="R140" s="231"/>
      <c r="S140" s="231"/>
      <c r="T140" s="231"/>
      <c r="U140" s="231"/>
      <c r="V140" s="231"/>
      <c r="W140" s="231"/>
      <c r="X140" s="231"/>
      <c r="Y140" s="231"/>
      <c r="Z140" s="231"/>
      <c r="AA140" s="231"/>
      <c r="AB140" s="231"/>
      <c r="AC140" s="231"/>
      <c r="AD140" s="231"/>
      <c r="AE140" s="231"/>
      <c r="AF140" s="231"/>
      <c r="AG140" s="231"/>
      <c r="AH140" s="231"/>
      <c r="AI140" s="231"/>
      <c r="AJ140" s="231"/>
      <c r="AK140" s="231"/>
      <c r="AL140" s="231"/>
      <c r="AM140" s="231"/>
      <c r="AN140" s="231"/>
      <c r="AO140" s="231"/>
    </row>
    <row r="141" spans="1:41" s="203" customFormat="1">
      <c r="A141" s="799">
        <v>37</v>
      </c>
      <c r="B141" s="517" t="s">
        <v>126</v>
      </c>
      <c r="C141" s="490"/>
      <c r="D141" s="490"/>
      <c r="E141" s="492">
        <v>1961</v>
      </c>
      <c r="F141" s="52">
        <v>1765</v>
      </c>
      <c r="G141" s="572"/>
      <c r="H141" s="543">
        <v>2313</v>
      </c>
      <c r="I141" s="582"/>
      <c r="J141" s="583"/>
      <c r="K141" s="231"/>
      <c r="L141" s="231"/>
      <c r="M141" s="231"/>
      <c r="N141" s="231"/>
      <c r="O141" s="231"/>
      <c r="P141" s="231"/>
      <c r="Q141" s="231"/>
      <c r="R141" s="231"/>
      <c r="S141" s="231"/>
      <c r="T141" s="231"/>
      <c r="U141" s="231"/>
      <c r="V141" s="231"/>
      <c r="W141" s="231"/>
      <c r="X141" s="231"/>
      <c r="Y141" s="231"/>
      <c r="Z141" s="231"/>
      <c r="AA141" s="231"/>
      <c r="AB141" s="231"/>
      <c r="AC141" s="231"/>
      <c r="AD141" s="231"/>
      <c r="AE141" s="231"/>
      <c r="AF141" s="231"/>
      <c r="AG141" s="231"/>
      <c r="AH141" s="231"/>
      <c r="AI141" s="231"/>
      <c r="AJ141" s="231"/>
      <c r="AK141" s="231"/>
      <c r="AL141" s="231"/>
      <c r="AM141" s="231"/>
      <c r="AN141" s="231"/>
      <c r="AO141" s="231"/>
    </row>
    <row r="142" spans="1:41" s="203" customFormat="1">
      <c r="A142" s="799">
        <v>38</v>
      </c>
      <c r="B142" s="490" t="s">
        <v>121</v>
      </c>
      <c r="C142" s="490"/>
      <c r="D142" s="490"/>
      <c r="E142" s="492">
        <v>11919</v>
      </c>
      <c r="F142" s="52">
        <v>12363</v>
      </c>
      <c r="G142" s="572"/>
      <c r="H142" s="544">
        <v>10511</v>
      </c>
      <c r="I142" s="582"/>
      <c r="J142" s="583"/>
      <c r="K142" s="231"/>
      <c r="L142" s="231"/>
      <c r="M142" s="231"/>
      <c r="N142" s="231"/>
      <c r="O142" s="231"/>
      <c r="P142" s="231"/>
      <c r="Q142" s="231"/>
      <c r="R142" s="231"/>
      <c r="S142" s="231"/>
      <c r="T142" s="231"/>
      <c r="U142" s="231"/>
      <c r="V142" s="231"/>
      <c r="W142" s="231"/>
      <c r="X142" s="231"/>
      <c r="Y142" s="231"/>
      <c r="Z142" s="231"/>
      <c r="AA142" s="231"/>
      <c r="AB142" s="231"/>
      <c r="AC142" s="231"/>
      <c r="AD142" s="231"/>
      <c r="AE142" s="231"/>
      <c r="AF142" s="231"/>
      <c r="AG142" s="231"/>
      <c r="AH142" s="231"/>
      <c r="AI142" s="231"/>
      <c r="AJ142" s="231"/>
      <c r="AK142" s="231"/>
      <c r="AL142" s="231"/>
      <c r="AM142" s="231"/>
      <c r="AN142" s="231"/>
      <c r="AO142" s="231"/>
    </row>
    <row r="143" spans="1:41" s="203" customFormat="1">
      <c r="A143" s="799">
        <v>39</v>
      </c>
      <c r="B143" s="567" t="s">
        <v>129</v>
      </c>
      <c r="C143" s="567"/>
      <c r="D143" s="567"/>
      <c r="E143" s="522">
        <v>21718</v>
      </c>
      <c r="F143" s="590">
        <f>SUM(F138:F142)</f>
        <v>22091</v>
      </c>
      <c r="G143" s="572"/>
      <c r="H143" s="590">
        <f>SUM(H138:H142)</f>
        <v>21178</v>
      </c>
      <c r="I143" s="582"/>
      <c r="J143" s="583"/>
      <c r="K143" s="231"/>
      <c r="L143" s="231"/>
      <c r="M143" s="231"/>
      <c r="N143" s="231"/>
      <c r="O143" s="231"/>
      <c r="P143" s="231"/>
      <c r="Q143" s="231"/>
      <c r="R143" s="231"/>
      <c r="S143" s="231"/>
      <c r="T143" s="231"/>
      <c r="U143" s="231"/>
      <c r="V143" s="231"/>
      <c r="W143" s="231"/>
      <c r="X143" s="231"/>
      <c r="Y143" s="231"/>
      <c r="Z143" s="231"/>
      <c r="AA143" s="231"/>
      <c r="AB143" s="231"/>
      <c r="AC143" s="231"/>
      <c r="AD143" s="231"/>
      <c r="AE143" s="231"/>
      <c r="AF143" s="231"/>
      <c r="AG143" s="231"/>
      <c r="AH143" s="231"/>
      <c r="AI143" s="231"/>
      <c r="AJ143" s="231"/>
      <c r="AK143" s="231"/>
      <c r="AL143" s="231"/>
      <c r="AM143" s="231"/>
      <c r="AN143" s="231"/>
      <c r="AO143" s="231"/>
    </row>
    <row r="144" spans="1:41" s="203" customFormat="1">
      <c r="A144" s="557"/>
      <c r="B144" s="490"/>
      <c r="C144" s="490"/>
      <c r="D144" s="490"/>
      <c r="E144" s="571"/>
      <c r="F144" s="572"/>
      <c r="G144" s="572"/>
      <c r="H144" s="572"/>
      <c r="I144" s="582"/>
      <c r="J144" s="583"/>
      <c r="K144" s="231"/>
      <c r="L144" s="231"/>
      <c r="M144" s="231"/>
      <c r="N144" s="231"/>
      <c r="O144" s="231"/>
      <c r="P144" s="231"/>
      <c r="Q144" s="231"/>
      <c r="R144" s="231"/>
      <c r="S144" s="231"/>
      <c r="T144" s="231"/>
      <c r="U144" s="231"/>
      <c r="V144" s="231"/>
      <c r="W144" s="231"/>
      <c r="X144" s="231"/>
      <c r="Y144" s="231"/>
      <c r="Z144" s="231"/>
      <c r="AA144" s="231"/>
      <c r="AB144" s="231"/>
      <c r="AC144" s="231"/>
      <c r="AD144" s="231"/>
      <c r="AE144" s="231"/>
      <c r="AF144" s="231"/>
      <c r="AG144" s="231"/>
      <c r="AH144" s="231"/>
      <c r="AI144" s="231"/>
      <c r="AJ144" s="231"/>
      <c r="AK144" s="231"/>
      <c r="AL144" s="231"/>
      <c r="AM144" s="231"/>
      <c r="AN144" s="231"/>
      <c r="AO144" s="231"/>
    </row>
    <row r="145" spans="1:41" s="203" customFormat="1">
      <c r="A145" s="573" t="s">
        <v>110</v>
      </c>
      <c r="B145" s="567"/>
      <c r="C145" s="567"/>
      <c r="D145" s="567"/>
      <c r="E145" s="588"/>
      <c r="F145" s="534"/>
      <c r="G145" s="572"/>
      <c r="H145" s="534"/>
      <c r="I145" s="582"/>
      <c r="J145" s="583"/>
      <c r="K145" s="231"/>
      <c r="L145" s="231"/>
      <c r="M145" s="231"/>
      <c r="N145" s="231"/>
      <c r="O145" s="231"/>
      <c r="P145" s="231"/>
      <c r="Q145" s="231"/>
      <c r="R145" s="231"/>
      <c r="S145" s="231"/>
      <c r="T145" s="231"/>
      <c r="U145" s="231"/>
      <c r="V145" s="231"/>
      <c r="W145" s="231"/>
      <c r="X145" s="231"/>
      <c r="Y145" s="231"/>
      <c r="Z145" s="231"/>
      <c r="AA145" s="231"/>
      <c r="AB145" s="231"/>
      <c r="AC145" s="231"/>
      <c r="AD145" s="231"/>
      <c r="AE145" s="231"/>
      <c r="AF145" s="231"/>
      <c r="AG145" s="231"/>
      <c r="AH145" s="231"/>
      <c r="AI145" s="231"/>
      <c r="AJ145" s="231"/>
      <c r="AK145" s="231"/>
      <c r="AL145" s="231"/>
      <c r="AM145" s="231"/>
      <c r="AN145" s="231"/>
      <c r="AO145" s="231"/>
    </row>
    <row r="146" spans="1:41" s="203" customFormat="1">
      <c r="A146" s="799">
        <v>40</v>
      </c>
      <c r="B146" s="490" t="s">
        <v>123</v>
      </c>
      <c r="C146" s="490"/>
      <c r="D146" s="490"/>
      <c r="E146" s="492">
        <v>1687</v>
      </c>
      <c r="F146" s="52">
        <v>2176</v>
      </c>
      <c r="G146" s="572"/>
      <c r="H146" s="563">
        <v>2240</v>
      </c>
      <c r="I146" s="582"/>
      <c r="J146" s="583"/>
      <c r="K146" s="231"/>
      <c r="L146" s="231"/>
      <c r="M146" s="231"/>
      <c r="N146" s="231"/>
      <c r="O146" s="231"/>
      <c r="P146" s="231"/>
      <c r="Q146" s="231"/>
      <c r="R146" s="231"/>
      <c r="S146" s="231"/>
      <c r="T146" s="231"/>
      <c r="U146" s="231"/>
      <c r="V146" s="231"/>
      <c r="W146" s="231"/>
      <c r="X146" s="231"/>
      <c r="Y146" s="231"/>
      <c r="Z146" s="231"/>
      <c r="AA146" s="231"/>
      <c r="AB146" s="231"/>
      <c r="AC146" s="231"/>
      <c r="AD146" s="231"/>
      <c r="AE146" s="231"/>
      <c r="AF146" s="231"/>
      <c r="AG146" s="231"/>
      <c r="AH146" s="231"/>
      <c r="AI146" s="231"/>
      <c r="AJ146" s="231"/>
      <c r="AK146" s="231"/>
      <c r="AL146" s="231"/>
      <c r="AM146" s="231"/>
      <c r="AN146" s="231"/>
      <c r="AO146" s="231"/>
    </row>
    <row r="147" spans="1:41" s="203" customFormat="1">
      <c r="A147" s="799">
        <v>41</v>
      </c>
      <c r="B147" s="490" t="s">
        <v>119</v>
      </c>
      <c r="C147" s="490"/>
      <c r="D147" s="490"/>
      <c r="E147" s="492">
        <v>-84</v>
      </c>
      <c r="F147" s="52">
        <v>399</v>
      </c>
      <c r="G147" s="572"/>
      <c r="H147" s="563">
        <v>18</v>
      </c>
      <c r="I147" s="582"/>
      <c r="J147" s="583"/>
      <c r="K147" s="231"/>
      <c r="L147" s="231"/>
      <c r="M147" s="231"/>
      <c r="N147" s="231"/>
      <c r="O147" s="231"/>
      <c r="P147" s="231"/>
      <c r="Q147" s="231"/>
      <c r="R147" s="231"/>
      <c r="S147" s="231"/>
      <c r="T147" s="231"/>
      <c r="U147" s="231"/>
      <c r="V147" s="231"/>
      <c r="W147" s="231"/>
      <c r="X147" s="231"/>
      <c r="Y147" s="231"/>
      <c r="Z147" s="231"/>
      <c r="AA147" s="231"/>
      <c r="AB147" s="231"/>
      <c r="AC147" s="231"/>
      <c r="AD147" s="231"/>
      <c r="AE147" s="231"/>
      <c r="AF147" s="231"/>
      <c r="AG147" s="231"/>
      <c r="AH147" s="231"/>
      <c r="AI147" s="231"/>
      <c r="AJ147" s="231"/>
      <c r="AK147" s="231"/>
      <c r="AL147" s="231"/>
      <c r="AM147" s="231"/>
      <c r="AN147" s="231"/>
      <c r="AO147" s="231"/>
    </row>
    <row r="148" spans="1:41" s="203" customFormat="1">
      <c r="A148" s="799">
        <v>42</v>
      </c>
      <c r="B148" s="490" t="s">
        <v>120</v>
      </c>
      <c r="C148" s="490"/>
      <c r="D148" s="490"/>
      <c r="E148" s="492">
        <v>820</v>
      </c>
      <c r="F148" s="52">
        <v>780</v>
      </c>
      <c r="G148" s="572"/>
      <c r="H148" s="563">
        <v>942</v>
      </c>
      <c r="I148" s="582"/>
      <c r="J148" s="583"/>
      <c r="K148" s="231"/>
      <c r="L148" s="231"/>
      <c r="M148" s="231"/>
      <c r="N148" s="231"/>
      <c r="O148" s="231"/>
      <c r="P148" s="231"/>
      <c r="Q148" s="231"/>
      <c r="R148" s="231"/>
      <c r="S148" s="231"/>
      <c r="T148" s="231"/>
      <c r="U148" s="231"/>
      <c r="V148" s="231"/>
      <c r="W148" s="231"/>
      <c r="X148" s="231"/>
      <c r="Y148" s="231"/>
      <c r="Z148" s="231"/>
      <c r="AA148" s="231"/>
      <c r="AB148" s="231"/>
      <c r="AC148" s="231"/>
      <c r="AD148" s="231"/>
      <c r="AE148" s="231"/>
      <c r="AF148" s="231"/>
      <c r="AG148" s="231"/>
      <c r="AH148" s="231"/>
      <c r="AI148" s="231"/>
      <c r="AJ148" s="231"/>
      <c r="AK148" s="231"/>
      <c r="AL148" s="231"/>
      <c r="AM148" s="231"/>
      <c r="AN148" s="231"/>
      <c r="AO148" s="231"/>
    </row>
    <row r="149" spans="1:41" s="203" customFormat="1">
      <c r="A149" s="799">
        <v>43</v>
      </c>
      <c r="B149" s="490" t="s">
        <v>121</v>
      </c>
      <c r="C149" s="490"/>
      <c r="D149" s="490"/>
      <c r="E149" s="492">
        <v>1693</v>
      </c>
      <c r="F149" s="52">
        <v>1747</v>
      </c>
      <c r="G149" s="572"/>
      <c r="H149" s="544">
        <v>1680</v>
      </c>
      <c r="I149" s="582"/>
      <c r="J149" s="583"/>
      <c r="K149" s="231"/>
      <c r="L149" s="231"/>
      <c r="M149" s="231"/>
      <c r="N149" s="231"/>
      <c r="O149" s="231"/>
      <c r="P149" s="231"/>
      <c r="Q149" s="231"/>
      <c r="R149" s="231"/>
      <c r="S149" s="231"/>
      <c r="T149" s="231"/>
      <c r="U149" s="231"/>
      <c r="V149" s="231"/>
      <c r="W149" s="231"/>
      <c r="X149" s="231"/>
      <c r="Y149" s="231"/>
      <c r="Z149" s="231"/>
      <c r="AA149" s="231"/>
      <c r="AB149" s="231"/>
      <c r="AC149" s="231"/>
      <c r="AD149" s="231"/>
      <c r="AE149" s="231"/>
      <c r="AF149" s="231"/>
      <c r="AG149" s="231"/>
      <c r="AH149" s="231"/>
      <c r="AI149" s="231"/>
      <c r="AJ149" s="231"/>
      <c r="AK149" s="231"/>
      <c r="AL149" s="231"/>
      <c r="AM149" s="231"/>
      <c r="AN149" s="231"/>
      <c r="AO149" s="231"/>
    </row>
    <row r="150" spans="1:41" s="203" customFormat="1">
      <c r="A150" s="800">
        <v>44</v>
      </c>
      <c r="B150" s="538" t="s">
        <v>130</v>
      </c>
      <c r="C150" s="538"/>
      <c r="D150" s="538"/>
      <c r="E150" s="522">
        <v>4116</v>
      </c>
      <c r="F150" s="590">
        <f>SUM(F146:F149)</f>
        <v>5102</v>
      </c>
      <c r="G150" s="595"/>
      <c r="H150" s="590">
        <f>SUM(H146:H149)</f>
        <v>4880</v>
      </c>
      <c r="I150" s="582"/>
      <c r="J150" s="583"/>
      <c r="K150" s="231"/>
      <c r="L150" s="231"/>
      <c r="M150" s="231"/>
      <c r="N150" s="231"/>
      <c r="O150" s="231"/>
      <c r="P150" s="231"/>
      <c r="Q150" s="231"/>
      <c r="R150" s="231"/>
      <c r="S150" s="231"/>
      <c r="T150" s="231"/>
      <c r="U150" s="231"/>
      <c r="V150" s="231"/>
      <c r="W150" s="231"/>
      <c r="X150" s="231"/>
      <c r="Y150" s="231"/>
      <c r="Z150" s="231"/>
      <c r="AA150" s="231"/>
      <c r="AB150" s="231"/>
      <c r="AC150" s="231"/>
      <c r="AD150" s="231"/>
      <c r="AE150" s="231"/>
      <c r="AF150" s="231"/>
      <c r="AG150" s="231"/>
      <c r="AH150" s="231"/>
      <c r="AI150" s="231"/>
      <c r="AJ150" s="231"/>
      <c r="AK150" s="231"/>
      <c r="AL150" s="231"/>
      <c r="AM150" s="231"/>
      <c r="AN150" s="231"/>
      <c r="AO150" s="231"/>
    </row>
    <row r="151" spans="1:41" s="203" customFormat="1">
      <c r="A151" s="596"/>
      <c r="B151" s="578"/>
      <c r="C151" s="578"/>
      <c r="D151" s="597"/>
      <c r="E151" s="598"/>
      <c r="F151" s="459"/>
      <c r="G151" s="459"/>
      <c r="H151" s="457"/>
      <c r="I151" s="459"/>
      <c r="J151" s="452"/>
      <c r="K151" s="231"/>
      <c r="L151" s="231"/>
      <c r="M151" s="231"/>
      <c r="N151" s="231"/>
      <c r="O151" s="231"/>
      <c r="P151" s="231"/>
      <c r="Q151" s="231"/>
      <c r="R151" s="231"/>
      <c r="S151" s="231"/>
      <c r="T151" s="231"/>
      <c r="U151" s="231"/>
      <c r="V151" s="231"/>
      <c r="W151" s="231"/>
      <c r="X151" s="231"/>
      <c r="Y151" s="231"/>
      <c r="Z151" s="231"/>
      <c r="AA151" s="231"/>
      <c r="AB151" s="231"/>
      <c r="AC151" s="231"/>
      <c r="AD151" s="231"/>
      <c r="AE151" s="231"/>
      <c r="AF151" s="231"/>
      <c r="AG151" s="231"/>
      <c r="AH151" s="231"/>
      <c r="AI151" s="231"/>
      <c r="AJ151" s="231"/>
      <c r="AK151" s="231"/>
      <c r="AL151" s="231"/>
      <c r="AM151" s="231"/>
      <c r="AN151" s="231"/>
      <c r="AO151" s="231"/>
    </row>
    <row r="152" spans="1:41" s="203" customFormat="1">
      <c r="A152" s="596"/>
      <c r="B152" s="578"/>
      <c r="C152" s="578"/>
      <c r="D152" s="599"/>
      <c r="E152" s="600"/>
      <c r="F152" s="459"/>
      <c r="G152" s="459"/>
      <c r="H152" s="550" t="s">
        <v>27</v>
      </c>
      <c r="I152" s="459"/>
      <c r="J152" s="452"/>
      <c r="K152" s="231"/>
      <c r="L152" s="231"/>
      <c r="M152" s="231"/>
      <c r="N152" s="231"/>
      <c r="O152" s="231"/>
      <c r="P152" s="231"/>
      <c r="Q152" s="231"/>
      <c r="R152" s="231"/>
      <c r="S152" s="231"/>
      <c r="T152" s="231"/>
      <c r="U152" s="231"/>
      <c r="V152" s="231"/>
      <c r="W152" s="231"/>
      <c r="X152" s="231"/>
      <c r="Y152" s="231"/>
      <c r="Z152" s="231"/>
      <c r="AA152" s="231"/>
      <c r="AB152" s="231"/>
      <c r="AC152" s="231"/>
      <c r="AD152" s="231"/>
      <c r="AE152" s="231"/>
      <c r="AF152" s="231"/>
      <c r="AG152" s="231"/>
      <c r="AH152" s="231"/>
      <c r="AI152" s="231"/>
      <c r="AJ152" s="231"/>
      <c r="AK152" s="231"/>
      <c r="AL152" s="231"/>
      <c r="AM152" s="231"/>
      <c r="AN152" s="231"/>
      <c r="AO152" s="231"/>
    </row>
    <row r="153" spans="1:41" s="203" customFormat="1">
      <c r="A153" s="552" t="s">
        <v>20</v>
      </c>
      <c r="B153" s="553"/>
      <c r="C153" s="553"/>
      <c r="D153" s="553"/>
      <c r="E153" s="910" t="s">
        <v>377</v>
      </c>
      <c r="F153" s="910" t="s">
        <v>402</v>
      </c>
      <c r="G153" s="579"/>
      <c r="H153" s="910" t="s">
        <v>403</v>
      </c>
      <c r="I153" s="579"/>
      <c r="J153" s="477"/>
      <c r="K153" s="231"/>
      <c r="L153" s="231"/>
      <c r="M153" s="231"/>
      <c r="N153" s="231"/>
      <c r="O153" s="231"/>
      <c r="P153" s="231"/>
      <c r="Q153" s="231"/>
      <c r="R153" s="231"/>
      <c r="S153" s="231"/>
      <c r="T153" s="231"/>
      <c r="U153" s="231"/>
      <c r="V153" s="231"/>
      <c r="W153" s="231"/>
      <c r="X153" s="231"/>
      <c r="Y153" s="231"/>
      <c r="Z153" s="231"/>
      <c r="AA153" s="231"/>
      <c r="AB153" s="231"/>
      <c r="AC153" s="231"/>
      <c r="AD153" s="231"/>
      <c r="AE153" s="231"/>
      <c r="AF153" s="231"/>
      <c r="AG153" s="231"/>
      <c r="AH153" s="231"/>
      <c r="AI153" s="231"/>
      <c r="AJ153" s="231"/>
      <c r="AK153" s="231"/>
      <c r="AL153" s="231"/>
      <c r="AM153" s="231"/>
      <c r="AN153" s="231"/>
      <c r="AO153" s="231"/>
    </row>
    <row r="154" spans="1:41" s="203" customFormat="1">
      <c r="A154" s="601"/>
      <c r="B154" s="581"/>
      <c r="C154" s="581"/>
      <c r="D154" s="581"/>
      <c r="E154" s="911"/>
      <c r="F154" s="911"/>
      <c r="G154" s="579"/>
      <c r="H154" s="911"/>
      <c r="I154" s="579"/>
      <c r="J154" s="477"/>
      <c r="K154" s="231"/>
      <c r="L154" s="231"/>
      <c r="M154" s="231"/>
      <c r="N154" s="231"/>
      <c r="O154" s="231"/>
      <c r="P154" s="231"/>
      <c r="Q154" s="231"/>
      <c r="R154" s="231"/>
      <c r="S154" s="231"/>
      <c r="T154" s="231"/>
      <c r="U154" s="231"/>
      <c r="V154" s="231"/>
      <c r="W154" s="231"/>
      <c r="X154" s="231"/>
      <c r="Y154" s="231"/>
      <c r="Z154" s="231"/>
      <c r="AA154" s="231"/>
      <c r="AB154" s="231"/>
      <c r="AC154" s="231"/>
      <c r="AD154" s="231"/>
      <c r="AE154" s="231"/>
      <c r="AF154" s="231"/>
      <c r="AG154" s="231"/>
      <c r="AH154" s="231"/>
      <c r="AI154" s="231"/>
      <c r="AJ154" s="231"/>
      <c r="AK154" s="231"/>
      <c r="AL154" s="231"/>
      <c r="AM154" s="231"/>
      <c r="AN154" s="231"/>
      <c r="AO154" s="231"/>
    </row>
    <row r="155" spans="1:41" s="203" customFormat="1">
      <c r="A155" s="602" t="s">
        <v>131</v>
      </c>
      <c r="B155" s="567"/>
      <c r="C155" s="567"/>
      <c r="D155" s="567"/>
      <c r="E155" s="911"/>
      <c r="F155" s="911"/>
      <c r="G155" s="579"/>
      <c r="H155" s="911"/>
      <c r="I155" s="579"/>
      <c r="J155" s="477"/>
      <c r="K155" s="231"/>
      <c r="L155" s="231"/>
      <c r="M155" s="231"/>
      <c r="N155" s="231"/>
      <c r="O155" s="231"/>
      <c r="P155" s="231"/>
      <c r="Q155" s="231"/>
      <c r="R155" s="231"/>
      <c r="S155" s="231"/>
      <c r="T155" s="231"/>
      <c r="U155" s="231"/>
      <c r="V155" s="231"/>
      <c r="W155" s="231"/>
      <c r="X155" s="231"/>
      <c r="Y155" s="231"/>
      <c r="Z155" s="231"/>
      <c r="AA155" s="231"/>
      <c r="AB155" s="231"/>
      <c r="AC155" s="231"/>
      <c r="AD155" s="231"/>
      <c r="AE155" s="231"/>
      <c r="AF155" s="231"/>
      <c r="AG155" s="231"/>
      <c r="AH155" s="231"/>
      <c r="AI155" s="231"/>
      <c r="AJ155" s="231"/>
      <c r="AK155" s="231"/>
      <c r="AL155" s="231"/>
      <c r="AM155" s="231"/>
      <c r="AN155" s="231"/>
      <c r="AO155" s="231"/>
    </row>
    <row r="156" spans="1:41" s="203" customFormat="1" ht="12.75" customHeight="1">
      <c r="A156" s="555" t="s">
        <v>83</v>
      </c>
      <c r="B156" s="490"/>
      <c r="C156" s="490"/>
      <c r="D156" s="490"/>
      <c r="E156" s="911"/>
      <c r="F156" s="911"/>
      <c r="G156" s="579"/>
      <c r="H156" s="911"/>
      <c r="I156" s="579"/>
      <c r="J156" s="477"/>
      <c r="K156" s="231"/>
      <c r="L156" s="231"/>
      <c r="M156" s="231"/>
      <c r="N156" s="231"/>
      <c r="O156" s="231"/>
      <c r="P156" s="231"/>
      <c r="Q156" s="231"/>
      <c r="R156" s="231"/>
      <c r="S156" s="231"/>
      <c r="T156" s="231"/>
      <c r="U156" s="231"/>
      <c r="V156" s="231"/>
      <c r="W156" s="231"/>
      <c r="X156" s="231"/>
      <c r="Y156" s="231"/>
      <c r="Z156" s="231"/>
      <c r="AA156" s="231"/>
      <c r="AB156" s="231"/>
      <c r="AC156" s="231"/>
      <c r="AD156" s="231"/>
      <c r="AE156" s="231"/>
      <c r="AF156" s="231"/>
      <c r="AG156" s="231"/>
      <c r="AH156" s="231"/>
      <c r="AI156" s="231"/>
      <c r="AJ156" s="231"/>
      <c r="AK156" s="231"/>
      <c r="AL156" s="231"/>
      <c r="AM156" s="231"/>
      <c r="AN156" s="231"/>
      <c r="AO156" s="231"/>
    </row>
    <row r="157" spans="1:41" s="203" customFormat="1">
      <c r="A157" s="556" t="s">
        <v>84</v>
      </c>
      <c r="B157" s="581"/>
      <c r="C157" s="581"/>
      <c r="D157" s="581"/>
      <c r="E157" s="912"/>
      <c r="F157" s="912"/>
      <c r="G157" s="579"/>
      <c r="H157" s="912"/>
      <c r="I157" s="579"/>
      <c r="J157" s="477"/>
      <c r="K157" s="231"/>
      <c r="L157" s="231"/>
      <c r="M157" s="231"/>
      <c r="N157" s="231"/>
      <c r="O157" s="231"/>
      <c r="P157" s="231"/>
      <c r="Q157" s="231"/>
      <c r="R157" s="231"/>
      <c r="S157" s="231"/>
      <c r="T157" s="231"/>
      <c r="U157" s="231"/>
      <c r="V157" s="231"/>
      <c r="W157" s="231"/>
      <c r="X157" s="231"/>
      <c r="Y157" s="231"/>
      <c r="Z157" s="231"/>
      <c r="AA157" s="231"/>
      <c r="AB157" s="231"/>
      <c r="AC157" s="231"/>
      <c r="AD157" s="231"/>
      <c r="AE157" s="231"/>
      <c r="AF157" s="231"/>
      <c r="AG157" s="231"/>
      <c r="AH157" s="231"/>
      <c r="AI157" s="231"/>
      <c r="AJ157" s="231"/>
      <c r="AK157" s="231"/>
      <c r="AL157" s="231"/>
      <c r="AM157" s="231"/>
      <c r="AN157" s="231"/>
      <c r="AO157" s="231"/>
    </row>
    <row r="158" spans="1:41" s="203" customFormat="1">
      <c r="A158" s="573" t="s">
        <v>132</v>
      </c>
      <c r="B158" s="490"/>
      <c r="C158" s="490"/>
      <c r="D158" s="490"/>
      <c r="E158" s="603"/>
      <c r="F158" s="534" t="s">
        <v>133</v>
      </c>
      <c r="G158" s="572"/>
      <c r="H158" s="534"/>
      <c r="I158" s="459"/>
      <c r="J158" s="452"/>
      <c r="K158" s="231"/>
      <c r="L158" s="231"/>
      <c r="M158" s="231"/>
      <c r="N158" s="231"/>
      <c r="O158" s="231"/>
      <c r="P158" s="231"/>
      <c r="Q158" s="231"/>
      <c r="R158" s="231"/>
      <c r="S158" s="231"/>
      <c r="T158" s="231"/>
      <c r="U158" s="231"/>
      <c r="V158" s="231"/>
      <c r="W158" s="231"/>
      <c r="X158" s="231"/>
      <c r="Y158" s="231"/>
      <c r="Z158" s="231"/>
      <c r="AA158" s="231"/>
      <c r="AB158" s="231"/>
      <c r="AC158" s="231"/>
      <c r="AD158" s="231"/>
      <c r="AE158" s="231"/>
      <c r="AF158" s="231"/>
      <c r="AG158" s="231"/>
      <c r="AH158" s="231"/>
      <c r="AI158" s="231"/>
      <c r="AJ158" s="231"/>
      <c r="AK158" s="231"/>
      <c r="AL158" s="231"/>
      <c r="AM158" s="231"/>
      <c r="AN158" s="231"/>
      <c r="AO158" s="231"/>
    </row>
    <row r="159" spans="1:41" s="203" customFormat="1">
      <c r="A159" s="799">
        <v>1</v>
      </c>
      <c r="B159" s="490" t="s">
        <v>134</v>
      </c>
      <c r="C159" s="490"/>
      <c r="D159" s="490"/>
      <c r="E159" s="516">
        <v>0</v>
      </c>
      <c r="F159" s="52">
        <v>0</v>
      </c>
      <c r="G159" s="572"/>
      <c r="H159" s="563">
        <v>0</v>
      </c>
      <c r="I159" s="459"/>
      <c r="J159" s="452"/>
      <c r="K159" s="231"/>
      <c r="L159" s="231"/>
      <c r="M159" s="231"/>
      <c r="N159" s="231"/>
      <c r="O159" s="231"/>
      <c r="P159" s="231"/>
      <c r="Q159" s="231"/>
      <c r="R159" s="231"/>
      <c r="S159" s="231"/>
      <c r="T159" s="231"/>
      <c r="U159" s="231"/>
      <c r="V159" s="231"/>
      <c r="W159" s="231"/>
      <c r="X159" s="231"/>
      <c r="Y159" s="231"/>
      <c r="Z159" s="231"/>
      <c r="AA159" s="231"/>
      <c r="AB159" s="231"/>
      <c r="AC159" s="231"/>
      <c r="AD159" s="231"/>
      <c r="AE159" s="231"/>
      <c r="AF159" s="231"/>
      <c r="AG159" s="231"/>
      <c r="AH159" s="231"/>
      <c r="AI159" s="231"/>
      <c r="AJ159" s="231"/>
      <c r="AK159" s="231"/>
      <c r="AL159" s="231"/>
      <c r="AM159" s="231"/>
      <c r="AN159" s="231"/>
      <c r="AO159" s="231"/>
    </row>
    <row r="160" spans="1:41" s="203" customFormat="1">
      <c r="A160" s="799">
        <v>2</v>
      </c>
      <c r="B160" s="490" t="s">
        <v>135</v>
      </c>
      <c r="C160" s="490"/>
      <c r="D160" s="490"/>
      <c r="E160" s="492">
        <v>1727</v>
      </c>
      <c r="F160" s="52">
        <v>2178</v>
      </c>
      <c r="G160" s="572"/>
      <c r="H160" s="563">
        <v>1727</v>
      </c>
      <c r="I160" s="459"/>
      <c r="J160" s="452"/>
      <c r="K160" s="231"/>
      <c r="L160" s="231"/>
      <c r="M160" s="231"/>
      <c r="N160" s="231"/>
      <c r="O160" s="231"/>
      <c r="P160" s="231"/>
      <c r="Q160" s="231"/>
      <c r="R160" s="231"/>
      <c r="S160" s="231"/>
      <c r="T160" s="231"/>
      <c r="U160" s="231"/>
      <c r="V160" s="231"/>
      <c r="W160" s="231"/>
      <c r="X160" s="231"/>
      <c r="Y160" s="231"/>
      <c r="Z160" s="231"/>
      <c r="AA160" s="231"/>
      <c r="AB160" s="231"/>
      <c r="AC160" s="231"/>
      <c r="AD160" s="231"/>
      <c r="AE160" s="231"/>
      <c r="AF160" s="231"/>
      <c r="AG160" s="231"/>
      <c r="AH160" s="231"/>
      <c r="AI160" s="231"/>
      <c r="AJ160" s="231"/>
      <c r="AK160" s="231"/>
      <c r="AL160" s="231"/>
      <c r="AM160" s="231"/>
      <c r="AN160" s="231"/>
      <c r="AO160" s="231"/>
    </row>
    <row r="161" spans="1:41" s="203" customFormat="1">
      <c r="A161" s="799">
        <v>3</v>
      </c>
      <c r="B161" s="490" t="s">
        <v>136</v>
      </c>
      <c r="C161" s="490"/>
      <c r="D161" s="490"/>
      <c r="E161" s="564">
        <v>3813</v>
      </c>
      <c r="F161" s="52">
        <v>3437</v>
      </c>
      <c r="G161" s="572"/>
      <c r="H161" s="563">
        <v>4211</v>
      </c>
      <c r="I161" s="459"/>
      <c r="J161" s="452"/>
      <c r="K161" s="231"/>
      <c r="L161" s="231"/>
      <c r="M161" s="231"/>
      <c r="N161" s="231"/>
      <c r="O161" s="231"/>
      <c r="P161" s="231"/>
      <c r="Q161" s="231"/>
      <c r="R161" s="231"/>
      <c r="S161" s="231"/>
      <c r="T161" s="231"/>
      <c r="U161" s="231"/>
      <c r="V161" s="231"/>
      <c r="W161" s="231"/>
      <c r="X161" s="231"/>
      <c r="Y161" s="231"/>
      <c r="Z161" s="231"/>
      <c r="AA161" s="231"/>
      <c r="AB161" s="231"/>
      <c r="AC161" s="231"/>
      <c r="AD161" s="231"/>
      <c r="AE161" s="231"/>
      <c r="AF161" s="231"/>
      <c r="AG161" s="231"/>
      <c r="AH161" s="231"/>
      <c r="AI161" s="231"/>
      <c r="AJ161" s="231"/>
      <c r="AK161" s="231"/>
      <c r="AL161" s="231"/>
      <c r="AM161" s="231"/>
      <c r="AN161" s="231"/>
      <c r="AO161" s="231"/>
    </row>
    <row r="162" spans="1:41" s="203" customFormat="1">
      <c r="A162" s="799">
        <v>4</v>
      </c>
      <c r="B162" s="490" t="s">
        <v>137</v>
      </c>
      <c r="C162" s="490"/>
      <c r="D162" s="490"/>
      <c r="E162" s="564">
        <v>3393</v>
      </c>
      <c r="F162" s="52">
        <v>2438</v>
      </c>
      <c r="G162" s="572"/>
      <c r="H162" s="544">
        <v>2285</v>
      </c>
      <c r="I162" s="459"/>
      <c r="J162" s="452"/>
      <c r="K162" s="231"/>
      <c r="L162" s="231"/>
      <c r="M162" s="231"/>
      <c r="N162" s="231"/>
      <c r="O162" s="231"/>
      <c r="P162" s="231"/>
      <c r="Q162" s="231"/>
      <c r="R162" s="231"/>
      <c r="S162" s="231"/>
      <c r="T162" s="231"/>
      <c r="U162" s="231"/>
      <c r="V162" s="231"/>
      <c r="W162" s="231"/>
      <c r="X162" s="231"/>
      <c r="Y162" s="231"/>
      <c r="Z162" s="231"/>
      <c r="AA162" s="231"/>
      <c r="AB162" s="231"/>
      <c r="AC162" s="231"/>
      <c r="AD162" s="231"/>
      <c r="AE162" s="231"/>
      <c r="AF162" s="231"/>
      <c r="AG162" s="231"/>
      <c r="AH162" s="231"/>
      <c r="AI162" s="231"/>
      <c r="AJ162" s="231"/>
      <c r="AK162" s="231"/>
      <c r="AL162" s="231"/>
      <c r="AM162" s="231"/>
      <c r="AN162" s="231"/>
      <c r="AO162" s="231"/>
    </row>
    <row r="163" spans="1:41" s="203" customFormat="1">
      <c r="A163" s="799">
        <v>5</v>
      </c>
      <c r="B163" s="567" t="s">
        <v>138</v>
      </c>
      <c r="C163" s="567"/>
      <c r="D163" s="567"/>
      <c r="E163" s="522">
        <v>8933</v>
      </c>
      <c r="F163" s="590">
        <f>SUM(F159:F162)</f>
        <v>8053</v>
      </c>
      <c r="G163" s="572"/>
      <c r="H163" s="590">
        <f>SUM(H159:H162)</f>
        <v>8223</v>
      </c>
      <c r="I163" s="459"/>
      <c r="J163" s="452"/>
      <c r="K163" s="231"/>
      <c r="L163" s="231"/>
      <c r="M163" s="231"/>
      <c r="N163" s="231"/>
      <c r="O163" s="231"/>
      <c r="P163" s="231"/>
      <c r="Q163" s="231"/>
      <c r="R163" s="231"/>
      <c r="S163" s="231"/>
      <c r="T163" s="231"/>
      <c r="U163" s="231"/>
      <c r="V163" s="231"/>
      <c r="W163" s="231"/>
      <c r="X163" s="231"/>
      <c r="Y163" s="231"/>
      <c r="Z163" s="231"/>
      <c r="AA163" s="231"/>
      <c r="AB163" s="231"/>
      <c r="AC163" s="231"/>
      <c r="AD163" s="231"/>
      <c r="AE163" s="231"/>
      <c r="AF163" s="231"/>
      <c r="AG163" s="231"/>
      <c r="AH163" s="231"/>
      <c r="AI163" s="231"/>
      <c r="AJ163" s="231"/>
      <c r="AK163" s="231"/>
      <c r="AL163" s="231"/>
      <c r="AM163" s="231"/>
      <c r="AN163" s="231"/>
      <c r="AO163" s="231"/>
    </row>
    <row r="164" spans="1:41" s="203" customFormat="1">
      <c r="A164" s="489"/>
      <c r="B164" s="581"/>
      <c r="C164" s="581"/>
      <c r="D164" s="581"/>
      <c r="E164" s="604"/>
      <c r="F164" s="582"/>
      <c r="G164" s="582"/>
      <c r="H164" s="582"/>
      <c r="I164" s="459"/>
      <c r="J164" s="452"/>
      <c r="K164" s="231"/>
      <c r="L164" s="231"/>
      <c r="M164" s="231"/>
      <c r="N164" s="231"/>
      <c r="O164" s="231"/>
      <c r="P164" s="231"/>
      <c r="Q164" s="231"/>
      <c r="R164" s="231"/>
      <c r="S164" s="231"/>
      <c r="T164" s="231"/>
      <c r="U164" s="231"/>
      <c r="V164" s="231"/>
      <c r="W164" s="231"/>
      <c r="X164" s="231"/>
      <c r="Y164" s="231"/>
      <c r="Z164" s="231"/>
      <c r="AA164" s="231"/>
      <c r="AB164" s="231"/>
      <c r="AC164" s="231"/>
      <c r="AD164" s="231"/>
      <c r="AE164" s="231"/>
      <c r="AF164" s="231"/>
      <c r="AG164" s="231"/>
      <c r="AH164" s="231"/>
      <c r="AI164" s="231"/>
      <c r="AJ164" s="231"/>
      <c r="AK164" s="231"/>
      <c r="AL164" s="231"/>
      <c r="AM164" s="231"/>
      <c r="AN164" s="231"/>
      <c r="AO164" s="231"/>
    </row>
    <row r="165" spans="1:41" s="203" customFormat="1">
      <c r="A165" s="573" t="s">
        <v>139</v>
      </c>
      <c r="B165" s="490"/>
      <c r="C165" s="490"/>
      <c r="D165" s="490"/>
      <c r="E165" s="588"/>
      <c r="F165" s="534"/>
      <c r="G165" s="572"/>
      <c r="H165" s="534"/>
      <c r="I165" s="459"/>
      <c r="J165" s="452"/>
      <c r="K165" s="231"/>
      <c r="L165" s="231"/>
      <c r="M165" s="231"/>
      <c r="N165" s="231"/>
      <c r="O165" s="231"/>
      <c r="P165" s="231"/>
      <c r="Q165" s="231"/>
      <c r="R165" s="231"/>
      <c r="S165" s="231"/>
      <c r="T165" s="231"/>
      <c r="U165" s="231"/>
      <c r="V165" s="231"/>
      <c r="W165" s="231"/>
      <c r="X165" s="231"/>
      <c r="Y165" s="231"/>
      <c r="Z165" s="231"/>
      <c r="AA165" s="231"/>
      <c r="AB165" s="231"/>
      <c r="AC165" s="231"/>
      <c r="AD165" s="231"/>
      <c r="AE165" s="231"/>
      <c r="AF165" s="231"/>
      <c r="AG165" s="231"/>
      <c r="AH165" s="231"/>
      <c r="AI165" s="231"/>
      <c r="AJ165" s="231"/>
      <c r="AK165" s="231"/>
      <c r="AL165" s="231"/>
      <c r="AM165" s="231"/>
      <c r="AN165" s="231"/>
      <c r="AO165" s="231"/>
    </row>
    <row r="166" spans="1:41" s="203" customFormat="1">
      <c r="A166" s="799">
        <v>6</v>
      </c>
      <c r="B166" s="490" t="s">
        <v>140</v>
      </c>
      <c r="C166" s="490"/>
      <c r="D166" s="490"/>
      <c r="E166" s="516">
        <v>363</v>
      </c>
      <c r="F166" s="52">
        <v>347</v>
      </c>
      <c r="G166" s="572"/>
      <c r="H166" s="563">
        <v>349</v>
      </c>
      <c r="I166" s="459"/>
      <c r="J166" s="452"/>
      <c r="K166" s="231"/>
      <c r="L166" s="231"/>
      <c r="M166" s="231"/>
      <c r="N166" s="231"/>
      <c r="O166" s="231"/>
      <c r="P166" s="231"/>
      <c r="Q166" s="231"/>
      <c r="R166" s="231"/>
      <c r="S166" s="231"/>
      <c r="T166" s="231"/>
      <c r="U166" s="231"/>
      <c r="V166" s="231"/>
      <c r="W166" s="231"/>
      <c r="X166" s="231"/>
      <c r="Y166" s="231"/>
      <c r="Z166" s="231"/>
      <c r="AA166" s="231"/>
      <c r="AB166" s="231"/>
      <c r="AC166" s="231"/>
      <c r="AD166" s="231"/>
      <c r="AE166" s="231"/>
      <c r="AF166" s="231"/>
      <c r="AG166" s="231"/>
      <c r="AH166" s="231"/>
      <c r="AI166" s="231"/>
      <c r="AJ166" s="231"/>
      <c r="AK166" s="231"/>
      <c r="AL166" s="231"/>
      <c r="AM166" s="231"/>
      <c r="AN166" s="231"/>
      <c r="AO166" s="231"/>
    </row>
    <row r="167" spans="1:41" s="203" customFormat="1">
      <c r="A167" s="799">
        <v>7</v>
      </c>
      <c r="B167" s="490" t="s">
        <v>141</v>
      </c>
      <c r="C167" s="490"/>
      <c r="D167" s="490"/>
      <c r="E167" s="492">
        <v>267</v>
      </c>
      <c r="F167" s="52">
        <v>409</v>
      </c>
      <c r="G167" s="572"/>
      <c r="H167" s="563">
        <v>309</v>
      </c>
      <c r="I167" s="459"/>
      <c r="J167" s="452"/>
      <c r="K167" s="231"/>
      <c r="L167" s="231"/>
      <c r="M167" s="231"/>
      <c r="N167" s="231"/>
      <c r="O167" s="231"/>
      <c r="P167" s="231"/>
      <c r="Q167" s="231"/>
      <c r="R167" s="231"/>
      <c r="S167" s="231"/>
      <c r="T167" s="231"/>
      <c r="U167" s="231"/>
      <c r="V167" s="231"/>
      <c r="W167" s="231"/>
      <c r="X167" s="231"/>
      <c r="Y167" s="231"/>
      <c r="Z167" s="231"/>
      <c r="AA167" s="231"/>
      <c r="AB167" s="231"/>
      <c r="AC167" s="231"/>
      <c r="AD167" s="231"/>
      <c r="AE167" s="231"/>
      <c r="AF167" s="231"/>
      <c r="AG167" s="231"/>
      <c r="AH167" s="231"/>
      <c r="AI167" s="231"/>
      <c r="AJ167" s="231"/>
      <c r="AK167" s="231"/>
      <c r="AL167" s="231"/>
      <c r="AM167" s="231"/>
      <c r="AN167" s="231"/>
      <c r="AO167" s="231"/>
    </row>
    <row r="168" spans="1:41" s="203" customFormat="1">
      <c r="A168" s="799">
        <v>8</v>
      </c>
      <c r="B168" s="490" t="s">
        <v>121</v>
      </c>
      <c r="C168" s="490"/>
      <c r="D168" s="490"/>
      <c r="E168" s="492">
        <v>337</v>
      </c>
      <c r="F168" s="52">
        <v>1568</v>
      </c>
      <c r="G168" s="572"/>
      <c r="H168" s="544">
        <v>448</v>
      </c>
      <c r="I168" s="459"/>
      <c r="J168" s="452"/>
      <c r="K168" s="231"/>
      <c r="L168" s="231"/>
      <c r="M168" s="231"/>
      <c r="N168" s="231"/>
      <c r="O168" s="231"/>
      <c r="P168" s="231"/>
      <c r="Q168" s="231"/>
      <c r="R168" s="231"/>
      <c r="S168" s="231"/>
      <c r="T168" s="231"/>
      <c r="U168" s="231"/>
      <c r="V168" s="231"/>
      <c r="W168" s="231"/>
      <c r="X168" s="231"/>
      <c r="Y168" s="231"/>
      <c r="Z168" s="231"/>
      <c r="AA168" s="231"/>
      <c r="AB168" s="231"/>
      <c r="AC168" s="231"/>
      <c r="AD168" s="231"/>
      <c r="AE168" s="231"/>
      <c r="AF168" s="231"/>
      <c r="AG168" s="231"/>
      <c r="AH168" s="231"/>
      <c r="AI168" s="231"/>
      <c r="AJ168" s="231"/>
      <c r="AK168" s="231"/>
      <c r="AL168" s="231"/>
      <c r="AM168" s="231"/>
      <c r="AN168" s="231"/>
      <c r="AO168" s="231"/>
    </row>
    <row r="169" spans="1:41" s="203" customFormat="1">
      <c r="A169" s="799">
        <v>9</v>
      </c>
      <c r="B169" s="567" t="s">
        <v>142</v>
      </c>
      <c r="C169" s="567"/>
      <c r="D169" s="567"/>
      <c r="E169" s="522">
        <v>967</v>
      </c>
      <c r="F169" s="590">
        <f>SUM(F166:F168)</f>
        <v>2324</v>
      </c>
      <c r="G169" s="572"/>
      <c r="H169" s="590">
        <f>SUM(H166:H168)</f>
        <v>1106</v>
      </c>
      <c r="I169" s="459"/>
      <c r="J169" s="452"/>
      <c r="K169" s="231"/>
      <c r="L169" s="231"/>
      <c r="M169" s="231"/>
      <c r="N169" s="231"/>
      <c r="O169" s="231"/>
      <c r="P169" s="231"/>
      <c r="Q169" s="231"/>
      <c r="R169" s="231"/>
      <c r="S169" s="231"/>
      <c r="T169" s="231"/>
      <c r="U169" s="231"/>
      <c r="V169" s="231"/>
      <c r="W169" s="231"/>
      <c r="X169" s="231"/>
      <c r="Y169" s="231"/>
      <c r="Z169" s="231"/>
      <c r="AA169" s="231"/>
      <c r="AB169" s="231"/>
      <c r="AC169" s="231"/>
      <c r="AD169" s="231"/>
      <c r="AE169" s="231"/>
      <c r="AF169" s="231"/>
      <c r="AG169" s="231"/>
      <c r="AH169" s="231"/>
      <c r="AI169" s="231"/>
      <c r="AJ169" s="231"/>
      <c r="AK169" s="231"/>
      <c r="AL169" s="231"/>
      <c r="AM169" s="231"/>
      <c r="AN169" s="231"/>
      <c r="AO169" s="231"/>
    </row>
    <row r="170" spans="1:41" s="203" customFormat="1">
      <c r="A170" s="489"/>
      <c r="B170" s="581"/>
      <c r="C170" s="581"/>
      <c r="D170" s="581"/>
      <c r="E170" s="604"/>
      <c r="F170" s="582"/>
      <c r="G170" s="582"/>
      <c r="H170" s="582"/>
      <c r="I170" s="459"/>
      <c r="J170" s="452"/>
      <c r="K170" s="231"/>
      <c r="L170" s="231"/>
      <c r="M170" s="231"/>
      <c r="N170" s="231"/>
      <c r="O170" s="231"/>
      <c r="P170" s="231"/>
      <c r="Q170" s="231"/>
      <c r="R170" s="231"/>
      <c r="S170" s="231"/>
      <c r="T170" s="231"/>
      <c r="U170" s="231"/>
      <c r="V170" s="231"/>
      <c r="W170" s="231"/>
      <c r="X170" s="231"/>
      <c r="Y170" s="231"/>
      <c r="Z170" s="231"/>
      <c r="AA170" s="231"/>
      <c r="AB170" s="231"/>
      <c r="AC170" s="231"/>
      <c r="AD170" s="231"/>
      <c r="AE170" s="231"/>
      <c r="AF170" s="231"/>
      <c r="AG170" s="231"/>
      <c r="AH170" s="231"/>
      <c r="AI170" s="231"/>
      <c r="AJ170" s="231"/>
      <c r="AK170" s="231"/>
      <c r="AL170" s="231"/>
      <c r="AM170" s="231"/>
      <c r="AN170" s="231"/>
      <c r="AO170" s="231"/>
    </row>
    <row r="171" spans="1:41" s="203" customFormat="1">
      <c r="A171" s="799">
        <v>10</v>
      </c>
      <c r="B171" s="490" t="s">
        <v>143</v>
      </c>
      <c r="C171" s="490"/>
      <c r="D171" s="490"/>
      <c r="E171" s="484">
        <v>0</v>
      </c>
      <c r="F171" s="121">
        <v>0</v>
      </c>
      <c r="G171" s="572"/>
      <c r="H171" s="560">
        <v>0</v>
      </c>
      <c r="I171" s="459"/>
      <c r="J171" s="452"/>
      <c r="K171" s="231"/>
      <c r="L171" s="231"/>
      <c r="M171" s="231"/>
      <c r="N171" s="231"/>
      <c r="O171" s="231"/>
      <c r="P171" s="231"/>
      <c r="Q171" s="231"/>
      <c r="R171" s="231"/>
      <c r="S171" s="231"/>
      <c r="T171" s="231"/>
      <c r="U171" s="231"/>
      <c r="V171" s="231"/>
      <c r="W171" s="231"/>
      <c r="X171" s="231"/>
      <c r="Y171" s="231"/>
      <c r="Z171" s="231"/>
      <c r="AA171" s="231"/>
      <c r="AB171" s="231"/>
      <c r="AC171" s="231"/>
      <c r="AD171" s="231"/>
      <c r="AE171" s="231"/>
      <c r="AF171" s="231"/>
      <c r="AG171" s="231"/>
      <c r="AH171" s="231"/>
      <c r="AI171" s="231"/>
      <c r="AJ171" s="231"/>
      <c r="AK171" s="231"/>
      <c r="AL171" s="231"/>
      <c r="AM171" s="231"/>
      <c r="AN171" s="231"/>
      <c r="AO171" s="231"/>
    </row>
    <row r="172" spans="1:41" s="203" customFormat="1">
      <c r="A172" s="799">
        <v>11</v>
      </c>
      <c r="B172" s="490" t="s">
        <v>144</v>
      </c>
      <c r="C172" s="490"/>
      <c r="D172" s="490"/>
      <c r="E172" s="498">
        <v>0</v>
      </c>
      <c r="F172" s="126">
        <v>0</v>
      </c>
      <c r="G172" s="572"/>
      <c r="H172" s="544">
        <v>0</v>
      </c>
      <c r="I172" s="459"/>
      <c r="J172" s="452"/>
      <c r="K172" s="231"/>
      <c r="L172" s="231"/>
      <c r="M172" s="231"/>
      <c r="N172" s="231"/>
      <c r="O172" s="231"/>
      <c r="P172" s="231"/>
      <c r="Q172" s="231"/>
      <c r="R172" s="231"/>
      <c r="S172" s="231"/>
      <c r="T172" s="231"/>
      <c r="U172" s="231"/>
      <c r="V172" s="231"/>
      <c r="W172" s="231"/>
      <c r="X172" s="231"/>
      <c r="Y172" s="231"/>
      <c r="Z172" s="231"/>
      <c r="AA172" s="231"/>
      <c r="AB172" s="231"/>
      <c r="AC172" s="231"/>
      <c r="AD172" s="231"/>
      <c r="AE172" s="231"/>
      <c r="AF172" s="231"/>
      <c r="AG172" s="231"/>
      <c r="AH172" s="231"/>
      <c r="AI172" s="231"/>
      <c r="AJ172" s="231"/>
      <c r="AK172" s="231"/>
      <c r="AL172" s="231"/>
      <c r="AM172" s="231"/>
      <c r="AN172" s="231"/>
      <c r="AO172" s="231"/>
    </row>
    <row r="173" spans="1:41" s="203" customFormat="1">
      <c r="A173" s="489"/>
      <c r="B173" s="581"/>
      <c r="C173" s="581"/>
      <c r="D173" s="581"/>
      <c r="E173" s="604"/>
      <c r="F173" s="582"/>
      <c r="G173" s="582"/>
      <c r="H173" s="582"/>
      <c r="I173" s="459"/>
      <c r="J173" s="452"/>
      <c r="K173" s="231"/>
      <c r="L173" s="231"/>
      <c r="M173" s="231"/>
      <c r="N173" s="231"/>
      <c r="O173" s="231"/>
      <c r="P173" s="231"/>
      <c r="Q173" s="231"/>
      <c r="R173" s="231"/>
      <c r="S173" s="231"/>
      <c r="T173" s="231"/>
      <c r="U173" s="231"/>
      <c r="V173" s="231"/>
      <c r="W173" s="231"/>
      <c r="X173" s="231"/>
      <c r="Y173" s="231"/>
      <c r="Z173" s="231"/>
      <c r="AA173" s="231"/>
      <c r="AB173" s="231"/>
      <c r="AC173" s="231"/>
      <c r="AD173" s="231"/>
      <c r="AE173" s="231"/>
      <c r="AF173" s="231"/>
      <c r="AG173" s="231"/>
      <c r="AH173" s="231"/>
      <c r="AI173" s="231"/>
      <c r="AJ173" s="231"/>
      <c r="AK173" s="231"/>
      <c r="AL173" s="231"/>
      <c r="AM173" s="231"/>
      <c r="AN173" s="231"/>
      <c r="AO173" s="231"/>
    </row>
    <row r="174" spans="1:41" s="203" customFormat="1">
      <c r="A174" s="573" t="s">
        <v>145</v>
      </c>
      <c r="B174" s="490"/>
      <c r="C174" s="490"/>
      <c r="D174" s="490"/>
      <c r="E174" s="605"/>
      <c r="F174" s="534"/>
      <c r="G174" s="572"/>
      <c r="H174" s="534"/>
      <c r="I174" s="459"/>
      <c r="J174" s="452"/>
      <c r="K174" s="231"/>
      <c r="L174" s="231"/>
      <c r="M174" s="231"/>
      <c r="N174" s="231"/>
      <c r="O174" s="231"/>
      <c r="P174" s="231"/>
      <c r="Q174" s="231"/>
      <c r="R174" s="231"/>
      <c r="S174" s="231"/>
      <c r="T174" s="231"/>
      <c r="U174" s="231"/>
      <c r="V174" s="231"/>
      <c r="W174" s="231"/>
      <c r="X174" s="231"/>
      <c r="Y174" s="231"/>
      <c r="Z174" s="231"/>
      <c r="AA174" s="231"/>
      <c r="AB174" s="231"/>
      <c r="AC174" s="231"/>
      <c r="AD174" s="231"/>
      <c r="AE174" s="231"/>
      <c r="AF174" s="231"/>
      <c r="AG174" s="231"/>
      <c r="AH174" s="231"/>
      <c r="AI174" s="231"/>
      <c r="AJ174" s="231"/>
      <c r="AK174" s="231"/>
      <c r="AL174" s="231"/>
      <c r="AM174" s="231"/>
      <c r="AN174" s="231"/>
      <c r="AO174" s="231"/>
    </row>
    <row r="175" spans="1:41" s="203" customFormat="1">
      <c r="A175" s="799">
        <v>12</v>
      </c>
      <c r="B175" s="490" t="s">
        <v>146</v>
      </c>
      <c r="C175" s="490"/>
      <c r="D175" s="490"/>
      <c r="E175" s="516">
        <v>151</v>
      </c>
      <c r="F175" s="52">
        <v>72</v>
      </c>
      <c r="G175" s="572"/>
      <c r="H175" s="563">
        <v>66</v>
      </c>
      <c r="I175" s="459"/>
      <c r="J175" s="452"/>
      <c r="K175" s="231"/>
      <c r="L175" s="231"/>
      <c r="M175" s="231"/>
      <c r="N175" s="231"/>
      <c r="O175" s="231"/>
      <c r="P175" s="231"/>
      <c r="Q175" s="231"/>
      <c r="R175" s="231"/>
      <c r="S175" s="231"/>
      <c r="T175" s="231"/>
      <c r="U175" s="231"/>
      <c r="V175" s="231"/>
      <c r="W175" s="231"/>
      <c r="X175" s="231"/>
      <c r="Y175" s="231"/>
      <c r="Z175" s="231"/>
      <c r="AA175" s="231"/>
      <c r="AB175" s="231"/>
      <c r="AC175" s="231"/>
      <c r="AD175" s="231"/>
      <c r="AE175" s="231"/>
      <c r="AF175" s="231"/>
      <c r="AG175" s="231"/>
      <c r="AH175" s="231"/>
      <c r="AI175" s="231"/>
      <c r="AJ175" s="231"/>
      <c r="AK175" s="231"/>
      <c r="AL175" s="231"/>
      <c r="AM175" s="231"/>
      <c r="AN175" s="231"/>
      <c r="AO175" s="231"/>
    </row>
    <row r="176" spans="1:41" s="203" customFormat="1">
      <c r="A176" s="799">
        <v>13</v>
      </c>
      <c r="B176" s="490" t="s">
        <v>147</v>
      </c>
      <c r="C176" s="490"/>
      <c r="D176" s="490"/>
      <c r="E176" s="492">
        <v>221</v>
      </c>
      <c r="F176" s="52">
        <v>209</v>
      </c>
      <c r="G176" s="572"/>
      <c r="H176" s="563">
        <v>210</v>
      </c>
      <c r="I176" s="459"/>
      <c r="J176" s="452"/>
      <c r="K176" s="231"/>
      <c r="L176" s="231"/>
      <c r="M176" s="231"/>
      <c r="N176" s="231"/>
      <c r="O176" s="231"/>
      <c r="P176" s="231"/>
      <c r="Q176" s="231"/>
      <c r="R176" s="231"/>
      <c r="S176" s="231"/>
      <c r="T176" s="231"/>
      <c r="U176" s="231"/>
      <c r="V176" s="231"/>
      <c r="W176" s="231"/>
      <c r="X176" s="231"/>
      <c r="Y176" s="231"/>
      <c r="Z176" s="231"/>
      <c r="AA176" s="231"/>
      <c r="AB176" s="231"/>
      <c r="AC176" s="231"/>
      <c r="AD176" s="231"/>
      <c r="AE176" s="231"/>
      <c r="AF176" s="231"/>
      <c r="AG176" s="231"/>
      <c r="AH176" s="231"/>
      <c r="AI176" s="231"/>
      <c r="AJ176" s="231"/>
      <c r="AK176" s="231"/>
      <c r="AL176" s="231"/>
      <c r="AM176" s="231"/>
      <c r="AN176" s="231"/>
      <c r="AO176" s="231"/>
    </row>
    <row r="177" spans="1:41" s="203" customFormat="1">
      <c r="A177" s="799">
        <v>14</v>
      </c>
      <c r="B177" s="490" t="s">
        <v>148</v>
      </c>
      <c r="C177" s="490"/>
      <c r="D177" s="490"/>
      <c r="E177" s="498">
        <v>0</v>
      </c>
      <c r="F177" s="52"/>
      <c r="G177" s="572"/>
      <c r="H177" s="544"/>
      <c r="I177" s="459"/>
      <c r="J177" s="452"/>
      <c r="K177" s="231"/>
      <c r="L177" s="231"/>
      <c r="M177" s="231"/>
      <c r="N177" s="231"/>
      <c r="O177" s="231"/>
      <c r="P177" s="231"/>
      <c r="Q177" s="231"/>
      <c r="R177" s="231"/>
      <c r="S177" s="231"/>
      <c r="T177" s="231"/>
      <c r="U177" s="231"/>
      <c r="V177" s="231"/>
      <c r="W177" s="231"/>
      <c r="X177" s="231"/>
      <c r="Y177" s="231"/>
      <c r="Z177" s="231"/>
      <c r="AA177" s="231"/>
      <c r="AB177" s="231"/>
      <c r="AC177" s="231"/>
      <c r="AD177" s="231"/>
      <c r="AE177" s="231"/>
      <c r="AF177" s="231"/>
      <c r="AG177" s="231"/>
      <c r="AH177" s="231"/>
      <c r="AI177" s="231"/>
      <c r="AJ177" s="231"/>
      <c r="AK177" s="231"/>
      <c r="AL177" s="231"/>
      <c r="AM177" s="231"/>
      <c r="AN177" s="231"/>
      <c r="AO177" s="231"/>
    </row>
    <row r="178" spans="1:41" s="203" customFormat="1">
      <c r="A178" s="799">
        <v>15</v>
      </c>
      <c r="B178" s="567" t="s">
        <v>149</v>
      </c>
      <c r="C178" s="567"/>
      <c r="D178" s="567"/>
      <c r="E178" s="522">
        <v>372</v>
      </c>
      <c r="F178" s="590">
        <f>SUM(F175:F177)</f>
        <v>281</v>
      </c>
      <c r="G178" s="572"/>
      <c r="H178" s="590">
        <f>SUM(H175:H177)</f>
        <v>276</v>
      </c>
      <c r="I178" s="459"/>
      <c r="J178" s="452"/>
      <c r="K178" s="231"/>
      <c r="L178" s="231"/>
      <c r="M178" s="231"/>
      <c r="N178" s="231"/>
      <c r="O178" s="231"/>
      <c r="P178" s="231"/>
      <c r="Q178" s="231"/>
      <c r="R178" s="231"/>
      <c r="S178" s="231"/>
      <c r="T178" s="231"/>
      <c r="U178" s="231"/>
      <c r="V178" s="231"/>
      <c r="W178" s="231"/>
      <c r="X178" s="231"/>
      <c r="Y178" s="231"/>
      <c r="Z178" s="231"/>
      <c r="AA178" s="231"/>
      <c r="AB178" s="231"/>
      <c r="AC178" s="231"/>
      <c r="AD178" s="231"/>
      <c r="AE178" s="231"/>
      <c r="AF178" s="231"/>
      <c r="AG178" s="231"/>
      <c r="AH178" s="231"/>
      <c r="AI178" s="231"/>
      <c r="AJ178" s="231"/>
      <c r="AK178" s="231"/>
      <c r="AL178" s="231"/>
      <c r="AM178" s="231"/>
      <c r="AN178" s="231"/>
      <c r="AO178" s="231"/>
    </row>
    <row r="179" spans="1:41" s="203" customFormat="1">
      <c r="A179" s="799">
        <v>16</v>
      </c>
      <c r="B179" s="567" t="s">
        <v>150</v>
      </c>
      <c r="C179" s="567"/>
      <c r="D179" s="567"/>
      <c r="E179" s="522">
        <v>372</v>
      </c>
      <c r="F179" s="606">
        <f>F172+F178</f>
        <v>281</v>
      </c>
      <c r="G179" s="572"/>
      <c r="H179" s="606">
        <f>H172+H178</f>
        <v>276</v>
      </c>
      <c r="I179" s="459"/>
      <c r="J179" s="452"/>
      <c r="K179" s="231"/>
      <c r="L179" s="231"/>
      <c r="M179" s="231"/>
      <c r="N179" s="231"/>
      <c r="O179" s="231"/>
      <c r="P179" s="231"/>
      <c r="Q179" s="231"/>
      <c r="R179" s="231"/>
      <c r="S179" s="231"/>
      <c r="T179" s="231"/>
      <c r="U179" s="231"/>
      <c r="V179" s="231"/>
      <c r="W179" s="231"/>
      <c r="X179" s="231"/>
      <c r="Y179" s="231"/>
      <c r="Z179" s="231"/>
      <c r="AA179" s="231"/>
      <c r="AB179" s="231"/>
      <c r="AC179" s="231"/>
      <c r="AD179" s="231"/>
      <c r="AE179" s="231"/>
      <c r="AF179" s="231"/>
      <c r="AG179" s="231"/>
      <c r="AH179" s="231"/>
      <c r="AI179" s="231"/>
      <c r="AJ179" s="231"/>
      <c r="AK179" s="231"/>
      <c r="AL179" s="231"/>
      <c r="AM179" s="231"/>
      <c r="AN179" s="231"/>
      <c r="AO179" s="231"/>
    </row>
    <row r="180" spans="1:41" s="203" customFormat="1">
      <c r="A180" s="799">
        <v>17</v>
      </c>
      <c r="B180" s="567" t="s">
        <v>151</v>
      </c>
      <c r="C180" s="567"/>
      <c r="D180" s="567"/>
      <c r="E180" s="607">
        <v>10272</v>
      </c>
      <c r="F180" s="503">
        <f>SUM(F163+F169+F171+F179)</f>
        <v>10658</v>
      </c>
      <c r="G180" s="572"/>
      <c r="H180" s="503">
        <f>SUM(H163+H169+H171+H179)</f>
        <v>9605</v>
      </c>
      <c r="I180" s="459"/>
      <c r="J180" s="452"/>
      <c r="K180" s="231"/>
      <c r="L180" s="231"/>
      <c r="M180" s="231"/>
      <c r="N180" s="231"/>
      <c r="O180" s="231"/>
      <c r="P180" s="231"/>
      <c r="Q180" s="231"/>
      <c r="R180" s="231"/>
      <c r="S180" s="231"/>
      <c r="T180" s="231"/>
      <c r="U180" s="231"/>
      <c r="V180" s="231"/>
      <c r="W180" s="231"/>
      <c r="X180" s="231"/>
      <c r="Y180" s="231"/>
      <c r="Z180" s="231"/>
      <c r="AA180" s="231"/>
      <c r="AB180" s="231"/>
      <c r="AC180" s="231"/>
      <c r="AD180" s="231"/>
      <c r="AE180" s="231"/>
      <c r="AF180" s="231"/>
      <c r="AG180" s="231"/>
      <c r="AH180" s="231"/>
      <c r="AI180" s="231"/>
      <c r="AJ180" s="231"/>
      <c r="AK180" s="231"/>
      <c r="AL180" s="231"/>
      <c r="AM180" s="231"/>
      <c r="AN180" s="231"/>
      <c r="AO180" s="231"/>
    </row>
    <row r="181" spans="1:41" s="203" customFormat="1">
      <c r="A181" s="489"/>
      <c r="B181" s="581"/>
      <c r="C181" s="581"/>
      <c r="D181" s="581"/>
      <c r="E181" s="604"/>
      <c r="F181" s="582"/>
      <c r="G181" s="582"/>
      <c r="H181" s="582"/>
      <c r="I181" s="459"/>
      <c r="J181" s="452"/>
      <c r="K181" s="231"/>
      <c r="L181" s="231"/>
      <c r="M181" s="231"/>
      <c r="N181" s="231"/>
      <c r="O181" s="231"/>
      <c r="P181" s="231"/>
      <c r="Q181" s="231"/>
      <c r="R181" s="231"/>
      <c r="S181" s="231"/>
      <c r="T181" s="231"/>
      <c r="U181" s="231"/>
      <c r="V181" s="231"/>
      <c r="W181" s="231"/>
      <c r="X181" s="231"/>
      <c r="Y181" s="231"/>
      <c r="Z181" s="231"/>
      <c r="AA181" s="231"/>
      <c r="AB181" s="231"/>
      <c r="AC181" s="231"/>
      <c r="AD181" s="231"/>
      <c r="AE181" s="231"/>
      <c r="AF181" s="231"/>
      <c r="AG181" s="231"/>
      <c r="AH181" s="231"/>
      <c r="AI181" s="231"/>
      <c r="AJ181" s="231"/>
      <c r="AK181" s="231"/>
      <c r="AL181" s="231"/>
      <c r="AM181" s="231"/>
      <c r="AN181" s="231"/>
      <c r="AO181" s="231"/>
    </row>
    <row r="182" spans="1:41" s="203" customFormat="1">
      <c r="A182" s="573" t="s">
        <v>152</v>
      </c>
      <c r="B182" s="490"/>
      <c r="C182" s="490"/>
      <c r="D182" s="567"/>
      <c r="E182" s="571"/>
      <c r="F182" s="572"/>
      <c r="G182" s="572"/>
      <c r="H182" s="572"/>
      <c r="I182" s="459"/>
      <c r="J182" s="452"/>
      <c r="K182" s="231"/>
      <c r="L182" s="231"/>
      <c r="M182" s="231"/>
      <c r="N182" s="231"/>
      <c r="O182" s="231"/>
      <c r="P182" s="231"/>
      <c r="Q182" s="231"/>
      <c r="R182" s="231"/>
      <c r="S182" s="231"/>
      <c r="T182" s="231"/>
      <c r="U182" s="231"/>
      <c r="V182" s="231"/>
      <c r="W182" s="231"/>
      <c r="X182" s="231"/>
      <c r="Y182" s="231"/>
      <c r="Z182" s="231"/>
      <c r="AA182" s="231"/>
      <c r="AB182" s="231"/>
      <c r="AC182" s="231"/>
      <c r="AD182" s="231"/>
      <c r="AE182" s="231"/>
      <c r="AF182" s="231"/>
      <c r="AG182" s="231"/>
      <c r="AH182" s="231"/>
      <c r="AI182" s="231"/>
      <c r="AJ182" s="231"/>
      <c r="AK182" s="231"/>
      <c r="AL182" s="231"/>
      <c r="AM182" s="231"/>
      <c r="AN182" s="231"/>
      <c r="AO182" s="231"/>
    </row>
    <row r="183" spans="1:41" s="203" customFormat="1">
      <c r="A183" s="799">
        <v>18</v>
      </c>
      <c r="B183" s="490" t="s">
        <v>153</v>
      </c>
      <c r="C183" s="490"/>
      <c r="D183" s="490"/>
      <c r="E183" s="484">
        <v>214</v>
      </c>
      <c r="F183" s="121">
        <v>264</v>
      </c>
      <c r="G183" s="572"/>
      <c r="H183" s="560">
        <v>214</v>
      </c>
      <c r="I183" s="459"/>
      <c r="J183" s="452"/>
      <c r="K183" s="231"/>
      <c r="L183" s="231"/>
      <c r="M183" s="231"/>
      <c r="N183" s="231"/>
      <c r="O183" s="231"/>
      <c r="P183" s="231"/>
      <c r="Q183" s="231"/>
      <c r="R183" s="231"/>
      <c r="S183" s="231"/>
      <c r="T183" s="231"/>
      <c r="U183" s="231"/>
      <c r="V183" s="231"/>
      <c r="W183" s="231"/>
      <c r="X183" s="231"/>
      <c r="Y183" s="231"/>
      <c r="Z183" s="231"/>
      <c r="AA183" s="231"/>
      <c r="AB183" s="231"/>
      <c r="AC183" s="231"/>
      <c r="AD183" s="231"/>
      <c r="AE183" s="231"/>
      <c r="AF183" s="231"/>
      <c r="AG183" s="231"/>
      <c r="AH183" s="231"/>
      <c r="AI183" s="231"/>
      <c r="AJ183" s="231"/>
      <c r="AK183" s="231"/>
      <c r="AL183" s="231"/>
      <c r="AM183" s="231"/>
      <c r="AN183" s="231"/>
      <c r="AO183" s="231"/>
    </row>
    <row r="184" spans="1:41" s="203" customFormat="1">
      <c r="A184" s="799">
        <v>19</v>
      </c>
      <c r="B184" s="490" t="s">
        <v>154</v>
      </c>
      <c r="C184" s="490"/>
      <c r="D184" s="490"/>
      <c r="E184" s="492">
        <v>67</v>
      </c>
      <c r="F184" s="52">
        <v>55</v>
      </c>
      <c r="G184" s="572"/>
      <c r="H184" s="563">
        <v>55</v>
      </c>
      <c r="I184" s="459"/>
      <c r="J184" s="452"/>
      <c r="K184" s="231"/>
      <c r="L184" s="231"/>
      <c r="M184" s="231"/>
      <c r="N184" s="231"/>
      <c r="O184" s="231"/>
      <c r="P184" s="231"/>
      <c r="Q184" s="231"/>
      <c r="R184" s="231"/>
      <c r="S184" s="231"/>
      <c r="T184" s="231"/>
      <c r="U184" s="231"/>
      <c r="V184" s="231"/>
      <c r="W184" s="231"/>
      <c r="X184" s="231"/>
      <c r="Y184" s="231"/>
      <c r="Z184" s="231"/>
      <c r="AA184" s="231"/>
      <c r="AB184" s="231"/>
      <c r="AC184" s="231"/>
      <c r="AD184" s="231"/>
      <c r="AE184" s="231"/>
      <c r="AF184" s="231"/>
      <c r="AG184" s="231"/>
      <c r="AH184" s="231"/>
      <c r="AI184" s="231"/>
      <c r="AJ184" s="231"/>
      <c r="AK184" s="231"/>
      <c r="AL184" s="231"/>
      <c r="AM184" s="231"/>
      <c r="AN184" s="231"/>
      <c r="AO184" s="231"/>
    </row>
    <row r="185" spans="1:41" s="203" customFormat="1">
      <c r="A185" s="799">
        <v>20</v>
      </c>
      <c r="B185" s="490" t="s">
        <v>155</v>
      </c>
      <c r="C185" s="490"/>
      <c r="D185" s="490"/>
      <c r="E185" s="492">
        <v>0</v>
      </c>
      <c r="F185" s="52"/>
      <c r="G185" s="572"/>
      <c r="H185" s="563"/>
      <c r="I185" s="459"/>
      <c r="J185" s="452"/>
      <c r="K185" s="231"/>
      <c r="L185" s="231"/>
      <c r="M185" s="231"/>
      <c r="N185" s="231"/>
      <c r="O185" s="231"/>
      <c r="P185" s="231"/>
      <c r="Q185" s="231"/>
      <c r="R185" s="231"/>
      <c r="S185" s="231"/>
      <c r="T185" s="231"/>
      <c r="U185" s="231"/>
      <c r="V185" s="231"/>
      <c r="W185" s="231"/>
      <c r="X185" s="231"/>
      <c r="Y185" s="231"/>
      <c r="Z185" s="231"/>
      <c r="AA185" s="231"/>
      <c r="AB185" s="231"/>
      <c r="AC185" s="231"/>
      <c r="AD185" s="231"/>
      <c r="AE185" s="231"/>
      <c r="AF185" s="231"/>
      <c r="AG185" s="231"/>
      <c r="AH185" s="231"/>
      <c r="AI185" s="231"/>
      <c r="AJ185" s="231"/>
      <c r="AK185" s="231"/>
      <c r="AL185" s="231"/>
      <c r="AM185" s="231"/>
      <c r="AN185" s="231"/>
      <c r="AO185" s="231"/>
    </row>
    <row r="186" spans="1:41" s="203" customFormat="1">
      <c r="A186" s="799">
        <v>21</v>
      </c>
      <c r="B186" s="490" t="s">
        <v>156</v>
      </c>
      <c r="C186" s="490"/>
      <c r="D186" s="490"/>
      <c r="E186" s="492">
        <v>0</v>
      </c>
      <c r="F186" s="52"/>
      <c r="G186" s="572"/>
      <c r="H186" s="563"/>
      <c r="I186" s="459"/>
      <c r="J186" s="452"/>
      <c r="K186" s="231"/>
      <c r="L186" s="231"/>
      <c r="M186" s="231"/>
      <c r="N186" s="231"/>
      <c r="O186" s="231"/>
      <c r="P186" s="231"/>
      <c r="Q186" s="231"/>
      <c r="R186" s="231"/>
      <c r="S186" s="231"/>
      <c r="T186" s="231"/>
      <c r="U186" s="231"/>
      <c r="V186" s="231"/>
      <c r="W186" s="231"/>
      <c r="X186" s="231"/>
      <c r="Y186" s="231"/>
      <c r="Z186" s="231"/>
      <c r="AA186" s="231"/>
      <c r="AB186" s="231"/>
      <c r="AC186" s="231"/>
      <c r="AD186" s="231"/>
      <c r="AE186" s="231"/>
      <c r="AF186" s="231"/>
      <c r="AG186" s="231"/>
      <c r="AH186" s="231"/>
      <c r="AI186" s="231"/>
      <c r="AJ186" s="231"/>
      <c r="AK186" s="231"/>
      <c r="AL186" s="231"/>
      <c r="AM186" s="231"/>
      <c r="AN186" s="231"/>
      <c r="AO186" s="231"/>
    </row>
    <row r="187" spans="1:41" s="203" customFormat="1">
      <c r="A187" s="799">
        <v>22</v>
      </c>
      <c r="B187" s="490" t="s">
        <v>157</v>
      </c>
      <c r="C187" s="490"/>
      <c r="D187" s="490"/>
      <c r="E187" s="492">
        <v>0</v>
      </c>
      <c r="F187" s="52"/>
      <c r="G187" s="572"/>
      <c r="H187" s="563"/>
      <c r="I187" s="459"/>
      <c r="J187" s="452"/>
      <c r="K187" s="231"/>
      <c r="L187" s="231"/>
      <c r="M187" s="231"/>
      <c r="N187" s="231"/>
      <c r="O187" s="231"/>
      <c r="P187" s="231"/>
      <c r="Q187" s="231"/>
      <c r="R187" s="231"/>
      <c r="S187" s="231"/>
      <c r="T187" s="231"/>
      <c r="U187" s="231"/>
      <c r="V187" s="231"/>
      <c r="W187" s="231"/>
      <c r="X187" s="231"/>
      <c r="Y187" s="231"/>
      <c r="Z187" s="231"/>
      <c r="AA187" s="231"/>
      <c r="AB187" s="231"/>
      <c r="AC187" s="231"/>
      <c r="AD187" s="231"/>
      <c r="AE187" s="231"/>
      <c r="AF187" s="231"/>
      <c r="AG187" s="231"/>
      <c r="AH187" s="231"/>
      <c r="AI187" s="231"/>
      <c r="AJ187" s="231"/>
      <c r="AK187" s="231"/>
      <c r="AL187" s="231"/>
      <c r="AM187" s="231"/>
      <c r="AN187" s="231"/>
      <c r="AO187" s="231"/>
    </row>
    <row r="188" spans="1:41" s="203" customFormat="1">
      <c r="A188" s="799">
        <v>23</v>
      </c>
      <c r="B188" s="490" t="s">
        <v>158</v>
      </c>
      <c r="C188" s="490"/>
      <c r="D188" s="490"/>
      <c r="E188" s="492">
        <v>0</v>
      </c>
      <c r="F188" s="52"/>
      <c r="G188" s="572"/>
      <c r="H188" s="563"/>
      <c r="I188" s="459"/>
      <c r="J188" s="452"/>
      <c r="K188" s="231"/>
      <c r="L188" s="231"/>
      <c r="M188" s="231"/>
      <c r="N188" s="231"/>
      <c r="O188" s="231"/>
      <c r="P188" s="231"/>
      <c r="Q188" s="231"/>
      <c r="R188" s="231"/>
      <c r="S188" s="231"/>
      <c r="T188" s="231"/>
      <c r="U188" s="231"/>
      <c r="V188" s="231"/>
      <c r="W188" s="231"/>
      <c r="X188" s="231"/>
      <c r="Y188" s="231"/>
      <c r="Z188" s="231"/>
      <c r="AA188" s="231"/>
      <c r="AB188" s="231"/>
      <c r="AC188" s="231"/>
      <c r="AD188" s="231"/>
      <c r="AE188" s="231"/>
      <c r="AF188" s="231"/>
      <c r="AG188" s="231"/>
      <c r="AH188" s="231"/>
      <c r="AI188" s="231"/>
      <c r="AJ188" s="231"/>
      <c r="AK188" s="231"/>
      <c r="AL188" s="231"/>
      <c r="AM188" s="231"/>
      <c r="AN188" s="231"/>
      <c r="AO188" s="231"/>
    </row>
    <row r="189" spans="1:41" s="203" customFormat="1">
      <c r="A189" s="799">
        <v>24</v>
      </c>
      <c r="B189" s="490" t="s">
        <v>159</v>
      </c>
      <c r="C189" s="490"/>
      <c r="D189" s="490"/>
      <c r="E189" s="492">
        <v>0</v>
      </c>
      <c r="F189" s="52"/>
      <c r="G189" s="572"/>
      <c r="H189" s="563"/>
      <c r="I189" s="459"/>
      <c r="J189" s="452"/>
      <c r="K189" s="231"/>
      <c r="L189" s="231"/>
      <c r="M189" s="231"/>
      <c r="N189" s="231"/>
      <c r="O189" s="231"/>
      <c r="P189" s="231"/>
      <c r="Q189" s="231"/>
      <c r="R189" s="231"/>
      <c r="S189" s="231"/>
      <c r="T189" s="231"/>
      <c r="U189" s="231"/>
      <c r="V189" s="231"/>
      <c r="W189" s="231"/>
      <c r="X189" s="231"/>
      <c r="Y189" s="231"/>
      <c r="Z189" s="231"/>
      <c r="AA189" s="231"/>
      <c r="AB189" s="231"/>
      <c r="AC189" s="231"/>
      <c r="AD189" s="231"/>
      <c r="AE189" s="231"/>
      <c r="AF189" s="231"/>
      <c r="AG189" s="231"/>
      <c r="AH189" s="231"/>
      <c r="AI189" s="231"/>
      <c r="AJ189" s="231"/>
      <c r="AK189" s="231"/>
      <c r="AL189" s="231"/>
      <c r="AM189" s="231"/>
      <c r="AN189" s="231"/>
      <c r="AO189" s="231"/>
    </row>
    <row r="190" spans="1:41" s="203" customFormat="1">
      <c r="A190" s="800">
        <v>25</v>
      </c>
      <c r="B190" s="496" t="s">
        <v>160</v>
      </c>
      <c r="C190" s="496"/>
      <c r="D190" s="496"/>
      <c r="E190" s="498">
        <v>0</v>
      </c>
      <c r="F190" s="126"/>
      <c r="G190" s="572"/>
      <c r="H190" s="544"/>
      <c r="I190" s="465"/>
      <c r="J190" s="452"/>
      <c r="K190" s="231"/>
      <c r="L190" s="231"/>
      <c r="M190" s="231"/>
      <c r="N190" s="231"/>
      <c r="O190" s="231"/>
      <c r="P190" s="231"/>
      <c r="Q190" s="231"/>
      <c r="R190" s="231"/>
      <c r="S190" s="231"/>
      <c r="T190" s="231"/>
      <c r="U190" s="231"/>
      <c r="V190" s="231"/>
      <c r="W190" s="231"/>
      <c r="X190" s="231"/>
      <c r="Y190" s="231"/>
      <c r="Z190" s="231"/>
      <c r="AA190" s="231"/>
      <c r="AB190" s="231"/>
      <c r="AC190" s="231"/>
      <c r="AD190" s="231"/>
      <c r="AE190" s="231"/>
      <c r="AF190" s="231"/>
      <c r="AG190" s="231"/>
      <c r="AH190" s="231"/>
      <c r="AI190" s="231"/>
      <c r="AJ190" s="231"/>
      <c r="AK190" s="231"/>
      <c r="AL190" s="231"/>
      <c r="AM190" s="231"/>
      <c r="AN190" s="231"/>
      <c r="AO190" s="231"/>
    </row>
    <row r="191" spans="1:41" s="203" customFormat="1">
      <c r="A191" s="608"/>
      <c r="B191" s="578"/>
      <c r="C191" s="578"/>
      <c r="D191" s="597"/>
      <c r="E191" s="609"/>
      <c r="F191" s="459"/>
      <c r="G191" s="459"/>
      <c r="H191" s="457"/>
      <c r="I191" s="459"/>
      <c r="J191" s="452"/>
      <c r="K191" s="231"/>
      <c r="L191" s="231"/>
      <c r="M191" s="231"/>
      <c r="N191" s="231"/>
      <c r="O191" s="231"/>
      <c r="P191" s="231"/>
      <c r="Q191" s="231"/>
      <c r="R191" s="231"/>
      <c r="S191" s="231"/>
      <c r="T191" s="231"/>
      <c r="U191" s="231"/>
      <c r="V191" s="231"/>
      <c r="W191" s="231"/>
      <c r="X191" s="231"/>
      <c r="Y191" s="231"/>
      <c r="Z191" s="231"/>
      <c r="AA191" s="231"/>
      <c r="AB191" s="231"/>
      <c r="AC191" s="231"/>
      <c r="AD191" s="231"/>
      <c r="AE191" s="231"/>
      <c r="AF191" s="231"/>
      <c r="AG191" s="231"/>
      <c r="AH191" s="231"/>
      <c r="AI191" s="231"/>
      <c r="AJ191" s="231"/>
      <c r="AK191" s="231"/>
      <c r="AL191" s="231"/>
      <c r="AM191" s="231"/>
      <c r="AN191" s="231"/>
      <c r="AO191" s="231"/>
    </row>
    <row r="192" spans="1:41" s="203" customFormat="1">
      <c r="A192" s="608"/>
      <c r="B192" s="578"/>
      <c r="C192" s="578"/>
      <c r="D192" s="599"/>
      <c r="E192" s="610"/>
      <c r="F192" s="459"/>
      <c r="G192" s="459"/>
      <c r="H192" s="550" t="s">
        <v>27</v>
      </c>
      <c r="I192" s="459"/>
      <c r="J192" s="452"/>
      <c r="K192" s="231"/>
      <c r="L192" s="231"/>
      <c r="M192" s="231"/>
      <c r="N192" s="231"/>
      <c r="O192" s="231"/>
      <c r="P192" s="231"/>
      <c r="Q192" s="231"/>
      <c r="R192" s="231"/>
      <c r="S192" s="231"/>
      <c r="T192" s="231"/>
      <c r="U192" s="231"/>
      <c r="V192" s="231"/>
      <c r="W192" s="231"/>
      <c r="X192" s="231"/>
      <c r="Y192" s="231"/>
      <c r="Z192" s="231"/>
      <c r="AA192" s="231"/>
      <c r="AB192" s="231"/>
      <c r="AC192" s="231"/>
      <c r="AD192" s="231"/>
      <c r="AE192" s="231"/>
      <c r="AF192" s="231"/>
      <c r="AG192" s="231"/>
      <c r="AH192" s="231"/>
      <c r="AI192" s="231"/>
      <c r="AJ192" s="231"/>
      <c r="AK192" s="231"/>
      <c r="AL192" s="231"/>
      <c r="AM192" s="231"/>
      <c r="AN192" s="231"/>
      <c r="AO192" s="231"/>
    </row>
    <row r="193" spans="1:41" s="203" customFormat="1" ht="12.75" customHeight="1">
      <c r="A193" s="552" t="s">
        <v>23</v>
      </c>
      <c r="B193" s="611"/>
      <c r="C193" s="611"/>
      <c r="D193" s="611"/>
      <c r="E193" s="910" t="s">
        <v>377</v>
      </c>
      <c r="F193" s="910" t="s">
        <v>402</v>
      </c>
      <c r="G193" s="579"/>
      <c r="H193" s="910" t="s">
        <v>403</v>
      </c>
      <c r="I193" s="579"/>
      <c r="J193" s="477"/>
      <c r="K193" s="231"/>
      <c r="L193" s="231"/>
      <c r="M193" s="231"/>
      <c r="N193" s="231"/>
      <c r="O193" s="231"/>
      <c r="P193" s="231"/>
      <c r="Q193" s="231"/>
      <c r="R193" s="231"/>
      <c r="S193" s="231"/>
      <c r="T193" s="231"/>
      <c r="U193" s="231"/>
      <c r="V193" s="231"/>
      <c r="W193" s="231"/>
      <c r="X193" s="231"/>
      <c r="Y193" s="231"/>
      <c r="Z193" s="231"/>
      <c r="AA193" s="231"/>
      <c r="AB193" s="231"/>
      <c r="AC193" s="231"/>
      <c r="AD193" s="231"/>
      <c r="AE193" s="231"/>
      <c r="AF193" s="231"/>
      <c r="AG193" s="231"/>
      <c r="AH193" s="231"/>
      <c r="AI193" s="231"/>
      <c r="AJ193" s="231"/>
      <c r="AK193" s="231"/>
      <c r="AL193" s="231"/>
      <c r="AM193" s="231"/>
      <c r="AN193" s="231"/>
      <c r="AO193" s="231"/>
    </row>
    <row r="194" spans="1:41" s="203" customFormat="1" ht="23.25" customHeight="1">
      <c r="A194" s="612"/>
      <c r="B194" s="581"/>
      <c r="C194" s="581"/>
      <c r="D194" s="581"/>
      <c r="E194" s="911"/>
      <c r="F194" s="911"/>
      <c r="G194" s="579"/>
      <c r="H194" s="911"/>
      <c r="I194" s="579"/>
      <c r="J194" s="477"/>
      <c r="K194" s="231"/>
      <c r="L194" s="231"/>
      <c r="M194" s="231"/>
      <c r="N194" s="231"/>
      <c r="O194" s="231"/>
      <c r="P194" s="231"/>
      <c r="Q194" s="231"/>
      <c r="R194" s="231"/>
      <c r="S194" s="231"/>
      <c r="T194" s="231"/>
      <c r="U194" s="231"/>
      <c r="V194" s="231"/>
      <c r="W194" s="231"/>
      <c r="X194" s="231"/>
      <c r="Y194" s="231"/>
      <c r="Z194" s="231"/>
      <c r="AA194" s="231"/>
      <c r="AB194" s="231"/>
      <c r="AC194" s="231"/>
      <c r="AD194" s="231"/>
      <c r="AE194" s="231"/>
      <c r="AF194" s="231"/>
      <c r="AG194" s="231"/>
      <c r="AH194" s="231"/>
      <c r="AI194" s="231"/>
      <c r="AJ194" s="231"/>
      <c r="AK194" s="231"/>
      <c r="AL194" s="231"/>
      <c r="AM194" s="231"/>
      <c r="AN194" s="231"/>
      <c r="AO194" s="231"/>
    </row>
    <row r="195" spans="1:41" s="203" customFormat="1">
      <c r="A195" s="602" t="s">
        <v>161</v>
      </c>
      <c r="B195" s="567"/>
      <c r="C195" s="567"/>
      <c r="D195" s="567"/>
      <c r="E195" s="911"/>
      <c r="F195" s="911"/>
      <c r="G195" s="579"/>
      <c r="H195" s="911"/>
      <c r="I195" s="579"/>
      <c r="J195" s="477"/>
      <c r="K195" s="231"/>
      <c r="L195" s="231"/>
      <c r="M195" s="231"/>
      <c r="N195" s="231"/>
      <c r="O195" s="231"/>
      <c r="P195" s="231"/>
      <c r="Q195" s="231"/>
      <c r="R195" s="231"/>
      <c r="S195" s="231"/>
      <c r="T195" s="231"/>
      <c r="U195" s="231"/>
      <c r="V195" s="231"/>
      <c r="W195" s="231"/>
      <c r="X195" s="231"/>
      <c r="Y195" s="231"/>
      <c r="Z195" s="231"/>
      <c r="AA195" s="231"/>
      <c r="AB195" s="231"/>
      <c r="AC195" s="231"/>
      <c r="AD195" s="231"/>
      <c r="AE195" s="231"/>
      <c r="AF195" s="231"/>
      <c r="AG195" s="231"/>
      <c r="AH195" s="231"/>
      <c r="AI195" s="231"/>
      <c r="AJ195" s="231"/>
      <c r="AK195" s="231"/>
      <c r="AL195" s="231"/>
      <c r="AM195" s="231"/>
      <c r="AN195" s="231"/>
      <c r="AO195" s="231"/>
    </row>
    <row r="196" spans="1:41" s="203" customFormat="1">
      <c r="A196" s="555" t="s">
        <v>83</v>
      </c>
      <c r="B196" s="490"/>
      <c r="C196" s="490"/>
      <c r="D196" s="490"/>
      <c r="E196" s="911"/>
      <c r="F196" s="911"/>
      <c r="G196" s="579"/>
      <c r="H196" s="911"/>
      <c r="I196" s="579"/>
      <c r="J196" s="477"/>
      <c r="K196" s="231"/>
      <c r="L196" s="231"/>
      <c r="M196" s="231"/>
      <c r="N196" s="231"/>
      <c r="O196" s="231"/>
      <c r="P196" s="231"/>
      <c r="Q196" s="231"/>
      <c r="R196" s="231"/>
      <c r="S196" s="231"/>
      <c r="T196" s="231"/>
      <c r="U196" s="231"/>
      <c r="V196" s="231"/>
      <c r="W196" s="231"/>
      <c r="X196" s="231"/>
      <c r="Y196" s="231"/>
      <c r="Z196" s="231"/>
      <c r="AA196" s="231"/>
      <c r="AB196" s="231"/>
      <c r="AC196" s="231"/>
      <c r="AD196" s="231"/>
      <c r="AE196" s="231"/>
      <c r="AF196" s="231"/>
      <c r="AG196" s="231"/>
      <c r="AH196" s="231"/>
      <c r="AI196" s="231"/>
      <c r="AJ196" s="231"/>
      <c r="AK196" s="231"/>
      <c r="AL196" s="231"/>
      <c r="AM196" s="231"/>
      <c r="AN196" s="231"/>
      <c r="AO196" s="231"/>
    </row>
    <row r="197" spans="1:41" s="203" customFormat="1">
      <c r="A197" s="556" t="s">
        <v>84</v>
      </c>
      <c r="B197" s="581"/>
      <c r="C197" s="581"/>
      <c r="D197" s="581"/>
      <c r="E197" s="912"/>
      <c r="F197" s="912"/>
      <c r="G197" s="579"/>
      <c r="H197" s="912"/>
      <c r="I197" s="579"/>
      <c r="J197" s="477"/>
      <c r="K197" s="231"/>
      <c r="L197" s="231"/>
      <c r="M197" s="231"/>
      <c r="N197" s="231"/>
      <c r="O197" s="231"/>
      <c r="P197" s="231"/>
      <c r="Q197" s="231"/>
      <c r="R197" s="231"/>
      <c r="S197" s="231"/>
      <c r="T197" s="231"/>
      <c r="U197" s="231"/>
      <c r="V197" s="231"/>
      <c r="W197" s="231"/>
      <c r="X197" s="231"/>
      <c r="Y197" s="231"/>
      <c r="Z197" s="231"/>
      <c r="AA197" s="231"/>
      <c r="AB197" s="231"/>
      <c r="AC197" s="231"/>
      <c r="AD197" s="231"/>
      <c r="AE197" s="231"/>
      <c r="AF197" s="231"/>
      <c r="AG197" s="231"/>
      <c r="AH197" s="231"/>
      <c r="AI197" s="231"/>
      <c r="AJ197" s="231"/>
      <c r="AK197" s="231"/>
      <c r="AL197" s="231"/>
      <c r="AM197" s="231"/>
      <c r="AN197" s="231"/>
      <c r="AO197" s="231"/>
    </row>
    <row r="198" spans="1:41" s="203" customFormat="1">
      <c r="A198" s="601" t="s">
        <v>162</v>
      </c>
      <c r="B198" s="613"/>
      <c r="C198" s="613"/>
      <c r="D198" s="613"/>
      <c r="E198" s="614"/>
      <c r="F198" s="534"/>
      <c r="G198" s="572"/>
      <c r="H198" s="534"/>
      <c r="I198" s="459"/>
      <c r="J198" s="452"/>
      <c r="K198" s="231"/>
      <c r="L198" s="231"/>
      <c r="M198" s="231"/>
      <c r="N198" s="231"/>
      <c r="O198" s="231"/>
      <c r="P198" s="231"/>
      <c r="Q198" s="231"/>
      <c r="R198" s="231"/>
      <c r="S198" s="231"/>
      <c r="T198" s="231"/>
      <c r="U198" s="231"/>
      <c r="V198" s="231"/>
      <c r="W198" s="231"/>
      <c r="X198" s="231"/>
      <c r="Y198" s="231"/>
      <c r="Z198" s="231"/>
      <c r="AA198" s="231"/>
      <c r="AB198" s="231"/>
      <c r="AC198" s="231"/>
      <c r="AD198" s="231"/>
      <c r="AE198" s="231"/>
      <c r="AF198" s="231"/>
      <c r="AG198" s="231"/>
      <c r="AH198" s="231"/>
      <c r="AI198" s="231"/>
      <c r="AJ198" s="231"/>
      <c r="AK198" s="231"/>
      <c r="AL198" s="231"/>
      <c r="AM198" s="231"/>
      <c r="AN198" s="231"/>
      <c r="AO198" s="231"/>
    </row>
    <row r="199" spans="1:41" s="203" customFormat="1">
      <c r="A199" s="799">
        <v>1</v>
      </c>
      <c r="B199" s="490" t="s">
        <v>163</v>
      </c>
      <c r="C199" s="490"/>
      <c r="D199" s="490"/>
      <c r="E199" s="516">
        <v>72</v>
      </c>
      <c r="F199" s="52">
        <v>82</v>
      </c>
      <c r="G199" s="572"/>
      <c r="H199" s="563">
        <v>82</v>
      </c>
      <c r="I199" s="459"/>
      <c r="J199" s="452"/>
      <c r="K199" s="231"/>
      <c r="L199" s="231"/>
      <c r="M199" s="231"/>
      <c r="N199" s="231"/>
      <c r="O199" s="231"/>
      <c r="P199" s="231"/>
      <c r="Q199" s="231"/>
      <c r="R199" s="231"/>
      <c r="S199" s="231"/>
      <c r="T199" s="231"/>
      <c r="U199" s="231"/>
      <c r="V199" s="231"/>
      <c r="W199" s="231"/>
      <c r="X199" s="231"/>
      <c r="Y199" s="231"/>
      <c r="Z199" s="231"/>
      <c r="AA199" s="231"/>
      <c r="AB199" s="231"/>
      <c r="AC199" s="231"/>
      <c r="AD199" s="231"/>
      <c r="AE199" s="231"/>
      <c r="AF199" s="231"/>
      <c r="AG199" s="231"/>
      <c r="AH199" s="231"/>
      <c r="AI199" s="231"/>
      <c r="AJ199" s="231"/>
      <c r="AK199" s="231"/>
      <c r="AL199" s="231"/>
      <c r="AM199" s="231"/>
      <c r="AN199" s="231"/>
      <c r="AO199" s="231"/>
    </row>
    <row r="200" spans="1:41" s="203" customFormat="1">
      <c r="A200" s="799">
        <v>2</v>
      </c>
      <c r="B200" s="490" t="s">
        <v>164</v>
      </c>
      <c r="C200" s="490"/>
      <c r="D200" s="490"/>
      <c r="E200" s="498">
        <v>1656</v>
      </c>
      <c r="F200" s="52">
        <v>1389</v>
      </c>
      <c r="G200" s="572"/>
      <c r="H200" s="544">
        <v>1559</v>
      </c>
      <c r="I200" s="459"/>
      <c r="J200" s="452"/>
      <c r="K200" s="231"/>
      <c r="L200" s="231"/>
      <c r="M200" s="231"/>
      <c r="N200" s="231"/>
      <c r="O200" s="231"/>
      <c r="P200" s="231"/>
      <c r="Q200" s="231"/>
      <c r="R200" s="231"/>
      <c r="S200" s="231"/>
      <c r="T200" s="231"/>
      <c r="U200" s="231"/>
      <c r="V200" s="231"/>
      <c r="W200" s="231"/>
      <c r="X200" s="231"/>
      <c r="Y200" s="231"/>
      <c r="Z200" s="231"/>
      <c r="AA200" s="231"/>
      <c r="AB200" s="231"/>
      <c r="AC200" s="231"/>
      <c r="AD200" s="231"/>
      <c r="AE200" s="231"/>
      <c r="AF200" s="231"/>
      <c r="AG200" s="231"/>
      <c r="AH200" s="231"/>
      <c r="AI200" s="231"/>
      <c r="AJ200" s="231"/>
      <c r="AK200" s="231"/>
      <c r="AL200" s="231"/>
      <c r="AM200" s="231"/>
      <c r="AN200" s="231"/>
      <c r="AO200" s="231"/>
    </row>
    <row r="201" spans="1:41" s="203" customFormat="1">
      <c r="A201" s="799">
        <v>3</v>
      </c>
      <c r="B201" s="567" t="s">
        <v>165</v>
      </c>
      <c r="C201" s="567"/>
      <c r="D201" s="567"/>
      <c r="E201" s="522">
        <v>1728</v>
      </c>
      <c r="F201" s="590">
        <f>SUM(F199:F200)</f>
        <v>1471</v>
      </c>
      <c r="G201" s="572"/>
      <c r="H201" s="590">
        <f>SUM(H199:H200)</f>
        <v>1641</v>
      </c>
      <c r="I201" s="459"/>
      <c r="J201" s="452"/>
      <c r="K201" s="231"/>
      <c r="L201" s="231"/>
      <c r="M201" s="231"/>
      <c r="N201" s="231"/>
      <c r="O201" s="231"/>
      <c r="P201" s="231"/>
      <c r="Q201" s="231"/>
      <c r="R201" s="231"/>
      <c r="S201" s="231"/>
      <c r="T201" s="231"/>
      <c r="U201" s="231"/>
      <c r="V201" s="231"/>
      <c r="W201" s="231"/>
      <c r="X201" s="231"/>
      <c r="Y201" s="231"/>
      <c r="Z201" s="231"/>
      <c r="AA201" s="231"/>
      <c r="AB201" s="231"/>
      <c r="AC201" s="231"/>
      <c r="AD201" s="231"/>
      <c r="AE201" s="231"/>
      <c r="AF201" s="231"/>
      <c r="AG201" s="231"/>
      <c r="AH201" s="231"/>
      <c r="AI201" s="231"/>
      <c r="AJ201" s="231"/>
      <c r="AK201" s="231"/>
      <c r="AL201" s="231"/>
      <c r="AM201" s="231"/>
      <c r="AN201" s="231"/>
      <c r="AO201" s="231"/>
    </row>
    <row r="202" spans="1:41" s="203" customFormat="1">
      <c r="A202" s="489"/>
      <c r="B202" s="581"/>
      <c r="C202" s="581"/>
      <c r="D202" s="581"/>
      <c r="E202" s="604"/>
      <c r="F202" s="582"/>
      <c r="G202" s="582"/>
      <c r="H202" s="582"/>
      <c r="I202" s="459"/>
      <c r="J202" s="452"/>
      <c r="K202" s="231"/>
      <c r="L202" s="231"/>
      <c r="M202" s="231"/>
      <c r="N202" s="231"/>
      <c r="O202" s="231"/>
      <c r="P202" s="231"/>
      <c r="Q202" s="231"/>
      <c r="R202" s="231"/>
      <c r="S202" s="231"/>
      <c r="T202" s="231"/>
      <c r="U202" s="231"/>
      <c r="V202" s="231"/>
      <c r="W202" s="231"/>
      <c r="X202" s="231"/>
      <c r="Y202" s="231"/>
      <c r="Z202" s="231"/>
      <c r="AA202" s="231"/>
      <c r="AB202" s="231"/>
      <c r="AC202" s="231"/>
      <c r="AD202" s="231"/>
      <c r="AE202" s="231"/>
      <c r="AF202" s="231"/>
      <c r="AG202" s="231"/>
      <c r="AH202" s="231"/>
      <c r="AI202" s="231"/>
      <c r="AJ202" s="231"/>
      <c r="AK202" s="231"/>
      <c r="AL202" s="231"/>
      <c r="AM202" s="231"/>
      <c r="AN202" s="231"/>
      <c r="AO202" s="231"/>
    </row>
    <row r="203" spans="1:41" s="203" customFormat="1">
      <c r="A203" s="601" t="s">
        <v>166</v>
      </c>
      <c r="B203" s="567"/>
      <c r="C203" s="567"/>
      <c r="D203" s="567"/>
      <c r="E203" s="588"/>
      <c r="F203" s="534"/>
      <c r="G203" s="572"/>
      <c r="H203" s="534"/>
      <c r="I203" s="459"/>
      <c r="J203" s="452"/>
      <c r="K203" s="231"/>
      <c r="L203" s="231"/>
      <c r="M203" s="231"/>
      <c r="N203" s="231"/>
      <c r="O203" s="231"/>
      <c r="P203" s="231"/>
      <c r="Q203" s="231"/>
      <c r="R203" s="231"/>
      <c r="S203" s="231"/>
      <c r="T203" s="231"/>
      <c r="U203" s="231"/>
      <c r="V203" s="231"/>
      <c r="W203" s="231"/>
      <c r="X203" s="231"/>
      <c r="Y203" s="231"/>
      <c r="Z203" s="231"/>
      <c r="AA203" s="231"/>
      <c r="AB203" s="231"/>
      <c r="AC203" s="231"/>
      <c r="AD203" s="231"/>
      <c r="AE203" s="231"/>
      <c r="AF203" s="231"/>
      <c r="AG203" s="231"/>
      <c r="AH203" s="231"/>
      <c r="AI203" s="231"/>
      <c r="AJ203" s="231"/>
      <c r="AK203" s="231"/>
      <c r="AL203" s="231"/>
      <c r="AM203" s="231"/>
      <c r="AN203" s="231"/>
      <c r="AO203" s="231"/>
    </row>
    <row r="204" spans="1:41" s="203" customFormat="1">
      <c r="A204" s="799">
        <v>4</v>
      </c>
      <c r="B204" s="490" t="s">
        <v>167</v>
      </c>
      <c r="C204" s="490"/>
      <c r="D204" s="490"/>
      <c r="E204" s="516">
        <v>7078</v>
      </c>
      <c r="F204" s="52">
        <v>7362</v>
      </c>
      <c r="G204" s="572"/>
      <c r="H204" s="563">
        <v>6185</v>
      </c>
      <c r="I204" s="459"/>
      <c r="J204" s="452"/>
      <c r="K204" s="231"/>
      <c r="L204" s="231"/>
      <c r="M204" s="231"/>
      <c r="N204" s="231"/>
      <c r="O204" s="231"/>
      <c r="P204" s="231"/>
      <c r="Q204" s="231"/>
      <c r="R204" s="231"/>
      <c r="S204" s="231"/>
      <c r="T204" s="231"/>
      <c r="U204" s="231"/>
      <c r="V204" s="231"/>
      <c r="W204" s="231"/>
      <c r="X204" s="231"/>
      <c r="Y204" s="231"/>
      <c r="Z204" s="231"/>
      <c r="AA204" s="231"/>
      <c r="AB204" s="231"/>
      <c r="AC204" s="231"/>
      <c r="AD204" s="231"/>
      <c r="AE204" s="231"/>
      <c r="AF204" s="231"/>
      <c r="AG204" s="231"/>
      <c r="AH204" s="231"/>
      <c r="AI204" s="231"/>
      <c r="AJ204" s="231"/>
      <c r="AK204" s="231"/>
      <c r="AL204" s="231"/>
      <c r="AM204" s="231"/>
      <c r="AN204" s="231"/>
      <c r="AO204" s="231"/>
    </row>
    <row r="205" spans="1:41" s="203" customFormat="1">
      <c r="A205" s="799">
        <v>5</v>
      </c>
      <c r="B205" s="490" t="s">
        <v>168</v>
      </c>
      <c r="C205" s="490"/>
      <c r="D205" s="490"/>
      <c r="E205" s="492">
        <v>14962</v>
      </c>
      <c r="F205" s="52">
        <v>15659</v>
      </c>
      <c r="G205" s="572"/>
      <c r="H205" s="563">
        <v>16255</v>
      </c>
      <c r="I205" s="459"/>
      <c r="J205" s="452"/>
      <c r="K205" s="231"/>
      <c r="L205" s="231"/>
      <c r="M205" s="231"/>
      <c r="N205" s="231"/>
      <c r="O205" s="231"/>
      <c r="P205" s="231"/>
      <c r="Q205" s="231"/>
      <c r="R205" s="231"/>
      <c r="S205" s="231"/>
      <c r="T205" s="231"/>
      <c r="U205" s="231"/>
      <c r="V205" s="231"/>
      <c r="W205" s="231"/>
      <c r="X205" s="231"/>
      <c r="Y205" s="231"/>
      <c r="Z205" s="231"/>
      <c r="AA205" s="231"/>
      <c r="AB205" s="231"/>
      <c r="AC205" s="231"/>
      <c r="AD205" s="231"/>
      <c r="AE205" s="231"/>
      <c r="AF205" s="231"/>
      <c r="AG205" s="231"/>
      <c r="AH205" s="231"/>
      <c r="AI205" s="231"/>
      <c r="AJ205" s="231"/>
      <c r="AK205" s="231"/>
      <c r="AL205" s="231"/>
      <c r="AM205" s="231"/>
      <c r="AN205" s="231"/>
      <c r="AO205" s="231"/>
    </row>
    <row r="206" spans="1:41" s="203" customFormat="1">
      <c r="A206" s="799">
        <v>6</v>
      </c>
      <c r="B206" s="490" t="s">
        <v>169</v>
      </c>
      <c r="C206" s="490"/>
      <c r="D206" s="490"/>
      <c r="E206" s="492">
        <v>3016</v>
      </c>
      <c r="F206" s="52">
        <v>2628</v>
      </c>
      <c r="G206" s="572"/>
      <c r="H206" s="544">
        <v>2806</v>
      </c>
      <c r="I206" s="459"/>
      <c r="J206" s="452"/>
      <c r="K206" s="231"/>
      <c r="L206" s="231"/>
      <c r="M206" s="231"/>
      <c r="N206" s="231"/>
      <c r="O206" s="231"/>
      <c r="P206" s="231"/>
      <c r="Q206" s="231"/>
      <c r="R206" s="231"/>
      <c r="S206" s="231"/>
      <c r="T206" s="231"/>
      <c r="U206" s="231"/>
      <c r="V206" s="231"/>
      <c r="W206" s="231"/>
      <c r="X206" s="231"/>
      <c r="Y206" s="231"/>
      <c r="Z206" s="231"/>
      <c r="AA206" s="231"/>
      <c r="AB206" s="231"/>
      <c r="AC206" s="231"/>
      <c r="AD206" s="231"/>
      <c r="AE206" s="231"/>
      <c r="AF206" s="231"/>
      <c r="AG206" s="231"/>
      <c r="AH206" s="231"/>
      <c r="AI206" s="231"/>
      <c r="AJ206" s="231"/>
      <c r="AK206" s="231"/>
      <c r="AL206" s="231"/>
      <c r="AM206" s="231"/>
      <c r="AN206" s="231"/>
      <c r="AO206" s="231"/>
    </row>
    <row r="207" spans="1:41" s="203" customFormat="1">
      <c r="A207" s="799">
        <v>7</v>
      </c>
      <c r="B207" s="567" t="s">
        <v>170</v>
      </c>
      <c r="C207" s="567"/>
      <c r="D207" s="567"/>
      <c r="E207" s="522">
        <v>25056</v>
      </c>
      <c r="F207" s="590">
        <f>SUM(F204:F206)</f>
        <v>25649</v>
      </c>
      <c r="G207" s="572"/>
      <c r="H207" s="590">
        <f>SUM(H204:H206)</f>
        <v>25246</v>
      </c>
      <c r="I207" s="459"/>
      <c r="J207" s="452"/>
      <c r="K207" s="231"/>
      <c r="L207" s="231"/>
      <c r="M207" s="231"/>
      <c r="N207" s="231"/>
      <c r="O207" s="231"/>
      <c r="P207" s="231"/>
      <c r="Q207" s="231"/>
      <c r="R207" s="231"/>
      <c r="S207" s="231"/>
      <c r="T207" s="231"/>
      <c r="U207" s="231"/>
      <c r="V207" s="231"/>
      <c r="W207" s="231"/>
      <c r="X207" s="231"/>
      <c r="Y207" s="231"/>
      <c r="Z207" s="231"/>
      <c r="AA207" s="231"/>
      <c r="AB207" s="231"/>
      <c r="AC207" s="231"/>
      <c r="AD207" s="231"/>
      <c r="AE207" s="231"/>
      <c r="AF207" s="231"/>
      <c r="AG207" s="231"/>
      <c r="AH207" s="231"/>
      <c r="AI207" s="231"/>
      <c r="AJ207" s="231"/>
      <c r="AK207" s="231"/>
      <c r="AL207" s="231"/>
      <c r="AM207" s="231"/>
      <c r="AN207" s="231"/>
      <c r="AO207" s="231"/>
    </row>
    <row r="208" spans="1:41" s="203" customFormat="1">
      <c r="A208" s="489"/>
      <c r="B208" s="581"/>
      <c r="C208" s="581"/>
      <c r="D208" s="581"/>
      <c r="E208" s="604"/>
      <c r="F208" s="582"/>
      <c r="G208" s="582"/>
      <c r="H208" s="582"/>
      <c r="I208" s="459"/>
      <c r="J208" s="452"/>
      <c r="K208" s="231"/>
      <c r="L208" s="231"/>
      <c r="M208" s="231"/>
      <c r="N208" s="231"/>
      <c r="O208" s="231"/>
      <c r="P208" s="231"/>
      <c r="Q208" s="231"/>
      <c r="R208" s="231"/>
      <c r="S208" s="231"/>
      <c r="T208" s="231"/>
      <c r="U208" s="231"/>
      <c r="V208" s="231"/>
      <c r="W208" s="231"/>
      <c r="X208" s="231"/>
      <c r="Y208" s="231"/>
      <c r="Z208" s="231"/>
      <c r="AA208" s="231"/>
      <c r="AB208" s="231"/>
      <c r="AC208" s="231"/>
      <c r="AD208" s="231"/>
      <c r="AE208" s="231"/>
      <c r="AF208" s="231"/>
      <c r="AG208" s="231"/>
      <c r="AH208" s="231"/>
      <c r="AI208" s="231"/>
      <c r="AJ208" s="231"/>
      <c r="AK208" s="231"/>
      <c r="AL208" s="231"/>
      <c r="AM208" s="231"/>
      <c r="AN208" s="231"/>
      <c r="AO208" s="231"/>
    </row>
    <row r="209" spans="1:41" s="203" customFormat="1">
      <c r="A209" s="601" t="s">
        <v>121</v>
      </c>
      <c r="B209" s="615"/>
      <c r="C209" s="615"/>
      <c r="D209" s="615"/>
      <c r="E209" s="588"/>
      <c r="F209" s="534"/>
      <c r="G209" s="572"/>
      <c r="H209" s="534"/>
      <c r="I209" s="459"/>
      <c r="J209" s="452"/>
      <c r="K209" s="231"/>
      <c r="L209" s="231"/>
      <c r="M209" s="231"/>
      <c r="N209" s="231"/>
      <c r="O209" s="231"/>
      <c r="P209" s="231"/>
      <c r="Q209" s="231"/>
      <c r="R209" s="231"/>
      <c r="S209" s="231"/>
      <c r="T209" s="231"/>
      <c r="U209" s="231"/>
      <c r="V209" s="231"/>
      <c r="W209" s="231"/>
      <c r="X209" s="231"/>
      <c r="Y209" s="231"/>
      <c r="Z209" s="231"/>
      <c r="AA209" s="231"/>
      <c r="AB209" s="231"/>
      <c r="AC209" s="231"/>
      <c r="AD209" s="231"/>
      <c r="AE209" s="231"/>
      <c r="AF209" s="231"/>
      <c r="AG209" s="231"/>
      <c r="AH209" s="231"/>
      <c r="AI209" s="231"/>
      <c r="AJ209" s="231"/>
      <c r="AK209" s="231"/>
      <c r="AL209" s="231"/>
      <c r="AM209" s="231"/>
      <c r="AN209" s="231"/>
      <c r="AO209" s="231"/>
    </row>
    <row r="210" spans="1:41" s="203" customFormat="1">
      <c r="A210" s="799">
        <v>8</v>
      </c>
      <c r="B210" s="490" t="s">
        <v>171</v>
      </c>
      <c r="C210" s="490"/>
      <c r="D210" s="490"/>
      <c r="E210" s="516">
        <v>-889</v>
      </c>
      <c r="F210" s="52">
        <v>-479</v>
      </c>
      <c r="G210" s="572"/>
      <c r="H210" s="563">
        <v>-909</v>
      </c>
      <c r="I210" s="459"/>
      <c r="J210" s="452"/>
      <c r="K210" s="231"/>
      <c r="L210" s="231"/>
      <c r="M210" s="231"/>
      <c r="N210" s="231"/>
      <c r="O210" s="231"/>
      <c r="P210" s="231"/>
      <c r="Q210" s="231"/>
      <c r="R210" s="231"/>
      <c r="S210" s="231"/>
      <c r="T210" s="231"/>
      <c r="U210" s="231"/>
      <c r="V210" s="231"/>
      <c r="W210" s="231"/>
      <c r="X210" s="231"/>
      <c r="Y210" s="231"/>
      <c r="Z210" s="231"/>
      <c r="AA210" s="231"/>
      <c r="AB210" s="231"/>
      <c r="AC210" s="231"/>
      <c r="AD210" s="231"/>
      <c r="AE210" s="231"/>
      <c r="AF210" s="231"/>
      <c r="AG210" s="231"/>
      <c r="AH210" s="231"/>
      <c r="AI210" s="231"/>
      <c r="AJ210" s="231"/>
      <c r="AK210" s="231"/>
      <c r="AL210" s="231"/>
      <c r="AM210" s="231"/>
      <c r="AN210" s="231"/>
      <c r="AO210" s="231"/>
    </row>
    <row r="211" spans="1:41" s="203" customFormat="1">
      <c r="A211" s="799">
        <v>9</v>
      </c>
      <c r="B211" s="490" t="s">
        <v>172</v>
      </c>
      <c r="C211" s="490"/>
      <c r="D211" s="490"/>
      <c r="E211" s="492">
        <v>166</v>
      </c>
      <c r="F211" s="52">
        <v>87</v>
      </c>
      <c r="G211" s="572"/>
      <c r="H211" s="563">
        <v>127</v>
      </c>
      <c r="I211" s="459"/>
      <c r="J211" s="452"/>
      <c r="K211" s="231"/>
      <c r="L211" s="231"/>
      <c r="M211" s="231"/>
      <c r="N211" s="231"/>
      <c r="O211" s="231"/>
      <c r="P211" s="231"/>
      <c r="Q211" s="231"/>
      <c r="R211" s="231"/>
      <c r="S211" s="231"/>
      <c r="T211" s="231"/>
      <c r="U211" s="231"/>
      <c r="V211" s="231"/>
      <c r="W211" s="231"/>
      <c r="X211" s="231"/>
      <c r="Y211" s="231"/>
      <c r="Z211" s="231"/>
      <c r="AA211" s="231"/>
      <c r="AB211" s="231"/>
      <c r="AC211" s="231"/>
      <c r="AD211" s="231"/>
      <c r="AE211" s="231"/>
      <c r="AF211" s="231"/>
      <c r="AG211" s="231"/>
      <c r="AH211" s="231"/>
      <c r="AI211" s="231"/>
      <c r="AJ211" s="231"/>
      <c r="AK211" s="231"/>
      <c r="AL211" s="231"/>
      <c r="AM211" s="231"/>
      <c r="AN211" s="231"/>
      <c r="AO211" s="231"/>
    </row>
    <row r="212" spans="1:41" s="203" customFormat="1">
      <c r="A212" s="799">
        <v>10</v>
      </c>
      <c r="B212" s="490" t="s">
        <v>173</v>
      </c>
      <c r="C212" s="490"/>
      <c r="D212" s="490"/>
      <c r="E212" s="492">
        <v>479</v>
      </c>
      <c r="F212" s="52">
        <v>270</v>
      </c>
      <c r="G212" s="572"/>
      <c r="H212" s="563">
        <v>490</v>
      </c>
      <c r="I212" s="459"/>
      <c r="J212" s="452"/>
      <c r="K212" s="231"/>
      <c r="L212" s="231"/>
      <c r="M212" s="231"/>
      <c r="N212" s="231"/>
      <c r="O212" s="231"/>
      <c r="P212" s="231"/>
      <c r="Q212" s="231"/>
      <c r="R212" s="231"/>
      <c r="S212" s="231"/>
      <c r="T212" s="231"/>
      <c r="U212" s="231"/>
      <c r="V212" s="231"/>
      <c r="W212" s="231"/>
      <c r="X212" s="231"/>
      <c r="Y212" s="231"/>
      <c r="Z212" s="231"/>
      <c r="AA212" s="231"/>
      <c r="AB212" s="231"/>
      <c r="AC212" s="231"/>
      <c r="AD212" s="231"/>
      <c r="AE212" s="231"/>
      <c r="AF212" s="231"/>
      <c r="AG212" s="231"/>
      <c r="AH212" s="231"/>
      <c r="AI212" s="231"/>
      <c r="AJ212" s="231"/>
      <c r="AK212" s="231"/>
      <c r="AL212" s="231"/>
      <c r="AM212" s="231"/>
      <c r="AN212" s="231"/>
      <c r="AO212" s="231"/>
    </row>
    <row r="213" spans="1:41" s="203" customFormat="1">
      <c r="A213" s="799">
        <v>11</v>
      </c>
      <c r="B213" s="490" t="s">
        <v>174</v>
      </c>
      <c r="C213" s="490"/>
      <c r="D213" s="490"/>
      <c r="E213" s="492">
        <v>4050</v>
      </c>
      <c r="F213" s="52">
        <v>3562</v>
      </c>
      <c r="G213" s="572"/>
      <c r="H213" s="543">
        <v>3526</v>
      </c>
      <c r="I213" s="459"/>
      <c r="J213" s="452"/>
      <c r="K213" s="231"/>
      <c r="L213" s="231"/>
      <c r="M213" s="231"/>
      <c r="N213" s="231"/>
      <c r="O213" s="231"/>
      <c r="P213" s="231"/>
      <c r="Q213" s="231"/>
      <c r="R213" s="231"/>
      <c r="S213" s="231"/>
      <c r="T213" s="231"/>
      <c r="U213" s="231"/>
      <c r="V213" s="231"/>
      <c r="W213" s="231"/>
      <c r="X213" s="231"/>
      <c r="Y213" s="231"/>
      <c r="Z213" s="231"/>
      <c r="AA213" s="231"/>
      <c r="AB213" s="231"/>
      <c r="AC213" s="231"/>
      <c r="AD213" s="231"/>
      <c r="AE213" s="231"/>
      <c r="AF213" s="231"/>
      <c r="AG213" s="231"/>
      <c r="AH213" s="231"/>
      <c r="AI213" s="231"/>
      <c r="AJ213" s="231"/>
      <c r="AK213" s="231"/>
      <c r="AL213" s="231"/>
      <c r="AM213" s="231"/>
      <c r="AN213" s="231"/>
      <c r="AO213" s="231"/>
    </row>
    <row r="214" spans="1:41" s="203" customFormat="1">
      <c r="A214" s="799">
        <v>12</v>
      </c>
      <c r="B214" s="567" t="s">
        <v>175</v>
      </c>
      <c r="C214" s="567"/>
      <c r="D214" s="567"/>
      <c r="E214" s="607">
        <v>30590</v>
      </c>
      <c r="F214" s="503">
        <f>F201+F207+SUM(F210:F213)</f>
        <v>30560</v>
      </c>
      <c r="G214" s="572"/>
      <c r="H214" s="503">
        <f>H201+H207+SUM(H210:H213)</f>
        <v>30121</v>
      </c>
      <c r="I214" s="459"/>
      <c r="J214" s="452"/>
      <c r="K214" s="231"/>
      <c r="L214" s="231"/>
      <c r="M214" s="231"/>
      <c r="N214" s="231"/>
      <c r="O214" s="231"/>
      <c r="P214" s="231"/>
      <c r="Q214" s="231"/>
      <c r="R214" s="231"/>
      <c r="S214" s="231"/>
      <c r="T214" s="231"/>
      <c r="U214" s="231"/>
      <c r="V214" s="231"/>
      <c r="W214" s="231"/>
      <c r="X214" s="231"/>
      <c r="Y214" s="231"/>
      <c r="Z214" s="231"/>
      <c r="AA214" s="231"/>
      <c r="AB214" s="231"/>
      <c r="AC214" s="231"/>
      <c r="AD214" s="231"/>
      <c r="AE214" s="231"/>
      <c r="AF214" s="231"/>
      <c r="AG214" s="231"/>
      <c r="AH214" s="231"/>
      <c r="AI214" s="231"/>
      <c r="AJ214" s="231"/>
      <c r="AK214" s="231"/>
      <c r="AL214" s="231"/>
      <c r="AM214" s="231"/>
      <c r="AN214" s="231"/>
      <c r="AO214" s="231"/>
    </row>
    <row r="215" spans="1:41" s="203" customFormat="1">
      <c r="A215" s="557"/>
      <c r="B215" s="490"/>
      <c r="C215" s="490"/>
      <c r="D215" s="490"/>
      <c r="E215" s="571"/>
      <c r="F215" s="572"/>
      <c r="G215" s="572"/>
      <c r="H215" s="572"/>
      <c r="I215" s="459"/>
      <c r="J215" s="452"/>
      <c r="K215" s="231"/>
      <c r="L215" s="231"/>
      <c r="M215" s="231"/>
      <c r="N215" s="231"/>
      <c r="O215" s="231"/>
      <c r="P215" s="231"/>
      <c r="Q215" s="231"/>
      <c r="R215" s="231"/>
      <c r="S215" s="231"/>
      <c r="T215" s="231"/>
      <c r="U215" s="231"/>
      <c r="V215" s="231"/>
      <c r="W215" s="231"/>
      <c r="X215" s="231"/>
      <c r="Y215" s="231"/>
      <c r="Z215" s="231"/>
      <c r="AA215" s="231"/>
      <c r="AB215" s="231"/>
      <c r="AC215" s="231"/>
      <c r="AD215" s="231"/>
      <c r="AE215" s="231"/>
      <c r="AF215" s="231"/>
      <c r="AG215" s="231"/>
      <c r="AH215" s="231"/>
      <c r="AI215" s="231"/>
      <c r="AJ215" s="231"/>
      <c r="AK215" s="231"/>
      <c r="AL215" s="231"/>
      <c r="AM215" s="231"/>
      <c r="AN215" s="231"/>
      <c r="AO215" s="231"/>
    </row>
    <row r="216" spans="1:41" s="203" customFormat="1">
      <c r="A216" s="573" t="s">
        <v>176</v>
      </c>
      <c r="B216" s="567"/>
      <c r="C216" s="567"/>
      <c r="D216" s="567"/>
      <c r="E216" s="571"/>
      <c r="F216" s="616"/>
      <c r="G216" s="572"/>
      <c r="H216" s="616"/>
      <c r="I216" s="459"/>
      <c r="J216" s="452"/>
      <c r="K216" s="231"/>
      <c r="L216" s="231"/>
      <c r="M216" s="231"/>
      <c r="N216" s="231"/>
      <c r="O216" s="231"/>
      <c r="P216" s="231"/>
      <c r="Q216" s="231"/>
      <c r="R216" s="231"/>
      <c r="S216" s="231"/>
      <c r="T216" s="231"/>
      <c r="U216" s="231"/>
      <c r="V216" s="231"/>
      <c r="W216" s="231"/>
      <c r="X216" s="231"/>
      <c r="Y216" s="231"/>
      <c r="Z216" s="231"/>
      <c r="AA216" s="231"/>
      <c r="AB216" s="231"/>
      <c r="AC216" s="231"/>
      <c r="AD216" s="231"/>
      <c r="AE216" s="231"/>
      <c r="AF216" s="231"/>
      <c r="AG216" s="231"/>
      <c r="AH216" s="231"/>
      <c r="AI216" s="231"/>
      <c r="AJ216" s="231"/>
      <c r="AK216" s="231"/>
      <c r="AL216" s="231"/>
      <c r="AM216" s="231"/>
      <c r="AN216" s="231"/>
      <c r="AO216" s="231"/>
    </row>
    <row r="217" spans="1:41" s="203" customFormat="1">
      <c r="A217" s="799">
        <v>13</v>
      </c>
      <c r="B217" s="490" t="s">
        <v>177</v>
      </c>
      <c r="C217" s="490"/>
      <c r="D217" s="490"/>
      <c r="E217" s="484">
        <v>269</v>
      </c>
      <c r="F217" s="121">
        <v>215</v>
      </c>
      <c r="G217" s="572"/>
      <c r="H217" s="617">
        <v>268</v>
      </c>
      <c r="I217" s="459"/>
      <c r="J217" s="452"/>
      <c r="K217" s="231"/>
      <c r="L217" s="231"/>
      <c r="M217" s="231"/>
      <c r="N217" s="231"/>
      <c r="O217" s="231"/>
      <c r="P217" s="231"/>
      <c r="Q217" s="231"/>
      <c r="R217" s="231"/>
      <c r="S217" s="231"/>
      <c r="T217" s="231"/>
      <c r="U217" s="231"/>
      <c r="V217" s="231"/>
      <c r="W217" s="231"/>
      <c r="X217" s="231"/>
      <c r="Y217" s="231"/>
      <c r="Z217" s="231"/>
      <c r="AA217" s="231"/>
      <c r="AB217" s="231"/>
      <c r="AC217" s="231"/>
      <c r="AD217" s="231"/>
      <c r="AE217" s="231"/>
      <c r="AF217" s="231"/>
      <c r="AG217" s="231"/>
      <c r="AH217" s="231"/>
      <c r="AI217" s="231"/>
      <c r="AJ217" s="231"/>
      <c r="AK217" s="231"/>
      <c r="AL217" s="231"/>
      <c r="AM217" s="231"/>
      <c r="AN217" s="231"/>
      <c r="AO217" s="231"/>
    </row>
    <row r="218" spans="1:41" s="203" customFormat="1">
      <c r="A218" s="800">
        <v>14</v>
      </c>
      <c r="B218" s="496" t="s">
        <v>178</v>
      </c>
      <c r="C218" s="496"/>
      <c r="D218" s="496"/>
      <c r="E218" s="498">
        <v>3557</v>
      </c>
      <c r="F218" s="126">
        <v>3431</v>
      </c>
      <c r="G218" s="572"/>
      <c r="H218" s="544">
        <v>3598</v>
      </c>
      <c r="I218" s="459"/>
      <c r="J218" s="452"/>
      <c r="K218" s="231"/>
      <c r="L218" s="231"/>
      <c r="M218" s="231"/>
      <c r="N218" s="231"/>
      <c r="O218" s="231"/>
      <c r="P218" s="231"/>
      <c r="Q218" s="231"/>
      <c r="R218" s="231"/>
      <c r="S218" s="231"/>
      <c r="T218" s="231"/>
      <c r="U218" s="231"/>
      <c r="V218" s="231"/>
      <c r="W218" s="231"/>
      <c r="X218" s="231"/>
      <c r="Y218" s="231"/>
      <c r="Z218" s="231"/>
      <c r="AA218" s="231"/>
      <c r="AB218" s="231"/>
      <c r="AC218" s="231"/>
      <c r="AD218" s="231"/>
      <c r="AE218" s="231"/>
      <c r="AF218" s="231"/>
      <c r="AG218" s="231"/>
      <c r="AH218" s="231"/>
      <c r="AI218" s="231"/>
      <c r="AJ218" s="231"/>
      <c r="AK218" s="231"/>
      <c r="AL218" s="231"/>
      <c r="AM218" s="231"/>
      <c r="AN218" s="231"/>
      <c r="AO218" s="231"/>
    </row>
    <row r="219" spans="1:41" s="203" customFormat="1">
      <c r="A219" s="596"/>
      <c r="B219" s="459"/>
      <c r="C219" s="459"/>
      <c r="D219" s="618"/>
      <c r="E219" s="619"/>
      <c r="F219" s="459"/>
      <c r="G219" s="459"/>
      <c r="H219" s="457"/>
      <c r="I219" s="459"/>
      <c r="J219" s="452"/>
      <c r="K219" s="231"/>
      <c r="L219" s="231"/>
      <c r="M219" s="231"/>
      <c r="N219" s="231"/>
      <c r="O219" s="231"/>
      <c r="P219" s="231"/>
      <c r="Q219" s="231"/>
      <c r="R219" s="231"/>
      <c r="S219" s="231"/>
      <c r="T219" s="231"/>
      <c r="U219" s="231"/>
      <c r="V219" s="231"/>
      <c r="W219" s="231"/>
      <c r="X219" s="231"/>
      <c r="Y219" s="231"/>
      <c r="Z219" s="231"/>
      <c r="AA219" s="231"/>
      <c r="AB219" s="231"/>
      <c r="AC219" s="231"/>
      <c r="AD219" s="231"/>
      <c r="AE219" s="231"/>
      <c r="AF219" s="231"/>
      <c r="AG219" s="231"/>
      <c r="AH219" s="231"/>
      <c r="AI219" s="231"/>
      <c r="AJ219" s="231"/>
      <c r="AK219" s="231"/>
      <c r="AL219" s="231"/>
      <c r="AM219" s="231"/>
      <c r="AN219" s="231"/>
      <c r="AO219" s="231"/>
    </row>
    <row r="220" spans="1:41" s="203" customFormat="1">
      <c r="A220" s="596"/>
      <c r="B220" s="459"/>
      <c r="C220" s="459"/>
      <c r="D220" s="620"/>
      <c r="E220" s="600"/>
      <c r="F220" s="459"/>
      <c r="G220" s="459"/>
      <c r="H220" s="550" t="s">
        <v>27</v>
      </c>
      <c r="I220" s="459"/>
      <c r="J220" s="452"/>
      <c r="K220" s="231"/>
      <c r="L220" s="231"/>
      <c r="M220" s="231"/>
      <c r="N220" s="231"/>
      <c r="O220" s="231"/>
      <c r="P220" s="231"/>
      <c r="Q220" s="231"/>
      <c r="R220" s="231"/>
      <c r="S220" s="231"/>
      <c r="T220" s="231"/>
      <c r="U220" s="231"/>
      <c r="V220" s="231"/>
      <c r="W220" s="231"/>
      <c r="X220" s="231"/>
      <c r="Y220" s="231"/>
      <c r="Z220" s="231"/>
      <c r="AA220" s="231"/>
      <c r="AB220" s="231"/>
      <c r="AC220" s="231"/>
      <c r="AD220" s="231"/>
      <c r="AE220" s="231"/>
      <c r="AF220" s="231"/>
      <c r="AG220" s="231"/>
      <c r="AH220" s="231"/>
      <c r="AI220" s="231"/>
      <c r="AJ220" s="231"/>
      <c r="AK220" s="231"/>
      <c r="AL220" s="231"/>
      <c r="AM220" s="231"/>
      <c r="AN220" s="231"/>
      <c r="AO220" s="231"/>
    </row>
    <row r="221" spans="1:41" s="203" customFormat="1" ht="12.75" customHeight="1">
      <c r="A221" s="552" t="s">
        <v>10</v>
      </c>
      <c r="B221" s="611"/>
      <c r="C221" s="611"/>
      <c r="D221" s="611"/>
      <c r="E221" s="910" t="s">
        <v>377</v>
      </c>
      <c r="F221" s="910" t="s">
        <v>402</v>
      </c>
      <c r="G221" s="579"/>
      <c r="H221" s="910" t="s">
        <v>403</v>
      </c>
      <c r="I221" s="579"/>
      <c r="J221" s="477"/>
      <c r="K221" s="231"/>
      <c r="L221" s="231"/>
      <c r="M221" s="231"/>
      <c r="N221" s="231"/>
      <c r="O221" s="231"/>
      <c r="P221" s="231"/>
      <c r="Q221" s="231"/>
      <c r="R221" s="231"/>
      <c r="S221" s="231"/>
      <c r="T221" s="231"/>
      <c r="U221" s="231"/>
      <c r="V221" s="231"/>
      <c r="W221" s="231"/>
      <c r="X221" s="231"/>
      <c r="Y221" s="231"/>
      <c r="Z221" s="231"/>
      <c r="AA221" s="231"/>
      <c r="AB221" s="231"/>
      <c r="AC221" s="231"/>
      <c r="AD221" s="231"/>
      <c r="AE221" s="231"/>
      <c r="AF221" s="231"/>
      <c r="AG221" s="231"/>
      <c r="AH221" s="231"/>
      <c r="AI221" s="231"/>
      <c r="AJ221" s="231"/>
      <c r="AK221" s="231"/>
      <c r="AL221" s="231"/>
      <c r="AM221" s="231"/>
      <c r="AN221" s="231"/>
      <c r="AO221" s="231"/>
    </row>
    <row r="222" spans="1:41" s="203" customFormat="1">
      <c r="A222" s="555"/>
      <c r="B222" s="581"/>
      <c r="C222" s="581"/>
      <c r="D222" s="581"/>
      <c r="E222" s="911"/>
      <c r="F222" s="911"/>
      <c r="G222" s="579"/>
      <c r="H222" s="911"/>
      <c r="I222" s="579"/>
      <c r="J222" s="477"/>
      <c r="K222" s="231"/>
      <c r="L222" s="231"/>
      <c r="M222" s="231"/>
      <c r="N222" s="231"/>
      <c r="O222" s="231"/>
      <c r="P222" s="231"/>
      <c r="Q222" s="231"/>
      <c r="R222" s="231"/>
      <c r="S222" s="231"/>
      <c r="T222" s="231"/>
      <c r="U222" s="231"/>
      <c r="V222" s="231"/>
      <c r="W222" s="231"/>
      <c r="X222" s="231"/>
      <c r="Y222" s="231"/>
      <c r="Z222" s="231"/>
      <c r="AA222" s="231"/>
      <c r="AB222" s="231"/>
      <c r="AC222" s="231"/>
      <c r="AD222" s="231"/>
      <c r="AE222" s="231"/>
      <c r="AF222" s="231"/>
      <c r="AG222" s="231"/>
      <c r="AH222" s="231"/>
      <c r="AI222" s="231"/>
      <c r="AJ222" s="231"/>
      <c r="AK222" s="231"/>
      <c r="AL222" s="231"/>
      <c r="AM222" s="231"/>
      <c r="AN222" s="231"/>
      <c r="AO222" s="231"/>
    </row>
    <row r="223" spans="1:41" s="203" customFormat="1">
      <c r="A223" s="602" t="s">
        <v>179</v>
      </c>
      <c r="B223" s="567"/>
      <c r="C223" s="567"/>
      <c r="D223" s="567"/>
      <c r="E223" s="911"/>
      <c r="F223" s="911"/>
      <c r="G223" s="579"/>
      <c r="H223" s="911"/>
      <c r="I223" s="579"/>
      <c r="J223" s="477"/>
      <c r="K223" s="231"/>
      <c r="L223" s="231"/>
      <c r="M223" s="231"/>
      <c r="N223" s="231"/>
      <c r="O223" s="231"/>
      <c r="P223" s="231"/>
      <c r="Q223" s="231"/>
      <c r="R223" s="231"/>
      <c r="S223" s="231"/>
      <c r="T223" s="231"/>
      <c r="U223" s="231"/>
      <c r="V223" s="231"/>
      <c r="W223" s="231"/>
      <c r="X223" s="231"/>
      <c r="Y223" s="231"/>
      <c r="Z223" s="231"/>
      <c r="AA223" s="231"/>
      <c r="AB223" s="231"/>
      <c r="AC223" s="231"/>
      <c r="AD223" s="231"/>
      <c r="AE223" s="231"/>
      <c r="AF223" s="231"/>
      <c r="AG223" s="231"/>
      <c r="AH223" s="231"/>
      <c r="AI223" s="231"/>
      <c r="AJ223" s="231"/>
      <c r="AK223" s="231"/>
      <c r="AL223" s="231"/>
      <c r="AM223" s="231"/>
      <c r="AN223" s="231"/>
      <c r="AO223" s="231"/>
    </row>
    <row r="224" spans="1:41" s="203" customFormat="1">
      <c r="A224" s="555" t="s">
        <v>83</v>
      </c>
      <c r="B224" s="490"/>
      <c r="C224" s="490"/>
      <c r="D224" s="490"/>
      <c r="E224" s="911"/>
      <c r="F224" s="911"/>
      <c r="G224" s="579"/>
      <c r="H224" s="911"/>
      <c r="I224" s="579"/>
      <c r="J224" s="477"/>
      <c r="K224" s="231"/>
      <c r="L224" s="231"/>
      <c r="M224" s="231"/>
      <c r="N224" s="231"/>
      <c r="O224" s="231"/>
      <c r="P224" s="231"/>
      <c r="Q224" s="231"/>
      <c r="R224" s="231"/>
      <c r="S224" s="231"/>
      <c r="T224" s="231"/>
      <c r="U224" s="231"/>
      <c r="V224" s="231"/>
      <c r="W224" s="231"/>
      <c r="X224" s="231"/>
      <c r="Y224" s="231"/>
      <c r="Z224" s="231"/>
      <c r="AA224" s="231"/>
      <c r="AB224" s="231"/>
      <c r="AC224" s="231"/>
      <c r="AD224" s="231"/>
      <c r="AE224" s="231"/>
      <c r="AF224" s="231"/>
      <c r="AG224" s="231"/>
      <c r="AH224" s="231"/>
      <c r="AI224" s="231"/>
      <c r="AJ224" s="231"/>
      <c r="AK224" s="231"/>
      <c r="AL224" s="231"/>
      <c r="AM224" s="231"/>
      <c r="AN224" s="231"/>
      <c r="AO224" s="231"/>
    </row>
    <row r="225" spans="1:41" s="203" customFormat="1">
      <c r="A225" s="556" t="s">
        <v>84</v>
      </c>
      <c r="B225" s="581"/>
      <c r="C225" s="581"/>
      <c r="D225" s="581"/>
      <c r="E225" s="912"/>
      <c r="F225" s="912"/>
      <c r="G225" s="579"/>
      <c r="H225" s="912"/>
      <c r="I225" s="579"/>
      <c r="J225" s="477"/>
      <c r="K225" s="231"/>
      <c r="L225" s="231"/>
      <c r="M225" s="231"/>
      <c r="N225" s="231"/>
      <c r="O225" s="231"/>
      <c r="P225" s="231"/>
      <c r="Q225" s="231"/>
      <c r="R225" s="231"/>
      <c r="S225" s="231"/>
      <c r="T225" s="231"/>
      <c r="U225" s="231"/>
      <c r="V225" s="231"/>
      <c r="W225" s="231"/>
      <c r="X225" s="231"/>
      <c r="Y225" s="231"/>
      <c r="Z225" s="231"/>
      <c r="AA225" s="231"/>
      <c r="AB225" s="231"/>
      <c r="AC225" s="231"/>
      <c r="AD225" s="231"/>
      <c r="AE225" s="231"/>
      <c r="AF225" s="231"/>
      <c r="AG225" s="231"/>
      <c r="AH225" s="231"/>
      <c r="AI225" s="231"/>
      <c r="AJ225" s="231"/>
      <c r="AK225" s="231"/>
      <c r="AL225" s="231"/>
      <c r="AM225" s="231"/>
      <c r="AN225" s="231"/>
      <c r="AO225" s="231"/>
    </row>
    <row r="226" spans="1:41" s="203" customFormat="1">
      <c r="A226" s="799">
        <v>1</v>
      </c>
      <c r="B226" s="490" t="s">
        <v>180</v>
      </c>
      <c r="C226" s="490"/>
      <c r="D226" s="490"/>
      <c r="E226" s="484">
        <v>-115</v>
      </c>
      <c r="F226" s="52">
        <v>-153</v>
      </c>
      <c r="G226" s="572"/>
      <c r="H226" s="560">
        <v>-156</v>
      </c>
      <c r="I226" s="459"/>
      <c r="J226" s="452"/>
      <c r="K226" s="231"/>
      <c r="L226" s="231"/>
      <c r="M226" s="231"/>
      <c r="N226" s="231"/>
      <c r="O226" s="231"/>
      <c r="P226" s="231"/>
      <c r="Q226" s="231"/>
      <c r="R226" s="231"/>
      <c r="S226" s="231"/>
      <c r="T226" s="231"/>
      <c r="U226" s="231"/>
      <c r="V226" s="231"/>
      <c r="W226" s="231"/>
      <c r="X226" s="231"/>
      <c r="Y226" s="231"/>
      <c r="Z226" s="231"/>
      <c r="AA226" s="231"/>
      <c r="AB226" s="231"/>
      <c r="AC226" s="231"/>
      <c r="AD226" s="231"/>
      <c r="AE226" s="231"/>
      <c r="AF226" s="231"/>
      <c r="AG226" s="231"/>
      <c r="AH226" s="231"/>
      <c r="AI226" s="231"/>
      <c r="AJ226" s="231"/>
      <c r="AK226" s="231"/>
      <c r="AL226" s="231"/>
      <c r="AM226" s="231"/>
      <c r="AN226" s="231"/>
      <c r="AO226" s="231"/>
    </row>
    <row r="227" spans="1:41" s="203" customFormat="1">
      <c r="A227" s="799">
        <v>2</v>
      </c>
      <c r="B227" s="490" t="s">
        <v>181</v>
      </c>
      <c r="C227" s="490"/>
      <c r="D227" s="490"/>
      <c r="E227" s="492">
        <v>713</v>
      </c>
      <c r="F227" s="52">
        <v>932</v>
      </c>
      <c r="G227" s="572"/>
      <c r="H227" s="563">
        <v>874</v>
      </c>
      <c r="I227" s="459"/>
      <c r="J227" s="452"/>
      <c r="K227" s="231"/>
      <c r="L227" s="231"/>
      <c r="M227" s="231"/>
      <c r="N227" s="231"/>
      <c r="O227" s="231"/>
      <c r="P227" s="231"/>
      <c r="Q227" s="231"/>
      <c r="R227" s="231"/>
      <c r="S227" s="231"/>
      <c r="T227" s="231"/>
      <c r="U227" s="231"/>
      <c r="V227" s="231"/>
      <c r="W227" s="231"/>
      <c r="X227" s="231"/>
      <c r="Y227" s="231"/>
      <c r="Z227" s="231"/>
      <c r="AA227" s="231"/>
      <c r="AB227" s="231"/>
      <c r="AC227" s="231"/>
      <c r="AD227" s="231"/>
      <c r="AE227" s="231"/>
      <c r="AF227" s="231"/>
      <c r="AG227" s="231"/>
      <c r="AH227" s="231"/>
      <c r="AI227" s="231"/>
      <c r="AJ227" s="231"/>
      <c r="AK227" s="231"/>
      <c r="AL227" s="231"/>
      <c r="AM227" s="231"/>
      <c r="AN227" s="231"/>
      <c r="AO227" s="231"/>
    </row>
    <row r="228" spans="1:41" s="203" customFormat="1">
      <c r="A228" s="799">
        <v>3</v>
      </c>
      <c r="B228" s="490" t="s">
        <v>182</v>
      </c>
      <c r="C228" s="490"/>
      <c r="D228" s="490"/>
      <c r="E228" s="564">
        <v>1335</v>
      </c>
      <c r="F228" s="52">
        <v>983</v>
      </c>
      <c r="G228" s="572"/>
      <c r="H228" s="563">
        <v>1095</v>
      </c>
      <c r="I228" s="459"/>
      <c r="J228" s="452"/>
      <c r="K228" s="231"/>
      <c r="L228" s="231"/>
      <c r="M228" s="231"/>
      <c r="N228" s="231"/>
      <c r="O228" s="231"/>
      <c r="P228" s="231"/>
      <c r="Q228" s="231"/>
      <c r="R228" s="231"/>
      <c r="S228" s="231"/>
      <c r="T228" s="231"/>
      <c r="U228" s="231"/>
      <c r="V228" s="231"/>
      <c r="W228" s="231"/>
      <c r="X228" s="231"/>
      <c r="Y228" s="231"/>
      <c r="Z228" s="231"/>
      <c r="AA228" s="231"/>
      <c r="AB228" s="231"/>
      <c r="AC228" s="231"/>
      <c r="AD228" s="231"/>
      <c r="AE228" s="231"/>
      <c r="AF228" s="231"/>
      <c r="AG228" s="231"/>
      <c r="AH228" s="231"/>
      <c r="AI228" s="231"/>
      <c r="AJ228" s="231"/>
      <c r="AK228" s="231"/>
      <c r="AL228" s="231"/>
      <c r="AM228" s="231"/>
      <c r="AN228" s="231"/>
      <c r="AO228" s="231"/>
    </row>
    <row r="229" spans="1:41" s="203" customFormat="1">
      <c r="A229" s="799">
        <v>4</v>
      </c>
      <c r="B229" s="490" t="s">
        <v>183</v>
      </c>
      <c r="C229" s="490"/>
      <c r="D229" s="490"/>
      <c r="E229" s="564">
        <v>1015</v>
      </c>
      <c r="F229" s="52">
        <v>1017</v>
      </c>
      <c r="G229" s="572"/>
      <c r="H229" s="563">
        <v>966</v>
      </c>
      <c r="I229" s="459"/>
      <c r="J229" s="452"/>
      <c r="K229" s="231"/>
      <c r="L229" s="231"/>
      <c r="M229" s="231"/>
      <c r="N229" s="231"/>
      <c r="O229" s="231"/>
      <c r="P229" s="231"/>
      <c r="Q229" s="231"/>
      <c r="R229" s="231"/>
      <c r="S229" s="231"/>
      <c r="T229" s="231"/>
      <c r="U229" s="231"/>
      <c r="V229" s="231"/>
      <c r="W229" s="231"/>
      <c r="X229" s="231"/>
      <c r="Y229" s="231"/>
      <c r="Z229" s="231"/>
      <c r="AA229" s="231"/>
      <c r="AB229" s="231"/>
      <c r="AC229" s="231"/>
      <c r="AD229" s="231"/>
      <c r="AE229" s="231"/>
      <c r="AF229" s="231"/>
      <c r="AG229" s="231"/>
      <c r="AH229" s="231"/>
      <c r="AI229" s="231"/>
      <c r="AJ229" s="231"/>
      <c r="AK229" s="231"/>
      <c r="AL229" s="231"/>
      <c r="AM229" s="231"/>
      <c r="AN229" s="231"/>
      <c r="AO229" s="231"/>
    </row>
    <row r="230" spans="1:41" s="203" customFormat="1">
      <c r="A230" s="799">
        <v>5</v>
      </c>
      <c r="B230" s="490" t="s">
        <v>184</v>
      </c>
      <c r="C230" s="490"/>
      <c r="D230" s="490"/>
      <c r="E230" s="564">
        <v>7424</v>
      </c>
      <c r="F230" s="52">
        <v>6273</v>
      </c>
      <c r="G230" s="572"/>
      <c r="H230" s="543">
        <v>5802</v>
      </c>
      <c r="I230" s="459"/>
      <c r="J230" s="452"/>
      <c r="K230" s="231"/>
      <c r="L230" s="231"/>
      <c r="M230" s="231"/>
      <c r="N230" s="231"/>
      <c r="O230" s="231"/>
      <c r="P230" s="231"/>
      <c r="Q230" s="231"/>
      <c r="R230" s="231"/>
      <c r="S230" s="231"/>
      <c r="T230" s="231"/>
      <c r="U230" s="231"/>
      <c r="V230" s="231"/>
      <c r="W230" s="231"/>
      <c r="X230" s="231"/>
      <c r="Y230" s="231"/>
      <c r="Z230" s="231"/>
      <c r="AA230" s="231"/>
      <c r="AB230" s="231"/>
      <c r="AC230" s="231"/>
      <c r="AD230" s="231"/>
      <c r="AE230" s="231"/>
      <c r="AF230" s="231"/>
      <c r="AG230" s="231"/>
      <c r="AH230" s="231"/>
      <c r="AI230" s="231"/>
      <c r="AJ230" s="231"/>
      <c r="AK230" s="231"/>
      <c r="AL230" s="231"/>
      <c r="AM230" s="231"/>
      <c r="AN230" s="231"/>
      <c r="AO230" s="231"/>
    </row>
    <row r="231" spans="1:41" s="203" customFormat="1">
      <c r="A231" s="800">
        <v>6</v>
      </c>
      <c r="B231" s="621" t="s">
        <v>185</v>
      </c>
      <c r="C231" s="621"/>
      <c r="D231" s="621"/>
      <c r="E231" s="607">
        <v>10372</v>
      </c>
      <c r="F231" s="503">
        <f>SUM(F226:F230)</f>
        <v>9052</v>
      </c>
      <c r="G231" s="572"/>
      <c r="H231" s="503">
        <f>SUM(H226:H230)</f>
        <v>8581</v>
      </c>
      <c r="I231" s="459"/>
      <c r="J231" s="452"/>
      <c r="K231" s="231"/>
      <c r="L231" s="231"/>
      <c r="M231" s="231"/>
      <c r="N231" s="231"/>
      <c r="O231" s="231"/>
      <c r="P231" s="231"/>
      <c r="Q231" s="231"/>
      <c r="R231" s="231"/>
      <c r="S231" s="231"/>
      <c r="T231" s="231"/>
      <c r="U231" s="231"/>
      <c r="V231" s="231"/>
      <c r="W231" s="231"/>
      <c r="X231" s="231"/>
      <c r="Y231" s="231"/>
      <c r="Z231" s="231"/>
      <c r="AA231" s="231"/>
      <c r="AB231" s="231"/>
      <c r="AC231" s="231"/>
      <c r="AD231" s="231"/>
      <c r="AE231" s="231"/>
      <c r="AF231" s="231"/>
      <c r="AG231" s="231"/>
      <c r="AH231" s="231"/>
      <c r="AI231" s="231"/>
      <c r="AJ231" s="231"/>
      <c r="AK231" s="231"/>
      <c r="AL231" s="231"/>
      <c r="AM231" s="231"/>
      <c r="AN231" s="231"/>
      <c r="AO231" s="231"/>
    </row>
    <row r="232" spans="1:41" s="203" customFormat="1">
      <c r="A232" s="596"/>
      <c r="B232" s="459"/>
      <c r="C232" s="459"/>
      <c r="D232" s="618"/>
      <c r="E232" s="598"/>
      <c r="F232" s="459"/>
      <c r="G232" s="459"/>
      <c r="H232" s="457"/>
      <c r="I232" s="459"/>
      <c r="J232" s="452"/>
      <c r="K232" s="231"/>
      <c r="L232" s="231"/>
      <c r="M232" s="231"/>
      <c r="N232" s="231"/>
      <c r="O232" s="231"/>
      <c r="P232" s="231"/>
      <c r="Q232" s="231"/>
      <c r="R232" s="231"/>
      <c r="S232" s="231"/>
      <c r="T232" s="231"/>
      <c r="U232" s="231"/>
      <c r="V232" s="231"/>
      <c r="W232" s="231"/>
      <c r="X232" s="231"/>
      <c r="Y232" s="231"/>
      <c r="Z232" s="231"/>
      <c r="AA232" s="231"/>
      <c r="AB232" s="231"/>
      <c r="AC232" s="231"/>
      <c r="AD232" s="231"/>
      <c r="AE232" s="231"/>
      <c r="AF232" s="231"/>
      <c r="AG232" s="231"/>
      <c r="AH232" s="231"/>
      <c r="AI232" s="231"/>
      <c r="AJ232" s="231"/>
      <c r="AK232" s="231"/>
      <c r="AL232" s="231"/>
      <c r="AM232" s="231"/>
      <c r="AN232" s="231"/>
      <c r="AO232" s="231"/>
    </row>
    <row r="233" spans="1:41" s="203" customFormat="1">
      <c r="A233" s="596"/>
      <c r="B233" s="459"/>
      <c r="C233" s="459"/>
      <c r="D233" s="620"/>
      <c r="E233" s="600"/>
      <c r="F233" s="459"/>
      <c r="G233" s="459"/>
      <c r="H233" s="550" t="s">
        <v>27</v>
      </c>
      <c r="I233" s="459"/>
      <c r="J233" s="452"/>
      <c r="K233" s="231"/>
      <c r="L233" s="231"/>
      <c r="M233" s="231"/>
      <c r="N233" s="231"/>
      <c r="O233" s="231"/>
      <c r="P233" s="231"/>
      <c r="Q233" s="231"/>
      <c r="R233" s="231"/>
      <c r="S233" s="231"/>
      <c r="T233" s="231"/>
      <c r="U233" s="231"/>
      <c r="V233" s="231"/>
      <c r="W233" s="231"/>
      <c r="X233" s="231"/>
      <c r="Y233" s="231"/>
      <c r="Z233" s="231"/>
      <c r="AA233" s="231"/>
      <c r="AB233" s="231"/>
      <c r="AC233" s="231"/>
      <c r="AD233" s="231"/>
      <c r="AE233" s="231"/>
      <c r="AF233" s="231"/>
      <c r="AG233" s="231"/>
      <c r="AH233" s="231"/>
      <c r="AI233" s="231"/>
      <c r="AJ233" s="231"/>
      <c r="AK233" s="231"/>
      <c r="AL233" s="231"/>
      <c r="AM233" s="231"/>
      <c r="AN233" s="231"/>
      <c r="AO233" s="231"/>
    </row>
    <row r="234" spans="1:41" s="203" customFormat="1" ht="12.75" customHeight="1">
      <c r="A234" s="552" t="s">
        <v>12</v>
      </c>
      <c r="B234" s="611"/>
      <c r="C234" s="611"/>
      <c r="D234" s="611"/>
      <c r="E234" s="910" t="s">
        <v>377</v>
      </c>
      <c r="F234" s="910" t="s">
        <v>402</v>
      </c>
      <c r="G234" s="579"/>
      <c r="H234" s="910" t="s">
        <v>403</v>
      </c>
      <c r="I234" s="579"/>
      <c r="J234" s="477"/>
      <c r="K234" s="231"/>
      <c r="L234" s="231"/>
      <c r="M234" s="231"/>
      <c r="N234" s="231"/>
      <c r="O234" s="231"/>
      <c r="P234" s="231"/>
      <c r="Q234" s="231"/>
      <c r="R234" s="231"/>
      <c r="S234" s="231"/>
      <c r="T234" s="231"/>
      <c r="U234" s="231"/>
      <c r="V234" s="231"/>
      <c r="W234" s="231"/>
      <c r="X234" s="231"/>
      <c r="Y234" s="231"/>
      <c r="Z234" s="231"/>
      <c r="AA234" s="231"/>
      <c r="AB234" s="231"/>
      <c r="AC234" s="231"/>
      <c r="AD234" s="231"/>
      <c r="AE234" s="231"/>
      <c r="AF234" s="231"/>
      <c r="AG234" s="231"/>
      <c r="AH234" s="231"/>
      <c r="AI234" s="231"/>
      <c r="AJ234" s="231"/>
      <c r="AK234" s="231"/>
      <c r="AL234" s="231"/>
      <c r="AM234" s="231"/>
      <c r="AN234" s="231"/>
      <c r="AO234" s="231"/>
    </row>
    <row r="235" spans="1:41" s="203" customFormat="1">
      <c r="A235" s="612"/>
      <c r="B235" s="490"/>
      <c r="C235" s="490"/>
      <c r="D235" s="490"/>
      <c r="E235" s="911"/>
      <c r="F235" s="911"/>
      <c r="G235" s="579"/>
      <c r="H235" s="911"/>
      <c r="I235" s="579"/>
      <c r="J235" s="477"/>
      <c r="K235" s="231"/>
      <c r="L235" s="231"/>
      <c r="M235" s="231"/>
      <c r="N235" s="231"/>
      <c r="O235" s="231"/>
      <c r="P235" s="231"/>
      <c r="Q235" s="231"/>
      <c r="R235" s="231"/>
      <c r="S235" s="231"/>
      <c r="T235" s="231"/>
      <c r="U235" s="231"/>
      <c r="V235" s="231"/>
      <c r="W235" s="231"/>
      <c r="X235" s="231"/>
      <c r="Y235" s="231"/>
      <c r="Z235" s="231"/>
      <c r="AA235" s="231"/>
      <c r="AB235" s="231"/>
      <c r="AC235" s="231"/>
      <c r="AD235" s="231"/>
      <c r="AE235" s="231"/>
      <c r="AF235" s="231"/>
      <c r="AG235" s="231"/>
      <c r="AH235" s="231"/>
      <c r="AI235" s="231"/>
      <c r="AJ235" s="231"/>
      <c r="AK235" s="231"/>
      <c r="AL235" s="231"/>
      <c r="AM235" s="231"/>
      <c r="AN235" s="231"/>
      <c r="AO235" s="231"/>
    </row>
    <row r="236" spans="1:41" s="203" customFormat="1">
      <c r="A236" s="602" t="s">
        <v>186</v>
      </c>
      <c r="B236" s="490"/>
      <c r="C236" s="490"/>
      <c r="D236" s="490"/>
      <c r="E236" s="911"/>
      <c r="F236" s="911"/>
      <c r="G236" s="579"/>
      <c r="H236" s="911"/>
      <c r="I236" s="579"/>
      <c r="J236" s="477"/>
      <c r="K236" s="231"/>
      <c r="L236" s="231"/>
      <c r="M236" s="231"/>
      <c r="N236" s="231"/>
      <c r="O236" s="231"/>
      <c r="P236" s="231"/>
      <c r="Q236" s="231"/>
      <c r="R236" s="231"/>
      <c r="S236" s="231"/>
      <c r="T236" s="231"/>
      <c r="U236" s="231"/>
      <c r="V236" s="231"/>
      <c r="W236" s="231"/>
      <c r="X236" s="231"/>
      <c r="Y236" s="231"/>
      <c r="Z236" s="231"/>
      <c r="AA236" s="231"/>
      <c r="AB236" s="231"/>
      <c r="AC236" s="231"/>
      <c r="AD236" s="231"/>
      <c r="AE236" s="231"/>
      <c r="AF236" s="231"/>
      <c r="AG236" s="231"/>
      <c r="AH236" s="231"/>
      <c r="AI236" s="231"/>
      <c r="AJ236" s="231"/>
      <c r="AK236" s="231"/>
      <c r="AL236" s="231"/>
      <c r="AM236" s="231"/>
      <c r="AN236" s="231"/>
      <c r="AO236" s="231"/>
    </row>
    <row r="237" spans="1:41" s="203" customFormat="1">
      <c r="A237" s="555" t="s">
        <v>83</v>
      </c>
      <c r="B237" s="490"/>
      <c r="C237" s="490"/>
      <c r="D237" s="490"/>
      <c r="E237" s="911"/>
      <c r="F237" s="911"/>
      <c r="G237" s="579"/>
      <c r="H237" s="911"/>
      <c r="I237" s="579"/>
      <c r="J237" s="477"/>
      <c r="K237" s="231"/>
      <c r="L237" s="231"/>
      <c r="M237" s="231"/>
      <c r="N237" s="231"/>
      <c r="O237" s="231"/>
      <c r="P237" s="231"/>
      <c r="Q237" s="231"/>
      <c r="R237" s="231"/>
      <c r="S237" s="231"/>
      <c r="T237" s="231"/>
      <c r="U237" s="231"/>
      <c r="V237" s="231"/>
      <c r="W237" s="231"/>
      <c r="X237" s="231"/>
      <c r="Y237" s="231"/>
      <c r="Z237" s="231"/>
      <c r="AA237" s="231"/>
      <c r="AB237" s="231"/>
      <c r="AC237" s="231"/>
      <c r="AD237" s="231"/>
      <c r="AE237" s="231"/>
      <c r="AF237" s="231"/>
      <c r="AG237" s="231"/>
      <c r="AH237" s="231"/>
      <c r="AI237" s="231"/>
      <c r="AJ237" s="231"/>
      <c r="AK237" s="231"/>
      <c r="AL237" s="231"/>
      <c r="AM237" s="231"/>
      <c r="AN237" s="231"/>
      <c r="AO237" s="231"/>
    </row>
    <row r="238" spans="1:41" s="203" customFormat="1">
      <c r="A238" s="556" t="s">
        <v>84</v>
      </c>
      <c r="B238" s="490"/>
      <c r="C238" s="490"/>
      <c r="D238" s="490"/>
      <c r="E238" s="912"/>
      <c r="F238" s="912"/>
      <c r="G238" s="579"/>
      <c r="H238" s="912"/>
      <c r="I238" s="579"/>
      <c r="J238" s="477"/>
      <c r="K238" s="231"/>
      <c r="L238" s="231"/>
      <c r="M238" s="231"/>
      <c r="N238" s="231"/>
      <c r="O238" s="231"/>
      <c r="P238" s="231"/>
      <c r="Q238" s="231"/>
      <c r="R238" s="231"/>
      <c r="S238" s="231"/>
      <c r="T238" s="231"/>
      <c r="U238" s="231"/>
      <c r="V238" s="231"/>
      <c r="W238" s="231"/>
      <c r="X238" s="231"/>
      <c r="Y238" s="231"/>
      <c r="Z238" s="231"/>
      <c r="AA238" s="231"/>
      <c r="AB238" s="231"/>
      <c r="AC238" s="231"/>
      <c r="AD238" s="231"/>
      <c r="AE238" s="231"/>
      <c r="AF238" s="231"/>
      <c r="AG238" s="231"/>
      <c r="AH238" s="231"/>
      <c r="AI238" s="231"/>
      <c r="AJ238" s="231"/>
      <c r="AK238" s="231"/>
      <c r="AL238" s="231"/>
      <c r="AM238" s="231"/>
      <c r="AN238" s="231"/>
      <c r="AO238" s="231"/>
    </row>
    <row r="239" spans="1:41" s="203" customFormat="1">
      <c r="A239" s="601" t="s">
        <v>187</v>
      </c>
      <c r="B239" s="567"/>
      <c r="C239" s="567"/>
      <c r="D239" s="567"/>
      <c r="E239" s="614"/>
      <c r="F239" s="534"/>
      <c r="G239" s="572"/>
      <c r="H239" s="534"/>
      <c r="I239" s="459"/>
      <c r="J239" s="452"/>
      <c r="K239" s="231"/>
      <c r="L239" s="231"/>
      <c r="M239" s="231"/>
      <c r="N239" s="231"/>
      <c r="O239" s="231"/>
      <c r="P239" s="231"/>
      <c r="Q239" s="231"/>
      <c r="R239" s="231"/>
      <c r="S239" s="231"/>
      <c r="T239" s="231"/>
      <c r="U239" s="231"/>
      <c r="V239" s="231"/>
      <c r="W239" s="231"/>
      <c r="X239" s="231"/>
      <c r="Y239" s="231"/>
      <c r="Z239" s="231"/>
      <c r="AA239" s="231"/>
      <c r="AB239" s="231"/>
      <c r="AC239" s="231"/>
      <c r="AD239" s="231"/>
      <c r="AE239" s="231"/>
      <c r="AF239" s="231"/>
      <c r="AG239" s="231"/>
      <c r="AH239" s="231"/>
      <c r="AI239" s="231"/>
      <c r="AJ239" s="231"/>
      <c r="AK239" s="231"/>
      <c r="AL239" s="231"/>
      <c r="AM239" s="231"/>
      <c r="AN239" s="231"/>
      <c r="AO239" s="231"/>
    </row>
    <row r="240" spans="1:41" s="203" customFormat="1">
      <c r="A240" s="799">
        <v>1</v>
      </c>
      <c r="B240" s="490" t="s">
        <v>188</v>
      </c>
      <c r="C240" s="490"/>
      <c r="D240" s="490"/>
      <c r="E240" s="516">
        <v>3546</v>
      </c>
      <c r="F240" s="52">
        <v>3906</v>
      </c>
      <c r="G240" s="572"/>
      <c r="H240" s="563">
        <v>3988</v>
      </c>
      <c r="I240" s="459"/>
      <c r="J240" s="452"/>
      <c r="K240" s="231"/>
      <c r="L240" s="231"/>
      <c r="M240" s="231"/>
      <c r="N240" s="231"/>
      <c r="O240" s="231"/>
      <c r="P240" s="231"/>
      <c r="Q240" s="231"/>
      <c r="R240" s="231"/>
      <c r="S240" s="231"/>
      <c r="T240" s="231"/>
      <c r="U240" s="231"/>
      <c r="V240" s="231"/>
      <c r="W240" s="231"/>
      <c r="X240" s="231"/>
      <c r="Y240" s="231"/>
      <c r="Z240" s="231"/>
      <c r="AA240" s="231"/>
      <c r="AB240" s="231"/>
      <c r="AC240" s="231"/>
      <c r="AD240" s="231"/>
      <c r="AE240" s="231"/>
      <c r="AF240" s="231"/>
      <c r="AG240" s="231"/>
      <c r="AH240" s="231"/>
      <c r="AI240" s="231"/>
      <c r="AJ240" s="231"/>
      <c r="AK240" s="231"/>
      <c r="AL240" s="231"/>
      <c r="AM240" s="231"/>
      <c r="AN240" s="231"/>
      <c r="AO240" s="231"/>
    </row>
    <row r="241" spans="1:41" s="203" customFormat="1">
      <c r="A241" s="799">
        <v>2</v>
      </c>
      <c r="B241" s="490" t="s">
        <v>189</v>
      </c>
      <c r="C241" s="490"/>
      <c r="D241" s="490"/>
      <c r="E241" s="564">
        <v>5360</v>
      </c>
      <c r="F241" s="52">
        <v>4387</v>
      </c>
      <c r="G241" s="572"/>
      <c r="H241" s="544">
        <v>3647</v>
      </c>
      <c r="I241" s="459"/>
      <c r="J241" s="452"/>
      <c r="K241" s="231"/>
      <c r="L241" s="231"/>
      <c r="M241" s="231"/>
      <c r="N241" s="231"/>
      <c r="O241" s="231"/>
      <c r="P241" s="231"/>
      <c r="Q241" s="231"/>
      <c r="R241" s="231"/>
      <c r="S241" s="231"/>
      <c r="T241" s="231"/>
      <c r="U241" s="231"/>
      <c r="V241" s="231"/>
      <c r="W241" s="231"/>
      <c r="X241" s="231"/>
      <c r="Y241" s="231"/>
      <c r="Z241" s="231"/>
      <c r="AA241" s="231"/>
      <c r="AB241" s="231"/>
      <c r="AC241" s="231"/>
      <c r="AD241" s="231"/>
      <c r="AE241" s="231"/>
      <c r="AF241" s="231"/>
      <c r="AG241" s="231"/>
      <c r="AH241" s="231"/>
      <c r="AI241" s="231"/>
      <c r="AJ241" s="231"/>
      <c r="AK241" s="231"/>
      <c r="AL241" s="231"/>
      <c r="AM241" s="231"/>
      <c r="AN241" s="231"/>
      <c r="AO241" s="231"/>
    </row>
    <row r="242" spans="1:41" s="203" customFormat="1">
      <c r="A242" s="799">
        <v>3</v>
      </c>
      <c r="B242" s="615" t="s">
        <v>190</v>
      </c>
      <c r="C242" s="615"/>
      <c r="D242" s="615"/>
      <c r="E242" s="522">
        <v>8906</v>
      </c>
      <c r="F242" s="590">
        <f>SUM(F240:F241)</f>
        <v>8293</v>
      </c>
      <c r="G242" s="572"/>
      <c r="H242" s="590">
        <f>SUM(H240:H241)</f>
        <v>7635</v>
      </c>
      <c r="I242" s="459"/>
      <c r="J242" s="452"/>
      <c r="K242" s="231"/>
      <c r="L242" s="231"/>
      <c r="M242" s="231"/>
      <c r="N242" s="231"/>
      <c r="O242" s="231"/>
      <c r="P242" s="231"/>
      <c r="Q242" s="231"/>
      <c r="R242" s="231"/>
      <c r="S242" s="231"/>
      <c r="T242" s="231"/>
      <c r="U242" s="231"/>
      <c r="V242" s="231"/>
      <c r="W242" s="231"/>
      <c r="X242" s="231"/>
      <c r="Y242" s="231"/>
      <c r="Z242" s="231"/>
      <c r="AA242" s="231"/>
      <c r="AB242" s="231"/>
      <c r="AC242" s="231"/>
      <c r="AD242" s="231"/>
      <c r="AE242" s="231"/>
      <c r="AF242" s="231"/>
      <c r="AG242" s="231"/>
      <c r="AH242" s="231"/>
      <c r="AI242" s="231"/>
      <c r="AJ242" s="231"/>
      <c r="AK242" s="231"/>
      <c r="AL242" s="231"/>
      <c r="AM242" s="231"/>
      <c r="AN242" s="231"/>
      <c r="AO242" s="231"/>
    </row>
    <row r="243" spans="1:41" s="203" customFormat="1">
      <c r="A243" s="799"/>
      <c r="B243" s="567"/>
      <c r="C243" s="567"/>
      <c r="D243" s="567"/>
      <c r="E243" s="571"/>
      <c r="F243" s="572"/>
      <c r="G243" s="572"/>
      <c r="H243" s="572"/>
      <c r="I243" s="459"/>
      <c r="J243" s="452"/>
      <c r="K243" s="231"/>
      <c r="L243" s="231"/>
      <c r="M243" s="231"/>
      <c r="N243" s="231"/>
      <c r="O243" s="231"/>
      <c r="P243" s="231"/>
      <c r="Q243" s="231"/>
      <c r="R243" s="231"/>
      <c r="S243" s="231"/>
      <c r="T243" s="231"/>
      <c r="U243" s="231"/>
      <c r="V243" s="231"/>
      <c r="W243" s="231"/>
      <c r="X243" s="231"/>
      <c r="Y243" s="231"/>
      <c r="Z243" s="231"/>
      <c r="AA243" s="231"/>
      <c r="AB243" s="231"/>
      <c r="AC243" s="231"/>
      <c r="AD243" s="231"/>
      <c r="AE243" s="231"/>
      <c r="AF243" s="231"/>
      <c r="AG243" s="231"/>
      <c r="AH243" s="231"/>
      <c r="AI243" s="231"/>
      <c r="AJ243" s="231"/>
      <c r="AK243" s="231"/>
      <c r="AL243" s="231"/>
      <c r="AM243" s="231"/>
      <c r="AN243" s="231"/>
      <c r="AO243" s="231"/>
    </row>
    <row r="244" spans="1:41" s="203" customFormat="1">
      <c r="A244" s="554" t="s">
        <v>191</v>
      </c>
      <c r="B244" s="490"/>
      <c r="C244" s="490"/>
      <c r="D244" s="490"/>
      <c r="E244" s="588"/>
      <c r="F244" s="534"/>
      <c r="G244" s="572"/>
      <c r="H244" s="534"/>
      <c r="I244" s="459"/>
      <c r="J244" s="452"/>
      <c r="K244" s="231"/>
      <c r="L244" s="231"/>
      <c r="M244" s="231"/>
      <c r="N244" s="231"/>
      <c r="O244" s="231"/>
      <c r="P244" s="231"/>
      <c r="Q244" s="231"/>
      <c r="R244" s="231"/>
      <c r="S244" s="231"/>
      <c r="T244" s="231"/>
      <c r="U244" s="231"/>
      <c r="V244" s="231"/>
      <c r="W244" s="231"/>
      <c r="X244" s="231"/>
      <c r="Y244" s="231"/>
      <c r="Z244" s="231"/>
      <c r="AA244" s="231"/>
      <c r="AB244" s="231"/>
      <c r="AC244" s="231"/>
      <c r="AD244" s="231"/>
      <c r="AE244" s="231"/>
      <c r="AF244" s="231"/>
      <c r="AG244" s="231"/>
      <c r="AH244" s="231"/>
      <c r="AI244" s="231"/>
      <c r="AJ244" s="231"/>
      <c r="AK244" s="231"/>
      <c r="AL244" s="231"/>
      <c r="AM244" s="231"/>
      <c r="AN244" s="231"/>
      <c r="AO244" s="231"/>
    </row>
    <row r="245" spans="1:41" s="203" customFormat="1">
      <c r="A245" s="799">
        <v>4</v>
      </c>
      <c r="B245" s="490" t="s">
        <v>192</v>
      </c>
      <c r="C245" s="490"/>
      <c r="D245" s="490"/>
      <c r="E245" s="516">
        <v>391</v>
      </c>
      <c r="F245" s="52">
        <v>361</v>
      </c>
      <c r="G245" s="572"/>
      <c r="H245" s="563">
        <v>210</v>
      </c>
      <c r="I245" s="459"/>
      <c r="J245" s="452"/>
      <c r="K245" s="231"/>
      <c r="L245" s="231"/>
      <c r="M245" s="231"/>
      <c r="N245" s="231"/>
      <c r="O245" s="231"/>
      <c r="P245" s="231"/>
      <c r="Q245" s="231"/>
      <c r="R245" s="231"/>
      <c r="S245" s="231"/>
      <c r="T245" s="231"/>
      <c r="U245" s="231"/>
      <c r="V245" s="231"/>
      <c r="W245" s="231"/>
      <c r="X245" s="231"/>
      <c r="Y245" s="231"/>
      <c r="Z245" s="231"/>
      <c r="AA245" s="231"/>
      <c r="AB245" s="231"/>
      <c r="AC245" s="231"/>
      <c r="AD245" s="231"/>
      <c r="AE245" s="231"/>
      <c r="AF245" s="231"/>
      <c r="AG245" s="231"/>
      <c r="AH245" s="231"/>
      <c r="AI245" s="231"/>
      <c r="AJ245" s="231"/>
      <c r="AK245" s="231"/>
      <c r="AL245" s="231"/>
      <c r="AM245" s="231"/>
      <c r="AN245" s="231"/>
      <c r="AO245" s="231"/>
    </row>
    <row r="246" spans="1:41" s="203" customFormat="1">
      <c r="A246" s="799">
        <v>5</v>
      </c>
      <c r="B246" s="490" t="s">
        <v>193</v>
      </c>
      <c r="C246" s="490"/>
      <c r="D246" s="490"/>
      <c r="E246" s="492">
        <v>651</v>
      </c>
      <c r="F246" s="52">
        <v>566</v>
      </c>
      <c r="G246" s="572"/>
      <c r="H246" s="544">
        <v>295</v>
      </c>
      <c r="I246" s="459"/>
      <c r="J246" s="452"/>
      <c r="K246" s="231"/>
      <c r="L246" s="231"/>
      <c r="M246" s="231"/>
      <c r="N246" s="231"/>
      <c r="O246" s="231"/>
      <c r="P246" s="231"/>
      <c r="Q246" s="231"/>
      <c r="R246" s="231"/>
      <c r="S246" s="231"/>
      <c r="T246" s="231"/>
      <c r="U246" s="231"/>
      <c r="V246" s="231"/>
      <c r="W246" s="231"/>
      <c r="X246" s="231"/>
      <c r="Y246" s="231"/>
      <c r="Z246" s="231"/>
      <c r="AA246" s="231"/>
      <c r="AB246" s="231"/>
      <c r="AC246" s="231"/>
      <c r="AD246" s="231"/>
      <c r="AE246" s="231"/>
      <c r="AF246" s="231"/>
      <c r="AG246" s="231"/>
      <c r="AH246" s="231"/>
      <c r="AI246" s="231"/>
      <c r="AJ246" s="231"/>
      <c r="AK246" s="231"/>
      <c r="AL246" s="231"/>
      <c r="AM246" s="231"/>
      <c r="AN246" s="231"/>
      <c r="AO246" s="231"/>
    </row>
    <row r="247" spans="1:41" s="203" customFormat="1">
      <c r="A247" s="799">
        <v>6</v>
      </c>
      <c r="B247" s="567" t="s">
        <v>194</v>
      </c>
      <c r="C247" s="567"/>
      <c r="D247" s="567"/>
      <c r="E247" s="522">
        <v>1042</v>
      </c>
      <c r="F247" s="590">
        <f>SUM(F245:F246)</f>
        <v>927</v>
      </c>
      <c r="G247" s="572"/>
      <c r="H247" s="590">
        <f>SUM(H245:H246)</f>
        <v>505</v>
      </c>
      <c r="I247" s="459"/>
      <c r="J247" s="452"/>
      <c r="K247" s="231"/>
      <c r="L247" s="231"/>
      <c r="M247" s="231"/>
      <c r="N247" s="231"/>
      <c r="O247" s="231"/>
      <c r="P247" s="231"/>
      <c r="Q247" s="231"/>
      <c r="R247" s="231"/>
      <c r="S247" s="231"/>
      <c r="T247" s="231"/>
      <c r="U247" s="231"/>
      <c r="V247" s="231"/>
      <c r="W247" s="231"/>
      <c r="X247" s="231"/>
      <c r="Y247" s="231"/>
      <c r="Z247" s="231"/>
      <c r="AA247" s="231"/>
      <c r="AB247" s="231"/>
      <c r="AC247" s="231"/>
      <c r="AD247" s="231"/>
      <c r="AE247" s="231"/>
      <c r="AF247" s="231"/>
      <c r="AG247" s="231"/>
      <c r="AH247" s="231"/>
      <c r="AI247" s="231"/>
      <c r="AJ247" s="231"/>
      <c r="AK247" s="231"/>
      <c r="AL247" s="231"/>
      <c r="AM247" s="231"/>
      <c r="AN247" s="231"/>
      <c r="AO247" s="231"/>
    </row>
    <row r="248" spans="1:41" s="203" customFormat="1">
      <c r="A248" s="799"/>
      <c r="B248" s="567"/>
      <c r="C248" s="567"/>
      <c r="D248" s="567"/>
      <c r="E248" s="571"/>
      <c r="F248" s="572"/>
      <c r="G248" s="572"/>
      <c r="H248" s="572"/>
      <c r="I248" s="459"/>
      <c r="J248" s="452"/>
      <c r="K248" s="231"/>
      <c r="L248" s="231"/>
      <c r="M248" s="231"/>
      <c r="N248" s="231"/>
      <c r="O248" s="231"/>
      <c r="P248" s="231"/>
      <c r="Q248" s="231"/>
      <c r="R248" s="231"/>
      <c r="S248" s="231"/>
      <c r="T248" s="231"/>
      <c r="U248" s="231"/>
      <c r="V248" s="231"/>
      <c r="W248" s="231"/>
      <c r="X248" s="231"/>
      <c r="Y248" s="231"/>
      <c r="Z248" s="231"/>
      <c r="AA248" s="231"/>
      <c r="AB248" s="231"/>
      <c r="AC248" s="231"/>
      <c r="AD248" s="231"/>
      <c r="AE248" s="231"/>
      <c r="AF248" s="231"/>
      <c r="AG248" s="231"/>
      <c r="AH248" s="231"/>
      <c r="AI248" s="231"/>
      <c r="AJ248" s="231"/>
      <c r="AK248" s="231"/>
      <c r="AL248" s="231"/>
      <c r="AM248" s="231"/>
      <c r="AN248" s="231"/>
      <c r="AO248" s="231"/>
    </row>
    <row r="249" spans="1:41" s="203" customFormat="1">
      <c r="A249" s="554" t="s">
        <v>195</v>
      </c>
      <c r="B249" s="567"/>
      <c r="C249" s="567"/>
      <c r="D249" s="567"/>
      <c r="E249" s="588"/>
      <c r="F249" s="534"/>
      <c r="G249" s="572"/>
      <c r="H249" s="534"/>
      <c r="I249" s="459"/>
      <c r="J249" s="452"/>
      <c r="K249" s="231"/>
      <c r="L249" s="231"/>
      <c r="M249" s="231"/>
      <c r="N249" s="231"/>
      <c r="O249" s="231"/>
      <c r="P249" s="231"/>
      <c r="Q249" s="231"/>
      <c r="R249" s="231"/>
      <c r="S249" s="231"/>
      <c r="T249" s="231"/>
      <c r="U249" s="231"/>
      <c r="V249" s="231"/>
      <c r="W249" s="231"/>
      <c r="X249" s="231"/>
      <c r="Y249" s="231"/>
      <c r="Z249" s="231"/>
      <c r="AA249" s="231"/>
      <c r="AB249" s="231"/>
      <c r="AC249" s="231"/>
      <c r="AD249" s="231"/>
      <c r="AE249" s="231"/>
      <c r="AF249" s="231"/>
      <c r="AG249" s="231"/>
      <c r="AH249" s="231"/>
      <c r="AI249" s="231"/>
      <c r="AJ249" s="231"/>
      <c r="AK249" s="231"/>
      <c r="AL249" s="231"/>
      <c r="AM249" s="231"/>
      <c r="AN249" s="231"/>
      <c r="AO249" s="231"/>
    </row>
    <row r="250" spans="1:41" s="203" customFormat="1">
      <c r="A250" s="799">
        <v>7</v>
      </c>
      <c r="B250" s="490" t="s">
        <v>196</v>
      </c>
      <c r="C250" s="490"/>
      <c r="D250" s="490"/>
      <c r="E250" s="516">
        <v>109</v>
      </c>
      <c r="F250" s="52">
        <v>66</v>
      </c>
      <c r="G250" s="572"/>
      <c r="H250" s="52">
        <v>76</v>
      </c>
      <c r="I250" s="459"/>
      <c r="J250" s="452"/>
      <c r="K250" s="231"/>
      <c r="L250" s="231"/>
      <c r="M250" s="231"/>
      <c r="N250" s="231"/>
      <c r="O250" s="231"/>
      <c r="P250" s="231"/>
      <c r="Q250" s="231"/>
      <c r="R250" s="231"/>
      <c r="S250" s="231"/>
      <c r="T250" s="231"/>
      <c r="U250" s="231"/>
      <c r="V250" s="231"/>
      <c r="W250" s="231"/>
      <c r="X250" s="231"/>
      <c r="Y250" s="231"/>
      <c r="Z250" s="231"/>
      <c r="AA250" s="231"/>
      <c r="AB250" s="231"/>
      <c r="AC250" s="231"/>
      <c r="AD250" s="231"/>
      <c r="AE250" s="231"/>
      <c r="AF250" s="231"/>
      <c r="AG250" s="231"/>
      <c r="AH250" s="231"/>
      <c r="AI250" s="231"/>
      <c r="AJ250" s="231"/>
      <c r="AK250" s="231"/>
      <c r="AL250" s="231"/>
      <c r="AM250" s="231"/>
      <c r="AN250" s="231"/>
      <c r="AO250" s="231"/>
    </row>
    <row r="251" spans="1:41" s="203" customFormat="1">
      <c r="A251" s="799">
        <v>8</v>
      </c>
      <c r="B251" s="490" t="s">
        <v>197</v>
      </c>
      <c r="C251" s="490"/>
      <c r="D251" s="490"/>
      <c r="E251" s="492">
        <v>8481</v>
      </c>
      <c r="F251" s="52">
        <v>8812</v>
      </c>
      <c r="G251" s="572"/>
      <c r="H251" s="563">
        <v>4031</v>
      </c>
      <c r="I251" s="459"/>
      <c r="J251" s="452"/>
      <c r="K251" s="231"/>
      <c r="L251" s="231"/>
      <c r="M251" s="231"/>
      <c r="N251" s="231"/>
      <c r="O251" s="231"/>
      <c r="P251" s="231"/>
      <c r="Q251" s="231"/>
      <c r="R251" s="231"/>
      <c r="S251" s="231"/>
      <c r="T251" s="231"/>
      <c r="U251" s="231"/>
      <c r="V251" s="231"/>
      <c r="W251" s="231"/>
      <c r="X251" s="231"/>
      <c r="Y251" s="231"/>
      <c r="Z251" s="231"/>
      <c r="AA251" s="231"/>
      <c r="AB251" s="231"/>
      <c r="AC251" s="231"/>
      <c r="AD251" s="231"/>
      <c r="AE251" s="231"/>
      <c r="AF251" s="231"/>
      <c r="AG251" s="231"/>
      <c r="AH251" s="231"/>
      <c r="AI251" s="231"/>
      <c r="AJ251" s="231"/>
      <c r="AK251" s="231"/>
      <c r="AL251" s="231"/>
      <c r="AM251" s="231"/>
      <c r="AN251" s="231"/>
      <c r="AO251" s="231"/>
    </row>
    <row r="252" spans="1:41" s="203" customFormat="1">
      <c r="A252" s="799">
        <v>9</v>
      </c>
      <c r="B252" s="490" t="s">
        <v>198</v>
      </c>
      <c r="C252" s="490"/>
      <c r="D252" s="490"/>
      <c r="E252" s="492">
        <v>2887</v>
      </c>
      <c r="F252" s="52">
        <v>2964</v>
      </c>
      <c r="G252" s="572"/>
      <c r="H252" s="563">
        <v>3182</v>
      </c>
      <c r="I252" s="459"/>
      <c r="J252" s="452"/>
      <c r="K252" s="231"/>
      <c r="L252" s="231"/>
      <c r="M252" s="231"/>
      <c r="N252" s="231"/>
      <c r="O252" s="231"/>
      <c r="P252" s="231"/>
      <c r="Q252" s="231"/>
      <c r="R252" s="231"/>
      <c r="S252" s="231"/>
      <c r="T252" s="231"/>
      <c r="U252" s="231"/>
      <c r="V252" s="231"/>
      <c r="W252" s="231"/>
      <c r="X252" s="231"/>
      <c r="Y252" s="231"/>
      <c r="Z252" s="231"/>
      <c r="AA252" s="231"/>
      <c r="AB252" s="231"/>
      <c r="AC252" s="231"/>
      <c r="AD252" s="231"/>
      <c r="AE252" s="231"/>
      <c r="AF252" s="231"/>
      <c r="AG252" s="231"/>
      <c r="AH252" s="231"/>
      <c r="AI252" s="231"/>
      <c r="AJ252" s="231"/>
      <c r="AK252" s="231"/>
      <c r="AL252" s="231"/>
      <c r="AM252" s="231"/>
      <c r="AN252" s="231"/>
      <c r="AO252" s="231"/>
    </row>
    <row r="253" spans="1:41" s="203" customFormat="1">
      <c r="A253" s="799">
        <v>10</v>
      </c>
      <c r="B253" s="490" t="s">
        <v>199</v>
      </c>
      <c r="C253" s="490"/>
      <c r="D253" s="490"/>
      <c r="E253" s="492">
        <v>922</v>
      </c>
      <c r="F253" s="52">
        <v>694</v>
      </c>
      <c r="G253" s="572"/>
      <c r="H253" s="544">
        <v>797</v>
      </c>
      <c r="I253" s="459"/>
      <c r="J253" s="452"/>
      <c r="K253" s="231"/>
      <c r="L253" s="231"/>
      <c r="M253" s="231"/>
      <c r="N253" s="231"/>
      <c r="O253" s="231"/>
      <c r="P253" s="231"/>
      <c r="Q253" s="231"/>
      <c r="R253" s="231"/>
      <c r="S253" s="231"/>
      <c r="T253" s="231"/>
      <c r="U253" s="231"/>
      <c r="V253" s="231"/>
      <c r="W253" s="231"/>
      <c r="X253" s="231"/>
      <c r="Y253" s="231"/>
      <c r="Z253" s="231"/>
      <c r="AA253" s="231"/>
      <c r="AB253" s="231"/>
      <c r="AC253" s="231"/>
      <c r="AD253" s="231"/>
      <c r="AE253" s="231"/>
      <c r="AF253" s="231"/>
      <c r="AG253" s="231"/>
      <c r="AH253" s="231"/>
      <c r="AI253" s="231"/>
      <c r="AJ253" s="231"/>
      <c r="AK253" s="231"/>
      <c r="AL253" s="231"/>
      <c r="AM253" s="231"/>
      <c r="AN253" s="231"/>
      <c r="AO253" s="231"/>
    </row>
    <row r="254" spans="1:41" s="203" customFormat="1">
      <c r="A254" s="799">
        <v>11</v>
      </c>
      <c r="B254" s="567" t="s">
        <v>200</v>
      </c>
      <c r="C254" s="567"/>
      <c r="D254" s="567"/>
      <c r="E254" s="522">
        <v>12399</v>
      </c>
      <c r="F254" s="590">
        <f>SUM(F250:F253)</f>
        <v>12536</v>
      </c>
      <c r="G254" s="572"/>
      <c r="H254" s="590">
        <f>SUM(H250:H253)</f>
        <v>8086</v>
      </c>
      <c r="I254" s="622"/>
      <c r="J254" s="623"/>
      <c r="K254" s="231"/>
      <c r="L254" s="231"/>
      <c r="M254" s="231"/>
      <c r="N254" s="231"/>
      <c r="O254" s="231"/>
      <c r="P254" s="231"/>
      <c r="Q254" s="231"/>
      <c r="R254" s="231"/>
      <c r="S254" s="231"/>
      <c r="T254" s="231"/>
      <c r="U254" s="231"/>
      <c r="V254" s="231"/>
      <c r="W254" s="231"/>
      <c r="X254" s="231"/>
      <c r="Y254" s="231"/>
      <c r="Z254" s="231"/>
      <c r="AA254" s="231"/>
      <c r="AB254" s="231"/>
      <c r="AC254" s="231"/>
      <c r="AD254" s="231"/>
      <c r="AE254" s="231"/>
      <c r="AF254" s="231"/>
      <c r="AG254" s="231"/>
      <c r="AH254" s="231"/>
      <c r="AI254" s="231"/>
      <c r="AJ254" s="231"/>
      <c r="AK254" s="231"/>
      <c r="AL254" s="231"/>
      <c r="AM254" s="231"/>
      <c r="AN254" s="231"/>
      <c r="AO254" s="231"/>
    </row>
    <row r="255" spans="1:41" s="203" customFormat="1">
      <c r="A255" s="799"/>
      <c r="B255" s="567"/>
      <c r="C255" s="567"/>
      <c r="D255" s="567"/>
      <c r="E255" s="571"/>
      <c r="F255" s="572"/>
      <c r="G255" s="572"/>
      <c r="H255" s="572"/>
      <c r="I255" s="459"/>
      <c r="J255" s="452"/>
      <c r="K255" s="231"/>
      <c r="L255" s="231"/>
      <c r="M255" s="231"/>
      <c r="N255" s="231"/>
      <c r="O255" s="231"/>
      <c r="P255" s="231"/>
      <c r="Q255" s="231"/>
      <c r="R255" s="231"/>
      <c r="S255" s="231"/>
      <c r="T255" s="231"/>
      <c r="U255" s="231"/>
      <c r="V255" s="231"/>
      <c r="W255" s="231"/>
      <c r="X255" s="231"/>
      <c r="Y255" s="231"/>
      <c r="Z255" s="231"/>
      <c r="AA255" s="231"/>
      <c r="AB255" s="231"/>
      <c r="AC255" s="231"/>
      <c r="AD255" s="231"/>
      <c r="AE255" s="231"/>
      <c r="AF255" s="231"/>
      <c r="AG255" s="231"/>
      <c r="AH255" s="231"/>
      <c r="AI255" s="231"/>
      <c r="AJ255" s="231"/>
      <c r="AK255" s="231"/>
      <c r="AL255" s="231"/>
      <c r="AM255" s="231"/>
      <c r="AN255" s="231"/>
      <c r="AO255" s="231"/>
    </row>
    <row r="256" spans="1:41" s="203" customFormat="1">
      <c r="A256" s="799">
        <v>12</v>
      </c>
      <c r="B256" s="490" t="s">
        <v>201</v>
      </c>
      <c r="C256" s="490"/>
      <c r="D256" s="490"/>
      <c r="E256" s="624">
        <v>5116</v>
      </c>
      <c r="F256" s="136">
        <v>4343</v>
      </c>
      <c r="G256" s="572"/>
      <c r="H256" s="625">
        <v>4371</v>
      </c>
      <c r="I256" s="622"/>
      <c r="J256" s="623"/>
      <c r="K256" s="231"/>
      <c r="L256" s="231"/>
      <c r="M256" s="231"/>
      <c r="N256" s="231"/>
      <c r="O256" s="231"/>
      <c r="P256" s="231"/>
      <c r="Q256" s="231"/>
      <c r="R256" s="231"/>
      <c r="S256" s="231"/>
      <c r="T256" s="231"/>
      <c r="U256" s="231"/>
      <c r="V256" s="231"/>
      <c r="W256" s="231"/>
      <c r="X256" s="231"/>
      <c r="Y256" s="231"/>
      <c r="Z256" s="231"/>
      <c r="AA256" s="231"/>
      <c r="AB256" s="231"/>
      <c r="AC256" s="231"/>
      <c r="AD256" s="231"/>
      <c r="AE256" s="231"/>
      <c r="AF256" s="231"/>
      <c r="AG256" s="231"/>
      <c r="AH256" s="231"/>
      <c r="AI256" s="231"/>
      <c r="AJ256" s="231"/>
      <c r="AK256" s="231"/>
      <c r="AL256" s="231"/>
      <c r="AM256" s="231"/>
      <c r="AN256" s="231"/>
      <c r="AO256" s="231"/>
    </row>
    <row r="257" spans="1:41" s="203" customFormat="1">
      <c r="A257" s="800">
        <v>13</v>
      </c>
      <c r="B257" s="538" t="s">
        <v>202</v>
      </c>
      <c r="C257" s="538"/>
      <c r="D257" s="538"/>
      <c r="E257" s="607">
        <v>27463</v>
      </c>
      <c r="F257" s="503">
        <f>F242+F247+F254+F256</f>
        <v>26099</v>
      </c>
      <c r="G257" s="572"/>
      <c r="H257" s="503">
        <f>H242+H247+H254+H256</f>
        <v>20597</v>
      </c>
      <c r="I257" s="461"/>
      <c r="J257" s="488"/>
      <c r="K257" s="231"/>
      <c r="L257" s="231"/>
      <c r="M257" s="231"/>
      <c r="N257" s="231"/>
      <c r="O257" s="231"/>
      <c r="P257" s="231"/>
      <c r="Q257" s="231"/>
      <c r="R257" s="231"/>
      <c r="S257" s="231"/>
      <c r="T257" s="231"/>
      <c r="U257" s="231"/>
      <c r="V257" s="231"/>
      <c r="W257" s="231"/>
      <c r="X257" s="231"/>
      <c r="Y257" s="231"/>
      <c r="Z257" s="231"/>
      <c r="AA257" s="231"/>
      <c r="AB257" s="231"/>
      <c r="AC257" s="231"/>
      <c r="AD257" s="231"/>
      <c r="AE257" s="231"/>
      <c r="AF257" s="231"/>
      <c r="AG257" s="231"/>
      <c r="AH257" s="231"/>
      <c r="AI257" s="231"/>
      <c r="AJ257" s="231"/>
      <c r="AK257" s="231"/>
      <c r="AL257" s="231"/>
      <c r="AM257" s="231"/>
      <c r="AN257" s="231"/>
      <c r="AO257" s="231"/>
    </row>
    <row r="258" spans="1:41" s="203" customFormat="1">
      <c r="A258" s="457"/>
      <c r="B258" s="457"/>
      <c r="C258" s="457"/>
      <c r="D258" s="626"/>
      <c r="E258" s="626"/>
      <c r="F258" s="457"/>
      <c r="G258" s="457"/>
      <c r="H258" s="457"/>
      <c r="I258" s="461"/>
      <c r="J258" s="488"/>
      <c r="K258" s="231"/>
      <c r="L258" s="231"/>
      <c r="M258" s="231"/>
      <c r="N258" s="231"/>
      <c r="O258" s="231"/>
      <c r="P258" s="231"/>
      <c r="Q258" s="231"/>
      <c r="R258" s="231"/>
      <c r="S258" s="231"/>
      <c r="T258" s="231"/>
      <c r="U258" s="231"/>
      <c r="V258" s="231"/>
      <c r="W258" s="231"/>
      <c r="X258" s="231"/>
      <c r="Y258" s="231"/>
      <c r="Z258" s="231"/>
      <c r="AA258" s="231"/>
      <c r="AB258" s="231"/>
      <c r="AC258" s="231"/>
      <c r="AD258" s="231"/>
      <c r="AE258" s="231"/>
      <c r="AF258" s="231"/>
      <c r="AG258" s="231"/>
      <c r="AH258" s="231"/>
      <c r="AI258" s="231"/>
      <c r="AJ258" s="231"/>
      <c r="AK258" s="231"/>
      <c r="AL258" s="231"/>
      <c r="AM258" s="231"/>
      <c r="AN258" s="231"/>
      <c r="AO258" s="231"/>
    </row>
    <row r="259" spans="1:41" s="203" customFormat="1">
      <c r="A259" s="464"/>
      <c r="B259" s="457"/>
      <c r="C259" s="457"/>
      <c r="D259" s="457"/>
      <c r="E259" s="457"/>
      <c r="F259" s="457"/>
      <c r="G259" s="457"/>
      <c r="H259" s="461"/>
      <c r="I259" s="461"/>
      <c r="J259" s="488"/>
      <c r="K259" s="231"/>
      <c r="L259" s="231"/>
      <c r="M259" s="231"/>
      <c r="N259" s="231"/>
      <c r="O259" s="231"/>
      <c r="P259" s="231"/>
      <c r="Q259" s="231"/>
      <c r="R259" s="231"/>
      <c r="S259" s="231"/>
      <c r="T259" s="231"/>
      <c r="U259" s="231"/>
      <c r="V259" s="231"/>
      <c r="W259" s="231"/>
      <c r="X259" s="231"/>
      <c r="Y259" s="231"/>
      <c r="Z259" s="231"/>
      <c r="AA259" s="231"/>
      <c r="AB259" s="231"/>
      <c r="AC259" s="231"/>
      <c r="AD259" s="231"/>
      <c r="AE259" s="231"/>
      <c r="AF259" s="231"/>
      <c r="AG259" s="231"/>
      <c r="AH259" s="231"/>
      <c r="AI259" s="231"/>
      <c r="AJ259" s="231"/>
      <c r="AK259" s="231"/>
      <c r="AL259" s="231"/>
      <c r="AM259" s="231"/>
      <c r="AN259" s="231"/>
      <c r="AO259" s="231"/>
    </row>
    <row r="260" spans="1:41" s="203" customFormat="1">
      <c r="A260" s="596"/>
      <c r="B260" s="459"/>
      <c r="C260" s="459"/>
      <c r="D260" s="620"/>
      <c r="E260" s="600"/>
      <c r="F260" s="459"/>
      <c r="G260" s="459"/>
      <c r="H260" s="550" t="s">
        <v>27</v>
      </c>
      <c r="I260" s="461"/>
      <c r="J260" s="488"/>
      <c r="K260" s="231"/>
      <c r="L260" s="231"/>
      <c r="M260" s="231"/>
      <c r="N260" s="231"/>
      <c r="O260" s="231"/>
      <c r="P260" s="231"/>
      <c r="Q260" s="231"/>
      <c r="R260" s="231"/>
      <c r="S260" s="231"/>
      <c r="T260" s="231"/>
      <c r="U260" s="231"/>
      <c r="V260" s="231"/>
      <c r="W260" s="231"/>
      <c r="X260" s="231"/>
      <c r="Y260" s="231"/>
      <c r="Z260" s="231"/>
      <c r="AA260" s="231"/>
      <c r="AB260" s="231"/>
      <c r="AC260" s="231"/>
      <c r="AD260" s="231"/>
      <c r="AE260" s="231"/>
      <c r="AF260" s="231"/>
      <c r="AG260" s="231"/>
      <c r="AH260" s="231"/>
      <c r="AI260" s="231"/>
      <c r="AJ260" s="231"/>
      <c r="AK260" s="231"/>
      <c r="AL260" s="231"/>
      <c r="AM260" s="231"/>
      <c r="AN260" s="231"/>
      <c r="AO260" s="231"/>
    </row>
    <row r="261" spans="1:41" s="203" customFormat="1" ht="12.75" customHeight="1">
      <c r="A261" s="552" t="s">
        <v>15</v>
      </c>
      <c r="B261" s="611"/>
      <c r="C261" s="611"/>
      <c r="D261" s="611"/>
      <c r="E261" s="910" t="s">
        <v>377</v>
      </c>
      <c r="F261" s="910" t="s">
        <v>402</v>
      </c>
      <c r="G261" s="579"/>
      <c r="H261" s="910" t="s">
        <v>403</v>
      </c>
      <c r="I261" s="461"/>
      <c r="J261" s="488"/>
      <c r="K261" s="231"/>
      <c r="L261" s="231"/>
      <c r="M261" s="231"/>
      <c r="N261" s="231"/>
      <c r="O261" s="231"/>
      <c r="P261" s="231"/>
      <c r="Q261" s="231"/>
      <c r="R261" s="231"/>
      <c r="S261" s="231"/>
      <c r="T261" s="231"/>
      <c r="U261" s="231"/>
      <c r="V261" s="231"/>
      <c r="W261" s="231"/>
      <c r="X261" s="231"/>
      <c r="Y261" s="231"/>
      <c r="Z261" s="231"/>
      <c r="AA261" s="231"/>
      <c r="AB261" s="231"/>
      <c r="AC261" s="231"/>
      <c r="AD261" s="231"/>
      <c r="AE261" s="231"/>
      <c r="AF261" s="231"/>
      <c r="AG261" s="231"/>
      <c r="AH261" s="231"/>
      <c r="AI261" s="231"/>
      <c r="AJ261" s="231"/>
      <c r="AK261" s="231"/>
      <c r="AL261" s="231"/>
      <c r="AM261" s="231"/>
      <c r="AN261" s="231"/>
      <c r="AO261" s="231"/>
    </row>
    <row r="262" spans="1:41" s="203" customFormat="1">
      <c r="A262" s="612"/>
      <c r="B262" s="490"/>
      <c r="C262" s="490"/>
      <c r="D262" s="490"/>
      <c r="E262" s="911"/>
      <c r="F262" s="911"/>
      <c r="G262" s="579"/>
      <c r="H262" s="911"/>
      <c r="I262" s="461"/>
      <c r="J262" s="488"/>
      <c r="K262" s="231"/>
      <c r="L262" s="231"/>
      <c r="M262" s="231"/>
      <c r="N262" s="231"/>
      <c r="O262" s="231"/>
      <c r="P262" s="231"/>
      <c r="Q262" s="231"/>
      <c r="R262" s="231"/>
      <c r="S262" s="231"/>
      <c r="T262" s="231"/>
      <c r="U262" s="231"/>
      <c r="V262" s="231"/>
      <c r="W262" s="231"/>
      <c r="X262" s="231"/>
      <c r="Y262" s="231"/>
      <c r="Z262" s="231"/>
      <c r="AA262" s="231"/>
      <c r="AB262" s="231"/>
      <c r="AC262" s="231"/>
      <c r="AD262" s="231"/>
      <c r="AE262" s="231"/>
      <c r="AF262" s="231"/>
      <c r="AG262" s="231"/>
      <c r="AH262" s="231"/>
      <c r="AI262" s="231"/>
      <c r="AJ262" s="231"/>
      <c r="AK262" s="231"/>
      <c r="AL262" s="231"/>
      <c r="AM262" s="231"/>
      <c r="AN262" s="231"/>
      <c r="AO262" s="231"/>
    </row>
    <row r="263" spans="1:41" s="203" customFormat="1">
      <c r="A263" s="555"/>
      <c r="B263" s="490"/>
      <c r="C263" s="490"/>
      <c r="D263" s="490"/>
      <c r="E263" s="911"/>
      <c r="F263" s="911"/>
      <c r="G263" s="579"/>
      <c r="H263" s="911"/>
      <c r="I263" s="461"/>
      <c r="J263" s="488"/>
      <c r="K263" s="231"/>
      <c r="L263" s="231"/>
      <c r="M263" s="231"/>
      <c r="N263" s="231"/>
      <c r="O263" s="231"/>
      <c r="P263" s="231"/>
      <c r="Q263" s="231"/>
      <c r="R263" s="231"/>
      <c r="S263" s="231"/>
      <c r="T263" s="231"/>
      <c r="U263" s="231"/>
      <c r="V263" s="231"/>
      <c r="W263" s="231"/>
      <c r="X263" s="231"/>
      <c r="Y263" s="231"/>
      <c r="Z263" s="231"/>
      <c r="AA263" s="231"/>
      <c r="AB263" s="231"/>
      <c r="AC263" s="231"/>
      <c r="AD263" s="231"/>
      <c r="AE263" s="231"/>
      <c r="AF263" s="231"/>
      <c r="AG263" s="231"/>
      <c r="AH263" s="231"/>
      <c r="AI263" s="231"/>
      <c r="AJ263" s="231"/>
      <c r="AK263" s="231"/>
      <c r="AL263" s="231"/>
      <c r="AM263" s="231"/>
      <c r="AN263" s="231"/>
      <c r="AO263" s="231"/>
    </row>
    <row r="264" spans="1:41" s="203" customFormat="1">
      <c r="A264" s="602" t="s">
        <v>203</v>
      </c>
      <c r="B264" s="490"/>
      <c r="C264" s="490"/>
      <c r="D264" s="490"/>
      <c r="E264" s="911"/>
      <c r="F264" s="911"/>
      <c r="G264" s="579"/>
      <c r="H264" s="911"/>
      <c r="I264" s="461"/>
      <c r="J264" s="488"/>
      <c r="K264" s="231"/>
      <c r="L264" s="231"/>
      <c r="M264" s="231"/>
      <c r="N264" s="231"/>
      <c r="O264" s="231"/>
      <c r="P264" s="231"/>
      <c r="Q264" s="231"/>
      <c r="R264" s="231"/>
      <c r="S264" s="231"/>
      <c r="T264" s="231"/>
      <c r="U264" s="231"/>
      <c r="V264" s="231"/>
      <c r="W264" s="231"/>
      <c r="X264" s="231"/>
      <c r="Y264" s="231"/>
      <c r="Z264" s="231"/>
      <c r="AA264" s="231"/>
      <c r="AB264" s="231"/>
      <c r="AC264" s="231"/>
      <c r="AD264" s="231"/>
      <c r="AE264" s="231"/>
      <c r="AF264" s="231"/>
      <c r="AG264" s="231"/>
      <c r="AH264" s="231"/>
      <c r="AI264" s="231"/>
      <c r="AJ264" s="231"/>
      <c r="AK264" s="231"/>
      <c r="AL264" s="231"/>
      <c r="AM264" s="231"/>
      <c r="AN264" s="231"/>
      <c r="AO264" s="231"/>
    </row>
    <row r="265" spans="1:41" s="203" customFormat="1">
      <c r="A265" s="555" t="s">
        <v>83</v>
      </c>
      <c r="B265" s="490"/>
      <c r="C265" s="490"/>
      <c r="D265" s="490"/>
      <c r="E265" s="912"/>
      <c r="F265" s="912"/>
      <c r="G265" s="579"/>
      <c r="H265" s="912"/>
      <c r="I265" s="461"/>
      <c r="J265" s="488"/>
      <c r="K265" s="231"/>
      <c r="L265" s="231"/>
      <c r="M265" s="231"/>
      <c r="N265" s="231"/>
      <c r="O265" s="231"/>
      <c r="P265" s="231"/>
      <c r="Q265" s="231"/>
      <c r="R265" s="231"/>
      <c r="S265" s="231"/>
      <c r="T265" s="231"/>
      <c r="U265" s="231"/>
      <c r="V265" s="231"/>
      <c r="W265" s="231"/>
      <c r="X265" s="231"/>
      <c r="Y265" s="231"/>
      <c r="Z265" s="231"/>
      <c r="AA265" s="231"/>
      <c r="AB265" s="231"/>
      <c r="AC265" s="231"/>
      <c r="AD265" s="231"/>
      <c r="AE265" s="231"/>
      <c r="AF265" s="231"/>
      <c r="AG265" s="231"/>
      <c r="AH265" s="231"/>
      <c r="AI265" s="231"/>
      <c r="AJ265" s="231"/>
      <c r="AK265" s="231"/>
      <c r="AL265" s="231"/>
      <c r="AM265" s="231"/>
      <c r="AN265" s="231"/>
      <c r="AO265" s="231"/>
    </row>
    <row r="266" spans="1:41" s="203" customFormat="1">
      <c r="A266" s="556" t="s">
        <v>84</v>
      </c>
      <c r="B266" s="567"/>
      <c r="C266" s="567"/>
      <c r="D266" s="567"/>
      <c r="E266" s="627"/>
      <c r="F266" s="534"/>
      <c r="G266" s="572"/>
      <c r="H266" s="534"/>
      <c r="I266" s="461"/>
      <c r="J266" s="488"/>
      <c r="K266" s="231"/>
      <c r="L266" s="231"/>
      <c r="M266" s="231"/>
      <c r="N266" s="231"/>
      <c r="O266" s="231"/>
      <c r="P266" s="231"/>
      <c r="Q266" s="231"/>
      <c r="R266" s="231"/>
      <c r="S266" s="231"/>
      <c r="T266" s="231"/>
      <c r="U266" s="231"/>
      <c r="V266" s="231"/>
      <c r="W266" s="231"/>
      <c r="X266" s="231"/>
      <c r="Y266" s="231"/>
      <c r="Z266" s="231"/>
      <c r="AA266" s="231"/>
      <c r="AB266" s="231"/>
      <c r="AC266" s="231"/>
      <c r="AD266" s="231"/>
      <c r="AE266" s="231"/>
      <c r="AF266" s="231"/>
      <c r="AG266" s="231"/>
      <c r="AH266" s="231"/>
      <c r="AI266" s="231"/>
      <c r="AJ266" s="231"/>
      <c r="AK266" s="231"/>
      <c r="AL266" s="231"/>
      <c r="AM266" s="231"/>
      <c r="AN266" s="231"/>
      <c r="AO266" s="231"/>
    </row>
    <row r="267" spans="1:41" s="203" customFormat="1">
      <c r="A267" s="799">
        <v>1</v>
      </c>
      <c r="B267" s="490" t="s">
        <v>204</v>
      </c>
      <c r="C267" s="490"/>
      <c r="D267" s="490"/>
      <c r="E267" s="516">
        <v>63</v>
      </c>
      <c r="F267" s="52">
        <v>93</v>
      </c>
      <c r="G267" s="572"/>
      <c r="H267" s="563">
        <v>62</v>
      </c>
      <c r="I267" s="461"/>
      <c r="J267" s="488"/>
      <c r="K267" s="231"/>
      <c r="L267" s="231"/>
      <c r="M267" s="231"/>
      <c r="N267" s="231"/>
      <c r="O267" s="231"/>
      <c r="P267" s="231"/>
      <c r="Q267" s="231"/>
      <c r="R267" s="231"/>
      <c r="S267" s="231"/>
      <c r="T267" s="231"/>
      <c r="U267" s="231"/>
      <c r="V267" s="231"/>
      <c r="W267" s="231"/>
      <c r="X267" s="231"/>
      <c r="Y267" s="231"/>
      <c r="Z267" s="231"/>
      <c r="AA267" s="231"/>
      <c r="AB267" s="231"/>
      <c r="AC267" s="231"/>
      <c r="AD267" s="231"/>
      <c r="AE267" s="231"/>
      <c r="AF267" s="231"/>
      <c r="AG267" s="231"/>
      <c r="AH267" s="231"/>
      <c r="AI267" s="231"/>
      <c r="AJ267" s="231"/>
      <c r="AK267" s="231"/>
      <c r="AL267" s="231"/>
      <c r="AM267" s="231"/>
      <c r="AN267" s="231"/>
      <c r="AO267" s="231"/>
    </row>
    <row r="268" spans="1:41" s="203" customFormat="1">
      <c r="A268" s="799">
        <v>2</v>
      </c>
      <c r="B268" s="613" t="s">
        <v>205</v>
      </c>
      <c r="C268" s="613"/>
      <c r="D268" s="490"/>
      <c r="E268" s="564">
        <v>0</v>
      </c>
      <c r="F268" s="52">
        <v>0</v>
      </c>
      <c r="G268" s="572"/>
      <c r="H268" s="563">
        <v>0</v>
      </c>
      <c r="I268" s="461"/>
      <c r="J268" s="488"/>
      <c r="K268" s="231"/>
      <c r="L268" s="231"/>
      <c r="M268" s="231"/>
      <c r="N268" s="231"/>
      <c r="O268" s="231"/>
      <c r="P268" s="231"/>
      <c r="Q268" s="231"/>
      <c r="R268" s="231"/>
      <c r="S268" s="231"/>
      <c r="T268" s="231"/>
      <c r="U268" s="231"/>
      <c r="V268" s="231"/>
      <c r="W268" s="231"/>
      <c r="X268" s="231"/>
      <c r="Y268" s="231"/>
      <c r="Z268" s="231"/>
      <c r="AA268" s="231"/>
      <c r="AB268" s="231"/>
      <c r="AC268" s="231"/>
      <c r="AD268" s="231"/>
      <c r="AE268" s="231"/>
      <c r="AF268" s="231"/>
      <c r="AG268" s="231"/>
      <c r="AH268" s="231"/>
      <c r="AI268" s="231"/>
      <c r="AJ268" s="231"/>
      <c r="AK268" s="231"/>
      <c r="AL268" s="231"/>
      <c r="AM268" s="231"/>
      <c r="AN268" s="231"/>
      <c r="AO268" s="231"/>
    </row>
    <row r="269" spans="1:41" s="203" customFormat="1">
      <c r="A269" s="799">
        <v>3</v>
      </c>
      <c r="B269" s="490" t="s">
        <v>206</v>
      </c>
      <c r="C269" s="490"/>
      <c r="D269" s="615"/>
      <c r="E269" s="564">
        <v>164</v>
      </c>
      <c r="F269" s="52">
        <v>120</v>
      </c>
      <c r="G269" s="572"/>
      <c r="H269" s="563">
        <v>120</v>
      </c>
      <c r="I269" s="461"/>
      <c r="J269" s="488"/>
      <c r="K269" s="231"/>
      <c r="L269" s="231"/>
      <c r="M269" s="231"/>
      <c r="N269" s="231"/>
      <c r="O269" s="231"/>
      <c r="P269" s="231"/>
      <c r="Q269" s="231"/>
      <c r="R269" s="231"/>
      <c r="S269" s="231"/>
      <c r="T269" s="231"/>
      <c r="U269" s="231"/>
      <c r="V269" s="231"/>
      <c r="W269" s="231"/>
      <c r="X269" s="231"/>
      <c r="Y269" s="231"/>
      <c r="Z269" s="231"/>
      <c r="AA269" s="231"/>
      <c r="AB269" s="231"/>
      <c r="AC269" s="231"/>
      <c r="AD269" s="231"/>
      <c r="AE269" s="231"/>
      <c r="AF269" s="231"/>
      <c r="AG269" s="231"/>
      <c r="AH269" s="231"/>
      <c r="AI269" s="231"/>
      <c r="AJ269" s="231"/>
      <c r="AK269" s="231"/>
      <c r="AL269" s="231"/>
      <c r="AM269" s="231"/>
      <c r="AN269" s="231"/>
      <c r="AO269" s="231"/>
    </row>
    <row r="270" spans="1:41" s="203" customFormat="1">
      <c r="A270" s="799">
        <v>4</v>
      </c>
      <c r="B270" s="490" t="s">
        <v>207</v>
      </c>
      <c r="C270" s="490"/>
      <c r="D270" s="567"/>
      <c r="E270" s="564">
        <v>926</v>
      </c>
      <c r="F270" s="52">
        <v>944</v>
      </c>
      <c r="G270" s="572"/>
      <c r="H270" s="563">
        <v>774</v>
      </c>
      <c r="I270" s="461"/>
      <c r="J270" s="488"/>
      <c r="K270" s="231"/>
      <c r="L270" s="231"/>
      <c r="M270" s="231"/>
      <c r="N270" s="231"/>
      <c r="O270" s="231"/>
      <c r="P270" s="231"/>
      <c r="Q270" s="231"/>
      <c r="R270" s="231"/>
      <c r="S270" s="231"/>
      <c r="T270" s="231"/>
      <c r="U270" s="231"/>
      <c r="V270" s="231"/>
      <c r="W270" s="231"/>
      <c r="X270" s="231"/>
      <c r="Y270" s="231"/>
      <c r="Z270" s="231"/>
      <c r="AA270" s="231"/>
      <c r="AB270" s="231"/>
      <c r="AC270" s="231"/>
      <c r="AD270" s="231"/>
      <c r="AE270" s="231"/>
      <c r="AF270" s="231"/>
      <c r="AG270" s="231"/>
      <c r="AH270" s="231"/>
      <c r="AI270" s="231"/>
      <c r="AJ270" s="231"/>
      <c r="AK270" s="231"/>
      <c r="AL270" s="231"/>
      <c r="AM270" s="231"/>
      <c r="AN270" s="231"/>
      <c r="AO270" s="231"/>
    </row>
    <row r="271" spans="1:41" s="203" customFormat="1">
      <c r="A271" s="799">
        <v>5</v>
      </c>
      <c r="B271" s="490" t="s">
        <v>208</v>
      </c>
      <c r="C271" s="490"/>
      <c r="D271" s="490"/>
      <c r="E271" s="564">
        <v>0</v>
      </c>
      <c r="F271" s="52"/>
      <c r="G271" s="572"/>
      <c r="H271" s="563"/>
      <c r="I271" s="461"/>
      <c r="J271" s="488"/>
      <c r="K271" s="231"/>
      <c r="L271" s="231"/>
      <c r="M271" s="231"/>
      <c r="N271" s="231"/>
      <c r="O271" s="231"/>
      <c r="P271" s="231"/>
      <c r="Q271" s="231"/>
      <c r="R271" s="231"/>
      <c r="S271" s="231"/>
      <c r="T271" s="231"/>
      <c r="U271" s="231"/>
      <c r="V271" s="231"/>
      <c r="W271" s="231"/>
      <c r="X271" s="231"/>
      <c r="Y271" s="231"/>
      <c r="Z271" s="231"/>
      <c r="AA271" s="231"/>
      <c r="AB271" s="231"/>
      <c r="AC271" s="231"/>
      <c r="AD271" s="231"/>
      <c r="AE271" s="231"/>
      <c r="AF271" s="231"/>
      <c r="AG271" s="231"/>
      <c r="AH271" s="231"/>
      <c r="AI271" s="231"/>
      <c r="AJ271" s="231"/>
      <c r="AK271" s="231"/>
      <c r="AL271" s="231"/>
      <c r="AM271" s="231"/>
      <c r="AN271" s="231"/>
      <c r="AO271" s="231"/>
    </row>
    <row r="272" spans="1:41" s="203" customFormat="1">
      <c r="A272" s="799">
        <v>6</v>
      </c>
      <c r="B272" s="490" t="s">
        <v>209</v>
      </c>
      <c r="C272" s="490"/>
      <c r="D272" s="490"/>
      <c r="E272" s="564">
        <v>0</v>
      </c>
      <c r="F272" s="52"/>
      <c r="G272" s="572"/>
      <c r="H272" s="563"/>
      <c r="I272" s="461"/>
      <c r="J272" s="488"/>
      <c r="K272" s="231"/>
      <c r="L272" s="231"/>
      <c r="M272" s="231"/>
      <c r="N272" s="231"/>
      <c r="O272" s="231"/>
      <c r="P272" s="231"/>
      <c r="Q272" s="231"/>
      <c r="R272" s="231"/>
      <c r="S272" s="231"/>
      <c r="T272" s="231"/>
      <c r="U272" s="231"/>
      <c r="V272" s="231"/>
      <c r="W272" s="231"/>
      <c r="X272" s="231"/>
      <c r="Y272" s="231"/>
      <c r="Z272" s="231"/>
      <c r="AA272" s="231"/>
      <c r="AB272" s="231"/>
      <c r="AC272" s="231"/>
      <c r="AD272" s="231"/>
      <c r="AE272" s="231"/>
      <c r="AF272" s="231"/>
      <c r="AG272" s="231"/>
      <c r="AH272" s="231"/>
      <c r="AI272" s="231"/>
      <c r="AJ272" s="231"/>
      <c r="AK272" s="231"/>
      <c r="AL272" s="231"/>
      <c r="AM272" s="231"/>
      <c r="AN272" s="231"/>
      <c r="AO272" s="231"/>
    </row>
    <row r="273" spans="1:41" s="203" customFormat="1">
      <c r="A273" s="799">
        <v>7</v>
      </c>
      <c r="B273" s="490" t="s">
        <v>210</v>
      </c>
      <c r="C273" s="490"/>
      <c r="D273" s="490"/>
      <c r="E273" s="564">
        <v>2124</v>
      </c>
      <c r="F273" s="52">
        <v>2755</v>
      </c>
      <c r="G273" s="572"/>
      <c r="H273" s="563">
        <v>1378</v>
      </c>
      <c r="I273" s="461"/>
      <c r="J273" s="488"/>
      <c r="K273" s="231"/>
      <c r="L273" s="231"/>
      <c r="M273" s="231"/>
      <c r="N273" s="231"/>
      <c r="O273" s="231"/>
      <c r="P273" s="231"/>
      <c r="Q273" s="231"/>
      <c r="R273" s="231"/>
      <c r="S273" s="231"/>
      <c r="T273" s="231"/>
      <c r="U273" s="231"/>
      <c r="V273" s="231"/>
      <c r="W273" s="231"/>
      <c r="X273" s="231"/>
      <c r="Y273" s="231"/>
      <c r="Z273" s="231"/>
      <c r="AA273" s="231"/>
      <c r="AB273" s="231"/>
      <c r="AC273" s="231"/>
      <c r="AD273" s="231"/>
      <c r="AE273" s="231"/>
      <c r="AF273" s="231"/>
      <c r="AG273" s="231"/>
      <c r="AH273" s="231"/>
      <c r="AI273" s="231"/>
      <c r="AJ273" s="231"/>
      <c r="AK273" s="231"/>
      <c r="AL273" s="231"/>
      <c r="AM273" s="231"/>
      <c r="AN273" s="231"/>
      <c r="AO273" s="231"/>
    </row>
    <row r="274" spans="1:41" s="203" customFormat="1">
      <c r="A274" s="799">
        <v>8</v>
      </c>
      <c r="B274" s="490" t="s">
        <v>211</v>
      </c>
      <c r="C274" s="490"/>
      <c r="D274" s="490"/>
      <c r="E274" s="564">
        <v>3291</v>
      </c>
      <c r="F274" s="52">
        <v>3068</v>
      </c>
      <c r="G274" s="572"/>
      <c r="H274" s="563">
        <v>3081</v>
      </c>
      <c r="I274" s="461"/>
      <c r="J274" s="488"/>
      <c r="K274" s="231"/>
      <c r="L274" s="231"/>
      <c r="M274" s="231"/>
      <c r="N274" s="231"/>
      <c r="O274" s="231"/>
      <c r="P274" s="231"/>
      <c r="Q274" s="231"/>
      <c r="R274" s="231"/>
      <c r="S274" s="231"/>
      <c r="T274" s="231"/>
      <c r="U274" s="231"/>
      <c r="V274" s="231"/>
      <c r="W274" s="231"/>
      <c r="X274" s="231"/>
      <c r="Y274" s="231"/>
      <c r="Z274" s="231"/>
      <c r="AA274" s="231"/>
      <c r="AB274" s="231"/>
      <c r="AC274" s="231"/>
      <c r="AD274" s="231"/>
      <c r="AE274" s="231"/>
      <c r="AF274" s="231"/>
      <c r="AG274" s="231"/>
      <c r="AH274" s="231"/>
      <c r="AI274" s="231"/>
      <c r="AJ274" s="231"/>
      <c r="AK274" s="231"/>
      <c r="AL274" s="231"/>
      <c r="AM274" s="231"/>
      <c r="AN274" s="231"/>
      <c r="AO274" s="231"/>
    </row>
    <row r="275" spans="1:41" s="203" customFormat="1">
      <c r="A275" s="799">
        <v>9</v>
      </c>
      <c r="B275" s="490" t="s">
        <v>212</v>
      </c>
      <c r="C275" s="490"/>
      <c r="D275" s="490"/>
      <c r="E275" s="564">
        <v>1374</v>
      </c>
      <c r="F275" s="52">
        <v>559</v>
      </c>
      <c r="G275" s="572"/>
      <c r="H275" s="563">
        <v>571</v>
      </c>
      <c r="I275" s="461"/>
      <c r="J275" s="488"/>
      <c r="K275" s="231"/>
      <c r="L275" s="231"/>
      <c r="M275" s="231"/>
      <c r="N275" s="231"/>
      <c r="O275" s="231"/>
      <c r="P275" s="231"/>
      <c r="Q275" s="231"/>
      <c r="R275" s="231"/>
      <c r="S275" s="231"/>
      <c r="T275" s="231"/>
      <c r="U275" s="231"/>
      <c r="V275" s="231"/>
      <c r="W275" s="231"/>
      <c r="X275" s="231"/>
      <c r="Y275" s="231"/>
      <c r="Z275" s="231"/>
      <c r="AA275" s="231"/>
      <c r="AB275" s="231"/>
      <c r="AC275" s="231"/>
      <c r="AD275" s="231"/>
      <c r="AE275" s="231"/>
      <c r="AF275" s="231"/>
      <c r="AG275" s="231"/>
      <c r="AH275" s="231"/>
      <c r="AI275" s="231"/>
      <c r="AJ275" s="231"/>
      <c r="AK275" s="231"/>
      <c r="AL275" s="231"/>
      <c r="AM275" s="231"/>
      <c r="AN275" s="231"/>
      <c r="AO275" s="231"/>
    </row>
    <row r="276" spans="1:41" s="203" customFormat="1">
      <c r="A276" s="799">
        <v>10</v>
      </c>
      <c r="B276" s="490" t="s">
        <v>213</v>
      </c>
      <c r="C276" s="490"/>
      <c r="D276" s="490"/>
      <c r="E276" s="564">
        <v>5706</v>
      </c>
      <c r="F276" s="52">
        <v>5024</v>
      </c>
      <c r="G276" s="572"/>
      <c r="H276" s="543">
        <v>7236</v>
      </c>
      <c r="I276" s="461"/>
      <c r="J276" s="488"/>
      <c r="K276" s="231"/>
      <c r="L276" s="231"/>
      <c r="M276" s="231"/>
      <c r="N276" s="231"/>
      <c r="O276" s="231"/>
      <c r="P276" s="231"/>
      <c r="Q276" s="231"/>
      <c r="R276" s="231"/>
      <c r="S276" s="231"/>
      <c r="T276" s="231"/>
      <c r="U276" s="231"/>
      <c r="V276" s="231"/>
      <c r="W276" s="231"/>
      <c r="X276" s="231"/>
      <c r="Y276" s="231"/>
      <c r="Z276" s="231"/>
      <c r="AA276" s="231"/>
      <c r="AB276" s="231"/>
      <c r="AC276" s="231"/>
      <c r="AD276" s="231"/>
      <c r="AE276" s="231"/>
      <c r="AF276" s="231"/>
      <c r="AG276" s="231"/>
      <c r="AH276" s="231"/>
      <c r="AI276" s="231"/>
      <c r="AJ276" s="231"/>
      <c r="AK276" s="231"/>
      <c r="AL276" s="231"/>
      <c r="AM276" s="231"/>
      <c r="AN276" s="231"/>
      <c r="AO276" s="231"/>
    </row>
    <row r="277" spans="1:41" s="203" customFormat="1">
      <c r="A277" s="800">
        <v>11</v>
      </c>
      <c r="B277" s="538" t="s">
        <v>214</v>
      </c>
      <c r="C277" s="538"/>
      <c r="D277" s="538"/>
      <c r="E277" s="607">
        <v>13648</v>
      </c>
      <c r="F277" s="503">
        <f>SUM(F267:F276)</f>
        <v>12563</v>
      </c>
      <c r="G277" s="572"/>
      <c r="H277" s="503">
        <f>SUM(H267:H276)</f>
        <v>13222</v>
      </c>
      <c r="I277" s="461"/>
      <c r="J277" s="488"/>
      <c r="K277" s="231"/>
      <c r="L277" s="231"/>
      <c r="M277" s="231"/>
      <c r="N277" s="231"/>
      <c r="O277" s="231"/>
      <c r="P277" s="231"/>
      <c r="Q277" s="231"/>
      <c r="R277" s="231"/>
      <c r="S277" s="231"/>
      <c r="T277" s="231"/>
      <c r="U277" s="231"/>
      <c r="V277" s="231"/>
      <c r="W277" s="231"/>
      <c r="X277" s="231"/>
      <c r="Y277" s="231"/>
      <c r="Z277" s="231"/>
      <c r="AA277" s="231"/>
      <c r="AB277" s="231"/>
      <c r="AC277" s="231"/>
      <c r="AD277" s="231"/>
      <c r="AE277" s="231"/>
      <c r="AF277" s="231"/>
      <c r="AG277" s="231"/>
      <c r="AH277" s="231"/>
      <c r="AI277" s="231"/>
      <c r="AJ277" s="231"/>
      <c r="AK277" s="231"/>
      <c r="AL277" s="231"/>
      <c r="AM277" s="231"/>
      <c r="AN277" s="231"/>
      <c r="AO277" s="231"/>
    </row>
    <row r="278" spans="1:41" s="203" customFormat="1">
      <c r="A278" s="457"/>
      <c r="B278" s="457"/>
      <c r="C278" s="457"/>
      <c r="D278" s="457"/>
      <c r="E278" s="457"/>
      <c r="F278" s="457"/>
      <c r="G278" s="457"/>
      <c r="H278" s="457"/>
      <c r="I278" s="461"/>
      <c r="J278" s="488"/>
      <c r="K278" s="231"/>
      <c r="L278" s="231"/>
      <c r="M278" s="231"/>
      <c r="N278" s="231"/>
      <c r="O278" s="231"/>
      <c r="P278" s="231"/>
      <c r="Q278" s="231"/>
      <c r="R278" s="231"/>
      <c r="S278" s="231"/>
      <c r="T278" s="231"/>
      <c r="U278" s="231"/>
      <c r="V278" s="231"/>
      <c r="W278" s="231"/>
      <c r="X278" s="231"/>
      <c r="Y278" s="231"/>
      <c r="Z278" s="231"/>
      <c r="AA278" s="231"/>
      <c r="AB278" s="231"/>
      <c r="AC278" s="231"/>
      <c r="AD278" s="231"/>
      <c r="AE278" s="231"/>
      <c r="AF278" s="231"/>
      <c r="AG278" s="231"/>
      <c r="AH278" s="231"/>
      <c r="AI278" s="231"/>
      <c r="AJ278" s="231"/>
      <c r="AK278" s="231"/>
      <c r="AL278" s="231"/>
      <c r="AM278" s="231"/>
      <c r="AN278" s="231"/>
      <c r="AO278" s="231"/>
    </row>
    <row r="279" spans="1:41" s="203" customFormat="1">
      <c r="A279" s="457"/>
      <c r="B279" s="457"/>
      <c r="C279" s="457"/>
      <c r="D279" s="457"/>
      <c r="E279" s="457"/>
      <c r="F279" s="457"/>
      <c r="G279" s="457"/>
      <c r="H279" s="550" t="s">
        <v>27</v>
      </c>
      <c r="I279" s="461"/>
      <c r="J279" s="488"/>
      <c r="K279" s="231"/>
      <c r="L279" s="231"/>
      <c r="M279" s="231"/>
      <c r="N279" s="231"/>
      <c r="O279" s="231"/>
      <c r="P279" s="231"/>
      <c r="Q279" s="231"/>
      <c r="R279" s="231"/>
      <c r="S279" s="231"/>
      <c r="T279" s="231"/>
      <c r="U279" s="231"/>
      <c r="V279" s="231"/>
      <c r="W279" s="231"/>
      <c r="X279" s="231"/>
      <c r="Y279" s="231"/>
      <c r="Z279" s="231"/>
      <c r="AA279" s="231"/>
      <c r="AB279" s="231"/>
      <c r="AC279" s="231"/>
      <c r="AD279" s="231"/>
      <c r="AE279" s="231"/>
      <c r="AF279" s="231"/>
      <c r="AG279" s="231"/>
      <c r="AH279" s="231"/>
      <c r="AI279" s="231"/>
      <c r="AJ279" s="231"/>
      <c r="AK279" s="231"/>
      <c r="AL279" s="231"/>
      <c r="AM279" s="231"/>
      <c r="AN279" s="231"/>
      <c r="AO279" s="231"/>
    </row>
    <row r="280" spans="1:41" s="203" customFormat="1" ht="12.75" customHeight="1">
      <c r="A280" s="552" t="s">
        <v>18</v>
      </c>
      <c r="B280" s="611"/>
      <c r="C280" s="611"/>
      <c r="D280" s="611"/>
      <c r="E280" s="910" t="s">
        <v>377</v>
      </c>
      <c r="F280" s="910" t="s">
        <v>402</v>
      </c>
      <c r="G280" s="579"/>
      <c r="H280" s="910" t="s">
        <v>403</v>
      </c>
      <c r="I280" s="461"/>
      <c r="J280" s="488"/>
      <c r="K280" s="231"/>
      <c r="L280" s="231"/>
      <c r="M280" s="231"/>
      <c r="N280" s="231"/>
      <c r="O280" s="231"/>
      <c r="P280" s="231"/>
      <c r="Q280" s="231"/>
      <c r="R280" s="231"/>
      <c r="S280" s="231"/>
      <c r="T280" s="231"/>
      <c r="U280" s="231"/>
      <c r="V280" s="231"/>
      <c r="W280" s="231"/>
      <c r="X280" s="231"/>
      <c r="Y280" s="231"/>
      <c r="Z280" s="231"/>
      <c r="AA280" s="231"/>
      <c r="AB280" s="231"/>
      <c r="AC280" s="231"/>
      <c r="AD280" s="231"/>
      <c r="AE280" s="231"/>
      <c r="AF280" s="231"/>
      <c r="AG280" s="231"/>
      <c r="AH280" s="231"/>
      <c r="AI280" s="231"/>
      <c r="AJ280" s="231"/>
      <c r="AK280" s="231"/>
      <c r="AL280" s="231"/>
      <c r="AM280" s="231"/>
      <c r="AN280" s="231"/>
      <c r="AO280" s="231"/>
    </row>
    <row r="281" spans="1:41" s="203" customFormat="1">
      <c r="A281" s="612"/>
      <c r="B281" s="490"/>
      <c r="C281" s="490"/>
      <c r="D281" s="490"/>
      <c r="E281" s="911"/>
      <c r="F281" s="911"/>
      <c r="G281" s="579"/>
      <c r="H281" s="911"/>
      <c r="I281" s="461"/>
      <c r="J281" s="488"/>
      <c r="K281" s="231"/>
      <c r="L281" s="231"/>
      <c r="M281" s="231"/>
      <c r="N281" s="231"/>
      <c r="O281" s="231"/>
      <c r="P281" s="231"/>
      <c r="Q281" s="231"/>
      <c r="R281" s="231"/>
      <c r="S281" s="231"/>
      <c r="T281" s="231"/>
      <c r="U281" s="231"/>
      <c r="V281" s="231"/>
      <c r="W281" s="231"/>
      <c r="X281" s="231"/>
      <c r="Y281" s="231"/>
      <c r="Z281" s="231"/>
      <c r="AA281" s="231"/>
      <c r="AB281" s="231"/>
      <c r="AC281" s="231"/>
      <c r="AD281" s="231"/>
      <c r="AE281" s="231"/>
      <c r="AF281" s="231"/>
      <c r="AG281" s="231"/>
      <c r="AH281" s="231"/>
      <c r="AI281" s="231"/>
      <c r="AJ281" s="231"/>
      <c r="AK281" s="231"/>
      <c r="AL281" s="231"/>
      <c r="AM281" s="231"/>
      <c r="AN281" s="231"/>
      <c r="AO281" s="231"/>
    </row>
    <row r="282" spans="1:41" s="203" customFormat="1" ht="21.75" customHeight="1">
      <c r="A282" s="555"/>
      <c r="B282" s="490"/>
      <c r="C282" s="490"/>
      <c r="D282" s="490"/>
      <c r="E282" s="911"/>
      <c r="F282" s="911"/>
      <c r="G282" s="579"/>
      <c r="H282" s="911"/>
      <c r="I282" s="461"/>
      <c r="J282" s="488"/>
      <c r="K282" s="231"/>
      <c r="L282" s="231"/>
      <c r="M282" s="231"/>
      <c r="N282" s="231"/>
      <c r="O282" s="231"/>
      <c r="P282" s="231"/>
      <c r="Q282" s="231"/>
      <c r="R282" s="231"/>
      <c r="S282" s="231"/>
      <c r="T282" s="231"/>
      <c r="U282" s="231"/>
      <c r="V282" s="231"/>
      <c r="W282" s="231"/>
      <c r="X282" s="231"/>
      <c r="Y282" s="231"/>
      <c r="Z282" s="231"/>
      <c r="AA282" s="231"/>
      <c r="AB282" s="231"/>
      <c r="AC282" s="231"/>
      <c r="AD282" s="231"/>
      <c r="AE282" s="231"/>
      <c r="AF282" s="231"/>
      <c r="AG282" s="231"/>
      <c r="AH282" s="231"/>
      <c r="AI282" s="231"/>
      <c r="AJ282" s="231"/>
      <c r="AK282" s="231"/>
      <c r="AL282" s="231"/>
      <c r="AM282" s="231"/>
      <c r="AN282" s="231"/>
      <c r="AO282" s="231"/>
    </row>
    <row r="283" spans="1:41" s="203" customFormat="1">
      <c r="A283" s="602" t="s">
        <v>215</v>
      </c>
      <c r="B283" s="490"/>
      <c r="C283" s="490"/>
      <c r="D283" s="490"/>
      <c r="E283" s="911"/>
      <c r="F283" s="911"/>
      <c r="G283" s="579"/>
      <c r="H283" s="911"/>
      <c r="I283" s="461"/>
      <c r="J283" s="488"/>
      <c r="K283" s="231"/>
      <c r="L283" s="231"/>
      <c r="M283" s="231"/>
      <c r="N283" s="231"/>
      <c r="O283" s="231"/>
      <c r="P283" s="231"/>
      <c r="Q283" s="231"/>
      <c r="R283" s="231"/>
      <c r="S283" s="231"/>
      <c r="T283" s="231"/>
      <c r="U283" s="231"/>
      <c r="V283" s="231"/>
      <c r="W283" s="231"/>
      <c r="X283" s="231"/>
      <c r="Y283" s="231"/>
      <c r="Z283" s="231"/>
      <c r="AA283" s="231"/>
      <c r="AB283" s="231"/>
      <c r="AC283" s="231"/>
      <c r="AD283" s="231"/>
      <c r="AE283" s="231"/>
      <c r="AF283" s="231"/>
      <c r="AG283" s="231"/>
      <c r="AH283" s="231"/>
      <c r="AI283" s="231"/>
      <c r="AJ283" s="231"/>
      <c r="AK283" s="231"/>
      <c r="AL283" s="231"/>
      <c r="AM283" s="231"/>
      <c r="AN283" s="231"/>
      <c r="AO283" s="231"/>
    </row>
    <row r="284" spans="1:41" s="203" customFormat="1">
      <c r="A284" s="555" t="s">
        <v>83</v>
      </c>
      <c r="B284" s="490"/>
      <c r="C284" s="490"/>
      <c r="D284" s="490"/>
      <c r="E284" s="912"/>
      <c r="F284" s="912"/>
      <c r="G284" s="579"/>
      <c r="H284" s="912"/>
      <c r="I284" s="461"/>
      <c r="J284" s="488"/>
      <c r="K284" s="231"/>
      <c r="L284" s="231"/>
      <c r="M284" s="231"/>
      <c r="N284" s="231"/>
      <c r="O284" s="231"/>
      <c r="P284" s="231"/>
      <c r="Q284" s="231"/>
      <c r="R284" s="231"/>
      <c r="S284" s="231"/>
      <c r="T284" s="231"/>
      <c r="U284" s="231"/>
      <c r="V284" s="231"/>
      <c r="W284" s="231"/>
      <c r="X284" s="231"/>
      <c r="Y284" s="231"/>
      <c r="Z284" s="231"/>
      <c r="AA284" s="231"/>
      <c r="AB284" s="231"/>
      <c r="AC284" s="231"/>
      <c r="AD284" s="231"/>
      <c r="AE284" s="231"/>
      <c r="AF284" s="231"/>
      <c r="AG284" s="231"/>
      <c r="AH284" s="231"/>
      <c r="AI284" s="231"/>
      <c r="AJ284" s="231"/>
      <c r="AK284" s="231"/>
      <c r="AL284" s="231"/>
      <c r="AM284" s="231"/>
      <c r="AN284" s="231"/>
      <c r="AO284" s="231"/>
    </row>
    <row r="285" spans="1:41" s="203" customFormat="1">
      <c r="A285" s="556" t="s">
        <v>84</v>
      </c>
      <c r="B285" s="567"/>
      <c r="C285" s="567"/>
      <c r="D285" s="567"/>
      <c r="E285" s="627"/>
      <c r="F285" s="534"/>
      <c r="G285" s="572"/>
      <c r="H285" s="534"/>
      <c r="I285" s="461"/>
      <c r="J285" s="488"/>
      <c r="K285" s="231"/>
      <c r="L285" s="231"/>
      <c r="M285" s="231"/>
      <c r="N285" s="231"/>
      <c r="O285" s="231"/>
      <c r="P285" s="231"/>
      <c r="Q285" s="231"/>
      <c r="R285" s="231"/>
      <c r="S285" s="231"/>
      <c r="T285" s="231"/>
      <c r="U285" s="231"/>
      <c r="V285" s="231"/>
      <c r="W285" s="231"/>
      <c r="X285" s="231"/>
      <c r="Y285" s="231"/>
      <c r="Z285" s="231"/>
      <c r="AA285" s="231"/>
      <c r="AB285" s="231"/>
      <c r="AC285" s="231"/>
      <c r="AD285" s="231"/>
      <c r="AE285" s="231"/>
      <c r="AF285" s="231"/>
      <c r="AG285" s="231"/>
      <c r="AH285" s="231"/>
      <c r="AI285" s="231"/>
      <c r="AJ285" s="231"/>
      <c r="AK285" s="231"/>
      <c r="AL285" s="231"/>
      <c r="AM285" s="231"/>
      <c r="AN285" s="231"/>
      <c r="AO285" s="231"/>
    </row>
    <row r="286" spans="1:41" s="203" customFormat="1">
      <c r="A286" s="799">
        <v>1</v>
      </c>
      <c r="B286" s="490" t="s">
        <v>216</v>
      </c>
      <c r="C286" s="490"/>
      <c r="D286" s="490"/>
      <c r="E286" s="516">
        <v>1108</v>
      </c>
      <c r="F286" s="52">
        <v>1068</v>
      </c>
      <c r="G286" s="572"/>
      <c r="H286" s="563">
        <v>1119</v>
      </c>
      <c r="I286" s="461"/>
      <c r="J286" s="488"/>
      <c r="K286" s="231"/>
      <c r="L286" s="231"/>
      <c r="M286" s="231"/>
      <c r="N286" s="231"/>
      <c r="O286" s="231"/>
      <c r="P286" s="231"/>
      <c r="Q286" s="231"/>
      <c r="R286" s="231"/>
      <c r="S286" s="231"/>
      <c r="T286" s="231"/>
      <c r="U286" s="231"/>
      <c r="V286" s="231"/>
      <c r="W286" s="231"/>
      <c r="X286" s="231"/>
      <c r="Y286" s="231"/>
      <c r="Z286" s="231"/>
      <c r="AA286" s="231"/>
      <c r="AB286" s="231"/>
      <c r="AC286" s="231"/>
      <c r="AD286" s="231"/>
      <c r="AE286" s="231"/>
      <c r="AF286" s="231"/>
      <c r="AG286" s="231"/>
      <c r="AH286" s="231"/>
      <c r="AI286" s="231"/>
      <c r="AJ286" s="231"/>
      <c r="AK286" s="231"/>
      <c r="AL286" s="231"/>
      <c r="AM286" s="231"/>
      <c r="AN286" s="231"/>
      <c r="AO286" s="231"/>
    </row>
    <row r="287" spans="1:41" s="203" customFormat="1">
      <c r="A287" s="799">
        <v>2</v>
      </c>
      <c r="B287" s="490" t="s">
        <v>217</v>
      </c>
      <c r="C287" s="490"/>
      <c r="D287" s="490"/>
      <c r="E287" s="564">
        <v>264</v>
      </c>
      <c r="F287" s="52">
        <v>325</v>
      </c>
      <c r="G287" s="572"/>
      <c r="H287" s="563">
        <v>338</v>
      </c>
      <c r="I287" s="461"/>
      <c r="J287" s="488"/>
      <c r="K287" s="231"/>
      <c r="L287" s="231"/>
      <c r="M287" s="231"/>
      <c r="N287" s="231"/>
      <c r="O287" s="231"/>
      <c r="P287" s="231"/>
      <c r="Q287" s="231"/>
      <c r="R287" s="231"/>
      <c r="S287" s="231"/>
      <c r="T287" s="231"/>
      <c r="U287" s="231"/>
      <c r="V287" s="231"/>
      <c r="W287" s="231"/>
      <c r="X287" s="231"/>
      <c r="Y287" s="231"/>
      <c r="Z287" s="231"/>
      <c r="AA287" s="231"/>
      <c r="AB287" s="231"/>
      <c r="AC287" s="231"/>
      <c r="AD287" s="231"/>
      <c r="AE287" s="231"/>
      <c r="AF287" s="231"/>
      <c r="AG287" s="231"/>
      <c r="AH287" s="231"/>
      <c r="AI287" s="231"/>
      <c r="AJ287" s="231"/>
      <c r="AK287" s="231"/>
      <c r="AL287" s="231"/>
      <c r="AM287" s="231"/>
      <c r="AN287" s="231"/>
      <c r="AO287" s="231"/>
    </row>
    <row r="288" spans="1:41" s="203" customFormat="1">
      <c r="A288" s="799">
        <v>3</v>
      </c>
      <c r="B288" s="517" t="s">
        <v>218</v>
      </c>
      <c r="C288" s="613"/>
      <c r="D288" s="615"/>
      <c r="E288" s="564">
        <v>3263</v>
      </c>
      <c r="F288" s="52">
        <v>3696</v>
      </c>
      <c r="G288" s="572"/>
      <c r="H288" s="563">
        <v>3788</v>
      </c>
      <c r="I288" s="461"/>
      <c r="J288" s="488"/>
      <c r="K288" s="231"/>
      <c r="L288" s="231"/>
      <c r="M288" s="231"/>
      <c r="N288" s="231"/>
      <c r="O288" s="231"/>
      <c r="P288" s="231"/>
      <c r="Q288" s="231"/>
      <c r="R288" s="231"/>
      <c r="S288" s="231"/>
      <c r="T288" s="231"/>
      <c r="U288" s="231"/>
      <c r="V288" s="231"/>
      <c r="W288" s="231"/>
      <c r="X288" s="231"/>
      <c r="Y288" s="231"/>
      <c r="Z288" s="231"/>
      <c r="AA288" s="231"/>
      <c r="AB288" s="231"/>
      <c r="AC288" s="231"/>
      <c r="AD288" s="231"/>
      <c r="AE288" s="231"/>
      <c r="AF288" s="231"/>
      <c r="AG288" s="231"/>
      <c r="AH288" s="231"/>
      <c r="AI288" s="231"/>
      <c r="AJ288" s="231"/>
      <c r="AK288" s="231"/>
      <c r="AL288" s="231"/>
      <c r="AM288" s="231"/>
      <c r="AN288" s="231"/>
      <c r="AO288" s="231"/>
    </row>
    <row r="289" spans="1:41" s="203" customFormat="1">
      <c r="A289" s="799">
        <v>4</v>
      </c>
      <c r="B289" s="490" t="s">
        <v>219</v>
      </c>
      <c r="C289" s="490"/>
      <c r="D289" s="567"/>
      <c r="E289" s="564">
        <v>91</v>
      </c>
      <c r="F289" s="52">
        <v>81</v>
      </c>
      <c r="G289" s="572"/>
      <c r="H289" s="563">
        <v>89</v>
      </c>
      <c r="I289" s="461"/>
      <c r="J289" s="488"/>
      <c r="K289" s="231"/>
      <c r="L289" s="231"/>
      <c r="M289" s="231"/>
      <c r="N289" s="231"/>
      <c r="O289" s="231"/>
      <c r="P289" s="231"/>
      <c r="Q289" s="231"/>
      <c r="R289" s="231"/>
      <c r="S289" s="231"/>
      <c r="T289" s="231"/>
      <c r="U289" s="231"/>
      <c r="V289" s="231"/>
      <c r="W289" s="231"/>
      <c r="X289" s="231"/>
      <c r="Y289" s="231"/>
      <c r="Z289" s="231"/>
      <c r="AA289" s="231"/>
      <c r="AB289" s="231"/>
      <c r="AC289" s="231"/>
      <c r="AD289" s="231"/>
      <c r="AE289" s="231"/>
      <c r="AF289" s="231"/>
      <c r="AG289" s="231"/>
      <c r="AH289" s="231"/>
      <c r="AI289" s="231"/>
      <c r="AJ289" s="231"/>
      <c r="AK289" s="231"/>
      <c r="AL289" s="231"/>
      <c r="AM289" s="231"/>
      <c r="AN289" s="231"/>
      <c r="AO289" s="231"/>
    </row>
    <row r="290" spans="1:41" s="203" customFormat="1">
      <c r="A290" s="799">
        <v>5</v>
      </c>
      <c r="B290" s="490" t="s">
        <v>220</v>
      </c>
      <c r="C290" s="490"/>
      <c r="D290" s="490"/>
      <c r="E290" s="564">
        <v>-762</v>
      </c>
      <c r="F290" s="52">
        <v>-755</v>
      </c>
      <c r="G290" s="572"/>
      <c r="H290" s="563">
        <v>-790</v>
      </c>
      <c r="I290" s="461"/>
      <c r="J290" s="488"/>
      <c r="K290" s="231"/>
      <c r="L290" s="231"/>
      <c r="M290" s="231"/>
      <c r="N290" s="231"/>
      <c r="O290" s="231"/>
      <c r="P290" s="231"/>
      <c r="Q290" s="231"/>
      <c r="R290" s="231"/>
      <c r="S290" s="231"/>
      <c r="T290" s="231"/>
      <c r="U290" s="231"/>
      <c r="V290" s="231"/>
      <c r="W290" s="231"/>
      <c r="X290" s="231"/>
      <c r="Y290" s="231"/>
      <c r="Z290" s="231"/>
      <c r="AA290" s="231"/>
      <c r="AB290" s="231"/>
      <c r="AC290" s="231"/>
      <c r="AD290" s="231"/>
      <c r="AE290" s="231"/>
      <c r="AF290" s="231"/>
      <c r="AG290" s="231"/>
      <c r="AH290" s="231"/>
      <c r="AI290" s="231"/>
      <c r="AJ290" s="231"/>
      <c r="AK290" s="231"/>
      <c r="AL290" s="231"/>
      <c r="AM290" s="231"/>
      <c r="AN290" s="231"/>
      <c r="AO290" s="231"/>
    </row>
    <row r="291" spans="1:41" s="203" customFormat="1">
      <c r="A291" s="799">
        <v>6</v>
      </c>
      <c r="B291" s="490" t="s">
        <v>221</v>
      </c>
      <c r="C291" s="490"/>
      <c r="D291" s="490"/>
      <c r="E291" s="564">
        <v>183</v>
      </c>
      <c r="F291" s="52">
        <v>217</v>
      </c>
      <c r="G291" s="572"/>
      <c r="H291" s="563">
        <v>262</v>
      </c>
      <c r="I291" s="461"/>
      <c r="J291" s="488"/>
      <c r="K291" s="231"/>
      <c r="L291" s="231"/>
      <c r="M291" s="231"/>
      <c r="N291" s="231"/>
      <c r="O291" s="231"/>
      <c r="P291" s="231"/>
      <c r="Q291" s="231"/>
      <c r="R291" s="231"/>
      <c r="S291" s="231"/>
      <c r="T291" s="231"/>
      <c r="U291" s="231"/>
      <c r="V291" s="231"/>
      <c r="W291" s="231"/>
      <c r="X291" s="231"/>
      <c r="Y291" s="231"/>
      <c r="Z291" s="231"/>
      <c r="AA291" s="231"/>
      <c r="AB291" s="231"/>
      <c r="AC291" s="231"/>
      <c r="AD291" s="231"/>
      <c r="AE291" s="231"/>
      <c r="AF291" s="231"/>
      <c r="AG291" s="231"/>
      <c r="AH291" s="231"/>
      <c r="AI291" s="231"/>
      <c r="AJ291" s="231"/>
      <c r="AK291" s="231"/>
      <c r="AL291" s="231"/>
      <c r="AM291" s="231"/>
      <c r="AN291" s="231"/>
      <c r="AO291" s="231"/>
    </row>
    <row r="292" spans="1:41" s="203" customFormat="1">
      <c r="A292" s="799">
        <v>7</v>
      </c>
      <c r="B292" s="490" t="s">
        <v>222</v>
      </c>
      <c r="C292" s="490"/>
      <c r="D292" s="567"/>
      <c r="E292" s="564">
        <v>352</v>
      </c>
      <c r="F292" s="52">
        <v>352</v>
      </c>
      <c r="G292" s="572"/>
      <c r="H292" s="563">
        <v>365</v>
      </c>
      <c r="I292" s="461"/>
      <c r="J292" s="488"/>
      <c r="K292" s="231"/>
      <c r="L292" s="231"/>
      <c r="M292" s="231"/>
      <c r="N292" s="231"/>
      <c r="O292" s="231"/>
      <c r="P292" s="231"/>
      <c r="Q292" s="231"/>
      <c r="R292" s="231"/>
      <c r="S292" s="231"/>
      <c r="T292" s="231"/>
      <c r="U292" s="231"/>
      <c r="V292" s="231"/>
      <c r="W292" s="231"/>
      <c r="X292" s="231"/>
      <c r="Y292" s="231"/>
      <c r="Z292" s="231"/>
      <c r="AA292" s="231"/>
      <c r="AB292" s="231"/>
      <c r="AC292" s="231"/>
      <c r="AD292" s="231"/>
      <c r="AE292" s="231"/>
      <c r="AF292" s="231"/>
      <c r="AG292" s="231"/>
      <c r="AH292" s="231"/>
      <c r="AI292" s="231"/>
      <c r="AJ292" s="231"/>
      <c r="AK292" s="231"/>
      <c r="AL292" s="231"/>
      <c r="AM292" s="231"/>
      <c r="AN292" s="231"/>
      <c r="AO292" s="231"/>
    </row>
    <row r="293" spans="1:41" s="203" customFormat="1">
      <c r="A293" s="799">
        <v>8</v>
      </c>
      <c r="B293" s="490" t="s">
        <v>223</v>
      </c>
      <c r="C293" s="490"/>
      <c r="D293" s="567"/>
      <c r="E293" s="564">
        <v>788</v>
      </c>
      <c r="F293" s="52">
        <v>788</v>
      </c>
      <c r="G293" s="572"/>
      <c r="H293" s="563">
        <v>836</v>
      </c>
      <c r="I293" s="461"/>
      <c r="J293" s="488"/>
      <c r="K293" s="231"/>
      <c r="L293" s="231"/>
      <c r="M293" s="231"/>
      <c r="N293" s="231"/>
      <c r="O293" s="231"/>
      <c r="P293" s="231"/>
      <c r="Q293" s="231"/>
      <c r="R293" s="231"/>
      <c r="S293" s="231"/>
      <c r="T293" s="231"/>
      <c r="U293" s="231"/>
      <c r="V293" s="231"/>
      <c r="W293" s="231"/>
      <c r="X293" s="231"/>
      <c r="Y293" s="231"/>
      <c r="Z293" s="231"/>
      <c r="AA293" s="231"/>
      <c r="AB293" s="231"/>
      <c r="AC293" s="231"/>
      <c r="AD293" s="231"/>
      <c r="AE293" s="231"/>
      <c r="AF293" s="231"/>
      <c r="AG293" s="231"/>
      <c r="AH293" s="231"/>
      <c r="AI293" s="231"/>
      <c r="AJ293" s="231"/>
      <c r="AK293" s="231"/>
      <c r="AL293" s="231"/>
      <c r="AM293" s="231"/>
      <c r="AN293" s="231"/>
      <c r="AO293" s="231"/>
    </row>
    <row r="294" spans="1:41" s="203" customFormat="1">
      <c r="A294" s="799">
        <v>9</v>
      </c>
      <c r="B294" s="490" t="s">
        <v>224</v>
      </c>
      <c r="C294" s="490"/>
      <c r="D294" s="567"/>
      <c r="E294" s="564">
        <v>537</v>
      </c>
      <c r="F294" s="52">
        <v>537</v>
      </c>
      <c r="G294" s="572"/>
      <c r="H294" s="563">
        <v>540</v>
      </c>
      <c r="I294" s="461"/>
      <c r="J294" s="488"/>
      <c r="K294" s="231"/>
      <c r="L294" s="231"/>
      <c r="M294" s="231"/>
      <c r="N294" s="231"/>
      <c r="O294" s="231"/>
      <c r="P294" s="231"/>
      <c r="Q294" s="231"/>
      <c r="R294" s="231"/>
      <c r="S294" s="231"/>
      <c r="T294" s="231"/>
      <c r="U294" s="231"/>
      <c r="V294" s="231"/>
      <c r="W294" s="231"/>
      <c r="X294" s="231"/>
      <c r="Y294" s="231"/>
      <c r="Z294" s="231"/>
      <c r="AA294" s="231"/>
      <c r="AB294" s="231"/>
      <c r="AC294" s="231"/>
      <c r="AD294" s="231"/>
      <c r="AE294" s="231"/>
      <c r="AF294" s="231"/>
      <c r="AG294" s="231"/>
      <c r="AH294" s="231"/>
      <c r="AI294" s="231"/>
      <c r="AJ294" s="231"/>
      <c r="AK294" s="231"/>
      <c r="AL294" s="231"/>
      <c r="AM294" s="231"/>
      <c r="AN294" s="231"/>
      <c r="AO294" s="231"/>
    </row>
    <row r="295" spans="1:41" s="203" customFormat="1">
      <c r="A295" s="799">
        <v>10</v>
      </c>
      <c r="B295" s="490" t="s">
        <v>225</v>
      </c>
      <c r="C295" s="490"/>
      <c r="D295" s="490"/>
      <c r="E295" s="564">
        <v>451</v>
      </c>
      <c r="F295" s="52">
        <v>324</v>
      </c>
      <c r="G295" s="572"/>
      <c r="H295" s="563">
        <v>304</v>
      </c>
      <c r="I295" s="461"/>
      <c r="J295" s="488"/>
      <c r="K295" s="231"/>
      <c r="L295" s="231"/>
      <c r="M295" s="231"/>
      <c r="N295" s="231"/>
      <c r="O295" s="231"/>
      <c r="P295" s="231"/>
      <c r="Q295" s="231"/>
      <c r="R295" s="231"/>
      <c r="S295" s="231"/>
      <c r="T295" s="231"/>
      <c r="U295" s="231"/>
      <c r="V295" s="231"/>
      <c r="W295" s="231"/>
      <c r="X295" s="231"/>
      <c r="Y295" s="231"/>
      <c r="Z295" s="231"/>
      <c r="AA295" s="231"/>
      <c r="AB295" s="231"/>
      <c r="AC295" s="231"/>
      <c r="AD295" s="231"/>
      <c r="AE295" s="231"/>
      <c r="AF295" s="231"/>
      <c r="AG295" s="231"/>
      <c r="AH295" s="231"/>
      <c r="AI295" s="231"/>
      <c r="AJ295" s="231"/>
      <c r="AK295" s="231"/>
      <c r="AL295" s="231"/>
      <c r="AM295" s="231"/>
      <c r="AN295" s="231"/>
      <c r="AO295" s="231"/>
    </row>
    <row r="296" spans="1:41" s="203" customFormat="1">
      <c r="A296" s="799">
        <v>11</v>
      </c>
      <c r="B296" s="490" t="s">
        <v>226</v>
      </c>
      <c r="C296" s="490"/>
      <c r="D296" s="490"/>
      <c r="E296" s="564">
        <v>54</v>
      </c>
      <c r="F296" s="52">
        <v>56</v>
      </c>
      <c r="G296" s="572"/>
      <c r="H296" s="563">
        <v>56</v>
      </c>
      <c r="I296" s="461"/>
      <c r="J296" s="488"/>
      <c r="K296" s="231"/>
      <c r="L296" s="231"/>
      <c r="M296" s="231"/>
      <c r="N296" s="231"/>
      <c r="O296" s="231"/>
      <c r="P296" s="231"/>
      <c r="Q296" s="231"/>
      <c r="R296" s="231"/>
      <c r="S296" s="231"/>
      <c r="T296" s="231"/>
      <c r="U296" s="231"/>
      <c r="V296" s="231"/>
      <c r="W296" s="231"/>
      <c r="X296" s="231"/>
      <c r="Y296" s="231"/>
      <c r="Z296" s="231"/>
      <c r="AA296" s="231"/>
      <c r="AB296" s="231"/>
      <c r="AC296" s="231"/>
      <c r="AD296" s="231"/>
      <c r="AE296" s="231"/>
      <c r="AF296" s="231"/>
      <c r="AG296" s="231"/>
      <c r="AH296" s="231"/>
      <c r="AI296" s="231"/>
      <c r="AJ296" s="231"/>
      <c r="AK296" s="231"/>
      <c r="AL296" s="231"/>
      <c r="AM296" s="231"/>
      <c r="AN296" s="231"/>
      <c r="AO296" s="231"/>
    </row>
    <row r="297" spans="1:41" s="203" customFormat="1">
      <c r="A297" s="799">
        <v>12</v>
      </c>
      <c r="B297" s="490" t="s">
        <v>227</v>
      </c>
      <c r="C297" s="490"/>
      <c r="D297" s="490"/>
      <c r="E297" s="564">
        <v>-15</v>
      </c>
      <c r="F297" s="52">
        <v>48</v>
      </c>
      <c r="G297" s="572"/>
      <c r="H297" s="563">
        <v>46</v>
      </c>
      <c r="I297" s="461"/>
      <c r="J297" s="488"/>
      <c r="K297" s="231"/>
      <c r="L297" s="231"/>
      <c r="M297" s="231"/>
      <c r="N297" s="231"/>
      <c r="O297" s="231"/>
      <c r="P297" s="231"/>
      <c r="Q297" s="231"/>
      <c r="R297" s="231"/>
      <c r="S297" s="231"/>
      <c r="T297" s="231"/>
      <c r="U297" s="231"/>
      <c r="V297" s="231"/>
      <c r="W297" s="231"/>
      <c r="X297" s="231"/>
      <c r="Y297" s="231"/>
      <c r="Z297" s="231"/>
      <c r="AA297" s="231"/>
      <c r="AB297" s="231"/>
      <c r="AC297" s="231"/>
      <c r="AD297" s="231"/>
      <c r="AE297" s="231"/>
      <c r="AF297" s="231"/>
      <c r="AG297" s="231"/>
      <c r="AH297" s="231"/>
      <c r="AI297" s="231"/>
      <c r="AJ297" s="231"/>
      <c r="AK297" s="231"/>
      <c r="AL297" s="231"/>
      <c r="AM297" s="231"/>
      <c r="AN297" s="231"/>
      <c r="AO297" s="231"/>
    </row>
    <row r="298" spans="1:41" s="203" customFormat="1">
      <c r="A298" s="799">
        <v>13</v>
      </c>
      <c r="B298" s="490" t="s">
        <v>228</v>
      </c>
      <c r="C298" s="490"/>
      <c r="D298" s="490"/>
      <c r="E298" s="564">
        <v>-18968</v>
      </c>
      <c r="F298" s="52">
        <v>-5038</v>
      </c>
      <c r="G298" s="572"/>
      <c r="H298" s="563">
        <v>-4758</v>
      </c>
      <c r="I298" s="461"/>
      <c r="J298" s="488"/>
      <c r="K298" s="231"/>
      <c r="L298" s="231"/>
      <c r="M298" s="231"/>
      <c r="N298" s="231"/>
      <c r="O298" s="231"/>
      <c r="P298" s="231"/>
      <c r="Q298" s="231"/>
      <c r="R298" s="231"/>
      <c r="S298" s="231"/>
      <c r="T298" s="231"/>
      <c r="U298" s="231"/>
      <c r="V298" s="231"/>
      <c r="W298" s="231"/>
      <c r="X298" s="231"/>
      <c r="Y298" s="231"/>
      <c r="Z298" s="231"/>
      <c r="AA298" s="231"/>
      <c r="AB298" s="231"/>
      <c r="AC298" s="231"/>
      <c r="AD298" s="231"/>
      <c r="AE298" s="231"/>
      <c r="AF298" s="231"/>
      <c r="AG298" s="231"/>
      <c r="AH298" s="231"/>
      <c r="AI298" s="231"/>
      <c r="AJ298" s="231"/>
      <c r="AK298" s="231"/>
      <c r="AL298" s="231"/>
      <c r="AM298" s="231"/>
      <c r="AN298" s="231"/>
      <c r="AO298" s="231"/>
    </row>
    <row r="299" spans="1:41" s="203" customFormat="1">
      <c r="A299" s="799">
        <v>14</v>
      </c>
      <c r="B299" s="490" t="s">
        <v>229</v>
      </c>
      <c r="C299" s="490"/>
      <c r="D299" s="567"/>
      <c r="E299" s="564">
        <v>0</v>
      </c>
      <c r="F299" s="52">
        <v>0</v>
      </c>
      <c r="G299" s="572"/>
      <c r="H299" s="563">
        <v>0</v>
      </c>
      <c r="I299" s="461"/>
      <c r="J299" s="488"/>
      <c r="K299" s="231"/>
      <c r="L299" s="231"/>
      <c r="M299" s="231"/>
      <c r="N299" s="231"/>
      <c r="O299" s="231"/>
      <c r="P299" s="231"/>
      <c r="Q299" s="231"/>
      <c r="R299" s="231"/>
      <c r="S299" s="231"/>
      <c r="T299" s="231"/>
      <c r="U299" s="231"/>
      <c r="V299" s="231"/>
      <c r="W299" s="231"/>
      <c r="X299" s="231"/>
      <c r="Y299" s="231"/>
      <c r="Z299" s="231"/>
      <c r="AA299" s="231"/>
      <c r="AB299" s="231"/>
      <c r="AC299" s="231"/>
      <c r="AD299" s="231"/>
      <c r="AE299" s="231"/>
      <c r="AF299" s="231"/>
      <c r="AG299" s="231"/>
      <c r="AH299" s="231"/>
      <c r="AI299" s="231"/>
      <c r="AJ299" s="231"/>
      <c r="AK299" s="231"/>
      <c r="AL299" s="231"/>
      <c r="AM299" s="231"/>
      <c r="AN299" s="231"/>
      <c r="AO299" s="231"/>
    </row>
    <row r="300" spans="1:41" s="203" customFormat="1">
      <c r="A300" s="799">
        <v>15</v>
      </c>
      <c r="B300" s="490" t="s">
        <v>230</v>
      </c>
      <c r="C300" s="490"/>
      <c r="D300" s="567"/>
      <c r="E300" s="564">
        <v>4724</v>
      </c>
      <c r="F300" s="52">
        <v>4511</v>
      </c>
      <c r="G300" s="572"/>
      <c r="H300" s="563">
        <v>4516</v>
      </c>
      <c r="I300" s="461"/>
      <c r="J300" s="488"/>
      <c r="K300" s="231"/>
      <c r="L300" s="231"/>
      <c r="M300" s="231"/>
      <c r="N300" s="231"/>
      <c r="O300" s="231"/>
      <c r="P300" s="231"/>
      <c r="Q300" s="231"/>
      <c r="R300" s="231"/>
      <c r="S300" s="231"/>
      <c r="T300" s="231"/>
      <c r="U300" s="231"/>
      <c r="V300" s="231"/>
      <c r="W300" s="231"/>
      <c r="X300" s="231"/>
      <c r="Y300" s="231"/>
      <c r="Z300" s="231"/>
      <c r="AA300" s="231"/>
      <c r="AB300" s="231"/>
      <c r="AC300" s="231"/>
      <c r="AD300" s="231"/>
      <c r="AE300" s="231"/>
      <c r="AF300" s="231"/>
      <c r="AG300" s="231"/>
      <c r="AH300" s="231"/>
      <c r="AI300" s="231"/>
      <c r="AJ300" s="231"/>
      <c r="AK300" s="231"/>
      <c r="AL300" s="231"/>
      <c r="AM300" s="231"/>
      <c r="AN300" s="231"/>
      <c r="AO300" s="231"/>
    </row>
    <row r="301" spans="1:41" s="203" customFormat="1">
      <c r="A301" s="799">
        <v>17</v>
      </c>
      <c r="B301" s="490" t="s">
        <v>231</v>
      </c>
      <c r="C301" s="490"/>
      <c r="D301" s="490"/>
      <c r="E301" s="564">
        <v>0</v>
      </c>
      <c r="F301" s="52"/>
      <c r="G301" s="572"/>
      <c r="H301" s="543"/>
      <c r="I301" s="461"/>
      <c r="J301" s="488"/>
      <c r="K301" s="231"/>
      <c r="L301" s="231"/>
      <c r="M301" s="231"/>
      <c r="N301" s="231"/>
      <c r="O301" s="231"/>
      <c r="P301" s="231"/>
      <c r="Q301" s="231"/>
      <c r="R301" s="231"/>
      <c r="S301" s="231"/>
      <c r="T301" s="231"/>
      <c r="U301" s="231"/>
      <c r="V301" s="231"/>
      <c r="W301" s="231"/>
      <c r="X301" s="231"/>
      <c r="Y301" s="231"/>
      <c r="Z301" s="231"/>
      <c r="AA301" s="231"/>
      <c r="AB301" s="231"/>
      <c r="AC301" s="231"/>
      <c r="AD301" s="231"/>
      <c r="AE301" s="231"/>
      <c r="AF301" s="231"/>
      <c r="AG301" s="231"/>
      <c r="AH301" s="231"/>
      <c r="AI301" s="231"/>
      <c r="AJ301" s="231"/>
      <c r="AK301" s="231"/>
      <c r="AL301" s="231"/>
      <c r="AM301" s="231"/>
      <c r="AN301" s="231"/>
      <c r="AO301" s="231"/>
    </row>
    <row r="302" spans="1:41" s="203" customFormat="1">
      <c r="A302" s="800">
        <v>18</v>
      </c>
      <c r="B302" s="538" t="s">
        <v>232</v>
      </c>
      <c r="C302" s="538"/>
      <c r="D302" s="538"/>
      <c r="E302" s="607">
        <v>-7930</v>
      </c>
      <c r="F302" s="503">
        <f>SUM(F286:F301)</f>
        <v>6210</v>
      </c>
      <c r="G302" s="572"/>
      <c r="H302" s="503">
        <f>SUM(H286:H301)</f>
        <v>6711</v>
      </c>
      <c r="I302" s="461"/>
      <c r="J302" s="488"/>
      <c r="K302" s="231"/>
      <c r="L302" s="231"/>
      <c r="M302" s="231"/>
      <c r="N302" s="231"/>
      <c r="O302" s="231"/>
      <c r="P302" s="231"/>
      <c r="Q302" s="231"/>
      <c r="R302" s="231"/>
      <c r="S302" s="231"/>
      <c r="T302" s="231"/>
      <c r="U302" s="231"/>
      <c r="V302" s="231"/>
      <c r="W302" s="231"/>
      <c r="X302" s="231"/>
      <c r="Y302" s="231"/>
      <c r="Z302" s="231"/>
      <c r="AA302" s="231"/>
      <c r="AB302" s="231"/>
      <c r="AC302" s="231"/>
      <c r="AD302" s="231"/>
      <c r="AE302" s="231"/>
      <c r="AF302" s="231"/>
      <c r="AG302" s="231"/>
      <c r="AH302" s="231"/>
      <c r="AI302" s="231"/>
      <c r="AJ302" s="231"/>
      <c r="AK302" s="231"/>
      <c r="AL302" s="231"/>
      <c r="AM302" s="231"/>
      <c r="AN302" s="231"/>
      <c r="AO302" s="231"/>
    </row>
    <row r="303" spans="1:41" s="203" customFormat="1">
      <c r="A303" s="476"/>
      <c r="B303" s="628"/>
      <c r="C303" s="628"/>
      <c r="D303" s="629"/>
      <c r="E303" s="630"/>
      <c r="F303" s="631"/>
      <c r="G303" s="461"/>
      <c r="H303" s="631"/>
      <c r="I303" s="461"/>
      <c r="J303" s="488"/>
      <c r="K303" s="231"/>
      <c r="L303" s="231"/>
      <c r="M303" s="231"/>
      <c r="N303" s="231"/>
      <c r="O303" s="231"/>
      <c r="P303" s="231"/>
      <c r="Q303" s="231"/>
      <c r="R303" s="231"/>
      <c r="S303" s="231"/>
      <c r="T303" s="231"/>
      <c r="U303" s="231"/>
      <c r="V303" s="231"/>
      <c r="W303" s="231"/>
      <c r="X303" s="231"/>
      <c r="Y303" s="231"/>
      <c r="Z303" s="231"/>
      <c r="AA303" s="231"/>
      <c r="AB303" s="231"/>
      <c r="AC303" s="231"/>
      <c r="AD303" s="231"/>
      <c r="AE303" s="231"/>
      <c r="AF303" s="231"/>
      <c r="AG303" s="231"/>
      <c r="AH303" s="231"/>
      <c r="AI303" s="231"/>
      <c r="AJ303" s="231"/>
      <c r="AK303" s="231"/>
      <c r="AL303" s="231"/>
      <c r="AM303" s="231"/>
      <c r="AN303" s="231"/>
      <c r="AO303" s="231"/>
    </row>
    <row r="304" spans="1:41" s="203" customFormat="1">
      <c r="A304" s="632"/>
      <c r="B304" s="457"/>
      <c r="C304" s="457"/>
      <c r="D304" s="633"/>
      <c r="E304" s="634"/>
      <c r="F304" s="457"/>
      <c r="G304" s="457"/>
      <c r="H304" s="550" t="s">
        <v>27</v>
      </c>
      <c r="I304" s="461"/>
      <c r="J304" s="488"/>
      <c r="K304" s="231"/>
      <c r="L304" s="231"/>
      <c r="M304" s="231"/>
      <c r="N304" s="231"/>
      <c r="O304" s="231"/>
      <c r="P304" s="231"/>
      <c r="Q304" s="231"/>
      <c r="R304" s="231"/>
      <c r="S304" s="231"/>
      <c r="T304" s="231"/>
      <c r="U304" s="231"/>
      <c r="V304" s="231"/>
      <c r="W304" s="231"/>
      <c r="X304" s="231"/>
      <c r="Y304" s="231"/>
      <c r="Z304" s="231"/>
      <c r="AA304" s="231"/>
      <c r="AB304" s="231"/>
      <c r="AC304" s="231"/>
      <c r="AD304" s="231"/>
      <c r="AE304" s="231"/>
      <c r="AF304" s="231"/>
      <c r="AG304" s="231"/>
      <c r="AH304" s="231"/>
      <c r="AI304" s="231"/>
      <c r="AJ304" s="231"/>
      <c r="AK304" s="231"/>
      <c r="AL304" s="231"/>
      <c r="AM304" s="231"/>
      <c r="AN304" s="231"/>
      <c r="AO304" s="231"/>
    </row>
    <row r="305" spans="1:41" s="203" customFormat="1" ht="12.75" customHeight="1">
      <c r="A305" s="552" t="s">
        <v>21</v>
      </c>
      <c r="B305" s="611"/>
      <c r="C305" s="611"/>
      <c r="D305" s="611"/>
      <c r="E305" s="910" t="s">
        <v>377</v>
      </c>
      <c r="F305" s="910" t="s">
        <v>402</v>
      </c>
      <c r="G305" s="579"/>
      <c r="H305" s="910" t="s">
        <v>403</v>
      </c>
      <c r="I305" s="461"/>
      <c r="J305" s="488"/>
      <c r="K305" s="231"/>
      <c r="L305" s="231"/>
      <c r="M305" s="231"/>
      <c r="N305" s="231"/>
      <c r="O305" s="231"/>
      <c r="P305" s="231"/>
      <c r="Q305" s="231"/>
      <c r="R305" s="231"/>
      <c r="S305" s="231"/>
      <c r="T305" s="231"/>
      <c r="U305" s="231"/>
      <c r="V305" s="231"/>
      <c r="W305" s="231"/>
      <c r="X305" s="231"/>
      <c r="Y305" s="231"/>
      <c r="Z305" s="231"/>
      <c r="AA305" s="231"/>
      <c r="AB305" s="231"/>
      <c r="AC305" s="231"/>
      <c r="AD305" s="231"/>
      <c r="AE305" s="231"/>
      <c r="AF305" s="231"/>
      <c r="AG305" s="231"/>
      <c r="AH305" s="231"/>
      <c r="AI305" s="231"/>
      <c r="AJ305" s="231"/>
      <c r="AK305" s="231"/>
      <c r="AL305" s="231"/>
      <c r="AM305" s="231"/>
      <c r="AN305" s="231"/>
      <c r="AO305" s="231"/>
    </row>
    <row r="306" spans="1:41" s="203" customFormat="1">
      <c r="A306" s="612"/>
      <c r="B306" s="490"/>
      <c r="C306" s="490"/>
      <c r="D306" s="490"/>
      <c r="E306" s="911"/>
      <c r="F306" s="911"/>
      <c r="G306" s="579"/>
      <c r="H306" s="911"/>
      <c r="I306" s="461"/>
      <c r="J306" s="488"/>
      <c r="K306" s="231"/>
      <c r="L306" s="231"/>
      <c r="M306" s="231"/>
      <c r="N306" s="231"/>
      <c r="O306" s="231"/>
      <c r="P306" s="231"/>
      <c r="Q306" s="231"/>
      <c r="R306" s="231"/>
      <c r="S306" s="231"/>
      <c r="T306" s="231"/>
      <c r="U306" s="231"/>
      <c r="V306" s="231"/>
      <c r="W306" s="231"/>
      <c r="X306" s="231"/>
      <c r="Y306" s="231"/>
      <c r="Z306" s="231"/>
      <c r="AA306" s="231"/>
      <c r="AB306" s="231"/>
      <c r="AC306" s="231"/>
      <c r="AD306" s="231"/>
      <c r="AE306" s="231"/>
      <c r="AF306" s="231"/>
      <c r="AG306" s="231"/>
      <c r="AH306" s="231"/>
      <c r="AI306" s="231"/>
      <c r="AJ306" s="231"/>
      <c r="AK306" s="231"/>
      <c r="AL306" s="231"/>
      <c r="AM306" s="231"/>
      <c r="AN306" s="231"/>
      <c r="AO306" s="231"/>
    </row>
    <row r="307" spans="1:41" s="203" customFormat="1" ht="12.75" customHeight="1">
      <c r="A307" s="555"/>
      <c r="B307" s="490"/>
      <c r="C307" s="490"/>
      <c r="D307" s="490"/>
      <c r="E307" s="911"/>
      <c r="F307" s="911"/>
      <c r="G307" s="579"/>
      <c r="H307" s="911"/>
      <c r="I307" s="461"/>
      <c r="J307" s="488"/>
      <c r="K307" s="231"/>
      <c r="L307" s="231"/>
      <c r="M307" s="231"/>
      <c r="N307" s="231"/>
      <c r="O307" s="231"/>
      <c r="P307" s="231"/>
      <c r="Q307" s="231"/>
      <c r="R307" s="231"/>
      <c r="S307" s="231"/>
      <c r="T307" s="231"/>
      <c r="U307" s="231"/>
      <c r="V307" s="231"/>
      <c r="W307" s="231"/>
      <c r="X307" s="231"/>
      <c r="Y307" s="231"/>
      <c r="Z307" s="231"/>
      <c r="AA307" s="231"/>
      <c r="AB307" s="231"/>
      <c r="AC307" s="231"/>
      <c r="AD307" s="231"/>
      <c r="AE307" s="231"/>
      <c r="AF307" s="231"/>
      <c r="AG307" s="231"/>
      <c r="AH307" s="231"/>
      <c r="AI307" s="231"/>
      <c r="AJ307" s="231"/>
      <c r="AK307" s="231"/>
      <c r="AL307" s="231"/>
      <c r="AM307" s="231"/>
      <c r="AN307" s="231"/>
      <c r="AO307" s="231"/>
    </row>
    <row r="308" spans="1:41" s="203" customFormat="1">
      <c r="A308" s="602" t="s">
        <v>233</v>
      </c>
      <c r="B308" s="490"/>
      <c r="C308" s="490"/>
      <c r="D308" s="490"/>
      <c r="E308" s="911"/>
      <c r="F308" s="911"/>
      <c r="G308" s="579"/>
      <c r="H308" s="911"/>
      <c r="I308" s="461"/>
      <c r="J308" s="488"/>
      <c r="K308" s="231"/>
      <c r="L308" s="231"/>
      <c r="M308" s="231"/>
      <c r="N308" s="231"/>
      <c r="O308" s="231"/>
      <c r="P308" s="231"/>
      <c r="Q308" s="231"/>
      <c r="R308" s="231"/>
      <c r="S308" s="231"/>
      <c r="T308" s="231"/>
      <c r="U308" s="231"/>
      <c r="V308" s="231"/>
      <c r="W308" s="231"/>
      <c r="X308" s="231"/>
      <c r="Y308" s="231"/>
      <c r="Z308" s="231"/>
      <c r="AA308" s="231"/>
      <c r="AB308" s="231"/>
      <c r="AC308" s="231"/>
      <c r="AD308" s="231"/>
      <c r="AE308" s="231"/>
      <c r="AF308" s="231"/>
      <c r="AG308" s="231"/>
      <c r="AH308" s="231"/>
      <c r="AI308" s="231"/>
      <c r="AJ308" s="231"/>
      <c r="AK308" s="231"/>
      <c r="AL308" s="231"/>
      <c r="AM308" s="231"/>
      <c r="AN308" s="231"/>
      <c r="AO308" s="231"/>
    </row>
    <row r="309" spans="1:41" s="203" customFormat="1">
      <c r="A309" s="555" t="s">
        <v>83</v>
      </c>
      <c r="B309" s="490"/>
      <c r="C309" s="490"/>
      <c r="D309" s="490"/>
      <c r="E309" s="912"/>
      <c r="F309" s="912"/>
      <c r="G309" s="579"/>
      <c r="H309" s="912"/>
      <c r="I309" s="461"/>
      <c r="J309" s="488"/>
      <c r="K309" s="231"/>
      <c r="L309" s="231"/>
      <c r="M309" s="231"/>
      <c r="N309" s="231"/>
      <c r="O309" s="231"/>
      <c r="P309" s="231"/>
      <c r="Q309" s="231"/>
      <c r="R309" s="231"/>
      <c r="S309" s="231"/>
      <c r="T309" s="231"/>
      <c r="U309" s="231"/>
      <c r="V309" s="231"/>
      <c r="W309" s="231"/>
      <c r="X309" s="231"/>
      <c r="Y309" s="231"/>
      <c r="Z309" s="231"/>
      <c r="AA309" s="231"/>
      <c r="AB309" s="231"/>
      <c r="AC309" s="231"/>
      <c r="AD309" s="231"/>
      <c r="AE309" s="231"/>
      <c r="AF309" s="231"/>
      <c r="AG309" s="231"/>
      <c r="AH309" s="231"/>
      <c r="AI309" s="231"/>
      <c r="AJ309" s="231"/>
      <c r="AK309" s="231"/>
      <c r="AL309" s="231"/>
      <c r="AM309" s="231"/>
      <c r="AN309" s="231"/>
      <c r="AO309" s="231"/>
    </row>
    <row r="310" spans="1:41" s="203" customFormat="1">
      <c r="A310" s="556" t="s">
        <v>84</v>
      </c>
      <c r="B310" s="567"/>
      <c r="C310" s="567"/>
      <c r="D310" s="567"/>
      <c r="E310" s="635"/>
      <c r="F310" s="534"/>
      <c r="G310" s="572"/>
      <c r="H310" s="534"/>
      <c r="I310" s="461"/>
      <c r="J310" s="488"/>
      <c r="K310" s="231"/>
      <c r="L310" s="231"/>
      <c r="M310" s="231"/>
      <c r="N310" s="231"/>
      <c r="O310" s="231"/>
      <c r="P310" s="231"/>
      <c r="Q310" s="231"/>
      <c r="R310" s="231"/>
      <c r="S310" s="231"/>
      <c r="T310" s="231"/>
      <c r="U310" s="231"/>
      <c r="V310" s="231"/>
      <c r="W310" s="231"/>
      <c r="X310" s="231"/>
      <c r="Y310" s="231"/>
      <c r="Z310" s="231"/>
      <c r="AA310" s="231"/>
      <c r="AB310" s="231"/>
      <c r="AC310" s="231"/>
      <c r="AD310" s="231"/>
      <c r="AE310" s="231"/>
      <c r="AF310" s="231"/>
      <c r="AG310" s="231"/>
      <c r="AH310" s="231"/>
      <c r="AI310" s="231"/>
      <c r="AJ310" s="231"/>
      <c r="AK310" s="231"/>
      <c r="AL310" s="231"/>
      <c r="AM310" s="231"/>
      <c r="AN310" s="231"/>
      <c r="AO310" s="231"/>
    </row>
    <row r="311" spans="1:41" s="203" customFormat="1">
      <c r="A311" s="799">
        <v>1</v>
      </c>
      <c r="B311" s="490" t="s">
        <v>258</v>
      </c>
      <c r="C311" s="490"/>
      <c r="D311" s="802"/>
      <c r="E311" s="516">
        <v>-8730</v>
      </c>
      <c r="F311" s="52">
        <v>-7413.7516716534328</v>
      </c>
      <c r="G311" s="486"/>
      <c r="H311" s="52">
        <v>-13233.937626932686</v>
      </c>
      <c r="I311" s="461"/>
      <c r="J311" s="488"/>
      <c r="K311" s="231"/>
      <c r="L311" s="231"/>
      <c r="M311" s="231"/>
      <c r="N311" s="231"/>
      <c r="O311" s="231"/>
      <c r="P311" s="231"/>
      <c r="Q311" s="231"/>
      <c r="R311" s="231"/>
      <c r="S311" s="231"/>
      <c r="T311" s="231"/>
      <c r="U311" s="231"/>
      <c r="V311" s="231"/>
      <c r="W311" s="231"/>
      <c r="X311" s="231"/>
      <c r="Y311" s="231"/>
      <c r="Z311" s="231"/>
      <c r="AA311" s="231"/>
      <c r="AB311" s="231"/>
      <c r="AC311" s="231"/>
      <c r="AD311" s="231"/>
      <c r="AE311" s="231"/>
      <c r="AF311" s="231"/>
      <c r="AG311" s="231"/>
      <c r="AH311" s="231"/>
      <c r="AI311" s="231"/>
      <c r="AJ311" s="231"/>
      <c r="AK311" s="231"/>
      <c r="AL311" s="231"/>
      <c r="AM311" s="231"/>
      <c r="AN311" s="231"/>
      <c r="AO311" s="231"/>
    </row>
    <row r="312" spans="1:41" s="203" customFormat="1">
      <c r="A312" s="799">
        <v>2</v>
      </c>
      <c r="B312" s="490" t="s">
        <v>234</v>
      </c>
      <c r="C312" s="490"/>
      <c r="D312" s="802"/>
      <c r="E312" s="564">
        <v>1236</v>
      </c>
      <c r="F312" s="52">
        <v>1</v>
      </c>
      <c r="G312" s="486"/>
      <c r="H312" s="52">
        <v>1235</v>
      </c>
      <c r="I312" s="461"/>
      <c r="J312" s="488"/>
      <c r="K312" s="231"/>
      <c r="L312" s="231"/>
      <c r="M312" s="231"/>
      <c r="N312" s="231"/>
      <c r="O312" s="231"/>
      <c r="P312" s="231"/>
      <c r="Q312" s="231"/>
      <c r="R312" s="231"/>
      <c r="S312" s="231"/>
      <c r="T312" s="231"/>
      <c r="U312" s="231"/>
      <c r="V312" s="231"/>
      <c r="W312" s="231"/>
      <c r="X312" s="231"/>
      <c r="Y312" s="231"/>
      <c r="Z312" s="231"/>
      <c r="AA312" s="231"/>
      <c r="AB312" s="231"/>
      <c r="AC312" s="231"/>
      <c r="AD312" s="231"/>
      <c r="AE312" s="231"/>
      <c r="AF312" s="231"/>
      <c r="AG312" s="231"/>
      <c r="AH312" s="231"/>
      <c r="AI312" s="231"/>
      <c r="AJ312" s="231"/>
      <c r="AK312" s="231"/>
      <c r="AL312" s="231"/>
      <c r="AM312" s="231"/>
      <c r="AN312" s="231"/>
      <c r="AO312" s="231"/>
    </row>
    <row r="313" spans="1:41" s="203" customFormat="1">
      <c r="A313" s="799">
        <v>3</v>
      </c>
      <c r="B313" s="490" t="s">
        <v>259</v>
      </c>
      <c r="C313" s="490"/>
      <c r="D313" s="802"/>
      <c r="E313" s="564">
        <v>-252</v>
      </c>
      <c r="F313" s="52">
        <v>-325</v>
      </c>
      <c r="G313" s="486"/>
      <c r="H313" s="52">
        <v>-252</v>
      </c>
      <c r="I313" s="461"/>
      <c r="J313" s="488"/>
      <c r="K313" s="231"/>
      <c r="L313" s="231"/>
      <c r="M313" s="231"/>
      <c r="N313" s="231"/>
      <c r="O313" s="231"/>
      <c r="P313" s="231"/>
      <c r="Q313" s="231"/>
      <c r="R313" s="231"/>
      <c r="S313" s="231"/>
      <c r="T313" s="231"/>
      <c r="U313" s="231"/>
      <c r="V313" s="231"/>
      <c r="W313" s="231"/>
      <c r="X313" s="231"/>
      <c r="Y313" s="231"/>
      <c r="Z313" s="231"/>
      <c r="AA313" s="231"/>
      <c r="AB313" s="231"/>
      <c r="AC313" s="231"/>
      <c r="AD313" s="231"/>
      <c r="AE313" s="231"/>
      <c r="AF313" s="231"/>
      <c r="AG313" s="231"/>
      <c r="AH313" s="231"/>
      <c r="AI313" s="231"/>
      <c r="AJ313" s="231"/>
      <c r="AK313" s="231"/>
      <c r="AL313" s="231"/>
      <c r="AM313" s="231"/>
      <c r="AN313" s="231"/>
      <c r="AO313" s="231"/>
    </row>
    <row r="314" spans="1:41" s="203" customFormat="1">
      <c r="A314" s="799">
        <v>4</v>
      </c>
      <c r="B314" s="490" t="s">
        <v>235</v>
      </c>
      <c r="C314" s="490"/>
      <c r="D314" s="802"/>
      <c r="E314" s="564">
        <v>12971</v>
      </c>
      <c r="F314" s="52">
        <v>-6.3519999999698484E-2</v>
      </c>
      <c r="G314" s="486"/>
      <c r="H314" s="52">
        <v>12971</v>
      </c>
      <c r="I314" s="461"/>
      <c r="J314" s="488"/>
      <c r="K314" s="231"/>
      <c r="L314" s="231"/>
      <c r="M314" s="231"/>
      <c r="N314" s="231"/>
      <c r="O314" s="231"/>
      <c r="P314" s="231"/>
      <c r="Q314" s="231"/>
      <c r="R314" s="231"/>
      <c r="S314" s="231"/>
      <c r="T314" s="231"/>
      <c r="U314" s="231"/>
      <c r="V314" s="231"/>
      <c r="W314" s="231"/>
      <c r="X314" s="231"/>
      <c r="Y314" s="231"/>
      <c r="Z314" s="231"/>
      <c r="AA314" s="231"/>
      <c r="AB314" s="231"/>
      <c r="AC314" s="231"/>
      <c r="AD314" s="231"/>
      <c r="AE314" s="231"/>
      <c r="AF314" s="231"/>
      <c r="AG314" s="231"/>
      <c r="AH314" s="231"/>
      <c r="AI314" s="231"/>
      <c r="AJ314" s="231"/>
      <c r="AK314" s="231"/>
      <c r="AL314" s="231"/>
      <c r="AM314" s="231"/>
      <c r="AN314" s="231"/>
      <c r="AO314" s="231"/>
    </row>
    <row r="315" spans="1:41" s="203" customFormat="1">
      <c r="A315" s="799">
        <v>5</v>
      </c>
      <c r="B315" s="490" t="s">
        <v>236</v>
      </c>
      <c r="C315" s="490"/>
      <c r="D315" s="802"/>
      <c r="E315" s="564">
        <v>3222</v>
      </c>
      <c r="F315" s="52">
        <v>4165.6702601941743</v>
      </c>
      <c r="G315" s="636"/>
      <c r="H315" s="52">
        <v>4165.6702601941743</v>
      </c>
      <c r="I315" s="461"/>
      <c r="J315" s="488"/>
      <c r="K315" s="231"/>
      <c r="L315" s="231"/>
      <c r="M315" s="231"/>
      <c r="N315" s="231"/>
      <c r="O315" s="231"/>
      <c r="P315" s="231"/>
      <c r="Q315" s="231"/>
      <c r="R315" s="231"/>
      <c r="S315" s="231"/>
      <c r="T315" s="231"/>
      <c r="U315" s="231"/>
      <c r="V315" s="231"/>
      <c r="W315" s="231"/>
      <c r="X315" s="231"/>
      <c r="Y315" s="231"/>
      <c r="Z315" s="231"/>
      <c r="AA315" s="231"/>
      <c r="AB315" s="231"/>
      <c r="AC315" s="231"/>
      <c r="AD315" s="231"/>
      <c r="AE315" s="231"/>
      <c r="AF315" s="231"/>
      <c r="AG315" s="231"/>
      <c r="AH315" s="231"/>
      <c r="AI315" s="231"/>
      <c r="AJ315" s="231"/>
      <c r="AK315" s="231"/>
      <c r="AL315" s="231"/>
      <c r="AM315" s="231"/>
      <c r="AN315" s="231"/>
      <c r="AO315" s="231"/>
    </row>
    <row r="316" spans="1:41" s="203" customFormat="1">
      <c r="A316" s="799">
        <v>6</v>
      </c>
      <c r="B316" s="490" t="s">
        <v>237</v>
      </c>
      <c r="C316" s="490"/>
      <c r="D316" s="802"/>
      <c r="E316" s="564">
        <v>23073</v>
      </c>
      <c r="F316" s="52">
        <v>37917.533556322029</v>
      </c>
      <c r="G316" s="486"/>
      <c r="H316" s="52">
        <v>37302.840056322028</v>
      </c>
      <c r="I316" s="461"/>
      <c r="J316" s="488"/>
      <c r="K316" s="231"/>
      <c r="L316" s="231"/>
      <c r="M316" s="231"/>
      <c r="N316" s="231"/>
      <c r="O316" s="231"/>
      <c r="P316" s="231"/>
      <c r="Q316" s="231"/>
      <c r="R316" s="231"/>
      <c r="S316" s="231"/>
      <c r="T316" s="231"/>
      <c r="U316" s="231"/>
      <c r="V316" s="231"/>
      <c r="W316" s="231"/>
      <c r="X316" s="231"/>
      <c r="Y316" s="231"/>
      <c r="Z316" s="231"/>
      <c r="AA316" s="231"/>
      <c r="AB316" s="231"/>
      <c r="AC316" s="231"/>
      <c r="AD316" s="231"/>
      <c r="AE316" s="231"/>
      <c r="AF316" s="231"/>
      <c r="AG316" s="231"/>
      <c r="AH316" s="231"/>
      <c r="AI316" s="231"/>
      <c r="AJ316" s="231"/>
      <c r="AK316" s="231"/>
      <c r="AL316" s="231"/>
      <c r="AM316" s="231"/>
      <c r="AN316" s="231"/>
      <c r="AO316" s="231"/>
    </row>
    <row r="317" spans="1:41" s="203" customFormat="1">
      <c r="A317" s="799">
        <v>7</v>
      </c>
      <c r="B317" s="490" t="s">
        <v>238</v>
      </c>
      <c r="C317" s="490"/>
      <c r="D317" s="802"/>
      <c r="E317" s="564">
        <v>397</v>
      </c>
      <c r="F317" s="52">
        <v>396.72753999999998</v>
      </c>
      <c r="G317" s="486"/>
      <c r="H317" s="52">
        <v>398</v>
      </c>
      <c r="I317" s="461"/>
      <c r="J317" s="488"/>
      <c r="K317" s="231"/>
      <c r="L317" s="231"/>
      <c r="M317" s="231"/>
      <c r="N317" s="231"/>
      <c r="O317" s="231"/>
      <c r="P317" s="231"/>
      <c r="Q317" s="231"/>
      <c r="R317" s="231"/>
      <c r="S317" s="231"/>
      <c r="T317" s="231"/>
      <c r="U317" s="231"/>
      <c r="V317" s="231"/>
      <c r="W317" s="231"/>
      <c r="X317" s="231"/>
      <c r="Y317" s="231"/>
      <c r="Z317" s="231"/>
      <c r="AA317" s="231"/>
      <c r="AB317" s="231"/>
      <c r="AC317" s="231"/>
      <c r="AD317" s="231"/>
      <c r="AE317" s="231"/>
      <c r="AF317" s="231"/>
      <c r="AG317" s="231"/>
      <c r="AH317" s="231"/>
      <c r="AI317" s="231"/>
      <c r="AJ317" s="231"/>
      <c r="AK317" s="231"/>
      <c r="AL317" s="231"/>
      <c r="AM317" s="231"/>
      <c r="AN317" s="231"/>
      <c r="AO317" s="231"/>
    </row>
    <row r="318" spans="1:41" s="203" customFormat="1">
      <c r="A318" s="799">
        <v>8</v>
      </c>
      <c r="B318" s="490" t="s">
        <v>239</v>
      </c>
      <c r="C318" s="490"/>
      <c r="D318" s="802"/>
      <c r="E318" s="564">
        <v>167</v>
      </c>
      <c r="F318" s="52">
        <v>149.38473000000002</v>
      </c>
      <c r="G318" s="486"/>
      <c r="H318" s="52">
        <v>200</v>
      </c>
      <c r="I318" s="461"/>
      <c r="J318" s="488"/>
      <c r="K318" s="231"/>
      <c r="L318" s="231"/>
      <c r="M318" s="231"/>
      <c r="N318" s="231"/>
      <c r="O318" s="231"/>
      <c r="P318" s="231"/>
      <c r="Q318" s="231"/>
      <c r="R318" s="231"/>
      <c r="S318" s="231"/>
      <c r="T318" s="231"/>
      <c r="U318" s="231"/>
      <c r="V318" s="231"/>
      <c r="W318" s="231"/>
      <c r="X318" s="231"/>
      <c r="Y318" s="231"/>
      <c r="Z318" s="231"/>
      <c r="AA318" s="231"/>
      <c r="AB318" s="231"/>
      <c r="AC318" s="231"/>
      <c r="AD318" s="231"/>
      <c r="AE318" s="231"/>
      <c r="AF318" s="231"/>
      <c r="AG318" s="231"/>
      <c r="AH318" s="231"/>
      <c r="AI318" s="231"/>
      <c r="AJ318" s="231"/>
      <c r="AK318" s="231"/>
      <c r="AL318" s="231"/>
      <c r="AM318" s="231"/>
      <c r="AN318" s="231"/>
      <c r="AO318" s="231"/>
    </row>
    <row r="319" spans="1:41" s="203" customFormat="1">
      <c r="A319" s="799">
        <v>9</v>
      </c>
      <c r="B319" s="517" t="s">
        <v>260</v>
      </c>
      <c r="C319" s="490"/>
      <c r="D319" s="490"/>
      <c r="E319" s="564">
        <v>0</v>
      </c>
      <c r="F319" s="637"/>
      <c r="G319" s="486"/>
      <c r="H319" s="189">
        <f>333+53-94+2073</f>
        <v>2365</v>
      </c>
      <c r="I319" s="461"/>
      <c r="J319" s="488"/>
      <c r="K319" s="231"/>
      <c r="L319" s="231"/>
      <c r="M319" s="231"/>
      <c r="N319" s="231"/>
      <c r="O319" s="231"/>
      <c r="P319" s="231"/>
      <c r="Q319" s="231"/>
      <c r="R319" s="231"/>
      <c r="S319" s="231"/>
      <c r="T319" s="231"/>
      <c r="U319" s="231"/>
      <c r="V319" s="231"/>
      <c r="W319" s="231"/>
      <c r="X319" s="231"/>
      <c r="Y319" s="231"/>
      <c r="Z319" s="231"/>
      <c r="AA319" s="231"/>
      <c r="AB319" s="231"/>
      <c r="AC319" s="231"/>
      <c r="AD319" s="231"/>
      <c r="AE319" s="231"/>
      <c r="AF319" s="231"/>
      <c r="AG319" s="231"/>
      <c r="AH319" s="231"/>
      <c r="AI319" s="231"/>
      <c r="AJ319" s="231"/>
      <c r="AK319" s="231"/>
      <c r="AL319" s="231"/>
      <c r="AM319" s="231"/>
      <c r="AN319" s="231"/>
      <c r="AO319" s="231"/>
    </row>
    <row r="320" spans="1:41" s="203" customFormat="1">
      <c r="A320" s="800">
        <v>10</v>
      </c>
      <c r="B320" s="538" t="s">
        <v>62</v>
      </c>
      <c r="C320" s="538"/>
      <c r="D320" s="538"/>
      <c r="E320" s="607">
        <v>32084</v>
      </c>
      <c r="F320" s="503">
        <f>F311+F312+F313+F314+F315+F316+F317+F318</f>
        <v>34891.500894862766</v>
      </c>
      <c r="G320" s="572"/>
      <c r="H320" s="503">
        <f>H311+H312+H313+H314+H315+H316+H317+H318+H319</f>
        <v>45151.572689583518</v>
      </c>
      <c r="I320" s="631"/>
      <c r="J320" s="527"/>
      <c r="K320" s="231"/>
      <c r="L320" s="231"/>
      <c r="M320" s="231"/>
      <c r="N320" s="231"/>
      <c r="O320" s="231"/>
      <c r="P320" s="231"/>
      <c r="Q320" s="231"/>
      <c r="R320" s="231"/>
      <c r="S320" s="231"/>
      <c r="T320" s="231"/>
      <c r="U320" s="231"/>
      <c r="V320" s="231"/>
      <c r="W320" s="231"/>
      <c r="X320" s="231"/>
      <c r="Y320" s="231"/>
      <c r="Z320" s="231"/>
      <c r="AA320" s="231"/>
      <c r="AB320" s="231"/>
      <c r="AC320" s="231"/>
      <c r="AD320" s="231"/>
      <c r="AE320" s="231"/>
      <c r="AF320" s="231"/>
      <c r="AG320" s="231"/>
      <c r="AH320" s="231"/>
      <c r="AI320" s="231"/>
      <c r="AJ320" s="231"/>
      <c r="AK320" s="231"/>
      <c r="AL320" s="231"/>
      <c r="AM320" s="231"/>
      <c r="AN320" s="231"/>
      <c r="AO320" s="231"/>
    </row>
    <row r="321" spans="1:41" s="203" customFormat="1">
      <c r="A321" s="476"/>
      <c r="B321" s="628"/>
      <c r="C321" s="628"/>
      <c r="D321" s="628"/>
      <c r="E321" s="628"/>
      <c r="F321" s="631"/>
      <c r="G321" s="461"/>
      <c r="H321" s="631"/>
      <c r="I321" s="631"/>
      <c r="J321" s="527"/>
      <c r="K321" s="231"/>
      <c r="L321" s="231"/>
      <c r="M321" s="231"/>
      <c r="N321" s="231"/>
      <c r="O321" s="231"/>
      <c r="P321" s="231"/>
      <c r="Q321" s="231"/>
      <c r="R321" s="231"/>
      <c r="S321" s="231"/>
      <c r="T321" s="231"/>
      <c r="U321" s="231"/>
      <c r="V321" s="231"/>
      <c r="W321" s="231"/>
      <c r="X321" s="231"/>
      <c r="Y321" s="231"/>
      <c r="Z321" s="231"/>
      <c r="AA321" s="231"/>
      <c r="AB321" s="231"/>
      <c r="AC321" s="231"/>
      <c r="AD321" s="231"/>
      <c r="AE321" s="231"/>
      <c r="AF321" s="231"/>
      <c r="AG321" s="231"/>
      <c r="AH321" s="231"/>
      <c r="AI321" s="231"/>
      <c r="AJ321" s="231"/>
      <c r="AK321" s="231"/>
      <c r="AL321" s="231"/>
      <c r="AM321" s="231"/>
      <c r="AN321" s="231"/>
      <c r="AO321" s="231"/>
    </row>
    <row r="322" spans="1:41" s="203" customFormat="1">
      <c r="A322" s="596"/>
      <c r="B322" s="457"/>
      <c r="C322" s="457"/>
      <c r="D322" s="459"/>
      <c r="E322" s="459"/>
      <c r="F322" s="459"/>
      <c r="G322" s="459"/>
      <c r="H322" s="471" t="s">
        <v>27</v>
      </c>
      <c r="I322"/>
      <c r="J322" s="271"/>
      <c r="K322" s="231"/>
      <c r="L322" s="231"/>
      <c r="M322" s="231"/>
      <c r="N322" s="231"/>
      <c r="O322" s="231"/>
      <c r="P322" s="231"/>
      <c r="Q322" s="231"/>
      <c r="R322" s="231"/>
      <c r="S322" s="231"/>
      <c r="T322" s="231"/>
      <c r="U322" s="231"/>
      <c r="V322" s="231"/>
      <c r="W322" s="231"/>
      <c r="X322" s="231"/>
      <c r="Y322" s="231"/>
      <c r="Z322" s="231"/>
      <c r="AA322" s="231"/>
      <c r="AB322" s="231"/>
      <c r="AC322" s="231"/>
      <c r="AD322" s="231"/>
      <c r="AE322" s="231"/>
      <c r="AF322" s="231"/>
      <c r="AG322" s="231"/>
      <c r="AH322" s="231"/>
      <c r="AI322" s="231"/>
      <c r="AJ322" s="231"/>
      <c r="AK322" s="231"/>
      <c r="AL322" s="231"/>
      <c r="AM322" s="231"/>
      <c r="AN322" s="231"/>
      <c r="AO322" s="231"/>
    </row>
    <row r="323" spans="1:41" s="203" customFormat="1">
      <c r="A323" s="638" t="s">
        <v>240</v>
      </c>
      <c r="B323" s="191"/>
      <c r="C323" s="918" t="s">
        <v>405</v>
      </c>
      <c r="D323" s="919"/>
      <c r="E323" s="919"/>
      <c r="F323" s="919"/>
      <c r="G323" s="919"/>
      <c r="H323" s="920"/>
      <c r="I323" s="639"/>
      <c r="J323" s="480"/>
      <c r="K323" s="231"/>
      <c r="L323" s="231"/>
      <c r="M323" s="231"/>
      <c r="N323" s="231"/>
      <c r="O323" s="231"/>
      <c r="P323" s="231"/>
      <c r="Q323" s="231"/>
      <c r="R323" s="231"/>
      <c r="S323" s="231"/>
      <c r="T323" s="231"/>
      <c r="U323" s="231"/>
      <c r="V323" s="231"/>
      <c r="W323" s="231"/>
      <c r="X323" s="231"/>
      <c r="Y323" s="231"/>
      <c r="Z323" s="231"/>
      <c r="AA323" s="231"/>
      <c r="AB323" s="231"/>
      <c r="AC323" s="231"/>
      <c r="AD323" s="231"/>
      <c r="AE323" s="231"/>
      <c r="AF323" s="231"/>
      <c r="AG323" s="231"/>
      <c r="AH323" s="231"/>
      <c r="AI323" s="231"/>
      <c r="AJ323" s="231"/>
      <c r="AK323" s="231"/>
      <c r="AL323" s="231"/>
      <c r="AM323" s="231"/>
      <c r="AN323" s="231"/>
      <c r="AO323" s="231"/>
    </row>
    <row r="324" spans="1:41" s="203" customFormat="1" ht="39" thickBot="1">
      <c r="A324" s="556" t="s">
        <v>84</v>
      </c>
      <c r="B324" s="567"/>
      <c r="C324" s="640" t="s">
        <v>52</v>
      </c>
      <c r="D324" s="640" t="s">
        <v>53</v>
      </c>
      <c r="E324" s="641" t="s">
        <v>54</v>
      </c>
      <c r="F324" s="641" t="s">
        <v>55</v>
      </c>
      <c r="G324" s="641" t="s">
        <v>241</v>
      </c>
      <c r="H324" s="640" t="s">
        <v>121</v>
      </c>
      <c r="I324" s="459"/>
      <c r="J324" s="452"/>
      <c r="K324" s="231"/>
      <c r="L324" s="231"/>
      <c r="M324" s="231"/>
      <c r="N324" s="231"/>
      <c r="O324" s="231"/>
      <c r="P324" s="231"/>
      <c r="Q324" s="231"/>
      <c r="R324" s="231"/>
      <c r="S324" s="231"/>
      <c r="T324" s="231"/>
      <c r="U324" s="231"/>
      <c r="V324" s="231"/>
      <c r="W324" s="231"/>
      <c r="X324" s="231"/>
      <c r="Y324" s="231"/>
      <c r="Z324" s="231"/>
      <c r="AA324" s="231"/>
      <c r="AB324" s="231"/>
      <c r="AC324" s="231"/>
      <c r="AD324" s="231"/>
      <c r="AE324" s="231"/>
      <c r="AF324" s="231"/>
      <c r="AG324" s="231"/>
      <c r="AH324" s="231"/>
      <c r="AI324" s="231"/>
      <c r="AJ324" s="231"/>
      <c r="AK324" s="231"/>
      <c r="AL324" s="231"/>
      <c r="AM324" s="231"/>
      <c r="AN324" s="231"/>
      <c r="AO324" s="231"/>
    </row>
    <row r="325" spans="1:41" s="203" customFormat="1" ht="13.5" thickBot="1">
      <c r="A325" s="799">
        <v>1</v>
      </c>
      <c r="B325" s="567" t="s">
        <v>242</v>
      </c>
      <c r="C325" s="642">
        <f t="shared" ref="C325:H325" si="0">SUM(C326:C329)</f>
        <v>17928</v>
      </c>
      <c r="D325" s="642">
        <f t="shared" si="0"/>
        <v>0</v>
      </c>
      <c r="E325" s="642">
        <v>0</v>
      </c>
      <c r="F325" s="642">
        <f t="shared" si="0"/>
        <v>0</v>
      </c>
      <c r="G325" s="642">
        <f>SUM(G326:G329)</f>
        <v>0</v>
      </c>
      <c r="H325" s="642">
        <f t="shared" si="0"/>
        <v>0</v>
      </c>
      <c r="I325" s="457"/>
      <c r="J325" s="452"/>
      <c r="K325" s="231"/>
      <c r="L325" s="231"/>
      <c r="M325" s="231"/>
      <c r="N325" s="231"/>
      <c r="O325" s="231"/>
      <c r="P325" s="231"/>
      <c r="Q325" s="231"/>
      <c r="R325" s="231"/>
      <c r="S325" s="231"/>
      <c r="T325" s="231"/>
      <c r="U325" s="231"/>
      <c r="V325" s="231"/>
      <c r="W325" s="231"/>
      <c r="X325" s="231"/>
      <c r="Y325" s="231"/>
      <c r="Z325" s="231"/>
      <c r="AA325" s="231"/>
      <c r="AB325" s="231"/>
      <c r="AC325" s="231"/>
      <c r="AD325" s="231"/>
      <c r="AE325" s="231"/>
      <c r="AF325" s="231"/>
      <c r="AG325" s="231"/>
      <c r="AH325" s="231"/>
      <c r="AI325" s="231"/>
      <c r="AJ325" s="231"/>
      <c r="AK325" s="231"/>
      <c r="AL325" s="231"/>
      <c r="AM325" s="231"/>
      <c r="AN325" s="231"/>
      <c r="AO325" s="231"/>
    </row>
    <row r="326" spans="1:41" s="203" customFormat="1">
      <c r="A326" s="799">
        <v>2</v>
      </c>
      <c r="B326" s="490" t="s">
        <v>243</v>
      </c>
      <c r="C326" s="617">
        <v>4968</v>
      </c>
      <c r="D326" s="617"/>
      <c r="E326" s="617"/>
      <c r="F326" s="617"/>
      <c r="G326" s="617"/>
      <c r="H326" s="617"/>
      <c r="I326" s="457"/>
      <c r="J326" s="452"/>
      <c r="K326" s="231"/>
      <c r="L326" s="231"/>
      <c r="M326" s="231"/>
      <c r="N326" s="231"/>
      <c r="O326" s="231"/>
      <c r="P326" s="231"/>
      <c r="Q326" s="231"/>
      <c r="R326" s="231"/>
      <c r="S326" s="231"/>
      <c r="T326" s="231"/>
      <c r="U326" s="231"/>
      <c r="V326" s="231"/>
      <c r="W326" s="231"/>
      <c r="X326" s="231"/>
      <c r="Y326" s="231"/>
      <c r="Z326" s="231"/>
      <c r="AA326" s="231"/>
      <c r="AB326" s="231"/>
      <c r="AC326" s="231"/>
      <c r="AD326" s="231"/>
      <c r="AE326" s="231"/>
      <c r="AF326" s="231"/>
      <c r="AG326" s="231"/>
      <c r="AH326" s="231"/>
      <c r="AI326" s="231"/>
      <c r="AJ326" s="231"/>
      <c r="AK326" s="231"/>
      <c r="AL326" s="231"/>
      <c r="AM326" s="231"/>
      <c r="AN326" s="231"/>
      <c r="AO326" s="231"/>
    </row>
    <row r="327" spans="1:41" s="203" customFormat="1">
      <c r="A327" s="799">
        <v>3</v>
      </c>
      <c r="B327" s="490" t="s">
        <v>244</v>
      </c>
      <c r="C327" s="543">
        <v>8794</v>
      </c>
      <c r="D327" s="543"/>
      <c r="E327" s="543"/>
      <c r="F327" s="543"/>
      <c r="G327" s="543"/>
      <c r="H327" s="543"/>
      <c r="I327" s="457"/>
      <c r="J327" s="452"/>
      <c r="K327" s="231"/>
      <c r="L327" s="231"/>
      <c r="M327" s="231"/>
      <c r="N327" s="231"/>
      <c r="O327" s="231"/>
      <c r="P327" s="231"/>
      <c r="Q327" s="231"/>
      <c r="R327" s="231"/>
      <c r="S327" s="231"/>
      <c r="T327" s="231"/>
      <c r="U327" s="231"/>
      <c r="V327" s="231"/>
      <c r="W327" s="231"/>
      <c r="X327" s="231"/>
      <c r="Y327" s="231"/>
      <c r="Z327" s="231"/>
      <c r="AA327" s="231"/>
      <c r="AB327" s="231"/>
      <c r="AC327" s="231"/>
      <c r="AD327" s="231"/>
      <c r="AE327" s="231"/>
      <c r="AF327" s="231"/>
      <c r="AG327" s="231"/>
      <c r="AH327" s="231"/>
      <c r="AI327" s="231"/>
      <c r="AJ327" s="231"/>
      <c r="AK327" s="231"/>
      <c r="AL327" s="231"/>
      <c r="AM327" s="231"/>
      <c r="AN327" s="231"/>
      <c r="AO327" s="231"/>
    </row>
    <row r="328" spans="1:41" s="203" customFormat="1">
      <c r="A328" s="799">
        <v>4</v>
      </c>
      <c r="B328" s="490" t="s">
        <v>245</v>
      </c>
      <c r="C328" s="543">
        <v>4166</v>
      </c>
      <c r="D328" s="543"/>
      <c r="E328" s="543"/>
      <c r="F328" s="543"/>
      <c r="G328" s="543"/>
      <c r="H328" s="543"/>
      <c r="I328" s="457"/>
      <c r="J328" s="452"/>
      <c r="K328" s="231"/>
      <c r="L328" s="231"/>
      <c r="M328" s="231"/>
      <c r="N328" s="231"/>
      <c r="O328" s="231"/>
      <c r="P328" s="231"/>
      <c r="Q328" s="231"/>
      <c r="R328" s="231"/>
      <c r="S328" s="231"/>
      <c r="T328" s="231"/>
      <c r="U328" s="231"/>
      <c r="V328" s="231"/>
      <c r="W328" s="231"/>
      <c r="X328" s="231"/>
      <c r="Y328" s="231"/>
      <c r="Z328" s="231"/>
      <c r="AA328" s="231"/>
      <c r="AB328" s="231"/>
      <c r="AC328" s="231"/>
      <c r="AD328" s="231"/>
      <c r="AE328" s="231"/>
      <c r="AF328" s="231"/>
      <c r="AG328" s="231"/>
      <c r="AH328" s="231"/>
      <c r="AI328" s="231"/>
      <c r="AJ328" s="231"/>
      <c r="AK328" s="231"/>
      <c r="AL328" s="231"/>
      <c r="AM328" s="231"/>
      <c r="AN328" s="231"/>
      <c r="AO328" s="231"/>
    </row>
    <row r="329" spans="1:41" s="203" customFormat="1">
      <c r="A329" s="800">
        <v>5</v>
      </c>
      <c r="B329" s="496" t="s">
        <v>246</v>
      </c>
      <c r="C329" s="544"/>
      <c r="D329" s="544"/>
      <c r="E329" s="544"/>
      <c r="F329" s="544"/>
      <c r="G329" s="544"/>
      <c r="H329" s="544"/>
      <c r="I329" s="457"/>
      <c r="J329" s="452"/>
      <c r="K329" s="231"/>
      <c r="L329" s="231"/>
      <c r="M329" s="231"/>
      <c r="N329" s="231"/>
      <c r="O329" s="231"/>
      <c r="P329" s="231"/>
      <c r="Q329" s="231"/>
      <c r="R329" s="231"/>
      <c r="S329" s="231"/>
      <c r="T329" s="231"/>
      <c r="U329" s="231"/>
      <c r="V329" s="231"/>
      <c r="W329" s="231"/>
      <c r="X329" s="231"/>
      <c r="Y329" s="231"/>
      <c r="Z329" s="231"/>
      <c r="AA329" s="231"/>
      <c r="AB329" s="231"/>
      <c r="AC329" s="231"/>
      <c r="AD329" s="231"/>
      <c r="AE329" s="231"/>
      <c r="AF329" s="231"/>
      <c r="AG329" s="231"/>
      <c r="AH329" s="231"/>
      <c r="AI329" s="231"/>
      <c r="AJ329" s="231"/>
      <c r="AK329" s="231"/>
      <c r="AL329" s="231"/>
      <c r="AM329" s="231"/>
      <c r="AN329" s="231"/>
      <c r="AO329" s="231"/>
    </row>
    <row r="330" spans="1:41" s="203" customFormat="1">
      <c r="A330" s="799"/>
      <c r="B330" s="490"/>
      <c r="C330" s="921" t="s">
        <v>404</v>
      </c>
      <c r="D330" s="922"/>
      <c r="E330" s="922"/>
      <c r="F330" s="922"/>
      <c r="G330" s="922"/>
      <c r="H330" s="923"/>
      <c r="I330" s="457"/>
      <c r="J330" s="452"/>
      <c r="K330" s="231"/>
      <c r="L330" s="231"/>
      <c r="M330" s="231"/>
      <c r="N330" s="231"/>
      <c r="O330" s="231"/>
      <c r="P330" s="231"/>
      <c r="Q330" s="231"/>
      <c r="R330" s="231"/>
      <c r="S330" s="231"/>
      <c r="T330" s="231"/>
      <c r="U330" s="231"/>
      <c r="V330" s="231"/>
      <c r="W330" s="231"/>
      <c r="X330" s="231"/>
      <c r="Y330" s="231"/>
      <c r="Z330" s="231"/>
      <c r="AA330" s="231"/>
      <c r="AB330" s="231"/>
      <c r="AC330" s="231"/>
      <c r="AD330" s="231"/>
      <c r="AE330" s="231"/>
      <c r="AF330" s="231"/>
      <c r="AG330" s="231"/>
      <c r="AH330" s="231"/>
      <c r="AI330" s="231"/>
      <c r="AJ330" s="231"/>
      <c r="AK330" s="231"/>
      <c r="AL330" s="231"/>
      <c r="AM330" s="231"/>
      <c r="AN330" s="231"/>
      <c r="AO330" s="231"/>
    </row>
    <row r="331" spans="1:41" s="203" customFormat="1" ht="39" thickBot="1">
      <c r="A331" s="556" t="s">
        <v>84</v>
      </c>
      <c r="B331" s="567"/>
      <c r="C331" s="640" t="s">
        <v>52</v>
      </c>
      <c r="D331" s="640" t="s">
        <v>53</v>
      </c>
      <c r="E331" s="641" t="s">
        <v>54</v>
      </c>
      <c r="F331" s="641" t="s">
        <v>55</v>
      </c>
      <c r="G331" s="641" t="s">
        <v>241</v>
      </c>
      <c r="H331" s="640" t="s">
        <v>121</v>
      </c>
      <c r="I331" s="457"/>
      <c r="J331" s="452"/>
      <c r="K331" s="231"/>
      <c r="L331" s="231"/>
      <c r="M331" s="231"/>
      <c r="N331" s="231"/>
      <c r="O331" s="231"/>
      <c r="P331" s="231"/>
      <c r="Q331" s="231"/>
      <c r="R331" s="231"/>
      <c r="S331" s="231"/>
      <c r="T331" s="231"/>
      <c r="U331" s="231"/>
      <c r="V331" s="231"/>
      <c r="W331" s="231"/>
      <c r="X331" s="231"/>
      <c r="Y331" s="231"/>
      <c r="Z331" s="231"/>
      <c r="AA331" s="231"/>
      <c r="AB331" s="231"/>
      <c r="AC331" s="231"/>
      <c r="AD331" s="231"/>
      <c r="AE331" s="231"/>
      <c r="AF331" s="231"/>
      <c r="AG331" s="231"/>
      <c r="AH331" s="231"/>
      <c r="AI331" s="231"/>
      <c r="AJ331" s="231"/>
      <c r="AK331" s="231"/>
      <c r="AL331" s="231"/>
      <c r="AM331" s="231"/>
      <c r="AN331" s="231"/>
      <c r="AO331" s="231"/>
    </row>
    <row r="332" spans="1:41" s="203" customFormat="1" ht="13.5" thickBot="1">
      <c r="A332" s="799">
        <v>1</v>
      </c>
      <c r="B332" s="567" t="s">
        <v>242</v>
      </c>
      <c r="C332" s="642">
        <f t="shared" ref="C332:H332" si="1">SUM(C333:C336)</f>
        <v>17928</v>
      </c>
      <c r="D332" s="642">
        <f t="shared" si="1"/>
        <v>0</v>
      </c>
      <c r="E332" s="642">
        <v>0</v>
      </c>
      <c r="F332" s="642">
        <f t="shared" si="1"/>
        <v>0</v>
      </c>
      <c r="G332" s="642">
        <f>SUM(G333:G336)</f>
        <v>0</v>
      </c>
      <c r="H332" s="642">
        <f t="shared" si="1"/>
        <v>0</v>
      </c>
      <c r="I332" s="457"/>
      <c r="J332" s="452"/>
      <c r="K332" s="231"/>
      <c r="L332" s="231"/>
      <c r="M332" s="231"/>
      <c r="N332" s="231"/>
      <c r="O332" s="231"/>
      <c r="P332" s="231"/>
      <c r="Q332" s="231"/>
      <c r="R332" s="231"/>
      <c r="S332" s="231"/>
      <c r="T332" s="231"/>
      <c r="U332" s="231"/>
      <c r="V332" s="231"/>
      <c r="W332" s="231"/>
      <c r="X332" s="231"/>
      <c r="Y332" s="231"/>
      <c r="Z332" s="231"/>
      <c r="AA332" s="231"/>
      <c r="AB332" s="231"/>
      <c r="AC332" s="231"/>
      <c r="AD332" s="231"/>
      <c r="AE332" s="231"/>
      <c r="AF332" s="231"/>
      <c r="AG332" s="231"/>
      <c r="AH332" s="231"/>
      <c r="AI332" s="231"/>
      <c r="AJ332" s="231"/>
      <c r="AK332" s="231"/>
      <c r="AL332" s="231"/>
      <c r="AM332" s="231"/>
      <c r="AN332" s="231"/>
      <c r="AO332" s="231"/>
    </row>
    <row r="333" spans="1:41" s="203" customFormat="1">
      <c r="A333" s="799">
        <v>2</v>
      </c>
      <c r="B333" s="490" t="s">
        <v>243</v>
      </c>
      <c r="C333" s="617">
        <v>4968</v>
      </c>
      <c r="D333" s="617"/>
      <c r="E333" s="617"/>
      <c r="F333" s="617"/>
      <c r="G333" s="617"/>
      <c r="H333" s="617"/>
      <c r="I333" s="457"/>
      <c r="J333" s="452"/>
      <c r="K333" s="231"/>
      <c r="L333" s="231"/>
      <c r="M333" s="231"/>
      <c r="N333" s="231"/>
      <c r="O333" s="231"/>
      <c r="P333" s="231"/>
      <c r="Q333" s="231"/>
      <c r="R333" s="231"/>
      <c r="S333" s="231"/>
      <c r="T333" s="231"/>
      <c r="U333" s="231"/>
      <c r="V333" s="231"/>
      <c r="W333" s="231"/>
      <c r="X333" s="231"/>
      <c r="Y333" s="231"/>
      <c r="Z333" s="231"/>
      <c r="AA333" s="231"/>
      <c r="AB333" s="231"/>
      <c r="AC333" s="231"/>
      <c r="AD333" s="231"/>
      <c r="AE333" s="231"/>
      <c r="AF333" s="231"/>
      <c r="AG333" s="231"/>
      <c r="AH333" s="231"/>
      <c r="AI333" s="231"/>
      <c r="AJ333" s="231"/>
      <c r="AK333" s="231"/>
      <c r="AL333" s="231"/>
      <c r="AM333" s="231"/>
      <c r="AN333" s="231"/>
      <c r="AO333" s="231"/>
    </row>
    <row r="334" spans="1:41" s="203" customFormat="1">
      <c r="A334" s="799">
        <v>3</v>
      </c>
      <c r="B334" s="490" t="s">
        <v>244</v>
      </c>
      <c r="C334" s="543">
        <v>8794</v>
      </c>
      <c r="D334" s="543"/>
      <c r="E334" s="543"/>
      <c r="F334" s="543"/>
      <c r="G334" s="543"/>
      <c r="H334" s="543"/>
      <c r="I334" s="457"/>
      <c r="J334" s="452"/>
      <c r="K334" s="231"/>
      <c r="L334" s="231"/>
      <c r="M334" s="231"/>
      <c r="N334" s="231"/>
      <c r="O334" s="231"/>
      <c r="P334" s="231"/>
      <c r="Q334" s="231"/>
      <c r="R334" s="231"/>
      <c r="S334" s="231"/>
      <c r="T334" s="231"/>
      <c r="U334" s="231"/>
      <c r="V334" s="231"/>
      <c r="W334" s="231"/>
      <c r="X334" s="231"/>
      <c r="Y334" s="231"/>
      <c r="Z334" s="231"/>
      <c r="AA334" s="231"/>
      <c r="AB334" s="231"/>
      <c r="AC334" s="231"/>
      <c r="AD334" s="231"/>
      <c r="AE334" s="231"/>
      <c r="AF334" s="231"/>
      <c r="AG334" s="231"/>
      <c r="AH334" s="231"/>
      <c r="AI334" s="231"/>
      <c r="AJ334" s="231"/>
      <c r="AK334" s="231"/>
      <c r="AL334" s="231"/>
      <c r="AM334" s="231"/>
      <c r="AN334" s="231"/>
      <c r="AO334" s="231"/>
    </row>
    <row r="335" spans="1:41" s="203" customFormat="1">
      <c r="A335" s="799">
        <v>4</v>
      </c>
      <c r="B335" s="490" t="s">
        <v>245</v>
      </c>
      <c r="C335" s="543">
        <v>4166</v>
      </c>
      <c r="D335" s="543"/>
      <c r="E335" s="543"/>
      <c r="F335" s="543"/>
      <c r="G335" s="543"/>
      <c r="H335" s="543"/>
      <c r="I335" s="457"/>
      <c r="J335" s="452"/>
      <c r="K335" s="231"/>
      <c r="L335" s="231"/>
      <c r="M335" s="231"/>
      <c r="N335" s="231"/>
      <c r="O335" s="231"/>
      <c r="P335" s="231"/>
      <c r="Q335" s="231"/>
      <c r="R335" s="231"/>
      <c r="S335" s="231"/>
      <c r="T335" s="231"/>
      <c r="U335" s="231"/>
      <c r="V335" s="231"/>
      <c r="W335" s="231"/>
      <c r="X335" s="231"/>
      <c r="Y335" s="231"/>
      <c r="Z335" s="231"/>
      <c r="AA335" s="231"/>
      <c r="AB335" s="231"/>
      <c r="AC335" s="231"/>
      <c r="AD335" s="231"/>
      <c r="AE335" s="231"/>
      <c r="AF335" s="231"/>
      <c r="AG335" s="231"/>
      <c r="AH335" s="231"/>
      <c r="AI335" s="231"/>
      <c r="AJ335" s="231"/>
      <c r="AK335" s="231"/>
      <c r="AL335" s="231"/>
      <c r="AM335" s="231"/>
      <c r="AN335" s="231"/>
      <c r="AO335" s="231"/>
    </row>
    <row r="336" spans="1:41" s="203" customFormat="1">
      <c r="A336" s="800">
        <v>5</v>
      </c>
      <c r="B336" s="496" t="s">
        <v>246</v>
      </c>
      <c r="C336" s="544"/>
      <c r="D336" s="544"/>
      <c r="E336" s="544"/>
      <c r="F336" s="544"/>
      <c r="G336" s="544"/>
      <c r="H336" s="544"/>
      <c r="I336" s="457"/>
      <c r="J336" s="452"/>
      <c r="K336" s="231"/>
      <c r="L336" s="231"/>
      <c r="M336" s="231"/>
      <c r="N336" s="231"/>
      <c r="O336" s="231"/>
      <c r="P336" s="231"/>
      <c r="Q336" s="231"/>
      <c r="R336" s="231"/>
      <c r="S336" s="231"/>
      <c r="T336" s="231"/>
      <c r="U336" s="231"/>
      <c r="V336" s="231"/>
      <c r="W336" s="231"/>
      <c r="X336" s="231"/>
      <c r="Y336" s="231"/>
      <c r="Z336" s="231"/>
      <c r="AA336" s="231"/>
      <c r="AB336" s="231"/>
      <c r="AC336" s="231"/>
      <c r="AD336" s="231"/>
      <c r="AE336" s="231"/>
      <c r="AF336" s="231"/>
      <c r="AG336" s="231"/>
      <c r="AH336" s="231"/>
      <c r="AI336" s="231"/>
      <c r="AJ336" s="231"/>
      <c r="AK336" s="231"/>
      <c r="AL336" s="231"/>
      <c r="AM336" s="231"/>
      <c r="AN336" s="231"/>
      <c r="AO336" s="231"/>
    </row>
    <row r="337" spans="1:41" s="203" customFormat="1">
      <c r="A337" s="464"/>
      <c r="B337" s="457"/>
      <c r="C337" s="457"/>
      <c r="D337" s="457"/>
      <c r="E337" s="457"/>
      <c r="F337" s="457"/>
      <c r="G337" s="457"/>
      <c r="H337" s="461"/>
      <c r="I337" s="461"/>
      <c r="J337" s="488"/>
      <c r="K337" s="231"/>
      <c r="L337" s="231"/>
      <c r="M337" s="231"/>
      <c r="N337" s="231"/>
      <c r="O337" s="231"/>
      <c r="P337" s="231"/>
      <c r="Q337" s="231"/>
      <c r="R337" s="231"/>
      <c r="S337" s="231"/>
      <c r="T337" s="231"/>
      <c r="U337" s="231"/>
      <c r="V337" s="231"/>
      <c r="W337" s="231"/>
      <c r="X337" s="231"/>
      <c r="Y337" s="231"/>
      <c r="Z337" s="231"/>
      <c r="AA337" s="231"/>
      <c r="AB337" s="231"/>
      <c r="AC337" s="231"/>
      <c r="AD337" s="231"/>
      <c r="AE337" s="231"/>
      <c r="AF337" s="231"/>
      <c r="AG337" s="231"/>
      <c r="AH337" s="231"/>
      <c r="AI337" s="231"/>
      <c r="AJ337" s="231"/>
      <c r="AK337" s="231"/>
      <c r="AL337" s="231"/>
      <c r="AM337" s="231"/>
      <c r="AN337" s="231"/>
      <c r="AO337" s="231"/>
    </row>
    <row r="338" spans="1:41" s="203" customFormat="1" ht="12.75" customHeight="1">
      <c r="A338" s="464"/>
      <c r="B338" s="457"/>
      <c r="C338" s="457"/>
      <c r="D338" s="457"/>
      <c r="E338" s="457"/>
      <c r="F338" s="457"/>
      <c r="G338" s="457"/>
      <c r="H338" s="461"/>
      <c r="I338" s="461"/>
      <c r="J338" s="488"/>
      <c r="K338" s="231"/>
      <c r="L338" s="231"/>
      <c r="M338" s="231"/>
      <c r="N338" s="231"/>
      <c r="O338" s="231"/>
      <c r="P338" s="231"/>
      <c r="Q338" s="231"/>
      <c r="R338" s="231"/>
      <c r="S338" s="231"/>
      <c r="T338" s="231"/>
      <c r="U338" s="231"/>
      <c r="V338" s="231"/>
      <c r="W338" s="231"/>
      <c r="X338" s="231"/>
      <c r="Y338" s="231"/>
      <c r="Z338" s="231"/>
      <c r="AA338" s="231"/>
      <c r="AB338" s="231"/>
      <c r="AC338" s="231"/>
      <c r="AD338" s="231"/>
      <c r="AE338" s="231"/>
      <c r="AF338" s="231"/>
      <c r="AG338" s="231"/>
      <c r="AH338" s="231"/>
      <c r="AI338" s="231"/>
      <c r="AJ338" s="231"/>
      <c r="AK338" s="231"/>
      <c r="AL338" s="231"/>
      <c r="AM338" s="231"/>
      <c r="AN338" s="231"/>
      <c r="AO338" s="231"/>
    </row>
    <row r="339" spans="1:41" s="203" customFormat="1">
      <c r="A339" s="464"/>
      <c r="B339" s="457"/>
      <c r="C339" s="457"/>
      <c r="D339" s="457"/>
      <c r="E339" s="457"/>
      <c r="F339" s="457"/>
      <c r="G339" s="457"/>
      <c r="H339" s="461"/>
      <c r="I339" s="461"/>
      <c r="J339" s="488"/>
      <c r="K339" s="231"/>
      <c r="L339" s="231"/>
      <c r="M339" s="231"/>
      <c r="N339" s="231"/>
      <c r="O339" s="231"/>
      <c r="P339" s="231"/>
      <c r="Q339" s="231"/>
      <c r="R339" s="231"/>
      <c r="S339" s="231"/>
      <c r="T339" s="231"/>
      <c r="U339" s="231"/>
      <c r="V339" s="231"/>
      <c r="W339" s="231"/>
      <c r="X339" s="231"/>
      <c r="Y339" s="231"/>
      <c r="Z339" s="231"/>
      <c r="AA339" s="231"/>
      <c r="AB339" s="231"/>
      <c r="AC339" s="231"/>
      <c r="AD339" s="231"/>
      <c r="AE339" s="231"/>
      <c r="AF339" s="231"/>
      <c r="AG339" s="231"/>
      <c r="AH339" s="231"/>
      <c r="AI339" s="231"/>
      <c r="AJ339" s="231"/>
      <c r="AK339" s="231"/>
      <c r="AL339" s="231"/>
      <c r="AM339" s="231"/>
      <c r="AN339" s="231"/>
      <c r="AO339" s="231"/>
    </row>
    <row r="340" spans="1:41" s="203" customFormat="1">
      <c r="A340" s="464"/>
      <c r="B340" s="457"/>
      <c r="C340" s="457"/>
      <c r="D340" s="457"/>
      <c r="E340" s="457"/>
      <c r="F340" s="457"/>
      <c r="G340" s="457"/>
      <c r="H340" s="550" t="s">
        <v>27</v>
      </c>
      <c r="I340" s="461"/>
      <c r="J340" s="488"/>
      <c r="K340" s="231"/>
      <c r="L340" s="231"/>
      <c r="M340" s="231"/>
      <c r="N340" s="231"/>
      <c r="O340" s="231"/>
      <c r="P340" s="231"/>
      <c r="Q340" s="231"/>
      <c r="R340" s="231"/>
      <c r="S340" s="231"/>
      <c r="T340" s="231"/>
      <c r="U340" s="231"/>
      <c r="V340" s="231"/>
      <c r="W340" s="231"/>
      <c r="X340" s="231"/>
      <c r="Y340" s="231"/>
      <c r="Z340" s="231"/>
      <c r="AA340" s="231"/>
      <c r="AB340" s="231"/>
      <c r="AC340" s="231"/>
      <c r="AD340" s="231"/>
      <c r="AE340" s="231"/>
      <c r="AF340" s="231"/>
      <c r="AG340" s="231"/>
      <c r="AH340" s="231"/>
      <c r="AI340" s="231"/>
      <c r="AJ340" s="231"/>
      <c r="AK340" s="231"/>
      <c r="AL340" s="231"/>
      <c r="AM340" s="231"/>
      <c r="AN340" s="231"/>
      <c r="AO340" s="231"/>
    </row>
    <row r="341" spans="1:41" s="203" customFormat="1">
      <c r="A341" s="643"/>
      <c r="B341" s="510"/>
      <c r="C341" s="510"/>
      <c r="D341" s="510"/>
      <c r="E341" s="910" t="s">
        <v>377</v>
      </c>
      <c r="F341" s="913" t="s">
        <v>402</v>
      </c>
      <c r="G341" s="457"/>
      <c r="H341" s="910" t="s">
        <v>403</v>
      </c>
      <c r="I341" s="461"/>
      <c r="J341" s="488"/>
      <c r="K341" s="231"/>
      <c r="L341" s="231"/>
      <c r="M341" s="231"/>
      <c r="N341" s="231"/>
      <c r="O341" s="231"/>
      <c r="P341" s="231"/>
      <c r="Q341" s="231"/>
      <c r="R341" s="231"/>
      <c r="S341" s="231"/>
      <c r="T341" s="231"/>
      <c r="U341" s="231"/>
      <c r="V341" s="231"/>
      <c r="W341" s="231"/>
      <c r="X341" s="231"/>
      <c r="Y341" s="231"/>
      <c r="Z341" s="231"/>
      <c r="AA341" s="231"/>
      <c r="AB341" s="231"/>
      <c r="AC341" s="231"/>
      <c r="AD341" s="231"/>
      <c r="AE341" s="231"/>
      <c r="AF341" s="231"/>
      <c r="AG341" s="231"/>
      <c r="AH341" s="231"/>
      <c r="AI341" s="231"/>
      <c r="AJ341" s="231"/>
      <c r="AK341" s="231"/>
      <c r="AL341" s="231"/>
      <c r="AM341" s="231"/>
      <c r="AN341" s="231"/>
      <c r="AO341" s="231"/>
    </row>
    <row r="342" spans="1:41" s="203" customFormat="1">
      <c r="A342" s="592" t="s">
        <v>261</v>
      </c>
      <c r="B342" s="567"/>
      <c r="C342" s="567"/>
      <c r="D342" s="567"/>
      <c r="E342" s="911"/>
      <c r="F342" s="914"/>
      <c r="G342" s="457"/>
      <c r="H342" s="916"/>
      <c r="I342" s="461"/>
      <c r="J342" s="488"/>
      <c r="K342" s="231"/>
      <c r="L342" s="231"/>
      <c r="M342" s="231"/>
      <c r="N342" s="231"/>
      <c r="O342" s="231"/>
      <c r="P342" s="231"/>
      <c r="Q342" s="231"/>
      <c r="R342" s="231"/>
      <c r="S342" s="231"/>
      <c r="T342" s="231"/>
      <c r="U342" s="231"/>
      <c r="V342" s="231"/>
      <c r="W342" s="231"/>
      <c r="X342" s="231"/>
      <c r="Y342" s="231"/>
      <c r="Z342" s="231"/>
      <c r="AA342" s="231"/>
      <c r="AB342" s="231"/>
      <c r="AC342" s="231"/>
      <c r="AD342" s="231"/>
      <c r="AE342" s="231"/>
      <c r="AF342" s="231"/>
      <c r="AG342" s="231"/>
      <c r="AH342" s="231"/>
      <c r="AI342" s="231"/>
      <c r="AJ342" s="231"/>
      <c r="AK342" s="231"/>
      <c r="AL342" s="231"/>
      <c r="AM342" s="231"/>
      <c r="AN342" s="231"/>
      <c r="AO342" s="231"/>
    </row>
    <row r="343" spans="1:41" s="203" customFormat="1">
      <c r="A343" s="573"/>
      <c r="B343" s="567"/>
      <c r="C343" s="567"/>
      <c r="D343" s="567"/>
      <c r="E343" s="911"/>
      <c r="F343" s="914"/>
      <c r="G343" s="457"/>
      <c r="H343" s="916"/>
      <c r="I343" s="461"/>
      <c r="J343" s="488"/>
      <c r="K343" s="231"/>
      <c r="L343" s="231"/>
      <c r="M343" s="231"/>
      <c r="N343" s="231"/>
      <c r="O343" s="231"/>
      <c r="P343" s="231"/>
      <c r="Q343" s="231"/>
      <c r="R343" s="231"/>
      <c r="S343" s="231"/>
      <c r="T343" s="231"/>
      <c r="U343" s="231"/>
      <c r="V343" s="231"/>
      <c r="W343" s="231"/>
      <c r="X343" s="231"/>
      <c r="Y343" s="231"/>
      <c r="Z343" s="231"/>
      <c r="AA343" s="231"/>
      <c r="AB343" s="231"/>
      <c r="AC343" s="231"/>
      <c r="AD343" s="231"/>
      <c r="AE343" s="231"/>
      <c r="AF343" s="231"/>
      <c r="AG343" s="231"/>
      <c r="AH343" s="231"/>
      <c r="AI343" s="231"/>
      <c r="AJ343" s="231"/>
      <c r="AK343" s="231"/>
      <c r="AL343" s="231"/>
      <c r="AM343" s="231"/>
      <c r="AN343" s="231"/>
      <c r="AO343" s="231"/>
    </row>
    <row r="344" spans="1:41" s="203" customFormat="1">
      <c r="A344" s="644" t="s">
        <v>262</v>
      </c>
      <c r="B344" s="567"/>
      <c r="C344" s="567"/>
      <c r="D344" s="567"/>
      <c r="E344" s="911"/>
      <c r="F344" s="914"/>
      <c r="G344" s="457"/>
      <c r="H344" s="916"/>
      <c r="I344" s="461"/>
      <c r="J344" s="488"/>
      <c r="K344" s="231"/>
      <c r="L344" s="231"/>
      <c r="M344" s="231"/>
      <c r="N344" s="231"/>
      <c r="O344" s="231"/>
      <c r="P344" s="231"/>
      <c r="Q344" s="231"/>
      <c r="R344" s="231"/>
      <c r="S344" s="231"/>
      <c r="T344" s="231"/>
      <c r="U344" s="231"/>
      <c r="V344" s="231"/>
      <c r="W344" s="231"/>
      <c r="X344" s="231"/>
      <c r="Y344" s="231"/>
      <c r="Z344" s="231"/>
      <c r="AA344" s="231"/>
      <c r="AB344" s="231"/>
      <c r="AC344" s="231"/>
      <c r="AD344" s="231"/>
      <c r="AE344" s="231"/>
      <c r="AF344" s="231"/>
      <c r="AG344" s="231"/>
      <c r="AH344" s="231"/>
      <c r="AI344" s="231"/>
      <c r="AJ344" s="231"/>
      <c r="AK344" s="231"/>
      <c r="AL344" s="231"/>
      <c r="AM344" s="231"/>
      <c r="AN344" s="231"/>
      <c r="AO344" s="231"/>
    </row>
    <row r="345" spans="1:41" s="203" customFormat="1">
      <c r="A345" s="644" t="s">
        <v>330</v>
      </c>
      <c r="B345" s="567"/>
      <c r="C345" s="567"/>
      <c r="D345" s="567"/>
      <c r="E345" s="912"/>
      <c r="F345" s="915"/>
      <c r="G345" s="457"/>
      <c r="H345" s="917"/>
      <c r="I345" s="461"/>
      <c r="J345" s="488"/>
      <c r="K345" s="231"/>
      <c r="L345" s="231"/>
      <c r="M345" s="231"/>
      <c r="N345" s="231"/>
      <c r="O345" s="231"/>
      <c r="P345" s="231"/>
      <c r="Q345" s="231"/>
      <c r="R345" s="231"/>
      <c r="S345" s="231"/>
      <c r="T345" s="231"/>
      <c r="U345" s="231"/>
      <c r="V345" s="231"/>
      <c r="W345" s="231"/>
      <c r="X345" s="231"/>
      <c r="Y345" s="231"/>
      <c r="Z345" s="231"/>
      <c r="AA345" s="231"/>
      <c r="AB345" s="231"/>
      <c r="AC345" s="231"/>
      <c r="AD345" s="231"/>
      <c r="AE345" s="231"/>
      <c r="AF345" s="231"/>
      <c r="AG345" s="231"/>
      <c r="AH345" s="231"/>
      <c r="AI345" s="231"/>
      <c r="AJ345" s="231"/>
      <c r="AK345" s="231"/>
      <c r="AL345" s="231"/>
      <c r="AM345" s="231"/>
      <c r="AN345" s="231"/>
      <c r="AO345" s="231"/>
    </row>
    <row r="346" spans="1:41" s="203" customFormat="1">
      <c r="A346" s="573"/>
      <c r="B346" s="490"/>
      <c r="C346" s="567"/>
      <c r="D346" s="567"/>
      <c r="E346" s="627"/>
      <c r="F346" s="534"/>
      <c r="G346" s="464"/>
      <c r="H346" s="645"/>
      <c r="I346" s="461"/>
      <c r="J346" s="488"/>
      <c r="K346" s="231"/>
      <c r="L346" s="231"/>
      <c r="M346" s="231"/>
      <c r="N346" s="231"/>
      <c r="O346" s="231"/>
      <c r="P346" s="231"/>
      <c r="Q346" s="231"/>
      <c r="R346" s="231"/>
      <c r="S346" s="231"/>
      <c r="T346" s="231"/>
      <c r="U346" s="231"/>
      <c r="V346" s="231"/>
      <c r="W346" s="231"/>
      <c r="X346" s="231"/>
      <c r="Y346" s="231"/>
      <c r="Z346" s="231"/>
      <c r="AA346" s="231"/>
      <c r="AB346" s="231"/>
      <c r="AC346" s="231"/>
      <c r="AD346" s="231"/>
      <c r="AE346" s="231"/>
      <c r="AF346" s="231"/>
      <c r="AG346" s="231"/>
      <c r="AH346" s="231"/>
      <c r="AI346" s="231"/>
      <c r="AJ346" s="231"/>
      <c r="AK346" s="231"/>
      <c r="AL346" s="231"/>
      <c r="AM346" s="231"/>
      <c r="AN346" s="231"/>
      <c r="AO346" s="231"/>
    </row>
    <row r="347" spans="1:41" s="203" customFormat="1">
      <c r="A347" s="799">
        <v>1</v>
      </c>
      <c r="B347" s="490" t="s">
        <v>263</v>
      </c>
      <c r="C347" s="567"/>
      <c r="D347" s="567"/>
      <c r="E347" s="646">
        <v>10305</v>
      </c>
      <c r="F347" s="265">
        <v>9846</v>
      </c>
      <c r="G347" s="486"/>
      <c r="H347" s="126">
        <v>9846</v>
      </c>
      <c r="I347" s="488"/>
      <c r="J347" s="488"/>
      <c r="K347" s="231"/>
      <c r="L347" s="231"/>
      <c r="M347" s="231"/>
      <c r="N347" s="231"/>
      <c r="O347" s="231"/>
      <c r="P347" s="231"/>
      <c r="Q347" s="231"/>
      <c r="R347" s="231"/>
      <c r="S347" s="231"/>
      <c r="T347" s="231"/>
      <c r="U347" s="231"/>
      <c r="V347" s="231"/>
      <c r="W347" s="231"/>
      <c r="X347" s="231"/>
      <c r="Y347" s="231"/>
      <c r="Z347" s="231"/>
      <c r="AA347" s="231"/>
      <c r="AB347" s="231"/>
      <c r="AC347" s="231"/>
      <c r="AD347" s="231"/>
      <c r="AE347" s="231"/>
      <c r="AF347" s="231"/>
      <c r="AG347" s="231"/>
      <c r="AH347" s="231"/>
      <c r="AI347" s="231"/>
      <c r="AJ347" s="231"/>
      <c r="AK347" s="231"/>
      <c r="AL347" s="231"/>
      <c r="AM347" s="231"/>
      <c r="AN347" s="231"/>
      <c r="AO347" s="231"/>
    </row>
    <row r="348" spans="1:41" s="203" customFormat="1">
      <c r="A348" s="799"/>
      <c r="B348" s="490"/>
      <c r="C348" s="567"/>
      <c r="D348" s="567"/>
      <c r="E348" s="647"/>
      <c r="F348" s="637"/>
      <c r="G348" s="486"/>
      <c r="H348" s="637"/>
      <c r="I348" s="488"/>
      <c r="J348" s="488"/>
      <c r="K348" s="231"/>
      <c r="L348" s="231"/>
      <c r="M348" s="231"/>
      <c r="N348" s="231"/>
      <c r="O348" s="231"/>
      <c r="P348" s="231"/>
      <c r="Q348" s="231"/>
      <c r="R348" s="231"/>
      <c r="S348" s="231"/>
      <c r="T348" s="231"/>
      <c r="U348" s="231"/>
      <c r="V348" s="231"/>
      <c r="W348" s="231"/>
      <c r="X348" s="231"/>
      <c r="Y348" s="231"/>
      <c r="Z348" s="231"/>
      <c r="AA348" s="231"/>
      <c r="AB348" s="231"/>
      <c r="AC348" s="231"/>
      <c r="AD348" s="231"/>
      <c r="AE348" s="231"/>
      <c r="AF348" s="231"/>
      <c r="AG348" s="231"/>
      <c r="AH348" s="231"/>
      <c r="AI348" s="231"/>
      <c r="AJ348" s="231"/>
      <c r="AK348" s="231"/>
      <c r="AL348" s="231"/>
      <c r="AM348" s="231"/>
      <c r="AN348" s="231"/>
      <c r="AO348" s="231"/>
    </row>
    <row r="349" spans="1:41" s="203" customFormat="1">
      <c r="A349" s="554" t="s">
        <v>378</v>
      </c>
      <c r="B349" s="490"/>
      <c r="C349" s="567"/>
      <c r="D349" s="567"/>
      <c r="E349" s="647"/>
      <c r="F349" s="637"/>
      <c r="G349" s="486"/>
      <c r="H349" s="637"/>
      <c r="I349" s="488"/>
      <c r="J349" s="488"/>
      <c r="K349" s="231"/>
      <c r="L349" s="231"/>
      <c r="M349" s="231"/>
      <c r="N349" s="231"/>
      <c r="O349" s="231"/>
      <c r="P349" s="231"/>
      <c r="Q349" s="231"/>
      <c r="R349" s="231"/>
      <c r="S349" s="231"/>
      <c r="T349" s="231"/>
      <c r="U349" s="231"/>
      <c r="V349" s="231"/>
      <c r="W349" s="231"/>
      <c r="X349" s="231"/>
      <c r="Y349" s="231"/>
      <c r="Z349" s="231"/>
      <c r="AA349" s="231"/>
      <c r="AB349" s="231"/>
      <c r="AC349" s="231"/>
      <c r="AD349" s="231"/>
      <c r="AE349" s="231"/>
      <c r="AF349" s="231"/>
      <c r="AG349" s="231"/>
      <c r="AH349" s="231"/>
      <c r="AI349" s="231"/>
      <c r="AJ349" s="231"/>
      <c r="AK349" s="231"/>
      <c r="AL349" s="231"/>
      <c r="AM349" s="231"/>
      <c r="AN349" s="231"/>
      <c r="AO349" s="231"/>
    </row>
    <row r="350" spans="1:41" s="203" customFormat="1">
      <c r="A350" s="799"/>
      <c r="B350" s="490"/>
      <c r="C350" s="567"/>
      <c r="D350" s="567"/>
      <c r="E350" s="647"/>
      <c r="F350" s="637"/>
      <c r="G350" s="486"/>
      <c r="H350" s="637"/>
      <c r="I350" s="488"/>
      <c r="J350" s="488"/>
      <c r="K350" s="231"/>
      <c r="L350" s="231"/>
      <c r="M350" s="231"/>
      <c r="N350" s="231"/>
      <c r="O350" s="231"/>
      <c r="P350" s="231"/>
      <c r="Q350" s="231"/>
      <c r="R350" s="231"/>
      <c r="S350" s="231"/>
      <c r="T350" s="231"/>
      <c r="U350" s="231"/>
      <c r="V350" s="231"/>
      <c r="W350" s="231"/>
      <c r="X350" s="231"/>
      <c r="Y350" s="231"/>
      <c r="Z350" s="231"/>
      <c r="AA350" s="231"/>
      <c r="AB350" s="231"/>
      <c r="AC350" s="231"/>
      <c r="AD350" s="231"/>
      <c r="AE350" s="231"/>
      <c r="AF350" s="231"/>
      <c r="AG350" s="231"/>
      <c r="AH350" s="231"/>
      <c r="AI350" s="231"/>
      <c r="AJ350" s="231"/>
      <c r="AK350" s="231"/>
      <c r="AL350" s="231"/>
      <c r="AM350" s="231"/>
      <c r="AN350" s="231"/>
      <c r="AO350" s="231"/>
    </row>
    <row r="351" spans="1:41" s="203" customFormat="1">
      <c r="A351" s="644" t="s">
        <v>379</v>
      </c>
      <c r="B351" s="490"/>
      <c r="C351" s="567"/>
      <c r="D351" s="567"/>
      <c r="E351" s="647"/>
      <c r="F351" s="637"/>
      <c r="G351" s="486"/>
      <c r="H351" s="637"/>
      <c r="I351" s="488"/>
      <c r="J351" s="488"/>
      <c r="K351" s="231"/>
      <c r="L351" s="231"/>
      <c r="M351" s="231"/>
      <c r="N351" s="231"/>
      <c r="O351" s="231"/>
      <c r="P351" s="231"/>
      <c r="Q351" s="231"/>
      <c r="R351" s="231"/>
      <c r="S351" s="231"/>
      <c r="T351" s="231"/>
      <c r="U351" s="231"/>
      <c r="V351" s="231"/>
      <c r="W351" s="231"/>
      <c r="X351" s="231"/>
      <c r="Y351" s="231"/>
      <c r="Z351" s="231"/>
      <c r="AA351" s="231"/>
      <c r="AB351" s="231"/>
      <c r="AC351" s="231"/>
      <c r="AD351" s="231"/>
      <c r="AE351" s="231"/>
      <c r="AF351" s="231"/>
      <c r="AG351" s="231"/>
      <c r="AH351" s="231"/>
      <c r="AI351" s="231"/>
      <c r="AJ351" s="231"/>
      <c r="AK351" s="231"/>
      <c r="AL351" s="231"/>
      <c r="AM351" s="231"/>
      <c r="AN351" s="231"/>
      <c r="AO351" s="231"/>
    </row>
    <row r="352" spans="1:41" s="203" customFormat="1">
      <c r="A352" s="799"/>
      <c r="B352" s="490"/>
      <c r="C352" s="567"/>
      <c r="D352" s="567"/>
      <c r="E352" s="647"/>
      <c r="F352" s="637"/>
      <c r="G352" s="486"/>
      <c r="H352" s="637"/>
      <c r="I352" s="488"/>
      <c r="J352" s="488"/>
      <c r="K352" s="231"/>
      <c r="L352" s="231"/>
      <c r="M352" s="231"/>
      <c r="N352" s="231"/>
      <c r="O352" s="231"/>
      <c r="P352" s="231"/>
      <c r="Q352" s="231"/>
      <c r="R352" s="231"/>
      <c r="S352" s="231"/>
      <c r="T352" s="231"/>
      <c r="U352" s="231"/>
      <c r="V352" s="231"/>
      <c r="W352" s="231"/>
      <c r="X352" s="231"/>
      <c r="Y352" s="231"/>
      <c r="Z352" s="231"/>
      <c r="AA352" s="231"/>
      <c r="AB352" s="231"/>
      <c r="AC352" s="231"/>
      <c r="AD352" s="231"/>
      <c r="AE352" s="231"/>
      <c r="AF352" s="231"/>
      <c r="AG352" s="231"/>
      <c r="AH352" s="231"/>
      <c r="AI352" s="231"/>
      <c r="AJ352" s="231"/>
      <c r="AK352" s="231"/>
      <c r="AL352" s="231"/>
      <c r="AM352" s="231"/>
      <c r="AN352" s="231"/>
      <c r="AO352" s="231"/>
    </row>
    <row r="353" spans="1:41" s="203" customFormat="1">
      <c r="A353" s="799">
        <v>2</v>
      </c>
      <c r="B353" s="490" t="s">
        <v>52</v>
      </c>
      <c r="C353" s="567"/>
      <c r="D353" s="567"/>
      <c r="E353" s="516">
        <v>0</v>
      </c>
      <c r="F353" s="265">
        <v>0</v>
      </c>
      <c r="G353" s="486"/>
      <c r="H353" s="126"/>
      <c r="I353" s="488"/>
      <c r="J353" s="488"/>
      <c r="K353" s="231"/>
      <c r="L353" s="231"/>
      <c r="M353" s="231"/>
      <c r="N353" s="231"/>
      <c r="O353" s="231"/>
      <c r="P353" s="231"/>
      <c r="Q353" s="231"/>
      <c r="R353" s="231"/>
      <c r="S353" s="231"/>
      <c r="T353" s="231"/>
      <c r="U353" s="231"/>
      <c r="V353" s="231"/>
      <c r="W353" s="231"/>
      <c r="X353" s="231"/>
      <c r="Y353" s="231"/>
      <c r="Z353" s="231"/>
      <c r="AA353" s="231"/>
      <c r="AB353" s="231"/>
      <c r="AC353" s="231"/>
      <c r="AD353" s="231"/>
      <c r="AE353" s="231"/>
      <c r="AF353" s="231"/>
      <c r="AG353" s="231"/>
      <c r="AH353" s="231"/>
      <c r="AI353" s="231"/>
      <c r="AJ353" s="231"/>
      <c r="AK353" s="231"/>
      <c r="AL353" s="231"/>
      <c r="AM353" s="231"/>
      <c r="AN353" s="231"/>
      <c r="AO353" s="231"/>
    </row>
    <row r="354" spans="1:41" s="203" customFormat="1">
      <c r="A354" s="799">
        <v>3</v>
      </c>
      <c r="B354" s="490" t="s">
        <v>53</v>
      </c>
      <c r="C354" s="567"/>
      <c r="D354" s="567"/>
      <c r="E354" s="492">
        <v>394</v>
      </c>
      <c r="F354" s="265">
        <v>0</v>
      </c>
      <c r="G354" s="486"/>
      <c r="H354" s="126"/>
      <c r="I354" s="488"/>
      <c r="J354" s="488"/>
      <c r="K354" s="231"/>
      <c r="L354" s="231"/>
      <c r="M354" s="231"/>
      <c r="N354" s="231"/>
      <c r="O354" s="231"/>
      <c r="P354" s="231"/>
      <c r="Q354" s="231"/>
      <c r="R354" s="231"/>
      <c r="S354" s="231"/>
      <c r="T354" s="231"/>
      <c r="U354" s="231"/>
      <c r="V354" s="231"/>
      <c r="W354" s="231"/>
      <c r="X354" s="231"/>
      <c r="Y354" s="231"/>
      <c r="Z354" s="231"/>
      <c r="AA354" s="231"/>
      <c r="AB354" s="231"/>
      <c r="AC354" s="231"/>
      <c r="AD354" s="231"/>
      <c r="AE354" s="231"/>
      <c r="AF354" s="231"/>
      <c r="AG354" s="231"/>
      <c r="AH354" s="231"/>
      <c r="AI354" s="231"/>
      <c r="AJ354" s="231"/>
      <c r="AK354" s="231"/>
      <c r="AL354" s="231"/>
      <c r="AM354" s="231"/>
      <c r="AN354" s="231"/>
      <c r="AO354" s="231"/>
    </row>
    <row r="355" spans="1:41" s="203" customFormat="1">
      <c r="A355" s="799">
        <v>4</v>
      </c>
      <c r="B355" s="490" t="s">
        <v>54</v>
      </c>
      <c r="C355" s="567"/>
      <c r="D355" s="567"/>
      <c r="E355" s="492">
        <v>227</v>
      </c>
      <c r="F355" s="265"/>
      <c r="G355" s="486"/>
      <c r="H355" s="126"/>
      <c r="I355" s="488"/>
      <c r="J355" s="488"/>
      <c r="K355" s="231"/>
      <c r="L355" s="231"/>
      <c r="M355" s="231"/>
      <c r="N355" s="231"/>
      <c r="O355" s="231"/>
      <c r="P355" s="231"/>
      <c r="Q355" s="231"/>
      <c r="R355" s="231"/>
      <c r="S355" s="231"/>
      <c r="T355" s="231"/>
      <c r="U355" s="231"/>
      <c r="V355" s="231"/>
      <c r="W355" s="231"/>
      <c r="X355" s="231"/>
      <c r="Y355" s="231"/>
      <c r="Z355" s="231"/>
      <c r="AA355" s="231"/>
      <c r="AB355" s="231"/>
      <c r="AC355" s="231"/>
      <c r="AD355" s="231"/>
      <c r="AE355" s="231"/>
      <c r="AF355" s="231"/>
      <c r="AG355" s="231"/>
      <c r="AH355" s="231"/>
      <c r="AI355" s="231"/>
      <c r="AJ355" s="231"/>
      <c r="AK355" s="231"/>
      <c r="AL355" s="231"/>
      <c r="AM355" s="231"/>
      <c r="AN355" s="231"/>
      <c r="AO355" s="231"/>
    </row>
    <row r="356" spans="1:41" s="203" customFormat="1">
      <c r="A356" s="799">
        <v>5</v>
      </c>
      <c r="B356" s="490" t="s">
        <v>55</v>
      </c>
      <c r="C356" s="567"/>
      <c r="D356" s="567"/>
      <c r="E356" s="492">
        <v>245</v>
      </c>
      <c r="F356" s="265">
        <v>1</v>
      </c>
      <c r="G356" s="486"/>
      <c r="H356" s="126"/>
      <c r="I356" s="488"/>
      <c r="J356" s="488"/>
      <c r="K356" s="231"/>
      <c r="L356" s="231"/>
      <c r="M356" s="231"/>
      <c r="N356" s="231"/>
      <c r="O356" s="231"/>
      <c r="P356" s="231"/>
      <c r="Q356" s="231"/>
      <c r="R356" s="231"/>
      <c r="S356" s="231"/>
      <c r="T356" s="231"/>
      <c r="U356" s="231"/>
      <c r="V356" s="231"/>
      <c r="W356" s="231"/>
      <c r="X356" s="231"/>
      <c r="Y356" s="231"/>
      <c r="Z356" s="231"/>
      <c r="AA356" s="231"/>
      <c r="AB356" s="231"/>
      <c r="AC356" s="231"/>
      <c r="AD356" s="231"/>
      <c r="AE356" s="231"/>
      <c r="AF356" s="231"/>
      <c r="AG356" s="231"/>
      <c r="AH356" s="231"/>
      <c r="AI356" s="231"/>
      <c r="AJ356" s="231"/>
      <c r="AK356" s="231"/>
      <c r="AL356" s="231"/>
      <c r="AM356" s="231"/>
      <c r="AN356" s="231"/>
      <c r="AO356" s="231"/>
    </row>
    <row r="357" spans="1:41" s="203" customFormat="1">
      <c r="A357" s="799">
        <v>6</v>
      </c>
      <c r="B357" s="490" t="s">
        <v>56</v>
      </c>
      <c r="C357" s="567"/>
      <c r="D357" s="567"/>
      <c r="E357" s="492">
        <v>0</v>
      </c>
      <c r="F357" s="265"/>
      <c r="G357" s="486"/>
      <c r="H357" s="126"/>
      <c r="I357" s="488"/>
      <c r="J357" s="488"/>
      <c r="K357" s="231"/>
      <c r="L357" s="231"/>
      <c r="M357" s="231"/>
      <c r="N357" s="231"/>
      <c r="O357" s="231"/>
      <c r="P357" s="231"/>
      <c r="Q357" s="231"/>
      <c r="R357" s="231"/>
      <c r="S357" s="231"/>
      <c r="T357" s="231"/>
      <c r="U357" s="231"/>
      <c r="V357" s="231"/>
      <c r="W357" s="231"/>
      <c r="X357" s="231"/>
      <c r="Y357" s="231"/>
      <c r="Z357" s="231"/>
      <c r="AA357" s="231"/>
      <c r="AB357" s="231"/>
      <c r="AC357" s="231"/>
      <c r="AD357" s="231"/>
      <c r="AE357" s="231"/>
      <c r="AF357" s="231"/>
      <c r="AG357" s="231"/>
      <c r="AH357" s="231"/>
      <c r="AI357" s="231"/>
      <c r="AJ357" s="231"/>
      <c r="AK357" s="231"/>
      <c r="AL357" s="231"/>
      <c r="AM357" s="231"/>
      <c r="AN357" s="231"/>
      <c r="AO357" s="231"/>
    </row>
    <row r="358" spans="1:41" s="203" customFormat="1">
      <c r="A358" s="799">
        <v>7</v>
      </c>
      <c r="B358" s="490" t="s">
        <v>57</v>
      </c>
      <c r="C358" s="567"/>
      <c r="D358" s="567"/>
      <c r="E358" s="492">
        <v>370</v>
      </c>
      <c r="F358" s="265"/>
      <c r="G358" s="486"/>
      <c r="H358" s="126"/>
      <c r="I358" s="488"/>
      <c r="J358" s="488"/>
      <c r="K358" s="231"/>
      <c r="L358" s="231"/>
      <c r="M358" s="231"/>
      <c r="N358" s="231"/>
      <c r="O358" s="231"/>
      <c r="P358" s="231"/>
      <c r="Q358" s="231"/>
      <c r="R358" s="231"/>
      <c r="S358" s="231"/>
      <c r="T358" s="231"/>
      <c r="U358" s="231"/>
      <c r="V358" s="231"/>
      <c r="W358" s="231"/>
      <c r="X358" s="231"/>
      <c r="Y358" s="231"/>
      <c r="Z358" s="231"/>
      <c r="AA358" s="231"/>
      <c r="AB358" s="231"/>
      <c r="AC358" s="231"/>
      <c r="AD358" s="231"/>
      <c r="AE358" s="231"/>
      <c r="AF358" s="231"/>
      <c r="AG358" s="231"/>
      <c r="AH358" s="231"/>
      <c r="AI358" s="231"/>
      <c r="AJ358" s="231"/>
      <c r="AK358" s="231"/>
      <c r="AL358" s="231"/>
      <c r="AM358" s="231"/>
      <c r="AN358" s="231"/>
      <c r="AO358" s="231"/>
    </row>
    <row r="359" spans="1:41" s="203" customFormat="1">
      <c r="A359" s="799">
        <v>8</v>
      </c>
      <c r="B359" s="490" t="s">
        <v>58</v>
      </c>
      <c r="C359" s="567"/>
      <c r="D359" s="567"/>
      <c r="E359" s="492">
        <v>20641</v>
      </c>
      <c r="F359" s="265">
        <v>0</v>
      </c>
      <c r="G359" s="486"/>
      <c r="H359" s="126"/>
      <c r="I359" s="488"/>
      <c r="J359" s="488"/>
      <c r="K359" s="231"/>
      <c r="L359" s="231"/>
      <c r="M359" s="231"/>
      <c r="N359" s="231"/>
      <c r="O359" s="231"/>
      <c r="P359" s="231"/>
      <c r="Q359" s="231"/>
      <c r="R359" s="231"/>
      <c r="S359" s="231"/>
      <c r="T359" s="231"/>
      <c r="U359" s="231"/>
      <c r="V359" s="231"/>
      <c r="W359" s="231"/>
      <c r="X359" s="231"/>
      <c r="Y359" s="231"/>
      <c r="Z359" s="231"/>
      <c r="AA359" s="231"/>
      <c r="AB359" s="231"/>
      <c r="AC359" s="231"/>
      <c r="AD359" s="231"/>
      <c r="AE359" s="231"/>
      <c r="AF359" s="231"/>
      <c r="AG359" s="231"/>
      <c r="AH359" s="231"/>
      <c r="AI359" s="231"/>
      <c r="AJ359" s="231"/>
      <c r="AK359" s="231"/>
      <c r="AL359" s="231"/>
      <c r="AM359" s="231"/>
      <c r="AN359" s="231"/>
      <c r="AO359" s="231"/>
    </row>
    <row r="360" spans="1:41" s="203" customFormat="1">
      <c r="A360" s="799">
        <v>9</v>
      </c>
      <c r="B360" s="490" t="s">
        <v>59</v>
      </c>
      <c r="C360" s="567"/>
      <c r="D360" s="567"/>
      <c r="E360" s="492">
        <v>0</v>
      </c>
      <c r="F360" s="265"/>
      <c r="G360" s="486"/>
      <c r="H360" s="126"/>
      <c r="I360" s="488"/>
      <c r="J360" s="488"/>
      <c r="K360" s="231"/>
      <c r="L360" s="231"/>
      <c r="M360" s="231"/>
      <c r="N360" s="231"/>
      <c r="O360" s="231"/>
      <c r="P360" s="231"/>
      <c r="Q360" s="231"/>
      <c r="R360" s="231"/>
      <c r="S360" s="231"/>
      <c r="T360" s="231"/>
      <c r="U360" s="231"/>
      <c r="V360" s="231"/>
      <c r="W360" s="231"/>
      <c r="X360" s="231"/>
      <c r="Y360" s="231"/>
      <c r="Z360" s="231"/>
      <c r="AA360" s="231"/>
      <c r="AB360" s="231"/>
      <c r="AC360" s="231"/>
      <c r="AD360" s="231"/>
      <c r="AE360" s="231"/>
      <c r="AF360" s="231"/>
      <c r="AG360" s="231"/>
      <c r="AH360" s="231"/>
      <c r="AI360" s="231"/>
      <c r="AJ360" s="231"/>
      <c r="AK360" s="231"/>
      <c r="AL360" s="231"/>
      <c r="AM360" s="231"/>
      <c r="AN360" s="231"/>
      <c r="AO360" s="231"/>
    </row>
    <row r="361" spans="1:41" s="203" customFormat="1">
      <c r="A361" s="799">
        <v>10</v>
      </c>
      <c r="B361" s="490" t="s">
        <v>60</v>
      </c>
      <c r="C361" s="567"/>
      <c r="D361" s="567"/>
      <c r="E361" s="492">
        <v>0</v>
      </c>
      <c r="F361" s="265"/>
      <c r="G361" s="486"/>
      <c r="H361" s="126"/>
      <c r="I361" s="488"/>
      <c r="J361" s="488"/>
      <c r="K361" s="231"/>
      <c r="L361" s="231"/>
      <c r="M361" s="231"/>
      <c r="N361" s="231"/>
      <c r="O361" s="231"/>
      <c r="P361" s="231"/>
      <c r="Q361" s="231"/>
      <c r="R361" s="231"/>
      <c r="S361" s="231"/>
      <c r="T361" s="231"/>
      <c r="U361" s="231"/>
      <c r="V361" s="231"/>
      <c r="W361" s="231"/>
      <c r="X361" s="231"/>
      <c r="Y361" s="231"/>
      <c r="Z361" s="231"/>
      <c r="AA361" s="231"/>
      <c r="AB361" s="231"/>
      <c r="AC361" s="231"/>
      <c r="AD361" s="231"/>
      <c r="AE361" s="231"/>
      <c r="AF361" s="231"/>
      <c r="AG361" s="231"/>
      <c r="AH361" s="231"/>
      <c r="AI361" s="231"/>
      <c r="AJ361" s="231"/>
      <c r="AK361" s="231"/>
      <c r="AL361" s="231"/>
      <c r="AM361" s="231"/>
      <c r="AN361" s="231"/>
      <c r="AO361" s="231"/>
    </row>
    <row r="362" spans="1:41" s="203" customFormat="1">
      <c r="A362" s="799">
        <v>11</v>
      </c>
      <c r="B362" s="490" t="s">
        <v>61</v>
      </c>
      <c r="C362" s="567"/>
      <c r="D362" s="567"/>
      <c r="E362" s="492">
        <v>0</v>
      </c>
      <c r="F362" s="265"/>
      <c r="G362" s="486"/>
      <c r="H362" s="126">
        <v>1235</v>
      </c>
      <c r="I362" s="488"/>
      <c r="J362" s="488"/>
      <c r="K362" s="231"/>
      <c r="L362" s="231"/>
      <c r="M362" s="231"/>
      <c r="N362" s="231"/>
      <c r="O362" s="231"/>
      <c r="P362" s="231"/>
      <c r="Q362" s="231"/>
      <c r="R362" s="231"/>
      <c r="S362" s="231"/>
      <c r="T362" s="231"/>
      <c r="U362" s="231"/>
      <c r="V362" s="231"/>
      <c r="W362" s="231"/>
      <c r="X362" s="231"/>
      <c r="Y362" s="231"/>
      <c r="Z362" s="231"/>
      <c r="AA362" s="231"/>
      <c r="AB362" s="231"/>
      <c r="AC362" s="231"/>
      <c r="AD362" s="231"/>
      <c r="AE362" s="231"/>
      <c r="AF362" s="231"/>
      <c r="AG362" s="231"/>
      <c r="AH362" s="231"/>
      <c r="AI362" s="231"/>
      <c r="AJ362" s="231"/>
      <c r="AK362" s="231"/>
      <c r="AL362" s="231"/>
      <c r="AM362" s="231"/>
      <c r="AN362" s="231"/>
      <c r="AO362" s="231"/>
    </row>
    <row r="363" spans="1:41" s="203" customFormat="1">
      <c r="A363" s="800">
        <v>12</v>
      </c>
      <c r="B363" s="496" t="s">
        <v>380</v>
      </c>
      <c r="C363" s="538"/>
      <c r="D363" s="538"/>
      <c r="E363" s="585">
        <v>21877</v>
      </c>
      <c r="F363" s="503">
        <f>SUM(F353:F362)</f>
        <v>1</v>
      </c>
      <c r="G363" s="486"/>
      <c r="H363" s="503">
        <f>SUM(H353:H362)</f>
        <v>1235</v>
      </c>
      <c r="I363" s="488"/>
      <c r="J363" s="488"/>
      <c r="K363" s="231"/>
      <c r="L363" s="231"/>
      <c r="M363" s="231"/>
      <c r="N363" s="231"/>
      <c r="O363" s="231"/>
      <c r="P363" s="231"/>
      <c r="Q363" s="231"/>
      <c r="R363" s="231"/>
      <c r="S363" s="231"/>
      <c r="T363" s="231"/>
      <c r="U363" s="231"/>
      <c r="V363" s="231"/>
      <c r="W363" s="231"/>
      <c r="X363" s="231"/>
      <c r="Y363" s="231"/>
      <c r="Z363" s="231"/>
      <c r="AA363" s="231"/>
      <c r="AB363" s="231"/>
      <c r="AC363" s="231"/>
      <c r="AD363" s="231"/>
      <c r="AE363" s="231"/>
      <c r="AF363" s="231"/>
      <c r="AG363" s="231"/>
      <c r="AH363" s="231"/>
      <c r="AI363" s="231"/>
      <c r="AJ363" s="231"/>
      <c r="AK363" s="231"/>
      <c r="AL363" s="231"/>
      <c r="AM363" s="231"/>
      <c r="AN363" s="231"/>
      <c r="AO363" s="231"/>
    </row>
    <row r="364" spans="1:41" s="203" customFormat="1">
      <c r="A364" s="648"/>
      <c r="B364" s="452"/>
      <c r="C364" s="452"/>
      <c r="D364" s="452"/>
      <c r="E364" s="452"/>
      <c r="F364" s="452"/>
      <c r="G364" s="452"/>
      <c r="H364" s="452"/>
      <c r="I364" s="488"/>
      <c r="J364" s="488"/>
      <c r="K364" s="231"/>
      <c r="L364" s="231"/>
      <c r="M364" s="231"/>
      <c r="N364" s="231"/>
      <c r="O364" s="231"/>
      <c r="P364" s="231"/>
      <c r="Q364" s="231"/>
      <c r="R364" s="231"/>
      <c r="S364" s="231"/>
      <c r="T364" s="231"/>
      <c r="U364" s="231"/>
      <c r="V364" s="231"/>
      <c r="W364" s="231"/>
      <c r="X364" s="231"/>
      <c r="Y364" s="231"/>
      <c r="Z364" s="231"/>
      <c r="AA364" s="231"/>
      <c r="AB364" s="231"/>
      <c r="AC364" s="231"/>
      <c r="AD364" s="231"/>
      <c r="AE364" s="231"/>
      <c r="AF364" s="231"/>
      <c r="AG364" s="231"/>
      <c r="AH364" s="231"/>
      <c r="AI364" s="231"/>
      <c r="AJ364" s="231"/>
      <c r="AK364" s="231"/>
      <c r="AL364" s="231"/>
      <c r="AM364" s="231"/>
      <c r="AN364" s="231"/>
      <c r="AO364" s="231"/>
    </row>
    <row r="365" spans="1:41" s="203" customFormat="1">
      <c r="A365" s="648"/>
      <c r="B365" s="452"/>
      <c r="C365" s="452"/>
      <c r="D365" s="452"/>
      <c r="E365" s="452"/>
      <c r="F365" s="452"/>
      <c r="G365" s="452"/>
      <c r="H365" s="488"/>
      <c r="I365" s="488"/>
      <c r="J365" s="488"/>
      <c r="K365" s="231"/>
      <c r="L365" s="231"/>
      <c r="M365" s="231"/>
      <c r="N365" s="231"/>
      <c r="O365" s="231"/>
      <c r="P365" s="231"/>
      <c r="Q365" s="231"/>
      <c r="R365" s="231"/>
      <c r="S365" s="231"/>
      <c r="T365" s="231"/>
      <c r="U365" s="231"/>
      <c r="V365" s="231"/>
      <c r="W365" s="231"/>
      <c r="X365" s="231"/>
      <c r="Y365" s="231"/>
      <c r="Z365" s="231"/>
      <c r="AA365" s="231"/>
      <c r="AB365" s="231"/>
      <c r="AC365" s="231"/>
      <c r="AD365" s="231"/>
      <c r="AE365" s="231"/>
      <c r="AF365" s="231"/>
      <c r="AG365" s="231"/>
      <c r="AH365" s="231"/>
      <c r="AI365" s="231"/>
      <c r="AJ365" s="231"/>
      <c r="AK365" s="231"/>
      <c r="AL365" s="231"/>
      <c r="AM365" s="231"/>
      <c r="AN365" s="231"/>
      <c r="AO365" s="231"/>
    </row>
    <row r="366" spans="1:41" s="271" customFormat="1">
      <c r="P366" s="231"/>
      <c r="Q366" s="231"/>
      <c r="R366" s="231"/>
      <c r="S366" s="231"/>
      <c r="T366" s="231"/>
      <c r="U366" s="231"/>
      <c r="V366" s="231"/>
      <c r="W366" s="231"/>
      <c r="X366" s="231"/>
      <c r="Y366" s="231"/>
      <c r="Z366" s="231"/>
      <c r="AA366" s="231"/>
      <c r="AB366" s="231"/>
      <c r="AC366" s="231"/>
      <c r="AD366" s="231"/>
      <c r="AE366" s="231"/>
      <c r="AF366" s="231"/>
      <c r="AG366" s="231"/>
      <c r="AH366" s="231"/>
      <c r="AI366" s="231"/>
      <c r="AJ366" s="231"/>
      <c r="AK366" s="231"/>
      <c r="AL366" s="231"/>
      <c r="AM366" s="231"/>
      <c r="AN366" s="231"/>
      <c r="AO366" s="231"/>
    </row>
    <row r="367" spans="1:41" s="271" customFormat="1">
      <c r="P367" s="231"/>
      <c r="Q367" s="231"/>
      <c r="R367" s="231"/>
      <c r="S367" s="231"/>
      <c r="T367" s="231"/>
      <c r="U367" s="231"/>
      <c r="V367" s="231"/>
      <c r="W367" s="231"/>
      <c r="X367" s="231"/>
      <c r="Y367" s="231"/>
      <c r="Z367" s="231"/>
      <c r="AA367" s="231"/>
      <c r="AB367" s="231"/>
      <c r="AC367" s="231"/>
      <c r="AD367" s="231"/>
      <c r="AE367" s="231"/>
      <c r="AF367" s="231"/>
      <c r="AG367" s="231"/>
      <c r="AH367" s="231"/>
      <c r="AI367" s="231"/>
      <c r="AJ367" s="231"/>
      <c r="AK367" s="231"/>
      <c r="AL367" s="231"/>
      <c r="AM367" s="231"/>
      <c r="AN367" s="231"/>
      <c r="AO367" s="231"/>
    </row>
    <row r="368" spans="1:41" s="271" customFormat="1">
      <c r="P368" s="231"/>
      <c r="Q368" s="231"/>
      <c r="R368" s="231"/>
      <c r="S368" s="231"/>
      <c r="T368" s="231"/>
      <c r="U368" s="231"/>
      <c r="V368" s="231"/>
      <c r="W368" s="231"/>
      <c r="X368" s="231"/>
      <c r="Y368" s="231"/>
      <c r="Z368" s="231"/>
      <c r="AA368" s="231"/>
      <c r="AB368" s="231"/>
      <c r="AC368" s="231"/>
      <c r="AD368" s="231"/>
      <c r="AE368" s="231"/>
      <c r="AF368" s="231"/>
      <c r="AG368" s="231"/>
      <c r="AH368" s="231"/>
      <c r="AI368" s="231"/>
      <c r="AJ368" s="231"/>
      <c r="AK368" s="231"/>
      <c r="AL368" s="231"/>
      <c r="AM368" s="231"/>
      <c r="AN368" s="231"/>
      <c r="AO368" s="231"/>
    </row>
    <row r="369" spans="16:41" s="271" customFormat="1">
      <c r="P369" s="231"/>
      <c r="Q369" s="231"/>
      <c r="R369" s="231"/>
      <c r="S369" s="231"/>
      <c r="T369" s="231"/>
      <c r="U369" s="231"/>
      <c r="V369" s="231"/>
      <c r="W369" s="231"/>
      <c r="X369" s="231"/>
      <c r="Y369" s="231"/>
      <c r="Z369" s="231"/>
      <c r="AA369" s="231"/>
      <c r="AB369" s="231"/>
      <c r="AC369" s="231"/>
      <c r="AD369" s="231"/>
      <c r="AE369" s="231"/>
      <c r="AF369" s="231"/>
      <c r="AG369" s="231"/>
      <c r="AH369" s="231"/>
      <c r="AI369" s="231"/>
      <c r="AJ369" s="231"/>
      <c r="AK369" s="231"/>
      <c r="AL369" s="231"/>
      <c r="AM369" s="231"/>
      <c r="AN369" s="231"/>
      <c r="AO369" s="231"/>
    </row>
    <row r="370" spans="16:41" s="271" customFormat="1">
      <c r="P370" s="231"/>
      <c r="Q370" s="231"/>
      <c r="R370" s="231"/>
      <c r="S370" s="231"/>
      <c r="T370" s="231"/>
      <c r="U370" s="231"/>
      <c r="V370" s="231"/>
      <c r="W370" s="231"/>
      <c r="X370" s="231"/>
      <c r="Y370" s="231"/>
      <c r="Z370" s="231"/>
      <c r="AA370" s="231"/>
      <c r="AB370" s="231"/>
      <c r="AC370" s="231"/>
      <c r="AD370" s="231"/>
      <c r="AE370" s="231"/>
      <c r="AF370" s="231"/>
      <c r="AG370" s="231"/>
      <c r="AH370" s="231"/>
      <c r="AI370" s="231"/>
      <c r="AJ370" s="231"/>
      <c r="AK370" s="231"/>
      <c r="AL370" s="231"/>
      <c r="AM370" s="231"/>
      <c r="AN370" s="231"/>
      <c r="AO370" s="231"/>
    </row>
    <row r="371" spans="16:41" s="271" customFormat="1">
      <c r="P371" s="231"/>
      <c r="Q371" s="231"/>
      <c r="R371" s="231"/>
      <c r="S371" s="231"/>
      <c r="T371" s="231"/>
      <c r="U371" s="231"/>
      <c r="V371" s="231"/>
      <c r="W371" s="231"/>
      <c r="X371" s="231"/>
      <c r="Y371" s="231"/>
      <c r="Z371" s="231"/>
      <c r="AA371" s="231"/>
      <c r="AB371" s="231"/>
      <c r="AC371" s="231"/>
      <c r="AD371" s="231"/>
      <c r="AE371" s="231"/>
      <c r="AF371" s="231"/>
      <c r="AG371" s="231"/>
      <c r="AH371" s="231"/>
      <c r="AI371" s="231"/>
      <c r="AJ371" s="231"/>
      <c r="AK371" s="231"/>
      <c r="AL371" s="231"/>
      <c r="AM371" s="231"/>
      <c r="AN371" s="231"/>
      <c r="AO371" s="231"/>
    </row>
    <row r="372" spans="16:41" s="271" customFormat="1">
      <c r="P372" s="231"/>
      <c r="Q372" s="231"/>
      <c r="R372" s="231"/>
      <c r="S372" s="231"/>
      <c r="T372" s="231"/>
      <c r="U372" s="231"/>
      <c r="V372" s="231"/>
      <c r="W372" s="231"/>
      <c r="X372" s="231"/>
      <c r="Y372" s="231"/>
      <c r="Z372" s="231"/>
      <c r="AA372" s="231"/>
      <c r="AB372" s="231"/>
      <c r="AC372" s="231"/>
      <c r="AD372" s="231"/>
      <c r="AE372" s="231"/>
      <c r="AF372" s="231"/>
      <c r="AG372" s="231"/>
      <c r="AH372" s="231"/>
      <c r="AI372" s="231"/>
      <c r="AJ372" s="231"/>
      <c r="AK372" s="231"/>
      <c r="AL372" s="231"/>
      <c r="AM372" s="231"/>
      <c r="AN372" s="231"/>
      <c r="AO372" s="231"/>
    </row>
    <row r="373" spans="16:41" s="271" customFormat="1">
      <c r="P373" s="231"/>
      <c r="Q373" s="231"/>
      <c r="R373" s="231"/>
      <c r="S373" s="231"/>
      <c r="T373" s="231"/>
      <c r="U373" s="231"/>
      <c r="V373" s="231"/>
      <c r="W373" s="231"/>
      <c r="X373" s="231"/>
      <c r="Y373" s="231"/>
      <c r="Z373" s="231"/>
      <c r="AA373" s="231"/>
      <c r="AB373" s="231"/>
      <c r="AC373" s="231"/>
      <c r="AD373" s="231"/>
      <c r="AE373" s="231"/>
      <c r="AF373" s="231"/>
      <c r="AG373" s="231"/>
      <c r="AH373" s="231"/>
      <c r="AI373" s="231"/>
      <c r="AJ373" s="231"/>
      <c r="AK373" s="231"/>
      <c r="AL373" s="231"/>
      <c r="AM373" s="231"/>
      <c r="AN373" s="231"/>
      <c r="AO373" s="231"/>
    </row>
    <row r="374" spans="16:41" s="271" customFormat="1">
      <c r="P374" s="231"/>
      <c r="Q374" s="231"/>
      <c r="R374" s="231"/>
      <c r="S374" s="231"/>
      <c r="T374" s="231"/>
      <c r="U374" s="231"/>
      <c r="V374" s="231"/>
      <c r="W374" s="231"/>
      <c r="X374" s="231"/>
      <c r="Y374" s="231"/>
      <c r="Z374" s="231"/>
      <c r="AA374" s="231"/>
      <c r="AB374" s="231"/>
      <c r="AC374" s="231"/>
      <c r="AD374" s="231"/>
      <c r="AE374" s="231"/>
      <c r="AF374" s="231"/>
      <c r="AG374" s="231"/>
      <c r="AH374" s="231"/>
      <c r="AI374" s="231"/>
      <c r="AJ374" s="231"/>
      <c r="AK374" s="231"/>
      <c r="AL374" s="231"/>
      <c r="AM374" s="231"/>
      <c r="AN374" s="231"/>
      <c r="AO374" s="231"/>
    </row>
    <row r="375" spans="16:41" s="271" customFormat="1">
      <c r="P375" s="231"/>
      <c r="Q375" s="231"/>
      <c r="R375" s="231"/>
      <c r="S375" s="231"/>
      <c r="T375" s="231"/>
      <c r="U375" s="231"/>
      <c r="V375" s="231"/>
      <c r="W375" s="231"/>
      <c r="X375" s="231"/>
      <c r="Y375" s="231"/>
      <c r="Z375" s="231"/>
      <c r="AA375" s="231"/>
      <c r="AB375" s="231"/>
      <c r="AC375" s="231"/>
      <c r="AD375" s="231"/>
      <c r="AE375" s="231"/>
      <c r="AF375" s="231"/>
      <c r="AG375" s="231"/>
      <c r="AH375" s="231"/>
      <c r="AI375" s="231"/>
      <c r="AJ375" s="231"/>
      <c r="AK375" s="231"/>
      <c r="AL375" s="231"/>
      <c r="AM375" s="231"/>
      <c r="AN375" s="231"/>
      <c r="AO375" s="231"/>
    </row>
    <row r="376" spans="16:41" s="271" customFormat="1">
      <c r="P376" s="231"/>
      <c r="Q376" s="231"/>
      <c r="R376" s="231"/>
      <c r="S376" s="231"/>
      <c r="T376" s="231"/>
      <c r="U376" s="231"/>
      <c r="V376" s="231"/>
      <c r="W376" s="231"/>
      <c r="X376" s="231"/>
      <c r="Y376" s="231"/>
      <c r="Z376" s="231"/>
      <c r="AA376" s="231"/>
      <c r="AB376" s="231"/>
      <c r="AC376" s="231"/>
      <c r="AD376" s="231"/>
      <c r="AE376" s="231"/>
      <c r="AF376" s="231"/>
      <c r="AG376" s="231"/>
      <c r="AH376" s="231"/>
      <c r="AI376" s="231"/>
      <c r="AJ376" s="231"/>
      <c r="AK376" s="231"/>
      <c r="AL376" s="231"/>
      <c r="AM376" s="231"/>
      <c r="AN376" s="231"/>
      <c r="AO376" s="231"/>
    </row>
    <row r="377" spans="16:41" s="271" customFormat="1">
      <c r="P377" s="231"/>
      <c r="Q377" s="231"/>
      <c r="R377" s="231"/>
      <c r="S377" s="231"/>
      <c r="T377" s="231"/>
      <c r="U377" s="231"/>
      <c r="V377" s="231"/>
      <c r="W377" s="231"/>
      <c r="X377" s="231"/>
      <c r="Y377" s="231"/>
      <c r="Z377" s="231"/>
      <c r="AA377" s="231"/>
      <c r="AB377" s="231"/>
      <c r="AC377" s="231"/>
      <c r="AD377" s="231"/>
      <c r="AE377" s="231"/>
      <c r="AF377" s="231"/>
      <c r="AG377" s="231"/>
      <c r="AH377" s="231"/>
      <c r="AI377" s="231"/>
      <c r="AJ377" s="231"/>
      <c r="AK377" s="231"/>
      <c r="AL377" s="231"/>
      <c r="AM377" s="231"/>
      <c r="AN377" s="231"/>
      <c r="AO377" s="231"/>
    </row>
    <row r="378" spans="16:41" s="271" customFormat="1">
      <c r="P378" s="231"/>
      <c r="Q378" s="231"/>
      <c r="R378" s="231"/>
      <c r="S378" s="231"/>
      <c r="T378" s="231"/>
      <c r="U378" s="231"/>
      <c r="V378" s="231"/>
      <c r="W378" s="231"/>
      <c r="X378" s="231"/>
      <c r="Y378" s="231"/>
      <c r="Z378" s="231"/>
      <c r="AA378" s="231"/>
      <c r="AB378" s="231"/>
      <c r="AC378" s="231"/>
      <c r="AD378" s="231"/>
      <c r="AE378" s="231"/>
      <c r="AF378" s="231"/>
      <c r="AG378" s="231"/>
      <c r="AH378" s="231"/>
      <c r="AI378" s="231"/>
      <c r="AJ378" s="231"/>
      <c r="AK378" s="231"/>
      <c r="AL378" s="231"/>
      <c r="AM378" s="231"/>
      <c r="AN378" s="231"/>
      <c r="AO378" s="231"/>
    </row>
    <row r="379" spans="16:41" s="271" customFormat="1">
      <c r="P379" s="231"/>
      <c r="Q379" s="231"/>
      <c r="R379" s="231"/>
      <c r="S379" s="231"/>
      <c r="T379" s="231"/>
      <c r="U379" s="231"/>
      <c r="V379" s="231"/>
      <c r="W379" s="231"/>
      <c r="X379" s="231"/>
      <c r="Y379" s="231"/>
      <c r="Z379" s="231"/>
      <c r="AA379" s="231"/>
      <c r="AB379" s="231"/>
      <c r="AC379" s="231"/>
      <c r="AD379" s="231"/>
      <c r="AE379" s="231"/>
      <c r="AF379" s="231"/>
      <c r="AG379" s="231"/>
      <c r="AH379" s="231"/>
      <c r="AI379" s="231"/>
      <c r="AJ379" s="231"/>
      <c r="AK379" s="231"/>
      <c r="AL379" s="231"/>
      <c r="AM379" s="231"/>
      <c r="AN379" s="231"/>
      <c r="AO379" s="231"/>
    </row>
    <row r="380" spans="16:41" s="271" customFormat="1">
      <c r="P380" s="231"/>
      <c r="Q380" s="231"/>
      <c r="R380" s="231"/>
      <c r="S380" s="231"/>
      <c r="T380" s="231"/>
      <c r="U380" s="231"/>
      <c r="V380" s="231"/>
      <c r="W380" s="231"/>
      <c r="X380" s="231"/>
      <c r="Y380" s="231"/>
      <c r="Z380" s="231"/>
      <c r="AA380" s="231"/>
      <c r="AB380" s="231"/>
      <c r="AC380" s="231"/>
      <c r="AD380" s="231"/>
      <c r="AE380" s="231"/>
      <c r="AF380" s="231"/>
      <c r="AG380" s="231"/>
      <c r="AH380" s="231"/>
      <c r="AI380" s="231"/>
      <c r="AJ380" s="231"/>
      <c r="AK380" s="231"/>
      <c r="AL380" s="231"/>
      <c r="AM380" s="231"/>
      <c r="AN380" s="231"/>
      <c r="AO380" s="231"/>
    </row>
    <row r="381" spans="16:41" s="271" customFormat="1">
      <c r="P381" s="231"/>
      <c r="Q381" s="231"/>
      <c r="R381" s="231"/>
      <c r="S381" s="231"/>
      <c r="T381" s="231"/>
      <c r="U381" s="231"/>
      <c r="V381" s="231"/>
      <c r="W381" s="231"/>
      <c r="X381" s="231"/>
      <c r="Y381" s="231"/>
      <c r="Z381" s="231"/>
      <c r="AA381" s="231"/>
      <c r="AB381" s="231"/>
      <c r="AC381" s="231"/>
      <c r="AD381" s="231"/>
      <c r="AE381" s="231"/>
      <c r="AF381" s="231"/>
      <c r="AG381" s="231"/>
      <c r="AH381" s="231"/>
      <c r="AI381" s="231"/>
      <c r="AJ381" s="231"/>
      <c r="AK381" s="231"/>
      <c r="AL381" s="231"/>
      <c r="AM381" s="231"/>
      <c r="AN381" s="231"/>
      <c r="AO381" s="231"/>
    </row>
    <row r="382" spans="16:41" s="271" customFormat="1">
      <c r="P382" s="231"/>
      <c r="Q382" s="231"/>
      <c r="R382" s="231"/>
      <c r="S382" s="231"/>
      <c r="T382" s="231"/>
      <c r="U382" s="231"/>
      <c r="V382" s="231"/>
      <c r="W382" s="231"/>
      <c r="X382" s="231"/>
      <c r="Y382" s="231"/>
      <c r="Z382" s="231"/>
      <c r="AA382" s="231"/>
      <c r="AB382" s="231"/>
      <c r="AC382" s="231"/>
      <c r="AD382" s="231"/>
      <c r="AE382" s="231"/>
      <c r="AF382" s="231"/>
      <c r="AG382" s="231"/>
      <c r="AH382" s="231"/>
      <c r="AI382" s="231"/>
      <c r="AJ382" s="231"/>
      <c r="AK382" s="231"/>
      <c r="AL382" s="231"/>
      <c r="AM382" s="231"/>
      <c r="AN382" s="231"/>
      <c r="AO382" s="231"/>
    </row>
    <row r="383" spans="16:41" s="271" customFormat="1">
      <c r="P383" s="231"/>
      <c r="Q383" s="231"/>
      <c r="R383" s="231"/>
      <c r="S383" s="231"/>
      <c r="T383" s="231"/>
      <c r="U383" s="231"/>
      <c r="V383" s="231"/>
      <c r="W383" s="231"/>
      <c r="X383" s="231"/>
      <c r="Y383" s="231"/>
      <c r="Z383" s="231"/>
      <c r="AA383" s="231"/>
      <c r="AB383" s="231"/>
      <c r="AC383" s="231"/>
      <c r="AD383" s="231"/>
      <c r="AE383" s="231"/>
      <c r="AF383" s="231"/>
      <c r="AG383" s="231"/>
      <c r="AH383" s="231"/>
      <c r="AI383" s="231"/>
      <c r="AJ383" s="231"/>
      <c r="AK383" s="231"/>
      <c r="AL383" s="231"/>
      <c r="AM383" s="231"/>
      <c r="AN383" s="231"/>
      <c r="AO383" s="231"/>
    </row>
    <row r="384" spans="16:41" s="271" customFormat="1">
      <c r="P384" s="231"/>
      <c r="Q384" s="231"/>
      <c r="R384" s="231"/>
      <c r="S384" s="231"/>
      <c r="T384" s="231"/>
      <c r="U384" s="231"/>
      <c r="V384" s="231"/>
      <c r="W384" s="231"/>
      <c r="X384" s="231"/>
      <c r="Y384" s="231"/>
      <c r="Z384" s="231"/>
      <c r="AA384" s="231"/>
      <c r="AB384" s="231"/>
      <c r="AC384" s="231"/>
      <c r="AD384" s="231"/>
      <c r="AE384" s="231"/>
      <c r="AF384" s="231"/>
      <c r="AG384" s="231"/>
      <c r="AH384" s="231"/>
      <c r="AI384" s="231"/>
      <c r="AJ384" s="231"/>
      <c r="AK384" s="231"/>
      <c r="AL384" s="231"/>
      <c r="AM384" s="231"/>
      <c r="AN384" s="231"/>
      <c r="AO384" s="231"/>
    </row>
    <row r="385" spans="1:41" s="271" customFormat="1">
      <c r="P385" s="231"/>
      <c r="Q385" s="231"/>
      <c r="R385" s="231"/>
      <c r="S385" s="231"/>
      <c r="T385" s="231"/>
      <c r="U385" s="231"/>
      <c r="V385" s="231"/>
      <c r="W385" s="231"/>
      <c r="X385" s="231"/>
      <c r="Y385" s="231"/>
      <c r="Z385" s="231"/>
      <c r="AA385" s="231"/>
      <c r="AB385" s="231"/>
      <c r="AC385" s="231"/>
      <c r="AD385" s="231"/>
      <c r="AE385" s="231"/>
      <c r="AF385" s="231"/>
      <c r="AG385" s="231"/>
      <c r="AH385" s="231"/>
      <c r="AI385" s="231"/>
      <c r="AJ385" s="231"/>
      <c r="AK385" s="231"/>
      <c r="AL385" s="231"/>
      <c r="AM385" s="231"/>
      <c r="AN385" s="231"/>
      <c r="AO385" s="231"/>
    </row>
    <row r="386" spans="1:41" s="271" customFormat="1">
      <c r="P386" s="231"/>
      <c r="Q386" s="231"/>
      <c r="R386" s="231"/>
      <c r="S386" s="231"/>
      <c r="T386" s="231"/>
      <c r="U386" s="231"/>
      <c r="V386" s="231"/>
      <c r="W386" s="231"/>
      <c r="X386" s="231"/>
      <c r="Y386" s="231"/>
      <c r="Z386" s="231"/>
      <c r="AA386" s="231"/>
      <c r="AB386" s="231"/>
      <c r="AC386" s="231"/>
      <c r="AD386" s="231"/>
      <c r="AE386" s="231"/>
      <c r="AF386" s="231"/>
      <c r="AG386" s="231"/>
      <c r="AH386" s="231"/>
      <c r="AI386" s="231"/>
      <c r="AJ386" s="231"/>
      <c r="AK386" s="231"/>
      <c r="AL386" s="231"/>
      <c r="AM386" s="231"/>
      <c r="AN386" s="231"/>
      <c r="AO386" s="231"/>
    </row>
    <row r="387" spans="1:41" s="271" customFormat="1">
      <c r="P387" s="231"/>
      <c r="Q387" s="231"/>
      <c r="R387" s="231"/>
      <c r="S387" s="231"/>
      <c r="T387" s="231"/>
      <c r="U387" s="231"/>
      <c r="V387" s="231"/>
      <c r="W387" s="231"/>
      <c r="X387" s="231"/>
      <c r="Y387" s="231"/>
      <c r="Z387" s="231"/>
      <c r="AA387" s="231"/>
      <c r="AB387" s="231"/>
      <c r="AC387" s="231"/>
      <c r="AD387" s="231"/>
      <c r="AE387" s="231"/>
      <c r="AF387" s="231"/>
      <c r="AG387" s="231"/>
      <c r="AH387" s="231"/>
      <c r="AI387" s="231"/>
      <c r="AJ387" s="231"/>
      <c r="AK387" s="231"/>
      <c r="AL387" s="231"/>
      <c r="AM387" s="231"/>
      <c r="AN387" s="231"/>
      <c r="AO387" s="231"/>
    </row>
    <row r="388" spans="1:41">
      <c r="A388" s="271"/>
      <c r="B388" s="271"/>
      <c r="C388" s="271"/>
      <c r="D388" s="271"/>
      <c r="E388" s="271"/>
      <c r="F388" s="271"/>
      <c r="G388" s="271"/>
      <c r="H388" s="271"/>
      <c r="I388" s="271"/>
    </row>
    <row r="389" spans="1:41">
      <c r="A389" s="271"/>
      <c r="B389" s="271"/>
      <c r="C389" s="271"/>
      <c r="D389" s="271"/>
      <c r="E389" s="271"/>
      <c r="F389" s="271"/>
      <c r="G389" s="271"/>
      <c r="H389" s="271"/>
      <c r="I389" s="271"/>
    </row>
    <row r="390" spans="1:41">
      <c r="A390" s="271"/>
      <c r="B390" s="271"/>
      <c r="C390" s="271"/>
      <c r="D390" s="271"/>
      <c r="E390" s="271"/>
      <c r="F390" s="271"/>
      <c r="G390" s="271"/>
      <c r="H390" s="271"/>
      <c r="I390" s="271"/>
    </row>
    <row r="391" spans="1:41">
      <c r="A391" s="271"/>
      <c r="B391" s="271"/>
      <c r="C391" s="271"/>
      <c r="D391" s="271"/>
      <c r="E391" s="271"/>
      <c r="F391" s="271"/>
      <c r="G391" s="271"/>
      <c r="H391" s="271"/>
      <c r="I391" s="271"/>
    </row>
    <row r="392" spans="1:41">
      <c r="A392" s="271"/>
      <c r="B392" s="271"/>
      <c r="C392" s="271"/>
      <c r="D392" s="271"/>
      <c r="E392" s="271"/>
      <c r="F392" s="271"/>
      <c r="G392" s="271"/>
      <c r="H392" s="271"/>
      <c r="I392" s="271"/>
    </row>
    <row r="393" spans="1:41">
      <c r="A393" s="271"/>
      <c r="B393" s="271"/>
      <c r="C393" s="271"/>
      <c r="D393" s="271"/>
      <c r="E393" s="271"/>
      <c r="F393" s="271"/>
      <c r="G393" s="271"/>
      <c r="H393" s="271"/>
      <c r="I393" s="271"/>
    </row>
    <row r="394" spans="1:41">
      <c r="A394" s="271"/>
      <c r="B394" s="271"/>
      <c r="C394" s="271"/>
      <c r="D394" s="271"/>
      <c r="E394" s="271"/>
      <c r="F394" s="271"/>
      <c r="G394" s="271"/>
      <c r="H394" s="271"/>
      <c r="I394" s="271"/>
    </row>
    <row r="395" spans="1:41">
      <c r="A395" s="271"/>
      <c r="B395" s="271"/>
      <c r="C395" s="271"/>
      <c r="D395" s="271"/>
      <c r="E395" s="271"/>
      <c r="F395" s="271"/>
      <c r="G395" s="271"/>
      <c r="H395" s="271"/>
      <c r="I395" s="271"/>
    </row>
    <row r="396" spans="1:41">
      <c r="A396" s="271"/>
      <c r="B396" s="271"/>
      <c r="C396" s="271"/>
      <c r="D396" s="271"/>
      <c r="E396" s="271"/>
      <c r="F396" s="271"/>
      <c r="G396" s="271"/>
      <c r="H396" s="271"/>
      <c r="I396" s="271"/>
    </row>
    <row r="397" spans="1:41">
      <c r="A397" s="271"/>
      <c r="B397" s="271"/>
      <c r="C397" s="271"/>
      <c r="D397" s="271"/>
      <c r="E397" s="271"/>
      <c r="F397" s="271"/>
      <c r="G397" s="271"/>
      <c r="H397" s="271"/>
      <c r="I397" s="271"/>
    </row>
    <row r="398" spans="1:41">
      <c r="A398" s="271"/>
      <c r="B398" s="271"/>
      <c r="C398" s="271"/>
      <c r="D398" s="271"/>
      <c r="E398" s="271"/>
      <c r="F398" s="271"/>
      <c r="G398" s="271"/>
      <c r="H398" s="271"/>
      <c r="I398" s="271"/>
    </row>
    <row r="399" spans="1:41">
      <c r="A399" s="271"/>
      <c r="B399" s="271"/>
      <c r="C399" s="271"/>
      <c r="D399" s="271"/>
      <c r="E399" s="271"/>
      <c r="F399" s="271"/>
      <c r="G399" s="271"/>
      <c r="H399" s="271"/>
      <c r="I399" s="271"/>
    </row>
    <row r="400" spans="1:41">
      <c r="A400" s="271"/>
      <c r="B400" s="271"/>
      <c r="C400" s="271"/>
      <c r="D400" s="271"/>
      <c r="E400" s="271"/>
      <c r="F400" s="271"/>
      <c r="G400" s="271"/>
      <c r="H400" s="271"/>
      <c r="I400" s="271"/>
    </row>
    <row r="401" spans="1:9">
      <c r="A401" s="271"/>
      <c r="B401" s="271"/>
      <c r="C401" s="271"/>
      <c r="D401" s="271"/>
      <c r="E401" s="271"/>
      <c r="F401" s="271"/>
      <c r="G401" s="271"/>
      <c r="H401" s="271"/>
      <c r="I401" s="271"/>
    </row>
    <row r="402" spans="1:9">
      <c r="A402" s="271"/>
      <c r="B402" s="271"/>
      <c r="C402" s="271"/>
      <c r="D402" s="271"/>
      <c r="E402" s="271"/>
      <c r="F402" s="271"/>
      <c r="G402" s="271"/>
      <c r="H402" s="271"/>
      <c r="I402" s="271"/>
    </row>
  </sheetData>
  <mergeCells count="59">
    <mergeCell ref="C19:F19"/>
    <mergeCell ref="B3:B4"/>
    <mergeCell ref="C3:D4"/>
    <mergeCell ref="A5:B5"/>
    <mergeCell ref="D6:H6"/>
    <mergeCell ref="A9:I9"/>
    <mergeCell ref="D10:F10"/>
    <mergeCell ref="C14:F14"/>
    <mergeCell ref="C15:F15"/>
    <mergeCell ref="C16:F16"/>
    <mergeCell ref="C17:F17"/>
    <mergeCell ref="C18:F18"/>
    <mergeCell ref="A23:D24"/>
    <mergeCell ref="E23:E24"/>
    <mergeCell ref="F23:F24"/>
    <mergeCell ref="H23:H24"/>
    <mergeCell ref="A25:A27"/>
    <mergeCell ref="B25:D27"/>
    <mergeCell ref="E25:E27"/>
    <mergeCell ref="F25:F27"/>
    <mergeCell ref="H25:H27"/>
    <mergeCell ref="A40:D41"/>
    <mergeCell ref="E40:E41"/>
    <mergeCell ref="F40:F41"/>
    <mergeCell ref="H40:H41"/>
    <mergeCell ref="E66:E70"/>
    <mergeCell ref="F66:F70"/>
    <mergeCell ref="G66:G70"/>
    <mergeCell ref="H66:H70"/>
    <mergeCell ref="I66:I70"/>
    <mergeCell ref="F91:F95"/>
    <mergeCell ref="H91:H95"/>
    <mergeCell ref="E193:E197"/>
    <mergeCell ref="F193:F197"/>
    <mergeCell ref="H193:H197"/>
    <mergeCell ref="E153:E157"/>
    <mergeCell ref="F153:F157"/>
    <mergeCell ref="H153:H157"/>
    <mergeCell ref="E91:E95"/>
    <mergeCell ref="E221:E225"/>
    <mergeCell ref="F221:F225"/>
    <mergeCell ref="H221:H225"/>
    <mergeCell ref="E234:E238"/>
    <mergeCell ref="F234:F238"/>
    <mergeCell ref="H234:H238"/>
    <mergeCell ref="E261:E265"/>
    <mergeCell ref="F261:F265"/>
    <mergeCell ref="H261:H265"/>
    <mergeCell ref="E280:E284"/>
    <mergeCell ref="F280:F284"/>
    <mergeCell ref="H280:H284"/>
    <mergeCell ref="E341:E345"/>
    <mergeCell ref="F341:F345"/>
    <mergeCell ref="H341:H345"/>
    <mergeCell ref="E305:E309"/>
    <mergeCell ref="F305:F309"/>
    <mergeCell ref="H305:H309"/>
    <mergeCell ref="C323:H323"/>
    <mergeCell ref="C330:H330"/>
  </mergeCells>
  <phoneticPr fontId="10" type="noConversion"/>
  <conditionalFormatting sqref="F71:F76 F286:F301 F311:F318 F80:F88 F96:F97 F103:F104 F106 F110:F114 F118:F124 F128:F134 F138:F142 F146:F149 F159:F162 F166:F168 F171:F172 F175:F177 F183:F190 F199:F200 F204:F206 F210:F213 F217:F218 F226:F230 F240:F241 F245:F246 F250:F253 F256 F267:F276 H250">
    <cfRule type="expression" dxfId="64" priority="245" stopIfTrue="1">
      <formula>ISBLANK(F71)</formula>
    </cfRule>
    <cfRule type="expression" dxfId="63" priority="246" stopIfTrue="1">
      <formula>IF(AND(OR(F71-E71&gt;500,F71-E71&lt;-500),OR(#REF!&gt;0.1,#REF!&lt;-0.1)),TRUE,FALSE)</formula>
    </cfRule>
  </conditionalFormatting>
  <dataValidations count="1">
    <dataValidation type="list" errorStyle="information" allowBlank="1" showInputMessage="1" showErrorMessage="1" errorTitle="POBE 2006" error="Please select from the drop-down menu..." prompt="Please select your Authority from the drop-down menu..." sqref="C3:D4">
      <formula1>#REF!</formula1>
    </dataValidation>
  </dataValidations>
  <hyperlinks>
    <hyperlink ref="F7" r:id="rId1" display="lgfstats@scotland.gsi.gov.uk"/>
    <hyperlink ref="D6" r:id="rId2"/>
    <hyperlink ref="D10" r:id="rId3" display="^lgfstats@gov.scot"/>
    <hyperlink ref="B14" location="'POBE 2017'!A28" display="PART 1 - Expenditure"/>
    <hyperlink ref="C19:F19" location="'POBE 2017'!A323" display="Sheet 10. - PUBLIC PRIVATE PARTNERSHIPS/PRIVATE FINANCE INITIATIVES"/>
    <hyperlink ref="B15" location="'POBE 2017'!A40" display="PART 2 - Income and Balances"/>
    <hyperlink ref="B16" location="'POBE 2017'!A66" display="Sheet 1. EDUCATION"/>
    <hyperlink ref="B17" location="'POBE 2017'!A91" display="Sheet 2. SOCIAL WORK"/>
    <hyperlink ref="B18" location="'POBE 2017'!A153" display="Sheet 3. ROADS AND TRANSPORT"/>
    <hyperlink ref="B19" location="'POBE 2017'!A193" display="Sheet 4. ENVIRONMENTAL SERVICES"/>
    <hyperlink ref="C14:F14" location="'POBE 2017'!A221" display="Sheet 5. PLANNING AND DEVELOPMENT SERVICES"/>
    <hyperlink ref="C15:F15" location="'POBE 2017'!A234" display="Sheet 6. CULTURAL AND RELATED SERVICES"/>
    <hyperlink ref="C16:F16" location="'POBE 2017'!A261" display="Sheet 7. HOUSING"/>
    <hyperlink ref="C17:F17" location="'POBE 2017'!A280" display="Sheet 8. CENTRAL SERVICES"/>
    <hyperlink ref="C18:F18" location="'POBE 2017'!A305" display="Sheet 9. OTHER EXPENDITURE"/>
  </hyperlinks>
  <pageMargins left="0.75" right="0.75" top="1" bottom="1" header="0.5" footer="0.5"/>
  <pageSetup paperSize="9" orientation="portrait" horizontalDpi="4294967292" r:id="rId4"/>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AK411"/>
  <sheetViews>
    <sheetView topLeftCell="A187" zoomScale="80" zoomScaleNormal="80" workbookViewId="0">
      <selection activeCell="F189" sqref="F189"/>
    </sheetView>
  </sheetViews>
  <sheetFormatPr defaultColWidth="9.140625" defaultRowHeight="12.75"/>
  <cols>
    <col min="1" max="1" width="10.5703125" customWidth="1"/>
    <col min="2" max="2" width="43" customWidth="1"/>
    <col min="3" max="3" width="24.5703125" customWidth="1"/>
    <col min="4" max="4" width="14.7109375" customWidth="1"/>
    <col min="5" max="5" width="21.5703125" customWidth="1"/>
    <col min="6" max="6" width="19.140625" customWidth="1"/>
    <col min="7" max="7" width="17.42578125" customWidth="1"/>
    <col min="8" max="8" width="19.28515625" customWidth="1"/>
    <col min="9" max="9" width="17.85546875" customWidth="1"/>
    <col min="10" max="19" width="9.140625" style="271" customWidth="1"/>
    <col min="20" max="30" width="9.140625" style="271"/>
    <col min="31" max="31" width="0" style="271" hidden="1" customWidth="1"/>
    <col min="32" max="37" width="9.140625" style="271"/>
  </cols>
  <sheetData>
    <row r="1" spans="1:37" s="203" customFormat="1" ht="51" customHeight="1">
      <c r="A1" s="442" t="s">
        <v>410</v>
      </c>
      <c r="B1" s="443"/>
      <c r="C1" s="5"/>
      <c r="D1" s="5"/>
      <c r="E1" s="5"/>
      <c r="F1" s="5"/>
      <c r="G1" s="6"/>
      <c r="H1" s="7"/>
      <c r="I1" s="444"/>
      <c r="J1" s="231"/>
      <c r="K1" s="231"/>
      <c r="L1" s="231"/>
      <c r="M1" s="231"/>
      <c r="N1" s="231"/>
      <c r="O1" s="231"/>
      <c r="P1" s="231"/>
      <c r="Q1" s="231"/>
      <c r="R1" s="231"/>
      <c r="S1" s="231"/>
      <c r="T1" s="231"/>
      <c r="U1" s="231"/>
      <c r="V1" s="231"/>
      <c r="W1" s="231"/>
      <c r="X1" s="231"/>
      <c r="Y1" s="231"/>
      <c r="Z1" s="231"/>
      <c r="AA1" s="231"/>
      <c r="AB1" s="231"/>
      <c r="AC1" s="231"/>
      <c r="AD1" s="231"/>
      <c r="AE1" s="231"/>
      <c r="AF1" s="231"/>
      <c r="AG1" s="231"/>
      <c r="AH1" s="231"/>
      <c r="AI1" s="231"/>
      <c r="AJ1" s="231"/>
      <c r="AK1" s="231"/>
    </row>
    <row r="2" spans="1:37" s="203" customFormat="1" ht="35.25">
      <c r="A2" s="445"/>
      <c r="B2" s="446"/>
      <c r="C2" s="447"/>
      <c r="D2" s="447"/>
      <c r="E2" s="447"/>
      <c r="F2" s="448"/>
      <c r="G2" s="448"/>
      <c r="H2" s="448"/>
      <c r="I2" s="448"/>
      <c r="J2" s="231"/>
      <c r="K2" s="231"/>
      <c r="L2" s="231"/>
      <c r="M2" s="231"/>
      <c r="N2" s="231"/>
      <c r="O2" s="231"/>
      <c r="P2" s="231"/>
      <c r="Q2" s="231"/>
      <c r="R2" s="231"/>
      <c r="S2" s="231"/>
      <c r="T2" s="231"/>
      <c r="U2" s="231"/>
      <c r="V2" s="231"/>
      <c r="W2" s="231"/>
      <c r="X2" s="231"/>
      <c r="Y2" s="231"/>
      <c r="Z2" s="231"/>
      <c r="AA2" s="231"/>
      <c r="AB2" s="231"/>
      <c r="AC2" s="231"/>
      <c r="AD2" s="231"/>
      <c r="AE2" s="231"/>
      <c r="AF2" s="231"/>
      <c r="AG2" s="231"/>
      <c r="AH2" s="231"/>
      <c r="AI2" s="231"/>
      <c r="AJ2" s="231"/>
      <c r="AK2" s="231"/>
    </row>
    <row r="3" spans="1:37" s="203" customFormat="1" ht="15">
      <c r="A3" s="450"/>
      <c r="B3" s="952" t="s">
        <v>0</v>
      </c>
      <c r="C3" s="884" t="s">
        <v>4</v>
      </c>
      <c r="D3" s="885"/>
      <c r="E3" s="451"/>
      <c r="F3" s="271"/>
      <c r="G3" s="271"/>
      <c r="H3" s="452"/>
      <c r="I3" s="271"/>
      <c r="J3" s="231"/>
      <c r="K3" s="231"/>
      <c r="L3" s="231"/>
      <c r="M3" s="231"/>
      <c r="N3" s="231"/>
      <c r="O3" s="231"/>
      <c r="P3" s="231"/>
      <c r="Q3" s="231"/>
      <c r="R3" s="231"/>
      <c r="S3" s="231"/>
      <c r="T3" s="231"/>
      <c r="U3" s="231"/>
      <c r="V3" s="231"/>
      <c r="W3" s="231"/>
      <c r="X3" s="231"/>
      <c r="Y3" s="231"/>
      <c r="Z3" s="231"/>
      <c r="AA3" s="231"/>
      <c r="AB3" s="231"/>
      <c r="AC3" s="231"/>
      <c r="AD3" s="231"/>
      <c r="AE3" s="231"/>
      <c r="AF3" s="231"/>
      <c r="AG3" s="231"/>
      <c r="AH3" s="231"/>
      <c r="AI3" s="231"/>
      <c r="AJ3" s="231"/>
      <c r="AK3" s="231"/>
    </row>
    <row r="4" spans="1:37" s="203" customFormat="1" ht="15">
      <c r="A4" s="453"/>
      <c r="B4" s="953"/>
      <c r="C4" s="886"/>
      <c r="D4" s="887"/>
      <c r="E4" s="451"/>
      <c r="F4" s="271"/>
      <c r="G4" s="271"/>
      <c r="H4" s="452"/>
      <c r="I4" s="271"/>
      <c r="J4" s="231"/>
      <c r="K4" s="231"/>
      <c r="L4" s="231"/>
      <c r="M4" s="231"/>
      <c r="N4" s="231"/>
      <c r="O4" s="231"/>
      <c r="P4" s="231"/>
      <c r="Q4" s="231"/>
      <c r="R4" s="231"/>
      <c r="S4" s="231"/>
      <c r="T4" s="231"/>
      <c r="U4" s="231"/>
      <c r="V4" s="231"/>
      <c r="W4" s="231"/>
      <c r="X4" s="231"/>
      <c r="Y4" s="231"/>
      <c r="Z4" s="231"/>
      <c r="AA4" s="231"/>
      <c r="AB4" s="231"/>
      <c r="AC4" s="231"/>
      <c r="AD4" s="231"/>
      <c r="AE4" s="231"/>
      <c r="AF4" s="231"/>
      <c r="AG4" s="231"/>
      <c r="AH4" s="231"/>
      <c r="AI4" s="231"/>
      <c r="AJ4" s="231"/>
      <c r="AK4" s="231"/>
    </row>
    <row r="5" spans="1:37" s="203" customFormat="1" ht="15">
      <c r="A5" s="954"/>
      <c r="B5" s="955"/>
      <c r="C5" s="454"/>
      <c r="D5" s="455"/>
      <c r="E5" s="455"/>
      <c r="F5" s="271"/>
      <c r="G5" s="271"/>
      <c r="H5" s="271"/>
      <c r="I5" s="449"/>
      <c r="J5" s="231"/>
      <c r="K5" s="231"/>
      <c r="L5" s="231"/>
      <c r="M5" s="231"/>
      <c r="N5" s="231"/>
      <c r="O5" s="231"/>
      <c r="P5" s="231"/>
      <c r="Q5" s="231"/>
      <c r="R5" s="231"/>
      <c r="S5" s="231"/>
      <c r="T5" s="231"/>
      <c r="U5" s="231"/>
      <c r="V5" s="231"/>
      <c r="W5" s="231"/>
      <c r="X5" s="231"/>
      <c r="Y5" s="231"/>
      <c r="Z5" s="231"/>
      <c r="AA5" s="231"/>
      <c r="AB5" s="231"/>
      <c r="AC5" s="231"/>
      <c r="AD5" s="231"/>
      <c r="AE5" s="231"/>
      <c r="AF5" s="231"/>
      <c r="AG5" s="231"/>
      <c r="AH5" s="231"/>
      <c r="AI5" s="231"/>
      <c r="AJ5" s="231"/>
      <c r="AK5" s="231"/>
    </row>
    <row r="6" spans="1:37" s="203" customFormat="1" ht="23.25" customHeight="1">
      <c r="A6" s="456" t="s">
        <v>1</v>
      </c>
      <c r="B6" s="457"/>
      <c r="C6" s="458"/>
      <c r="D6" s="956" t="s">
        <v>249</v>
      </c>
      <c r="E6" s="956"/>
      <c r="F6" s="956"/>
      <c r="G6" s="956"/>
      <c r="H6" s="956"/>
      <c r="I6" s="459"/>
      <c r="J6" s="231"/>
      <c r="K6" s="231"/>
      <c r="L6" s="231"/>
      <c r="M6" s="231"/>
      <c r="N6" s="231"/>
      <c r="O6" s="231"/>
      <c r="P6" s="231"/>
      <c r="Q6" s="231"/>
      <c r="R6" s="231"/>
      <c r="S6" s="231"/>
      <c r="T6" s="231"/>
      <c r="U6" s="231"/>
      <c r="V6" s="231"/>
      <c r="W6" s="231"/>
      <c r="X6" s="231"/>
      <c r="Y6" s="231"/>
      <c r="Z6" s="231"/>
      <c r="AA6" s="231"/>
      <c r="AB6" s="231"/>
      <c r="AC6" s="231"/>
      <c r="AD6" s="231"/>
      <c r="AE6" s="231"/>
      <c r="AF6" s="231"/>
      <c r="AG6" s="231"/>
      <c r="AH6" s="231"/>
      <c r="AI6" s="231"/>
      <c r="AJ6" s="231"/>
      <c r="AK6" s="231"/>
    </row>
    <row r="7" spans="1:37" s="203" customFormat="1" ht="18.75" customHeight="1">
      <c r="A7" s="456" t="s">
        <v>419</v>
      </c>
      <c r="B7" s="457"/>
      <c r="C7" s="457"/>
      <c r="D7" s="457"/>
      <c r="E7" s="457"/>
      <c r="F7" s="460" t="s">
        <v>250</v>
      </c>
      <c r="G7"/>
      <c r="H7" s="461"/>
      <c r="I7" s="459"/>
      <c r="J7" s="231"/>
      <c r="K7" s="231"/>
      <c r="L7" s="231"/>
      <c r="M7" s="231"/>
      <c r="N7" s="231"/>
      <c r="O7" s="231"/>
      <c r="P7" s="231"/>
      <c r="Q7" s="231"/>
      <c r="R7" s="231"/>
      <c r="S7" s="231"/>
      <c r="T7" s="231"/>
      <c r="U7" s="231"/>
      <c r="V7" s="231"/>
      <c r="W7" s="231"/>
      <c r="X7" s="231"/>
      <c r="Y7" s="231"/>
      <c r="Z7" s="231"/>
      <c r="AA7" s="231"/>
      <c r="AB7" s="231"/>
      <c r="AC7" s="231"/>
      <c r="AD7" s="231"/>
      <c r="AE7" s="231"/>
      <c r="AF7" s="231"/>
      <c r="AG7" s="231"/>
      <c r="AH7" s="231"/>
      <c r="AI7" s="231"/>
      <c r="AJ7" s="231"/>
      <c r="AK7" s="231"/>
    </row>
    <row r="8" spans="1:37" s="203" customFormat="1" ht="24" customHeight="1">
      <c r="A8" s="462" t="s">
        <v>408</v>
      </c>
      <c r="B8" s="457"/>
      <c r="C8" s="457"/>
      <c r="D8" s="457"/>
      <c r="E8" s="457"/>
      <c r="F8" s="457"/>
      <c r="G8" s="823"/>
      <c r="H8" s="461"/>
      <c r="I8" s="459"/>
      <c r="J8" s="231"/>
      <c r="K8" s="231"/>
      <c r="L8" s="231"/>
      <c r="M8" s="231"/>
      <c r="N8" s="231"/>
      <c r="O8" s="231"/>
      <c r="P8" s="231"/>
      <c r="Q8" s="231"/>
      <c r="R8" s="231"/>
      <c r="S8" s="231"/>
      <c r="T8" s="231"/>
      <c r="U8" s="231"/>
      <c r="V8" s="231"/>
      <c r="W8" s="231"/>
      <c r="X8" s="231"/>
      <c r="Y8" s="231"/>
      <c r="Z8" s="231"/>
      <c r="AA8" s="231"/>
      <c r="AB8" s="231"/>
      <c r="AC8" s="231"/>
      <c r="AD8" s="231"/>
      <c r="AE8" s="231"/>
      <c r="AF8" s="231"/>
      <c r="AG8" s="231"/>
      <c r="AH8" s="231"/>
      <c r="AI8" s="231"/>
      <c r="AJ8" s="231"/>
      <c r="AK8" s="231"/>
    </row>
    <row r="9" spans="1:37" s="203" customFormat="1" ht="30.75" customHeight="1">
      <c r="A9" s="957" t="s">
        <v>420</v>
      </c>
      <c r="B9" s="958"/>
      <c r="C9" s="958"/>
      <c r="D9" s="958"/>
      <c r="E9" s="958"/>
      <c r="F9" s="958"/>
      <c r="G9" s="958"/>
      <c r="H9" s="958"/>
      <c r="I9" s="958"/>
      <c r="J9" s="231"/>
      <c r="K9" s="231"/>
      <c r="L9" s="231"/>
      <c r="M9" s="231"/>
      <c r="N9" s="231"/>
      <c r="O9" s="231"/>
      <c r="P9" s="231"/>
      <c r="Q9" s="231"/>
      <c r="R9" s="231"/>
      <c r="S9" s="231"/>
      <c r="T9" s="231"/>
      <c r="U9" s="231"/>
      <c r="V9" s="231"/>
      <c r="W9" s="231"/>
      <c r="X9" s="231"/>
      <c r="Y9" s="231"/>
      <c r="Z9" s="231"/>
      <c r="AA9" s="231"/>
      <c r="AB9" s="231"/>
      <c r="AC9" s="231"/>
      <c r="AD9" s="231"/>
      <c r="AE9" s="231"/>
      <c r="AF9" s="231"/>
      <c r="AG9" s="231"/>
      <c r="AH9" s="231"/>
      <c r="AI9" s="231"/>
      <c r="AJ9" s="231"/>
      <c r="AK9" s="231"/>
    </row>
    <row r="10" spans="1:37" s="203" customFormat="1" ht="12.75" customHeight="1">
      <c r="A10" s="462" t="s">
        <v>409</v>
      </c>
      <c r="B10" s="456"/>
      <c r="C10"/>
      <c r="D10" s="959" t="s">
        <v>250</v>
      </c>
      <c r="E10" s="960"/>
      <c r="F10" s="960"/>
      <c r="G10" s="457"/>
      <c r="H10" s="457"/>
      <c r="I10" s="459"/>
      <c r="J10" s="231"/>
      <c r="K10" s="231"/>
      <c r="L10" s="231"/>
      <c r="M10" s="231"/>
      <c r="N10" s="231"/>
      <c r="O10" s="231"/>
      <c r="P10" s="231"/>
      <c r="Q10" s="231"/>
      <c r="R10" s="231"/>
      <c r="S10" s="231"/>
      <c r="T10" s="231"/>
      <c r="U10" s="231"/>
      <c r="V10" s="231"/>
      <c r="W10" s="231"/>
      <c r="X10" s="231"/>
      <c r="Y10" s="231"/>
      <c r="Z10" s="231"/>
      <c r="AA10" s="231"/>
      <c r="AB10" s="231"/>
      <c r="AC10" s="231"/>
      <c r="AD10" s="231"/>
      <c r="AE10" s="231"/>
      <c r="AF10" s="231"/>
      <c r="AG10" s="231"/>
      <c r="AH10" s="231"/>
      <c r="AI10" s="231"/>
      <c r="AJ10" s="231"/>
      <c r="AK10" s="231"/>
    </row>
    <row r="11" spans="1:37" s="203" customFormat="1">
      <c r="A11" s="464"/>
      <c r="B11" s="457"/>
      <c r="C11" s="457"/>
      <c r="D11" s="457"/>
      <c r="E11" s="457"/>
      <c r="F11" s="457"/>
      <c r="G11" s="461"/>
      <c r="H11" s="461"/>
      <c r="I11" s="459"/>
      <c r="J11" s="231"/>
      <c r="K11" s="231"/>
      <c r="L11" s="231"/>
      <c r="M11" s="231"/>
      <c r="N11" s="231"/>
      <c r="O11" s="231"/>
      <c r="P11" s="231"/>
      <c r="Q11" s="231"/>
      <c r="R11" s="231"/>
      <c r="S11" s="231"/>
      <c r="T11" s="231"/>
      <c r="U11" s="231"/>
      <c r="V11" s="231"/>
      <c r="W11" s="231"/>
      <c r="X11" s="231"/>
      <c r="Y11" s="231"/>
      <c r="Z11" s="231"/>
      <c r="AA11" s="231"/>
      <c r="AB11" s="231"/>
      <c r="AC11" s="231"/>
      <c r="AD11" s="231"/>
      <c r="AE11" s="231"/>
      <c r="AF11" s="231"/>
      <c r="AG11" s="231"/>
      <c r="AH11" s="231"/>
      <c r="AI11" s="231"/>
      <c r="AJ11" s="231"/>
      <c r="AK11" s="231"/>
    </row>
    <row r="12" spans="1:37" s="203" customFormat="1">
      <c r="A12" s="465"/>
      <c r="B12" s="466" t="s">
        <v>7</v>
      </c>
      <c r="C12" s="467"/>
      <c r="D12" s="356"/>
      <c r="E12" s="356"/>
      <c r="F12" s="357"/>
      <c r="G12" s="461"/>
      <c r="H12" s="461"/>
      <c r="I12" s="459"/>
      <c r="J12" s="231"/>
      <c r="K12" s="231"/>
      <c r="L12" s="231"/>
      <c r="M12" s="231"/>
      <c r="N12" s="231"/>
      <c r="O12" s="231"/>
      <c r="P12" s="231"/>
      <c r="Q12" s="231"/>
      <c r="R12" s="231"/>
      <c r="S12" s="231"/>
      <c r="T12" s="231"/>
      <c r="U12" s="231"/>
      <c r="V12" s="231"/>
      <c r="W12" s="231"/>
      <c r="X12" s="231"/>
      <c r="Y12" s="231"/>
      <c r="Z12" s="231"/>
      <c r="AA12" s="231"/>
      <c r="AB12" s="231"/>
      <c r="AC12" s="231"/>
      <c r="AD12" s="231"/>
      <c r="AE12" s="231"/>
      <c r="AF12" s="231"/>
      <c r="AG12" s="231"/>
      <c r="AH12" s="231"/>
      <c r="AI12" s="231"/>
      <c r="AJ12" s="231"/>
      <c r="AK12" s="231"/>
    </row>
    <row r="13" spans="1:37" s="203" customFormat="1">
      <c r="A13" s="464"/>
      <c r="B13" s="468"/>
      <c r="C13" s="469"/>
      <c r="D13" s="452"/>
      <c r="E13" s="452"/>
      <c r="F13" s="359"/>
      <c r="G13" s="457"/>
      <c r="H13" s="461"/>
      <c r="I13" s="459"/>
      <c r="J13" s="231"/>
      <c r="K13" s="231"/>
      <c r="L13" s="231"/>
      <c r="M13" s="231"/>
      <c r="N13" s="231"/>
      <c r="O13" s="231"/>
      <c r="P13" s="231"/>
      <c r="Q13" s="231"/>
      <c r="R13" s="231"/>
      <c r="S13" s="231"/>
      <c r="T13" s="231"/>
      <c r="U13" s="231"/>
      <c r="V13" s="231"/>
      <c r="W13" s="231"/>
      <c r="X13" s="231"/>
      <c r="Y13" s="231"/>
      <c r="Z13" s="231"/>
      <c r="AA13" s="231"/>
      <c r="AB13" s="231"/>
      <c r="AC13" s="231"/>
      <c r="AD13" s="231"/>
      <c r="AE13" s="231"/>
      <c r="AF13" s="231"/>
      <c r="AG13" s="231"/>
      <c r="AH13" s="231"/>
      <c r="AI13" s="231"/>
      <c r="AJ13" s="231"/>
      <c r="AK13" s="231"/>
    </row>
    <row r="14" spans="1:37" s="203" customFormat="1">
      <c r="A14" s="464"/>
      <c r="B14" s="363" t="s">
        <v>328</v>
      </c>
      <c r="C14" s="961" t="s">
        <v>10</v>
      </c>
      <c r="D14" s="961"/>
      <c r="E14" s="961"/>
      <c r="F14" s="871"/>
      <c r="G14" s="457"/>
      <c r="H14" s="461"/>
      <c r="I14" s="459"/>
      <c r="J14" s="231"/>
      <c r="K14" s="231"/>
      <c r="L14" s="231"/>
      <c r="M14" s="231"/>
      <c r="N14" s="231"/>
      <c r="O14" s="231"/>
      <c r="P14" s="231"/>
      <c r="Q14" s="231"/>
      <c r="R14" s="231"/>
      <c r="S14" s="231"/>
      <c r="T14" s="231"/>
      <c r="U14" s="231"/>
      <c r="V14" s="231"/>
      <c r="W14" s="231"/>
      <c r="X14" s="231"/>
      <c r="Y14" s="231"/>
      <c r="Z14" s="231"/>
      <c r="AA14" s="231"/>
      <c r="AB14" s="231"/>
      <c r="AC14" s="231"/>
      <c r="AD14" s="231"/>
      <c r="AE14" s="231"/>
      <c r="AF14" s="231"/>
      <c r="AG14" s="231"/>
      <c r="AH14" s="231"/>
      <c r="AI14" s="231"/>
      <c r="AJ14" s="231"/>
      <c r="AK14" s="231"/>
    </row>
    <row r="15" spans="1:37" s="203" customFormat="1">
      <c r="A15" s="464"/>
      <c r="B15" s="363" t="s">
        <v>329</v>
      </c>
      <c r="C15" s="961" t="s">
        <v>12</v>
      </c>
      <c r="D15" s="961"/>
      <c r="E15" s="961"/>
      <c r="F15" s="871"/>
      <c r="G15" s="457"/>
      <c r="H15" s="461"/>
      <c r="I15" s="459"/>
      <c r="J15" s="231"/>
      <c r="K15" s="231"/>
      <c r="L15" s="231"/>
      <c r="M15" s="231"/>
      <c r="N15" s="231"/>
      <c r="O15" s="231"/>
      <c r="P15" s="231"/>
      <c r="Q15" s="231"/>
      <c r="R15" s="231"/>
      <c r="S15" s="231"/>
      <c r="T15" s="231"/>
      <c r="U15" s="231"/>
      <c r="V15" s="231"/>
      <c r="W15" s="231"/>
      <c r="X15" s="231"/>
      <c r="Y15" s="231"/>
      <c r="Z15" s="231"/>
      <c r="AA15" s="231"/>
      <c r="AB15" s="231"/>
      <c r="AC15" s="231"/>
      <c r="AD15" s="231"/>
      <c r="AE15" s="231"/>
      <c r="AF15" s="231"/>
      <c r="AG15" s="231"/>
      <c r="AH15" s="231"/>
      <c r="AI15" s="231"/>
      <c r="AJ15" s="231"/>
      <c r="AK15" s="231"/>
    </row>
    <row r="16" spans="1:37" s="203" customFormat="1">
      <c r="A16" s="464"/>
      <c r="B16" s="360" t="s">
        <v>14</v>
      </c>
      <c r="C16" s="961" t="s">
        <v>15</v>
      </c>
      <c r="D16" s="961"/>
      <c r="E16" s="961"/>
      <c r="F16" s="871"/>
      <c r="G16" s="457"/>
      <c r="H16" s="461"/>
      <c r="I16" s="459"/>
      <c r="J16" s="231"/>
      <c r="K16" s="231"/>
      <c r="L16" s="231"/>
      <c r="M16" s="231"/>
      <c r="N16" s="231"/>
      <c r="O16" s="231"/>
      <c r="P16" s="231"/>
      <c r="Q16" s="231"/>
      <c r="R16" s="231"/>
      <c r="S16" s="231"/>
      <c r="T16" s="231"/>
      <c r="U16" s="231"/>
      <c r="V16" s="231"/>
      <c r="W16" s="231"/>
      <c r="X16" s="231"/>
      <c r="Y16" s="231"/>
      <c r="Z16" s="231"/>
      <c r="AA16" s="231"/>
      <c r="AB16" s="231"/>
      <c r="AC16" s="231"/>
      <c r="AD16" s="231"/>
      <c r="AE16" s="231"/>
      <c r="AF16" s="231"/>
      <c r="AG16" s="231"/>
      <c r="AH16" s="231"/>
      <c r="AI16" s="231"/>
      <c r="AJ16" s="231"/>
      <c r="AK16" s="231"/>
    </row>
    <row r="17" spans="1:37" s="203" customFormat="1">
      <c r="A17" s="464"/>
      <c r="B17" s="360" t="s">
        <v>17</v>
      </c>
      <c r="C17" s="961" t="s">
        <v>18</v>
      </c>
      <c r="D17" s="961"/>
      <c r="E17" s="961"/>
      <c r="F17" s="871"/>
      <c r="G17" s="457"/>
      <c r="H17" s="461"/>
      <c r="I17" s="459"/>
      <c r="J17" s="231"/>
      <c r="K17" s="231"/>
      <c r="L17" s="231"/>
      <c r="M17" s="231"/>
      <c r="N17" s="231"/>
      <c r="O17" s="231"/>
      <c r="P17" s="231"/>
      <c r="Q17" s="231"/>
      <c r="R17" s="231"/>
      <c r="S17" s="231"/>
      <c r="T17" s="231"/>
      <c r="U17" s="231"/>
      <c r="V17" s="231"/>
      <c r="W17" s="231"/>
      <c r="X17" s="231"/>
      <c r="Y17" s="231"/>
      <c r="Z17" s="231"/>
      <c r="AA17" s="231"/>
      <c r="AB17" s="231"/>
      <c r="AC17" s="231"/>
      <c r="AD17" s="231"/>
      <c r="AE17" s="231"/>
      <c r="AF17" s="231"/>
      <c r="AG17" s="231"/>
      <c r="AH17" s="231"/>
      <c r="AI17" s="231"/>
      <c r="AJ17" s="231"/>
      <c r="AK17" s="231"/>
    </row>
    <row r="18" spans="1:37" s="203" customFormat="1">
      <c r="A18" s="464"/>
      <c r="B18" s="360" t="s">
        <v>20</v>
      </c>
      <c r="C18" s="961" t="s">
        <v>21</v>
      </c>
      <c r="D18" s="961"/>
      <c r="E18" s="961"/>
      <c r="F18" s="871"/>
      <c r="G18" s="457"/>
      <c r="H18" s="461"/>
      <c r="I18" s="459"/>
      <c r="J18" s="231"/>
      <c r="K18" s="231"/>
      <c r="L18" s="231"/>
      <c r="M18" s="231"/>
      <c r="N18" s="231"/>
      <c r="O18" s="231"/>
      <c r="P18" s="231"/>
      <c r="Q18" s="231"/>
      <c r="R18" s="231"/>
      <c r="S18" s="231"/>
      <c r="T18" s="231"/>
      <c r="U18" s="231"/>
      <c r="V18" s="231"/>
      <c r="W18" s="231"/>
      <c r="X18" s="231"/>
      <c r="Y18" s="231"/>
      <c r="Z18" s="231"/>
      <c r="AA18" s="231"/>
      <c r="AB18" s="231"/>
      <c r="AC18" s="231"/>
      <c r="AD18" s="231"/>
      <c r="AE18" s="231"/>
      <c r="AF18" s="231"/>
      <c r="AG18" s="231"/>
      <c r="AH18" s="231"/>
      <c r="AI18" s="231"/>
      <c r="AJ18" s="231"/>
      <c r="AK18" s="231"/>
    </row>
    <row r="19" spans="1:37" s="203" customFormat="1">
      <c r="A19" s="464"/>
      <c r="B19" s="361" t="s">
        <v>23</v>
      </c>
      <c r="C19" s="872" t="s">
        <v>24</v>
      </c>
      <c r="D19" s="872"/>
      <c r="E19" s="872"/>
      <c r="F19" s="873"/>
      <c r="G19" s="461"/>
      <c r="H19" s="461"/>
      <c r="I19" s="459"/>
      <c r="J19" s="231"/>
      <c r="K19" s="231"/>
      <c r="L19" s="231"/>
      <c r="M19" s="231"/>
      <c r="N19" s="231"/>
      <c r="O19" s="231"/>
      <c r="P19" s="231"/>
      <c r="Q19" s="231"/>
      <c r="R19" s="231"/>
      <c r="S19" s="231"/>
      <c r="T19" s="231"/>
      <c r="U19" s="231"/>
      <c r="V19" s="231"/>
      <c r="W19" s="231"/>
      <c r="X19" s="231"/>
      <c r="Y19" s="231"/>
      <c r="Z19" s="231"/>
      <c r="AA19" s="231"/>
      <c r="AB19" s="231"/>
      <c r="AC19" s="231"/>
      <c r="AD19" s="231"/>
      <c r="AE19" s="231"/>
      <c r="AF19" s="231"/>
      <c r="AG19" s="231"/>
      <c r="AH19" s="231"/>
      <c r="AI19" s="231"/>
      <c r="AJ19" s="231"/>
      <c r="AK19" s="231"/>
    </row>
    <row r="20" spans="1:37" s="203" customFormat="1">
      <c r="A20" s="28"/>
      <c r="B20" s="455"/>
      <c r="C20" s="455"/>
      <c r="D20" s="455"/>
      <c r="E20" s="455"/>
      <c r="F20" s="455"/>
      <c r="G20" s="455"/>
      <c r="H20" s="455"/>
      <c r="I20" s="455"/>
      <c r="J20" s="231"/>
      <c r="K20" s="231"/>
      <c r="L20" s="231"/>
      <c r="M20" s="231"/>
      <c r="N20" s="231"/>
      <c r="O20" s="231"/>
      <c r="P20" s="231"/>
      <c r="Q20" s="231"/>
      <c r="R20" s="231"/>
      <c r="S20" s="231"/>
      <c r="T20" s="231"/>
      <c r="U20" s="231"/>
      <c r="V20" s="231"/>
      <c r="W20" s="231"/>
      <c r="X20" s="231"/>
      <c r="Y20" s="231"/>
      <c r="Z20" s="231"/>
      <c r="AA20" s="231"/>
      <c r="AB20" s="231"/>
      <c r="AC20" s="231"/>
      <c r="AD20" s="231"/>
      <c r="AE20" s="231"/>
      <c r="AF20" s="231"/>
      <c r="AG20" s="231"/>
      <c r="AH20" s="231"/>
      <c r="AI20" s="231"/>
      <c r="AJ20" s="231"/>
      <c r="AK20" s="231"/>
    </row>
    <row r="21" spans="1:37" s="203" customFormat="1" ht="19.5">
      <c r="A21" s="470"/>
      <c r="B21" s="451"/>
      <c r="C21" s="451"/>
      <c r="D21" s="451"/>
      <c r="E21" s="451"/>
      <c r="F21" s="451"/>
      <c r="G21" s="451"/>
      <c r="H21" s="471" t="s">
        <v>27</v>
      </c>
      <c r="I21" s="472"/>
      <c r="J21" s="231"/>
      <c r="K21" s="231"/>
      <c r="L21" s="231"/>
      <c r="M21" s="231"/>
      <c r="N21" s="231"/>
      <c r="O21" s="231"/>
      <c r="P21" s="231"/>
      <c r="Q21" s="231"/>
      <c r="R21" s="231"/>
      <c r="S21" s="231"/>
      <c r="T21" s="231"/>
      <c r="U21" s="231"/>
      <c r="V21" s="231"/>
      <c r="W21" s="231"/>
      <c r="X21" s="231"/>
      <c r="Y21" s="231"/>
      <c r="Z21" s="231"/>
      <c r="AA21" s="231"/>
      <c r="AB21" s="231"/>
      <c r="AC21" s="231"/>
      <c r="AD21" s="231"/>
      <c r="AE21" s="231"/>
      <c r="AF21" s="231"/>
      <c r="AG21" s="231"/>
      <c r="AH21" s="231"/>
      <c r="AI21" s="231"/>
      <c r="AJ21" s="231"/>
      <c r="AK21" s="231"/>
    </row>
    <row r="22" spans="1:37" s="203" customFormat="1" ht="18.75" customHeight="1">
      <c r="A22" s="474"/>
      <c r="B22" s="459"/>
      <c r="C22" s="459"/>
      <c r="D22" s="459"/>
      <c r="E22" s="459"/>
      <c r="F22" s="475">
        <v>1</v>
      </c>
      <c r="G22" s="476"/>
      <c r="H22" s="475">
        <v>2</v>
      </c>
      <c r="I22" s="476"/>
      <c r="J22" s="231"/>
      <c r="K22" s="231"/>
      <c r="L22" s="231"/>
      <c r="M22" s="231"/>
      <c r="N22" s="231"/>
      <c r="O22" s="231"/>
      <c r="P22" s="231"/>
      <c r="Q22" s="231"/>
      <c r="R22" s="231"/>
      <c r="S22" s="231"/>
      <c r="T22" s="231"/>
      <c r="U22" s="231"/>
      <c r="V22" s="231"/>
      <c r="W22" s="231"/>
      <c r="X22" s="231"/>
      <c r="Y22" s="231"/>
      <c r="Z22" s="231"/>
      <c r="AA22" s="231"/>
      <c r="AB22" s="231"/>
      <c r="AC22" s="231"/>
      <c r="AD22" s="231"/>
      <c r="AE22" s="231"/>
      <c r="AF22" s="231"/>
      <c r="AG22" s="231"/>
      <c r="AH22" s="231"/>
      <c r="AI22" s="231"/>
      <c r="AJ22" s="231"/>
      <c r="AK22" s="231"/>
    </row>
    <row r="23" spans="1:37" s="203" customFormat="1" ht="21.95" customHeight="1">
      <c r="A23" s="938" t="s">
        <v>30</v>
      </c>
      <c r="B23" s="939"/>
      <c r="C23" s="939"/>
      <c r="D23" s="939"/>
      <c r="E23" s="933" t="s">
        <v>376</v>
      </c>
      <c r="F23" s="910" t="s">
        <v>407</v>
      </c>
      <c r="G23" s="478"/>
      <c r="H23" s="933" t="s">
        <v>406</v>
      </c>
      <c r="I23" s="478"/>
      <c r="J23" s="231"/>
      <c r="K23" s="231"/>
      <c r="L23" s="231"/>
      <c r="M23" s="231"/>
      <c r="N23" s="231"/>
      <c r="O23" s="231"/>
      <c r="P23" s="231"/>
      <c r="Q23" s="231"/>
      <c r="R23" s="231"/>
      <c r="S23" s="231"/>
      <c r="T23" s="231"/>
      <c r="U23" s="231"/>
      <c r="V23" s="231"/>
      <c r="W23" s="231"/>
      <c r="X23" s="231"/>
      <c r="Y23" s="231"/>
      <c r="Z23" s="231"/>
      <c r="AA23" s="231"/>
      <c r="AB23" s="231"/>
      <c r="AC23" s="231"/>
      <c r="AD23" s="231"/>
      <c r="AE23" s="231"/>
      <c r="AF23" s="231"/>
      <c r="AG23" s="231"/>
      <c r="AH23" s="231"/>
      <c r="AI23" s="231"/>
      <c r="AJ23" s="231"/>
      <c r="AK23" s="231"/>
    </row>
    <row r="24" spans="1:37" s="203" customFormat="1" ht="21.95" customHeight="1">
      <c r="A24" s="930"/>
      <c r="B24" s="931"/>
      <c r="C24" s="931"/>
      <c r="D24" s="931"/>
      <c r="E24" s="934"/>
      <c r="F24" s="912"/>
      <c r="G24" s="464"/>
      <c r="H24" s="934"/>
      <c r="I24" s="478"/>
      <c r="J24" s="231"/>
      <c r="K24" s="231"/>
      <c r="L24" s="231"/>
      <c r="M24" s="231"/>
      <c r="N24" s="231"/>
      <c r="O24" s="231"/>
      <c r="P24" s="231"/>
      <c r="Q24" s="231"/>
      <c r="R24" s="231"/>
      <c r="S24" s="231"/>
      <c r="T24" s="231"/>
      <c r="U24" s="231"/>
      <c r="V24" s="231"/>
      <c r="W24" s="231"/>
      <c r="X24" s="231"/>
      <c r="Y24" s="231"/>
      <c r="Z24" s="231"/>
      <c r="AA24" s="231"/>
      <c r="AB24" s="231"/>
      <c r="AC24" s="231"/>
      <c r="AD24" s="231"/>
      <c r="AE24" s="231"/>
      <c r="AF24" s="231"/>
      <c r="AG24" s="231"/>
      <c r="AH24" s="231"/>
      <c r="AI24" s="231"/>
      <c r="AJ24" s="231"/>
      <c r="AK24" s="231"/>
    </row>
    <row r="25" spans="1:37" s="203" customFormat="1" ht="21.95" customHeight="1">
      <c r="A25" s="940" t="s">
        <v>48</v>
      </c>
      <c r="B25" s="943" t="s">
        <v>49</v>
      </c>
      <c r="C25" s="943"/>
      <c r="D25" s="944"/>
      <c r="E25" s="949" t="s">
        <v>50</v>
      </c>
      <c r="F25" s="951" t="s">
        <v>51</v>
      </c>
      <c r="G25" s="476"/>
      <c r="H25" s="949" t="s">
        <v>50</v>
      </c>
      <c r="I25" s="478"/>
      <c r="J25" s="231"/>
      <c r="K25" s="231"/>
      <c r="L25" s="231"/>
      <c r="M25" s="231"/>
      <c r="N25" s="231"/>
      <c r="O25" s="231"/>
      <c r="P25" s="231"/>
      <c r="Q25" s="231"/>
      <c r="R25" s="231"/>
      <c r="S25" s="231"/>
      <c r="T25" s="231"/>
      <c r="U25" s="231"/>
      <c r="V25" s="231"/>
      <c r="W25" s="231"/>
      <c r="X25" s="231"/>
      <c r="Y25" s="231"/>
      <c r="Z25" s="231"/>
      <c r="AA25" s="231"/>
      <c r="AB25" s="231"/>
      <c r="AC25" s="231"/>
      <c r="AD25" s="231"/>
      <c r="AE25" s="231"/>
      <c r="AF25" s="231"/>
      <c r="AG25" s="231"/>
      <c r="AH25" s="231"/>
      <c r="AI25" s="231"/>
      <c r="AJ25" s="231"/>
      <c r="AK25" s="231"/>
    </row>
    <row r="26" spans="1:37" s="203" customFormat="1" ht="21.95" customHeight="1">
      <c r="A26" s="941"/>
      <c r="B26" s="945"/>
      <c r="C26" s="945"/>
      <c r="D26" s="946"/>
      <c r="E26" s="950"/>
      <c r="F26" s="911"/>
      <c r="G26" s="476"/>
      <c r="H26" s="950"/>
      <c r="I26" s="478"/>
      <c r="J26" s="231"/>
      <c r="K26" s="231"/>
      <c r="L26" s="231"/>
      <c r="M26" s="231"/>
      <c r="N26" s="231"/>
      <c r="O26" s="231"/>
      <c r="P26" s="231"/>
      <c r="Q26" s="231"/>
      <c r="R26" s="231"/>
      <c r="S26" s="231"/>
      <c r="T26" s="231"/>
      <c r="U26" s="231"/>
      <c r="V26" s="231"/>
      <c r="W26" s="231"/>
      <c r="X26" s="231"/>
      <c r="Y26" s="231"/>
      <c r="Z26" s="231"/>
      <c r="AA26" s="231"/>
      <c r="AB26" s="231"/>
      <c r="AC26" s="231"/>
      <c r="AD26" s="231"/>
      <c r="AE26" s="231"/>
      <c r="AF26" s="231"/>
      <c r="AG26" s="231"/>
      <c r="AH26" s="231"/>
      <c r="AI26" s="231"/>
      <c r="AJ26" s="231"/>
      <c r="AK26" s="231"/>
    </row>
    <row r="27" spans="1:37" s="203" customFormat="1" ht="21.95" customHeight="1">
      <c r="A27" s="942"/>
      <c r="B27" s="947"/>
      <c r="C27" s="947"/>
      <c r="D27" s="948"/>
      <c r="E27" s="934"/>
      <c r="F27" s="912"/>
      <c r="G27" s="476"/>
      <c r="H27" s="934"/>
      <c r="I27" s="478"/>
      <c r="J27" s="231"/>
      <c r="K27" s="231"/>
      <c r="L27" s="231"/>
      <c r="M27" s="231"/>
      <c r="N27" s="231"/>
      <c r="O27" s="231"/>
      <c r="P27" s="231"/>
      <c r="Q27" s="231"/>
      <c r="R27" s="231"/>
      <c r="S27" s="231"/>
      <c r="T27" s="231"/>
      <c r="U27" s="231"/>
      <c r="V27" s="231"/>
      <c r="W27" s="231"/>
      <c r="X27" s="231"/>
      <c r="Y27" s="231"/>
      <c r="Z27" s="231"/>
      <c r="AA27" s="231"/>
      <c r="AB27" s="231"/>
      <c r="AC27" s="231"/>
      <c r="AD27" s="231"/>
      <c r="AE27" s="231"/>
      <c r="AF27" s="231"/>
      <c r="AG27" s="231"/>
      <c r="AH27" s="231"/>
      <c r="AI27" s="231"/>
      <c r="AJ27" s="231"/>
      <c r="AK27" s="231"/>
    </row>
    <row r="28" spans="1:37" s="203" customFormat="1">
      <c r="A28" s="481">
        <v>1</v>
      </c>
      <c r="B28" s="482" t="s">
        <v>52</v>
      </c>
      <c r="C28" s="482"/>
      <c r="D28" s="483"/>
      <c r="E28" s="484">
        <v>260875</v>
      </c>
      <c r="F28" s="485">
        <f>F77</f>
        <v>269176</v>
      </c>
      <c r="G28" s="486"/>
      <c r="H28" s="487">
        <f>H77</f>
        <v>277018</v>
      </c>
      <c r="I28" s="486"/>
      <c r="J28" s="231"/>
      <c r="K28" s="231"/>
      <c r="L28" s="231"/>
      <c r="M28" s="231"/>
      <c r="N28" s="231"/>
      <c r="O28" s="231"/>
      <c r="P28" s="231"/>
      <c r="Q28" s="231"/>
      <c r="R28" s="231"/>
      <c r="S28" s="231"/>
      <c r="T28" s="231"/>
      <c r="U28" s="231"/>
      <c r="V28" s="231"/>
      <c r="W28" s="231"/>
      <c r="X28" s="231"/>
      <c r="Y28" s="231"/>
      <c r="Z28" s="231"/>
      <c r="AA28" s="231"/>
      <c r="AB28" s="231"/>
      <c r="AC28" s="231"/>
      <c r="AD28" s="231"/>
      <c r="AE28" s="231"/>
      <c r="AF28" s="231"/>
      <c r="AG28" s="231"/>
      <c r="AH28" s="231"/>
      <c r="AI28" s="231"/>
      <c r="AJ28" s="231"/>
      <c r="AK28" s="231"/>
    </row>
    <row r="29" spans="1:37" s="203" customFormat="1">
      <c r="A29" s="489">
        <v>2</v>
      </c>
      <c r="B29" s="490" t="s">
        <v>53</v>
      </c>
      <c r="C29" s="490"/>
      <c r="D29" s="491"/>
      <c r="E29" s="492">
        <v>137064.64828262327</v>
      </c>
      <c r="F29" s="493">
        <f>F105</f>
        <v>139337</v>
      </c>
      <c r="G29" s="486"/>
      <c r="H29" s="494">
        <f>H105</f>
        <v>143546</v>
      </c>
      <c r="I29" s="486"/>
      <c r="J29" s="231"/>
      <c r="K29" s="231"/>
      <c r="L29" s="231"/>
      <c r="M29" s="231"/>
      <c r="N29" s="231"/>
      <c r="O29" s="231"/>
      <c r="P29" s="231"/>
      <c r="Q29" s="231"/>
      <c r="R29" s="231"/>
      <c r="S29" s="231"/>
      <c r="T29" s="231"/>
      <c r="U29" s="231"/>
      <c r="V29" s="231"/>
      <c r="W29" s="231"/>
      <c r="X29" s="231"/>
      <c r="Y29" s="231"/>
      <c r="Z29" s="231"/>
      <c r="AA29" s="231"/>
      <c r="AB29" s="231"/>
      <c r="AC29" s="231"/>
      <c r="AD29" s="231"/>
      <c r="AE29" s="231"/>
      <c r="AF29" s="231"/>
      <c r="AG29" s="231"/>
      <c r="AH29" s="231"/>
      <c r="AI29" s="231"/>
      <c r="AJ29" s="231"/>
      <c r="AK29" s="231"/>
    </row>
    <row r="30" spans="1:37" s="203" customFormat="1">
      <c r="A30" s="489">
        <v>3</v>
      </c>
      <c r="B30" s="490" t="s">
        <v>54</v>
      </c>
      <c r="C30" s="490"/>
      <c r="D30" s="491"/>
      <c r="E30" s="492">
        <v>19457</v>
      </c>
      <c r="F30" s="493">
        <f>F180</f>
        <v>21139</v>
      </c>
      <c r="G30" s="486"/>
      <c r="H30" s="494">
        <f>H180</f>
        <v>18856</v>
      </c>
      <c r="I30" s="486"/>
      <c r="J30" s="231"/>
      <c r="K30" s="231"/>
      <c r="L30" s="231"/>
      <c r="M30" s="231"/>
      <c r="N30" s="231"/>
      <c r="O30" s="231"/>
      <c r="P30" s="231"/>
      <c r="Q30" s="231"/>
      <c r="R30" s="231"/>
      <c r="S30" s="231"/>
      <c r="T30" s="231"/>
      <c r="U30" s="231"/>
      <c r="V30" s="231"/>
      <c r="W30" s="231"/>
      <c r="X30" s="231"/>
      <c r="Y30" s="231"/>
      <c r="Z30" s="231"/>
      <c r="AA30" s="231"/>
      <c r="AB30" s="231"/>
      <c r="AC30" s="231"/>
      <c r="AD30" s="231"/>
      <c r="AE30" s="231"/>
      <c r="AF30" s="231"/>
      <c r="AG30" s="231"/>
      <c r="AH30" s="231"/>
      <c r="AI30" s="231"/>
      <c r="AJ30" s="231"/>
      <c r="AK30" s="231"/>
    </row>
    <row r="31" spans="1:37" s="203" customFormat="1">
      <c r="A31" s="489">
        <v>4</v>
      </c>
      <c r="B31" s="490" t="s">
        <v>55</v>
      </c>
      <c r="C31" s="490"/>
      <c r="D31" s="491"/>
      <c r="E31" s="492">
        <v>32529</v>
      </c>
      <c r="F31" s="493">
        <f>F214</f>
        <v>32681</v>
      </c>
      <c r="G31" s="486"/>
      <c r="H31" s="494">
        <f>H214</f>
        <v>33594</v>
      </c>
      <c r="I31" s="486"/>
      <c r="J31" s="231"/>
      <c r="K31" s="231"/>
      <c r="L31" s="231"/>
      <c r="M31" s="231"/>
      <c r="N31" s="231"/>
      <c r="O31" s="231"/>
      <c r="P31" s="231"/>
      <c r="Q31" s="231"/>
      <c r="R31" s="231"/>
      <c r="S31" s="231"/>
      <c r="T31" s="231"/>
      <c r="U31" s="231"/>
      <c r="V31" s="231"/>
      <c r="W31" s="231"/>
      <c r="X31" s="231"/>
      <c r="Y31" s="231"/>
      <c r="Z31" s="231"/>
      <c r="AA31" s="231"/>
      <c r="AB31" s="231"/>
      <c r="AC31" s="231"/>
      <c r="AD31" s="231"/>
      <c r="AE31" s="231"/>
      <c r="AF31" s="231"/>
      <c r="AG31" s="231"/>
      <c r="AH31" s="231"/>
      <c r="AI31" s="231"/>
      <c r="AJ31" s="231"/>
      <c r="AK31" s="231"/>
    </row>
    <row r="32" spans="1:37" s="203" customFormat="1">
      <c r="A32" s="489">
        <v>5</v>
      </c>
      <c r="B32" s="490" t="s">
        <v>56</v>
      </c>
      <c r="C32" s="490"/>
      <c r="D32" s="491"/>
      <c r="E32" s="492">
        <v>6766</v>
      </c>
      <c r="F32" s="493">
        <f>F231</f>
        <v>9951</v>
      </c>
      <c r="G32" s="486"/>
      <c r="H32" s="494">
        <f>H231</f>
        <v>7120</v>
      </c>
      <c r="I32" s="486"/>
      <c r="J32" s="231"/>
      <c r="K32" s="231"/>
      <c r="L32" s="231"/>
      <c r="M32" s="231"/>
      <c r="N32" s="231"/>
      <c r="O32" s="231"/>
      <c r="P32" s="231"/>
      <c r="Q32" s="231"/>
      <c r="R32" s="231"/>
      <c r="S32" s="231"/>
      <c r="T32" s="231"/>
      <c r="U32" s="231"/>
      <c r="V32" s="231"/>
      <c r="W32" s="231"/>
      <c r="X32" s="231"/>
      <c r="Y32" s="231"/>
      <c r="Z32" s="231"/>
      <c r="AA32" s="231"/>
      <c r="AB32" s="231"/>
      <c r="AC32" s="231"/>
      <c r="AD32" s="231"/>
      <c r="AE32" s="231"/>
      <c r="AF32" s="231"/>
      <c r="AG32" s="231"/>
      <c r="AH32" s="231"/>
      <c r="AI32" s="231"/>
      <c r="AJ32" s="231"/>
      <c r="AK32" s="231"/>
    </row>
    <row r="33" spans="1:37" s="203" customFormat="1">
      <c r="A33" s="489">
        <v>6</v>
      </c>
      <c r="B33" s="490" t="s">
        <v>57</v>
      </c>
      <c r="C33" s="490"/>
      <c r="D33" s="491"/>
      <c r="E33" s="492">
        <v>20426</v>
      </c>
      <c r="F33" s="493">
        <f>F257</f>
        <v>22885</v>
      </c>
      <c r="G33" s="486"/>
      <c r="H33" s="494">
        <f>H257</f>
        <v>21313</v>
      </c>
      <c r="I33" s="486"/>
      <c r="J33" s="231"/>
      <c r="K33" s="231"/>
      <c r="L33" s="231"/>
      <c r="M33" s="231"/>
      <c r="N33" s="231"/>
      <c r="O33" s="231"/>
      <c r="P33" s="231"/>
      <c r="Q33" s="231"/>
      <c r="R33" s="231"/>
      <c r="S33" s="231"/>
      <c r="T33" s="231"/>
      <c r="U33" s="231"/>
      <c r="V33" s="231"/>
      <c r="W33" s="231"/>
      <c r="X33" s="231"/>
      <c r="Y33" s="231"/>
      <c r="Z33" s="231"/>
      <c r="AA33" s="231"/>
      <c r="AB33" s="231"/>
      <c r="AC33" s="231"/>
      <c r="AD33" s="231"/>
      <c r="AE33" s="231"/>
      <c r="AF33" s="231"/>
      <c r="AG33" s="231"/>
      <c r="AH33" s="231"/>
      <c r="AI33" s="231"/>
      <c r="AJ33" s="231"/>
      <c r="AK33" s="231"/>
    </row>
    <row r="34" spans="1:37" s="203" customFormat="1">
      <c r="A34" s="489">
        <v>7</v>
      </c>
      <c r="B34" s="490" t="s">
        <v>58</v>
      </c>
      <c r="C34" s="490"/>
      <c r="D34" s="491"/>
      <c r="E34" s="492">
        <v>6950</v>
      </c>
      <c r="F34" s="493">
        <f>F277</f>
        <v>8694</v>
      </c>
      <c r="G34" s="486"/>
      <c r="H34" s="493">
        <f>H277</f>
        <v>7151</v>
      </c>
      <c r="I34" s="486"/>
      <c r="J34" s="231"/>
      <c r="K34" s="231"/>
      <c r="L34" s="231"/>
      <c r="M34" s="231"/>
      <c r="N34" s="231"/>
      <c r="O34" s="231"/>
      <c r="P34" s="231"/>
      <c r="Q34" s="231"/>
      <c r="R34" s="231"/>
      <c r="S34" s="231"/>
      <c r="T34" s="231"/>
      <c r="U34" s="231"/>
      <c r="V34" s="231"/>
      <c r="W34" s="231"/>
      <c r="X34" s="231"/>
      <c r="Y34" s="231"/>
      <c r="Z34" s="231"/>
      <c r="AA34" s="231"/>
      <c r="AB34" s="231"/>
      <c r="AC34" s="231"/>
      <c r="AD34" s="231"/>
      <c r="AE34" s="231"/>
      <c r="AF34" s="231"/>
      <c r="AG34" s="231"/>
      <c r="AH34" s="231"/>
      <c r="AI34" s="231"/>
      <c r="AJ34" s="231"/>
      <c r="AK34" s="231"/>
    </row>
    <row r="35" spans="1:37" s="203" customFormat="1">
      <c r="A35" s="489">
        <v>8</v>
      </c>
      <c r="B35" s="490" t="s">
        <v>59</v>
      </c>
      <c r="C35" s="490"/>
      <c r="D35" s="491"/>
      <c r="E35" s="492">
        <v>18512</v>
      </c>
      <c r="F35" s="493">
        <f>F302</f>
        <v>16335</v>
      </c>
      <c r="G35" s="486"/>
      <c r="H35" s="493">
        <f>H302</f>
        <v>16154</v>
      </c>
      <c r="I35" s="461"/>
      <c r="J35" s="231"/>
      <c r="K35" s="231"/>
      <c r="L35" s="231"/>
      <c r="M35" s="231"/>
      <c r="N35" s="231"/>
      <c r="O35" s="231"/>
      <c r="P35" s="231"/>
      <c r="Q35" s="231"/>
      <c r="R35" s="231"/>
      <c r="S35" s="231"/>
      <c r="T35" s="231"/>
      <c r="U35" s="231"/>
      <c r="V35" s="231"/>
      <c r="W35" s="231"/>
      <c r="X35" s="231"/>
      <c r="Y35" s="231"/>
      <c r="Z35" s="231"/>
      <c r="AA35" s="231"/>
      <c r="AB35" s="231"/>
      <c r="AC35" s="231"/>
      <c r="AD35" s="231"/>
      <c r="AE35" s="231"/>
      <c r="AF35" s="231"/>
      <c r="AG35" s="231"/>
      <c r="AH35" s="231"/>
      <c r="AI35" s="231"/>
      <c r="AJ35" s="231"/>
      <c r="AK35" s="231"/>
    </row>
    <row r="36" spans="1:37" s="203" customFormat="1">
      <c r="A36" s="489">
        <v>9</v>
      </c>
      <c r="B36" s="490" t="s">
        <v>60</v>
      </c>
      <c r="C36" s="490"/>
      <c r="D36" s="491"/>
      <c r="E36" s="492">
        <v>0</v>
      </c>
      <c r="F36" s="52"/>
      <c r="G36" s="486"/>
      <c r="H36" s="52"/>
      <c r="I36" s="461"/>
      <c r="J36" s="231"/>
      <c r="K36" s="231"/>
      <c r="L36" s="231"/>
      <c r="M36" s="231"/>
      <c r="N36" s="231"/>
      <c r="O36" s="231"/>
      <c r="P36" s="231"/>
      <c r="Q36" s="231"/>
      <c r="R36" s="231"/>
      <c r="S36" s="231"/>
      <c r="T36" s="231"/>
      <c r="U36" s="231"/>
      <c r="V36" s="231"/>
      <c r="W36" s="231"/>
      <c r="X36" s="231"/>
      <c r="Y36" s="231"/>
      <c r="Z36" s="231"/>
      <c r="AA36" s="231"/>
      <c r="AB36" s="231"/>
      <c r="AC36" s="231"/>
      <c r="AD36" s="231"/>
      <c r="AE36" s="231"/>
      <c r="AF36" s="231"/>
      <c r="AG36" s="231"/>
      <c r="AH36" s="231"/>
      <c r="AI36" s="231"/>
      <c r="AJ36" s="231"/>
      <c r="AK36" s="231"/>
    </row>
    <row r="37" spans="1:37" s="203" customFormat="1">
      <c r="A37" s="495">
        <v>10</v>
      </c>
      <c r="B37" s="496" t="s">
        <v>61</v>
      </c>
      <c r="C37" s="496"/>
      <c r="D37" s="497"/>
      <c r="E37" s="498">
        <v>41068</v>
      </c>
      <c r="F37" s="499">
        <f>F320</f>
        <v>41653</v>
      </c>
      <c r="G37" s="486"/>
      <c r="H37" s="499">
        <f>H320</f>
        <v>41860</v>
      </c>
      <c r="I37" s="461"/>
      <c r="J37" s="231"/>
      <c r="K37" s="231"/>
      <c r="L37" s="231"/>
      <c r="M37" s="231"/>
      <c r="N37" s="231"/>
      <c r="O37" s="231"/>
      <c r="P37" s="231"/>
      <c r="Q37" s="231"/>
      <c r="R37" s="231"/>
      <c r="S37" s="231"/>
      <c r="T37" s="231"/>
      <c r="U37" s="231"/>
      <c r="V37" s="231"/>
      <c r="W37" s="231"/>
      <c r="X37" s="231"/>
      <c r="Y37" s="231"/>
      <c r="Z37" s="231"/>
      <c r="AA37" s="231"/>
      <c r="AB37" s="231"/>
      <c r="AC37" s="231"/>
      <c r="AD37" s="231"/>
      <c r="AE37" s="231"/>
      <c r="AF37" s="231"/>
      <c r="AG37" s="231"/>
      <c r="AH37" s="231"/>
      <c r="AI37" s="231"/>
      <c r="AJ37" s="231"/>
      <c r="AK37" s="231"/>
    </row>
    <row r="38" spans="1:37" s="203" customFormat="1">
      <c r="A38" s="475">
        <v>11</v>
      </c>
      <c r="B38" s="500" t="s">
        <v>62</v>
      </c>
      <c r="C38" s="500"/>
      <c r="D38" s="501"/>
      <c r="E38" s="502">
        <v>543647.64828262327</v>
      </c>
      <c r="F38" s="503">
        <f>SUM(F28:F37)</f>
        <v>561851</v>
      </c>
      <c r="G38" s="486"/>
      <c r="H38" s="503">
        <f>SUM(H28:H37)</f>
        <v>566612</v>
      </c>
      <c r="I38" s="504"/>
      <c r="J38" s="231"/>
      <c r="K38" s="231"/>
      <c r="L38" s="231"/>
      <c r="M38" s="231"/>
      <c r="N38" s="231"/>
      <c r="O38" s="231"/>
      <c r="P38" s="231"/>
      <c r="Q38" s="231"/>
      <c r="R38" s="231"/>
      <c r="S38" s="231"/>
      <c r="T38" s="231"/>
      <c r="U38" s="231"/>
      <c r="V38" s="231"/>
      <c r="W38" s="231"/>
      <c r="X38" s="231"/>
      <c r="Y38" s="231"/>
      <c r="Z38" s="231"/>
      <c r="AA38" s="231"/>
      <c r="AB38" s="231"/>
      <c r="AC38" s="231"/>
      <c r="AD38" s="231"/>
      <c r="AE38" s="231"/>
      <c r="AF38" s="231"/>
      <c r="AG38" s="231"/>
      <c r="AH38" s="231"/>
      <c r="AI38" s="231"/>
      <c r="AJ38" s="231"/>
      <c r="AK38" s="231"/>
    </row>
    <row r="39" spans="1:37" s="203" customFormat="1" ht="12.75" customHeight="1">
      <c r="A39" s="505"/>
      <c r="B39" s="506"/>
      <c r="C39" s="506"/>
      <c r="D39" s="507"/>
      <c r="E39" s="508"/>
      <c r="F39" s="509"/>
      <c r="G39" s="461"/>
      <c r="H39" s="509"/>
      <c r="I39" s="504"/>
      <c r="J39" s="231"/>
      <c r="K39" s="231"/>
      <c r="L39" s="231"/>
      <c r="M39" s="231"/>
      <c r="N39" s="231"/>
      <c r="O39" s="231"/>
      <c r="P39" s="231"/>
      <c r="Q39" s="231"/>
      <c r="R39" s="231"/>
      <c r="S39" s="231"/>
      <c r="T39" s="231"/>
      <c r="U39" s="231"/>
      <c r="V39" s="231"/>
      <c r="W39" s="231"/>
      <c r="X39" s="231"/>
      <c r="Y39" s="231"/>
      <c r="Z39" s="231"/>
      <c r="AA39" s="231"/>
      <c r="AB39" s="231"/>
      <c r="AC39" s="231"/>
      <c r="AD39" s="231"/>
      <c r="AE39" s="231"/>
      <c r="AF39" s="231"/>
      <c r="AG39" s="231"/>
      <c r="AH39" s="231"/>
      <c r="AI39" s="231"/>
      <c r="AJ39" s="231"/>
      <c r="AK39" s="231"/>
    </row>
    <row r="40" spans="1:37" s="203" customFormat="1" ht="12.75" customHeight="1">
      <c r="A40" s="927" t="s">
        <v>63</v>
      </c>
      <c r="B40" s="928"/>
      <c r="C40" s="928"/>
      <c r="D40" s="929"/>
      <c r="E40" s="933" t="s">
        <v>376</v>
      </c>
      <c r="F40" s="910" t="s">
        <v>407</v>
      </c>
      <c r="G40" s="478"/>
      <c r="H40" s="933" t="s">
        <v>406</v>
      </c>
      <c r="I40" s="486"/>
      <c r="J40" s="231"/>
      <c r="K40" s="231"/>
      <c r="L40" s="231"/>
      <c r="M40" s="231"/>
      <c r="N40" s="231"/>
      <c r="O40" s="231"/>
      <c r="P40" s="231"/>
      <c r="Q40" s="231"/>
      <c r="R40" s="231"/>
      <c r="S40" s="231"/>
      <c r="T40" s="231"/>
      <c r="U40" s="231"/>
      <c r="V40" s="231"/>
      <c r="W40" s="231"/>
      <c r="X40" s="231"/>
      <c r="Y40" s="231"/>
      <c r="Z40" s="231"/>
      <c r="AA40" s="231"/>
      <c r="AB40" s="231"/>
      <c r="AC40" s="231"/>
      <c r="AD40" s="231"/>
      <c r="AE40" s="231"/>
      <c r="AF40" s="231"/>
      <c r="AG40" s="231"/>
      <c r="AH40" s="231"/>
      <c r="AI40" s="231"/>
      <c r="AJ40" s="231"/>
      <c r="AK40" s="231"/>
    </row>
    <row r="41" spans="1:37" s="203" customFormat="1" ht="27.75" customHeight="1">
      <c r="A41" s="930"/>
      <c r="B41" s="931"/>
      <c r="C41" s="931"/>
      <c r="D41" s="932"/>
      <c r="E41" s="934"/>
      <c r="F41" s="912"/>
      <c r="G41" s="464"/>
      <c r="H41" s="934"/>
      <c r="I41" s="486"/>
      <c r="J41" s="231"/>
      <c r="K41" s="231"/>
      <c r="L41" s="231"/>
      <c r="M41" s="231"/>
      <c r="N41" s="231"/>
      <c r="O41" s="231"/>
      <c r="P41" s="231"/>
      <c r="Q41" s="231"/>
      <c r="R41" s="231"/>
      <c r="S41" s="231"/>
      <c r="T41" s="231"/>
      <c r="U41" s="231"/>
      <c r="V41" s="231"/>
      <c r="W41" s="231"/>
      <c r="X41" s="231"/>
      <c r="Y41" s="231"/>
      <c r="Z41" s="231"/>
      <c r="AA41" s="231"/>
      <c r="AB41" s="231"/>
      <c r="AC41" s="231"/>
      <c r="AD41" s="231"/>
      <c r="AE41" s="231"/>
      <c r="AF41" s="231"/>
      <c r="AG41" s="231"/>
      <c r="AH41" s="231"/>
      <c r="AI41" s="231"/>
      <c r="AJ41" s="231"/>
      <c r="AK41" s="231"/>
    </row>
    <row r="42" spans="1:37" s="203" customFormat="1">
      <c r="A42" s="818" t="s">
        <v>64</v>
      </c>
      <c r="B42" s="510" t="s">
        <v>65</v>
      </c>
      <c r="C42" s="510"/>
      <c r="D42" s="511"/>
      <c r="E42" s="512"/>
      <c r="F42" s="513" t="str">
        <f>IF(OR(F43&lt;0,F44&lt;0,F47&lt;0,F48&lt;0,H43&lt;0,H44&lt;0,H47&lt;0,H48&lt;0),"Funding should be recorded as positive figures",".")</f>
        <v>.</v>
      </c>
      <c r="G42" s="514"/>
      <c r="H42" s="515"/>
      <c r="I42" s="486"/>
      <c r="J42" s="231"/>
      <c r="K42" s="231"/>
      <c r="L42" s="231"/>
      <c r="M42" s="231"/>
      <c r="N42" s="231"/>
      <c r="O42" s="231"/>
      <c r="P42" s="231"/>
      <c r="Q42" s="231"/>
      <c r="R42" s="231"/>
      <c r="S42" s="231"/>
      <c r="T42" s="231"/>
      <c r="U42" s="231"/>
      <c r="V42" s="231"/>
      <c r="W42" s="231"/>
      <c r="X42" s="231"/>
      <c r="Y42" s="231"/>
      <c r="Z42" s="231"/>
      <c r="AA42" s="231"/>
      <c r="AB42" s="231"/>
      <c r="AC42" s="231"/>
      <c r="AD42" s="231"/>
      <c r="AE42" s="231"/>
      <c r="AF42" s="231"/>
      <c r="AG42" s="231"/>
      <c r="AH42" s="231"/>
      <c r="AI42" s="231"/>
      <c r="AJ42" s="231"/>
      <c r="AK42" s="231"/>
    </row>
    <row r="43" spans="1:37" s="203" customFormat="1">
      <c r="A43" s="489">
        <v>1</v>
      </c>
      <c r="B43" s="490" t="s">
        <v>66</v>
      </c>
      <c r="C43" s="490"/>
      <c r="D43" s="491"/>
      <c r="E43" s="516">
        <v>294655</v>
      </c>
      <c r="F43" s="241">
        <v>300724.99999999994</v>
      </c>
      <c r="G43" s="514"/>
      <c r="H43" s="75">
        <v>279278</v>
      </c>
      <c r="I43" s="486"/>
      <c r="J43" s="231"/>
      <c r="K43" s="231"/>
      <c r="L43" s="231"/>
      <c r="M43" s="231"/>
      <c r="N43" s="231"/>
      <c r="O43" s="231"/>
      <c r="P43" s="231"/>
      <c r="Q43" s="231"/>
      <c r="R43" s="231"/>
      <c r="S43" s="231"/>
      <c r="T43" s="231"/>
      <c r="U43" s="231"/>
      <c r="V43" s="231"/>
      <c r="W43" s="231"/>
      <c r="X43" s="231"/>
      <c r="Y43" s="231"/>
      <c r="Z43" s="231"/>
      <c r="AA43" s="231"/>
      <c r="AB43" s="231"/>
      <c r="AC43" s="231"/>
      <c r="AD43" s="231"/>
      <c r="AE43" s="231"/>
      <c r="AF43" s="231"/>
      <c r="AG43" s="231"/>
      <c r="AH43" s="231"/>
      <c r="AI43" s="231"/>
      <c r="AJ43" s="231"/>
      <c r="AK43" s="231"/>
    </row>
    <row r="44" spans="1:37" s="203" customFormat="1">
      <c r="A44" s="489">
        <v>2</v>
      </c>
      <c r="B44" s="490" t="s">
        <v>67</v>
      </c>
      <c r="C44" s="490"/>
      <c r="D44" s="491"/>
      <c r="E44" s="492">
        <v>110710</v>
      </c>
      <c r="F44" s="241">
        <v>110710</v>
      </c>
      <c r="G44" s="514"/>
      <c r="H44" s="75">
        <v>123812</v>
      </c>
      <c r="I44" s="486"/>
      <c r="J44" s="231"/>
      <c r="K44" s="231"/>
      <c r="L44" s="231"/>
      <c r="M44" s="231"/>
      <c r="N44" s="231"/>
      <c r="O44" s="231"/>
      <c r="P44" s="231"/>
      <c r="Q44" s="231"/>
      <c r="R44" s="231"/>
      <c r="S44" s="231"/>
      <c r="T44" s="231"/>
      <c r="U44" s="231"/>
      <c r="V44" s="231"/>
      <c r="W44" s="231"/>
      <c r="X44" s="231"/>
      <c r="Y44" s="231"/>
      <c r="Z44" s="231"/>
      <c r="AA44" s="231"/>
      <c r="AB44" s="231"/>
      <c r="AC44" s="231"/>
      <c r="AD44" s="231"/>
      <c r="AE44" s="231"/>
      <c r="AF44" s="231"/>
      <c r="AG44" s="231"/>
      <c r="AH44" s="231"/>
      <c r="AI44" s="231"/>
      <c r="AJ44" s="231"/>
      <c r="AK44" s="231"/>
    </row>
    <row r="45" spans="1:37" s="203" customFormat="1">
      <c r="A45" s="489">
        <v>3</v>
      </c>
      <c r="B45" s="490" t="s">
        <v>68</v>
      </c>
      <c r="C45" s="490"/>
      <c r="D45" s="491"/>
      <c r="E45" s="492">
        <v>0</v>
      </c>
      <c r="F45" s="52">
        <v>0</v>
      </c>
      <c r="G45" s="514"/>
      <c r="H45" s="75">
        <v>0</v>
      </c>
      <c r="I45" s="486"/>
      <c r="J45" s="231"/>
      <c r="K45" s="231"/>
      <c r="L45" s="231"/>
      <c r="M45" s="231"/>
      <c r="N45" s="231"/>
      <c r="O45" s="231"/>
      <c r="P45" s="231"/>
      <c r="Q45" s="231"/>
      <c r="R45" s="231"/>
      <c r="S45" s="231"/>
      <c r="T45" s="231"/>
      <c r="U45" s="231"/>
      <c r="V45" s="231"/>
      <c r="W45" s="231"/>
      <c r="X45" s="231"/>
      <c r="Y45" s="231"/>
      <c r="Z45" s="231"/>
      <c r="AA45" s="231"/>
      <c r="AB45" s="231"/>
      <c r="AC45" s="231"/>
      <c r="AD45" s="231"/>
      <c r="AE45" s="231"/>
      <c r="AF45" s="231"/>
      <c r="AG45" s="231"/>
      <c r="AH45" s="231"/>
      <c r="AI45" s="231"/>
      <c r="AJ45" s="231"/>
      <c r="AK45" s="231"/>
    </row>
    <row r="46" spans="1:37" s="203" customFormat="1">
      <c r="A46" s="489">
        <v>4</v>
      </c>
      <c r="B46" s="490" t="s">
        <v>70</v>
      </c>
      <c r="C46" s="490"/>
      <c r="D46" s="491"/>
      <c r="E46" s="492">
        <v>0</v>
      </c>
      <c r="F46" s="52">
        <v>0</v>
      </c>
      <c r="G46" s="514"/>
      <c r="H46" s="75">
        <v>0</v>
      </c>
      <c r="I46" s="486"/>
      <c r="J46" s="231"/>
      <c r="K46" s="231"/>
      <c r="L46" s="231"/>
      <c r="M46" s="231"/>
      <c r="N46" s="231"/>
      <c r="O46" s="231"/>
      <c r="P46" s="231"/>
      <c r="Q46" s="231"/>
      <c r="R46" s="231"/>
      <c r="S46" s="231"/>
      <c r="T46" s="231"/>
      <c r="U46" s="231"/>
      <c r="V46" s="231"/>
      <c r="W46" s="231"/>
      <c r="X46" s="231"/>
      <c r="Y46" s="231"/>
      <c r="Z46" s="231"/>
      <c r="AA46" s="231"/>
      <c r="AB46" s="231"/>
      <c r="AC46" s="231"/>
      <c r="AD46" s="231"/>
      <c r="AE46" s="231"/>
      <c r="AF46" s="231"/>
      <c r="AG46" s="231"/>
      <c r="AH46" s="231"/>
      <c r="AI46" s="231"/>
      <c r="AJ46" s="231"/>
      <c r="AK46" s="231"/>
    </row>
    <row r="47" spans="1:37" s="203" customFormat="1">
      <c r="A47" s="489">
        <v>5</v>
      </c>
      <c r="B47" s="490" t="s">
        <v>69</v>
      </c>
      <c r="C47" s="490"/>
      <c r="D47" s="491"/>
      <c r="E47" s="492">
        <v>7441</v>
      </c>
      <c r="F47" s="52">
        <v>7441</v>
      </c>
      <c r="G47" s="514"/>
      <c r="H47" s="76">
        <v>20697</v>
      </c>
      <c r="I47" s="486"/>
      <c r="J47" s="231"/>
      <c r="K47" s="231"/>
      <c r="L47" s="231"/>
      <c r="M47" s="231"/>
      <c r="N47" s="231"/>
      <c r="O47" s="231"/>
      <c r="P47" s="231"/>
      <c r="Q47" s="231"/>
      <c r="R47" s="231"/>
      <c r="S47" s="231"/>
      <c r="T47" s="231"/>
      <c r="U47" s="231"/>
      <c r="V47" s="231"/>
      <c r="W47" s="231"/>
      <c r="X47" s="231"/>
      <c r="Y47" s="231"/>
      <c r="Z47" s="231"/>
      <c r="AA47" s="231"/>
      <c r="AB47" s="231"/>
      <c r="AC47" s="231"/>
      <c r="AD47" s="231"/>
      <c r="AE47" s="231"/>
      <c r="AF47" s="231"/>
      <c r="AG47" s="231"/>
      <c r="AH47" s="231"/>
      <c r="AI47" s="231"/>
      <c r="AJ47" s="231"/>
      <c r="AK47" s="231"/>
    </row>
    <row r="48" spans="1:37" s="203" customFormat="1">
      <c r="A48" s="489">
        <v>6</v>
      </c>
      <c r="B48" s="517" t="s">
        <v>253</v>
      </c>
      <c r="C48" s="490"/>
      <c r="D48" s="518"/>
      <c r="E48" s="492">
        <v>137825</v>
      </c>
      <c r="F48" s="52">
        <v>139284</v>
      </c>
      <c r="G48" s="514"/>
      <c r="H48" s="52">
        <v>141815</v>
      </c>
      <c r="I48" s="486"/>
      <c r="J48" s="231"/>
      <c r="K48" s="231"/>
      <c r="L48" s="231"/>
      <c r="M48" s="231"/>
      <c r="N48" s="231"/>
      <c r="O48" s="231"/>
      <c r="P48" s="231"/>
      <c r="Q48" s="231"/>
      <c r="R48" s="231"/>
      <c r="S48" s="231"/>
      <c r="T48" s="231"/>
      <c r="U48" s="231"/>
      <c r="V48" s="231"/>
      <c r="W48" s="231"/>
      <c r="X48" s="231"/>
      <c r="Y48" s="231"/>
      <c r="Z48" s="231"/>
      <c r="AA48" s="231"/>
      <c r="AB48" s="231"/>
      <c r="AC48" s="231"/>
      <c r="AD48" s="231"/>
      <c r="AE48" s="231"/>
      <c r="AF48" s="231"/>
      <c r="AG48" s="231"/>
      <c r="AH48" s="231"/>
      <c r="AI48" s="231"/>
      <c r="AJ48" s="231"/>
      <c r="AK48" s="231"/>
    </row>
    <row r="49" spans="1:37" s="203" customFormat="1">
      <c r="A49" s="519">
        <v>7</v>
      </c>
      <c r="B49" s="520" t="s">
        <v>71</v>
      </c>
      <c r="C49" s="500"/>
      <c r="D49" s="521"/>
      <c r="E49" s="522">
        <v>550631</v>
      </c>
      <c r="F49" s="523">
        <f>SUM(F43:F48)</f>
        <v>558160</v>
      </c>
      <c r="G49" s="524"/>
      <c r="H49" s="525">
        <f>SUM(H43:H48)</f>
        <v>565602</v>
      </c>
      <c r="I49" s="526"/>
      <c r="J49" s="231"/>
      <c r="K49" s="231"/>
      <c r="L49" s="231"/>
      <c r="M49" s="231"/>
      <c r="N49" s="231"/>
      <c r="O49" s="231"/>
      <c r="P49" s="231"/>
      <c r="Q49" s="231"/>
      <c r="R49" s="231"/>
      <c r="S49" s="231"/>
      <c r="T49" s="231"/>
      <c r="U49" s="231"/>
      <c r="V49" s="231"/>
      <c r="W49" s="231"/>
      <c r="X49" s="231"/>
      <c r="Y49" s="231"/>
      <c r="Z49" s="231"/>
      <c r="AA49" s="231"/>
      <c r="AB49" s="231"/>
      <c r="AC49" s="231"/>
      <c r="AD49" s="231"/>
      <c r="AE49" s="231"/>
      <c r="AF49" s="231"/>
      <c r="AG49" s="231"/>
      <c r="AH49" s="231"/>
      <c r="AI49" s="231"/>
      <c r="AJ49" s="231"/>
      <c r="AK49" s="231"/>
    </row>
    <row r="50" spans="1:37" s="203" customFormat="1">
      <c r="A50" s="528"/>
      <c r="B50" s="84"/>
      <c r="C50" s="84"/>
      <c r="D50" s="84"/>
      <c r="E50" s="529"/>
      <c r="F50" s="84"/>
      <c r="G50" s="488"/>
      <c r="H50" s="488"/>
      <c r="I50" s="461"/>
      <c r="J50" s="231"/>
      <c r="K50" s="231"/>
      <c r="L50" s="231"/>
      <c r="M50" s="231"/>
      <c r="N50" s="231"/>
      <c r="O50" s="231"/>
      <c r="P50" s="231"/>
      <c r="Q50" s="231"/>
      <c r="R50" s="231"/>
      <c r="S50" s="231"/>
      <c r="T50" s="231"/>
      <c r="U50" s="231"/>
      <c r="V50" s="231"/>
      <c r="W50" s="231"/>
      <c r="X50" s="231"/>
      <c r="Y50" s="231"/>
      <c r="Z50" s="231"/>
      <c r="AA50" s="231"/>
      <c r="AB50" s="231"/>
      <c r="AC50" s="231"/>
      <c r="AD50" s="231"/>
      <c r="AE50" s="231"/>
      <c r="AF50" s="231"/>
      <c r="AG50" s="231"/>
      <c r="AH50" s="231"/>
      <c r="AI50" s="231"/>
      <c r="AJ50" s="231"/>
      <c r="AK50" s="231"/>
    </row>
    <row r="51" spans="1:37" s="203" customFormat="1">
      <c r="A51" s="818" t="s">
        <v>72</v>
      </c>
      <c r="B51" s="530" t="s">
        <v>254</v>
      </c>
      <c r="C51" s="510"/>
      <c r="D51" s="511"/>
      <c r="E51" s="531"/>
      <c r="F51" s="532"/>
      <c r="G51" s="514"/>
      <c r="H51" s="533"/>
      <c r="I51" s="486"/>
      <c r="J51" s="231"/>
      <c r="K51" s="231"/>
      <c r="L51" s="231"/>
      <c r="M51" s="231"/>
      <c r="N51" s="231"/>
      <c r="O51" s="231"/>
      <c r="P51" s="231"/>
      <c r="Q51" s="231"/>
      <c r="R51" s="231"/>
      <c r="S51" s="231"/>
      <c r="T51" s="231"/>
      <c r="U51" s="231"/>
      <c r="V51" s="231"/>
      <c r="W51" s="231"/>
      <c r="X51" s="231"/>
      <c r="Y51" s="231"/>
      <c r="Z51" s="231"/>
      <c r="AA51" s="231"/>
      <c r="AB51" s="231"/>
      <c r="AC51" s="231"/>
      <c r="AD51" s="231"/>
      <c r="AE51" s="231"/>
      <c r="AF51" s="231"/>
      <c r="AG51" s="231"/>
      <c r="AH51" s="231"/>
      <c r="AI51" s="231"/>
      <c r="AJ51" s="231"/>
      <c r="AK51" s="231"/>
    </row>
    <row r="52" spans="1:37" s="203" customFormat="1">
      <c r="A52" s="489">
        <v>8</v>
      </c>
      <c r="B52" s="517" t="s">
        <v>73</v>
      </c>
      <c r="C52" s="490"/>
      <c r="D52" s="491"/>
      <c r="E52" s="516">
        <v>543647.64828262327</v>
      </c>
      <c r="F52" s="493">
        <f>F38</f>
        <v>561851</v>
      </c>
      <c r="G52" s="514"/>
      <c r="H52" s="535">
        <f>H38</f>
        <v>566612</v>
      </c>
      <c r="I52" s="486"/>
      <c r="J52" s="231"/>
      <c r="K52" s="231"/>
      <c r="L52" s="231"/>
      <c r="M52" s="231"/>
      <c r="N52" s="231"/>
      <c r="O52" s="231"/>
      <c r="P52" s="231"/>
      <c r="Q52" s="231"/>
      <c r="R52" s="231"/>
      <c r="S52" s="231"/>
      <c r="T52" s="231"/>
      <c r="U52" s="231"/>
      <c r="V52" s="231"/>
      <c r="W52" s="231"/>
      <c r="X52" s="231"/>
      <c r="Y52" s="231"/>
      <c r="Z52" s="231"/>
      <c r="AA52" s="231"/>
      <c r="AB52" s="231"/>
      <c r="AC52" s="231"/>
      <c r="AD52" s="231"/>
      <c r="AE52" s="231"/>
      <c r="AF52" s="231"/>
      <c r="AG52" s="231"/>
      <c r="AH52" s="231"/>
      <c r="AI52" s="231"/>
      <c r="AJ52" s="231"/>
      <c r="AK52" s="231"/>
    </row>
    <row r="53" spans="1:37" s="203" customFormat="1">
      <c r="A53" s="489">
        <v>9</v>
      </c>
      <c r="B53" s="517" t="s">
        <v>74</v>
      </c>
      <c r="C53" s="490"/>
      <c r="D53" s="491"/>
      <c r="E53" s="492">
        <v>550631</v>
      </c>
      <c r="F53" s="536">
        <f>F49</f>
        <v>558160</v>
      </c>
      <c r="G53" s="514"/>
      <c r="H53" s="535">
        <f>H49</f>
        <v>565602</v>
      </c>
      <c r="I53" s="486"/>
      <c r="J53" s="231"/>
      <c r="K53" s="231"/>
      <c r="L53" s="231"/>
      <c r="M53" s="231"/>
      <c r="N53" s="231"/>
      <c r="O53" s="231"/>
      <c r="P53" s="231"/>
      <c r="Q53" s="231"/>
      <c r="R53" s="231"/>
      <c r="S53" s="231"/>
      <c r="T53" s="231"/>
      <c r="U53" s="231"/>
      <c r="V53" s="231"/>
      <c r="W53" s="231"/>
      <c r="X53" s="231"/>
      <c r="Y53" s="231"/>
      <c r="Z53" s="231"/>
      <c r="AA53" s="231"/>
      <c r="AB53" s="231"/>
      <c r="AC53" s="231"/>
      <c r="AD53" s="231"/>
      <c r="AE53" s="231"/>
      <c r="AF53" s="231"/>
      <c r="AG53" s="231"/>
      <c r="AH53" s="231"/>
      <c r="AI53" s="231"/>
      <c r="AJ53" s="231"/>
      <c r="AK53" s="231"/>
    </row>
    <row r="54" spans="1:37" s="203" customFormat="1">
      <c r="A54" s="820">
        <v>10</v>
      </c>
      <c r="B54" s="537" t="s">
        <v>255</v>
      </c>
      <c r="C54" s="538"/>
      <c r="D54" s="497"/>
      <c r="E54" s="539">
        <v>6983.3517173767323</v>
      </c>
      <c r="F54" s="540">
        <f>F53-F52</f>
        <v>-3691</v>
      </c>
      <c r="G54" s="514"/>
      <c r="H54" s="541">
        <f>H53-H52</f>
        <v>-1010</v>
      </c>
      <c r="I54" s="486"/>
      <c r="J54" s="231"/>
      <c r="K54" s="231"/>
      <c r="L54" s="231"/>
      <c r="M54" s="231"/>
      <c r="N54" s="231"/>
      <c r="O54" s="231"/>
      <c r="P54" s="231"/>
      <c r="Q54" s="231"/>
      <c r="R54" s="231"/>
      <c r="S54" s="231"/>
      <c r="T54" s="231"/>
      <c r="U54" s="231"/>
      <c r="V54" s="231"/>
      <c r="W54" s="231"/>
      <c r="X54" s="231"/>
      <c r="Y54" s="231"/>
      <c r="Z54" s="231"/>
      <c r="AA54" s="231"/>
      <c r="AB54" s="231"/>
      <c r="AC54" s="231"/>
      <c r="AD54" s="231"/>
      <c r="AE54" s="231"/>
      <c r="AF54" s="231"/>
      <c r="AG54" s="231"/>
      <c r="AH54" s="231"/>
      <c r="AI54" s="231"/>
      <c r="AJ54" s="231"/>
      <c r="AK54" s="231"/>
    </row>
    <row r="55" spans="1:37" s="203" customFormat="1">
      <c r="A55" s="528"/>
      <c r="B55" s="84"/>
      <c r="C55" s="84"/>
      <c r="D55" s="84"/>
      <c r="E55" s="529"/>
      <c r="F55" s="84"/>
      <c r="G55" s="488"/>
      <c r="H55" s="488"/>
      <c r="I55" s="461"/>
      <c r="J55" s="231"/>
      <c r="K55" s="231"/>
      <c r="L55" s="231"/>
      <c r="M55" s="231"/>
      <c r="N55" s="231"/>
      <c r="O55" s="231"/>
      <c r="P55" s="231"/>
      <c r="Q55" s="231"/>
      <c r="R55" s="231"/>
      <c r="S55" s="231"/>
      <c r="T55" s="231"/>
      <c r="U55" s="231"/>
      <c r="V55" s="231"/>
      <c r="W55" s="231"/>
      <c r="X55" s="231"/>
      <c r="Y55" s="231"/>
      <c r="Z55" s="231"/>
      <c r="AA55" s="231"/>
      <c r="AB55" s="231"/>
      <c r="AC55" s="231"/>
      <c r="AD55" s="231"/>
      <c r="AE55" s="231"/>
      <c r="AF55" s="231"/>
      <c r="AG55" s="231"/>
      <c r="AH55" s="231"/>
      <c r="AI55" s="231"/>
      <c r="AJ55" s="231"/>
      <c r="AK55" s="231"/>
    </row>
    <row r="56" spans="1:37" s="203" customFormat="1">
      <c r="A56" s="818" t="s">
        <v>75</v>
      </c>
      <c r="B56" s="510" t="s">
        <v>256</v>
      </c>
      <c r="C56" s="510"/>
      <c r="D56" s="511"/>
      <c r="E56" s="531"/>
      <c r="F56" s="532"/>
      <c r="G56" s="514"/>
      <c r="H56" s="533"/>
      <c r="I56" s="486"/>
      <c r="J56" s="231"/>
      <c r="K56" s="231"/>
      <c r="L56" s="231"/>
      <c r="M56" s="231"/>
      <c r="N56" s="231"/>
      <c r="O56" s="231"/>
      <c r="P56" s="231"/>
      <c r="Q56" s="231"/>
      <c r="R56" s="231"/>
      <c r="S56" s="231"/>
      <c r="T56" s="231"/>
      <c r="U56" s="231"/>
      <c r="V56" s="231"/>
      <c r="W56" s="231"/>
      <c r="X56" s="231"/>
      <c r="Y56" s="231"/>
      <c r="Z56" s="231"/>
      <c r="AA56" s="231"/>
      <c r="AB56" s="231"/>
      <c r="AC56" s="231"/>
      <c r="AD56" s="231"/>
      <c r="AE56" s="231"/>
      <c r="AF56" s="231"/>
      <c r="AG56" s="231"/>
      <c r="AH56" s="231"/>
      <c r="AI56" s="231"/>
      <c r="AJ56" s="231"/>
      <c r="AK56" s="231"/>
    </row>
    <row r="57" spans="1:37" s="203" customFormat="1">
      <c r="A57" s="489">
        <v>11</v>
      </c>
      <c r="B57" s="490" t="s">
        <v>76</v>
      </c>
      <c r="C57" s="490"/>
      <c r="D57" s="491"/>
      <c r="E57" s="516">
        <v>14870.253338866169</v>
      </c>
      <c r="F57" s="52">
        <v>35219</v>
      </c>
      <c r="G57" s="514"/>
      <c r="H57" s="535">
        <f>F61</f>
        <v>31409</v>
      </c>
      <c r="I57" s="486"/>
      <c r="J57" s="231"/>
      <c r="K57" s="231"/>
      <c r="L57" s="231"/>
      <c r="M57" s="231"/>
      <c r="N57" s="231"/>
      <c r="O57" s="231"/>
      <c r="P57" s="231"/>
      <c r="Q57" s="231"/>
      <c r="R57" s="231"/>
      <c r="S57" s="231"/>
      <c r="T57" s="231"/>
      <c r="U57" s="231"/>
      <c r="V57" s="231"/>
      <c r="W57" s="231"/>
      <c r="X57" s="231"/>
      <c r="Y57" s="231"/>
      <c r="Z57" s="231"/>
      <c r="AA57" s="231"/>
      <c r="AB57" s="231"/>
      <c r="AC57" s="231"/>
      <c r="AD57" s="231"/>
      <c r="AE57" s="231"/>
      <c r="AF57" s="231"/>
      <c r="AG57" s="231"/>
      <c r="AH57" s="231"/>
      <c r="AI57" s="231"/>
      <c r="AJ57" s="231"/>
      <c r="AK57" s="231"/>
    </row>
    <row r="58" spans="1:37" s="203" customFormat="1">
      <c r="A58" s="489">
        <v>12</v>
      </c>
      <c r="B58" s="517" t="s">
        <v>257</v>
      </c>
      <c r="C58" s="490"/>
      <c r="D58" s="491"/>
      <c r="E58" s="492">
        <v>6983.3517173767323</v>
      </c>
      <c r="F58" s="536">
        <f>F54</f>
        <v>-3691</v>
      </c>
      <c r="G58" s="514"/>
      <c r="H58" s="542">
        <f>H54</f>
        <v>-1010</v>
      </c>
      <c r="I58" s="486"/>
      <c r="J58" s="231"/>
      <c r="K58" s="231"/>
      <c r="L58" s="231"/>
      <c r="M58" s="231"/>
      <c r="N58" s="231"/>
      <c r="O58" s="231"/>
      <c r="P58" s="231"/>
      <c r="Q58" s="231"/>
      <c r="R58" s="231"/>
      <c r="S58" s="231"/>
      <c r="T58" s="231"/>
      <c r="U58" s="231"/>
      <c r="V58" s="231"/>
      <c r="W58" s="231"/>
      <c r="X58" s="231"/>
      <c r="Y58" s="231"/>
      <c r="Z58" s="231"/>
      <c r="AA58" s="231"/>
      <c r="AB58" s="231"/>
      <c r="AC58" s="231"/>
      <c r="AD58" s="231"/>
      <c r="AE58" s="231"/>
      <c r="AF58" s="231"/>
      <c r="AG58" s="231"/>
      <c r="AH58" s="231"/>
      <c r="AI58" s="231"/>
      <c r="AJ58" s="231"/>
      <c r="AK58" s="231"/>
    </row>
    <row r="59" spans="1:37" s="203" customFormat="1">
      <c r="A59" s="489">
        <v>13</v>
      </c>
      <c r="B59" s="490" t="s">
        <v>77</v>
      </c>
      <c r="C59" s="490"/>
      <c r="D59" s="491"/>
      <c r="E59" s="492">
        <v>0</v>
      </c>
      <c r="F59" s="52"/>
      <c r="G59" s="514"/>
      <c r="H59" s="543"/>
      <c r="I59" s="486"/>
      <c r="J59" s="231"/>
      <c r="K59" s="231"/>
      <c r="L59" s="231"/>
      <c r="M59" s="231"/>
      <c r="N59" s="231"/>
      <c r="O59" s="231"/>
      <c r="P59" s="231"/>
      <c r="Q59" s="231"/>
      <c r="R59" s="231"/>
      <c r="S59" s="231"/>
      <c r="T59" s="231"/>
      <c r="U59" s="231"/>
      <c r="V59" s="231"/>
      <c r="W59" s="231"/>
      <c r="X59" s="231"/>
      <c r="Y59" s="231"/>
      <c r="Z59" s="231"/>
      <c r="AA59" s="231"/>
      <c r="AB59" s="231"/>
      <c r="AC59" s="231"/>
      <c r="AD59" s="231"/>
      <c r="AE59" s="231"/>
      <c r="AF59" s="231"/>
      <c r="AG59" s="231"/>
      <c r="AH59" s="231"/>
      <c r="AI59" s="231"/>
      <c r="AJ59" s="231"/>
      <c r="AK59" s="231"/>
    </row>
    <row r="60" spans="1:37" s="203" customFormat="1">
      <c r="A60" s="489">
        <v>14</v>
      </c>
      <c r="B60" s="490" t="s">
        <v>78</v>
      </c>
      <c r="C60" s="490"/>
      <c r="D60" s="491"/>
      <c r="E60" s="492">
        <v>5176</v>
      </c>
      <c r="F60" s="52">
        <f>-956+837</f>
        <v>-119</v>
      </c>
      <c r="G60" s="514"/>
      <c r="H60" s="544"/>
      <c r="I60" s="486"/>
      <c r="J60" s="231"/>
      <c r="K60" s="231"/>
      <c r="L60" s="231"/>
      <c r="M60" s="231"/>
      <c r="N60" s="231"/>
      <c r="O60" s="231"/>
      <c r="P60" s="231"/>
      <c r="Q60" s="231"/>
      <c r="R60" s="231"/>
      <c r="S60" s="231"/>
      <c r="T60" s="231"/>
      <c r="U60" s="231"/>
      <c r="V60" s="231"/>
      <c r="W60" s="231"/>
      <c r="X60" s="231"/>
      <c r="Y60" s="231"/>
      <c r="Z60" s="231"/>
      <c r="AA60" s="231"/>
      <c r="AB60" s="231"/>
      <c r="AC60" s="231"/>
      <c r="AD60" s="231"/>
      <c r="AE60" s="231"/>
      <c r="AF60" s="231"/>
      <c r="AG60" s="231"/>
      <c r="AH60" s="231"/>
      <c r="AI60" s="231"/>
      <c r="AJ60" s="231"/>
      <c r="AK60" s="231"/>
    </row>
    <row r="61" spans="1:37" s="203" customFormat="1">
      <c r="A61" s="495">
        <v>15</v>
      </c>
      <c r="B61" s="496" t="s">
        <v>79</v>
      </c>
      <c r="C61" s="496"/>
      <c r="D61" s="497"/>
      <c r="E61" s="498">
        <v>27029.605056242901</v>
      </c>
      <c r="F61" s="540">
        <f>F57+F58+F59+F60</f>
        <v>31409</v>
      </c>
      <c r="G61" s="514"/>
      <c r="H61" s="545">
        <f>H57+H58+H59+H60</f>
        <v>30399</v>
      </c>
      <c r="I61" s="486"/>
      <c r="J61" s="231"/>
      <c r="K61" s="231"/>
      <c r="L61" s="231"/>
      <c r="M61" s="231"/>
      <c r="N61" s="231"/>
      <c r="O61" s="231"/>
      <c r="P61" s="231"/>
      <c r="Q61" s="231"/>
      <c r="R61" s="231"/>
      <c r="S61" s="231"/>
      <c r="T61" s="231"/>
      <c r="U61" s="231"/>
      <c r="V61" s="231"/>
      <c r="W61" s="231"/>
      <c r="X61" s="231"/>
      <c r="Y61" s="231"/>
      <c r="Z61" s="231"/>
      <c r="AA61" s="231"/>
      <c r="AB61" s="231"/>
      <c r="AC61" s="231"/>
      <c r="AD61" s="231"/>
      <c r="AE61" s="231"/>
      <c r="AF61" s="231"/>
      <c r="AG61" s="231"/>
      <c r="AH61" s="231"/>
      <c r="AI61" s="231"/>
      <c r="AJ61" s="231"/>
      <c r="AK61" s="231"/>
    </row>
    <row r="62" spans="1:37" s="203" customFormat="1">
      <c r="A62" s="546"/>
      <c r="B62" s="457"/>
      <c r="C62" s="457"/>
      <c r="D62" s="457"/>
      <c r="E62" s="547"/>
      <c r="F62" s="461"/>
      <c r="G62" s="461"/>
      <c r="H62" s="461"/>
      <c r="I62" s="461"/>
      <c r="J62" s="231"/>
      <c r="K62" s="231"/>
      <c r="L62" s="231"/>
      <c r="M62" s="231"/>
      <c r="N62" s="231"/>
      <c r="O62" s="231"/>
      <c r="P62" s="231"/>
      <c r="Q62" s="231"/>
      <c r="R62" s="231"/>
      <c r="S62" s="231"/>
      <c r="T62" s="231"/>
      <c r="U62" s="231"/>
      <c r="V62" s="231"/>
      <c r="W62" s="231"/>
      <c r="X62" s="231"/>
      <c r="Y62" s="231"/>
      <c r="Z62" s="231"/>
      <c r="AA62" s="231"/>
      <c r="AB62" s="231"/>
      <c r="AC62" s="231"/>
      <c r="AD62" s="231"/>
      <c r="AE62" s="231"/>
      <c r="AF62" s="231"/>
      <c r="AG62" s="231"/>
      <c r="AH62" s="231"/>
      <c r="AI62" s="231"/>
      <c r="AJ62" s="231"/>
      <c r="AK62" s="231"/>
    </row>
    <row r="63" spans="1:37" s="203" customFormat="1" ht="12.75" customHeight="1">
      <c r="A63" s="464"/>
      <c r="B63" s="457"/>
      <c r="C63" s="457"/>
      <c r="D63" s="457"/>
      <c r="E63" s="452"/>
      <c r="F63" s="457"/>
      <c r="G63" s="457"/>
      <c r="H63" s="461"/>
      <c r="I63" s="461"/>
      <c r="J63" s="231"/>
      <c r="K63" s="231"/>
      <c r="L63" s="231"/>
      <c r="M63" s="231"/>
      <c r="N63" s="231"/>
      <c r="O63" s="231"/>
      <c r="P63" s="231"/>
      <c r="Q63" s="231"/>
      <c r="R63" s="231"/>
      <c r="S63" s="231"/>
      <c r="T63" s="231"/>
      <c r="U63" s="231"/>
      <c r="V63" s="231"/>
      <c r="W63" s="231"/>
      <c r="X63" s="231"/>
      <c r="Y63" s="231"/>
      <c r="Z63" s="231"/>
      <c r="AA63" s="231"/>
      <c r="AB63" s="231"/>
      <c r="AC63" s="231"/>
      <c r="AD63" s="231"/>
      <c r="AE63" s="231"/>
      <c r="AF63" s="231"/>
      <c r="AG63" s="231"/>
      <c r="AH63" s="231"/>
      <c r="AI63" s="231"/>
      <c r="AJ63" s="231"/>
      <c r="AK63" s="231"/>
    </row>
    <row r="64" spans="1:37" s="203" customFormat="1" ht="15">
      <c r="A64" s="548" t="s">
        <v>80</v>
      </c>
      <c r="B64" s="459"/>
      <c r="C64" s="459"/>
      <c r="D64" s="459"/>
      <c r="E64" s="452"/>
      <c r="F64" s="459"/>
      <c r="G64" s="459"/>
      <c r="H64" s="459"/>
      <c r="I64" s="459"/>
      <c r="J64" s="231"/>
      <c r="K64" s="231"/>
      <c r="L64" s="231"/>
      <c r="M64" s="231"/>
      <c r="N64" s="231"/>
      <c r="O64" s="231"/>
      <c r="P64" s="231"/>
      <c r="Q64" s="231"/>
      <c r="R64" s="231"/>
      <c r="S64" s="231"/>
      <c r="T64" s="231"/>
      <c r="U64" s="231"/>
      <c r="V64" s="231"/>
      <c r="W64" s="231"/>
      <c r="X64" s="231"/>
      <c r="Y64" s="231"/>
      <c r="Z64" s="231"/>
      <c r="AA64" s="231"/>
      <c r="AB64" s="231"/>
      <c r="AC64" s="231"/>
      <c r="AD64" s="231"/>
      <c r="AE64" s="231"/>
      <c r="AF64" s="231"/>
      <c r="AG64" s="231"/>
      <c r="AH64" s="231"/>
      <c r="AI64" s="231"/>
      <c r="AJ64" s="231"/>
      <c r="AK64" s="231"/>
    </row>
    <row r="65" spans="1:37" s="203" customFormat="1">
      <c r="A65" s="474"/>
      <c r="B65" s="459"/>
      <c r="C65" s="459"/>
      <c r="D65" s="459"/>
      <c r="E65" s="549"/>
      <c r="F65" s="459"/>
      <c r="G65" s="459"/>
      <c r="H65" s="459"/>
      <c r="I65" s="550" t="s">
        <v>27</v>
      </c>
      <c r="J65" s="231"/>
      <c r="K65" s="231"/>
      <c r="L65" s="231"/>
      <c r="M65" s="231"/>
      <c r="N65" s="231"/>
      <c r="O65" s="231"/>
      <c r="P65" s="231"/>
      <c r="Q65" s="231"/>
      <c r="R65" s="231"/>
      <c r="S65" s="231"/>
      <c r="T65" s="231"/>
      <c r="U65" s="231"/>
      <c r="V65" s="231"/>
      <c r="W65" s="231"/>
      <c r="X65" s="231"/>
      <c r="Y65" s="231"/>
      <c r="Z65" s="231"/>
      <c r="AA65" s="231"/>
      <c r="AB65" s="231"/>
      <c r="AC65" s="231"/>
      <c r="AD65" s="231"/>
      <c r="AE65" s="231"/>
      <c r="AF65" s="231"/>
      <c r="AG65" s="231"/>
      <c r="AH65" s="231"/>
      <c r="AI65" s="231"/>
      <c r="AJ65" s="231"/>
      <c r="AK65" s="231"/>
    </row>
    <row r="66" spans="1:37" s="203" customFormat="1">
      <c r="A66" s="552" t="s">
        <v>14</v>
      </c>
      <c r="B66" s="553"/>
      <c r="C66" s="553"/>
      <c r="D66" s="553"/>
      <c r="E66" s="910" t="s">
        <v>377</v>
      </c>
      <c r="F66" s="935" t="s">
        <v>402</v>
      </c>
      <c r="G66" s="924" t="s">
        <v>81</v>
      </c>
      <c r="H66" s="935" t="s">
        <v>403</v>
      </c>
      <c r="I66" s="924" t="s">
        <v>81</v>
      </c>
      <c r="J66" s="231"/>
      <c r="K66" s="231"/>
      <c r="L66" s="231"/>
      <c r="M66" s="231"/>
      <c r="N66" s="231"/>
      <c r="O66" s="231"/>
      <c r="P66" s="231"/>
      <c r="Q66" s="231"/>
      <c r="R66" s="231"/>
      <c r="S66" s="231"/>
      <c r="T66" s="231"/>
      <c r="U66" s="231"/>
      <c r="V66" s="231"/>
      <c r="W66" s="231"/>
      <c r="X66" s="231"/>
      <c r="Y66" s="231"/>
      <c r="Z66" s="231"/>
      <c r="AA66" s="231"/>
      <c r="AB66" s="231"/>
      <c r="AC66" s="231"/>
      <c r="AD66" s="231"/>
      <c r="AE66" s="231"/>
      <c r="AF66" s="231"/>
      <c r="AG66" s="231"/>
      <c r="AH66" s="231"/>
      <c r="AI66" s="231"/>
      <c r="AJ66" s="231"/>
      <c r="AK66" s="231"/>
    </row>
    <row r="67" spans="1:37" s="203" customFormat="1" ht="21" customHeight="1">
      <c r="A67" s="554"/>
      <c r="B67" s="490"/>
      <c r="C67" s="490"/>
      <c r="D67" s="490"/>
      <c r="E67" s="911"/>
      <c r="F67" s="936"/>
      <c r="G67" s="925"/>
      <c r="H67" s="936"/>
      <c r="I67" s="925"/>
      <c r="J67" s="231"/>
      <c r="K67" s="231"/>
      <c r="L67" s="231"/>
      <c r="M67" s="231"/>
      <c r="N67" s="231"/>
      <c r="O67" s="231"/>
      <c r="P67" s="231"/>
      <c r="Q67" s="231"/>
      <c r="R67" s="231"/>
      <c r="S67" s="231"/>
      <c r="T67" s="231"/>
      <c r="U67" s="231"/>
      <c r="V67" s="231"/>
      <c r="W67" s="231"/>
      <c r="X67" s="231"/>
      <c r="Y67" s="231"/>
      <c r="Z67" s="231"/>
      <c r="AA67" s="231"/>
      <c r="AB67" s="231"/>
      <c r="AC67" s="231"/>
      <c r="AD67" s="231"/>
      <c r="AE67" s="231"/>
      <c r="AF67" s="231"/>
      <c r="AG67" s="231"/>
      <c r="AH67" s="231"/>
      <c r="AI67" s="231"/>
      <c r="AJ67" s="231"/>
      <c r="AK67" s="231"/>
    </row>
    <row r="68" spans="1:37" s="203" customFormat="1">
      <c r="A68" s="555" t="s">
        <v>82</v>
      </c>
      <c r="B68" s="490"/>
      <c r="C68" s="490"/>
      <c r="D68" s="490"/>
      <c r="E68" s="911"/>
      <c r="F68" s="936"/>
      <c r="G68" s="925"/>
      <c r="H68" s="936"/>
      <c r="I68" s="925"/>
      <c r="J68" s="231"/>
      <c r="K68" s="231"/>
      <c r="L68" s="231"/>
      <c r="M68" s="231"/>
      <c r="N68" s="231"/>
      <c r="O68" s="231"/>
      <c r="P68" s="231"/>
      <c r="Q68" s="231"/>
      <c r="R68" s="231"/>
      <c r="S68" s="231"/>
      <c r="T68" s="231"/>
      <c r="U68" s="231"/>
      <c r="V68" s="231"/>
      <c r="W68" s="231"/>
      <c r="X68" s="231"/>
      <c r="Y68" s="231"/>
      <c r="Z68" s="231"/>
      <c r="AA68" s="231"/>
      <c r="AB68" s="231"/>
      <c r="AC68" s="231"/>
      <c r="AD68" s="231"/>
      <c r="AE68" s="231"/>
      <c r="AF68" s="231"/>
      <c r="AG68" s="231"/>
      <c r="AH68" s="231"/>
      <c r="AI68" s="231"/>
      <c r="AJ68" s="231"/>
      <c r="AK68" s="231"/>
    </row>
    <row r="69" spans="1:37" s="203" customFormat="1">
      <c r="A69" s="555" t="s">
        <v>83</v>
      </c>
      <c r="B69" s="490"/>
      <c r="C69" s="490"/>
      <c r="D69" s="490"/>
      <c r="E69" s="911"/>
      <c r="F69" s="936"/>
      <c r="G69" s="925"/>
      <c r="H69" s="936"/>
      <c r="I69" s="925"/>
      <c r="J69" s="231"/>
      <c r="K69" s="231"/>
      <c r="L69" s="231"/>
      <c r="M69" s="231"/>
      <c r="N69" s="231"/>
      <c r="O69" s="231"/>
      <c r="P69" s="231"/>
      <c r="Q69" s="231"/>
      <c r="R69" s="231"/>
      <c r="S69" s="231"/>
      <c r="T69" s="231"/>
      <c r="U69" s="231"/>
      <c r="V69" s="231"/>
      <c r="W69" s="231"/>
      <c r="X69" s="231"/>
      <c r="Y69" s="231"/>
      <c r="Z69" s="231"/>
      <c r="AA69" s="231"/>
      <c r="AB69" s="231"/>
      <c r="AC69" s="231"/>
      <c r="AD69" s="231"/>
      <c r="AE69" s="231"/>
      <c r="AF69" s="231"/>
      <c r="AG69" s="231"/>
      <c r="AH69" s="231"/>
      <c r="AI69" s="231"/>
      <c r="AJ69" s="231"/>
      <c r="AK69" s="231"/>
    </row>
    <row r="70" spans="1:37" s="203" customFormat="1">
      <c r="A70" s="556" t="s">
        <v>84</v>
      </c>
      <c r="B70" s="490"/>
      <c r="C70" s="490"/>
      <c r="D70" s="490"/>
      <c r="E70" s="912"/>
      <c r="F70" s="937"/>
      <c r="G70" s="926"/>
      <c r="H70" s="937"/>
      <c r="I70" s="926"/>
      <c r="J70" s="231"/>
      <c r="K70" s="231"/>
      <c r="L70" s="231"/>
      <c r="M70" s="231"/>
      <c r="N70" s="231"/>
      <c r="O70" s="231"/>
      <c r="P70" s="231"/>
      <c r="Q70" s="231"/>
      <c r="R70" s="231"/>
      <c r="S70" s="231"/>
      <c r="T70" s="231"/>
      <c r="U70" s="231"/>
      <c r="V70" s="231"/>
      <c r="W70" s="231"/>
      <c r="X70" s="231"/>
      <c r="Y70" s="231"/>
      <c r="Z70" s="231"/>
      <c r="AA70" s="231"/>
      <c r="AB70" s="231"/>
      <c r="AC70" s="231"/>
      <c r="AD70" s="231"/>
      <c r="AE70" s="231"/>
      <c r="AF70" s="231"/>
      <c r="AG70" s="231"/>
      <c r="AH70" s="231"/>
      <c r="AI70" s="231"/>
      <c r="AJ70" s="231"/>
      <c r="AK70" s="231"/>
    </row>
    <row r="71" spans="1:37" s="203" customFormat="1">
      <c r="A71" s="557">
        <v>1</v>
      </c>
      <c r="B71" s="490" t="s">
        <v>85</v>
      </c>
      <c r="C71" s="490"/>
      <c r="D71" s="490"/>
      <c r="E71" s="484">
        <v>18408</v>
      </c>
      <c r="F71" s="247">
        <v>20889</v>
      </c>
      <c r="G71" s="558">
        <v>11899</v>
      </c>
      <c r="H71" s="559">
        <v>29519</v>
      </c>
      <c r="I71" s="558">
        <v>12190</v>
      </c>
      <c r="J71" s="231"/>
      <c r="K71" s="231"/>
      <c r="L71" s="231"/>
      <c r="M71" s="231"/>
      <c r="N71" s="231"/>
      <c r="O71" s="231"/>
      <c r="P71" s="231"/>
      <c r="Q71" s="231"/>
      <c r="R71" s="231"/>
      <c r="S71" s="231"/>
      <c r="T71" s="231"/>
      <c r="U71" s="231"/>
      <c r="V71" s="231"/>
      <c r="W71" s="231"/>
      <c r="X71" s="231"/>
      <c r="Y71" s="231"/>
      <c r="Z71" s="231"/>
      <c r="AA71" s="231"/>
      <c r="AB71" s="231"/>
      <c r="AC71" s="231"/>
      <c r="AD71" s="231"/>
      <c r="AE71" s="231"/>
      <c r="AF71" s="231"/>
      <c r="AG71" s="231"/>
      <c r="AH71" s="231"/>
      <c r="AI71" s="231"/>
      <c r="AJ71" s="231"/>
      <c r="AK71" s="231"/>
    </row>
    <row r="72" spans="1:37" s="203" customFormat="1">
      <c r="A72" s="557">
        <v>2</v>
      </c>
      <c r="B72" s="490" t="s">
        <v>86</v>
      </c>
      <c r="C72" s="490"/>
      <c r="D72" s="490"/>
      <c r="E72" s="492">
        <v>106841</v>
      </c>
      <c r="F72" s="247">
        <v>110034</v>
      </c>
      <c r="G72" s="561">
        <v>74902</v>
      </c>
      <c r="H72" s="562">
        <v>109647</v>
      </c>
      <c r="I72" s="561">
        <v>75679</v>
      </c>
      <c r="J72" s="231"/>
      <c r="K72" s="231"/>
      <c r="L72" s="231"/>
      <c r="M72" s="231"/>
      <c r="N72" s="231"/>
      <c r="O72" s="231"/>
      <c r="P72" s="231"/>
      <c r="Q72" s="231"/>
      <c r="R72" s="231"/>
      <c r="S72" s="231"/>
      <c r="T72" s="231"/>
      <c r="U72" s="231"/>
      <c r="V72" s="231"/>
      <c r="W72" s="231"/>
      <c r="X72" s="231"/>
      <c r="Y72" s="231"/>
      <c r="Z72" s="231"/>
      <c r="AA72" s="231"/>
      <c r="AB72" s="231"/>
      <c r="AC72" s="231"/>
      <c r="AD72" s="231"/>
      <c r="AE72" s="231"/>
      <c r="AF72" s="231"/>
      <c r="AG72" s="231"/>
      <c r="AH72" s="231"/>
      <c r="AI72" s="231"/>
      <c r="AJ72" s="231"/>
      <c r="AK72" s="231"/>
    </row>
    <row r="73" spans="1:37" s="203" customFormat="1">
      <c r="A73" s="557">
        <v>3</v>
      </c>
      <c r="B73" s="490" t="s">
        <v>87</v>
      </c>
      <c r="C73" s="490"/>
      <c r="D73" s="490"/>
      <c r="E73" s="564">
        <v>98497</v>
      </c>
      <c r="F73" s="247">
        <v>100782</v>
      </c>
      <c r="G73" s="561">
        <v>72565</v>
      </c>
      <c r="H73" s="562">
        <v>99612</v>
      </c>
      <c r="I73" s="561">
        <v>72715</v>
      </c>
      <c r="J73" s="231"/>
      <c r="K73" s="231"/>
      <c r="L73" s="231"/>
      <c r="M73" s="231"/>
      <c r="N73" s="231"/>
      <c r="O73" s="231"/>
      <c r="P73" s="231"/>
      <c r="Q73" s="231"/>
      <c r="R73" s="231"/>
      <c r="S73" s="231"/>
      <c r="T73" s="231"/>
      <c r="U73" s="231"/>
      <c r="V73" s="231"/>
      <c r="W73" s="231"/>
      <c r="X73" s="231"/>
      <c r="Y73" s="231"/>
      <c r="Z73" s="231"/>
      <c r="AA73" s="231"/>
      <c r="AB73" s="231"/>
      <c r="AC73" s="231"/>
      <c r="AD73" s="231"/>
      <c r="AE73" s="231"/>
      <c r="AF73" s="231"/>
      <c r="AG73" s="231"/>
      <c r="AH73" s="231"/>
      <c r="AI73" s="231"/>
      <c r="AJ73" s="231"/>
      <c r="AK73" s="231"/>
    </row>
    <row r="74" spans="1:37" s="203" customFormat="1">
      <c r="A74" s="557">
        <v>4</v>
      </c>
      <c r="B74" s="490" t="s">
        <v>88</v>
      </c>
      <c r="C74" s="490"/>
      <c r="D74" s="490"/>
      <c r="E74" s="564">
        <v>33696</v>
      </c>
      <c r="F74" s="247">
        <v>33751</v>
      </c>
      <c r="G74" s="561">
        <v>18007</v>
      </c>
      <c r="H74" s="562">
        <v>34716</v>
      </c>
      <c r="I74" s="561">
        <v>18446</v>
      </c>
      <c r="J74" s="231"/>
      <c r="K74" s="231"/>
      <c r="L74" s="231"/>
      <c r="M74" s="231"/>
      <c r="N74" s="231"/>
      <c r="O74" s="231"/>
      <c r="P74" s="231"/>
      <c r="Q74" s="231"/>
      <c r="R74" s="231"/>
      <c r="S74" s="231"/>
      <c r="T74" s="231"/>
      <c r="U74" s="231"/>
      <c r="V74" s="231"/>
      <c r="W74" s="231"/>
      <c r="X74" s="231"/>
      <c r="Y74" s="231"/>
      <c r="Z74" s="231"/>
      <c r="AA74" s="231"/>
      <c r="AB74" s="231"/>
      <c r="AC74" s="231"/>
      <c r="AD74" s="231"/>
      <c r="AE74" s="231"/>
      <c r="AF74" s="231"/>
      <c r="AG74" s="231"/>
      <c r="AH74" s="231"/>
      <c r="AI74" s="231"/>
      <c r="AJ74" s="231"/>
      <c r="AK74" s="231"/>
    </row>
    <row r="75" spans="1:37" s="203" customFormat="1">
      <c r="A75" s="557">
        <v>5</v>
      </c>
      <c r="B75" s="490" t="s">
        <v>89</v>
      </c>
      <c r="C75" s="490" t="s">
        <v>90</v>
      </c>
      <c r="D75" s="490"/>
      <c r="E75" s="564">
        <v>3373</v>
      </c>
      <c r="F75" s="247">
        <v>3660</v>
      </c>
      <c r="G75" s="561">
        <v>0</v>
      </c>
      <c r="H75" s="562">
        <v>3464</v>
      </c>
      <c r="I75" s="561">
        <v>0</v>
      </c>
      <c r="J75" s="231"/>
      <c r="K75" s="231"/>
      <c r="L75" s="231"/>
      <c r="M75" s="231"/>
      <c r="N75" s="231"/>
      <c r="O75" s="231"/>
      <c r="P75" s="231"/>
      <c r="Q75" s="231"/>
      <c r="R75" s="231"/>
      <c r="S75" s="231"/>
      <c r="T75" s="231"/>
      <c r="U75" s="231"/>
      <c r="V75" s="231"/>
      <c r="W75" s="231"/>
      <c r="X75" s="231"/>
      <c r="Y75" s="231"/>
      <c r="Z75" s="231"/>
      <c r="AA75" s="231"/>
      <c r="AB75" s="231"/>
      <c r="AC75" s="231"/>
      <c r="AD75" s="231"/>
      <c r="AE75" s="231"/>
      <c r="AF75" s="231"/>
      <c r="AG75" s="231"/>
      <c r="AH75" s="231"/>
      <c r="AI75" s="231"/>
      <c r="AJ75" s="231"/>
      <c r="AK75" s="231"/>
    </row>
    <row r="76" spans="1:37" s="203" customFormat="1">
      <c r="A76" s="819"/>
      <c r="B76" s="821"/>
      <c r="C76" s="490" t="s">
        <v>91</v>
      </c>
      <c r="D76" s="490"/>
      <c r="E76" s="564">
        <v>60</v>
      </c>
      <c r="F76" s="247">
        <v>60</v>
      </c>
      <c r="G76" s="565">
        <v>0</v>
      </c>
      <c r="H76" s="566">
        <v>60</v>
      </c>
      <c r="I76" s="565">
        <v>0</v>
      </c>
      <c r="J76" s="231"/>
      <c r="K76" s="231"/>
      <c r="L76" s="231"/>
      <c r="M76" s="231"/>
      <c r="N76" s="231"/>
      <c r="O76" s="231"/>
      <c r="P76" s="231"/>
      <c r="Q76" s="231"/>
      <c r="R76" s="231"/>
      <c r="S76" s="231"/>
      <c r="T76" s="231"/>
      <c r="U76" s="231"/>
      <c r="V76" s="231"/>
      <c r="W76" s="231"/>
      <c r="X76" s="231"/>
      <c r="Y76" s="231"/>
      <c r="Z76" s="231"/>
      <c r="AA76" s="231"/>
      <c r="AB76" s="231"/>
      <c r="AC76" s="231"/>
      <c r="AD76" s="231"/>
      <c r="AE76" s="231"/>
      <c r="AF76" s="231"/>
      <c r="AG76" s="231"/>
      <c r="AH76" s="231"/>
      <c r="AI76" s="231"/>
      <c r="AJ76" s="231"/>
      <c r="AK76" s="231"/>
    </row>
    <row r="77" spans="1:37" s="203" customFormat="1">
      <c r="A77" s="557">
        <v>6</v>
      </c>
      <c r="B77" s="567" t="s">
        <v>92</v>
      </c>
      <c r="C77" s="567"/>
      <c r="D77" s="490"/>
      <c r="E77" s="522">
        <v>260875</v>
      </c>
      <c r="F77" s="568">
        <f>SUM(F71:F76)</f>
        <v>269176</v>
      </c>
      <c r="G77" s="569">
        <f>SUM(G71:G76)</f>
        <v>177373</v>
      </c>
      <c r="H77" s="570">
        <f>SUM(H71:H76)</f>
        <v>277018</v>
      </c>
      <c r="I77" s="569">
        <f>SUM(I71:I76)</f>
        <v>179030</v>
      </c>
      <c r="J77" s="231"/>
      <c r="K77" s="231"/>
      <c r="L77" s="231"/>
      <c r="M77" s="231"/>
      <c r="N77" s="231"/>
      <c r="O77" s="231"/>
      <c r="P77" s="231"/>
      <c r="Q77" s="231"/>
      <c r="R77" s="231"/>
      <c r="S77" s="231"/>
      <c r="T77" s="231"/>
      <c r="U77" s="231"/>
      <c r="V77" s="231"/>
      <c r="W77" s="231"/>
      <c r="X77" s="231"/>
      <c r="Y77" s="231"/>
      <c r="Z77" s="231"/>
      <c r="AA77" s="231"/>
      <c r="AB77" s="231"/>
      <c r="AC77" s="231"/>
      <c r="AD77" s="231"/>
      <c r="AE77" s="231"/>
      <c r="AF77" s="231"/>
      <c r="AG77" s="231"/>
      <c r="AH77" s="231"/>
      <c r="AI77" s="231"/>
      <c r="AJ77" s="231"/>
      <c r="AK77" s="231"/>
    </row>
    <row r="78" spans="1:37" s="203" customFormat="1">
      <c r="A78" s="819"/>
      <c r="B78" s="490"/>
      <c r="C78" s="490"/>
      <c r="D78" s="490"/>
      <c r="E78" s="571"/>
      <c r="F78" s="572"/>
      <c r="G78" s="572"/>
      <c r="H78" s="572"/>
      <c r="I78" s="572"/>
      <c r="J78" s="231"/>
      <c r="K78" s="231"/>
      <c r="L78" s="231"/>
      <c r="M78" s="231"/>
      <c r="N78" s="231"/>
      <c r="O78" s="231"/>
      <c r="P78" s="231"/>
      <c r="Q78" s="231"/>
      <c r="R78" s="231"/>
      <c r="S78" s="231"/>
      <c r="T78" s="231"/>
      <c r="U78" s="231"/>
      <c r="V78" s="231"/>
      <c r="W78" s="231"/>
      <c r="X78" s="231"/>
      <c r="Y78" s="231"/>
      <c r="Z78" s="231"/>
      <c r="AA78" s="231"/>
      <c r="AB78" s="231"/>
      <c r="AC78" s="231"/>
      <c r="AD78" s="231"/>
      <c r="AE78" s="231"/>
      <c r="AF78" s="231"/>
      <c r="AG78" s="231"/>
      <c r="AH78" s="231"/>
      <c r="AI78" s="231"/>
      <c r="AJ78" s="231"/>
      <c r="AK78" s="231"/>
    </row>
    <row r="79" spans="1:37" s="203" customFormat="1">
      <c r="A79" s="573" t="s">
        <v>93</v>
      </c>
      <c r="B79" s="567"/>
      <c r="C79" s="567"/>
      <c r="D79" s="567"/>
      <c r="E79" s="571"/>
      <c r="F79" s="572"/>
      <c r="G79" s="572"/>
      <c r="H79" s="572"/>
      <c r="I79" s="572"/>
      <c r="J79" s="231"/>
      <c r="K79" s="231"/>
      <c r="L79" s="231"/>
      <c r="M79" s="231"/>
      <c r="N79" s="231"/>
      <c r="O79" s="231"/>
      <c r="P79" s="231"/>
      <c r="Q79" s="231"/>
      <c r="R79" s="231"/>
      <c r="S79" s="231"/>
      <c r="T79" s="231"/>
      <c r="U79" s="231"/>
      <c r="V79" s="231"/>
      <c r="W79" s="231"/>
      <c r="X79" s="231"/>
      <c r="Y79" s="231"/>
      <c r="Z79" s="231"/>
      <c r="AA79" s="231"/>
      <c r="AB79" s="231"/>
      <c r="AC79" s="231"/>
      <c r="AD79" s="231"/>
      <c r="AE79" s="231"/>
      <c r="AF79" s="231"/>
      <c r="AG79" s="231"/>
      <c r="AH79" s="231"/>
      <c r="AI79" s="231"/>
      <c r="AJ79" s="231"/>
      <c r="AK79" s="231"/>
    </row>
    <row r="80" spans="1:37" s="203" customFormat="1">
      <c r="A80" s="819">
        <v>7</v>
      </c>
      <c r="B80" s="490" t="s">
        <v>94</v>
      </c>
      <c r="C80" s="490"/>
      <c r="D80" s="490"/>
      <c r="E80" s="484">
        <v>806</v>
      </c>
      <c r="F80" s="253">
        <v>682</v>
      </c>
      <c r="G80" s="558">
        <v>681</v>
      </c>
      <c r="H80" s="559">
        <v>784</v>
      </c>
      <c r="I80" s="558">
        <v>784</v>
      </c>
      <c r="J80" s="231"/>
      <c r="K80" s="231"/>
      <c r="L80" s="231"/>
      <c r="M80" s="231"/>
      <c r="N80" s="231"/>
      <c r="O80" s="231"/>
      <c r="P80" s="231"/>
      <c r="Q80" s="231"/>
      <c r="R80" s="231"/>
      <c r="S80" s="231"/>
      <c r="T80" s="231"/>
      <c r="U80" s="231"/>
      <c r="V80" s="231"/>
      <c r="W80" s="231"/>
      <c r="X80" s="231"/>
      <c r="Y80" s="231"/>
      <c r="Z80" s="231"/>
      <c r="AA80" s="231"/>
      <c r="AB80" s="231"/>
      <c r="AC80" s="231"/>
      <c r="AD80" s="231"/>
      <c r="AE80" s="231"/>
      <c r="AF80" s="231"/>
      <c r="AG80" s="231"/>
      <c r="AH80" s="231"/>
      <c r="AI80" s="231"/>
      <c r="AJ80" s="231"/>
      <c r="AK80" s="231"/>
    </row>
    <row r="81" spans="1:37" s="203" customFormat="1">
      <c r="A81" s="819">
        <v>8</v>
      </c>
      <c r="B81" s="490" t="s">
        <v>95</v>
      </c>
      <c r="C81" s="490"/>
      <c r="D81" s="490"/>
      <c r="E81" s="492">
        <v>62310</v>
      </c>
      <c r="F81" s="247">
        <v>61555</v>
      </c>
      <c r="G81" s="561">
        <v>59173</v>
      </c>
      <c r="H81" s="562">
        <v>63785</v>
      </c>
      <c r="I81" s="561">
        <v>61039</v>
      </c>
      <c r="J81" s="231"/>
      <c r="K81" s="231"/>
      <c r="L81" s="231"/>
      <c r="M81" s="231"/>
      <c r="N81" s="231"/>
      <c r="O81" s="231"/>
      <c r="P81" s="231"/>
      <c r="Q81" s="231"/>
      <c r="R81" s="231"/>
      <c r="S81" s="231"/>
      <c r="T81" s="231"/>
      <c r="U81" s="231"/>
      <c r="V81" s="231"/>
      <c r="W81" s="231"/>
      <c r="X81" s="231"/>
      <c r="Y81" s="231"/>
      <c r="Z81" s="231"/>
      <c r="AA81" s="231"/>
      <c r="AB81" s="231"/>
      <c r="AC81" s="231"/>
      <c r="AD81" s="231"/>
      <c r="AE81" s="231"/>
      <c r="AF81" s="231"/>
      <c r="AG81" s="231"/>
      <c r="AH81" s="231"/>
      <c r="AI81" s="231"/>
      <c r="AJ81" s="231"/>
      <c r="AK81" s="231"/>
    </row>
    <row r="82" spans="1:37" s="203" customFormat="1">
      <c r="A82" s="819">
        <v>9</v>
      </c>
      <c r="B82" s="490" t="s">
        <v>96</v>
      </c>
      <c r="C82" s="490"/>
      <c r="D82" s="490"/>
      <c r="E82" s="492">
        <v>55451</v>
      </c>
      <c r="F82" s="247">
        <v>54086</v>
      </c>
      <c r="G82" s="561">
        <v>53011</v>
      </c>
      <c r="H82" s="562">
        <v>56340</v>
      </c>
      <c r="I82" s="561">
        <v>55237</v>
      </c>
      <c r="J82" s="231"/>
      <c r="K82" s="231"/>
      <c r="L82" s="231"/>
      <c r="M82" s="231"/>
      <c r="N82" s="231"/>
      <c r="O82" s="231"/>
      <c r="P82" s="231"/>
      <c r="Q82" s="231"/>
      <c r="R82" s="231"/>
      <c r="S82" s="231"/>
      <c r="T82" s="231"/>
      <c r="U82" s="231"/>
      <c r="V82" s="231"/>
      <c r="W82" s="231"/>
      <c r="X82" s="231"/>
      <c r="Y82" s="231"/>
      <c r="Z82" s="231"/>
      <c r="AA82" s="231"/>
      <c r="AB82" s="231"/>
      <c r="AC82" s="231"/>
      <c r="AD82" s="231"/>
      <c r="AE82" s="231"/>
      <c r="AF82" s="231"/>
      <c r="AG82" s="231"/>
      <c r="AH82" s="231"/>
      <c r="AI82" s="231"/>
      <c r="AJ82" s="231"/>
      <c r="AK82" s="231"/>
    </row>
    <row r="83" spans="1:37" s="203" customFormat="1">
      <c r="A83" s="819">
        <v>10</v>
      </c>
      <c r="B83" s="517" t="s">
        <v>97</v>
      </c>
      <c r="C83" s="490"/>
      <c r="D83" s="490"/>
      <c r="E83" s="492">
        <v>33696</v>
      </c>
      <c r="F83" s="247">
        <v>33751</v>
      </c>
      <c r="G83" s="561">
        <v>18007</v>
      </c>
      <c r="H83" s="562">
        <v>34716</v>
      </c>
      <c r="I83" s="561">
        <v>18446</v>
      </c>
      <c r="J83" s="231"/>
      <c r="K83" s="231"/>
      <c r="L83" s="231"/>
      <c r="M83" s="231"/>
      <c r="N83" s="231"/>
      <c r="O83" s="231"/>
      <c r="P83" s="231"/>
      <c r="Q83" s="231"/>
      <c r="R83" s="231"/>
      <c r="S83" s="231"/>
      <c r="T83" s="231"/>
      <c r="U83" s="231"/>
      <c r="V83" s="231"/>
      <c r="W83" s="231"/>
      <c r="X83" s="231"/>
      <c r="Y83" s="231"/>
      <c r="Z83" s="231"/>
      <c r="AA83" s="231"/>
      <c r="AB83" s="231"/>
      <c r="AC83" s="231"/>
      <c r="AD83" s="231"/>
      <c r="AE83" s="231"/>
      <c r="AF83" s="231"/>
      <c r="AG83" s="231"/>
      <c r="AH83" s="231"/>
      <c r="AI83" s="231"/>
      <c r="AJ83" s="231"/>
      <c r="AK83" s="231"/>
    </row>
    <row r="84" spans="1:37" s="203" customFormat="1">
      <c r="A84" s="819">
        <v>11</v>
      </c>
      <c r="B84" s="517" t="s">
        <v>98</v>
      </c>
      <c r="C84" s="490"/>
      <c r="D84" s="490"/>
      <c r="E84" s="492">
        <v>17782</v>
      </c>
      <c r="F84" s="247">
        <v>18503</v>
      </c>
      <c r="G84" s="561">
        <v>0</v>
      </c>
      <c r="H84" s="562">
        <v>17691</v>
      </c>
      <c r="I84" s="561">
        <v>0</v>
      </c>
      <c r="J84" s="231"/>
      <c r="K84" s="231"/>
      <c r="L84" s="231"/>
      <c r="M84" s="231"/>
      <c r="N84" s="231"/>
      <c r="O84" s="231"/>
      <c r="P84" s="231"/>
      <c r="Q84" s="231"/>
      <c r="R84" s="231"/>
      <c r="S84" s="231"/>
      <c r="T84" s="231"/>
      <c r="U84" s="231"/>
      <c r="V84" s="231"/>
      <c r="W84" s="231"/>
      <c r="X84" s="231"/>
      <c r="Y84" s="231"/>
      <c r="Z84" s="231"/>
      <c r="AA84" s="231"/>
      <c r="AB84" s="231"/>
      <c r="AC84" s="231"/>
      <c r="AD84" s="231"/>
      <c r="AE84" s="231"/>
      <c r="AF84" s="231"/>
      <c r="AG84" s="231"/>
      <c r="AH84" s="231"/>
      <c r="AI84" s="231"/>
      <c r="AJ84" s="231"/>
      <c r="AK84" s="231"/>
    </row>
    <row r="85" spans="1:37" s="203" customFormat="1">
      <c r="A85" s="819">
        <v>12</v>
      </c>
      <c r="B85" s="490" t="s">
        <v>99</v>
      </c>
      <c r="C85" s="490"/>
      <c r="D85" s="490"/>
      <c r="E85" s="492">
        <v>6403</v>
      </c>
      <c r="F85" s="247">
        <v>6967</v>
      </c>
      <c r="G85" s="561">
        <v>0</v>
      </c>
      <c r="H85" s="562">
        <v>6190</v>
      </c>
      <c r="I85" s="561">
        <v>0</v>
      </c>
      <c r="J85" s="231"/>
      <c r="K85" s="231"/>
      <c r="L85" s="231"/>
      <c r="M85" s="231"/>
      <c r="N85" s="231"/>
      <c r="O85" s="231"/>
      <c r="P85" s="231"/>
      <c r="Q85" s="231"/>
      <c r="R85" s="231"/>
      <c r="S85" s="231"/>
      <c r="T85" s="231"/>
      <c r="U85" s="231"/>
      <c r="V85" s="231"/>
      <c r="W85" s="231"/>
      <c r="X85" s="231"/>
      <c r="Y85" s="231"/>
      <c r="Z85" s="231"/>
      <c r="AA85" s="231"/>
      <c r="AB85" s="231"/>
      <c r="AC85" s="231"/>
      <c r="AD85" s="231"/>
      <c r="AE85" s="231"/>
      <c r="AF85" s="231"/>
      <c r="AG85" s="231"/>
      <c r="AH85" s="231"/>
      <c r="AI85" s="231"/>
      <c r="AJ85" s="231"/>
      <c r="AK85" s="231"/>
    </row>
    <row r="86" spans="1:37" s="203" customFormat="1">
      <c r="A86" s="819">
        <v>13</v>
      </c>
      <c r="B86" s="490" t="s">
        <v>100</v>
      </c>
      <c r="C86" s="490"/>
      <c r="D86" s="490"/>
      <c r="E86" s="492">
        <v>35248</v>
      </c>
      <c r="F86" s="247">
        <v>36521</v>
      </c>
      <c r="G86" s="561">
        <v>19016</v>
      </c>
      <c r="H86" s="562">
        <v>36173</v>
      </c>
      <c r="I86" s="561">
        <v>19218</v>
      </c>
      <c r="J86" s="231"/>
      <c r="K86" s="231"/>
      <c r="L86" s="231"/>
      <c r="M86" s="231"/>
      <c r="N86" s="231"/>
      <c r="O86" s="231"/>
      <c r="P86" s="231"/>
      <c r="Q86" s="231"/>
      <c r="R86" s="231"/>
      <c r="S86" s="231"/>
      <c r="T86" s="231"/>
      <c r="U86" s="231"/>
      <c r="V86" s="231"/>
      <c r="W86" s="231"/>
      <c r="X86" s="231"/>
      <c r="Y86" s="231"/>
      <c r="Z86" s="231"/>
      <c r="AA86" s="231"/>
      <c r="AB86" s="231"/>
      <c r="AC86" s="231"/>
      <c r="AD86" s="231"/>
      <c r="AE86" s="231"/>
      <c r="AF86" s="231"/>
      <c r="AG86" s="231"/>
      <c r="AH86" s="231"/>
      <c r="AI86" s="231"/>
      <c r="AJ86" s="231"/>
      <c r="AK86" s="231"/>
    </row>
    <row r="87" spans="1:37" s="203" customFormat="1">
      <c r="A87" s="819">
        <v>14</v>
      </c>
      <c r="B87" s="490" t="s">
        <v>101</v>
      </c>
      <c r="C87" s="490"/>
      <c r="D87" s="490"/>
      <c r="E87" s="492">
        <v>0</v>
      </c>
      <c r="F87" s="247">
        <v>0</v>
      </c>
      <c r="G87" s="561">
        <v>0</v>
      </c>
      <c r="H87" s="562">
        <v>0</v>
      </c>
      <c r="I87" s="561">
        <v>0</v>
      </c>
      <c r="J87" s="231"/>
      <c r="K87" s="231"/>
      <c r="L87" s="231"/>
      <c r="M87" s="231"/>
      <c r="N87" s="231"/>
      <c r="O87" s="231"/>
      <c r="P87" s="231"/>
      <c r="Q87" s="231"/>
      <c r="R87" s="231"/>
      <c r="S87" s="231"/>
      <c r="T87" s="231"/>
      <c r="U87" s="231"/>
      <c r="V87" s="231"/>
      <c r="W87" s="231"/>
      <c r="X87" s="231"/>
      <c r="Y87" s="231"/>
      <c r="Z87" s="231"/>
      <c r="AA87" s="231"/>
      <c r="AB87" s="231"/>
      <c r="AC87" s="231"/>
      <c r="AD87" s="231"/>
      <c r="AE87" s="231"/>
      <c r="AF87" s="231"/>
      <c r="AG87" s="231"/>
      <c r="AH87" s="231"/>
      <c r="AI87" s="231"/>
      <c r="AJ87" s="231"/>
      <c r="AK87" s="231"/>
    </row>
    <row r="88" spans="1:37" s="203" customFormat="1">
      <c r="A88" s="820">
        <v>15</v>
      </c>
      <c r="B88" s="574" t="s">
        <v>102</v>
      </c>
      <c r="C88" s="496"/>
      <c r="D88" s="496"/>
      <c r="E88" s="498">
        <v>0</v>
      </c>
      <c r="F88" s="254">
        <v>0</v>
      </c>
      <c r="G88" s="575">
        <v>0</v>
      </c>
      <c r="H88" s="576">
        <v>0</v>
      </c>
      <c r="I88" s="575">
        <v>0</v>
      </c>
      <c r="J88" s="231"/>
      <c r="K88" s="231"/>
      <c r="L88" s="231"/>
      <c r="M88" s="231"/>
      <c r="N88" s="231"/>
      <c r="O88" s="231"/>
      <c r="P88" s="231"/>
      <c r="Q88" s="231"/>
      <c r="R88" s="231"/>
      <c r="S88" s="231"/>
      <c r="T88" s="231"/>
      <c r="U88" s="231"/>
      <c r="V88" s="231"/>
      <c r="W88" s="231"/>
      <c r="X88" s="231"/>
      <c r="Y88" s="231"/>
      <c r="Z88" s="231"/>
      <c r="AA88" s="231"/>
      <c r="AB88" s="231"/>
      <c r="AC88" s="231"/>
      <c r="AD88" s="231"/>
      <c r="AE88" s="231"/>
      <c r="AF88" s="231"/>
      <c r="AG88" s="231"/>
      <c r="AH88" s="231"/>
      <c r="AI88" s="231"/>
      <c r="AJ88" s="231"/>
      <c r="AK88" s="231"/>
    </row>
    <row r="89" spans="1:37" s="203" customFormat="1">
      <c r="A89" s="577"/>
      <c r="B89" s="578"/>
      <c r="C89" s="578"/>
      <c r="D89" s="578"/>
      <c r="E89" s="452"/>
      <c r="F89" s="579"/>
      <c r="G89" s="459"/>
      <c r="H89" s="457"/>
      <c r="I89" s="459"/>
      <c r="J89" s="231"/>
      <c r="K89" s="231"/>
      <c r="L89" s="231"/>
      <c r="M89" s="231"/>
      <c r="N89" s="231"/>
      <c r="O89" s="231"/>
      <c r="P89" s="231"/>
      <c r="Q89" s="231"/>
      <c r="R89" s="231"/>
      <c r="S89" s="231"/>
      <c r="T89" s="231"/>
      <c r="U89" s="231"/>
      <c r="V89" s="231"/>
      <c r="W89" s="231"/>
      <c r="X89" s="231"/>
      <c r="Y89" s="231"/>
      <c r="Z89" s="231"/>
      <c r="AA89" s="231"/>
      <c r="AB89" s="231"/>
      <c r="AC89" s="231"/>
      <c r="AD89" s="231"/>
      <c r="AE89" s="231"/>
      <c r="AF89" s="231"/>
      <c r="AG89" s="231"/>
      <c r="AH89" s="231"/>
      <c r="AI89" s="231"/>
      <c r="AJ89" s="231"/>
      <c r="AK89" s="231"/>
    </row>
    <row r="90" spans="1:37" s="203" customFormat="1">
      <c r="A90" s="577"/>
      <c r="B90" s="578"/>
      <c r="C90" s="578"/>
      <c r="D90" s="578"/>
      <c r="E90" s="549"/>
      <c r="F90" s="579"/>
      <c r="G90" s="459"/>
      <c r="H90" s="550" t="s">
        <v>27</v>
      </c>
      <c r="I90" s="459"/>
      <c r="J90" s="231"/>
      <c r="K90" s="231"/>
      <c r="L90" s="231"/>
      <c r="M90" s="231"/>
      <c r="N90" s="231"/>
      <c r="O90" s="231"/>
      <c r="P90" s="231"/>
      <c r="Q90" s="231"/>
      <c r="R90" s="231"/>
      <c r="S90" s="231"/>
      <c r="T90" s="231"/>
      <c r="U90" s="231"/>
      <c r="V90" s="231"/>
      <c r="W90" s="231"/>
      <c r="X90" s="231"/>
      <c r="Y90" s="231"/>
      <c r="Z90" s="231"/>
      <c r="AA90" s="231"/>
      <c r="AB90" s="231"/>
      <c r="AC90" s="231"/>
      <c r="AD90" s="231"/>
      <c r="AE90" s="231"/>
      <c r="AF90" s="231"/>
      <c r="AG90" s="231"/>
      <c r="AH90" s="231"/>
      <c r="AI90" s="231"/>
      <c r="AJ90" s="231"/>
      <c r="AK90" s="231"/>
    </row>
    <row r="91" spans="1:37" s="203" customFormat="1">
      <c r="A91" s="552" t="s">
        <v>17</v>
      </c>
      <c r="B91" s="553"/>
      <c r="C91" s="553"/>
      <c r="D91" s="553"/>
      <c r="E91" s="910" t="s">
        <v>421</v>
      </c>
      <c r="F91" s="910" t="s">
        <v>402</v>
      </c>
      <c r="G91" s="580"/>
      <c r="H91" s="910" t="s">
        <v>403</v>
      </c>
      <c r="I91" s="459"/>
      <c r="J91" s="231"/>
      <c r="K91" s="231"/>
      <c r="L91" s="231"/>
      <c r="M91" s="231"/>
      <c r="N91" s="231"/>
      <c r="O91" s="231"/>
      <c r="P91" s="231"/>
      <c r="Q91" s="231"/>
      <c r="R91" s="231"/>
      <c r="S91" s="231"/>
      <c r="T91" s="231"/>
      <c r="U91" s="231"/>
      <c r="V91" s="231"/>
      <c r="W91" s="231"/>
      <c r="X91" s="231"/>
      <c r="Y91" s="231"/>
      <c r="Z91" s="231"/>
      <c r="AA91" s="231"/>
      <c r="AB91" s="231"/>
      <c r="AC91" s="231"/>
      <c r="AD91" s="231"/>
      <c r="AE91" s="231"/>
      <c r="AF91" s="231"/>
      <c r="AG91" s="231"/>
      <c r="AH91" s="231"/>
      <c r="AI91" s="231"/>
      <c r="AJ91" s="231"/>
      <c r="AK91" s="231"/>
    </row>
    <row r="92" spans="1:37" s="203" customFormat="1" ht="12.75" customHeight="1">
      <c r="A92" s="555"/>
      <c r="B92" s="581"/>
      <c r="C92" s="581"/>
      <c r="D92" s="581"/>
      <c r="E92" s="911"/>
      <c r="F92" s="911"/>
      <c r="G92" s="459"/>
      <c r="H92" s="911"/>
      <c r="I92" s="459"/>
      <c r="J92" s="231"/>
      <c r="K92" s="231"/>
      <c r="L92" s="231"/>
      <c r="M92" s="231"/>
      <c r="N92" s="231"/>
      <c r="O92" s="231"/>
      <c r="P92" s="231"/>
      <c r="Q92" s="231"/>
      <c r="R92" s="231"/>
      <c r="S92" s="231"/>
      <c r="T92" s="231"/>
      <c r="U92" s="231"/>
      <c r="V92" s="231"/>
      <c r="W92" s="231"/>
      <c r="X92" s="231"/>
      <c r="Y92" s="231"/>
      <c r="Z92" s="231"/>
      <c r="AA92" s="231"/>
      <c r="AB92" s="231"/>
      <c r="AC92" s="231"/>
      <c r="AD92" s="231"/>
      <c r="AE92" s="231"/>
      <c r="AF92" s="231"/>
      <c r="AG92" s="231"/>
      <c r="AH92" s="231"/>
      <c r="AI92" s="231"/>
      <c r="AJ92" s="231"/>
      <c r="AK92" s="231"/>
    </row>
    <row r="93" spans="1:37" s="203" customFormat="1">
      <c r="A93" s="555" t="s">
        <v>103</v>
      </c>
      <c r="B93" s="581"/>
      <c r="C93" s="581"/>
      <c r="D93" s="581"/>
      <c r="E93" s="911"/>
      <c r="F93" s="911"/>
      <c r="G93" s="459"/>
      <c r="H93" s="911"/>
      <c r="I93" s="459"/>
      <c r="J93" s="231"/>
      <c r="K93" s="231"/>
      <c r="L93" s="231"/>
      <c r="M93" s="231"/>
      <c r="N93" s="231"/>
      <c r="O93" s="231"/>
      <c r="P93" s="231"/>
      <c r="Q93" s="231"/>
      <c r="R93" s="231"/>
      <c r="S93" s="231"/>
      <c r="T93" s="231"/>
      <c r="U93" s="231"/>
      <c r="V93" s="231"/>
      <c r="W93" s="231"/>
      <c r="X93" s="231"/>
      <c r="Y93" s="231"/>
      <c r="Z93" s="231"/>
      <c r="AA93" s="231"/>
      <c r="AB93" s="231"/>
      <c r="AC93" s="231"/>
      <c r="AD93" s="231"/>
      <c r="AE93" s="231"/>
      <c r="AF93" s="231"/>
      <c r="AG93" s="231"/>
      <c r="AH93" s="231"/>
      <c r="AI93" s="231"/>
      <c r="AJ93" s="231"/>
      <c r="AK93" s="231"/>
    </row>
    <row r="94" spans="1:37" s="203" customFormat="1">
      <c r="A94" s="555" t="s">
        <v>83</v>
      </c>
      <c r="B94" s="581"/>
      <c r="C94" s="581"/>
      <c r="D94" s="581"/>
      <c r="E94" s="911"/>
      <c r="F94" s="911"/>
      <c r="G94" s="579"/>
      <c r="H94" s="911"/>
      <c r="I94" s="459"/>
      <c r="J94" s="231"/>
      <c r="K94" s="231"/>
      <c r="L94" s="231"/>
      <c r="M94" s="231"/>
      <c r="N94" s="231"/>
      <c r="O94" s="231"/>
      <c r="P94" s="231"/>
      <c r="Q94" s="231"/>
      <c r="R94" s="231"/>
      <c r="S94" s="231"/>
      <c r="T94" s="231"/>
      <c r="U94" s="231"/>
      <c r="V94" s="231"/>
      <c r="W94" s="231"/>
      <c r="X94" s="231"/>
      <c r="Y94" s="231"/>
      <c r="Z94" s="231"/>
      <c r="AA94" s="231"/>
      <c r="AB94" s="231"/>
      <c r="AC94" s="231"/>
      <c r="AD94" s="231"/>
      <c r="AE94" s="231"/>
      <c r="AF94" s="231"/>
      <c r="AG94" s="231"/>
      <c r="AH94" s="231"/>
      <c r="AI94" s="231"/>
      <c r="AJ94" s="231"/>
      <c r="AK94" s="231"/>
    </row>
    <row r="95" spans="1:37" s="203" customFormat="1">
      <c r="A95" s="556" t="s">
        <v>84</v>
      </c>
      <c r="B95" s="581"/>
      <c r="C95" s="581"/>
      <c r="D95" s="581"/>
      <c r="E95" s="912"/>
      <c r="F95" s="912"/>
      <c r="G95" s="579"/>
      <c r="H95" s="912"/>
      <c r="I95" s="579"/>
      <c r="J95" s="231"/>
      <c r="K95" s="231"/>
      <c r="L95" s="231"/>
      <c r="M95" s="231"/>
      <c r="N95" s="231"/>
      <c r="O95" s="231"/>
      <c r="P95" s="231"/>
      <c r="Q95" s="231"/>
      <c r="R95" s="231"/>
      <c r="S95" s="231"/>
      <c r="T95" s="231"/>
      <c r="U95" s="231"/>
      <c r="V95" s="231"/>
      <c r="W95" s="231"/>
      <c r="X95" s="231"/>
      <c r="Y95" s="231"/>
      <c r="Z95" s="231"/>
      <c r="AA95" s="231"/>
      <c r="AB95" s="231"/>
      <c r="AC95" s="231"/>
      <c r="AD95" s="231"/>
      <c r="AE95" s="231"/>
      <c r="AF95" s="231"/>
      <c r="AG95" s="231"/>
      <c r="AH95" s="231"/>
      <c r="AI95" s="231"/>
      <c r="AJ95" s="231"/>
      <c r="AK95" s="231"/>
    </row>
    <row r="96" spans="1:37" s="203" customFormat="1">
      <c r="A96" s="819">
        <v>1</v>
      </c>
      <c r="B96" s="490" t="s">
        <v>104</v>
      </c>
      <c r="C96" s="490"/>
      <c r="D96" s="490"/>
      <c r="E96" s="484">
        <v>1589.5668819188193</v>
      </c>
      <c r="F96" s="52">
        <v>1519</v>
      </c>
      <c r="G96" s="572"/>
      <c r="H96" s="560">
        <v>1568</v>
      </c>
      <c r="I96" s="582"/>
      <c r="J96" s="231"/>
      <c r="K96" s="231"/>
      <c r="L96" s="231"/>
      <c r="M96" s="231"/>
      <c r="N96" s="231"/>
      <c r="O96" s="231"/>
      <c r="P96" s="231"/>
      <c r="Q96" s="231"/>
      <c r="R96" s="231"/>
      <c r="S96" s="231"/>
      <c r="T96" s="231"/>
      <c r="U96" s="231"/>
      <c r="V96" s="231"/>
      <c r="W96" s="231"/>
      <c r="X96" s="231"/>
      <c r="Y96" s="231"/>
      <c r="Z96" s="231"/>
      <c r="AA96" s="231"/>
      <c r="AB96" s="231"/>
      <c r="AC96" s="231"/>
      <c r="AD96" s="231"/>
      <c r="AE96" s="231"/>
      <c r="AF96" s="231"/>
      <c r="AG96" s="231"/>
      <c r="AH96" s="231"/>
      <c r="AI96" s="231"/>
      <c r="AJ96" s="231"/>
      <c r="AK96" s="231"/>
    </row>
    <row r="97" spans="1:37" s="203" customFormat="1">
      <c r="A97" s="819">
        <v>2</v>
      </c>
      <c r="B97" s="490" t="s">
        <v>105</v>
      </c>
      <c r="C97" s="490"/>
      <c r="D97" s="490"/>
      <c r="E97" s="492">
        <v>5</v>
      </c>
      <c r="F97" s="52">
        <v>4</v>
      </c>
      <c r="G97" s="572"/>
      <c r="H97" s="563">
        <v>14</v>
      </c>
      <c r="I97" s="582"/>
      <c r="J97" s="231"/>
      <c r="K97" s="231"/>
      <c r="L97" s="231"/>
      <c r="M97" s="231"/>
      <c r="N97" s="231"/>
      <c r="O97" s="231"/>
      <c r="P97" s="231"/>
      <c r="Q97" s="231"/>
      <c r="R97" s="231"/>
      <c r="S97" s="231"/>
      <c r="T97" s="231"/>
      <c r="U97" s="231"/>
      <c r="V97" s="231"/>
      <c r="W97" s="231"/>
      <c r="X97" s="231"/>
      <c r="Y97" s="231"/>
      <c r="Z97" s="231"/>
      <c r="AA97" s="231"/>
      <c r="AB97" s="231"/>
      <c r="AC97" s="231"/>
      <c r="AD97" s="231"/>
      <c r="AE97" s="231"/>
      <c r="AF97" s="231"/>
      <c r="AG97" s="231"/>
      <c r="AH97" s="231"/>
      <c r="AI97" s="231"/>
      <c r="AJ97" s="231"/>
      <c r="AK97" s="231"/>
    </row>
    <row r="98" spans="1:37" s="203" customFormat="1">
      <c r="A98" s="819">
        <v>3</v>
      </c>
      <c r="B98" s="490" t="s">
        <v>106</v>
      </c>
      <c r="C98" s="490"/>
      <c r="D98" s="490"/>
      <c r="E98" s="564">
        <v>28762</v>
      </c>
      <c r="F98" s="493">
        <f>F115</f>
        <v>30848</v>
      </c>
      <c r="G98" s="572"/>
      <c r="H98" s="493">
        <f>H115</f>
        <v>30175</v>
      </c>
      <c r="I98" s="582"/>
      <c r="J98" s="231"/>
      <c r="K98" s="231"/>
      <c r="L98" s="231"/>
      <c r="M98" s="231"/>
      <c r="N98" s="231"/>
      <c r="O98" s="231"/>
      <c r="P98" s="231"/>
      <c r="Q98" s="231"/>
      <c r="R98" s="231"/>
      <c r="S98" s="231"/>
      <c r="T98" s="231"/>
      <c r="U98" s="231"/>
      <c r="V98" s="231"/>
      <c r="W98" s="231"/>
      <c r="X98" s="231"/>
      <c r="Y98" s="231"/>
      <c r="Z98" s="231"/>
      <c r="AA98" s="231"/>
      <c r="AB98" s="231"/>
      <c r="AC98" s="231"/>
      <c r="AD98" s="231"/>
      <c r="AE98" s="231"/>
      <c r="AF98" s="231"/>
      <c r="AG98" s="231"/>
      <c r="AH98" s="231"/>
      <c r="AI98" s="231"/>
      <c r="AJ98" s="231"/>
      <c r="AK98" s="231"/>
    </row>
    <row r="99" spans="1:37" s="203" customFormat="1">
      <c r="A99" s="819">
        <v>4</v>
      </c>
      <c r="B99" s="490" t="s">
        <v>107</v>
      </c>
      <c r="C99" s="490"/>
      <c r="D99" s="490"/>
      <c r="E99" s="564">
        <v>62688.15822823182</v>
      </c>
      <c r="F99" s="493">
        <f>F125</f>
        <v>63826</v>
      </c>
      <c r="G99" s="572"/>
      <c r="H99" s="493">
        <f>H125</f>
        <v>66341</v>
      </c>
      <c r="I99" s="582"/>
      <c r="J99" s="231"/>
      <c r="K99" s="231"/>
      <c r="L99" s="231"/>
      <c r="M99" s="231"/>
      <c r="N99" s="231"/>
      <c r="O99" s="231"/>
      <c r="P99" s="231"/>
      <c r="Q99" s="231"/>
      <c r="R99" s="231"/>
      <c r="S99" s="231"/>
      <c r="T99" s="231"/>
      <c r="U99" s="231"/>
      <c r="V99" s="231"/>
      <c r="W99" s="231"/>
      <c r="X99" s="231"/>
      <c r="Y99" s="231"/>
      <c r="Z99" s="231"/>
      <c r="AA99" s="231"/>
      <c r="AB99" s="231"/>
      <c r="AC99" s="231"/>
      <c r="AD99" s="231"/>
      <c r="AE99" s="231"/>
      <c r="AF99" s="231"/>
      <c r="AG99" s="231"/>
      <c r="AH99" s="231"/>
      <c r="AI99" s="231"/>
      <c r="AJ99" s="231"/>
      <c r="AK99" s="231"/>
    </row>
    <row r="100" spans="1:37" s="203" customFormat="1">
      <c r="A100" s="819">
        <v>5</v>
      </c>
      <c r="B100" s="490" t="s">
        <v>108</v>
      </c>
      <c r="C100" s="490"/>
      <c r="D100" s="490"/>
      <c r="E100" s="564">
        <v>3995.427270489638</v>
      </c>
      <c r="F100" s="493">
        <f>F135</f>
        <v>3702</v>
      </c>
      <c r="G100" s="572"/>
      <c r="H100" s="493">
        <f>H135</f>
        <v>3839</v>
      </c>
      <c r="I100" s="582"/>
      <c r="J100" s="231"/>
      <c r="K100" s="231"/>
      <c r="L100" s="231"/>
      <c r="M100" s="231"/>
      <c r="N100" s="231"/>
      <c r="O100" s="231"/>
      <c r="P100" s="231"/>
      <c r="Q100" s="231"/>
      <c r="R100" s="231"/>
      <c r="S100" s="231"/>
      <c r="T100" s="231"/>
      <c r="U100" s="231"/>
      <c r="V100" s="231"/>
      <c r="W100" s="231"/>
      <c r="X100" s="231"/>
      <c r="Y100" s="231"/>
      <c r="Z100" s="231"/>
      <c r="AA100" s="231"/>
      <c r="AB100" s="231"/>
      <c r="AC100" s="231"/>
      <c r="AD100" s="231"/>
      <c r="AE100" s="231"/>
      <c r="AF100" s="231"/>
      <c r="AG100" s="231"/>
      <c r="AH100" s="231"/>
      <c r="AI100" s="231"/>
      <c r="AJ100" s="231"/>
      <c r="AK100" s="231"/>
    </row>
    <row r="101" spans="1:37" s="203" customFormat="1">
      <c r="A101" s="819">
        <v>6</v>
      </c>
      <c r="B101" s="490" t="s">
        <v>109</v>
      </c>
      <c r="C101" s="490"/>
      <c r="D101" s="490"/>
      <c r="E101" s="564">
        <v>32742.418833325628</v>
      </c>
      <c r="F101" s="493">
        <f>F143</f>
        <v>32135</v>
      </c>
      <c r="G101" s="572"/>
      <c r="H101" s="493">
        <f>H143</f>
        <v>34088</v>
      </c>
      <c r="I101" s="582"/>
      <c r="J101" s="231"/>
      <c r="K101" s="231"/>
      <c r="L101" s="231"/>
      <c r="M101" s="231"/>
      <c r="N101" s="231"/>
      <c r="O101" s="231"/>
      <c r="P101" s="231"/>
      <c r="Q101" s="231"/>
      <c r="R101" s="231"/>
      <c r="S101" s="231"/>
      <c r="T101" s="231"/>
      <c r="U101" s="231"/>
      <c r="V101" s="231"/>
      <c r="W101" s="231"/>
      <c r="X101" s="231"/>
      <c r="Y101" s="231"/>
      <c r="Z101" s="231"/>
      <c r="AA101" s="231"/>
      <c r="AB101" s="231"/>
      <c r="AC101" s="231"/>
      <c r="AD101" s="231"/>
      <c r="AE101" s="231"/>
      <c r="AF101" s="231"/>
      <c r="AG101" s="231"/>
      <c r="AH101" s="231"/>
      <c r="AI101" s="231"/>
      <c r="AJ101" s="231"/>
      <c r="AK101" s="231"/>
    </row>
    <row r="102" spans="1:37" s="203" customFormat="1">
      <c r="A102" s="819">
        <v>7</v>
      </c>
      <c r="B102" s="490" t="s">
        <v>110</v>
      </c>
      <c r="C102" s="490"/>
      <c r="D102" s="490"/>
      <c r="E102" s="564">
        <v>4929.6910840079909</v>
      </c>
      <c r="F102" s="493">
        <f>F150</f>
        <v>4896</v>
      </c>
      <c r="G102" s="572"/>
      <c r="H102" s="493">
        <f>H150</f>
        <v>5079</v>
      </c>
      <c r="I102" s="582"/>
      <c r="J102" s="231"/>
      <c r="K102" s="231"/>
      <c r="L102" s="231"/>
      <c r="M102" s="231"/>
      <c r="N102" s="231"/>
      <c r="O102" s="231"/>
      <c r="P102" s="231"/>
      <c r="Q102" s="231"/>
      <c r="R102" s="231"/>
      <c r="S102" s="231"/>
      <c r="T102" s="231"/>
      <c r="U102" s="231"/>
      <c r="V102" s="231"/>
      <c r="W102" s="231"/>
      <c r="X102" s="231"/>
      <c r="Y102" s="231"/>
      <c r="Z102" s="231"/>
      <c r="AA102" s="231"/>
      <c r="AB102" s="231"/>
      <c r="AC102" s="231"/>
      <c r="AD102" s="231"/>
      <c r="AE102" s="231"/>
      <c r="AF102" s="231"/>
      <c r="AG102" s="231"/>
      <c r="AH102" s="231"/>
      <c r="AI102" s="231"/>
      <c r="AJ102" s="231"/>
      <c r="AK102" s="231"/>
    </row>
    <row r="103" spans="1:37" s="203" customFormat="1">
      <c r="A103" s="819">
        <v>8</v>
      </c>
      <c r="B103" s="490" t="s">
        <v>111</v>
      </c>
      <c r="C103" s="490"/>
      <c r="D103" s="490"/>
      <c r="E103" s="564">
        <v>1803.3837241089268</v>
      </c>
      <c r="F103" s="52">
        <v>1800</v>
      </c>
      <c r="G103" s="572"/>
      <c r="H103" s="563">
        <v>1850</v>
      </c>
      <c r="I103" s="582"/>
      <c r="J103" s="231"/>
      <c r="K103" s="231"/>
      <c r="L103" s="231"/>
      <c r="M103" s="231"/>
      <c r="N103" s="231"/>
      <c r="O103" s="231"/>
      <c r="P103" s="231"/>
      <c r="Q103" s="231"/>
      <c r="R103" s="231"/>
      <c r="S103" s="231"/>
      <c r="T103" s="231"/>
      <c r="U103" s="231"/>
      <c r="V103" s="231"/>
      <c r="W103" s="231"/>
      <c r="X103" s="231"/>
      <c r="Y103" s="231"/>
      <c r="Z103" s="231"/>
      <c r="AA103" s="231"/>
      <c r="AB103" s="231"/>
      <c r="AC103" s="231"/>
      <c r="AD103" s="231"/>
      <c r="AE103" s="231"/>
      <c r="AF103" s="231"/>
      <c r="AG103" s="231"/>
      <c r="AH103" s="231"/>
      <c r="AI103" s="231"/>
      <c r="AJ103" s="231"/>
      <c r="AK103" s="231"/>
    </row>
    <row r="104" spans="1:37" s="203" customFormat="1">
      <c r="A104" s="819">
        <v>9</v>
      </c>
      <c r="B104" s="490" t="s">
        <v>112</v>
      </c>
      <c r="C104" s="490"/>
      <c r="D104" s="490"/>
      <c r="E104" s="564">
        <v>549.00226054042696</v>
      </c>
      <c r="F104" s="52">
        <v>607</v>
      </c>
      <c r="G104" s="572"/>
      <c r="H104" s="563">
        <v>592</v>
      </c>
      <c r="I104" s="582"/>
      <c r="J104" s="231"/>
      <c r="K104" s="231"/>
      <c r="L104" s="231"/>
      <c r="M104" s="231"/>
      <c r="N104" s="231"/>
      <c r="O104" s="231"/>
      <c r="P104" s="231"/>
      <c r="Q104" s="231"/>
      <c r="R104" s="231"/>
      <c r="S104" s="231"/>
      <c r="T104" s="231"/>
      <c r="U104" s="231"/>
      <c r="V104" s="231"/>
      <c r="W104" s="231"/>
      <c r="X104" s="231"/>
      <c r="Y104" s="231"/>
      <c r="Z104" s="231"/>
      <c r="AA104" s="231"/>
      <c r="AB104" s="231"/>
      <c r="AC104" s="231"/>
      <c r="AD104" s="231"/>
      <c r="AE104" s="231"/>
      <c r="AF104" s="231"/>
      <c r="AG104" s="231"/>
      <c r="AH104" s="231"/>
      <c r="AI104" s="231"/>
      <c r="AJ104" s="231"/>
      <c r="AK104" s="231"/>
    </row>
    <row r="105" spans="1:37" s="203" customFormat="1">
      <c r="A105" s="557" t="s">
        <v>113</v>
      </c>
      <c r="B105" s="567" t="s">
        <v>114</v>
      </c>
      <c r="C105" s="567"/>
      <c r="D105" s="490"/>
      <c r="E105" s="584">
        <v>137064.64828262327</v>
      </c>
      <c r="F105" s="503">
        <f>SUM(F96:F104)</f>
        <v>139337</v>
      </c>
      <c r="G105" s="572"/>
      <c r="H105" s="503">
        <f>SUM(H96:H104)</f>
        <v>143546</v>
      </c>
      <c r="I105" s="582"/>
      <c r="J105" s="231"/>
      <c r="K105" s="231"/>
      <c r="L105" s="231"/>
      <c r="M105" s="231"/>
      <c r="N105" s="231"/>
      <c r="O105" s="231"/>
      <c r="P105" s="231"/>
      <c r="Q105" s="231"/>
      <c r="R105" s="231"/>
      <c r="S105" s="231"/>
      <c r="T105" s="231"/>
      <c r="U105" s="231"/>
      <c r="V105" s="231"/>
      <c r="W105" s="231"/>
      <c r="X105" s="231"/>
      <c r="Y105" s="231"/>
      <c r="Z105" s="231"/>
      <c r="AA105" s="231"/>
      <c r="AB105" s="231"/>
      <c r="AC105" s="231"/>
      <c r="AD105" s="231"/>
      <c r="AE105" s="231"/>
      <c r="AF105" s="231"/>
      <c r="AG105" s="231"/>
      <c r="AH105" s="231"/>
      <c r="AI105" s="231"/>
      <c r="AJ105" s="231"/>
      <c r="AK105" s="231"/>
    </row>
    <row r="106" spans="1:37" s="203" customFormat="1">
      <c r="A106" s="819">
        <v>11</v>
      </c>
      <c r="B106" s="517" t="s">
        <v>115</v>
      </c>
      <c r="C106" s="490"/>
      <c r="D106" s="490"/>
      <c r="E106" s="585">
        <v>0</v>
      </c>
      <c r="F106" s="136"/>
      <c r="G106" s="572"/>
      <c r="H106" s="586"/>
      <c r="I106" s="582"/>
      <c r="J106" s="231"/>
      <c r="K106" s="231"/>
      <c r="L106" s="231"/>
      <c r="M106" s="231"/>
      <c r="N106" s="231"/>
      <c r="O106" s="231"/>
      <c r="P106" s="231"/>
      <c r="Q106" s="231"/>
      <c r="R106" s="231"/>
      <c r="S106" s="231"/>
      <c r="T106" s="231"/>
      <c r="U106" s="231"/>
      <c r="V106" s="231"/>
      <c r="W106" s="231"/>
      <c r="X106" s="231"/>
      <c r="Y106" s="231"/>
      <c r="Z106" s="231"/>
      <c r="AA106" s="231"/>
      <c r="AB106" s="231"/>
      <c r="AC106" s="231"/>
      <c r="AD106" s="231"/>
      <c r="AE106" s="231"/>
      <c r="AF106" s="231"/>
      <c r="AG106" s="231"/>
      <c r="AH106" s="231"/>
      <c r="AI106" s="231"/>
      <c r="AJ106" s="231"/>
      <c r="AK106" s="231"/>
    </row>
    <row r="107" spans="1:37" s="203" customFormat="1">
      <c r="A107" s="557"/>
      <c r="B107" s="490"/>
      <c r="C107" s="490"/>
      <c r="D107" s="587"/>
      <c r="E107" s="571"/>
      <c r="F107" s="582"/>
      <c r="G107" s="582"/>
      <c r="H107" s="582"/>
      <c r="I107" s="582"/>
      <c r="J107" s="231"/>
      <c r="K107" s="231"/>
      <c r="L107" s="231"/>
      <c r="M107" s="231"/>
      <c r="N107" s="231"/>
      <c r="O107" s="231"/>
      <c r="P107" s="231"/>
      <c r="Q107" s="231"/>
      <c r="R107" s="231"/>
      <c r="S107" s="231"/>
      <c r="T107" s="231"/>
      <c r="U107" s="231"/>
      <c r="V107" s="231"/>
      <c r="W107" s="231"/>
      <c r="X107" s="231"/>
      <c r="Y107" s="231"/>
      <c r="Z107" s="231"/>
      <c r="AA107" s="231"/>
      <c r="AB107" s="231"/>
      <c r="AC107" s="231"/>
      <c r="AD107" s="231"/>
      <c r="AE107" s="231"/>
      <c r="AF107" s="231"/>
      <c r="AG107" s="231"/>
      <c r="AH107" s="231"/>
      <c r="AI107" s="231"/>
      <c r="AJ107" s="231"/>
      <c r="AK107" s="231"/>
    </row>
    <row r="108" spans="1:37" s="203" customFormat="1">
      <c r="A108" s="573" t="s">
        <v>116</v>
      </c>
      <c r="B108" s="490"/>
      <c r="C108" s="490"/>
      <c r="D108" s="490"/>
      <c r="E108" s="571"/>
      <c r="F108" s="582"/>
      <c r="G108" s="582"/>
      <c r="H108" s="582"/>
      <c r="I108" s="582"/>
      <c r="J108" s="231"/>
      <c r="K108" s="231"/>
      <c r="L108" s="231"/>
      <c r="M108" s="231"/>
      <c r="N108" s="231"/>
      <c r="O108" s="231"/>
      <c r="P108" s="231"/>
      <c r="Q108" s="231"/>
      <c r="R108" s="231"/>
      <c r="S108" s="231"/>
      <c r="T108" s="231"/>
      <c r="U108" s="231"/>
      <c r="V108" s="231"/>
      <c r="W108" s="231"/>
      <c r="X108" s="231"/>
      <c r="Y108" s="231"/>
      <c r="Z108" s="231"/>
      <c r="AA108" s="231"/>
      <c r="AB108" s="231"/>
      <c r="AC108" s="231"/>
      <c r="AD108" s="231"/>
      <c r="AE108" s="231"/>
      <c r="AF108" s="231"/>
      <c r="AG108" s="231"/>
      <c r="AH108" s="231"/>
      <c r="AI108" s="231"/>
      <c r="AJ108" s="231"/>
      <c r="AK108" s="231"/>
    </row>
    <row r="109" spans="1:37" s="203" customFormat="1">
      <c r="A109" s="573" t="s">
        <v>106</v>
      </c>
      <c r="B109" s="490"/>
      <c r="C109" s="490"/>
      <c r="D109" s="490"/>
      <c r="E109" s="588"/>
      <c r="F109" s="589"/>
      <c r="G109" s="582"/>
      <c r="H109" s="589"/>
      <c r="I109" s="582"/>
      <c r="J109" s="231"/>
      <c r="K109" s="231"/>
      <c r="L109" s="231"/>
      <c r="M109" s="231"/>
      <c r="N109" s="231"/>
      <c r="O109" s="231"/>
      <c r="P109" s="231"/>
      <c r="Q109" s="231"/>
      <c r="R109" s="231"/>
      <c r="S109" s="231"/>
      <c r="T109" s="231"/>
      <c r="U109" s="231"/>
      <c r="V109" s="231"/>
      <c r="W109" s="231"/>
      <c r="X109" s="231"/>
      <c r="Y109" s="231"/>
      <c r="Z109" s="231"/>
      <c r="AA109" s="231"/>
      <c r="AB109" s="231"/>
      <c r="AC109" s="231"/>
      <c r="AD109" s="231"/>
      <c r="AE109" s="231"/>
      <c r="AF109" s="231"/>
      <c r="AG109" s="231"/>
      <c r="AH109" s="231"/>
      <c r="AI109" s="231"/>
      <c r="AJ109" s="231"/>
      <c r="AK109" s="231"/>
    </row>
    <row r="110" spans="1:37" s="203" customFormat="1">
      <c r="A110" s="819">
        <v>12</v>
      </c>
      <c r="B110" s="490" t="s">
        <v>117</v>
      </c>
      <c r="C110" s="490"/>
      <c r="D110" s="490"/>
      <c r="E110" s="492">
        <v>7617.9480790695998</v>
      </c>
      <c r="F110" s="52">
        <v>7869</v>
      </c>
      <c r="G110" s="572"/>
      <c r="H110" s="563">
        <v>7749</v>
      </c>
      <c r="I110" s="582"/>
      <c r="J110" s="231"/>
      <c r="K110" s="231"/>
      <c r="L110" s="231"/>
      <c r="M110" s="231"/>
      <c r="N110" s="231"/>
      <c r="O110" s="231"/>
      <c r="P110" s="231"/>
      <c r="Q110" s="231"/>
      <c r="R110" s="231"/>
      <c r="S110" s="231"/>
      <c r="T110" s="231"/>
      <c r="U110" s="231"/>
      <c r="V110" s="231"/>
      <c r="W110" s="231"/>
      <c r="X110" s="231"/>
      <c r="Y110" s="231"/>
      <c r="Z110" s="231"/>
      <c r="AA110" s="231"/>
      <c r="AB110" s="231"/>
      <c r="AC110" s="231"/>
      <c r="AD110" s="231"/>
      <c r="AE110" s="231"/>
      <c r="AF110" s="231"/>
      <c r="AG110" s="231"/>
      <c r="AH110" s="231"/>
      <c r="AI110" s="231"/>
      <c r="AJ110" s="231"/>
      <c r="AK110" s="231"/>
    </row>
    <row r="111" spans="1:37" s="203" customFormat="1">
      <c r="A111" s="819">
        <v>13</v>
      </c>
      <c r="B111" s="490" t="s">
        <v>118</v>
      </c>
      <c r="C111" s="490"/>
      <c r="D111" s="490"/>
      <c r="E111" s="492">
        <v>8327.3410146545211</v>
      </c>
      <c r="F111" s="52">
        <v>8414</v>
      </c>
      <c r="G111" s="572"/>
      <c r="H111" s="563">
        <v>8270</v>
      </c>
      <c r="I111" s="582"/>
      <c r="J111" s="231"/>
      <c r="K111" s="231"/>
      <c r="L111" s="231"/>
      <c r="M111" s="231"/>
      <c r="N111" s="231"/>
      <c r="O111" s="231"/>
      <c r="P111" s="231"/>
      <c r="Q111" s="231"/>
      <c r="R111" s="231"/>
      <c r="S111" s="231"/>
      <c r="T111" s="231"/>
      <c r="U111" s="231"/>
      <c r="V111" s="231"/>
      <c r="W111" s="231"/>
      <c r="X111" s="231"/>
      <c r="Y111" s="231"/>
      <c r="Z111" s="231"/>
      <c r="AA111" s="231"/>
      <c r="AB111" s="231"/>
      <c r="AC111" s="231"/>
      <c r="AD111" s="231"/>
      <c r="AE111" s="231"/>
      <c r="AF111" s="231"/>
      <c r="AG111" s="231"/>
      <c r="AH111" s="231"/>
      <c r="AI111" s="231"/>
      <c r="AJ111" s="231"/>
      <c r="AK111" s="231"/>
    </row>
    <row r="112" spans="1:37" s="203" customFormat="1">
      <c r="A112" s="819">
        <v>14</v>
      </c>
      <c r="B112" s="490" t="s">
        <v>119</v>
      </c>
      <c r="C112" s="490"/>
      <c r="D112" s="490"/>
      <c r="E112" s="492">
        <v>7205.775249342887</v>
      </c>
      <c r="F112" s="52">
        <v>8946</v>
      </c>
      <c r="G112" s="572"/>
      <c r="H112" s="563">
        <v>8467</v>
      </c>
      <c r="I112" s="582"/>
      <c r="J112" s="231"/>
      <c r="K112" s="231"/>
      <c r="L112" s="231"/>
      <c r="M112" s="231"/>
      <c r="N112" s="231"/>
      <c r="O112" s="231"/>
      <c r="P112" s="231"/>
      <c r="Q112" s="231"/>
      <c r="R112" s="231"/>
      <c r="S112" s="231"/>
      <c r="T112" s="231"/>
      <c r="U112" s="231"/>
      <c r="V112" s="231"/>
      <c r="W112" s="231"/>
      <c r="X112" s="231"/>
      <c r="Y112" s="231"/>
      <c r="Z112" s="231"/>
      <c r="AA112" s="231"/>
      <c r="AB112" s="231"/>
      <c r="AC112" s="231"/>
      <c r="AD112" s="231"/>
      <c r="AE112" s="231"/>
      <c r="AF112" s="231"/>
      <c r="AG112" s="231"/>
      <c r="AH112" s="231"/>
      <c r="AI112" s="231"/>
      <c r="AJ112" s="231"/>
      <c r="AK112" s="231"/>
    </row>
    <row r="113" spans="1:37" s="203" customFormat="1">
      <c r="A113" s="819">
        <v>15</v>
      </c>
      <c r="B113" s="490" t="s">
        <v>120</v>
      </c>
      <c r="C113" s="490"/>
      <c r="D113" s="490"/>
      <c r="E113" s="492">
        <v>2236.9178698736182</v>
      </c>
      <c r="F113" s="52">
        <v>1758</v>
      </c>
      <c r="G113" s="572"/>
      <c r="H113" s="563">
        <v>2016</v>
      </c>
      <c r="I113" s="582"/>
      <c r="J113" s="231"/>
      <c r="K113" s="231"/>
      <c r="L113" s="231"/>
      <c r="M113" s="231"/>
      <c r="N113" s="231"/>
      <c r="O113" s="231"/>
      <c r="P113" s="231"/>
      <c r="Q113" s="231"/>
      <c r="R113" s="231"/>
      <c r="S113" s="231"/>
      <c r="T113" s="231"/>
      <c r="U113" s="231"/>
      <c r="V113" s="231"/>
      <c r="W113" s="231"/>
      <c r="X113" s="231"/>
      <c r="Y113" s="231"/>
      <c r="Z113" s="231"/>
      <c r="AA113" s="231"/>
      <c r="AB113" s="231"/>
      <c r="AC113" s="231"/>
      <c r="AD113" s="231"/>
      <c r="AE113" s="231"/>
      <c r="AF113" s="231"/>
      <c r="AG113" s="231"/>
      <c r="AH113" s="231"/>
      <c r="AI113" s="231"/>
      <c r="AJ113" s="231"/>
      <c r="AK113" s="231"/>
    </row>
    <row r="114" spans="1:37" s="203" customFormat="1">
      <c r="A114" s="819">
        <v>16</v>
      </c>
      <c r="B114" s="490" t="s">
        <v>121</v>
      </c>
      <c r="C114" s="490"/>
      <c r="D114" s="490"/>
      <c r="E114" s="492">
        <v>3374.0177870593743</v>
      </c>
      <c r="F114" s="52">
        <v>3861</v>
      </c>
      <c r="G114" s="572"/>
      <c r="H114" s="544">
        <v>3673</v>
      </c>
      <c r="I114" s="582"/>
      <c r="J114" s="231"/>
      <c r="K114" s="231"/>
      <c r="L114" s="231"/>
      <c r="M114" s="231"/>
      <c r="N114" s="231"/>
      <c r="O114" s="231"/>
      <c r="P114" s="231"/>
      <c r="Q114" s="231"/>
      <c r="R114" s="231"/>
      <c r="S114" s="231"/>
      <c r="T114" s="231"/>
      <c r="U114" s="231"/>
      <c r="V114" s="231"/>
      <c r="W114" s="231"/>
      <c r="X114" s="231"/>
      <c r="Y114" s="231"/>
      <c r="Z114" s="231"/>
      <c r="AA114" s="231"/>
      <c r="AB114" s="231"/>
      <c r="AC114" s="231"/>
      <c r="AD114" s="231"/>
      <c r="AE114" s="231"/>
      <c r="AF114" s="231"/>
      <c r="AG114" s="231"/>
      <c r="AH114" s="231"/>
      <c r="AI114" s="231"/>
      <c r="AJ114" s="231"/>
      <c r="AK114" s="231"/>
    </row>
    <row r="115" spans="1:37" s="203" customFormat="1">
      <c r="A115" s="819">
        <v>17</v>
      </c>
      <c r="B115" s="567" t="s">
        <v>122</v>
      </c>
      <c r="C115" s="567"/>
      <c r="D115" s="567"/>
      <c r="E115" s="522">
        <v>28762</v>
      </c>
      <c r="F115" s="590">
        <f>SUM(F110:F114)</f>
        <v>30848</v>
      </c>
      <c r="G115" s="572"/>
      <c r="H115" s="590">
        <f>SUM(H110:H114)</f>
        <v>30175</v>
      </c>
      <c r="I115" s="582"/>
      <c r="J115" s="231"/>
      <c r="K115" s="231"/>
      <c r="L115" s="231"/>
      <c r="M115" s="231"/>
      <c r="N115" s="231"/>
      <c r="O115" s="231"/>
      <c r="P115" s="231"/>
      <c r="Q115" s="231"/>
      <c r="R115" s="231"/>
      <c r="S115" s="231"/>
      <c r="T115" s="231"/>
      <c r="U115" s="231"/>
      <c r="V115" s="231"/>
      <c r="W115" s="231"/>
      <c r="X115" s="231"/>
      <c r="Y115" s="231"/>
      <c r="Z115" s="231"/>
      <c r="AA115" s="231"/>
      <c r="AB115" s="231"/>
      <c r="AC115" s="231"/>
      <c r="AD115" s="231"/>
      <c r="AE115" s="231"/>
      <c r="AF115" s="231"/>
      <c r="AG115" s="231"/>
      <c r="AH115" s="231"/>
      <c r="AI115" s="231"/>
      <c r="AJ115" s="231"/>
      <c r="AK115" s="231"/>
    </row>
    <row r="116" spans="1:37" s="203" customFormat="1">
      <c r="A116" s="557"/>
      <c r="B116" s="567"/>
      <c r="C116" s="567"/>
      <c r="D116" s="567"/>
      <c r="E116" s="591"/>
      <c r="F116" s="572"/>
      <c r="G116" s="572"/>
      <c r="H116" s="572"/>
      <c r="I116" s="582"/>
      <c r="J116" s="231"/>
      <c r="K116" s="231"/>
      <c r="L116" s="231"/>
      <c r="M116" s="231"/>
      <c r="N116" s="231"/>
      <c r="O116" s="231"/>
      <c r="P116" s="231"/>
      <c r="Q116" s="231"/>
      <c r="R116" s="231"/>
      <c r="S116" s="231"/>
      <c r="T116" s="231"/>
      <c r="U116" s="231"/>
      <c r="V116" s="231"/>
      <c r="W116" s="231"/>
      <c r="X116" s="231"/>
      <c r="Y116" s="231"/>
      <c r="Z116" s="231"/>
      <c r="AA116" s="231"/>
      <c r="AB116" s="231"/>
      <c r="AC116" s="231"/>
      <c r="AD116" s="231"/>
      <c r="AE116" s="231"/>
      <c r="AF116" s="231"/>
      <c r="AG116" s="231"/>
      <c r="AH116" s="231"/>
      <c r="AI116" s="231"/>
      <c r="AJ116" s="231"/>
      <c r="AK116" s="231"/>
    </row>
    <row r="117" spans="1:37" s="203" customFormat="1">
      <c r="A117" s="592" t="s">
        <v>107</v>
      </c>
      <c r="B117" s="567"/>
      <c r="C117" s="567"/>
      <c r="D117" s="567"/>
      <c r="E117" s="593"/>
      <c r="F117" s="534"/>
      <c r="G117" s="572"/>
      <c r="H117" s="534"/>
      <c r="I117" s="582"/>
      <c r="J117" s="231"/>
      <c r="K117" s="231"/>
      <c r="L117" s="231"/>
      <c r="M117" s="231"/>
      <c r="N117" s="231"/>
      <c r="O117" s="231"/>
      <c r="P117" s="231"/>
      <c r="Q117" s="231"/>
      <c r="R117" s="231"/>
      <c r="S117" s="231"/>
      <c r="T117" s="231"/>
      <c r="U117" s="231"/>
      <c r="V117" s="231"/>
      <c r="W117" s="231"/>
      <c r="X117" s="231"/>
      <c r="Y117" s="231"/>
      <c r="Z117" s="231"/>
      <c r="AA117" s="231"/>
      <c r="AB117" s="231"/>
      <c r="AC117" s="231"/>
      <c r="AD117" s="231"/>
      <c r="AE117" s="231"/>
      <c r="AF117" s="231"/>
      <c r="AG117" s="231"/>
      <c r="AH117" s="231"/>
      <c r="AI117" s="231"/>
      <c r="AJ117" s="231"/>
      <c r="AK117" s="231"/>
    </row>
    <row r="118" spans="1:37" s="203" customFormat="1">
      <c r="A118" s="819">
        <v>18</v>
      </c>
      <c r="B118" s="490" t="s">
        <v>123</v>
      </c>
      <c r="C118" s="490"/>
      <c r="D118" s="490"/>
      <c r="E118" s="492">
        <v>3281.4093027090312</v>
      </c>
      <c r="F118" s="52">
        <v>3229</v>
      </c>
      <c r="G118" s="572"/>
      <c r="H118" s="563">
        <v>3348</v>
      </c>
      <c r="I118" s="582"/>
      <c r="J118" s="231"/>
      <c r="K118" s="231"/>
      <c r="L118" s="231"/>
      <c r="M118" s="231"/>
      <c r="N118" s="231"/>
      <c r="O118" s="231"/>
      <c r="P118" s="231"/>
      <c r="Q118" s="231"/>
      <c r="R118" s="231"/>
      <c r="S118" s="231"/>
      <c r="T118" s="231"/>
      <c r="U118" s="231"/>
      <c r="V118" s="231"/>
      <c r="W118" s="231"/>
      <c r="X118" s="231"/>
      <c r="Y118" s="231"/>
      <c r="Z118" s="231"/>
      <c r="AA118" s="231"/>
      <c r="AB118" s="231"/>
      <c r="AC118" s="231"/>
      <c r="AD118" s="231"/>
      <c r="AE118" s="231"/>
      <c r="AF118" s="231"/>
      <c r="AG118" s="231"/>
      <c r="AH118" s="231"/>
      <c r="AI118" s="231"/>
      <c r="AJ118" s="231"/>
      <c r="AK118" s="231"/>
    </row>
    <row r="119" spans="1:37" s="203" customFormat="1">
      <c r="A119" s="819">
        <v>19</v>
      </c>
      <c r="B119" s="490" t="s">
        <v>124</v>
      </c>
      <c r="C119" s="490"/>
      <c r="D119" s="490"/>
      <c r="E119" s="492">
        <v>19163.11016758472</v>
      </c>
      <c r="F119" s="52">
        <v>20072</v>
      </c>
      <c r="G119" s="572"/>
      <c r="H119" s="563">
        <v>20796</v>
      </c>
      <c r="I119" s="582"/>
      <c r="J119" s="231"/>
      <c r="K119" s="231"/>
      <c r="L119" s="231"/>
      <c r="M119" s="231"/>
      <c r="N119" s="231"/>
      <c r="O119" s="231"/>
      <c r="P119" s="231"/>
      <c r="Q119" s="231"/>
      <c r="R119" s="231"/>
      <c r="S119" s="231"/>
      <c r="T119" s="231"/>
      <c r="U119" s="231"/>
      <c r="V119" s="231"/>
      <c r="W119" s="231"/>
      <c r="X119" s="231"/>
      <c r="Y119" s="231"/>
      <c r="Z119" s="231"/>
      <c r="AA119" s="231"/>
      <c r="AB119" s="231"/>
      <c r="AC119" s="231"/>
      <c r="AD119" s="231"/>
      <c r="AE119" s="231"/>
      <c r="AF119" s="231"/>
      <c r="AG119" s="231"/>
      <c r="AH119" s="231"/>
      <c r="AI119" s="231"/>
      <c r="AJ119" s="231"/>
      <c r="AK119" s="231"/>
    </row>
    <row r="120" spans="1:37" s="203" customFormat="1">
      <c r="A120" s="819">
        <v>20</v>
      </c>
      <c r="B120" s="490" t="s">
        <v>119</v>
      </c>
      <c r="C120" s="490"/>
      <c r="D120" s="490"/>
      <c r="E120" s="492">
        <v>30011.342712404301</v>
      </c>
      <c r="F120" s="52">
        <f>32505-2</f>
        <v>32503</v>
      </c>
      <c r="G120" s="572"/>
      <c r="H120" s="563">
        <v>32493</v>
      </c>
      <c r="I120" s="582"/>
      <c r="J120" s="231"/>
      <c r="K120" s="231"/>
      <c r="L120" s="231"/>
      <c r="M120" s="231"/>
      <c r="N120" s="231"/>
      <c r="O120" s="231"/>
      <c r="P120" s="231"/>
      <c r="Q120" s="231"/>
      <c r="R120" s="231"/>
      <c r="S120" s="231"/>
      <c r="T120" s="231"/>
      <c r="U120" s="231"/>
      <c r="V120" s="231"/>
      <c r="W120" s="231"/>
      <c r="X120" s="231"/>
      <c r="Y120" s="231"/>
      <c r="Z120" s="231"/>
      <c r="AA120" s="231"/>
      <c r="AB120" s="231"/>
      <c r="AC120" s="231"/>
      <c r="AD120" s="231"/>
      <c r="AE120" s="231"/>
      <c r="AF120" s="231"/>
      <c r="AG120" s="231"/>
      <c r="AH120" s="231"/>
      <c r="AI120" s="231"/>
      <c r="AJ120" s="231"/>
      <c r="AK120" s="231"/>
    </row>
    <row r="121" spans="1:37" s="203" customFormat="1">
      <c r="A121" s="819">
        <v>21</v>
      </c>
      <c r="B121" s="490" t="s">
        <v>120</v>
      </c>
      <c r="C121" s="490"/>
      <c r="D121" s="490"/>
      <c r="E121" s="492">
        <v>1329.2687907654963</v>
      </c>
      <c r="F121" s="52">
        <v>1102</v>
      </c>
      <c r="G121" s="572"/>
      <c r="H121" s="563">
        <v>1220</v>
      </c>
      <c r="I121" s="582"/>
      <c r="J121" s="231"/>
      <c r="K121" s="231"/>
      <c r="L121" s="231"/>
      <c r="M121" s="231"/>
      <c r="N121" s="231"/>
      <c r="O121" s="231"/>
      <c r="P121" s="231"/>
      <c r="Q121" s="231"/>
      <c r="R121" s="231"/>
      <c r="S121" s="231"/>
      <c r="T121" s="231"/>
      <c r="U121" s="231"/>
      <c r="V121" s="231"/>
      <c r="W121" s="231"/>
      <c r="X121" s="231"/>
      <c r="Y121" s="231"/>
      <c r="Z121" s="231"/>
      <c r="AA121" s="231"/>
      <c r="AB121" s="231"/>
      <c r="AC121" s="231"/>
      <c r="AD121" s="231"/>
      <c r="AE121" s="231"/>
      <c r="AF121" s="231"/>
      <c r="AG121" s="231"/>
      <c r="AH121" s="231"/>
      <c r="AI121" s="231"/>
      <c r="AJ121" s="231"/>
      <c r="AK121" s="231"/>
    </row>
    <row r="122" spans="1:37" s="203" customFormat="1">
      <c r="A122" s="819">
        <v>22</v>
      </c>
      <c r="B122" s="490" t="s">
        <v>125</v>
      </c>
      <c r="C122" s="490"/>
      <c r="D122" s="490"/>
      <c r="E122" s="492">
        <v>735.05800526459598</v>
      </c>
      <c r="F122" s="52">
        <v>518</v>
      </c>
      <c r="G122" s="572"/>
      <c r="H122" s="563">
        <v>574</v>
      </c>
      <c r="I122" s="582"/>
      <c r="J122" s="231"/>
      <c r="K122" s="231"/>
      <c r="L122" s="231"/>
      <c r="M122" s="231"/>
      <c r="N122" s="231"/>
      <c r="O122" s="231"/>
      <c r="P122" s="231"/>
      <c r="Q122" s="231"/>
      <c r="R122" s="231"/>
      <c r="S122" s="231"/>
      <c r="T122" s="231"/>
      <c r="U122" s="231"/>
      <c r="V122" s="231"/>
      <c r="W122" s="231"/>
      <c r="X122" s="231"/>
      <c r="Y122" s="231"/>
      <c r="Z122" s="231"/>
      <c r="AA122" s="231"/>
      <c r="AB122" s="231"/>
      <c r="AC122" s="231"/>
      <c r="AD122" s="231"/>
      <c r="AE122" s="231"/>
      <c r="AF122" s="231"/>
      <c r="AG122" s="231"/>
      <c r="AH122" s="231"/>
      <c r="AI122" s="231"/>
      <c r="AJ122" s="231"/>
      <c r="AK122" s="231"/>
    </row>
    <row r="123" spans="1:37" s="203" customFormat="1">
      <c r="A123" s="819">
        <v>23</v>
      </c>
      <c r="B123" s="517" t="s">
        <v>126</v>
      </c>
      <c r="C123" s="490"/>
      <c r="D123" s="490"/>
      <c r="E123" s="492">
        <v>3200.990254017946</v>
      </c>
      <c r="F123" s="52">
        <v>2657</v>
      </c>
      <c r="G123" s="572"/>
      <c r="H123" s="543">
        <v>3126</v>
      </c>
      <c r="I123" s="582"/>
      <c r="J123" s="231"/>
      <c r="K123" s="231"/>
      <c r="L123" s="231"/>
      <c r="M123" s="231"/>
      <c r="N123" s="231"/>
      <c r="O123" s="231"/>
      <c r="P123" s="231"/>
      <c r="Q123" s="231"/>
      <c r="R123" s="231"/>
      <c r="S123" s="231"/>
      <c r="T123" s="231"/>
      <c r="U123" s="231"/>
      <c r="V123" s="231"/>
      <c r="W123" s="231"/>
      <c r="X123" s="231"/>
      <c r="Y123" s="231"/>
      <c r="Z123" s="231"/>
      <c r="AA123" s="231"/>
      <c r="AB123" s="231"/>
      <c r="AC123" s="231"/>
      <c r="AD123" s="231"/>
      <c r="AE123" s="231"/>
      <c r="AF123" s="231"/>
      <c r="AG123" s="231"/>
      <c r="AH123" s="231"/>
      <c r="AI123" s="231"/>
      <c r="AJ123" s="231"/>
      <c r="AK123" s="231"/>
    </row>
    <row r="124" spans="1:37" s="203" customFormat="1">
      <c r="A124" s="819">
        <v>24</v>
      </c>
      <c r="B124" s="490" t="s">
        <v>121</v>
      </c>
      <c r="C124" s="490"/>
      <c r="D124" s="490"/>
      <c r="E124" s="492">
        <v>4966.9789954857242</v>
      </c>
      <c r="F124" s="52">
        <v>3745</v>
      </c>
      <c r="G124" s="572"/>
      <c r="H124" s="544">
        <v>4784</v>
      </c>
      <c r="I124" s="582"/>
      <c r="J124" s="231"/>
      <c r="K124" s="231"/>
      <c r="L124" s="231"/>
      <c r="M124" s="231"/>
      <c r="N124" s="231"/>
      <c r="O124" s="231"/>
      <c r="P124" s="231"/>
      <c r="Q124" s="231"/>
      <c r="R124" s="231"/>
      <c r="S124" s="231"/>
      <c r="T124" s="231"/>
      <c r="U124" s="231"/>
      <c r="V124" s="231"/>
      <c r="W124" s="231"/>
      <c r="X124" s="231"/>
      <c r="Y124" s="231"/>
      <c r="Z124" s="231"/>
      <c r="AA124" s="231"/>
      <c r="AB124" s="231"/>
      <c r="AC124" s="231"/>
      <c r="AD124" s="231"/>
      <c r="AE124" s="231"/>
      <c r="AF124" s="231"/>
      <c r="AG124" s="231"/>
      <c r="AH124" s="231"/>
      <c r="AI124" s="231"/>
      <c r="AJ124" s="231"/>
      <c r="AK124" s="231"/>
    </row>
    <row r="125" spans="1:37" s="203" customFormat="1">
      <c r="A125" s="819">
        <v>25</v>
      </c>
      <c r="B125" s="594" t="s">
        <v>127</v>
      </c>
      <c r="C125" s="594"/>
      <c r="D125" s="594"/>
      <c r="E125" s="522">
        <v>62688.15822823182</v>
      </c>
      <c r="F125" s="590">
        <f>SUM(F118:F124)</f>
        <v>63826</v>
      </c>
      <c r="G125" s="572"/>
      <c r="H125" s="590">
        <f>SUM(H118:H124)</f>
        <v>66341</v>
      </c>
      <c r="I125" s="582"/>
      <c r="J125" s="231"/>
      <c r="K125" s="231"/>
      <c r="L125" s="231"/>
      <c r="M125" s="231"/>
      <c r="N125" s="231"/>
      <c r="O125" s="231"/>
      <c r="P125" s="231"/>
      <c r="Q125" s="231"/>
      <c r="R125" s="231"/>
      <c r="S125" s="231"/>
      <c r="T125" s="231"/>
      <c r="U125" s="231"/>
      <c r="V125" s="231"/>
      <c r="W125" s="231"/>
      <c r="X125" s="231"/>
      <c r="Y125" s="231"/>
      <c r="Z125" s="231"/>
      <c r="AA125" s="231"/>
      <c r="AB125" s="231"/>
      <c r="AC125" s="231"/>
      <c r="AD125" s="231"/>
      <c r="AE125" s="231"/>
      <c r="AF125" s="231"/>
      <c r="AG125" s="231"/>
      <c r="AH125" s="231"/>
      <c r="AI125" s="231"/>
      <c r="AJ125" s="231"/>
      <c r="AK125" s="231"/>
    </row>
    <row r="126" spans="1:37" s="203" customFormat="1">
      <c r="A126" s="557"/>
      <c r="B126" s="490"/>
      <c r="C126" s="490"/>
      <c r="D126" s="490"/>
      <c r="E126" s="571"/>
      <c r="F126" s="572"/>
      <c r="G126" s="572"/>
      <c r="H126" s="572"/>
      <c r="I126" s="582"/>
      <c r="J126" s="231"/>
      <c r="K126" s="231"/>
      <c r="L126" s="231"/>
      <c r="M126" s="231"/>
      <c r="N126" s="231"/>
      <c r="O126" s="231"/>
      <c r="P126" s="231"/>
      <c r="Q126" s="231"/>
      <c r="R126" s="231"/>
      <c r="S126" s="231"/>
      <c r="T126" s="231"/>
      <c r="U126" s="231"/>
      <c r="V126" s="231"/>
      <c r="W126" s="231"/>
      <c r="X126" s="231"/>
      <c r="Y126" s="231"/>
      <c r="Z126" s="231"/>
      <c r="AA126" s="231"/>
      <c r="AB126" s="231"/>
      <c r="AC126" s="231"/>
      <c r="AD126" s="231"/>
      <c r="AE126" s="231"/>
      <c r="AF126" s="231"/>
      <c r="AG126" s="231"/>
      <c r="AH126" s="231"/>
      <c r="AI126" s="231"/>
      <c r="AJ126" s="231"/>
      <c r="AK126" s="231"/>
    </row>
    <row r="127" spans="1:37" s="203" customFormat="1">
      <c r="A127" s="573" t="s">
        <v>108</v>
      </c>
      <c r="B127" s="594"/>
      <c r="C127" s="594"/>
      <c r="D127" s="594"/>
      <c r="E127" s="588"/>
      <c r="F127" s="534"/>
      <c r="G127" s="572"/>
      <c r="H127" s="534"/>
      <c r="I127" s="582"/>
      <c r="J127" s="231"/>
      <c r="K127" s="231"/>
      <c r="L127" s="231"/>
      <c r="M127" s="231"/>
      <c r="N127" s="231"/>
      <c r="O127" s="231"/>
      <c r="P127" s="231"/>
      <c r="Q127" s="231"/>
      <c r="R127" s="231"/>
      <c r="S127" s="231"/>
      <c r="T127" s="231"/>
      <c r="U127" s="231"/>
      <c r="V127" s="231"/>
      <c r="W127" s="231"/>
      <c r="X127" s="231"/>
      <c r="Y127" s="231"/>
      <c r="Z127" s="231"/>
      <c r="AA127" s="231"/>
      <c r="AB127" s="231"/>
      <c r="AC127" s="231"/>
      <c r="AD127" s="231"/>
      <c r="AE127" s="231"/>
      <c r="AF127" s="231"/>
      <c r="AG127" s="231"/>
      <c r="AH127" s="231"/>
      <c r="AI127" s="231"/>
      <c r="AJ127" s="231"/>
      <c r="AK127" s="231"/>
    </row>
    <row r="128" spans="1:37" s="203" customFormat="1">
      <c r="A128" s="819">
        <v>26</v>
      </c>
      <c r="B128" s="490" t="s">
        <v>123</v>
      </c>
      <c r="C128" s="490"/>
      <c r="D128" s="490"/>
      <c r="E128" s="516">
        <v>1793.2786059134403</v>
      </c>
      <c r="F128" s="52">
        <v>1900</v>
      </c>
      <c r="G128" s="572"/>
      <c r="H128" s="563">
        <v>1954</v>
      </c>
      <c r="I128" s="582"/>
      <c r="J128" s="231"/>
      <c r="K128" s="231"/>
      <c r="L128" s="231"/>
      <c r="M128" s="231"/>
      <c r="N128" s="231"/>
      <c r="O128" s="231"/>
      <c r="P128" s="231"/>
      <c r="Q128" s="231"/>
      <c r="R128" s="231"/>
      <c r="S128" s="231"/>
      <c r="T128" s="231"/>
      <c r="U128" s="231"/>
      <c r="V128" s="231"/>
      <c r="W128" s="231"/>
      <c r="X128" s="231"/>
      <c r="Y128" s="231"/>
      <c r="Z128" s="231"/>
      <c r="AA128" s="231"/>
      <c r="AB128" s="231"/>
      <c r="AC128" s="231"/>
      <c r="AD128" s="231"/>
      <c r="AE128" s="231"/>
      <c r="AF128" s="231"/>
      <c r="AG128" s="231"/>
      <c r="AH128" s="231"/>
      <c r="AI128" s="231"/>
      <c r="AJ128" s="231"/>
      <c r="AK128" s="231"/>
    </row>
    <row r="129" spans="1:37" s="203" customFormat="1">
      <c r="A129" s="819">
        <v>27</v>
      </c>
      <c r="B129" s="490" t="s">
        <v>124</v>
      </c>
      <c r="C129" s="490"/>
      <c r="D129" s="490"/>
      <c r="E129" s="492">
        <v>209.70467474985844</v>
      </c>
      <c r="F129" s="52">
        <v>108</v>
      </c>
      <c r="G129" s="572"/>
      <c r="H129" s="563">
        <v>112</v>
      </c>
      <c r="I129" s="582"/>
      <c r="J129" s="231"/>
      <c r="K129" s="231"/>
      <c r="L129" s="231"/>
      <c r="M129" s="231"/>
      <c r="N129" s="231"/>
      <c r="O129" s="231"/>
      <c r="P129" s="231"/>
      <c r="Q129" s="231"/>
      <c r="R129" s="231"/>
      <c r="S129" s="231"/>
      <c r="T129" s="231"/>
      <c r="U129" s="231"/>
      <c r="V129" s="231"/>
      <c r="W129" s="231"/>
      <c r="X129" s="231"/>
      <c r="Y129" s="231"/>
      <c r="Z129" s="231"/>
      <c r="AA129" s="231"/>
      <c r="AB129" s="231"/>
      <c r="AC129" s="231"/>
      <c r="AD129" s="231"/>
      <c r="AE129" s="231"/>
      <c r="AF129" s="231"/>
      <c r="AG129" s="231"/>
      <c r="AH129" s="231"/>
      <c r="AI129" s="231"/>
      <c r="AJ129" s="231"/>
      <c r="AK129" s="231"/>
    </row>
    <row r="130" spans="1:37" s="203" customFormat="1">
      <c r="A130" s="819">
        <v>28</v>
      </c>
      <c r="B130" s="490" t="s">
        <v>119</v>
      </c>
      <c r="C130" s="490"/>
      <c r="D130" s="490"/>
      <c r="E130" s="492">
        <v>975.4604612282335</v>
      </c>
      <c r="F130" s="52">
        <v>692</v>
      </c>
      <c r="G130" s="572"/>
      <c r="H130" s="563">
        <v>684</v>
      </c>
      <c r="I130" s="582"/>
      <c r="J130" s="231"/>
      <c r="K130" s="231"/>
      <c r="L130" s="231"/>
      <c r="M130" s="231"/>
      <c r="N130" s="231"/>
      <c r="O130" s="231"/>
      <c r="P130" s="231"/>
      <c r="Q130" s="231"/>
      <c r="R130" s="231"/>
      <c r="S130" s="231"/>
      <c r="T130" s="231"/>
      <c r="U130" s="231"/>
      <c r="V130" s="231"/>
      <c r="W130" s="231"/>
      <c r="X130" s="231"/>
      <c r="Y130" s="231"/>
      <c r="Z130" s="231"/>
      <c r="AA130" s="231"/>
      <c r="AB130" s="231"/>
      <c r="AC130" s="231"/>
      <c r="AD130" s="231"/>
      <c r="AE130" s="231"/>
      <c r="AF130" s="231"/>
      <c r="AG130" s="231"/>
      <c r="AH130" s="231"/>
      <c r="AI130" s="231"/>
      <c r="AJ130" s="231"/>
      <c r="AK130" s="231"/>
    </row>
    <row r="131" spans="1:37" s="203" customFormat="1">
      <c r="A131" s="819">
        <v>29</v>
      </c>
      <c r="B131" s="490" t="s">
        <v>120</v>
      </c>
      <c r="C131" s="490"/>
      <c r="D131" s="490"/>
      <c r="E131" s="492">
        <v>19.131000408402805</v>
      </c>
      <c r="F131" s="52">
        <v>13</v>
      </c>
      <c r="G131" s="572"/>
      <c r="H131" s="563">
        <v>17</v>
      </c>
      <c r="I131" s="582"/>
      <c r="J131" s="231"/>
      <c r="K131" s="231"/>
      <c r="L131" s="231"/>
      <c r="M131" s="231"/>
      <c r="N131" s="231"/>
      <c r="O131" s="231"/>
      <c r="P131" s="231"/>
      <c r="Q131" s="231"/>
      <c r="R131" s="231"/>
      <c r="S131" s="231"/>
      <c r="T131" s="231"/>
      <c r="U131" s="231"/>
      <c r="V131" s="231"/>
      <c r="W131" s="231"/>
      <c r="X131" s="231"/>
      <c r="Y131" s="231"/>
      <c r="Z131" s="231"/>
      <c r="AA131" s="231"/>
      <c r="AB131" s="231"/>
      <c r="AC131" s="231"/>
      <c r="AD131" s="231"/>
      <c r="AE131" s="231"/>
      <c r="AF131" s="231"/>
      <c r="AG131" s="231"/>
      <c r="AH131" s="231"/>
      <c r="AI131" s="231"/>
      <c r="AJ131" s="231"/>
      <c r="AK131" s="231"/>
    </row>
    <row r="132" spans="1:37" s="203" customFormat="1">
      <c r="A132" s="819">
        <v>30</v>
      </c>
      <c r="B132" s="490" t="s">
        <v>125</v>
      </c>
      <c r="C132" s="490"/>
      <c r="D132" s="490"/>
      <c r="E132" s="492">
        <v>633.48957966826561</v>
      </c>
      <c r="F132" s="52">
        <v>733</v>
      </c>
      <c r="G132" s="572"/>
      <c r="H132" s="563">
        <v>757</v>
      </c>
      <c r="I132" s="582"/>
      <c r="J132" s="231"/>
      <c r="K132" s="231"/>
      <c r="L132" s="231"/>
      <c r="M132" s="231"/>
      <c r="N132" s="231"/>
      <c r="O132" s="231"/>
      <c r="P132" s="231"/>
      <c r="Q132" s="231"/>
      <c r="R132" s="231"/>
      <c r="S132" s="231"/>
      <c r="T132" s="231"/>
      <c r="U132" s="231"/>
      <c r="V132" s="231"/>
      <c r="W132" s="231"/>
      <c r="X132" s="231"/>
      <c r="Y132" s="231"/>
      <c r="Z132" s="231"/>
      <c r="AA132" s="231"/>
      <c r="AB132" s="231"/>
      <c r="AC132" s="231"/>
      <c r="AD132" s="231"/>
      <c r="AE132" s="231"/>
      <c r="AF132" s="231"/>
      <c r="AG132" s="231"/>
      <c r="AH132" s="231"/>
      <c r="AI132" s="231"/>
      <c r="AJ132" s="231"/>
      <c r="AK132" s="231"/>
    </row>
    <row r="133" spans="1:37" s="203" customFormat="1">
      <c r="A133" s="819">
        <v>31</v>
      </c>
      <c r="B133" s="517" t="s">
        <v>126</v>
      </c>
      <c r="C133" s="490"/>
      <c r="D133" s="490"/>
      <c r="E133" s="492">
        <v>116.24169581246096</v>
      </c>
      <c r="F133" s="52">
        <v>5</v>
      </c>
      <c r="G133" s="572"/>
      <c r="H133" s="563">
        <v>44</v>
      </c>
      <c r="I133" s="582"/>
      <c r="J133" s="231"/>
      <c r="K133" s="231"/>
      <c r="L133" s="231"/>
      <c r="M133" s="231"/>
      <c r="N133" s="231"/>
      <c r="O133" s="231"/>
      <c r="P133" s="231"/>
      <c r="Q133" s="231"/>
      <c r="R133" s="231"/>
      <c r="S133" s="231"/>
      <c r="T133" s="231"/>
      <c r="U133" s="231"/>
      <c r="V133" s="231"/>
      <c r="W133" s="231"/>
      <c r="X133" s="231"/>
      <c r="Y133" s="231"/>
      <c r="Z133" s="231"/>
      <c r="AA133" s="231"/>
      <c r="AB133" s="231"/>
      <c r="AC133" s="231"/>
      <c r="AD133" s="231"/>
      <c r="AE133" s="231"/>
      <c r="AF133" s="231"/>
      <c r="AG133" s="231"/>
      <c r="AH133" s="231"/>
      <c r="AI133" s="231"/>
      <c r="AJ133" s="231"/>
      <c r="AK133" s="231"/>
    </row>
    <row r="134" spans="1:37" s="203" customFormat="1">
      <c r="A134" s="819">
        <v>32</v>
      </c>
      <c r="B134" s="490" t="s">
        <v>121</v>
      </c>
      <c r="C134" s="490"/>
      <c r="D134" s="490"/>
      <c r="E134" s="492">
        <v>248.12125270897653</v>
      </c>
      <c r="F134" s="52">
        <v>251</v>
      </c>
      <c r="G134" s="572"/>
      <c r="H134" s="544">
        <v>271</v>
      </c>
      <c r="I134" s="582"/>
      <c r="J134" s="231"/>
      <c r="K134" s="231"/>
      <c r="L134" s="231"/>
      <c r="M134" s="231"/>
      <c r="N134" s="231"/>
      <c r="O134" s="231"/>
      <c r="P134" s="231"/>
      <c r="Q134" s="231"/>
      <c r="R134" s="231"/>
      <c r="S134" s="231"/>
      <c r="T134" s="231"/>
      <c r="U134" s="231"/>
      <c r="V134" s="231"/>
      <c r="W134" s="231"/>
      <c r="X134" s="231"/>
      <c r="Y134" s="231"/>
      <c r="Z134" s="231"/>
      <c r="AA134" s="231"/>
      <c r="AB134" s="231"/>
      <c r="AC134" s="231"/>
      <c r="AD134" s="231"/>
      <c r="AE134" s="231"/>
      <c r="AF134" s="231"/>
      <c r="AG134" s="231"/>
      <c r="AH134" s="231"/>
      <c r="AI134" s="231"/>
      <c r="AJ134" s="231"/>
      <c r="AK134" s="231"/>
    </row>
    <row r="135" spans="1:37" s="203" customFormat="1">
      <c r="A135" s="819">
        <v>33</v>
      </c>
      <c r="B135" s="567" t="s">
        <v>128</v>
      </c>
      <c r="C135" s="567"/>
      <c r="D135" s="567"/>
      <c r="E135" s="522">
        <v>3995.427270489638</v>
      </c>
      <c r="F135" s="590">
        <f>SUM(F128:F134)</f>
        <v>3702</v>
      </c>
      <c r="G135" s="572"/>
      <c r="H135" s="590">
        <f>SUM(H128:H134)</f>
        <v>3839</v>
      </c>
      <c r="I135" s="582"/>
      <c r="J135" s="231"/>
      <c r="K135" s="231"/>
      <c r="L135" s="231"/>
      <c r="M135" s="231"/>
      <c r="N135" s="231"/>
      <c r="O135" s="231"/>
      <c r="P135" s="231"/>
      <c r="Q135" s="231"/>
      <c r="R135" s="231"/>
      <c r="S135" s="231"/>
      <c r="T135" s="231"/>
      <c r="U135" s="231"/>
      <c r="V135" s="231"/>
      <c r="W135" s="231"/>
      <c r="X135" s="231"/>
      <c r="Y135" s="231"/>
      <c r="Z135" s="231"/>
      <c r="AA135" s="231"/>
      <c r="AB135" s="231"/>
      <c r="AC135" s="231"/>
      <c r="AD135" s="231"/>
      <c r="AE135" s="231"/>
      <c r="AF135" s="231"/>
      <c r="AG135" s="231"/>
      <c r="AH135" s="231"/>
      <c r="AI135" s="231"/>
      <c r="AJ135" s="231"/>
      <c r="AK135" s="231"/>
    </row>
    <row r="136" spans="1:37" s="203" customFormat="1">
      <c r="A136" s="557"/>
      <c r="B136" s="490"/>
      <c r="C136" s="490"/>
      <c r="D136" s="587"/>
      <c r="E136" s="571"/>
      <c r="F136" s="572"/>
      <c r="G136" s="572"/>
      <c r="H136" s="572"/>
      <c r="I136" s="582"/>
      <c r="J136" s="231"/>
      <c r="K136" s="231"/>
      <c r="L136" s="231"/>
      <c r="M136" s="231"/>
      <c r="N136" s="231"/>
      <c r="O136" s="231"/>
      <c r="P136" s="231"/>
      <c r="Q136" s="231"/>
      <c r="R136" s="231"/>
      <c r="S136" s="231"/>
      <c r="T136" s="231"/>
      <c r="U136" s="231"/>
      <c r="V136" s="231"/>
      <c r="W136" s="231"/>
      <c r="X136" s="231"/>
      <c r="Y136" s="231"/>
      <c r="Z136" s="231"/>
      <c r="AA136" s="231"/>
      <c r="AB136" s="231"/>
      <c r="AC136" s="231"/>
      <c r="AD136" s="231"/>
      <c r="AE136" s="231"/>
      <c r="AF136" s="231"/>
      <c r="AG136" s="231"/>
      <c r="AH136" s="231"/>
      <c r="AI136" s="231"/>
      <c r="AJ136" s="231"/>
      <c r="AK136" s="231"/>
    </row>
    <row r="137" spans="1:37" s="203" customFormat="1">
      <c r="A137" s="573" t="s">
        <v>109</v>
      </c>
      <c r="B137" s="567"/>
      <c r="C137" s="567"/>
      <c r="D137" s="567"/>
      <c r="E137" s="588"/>
      <c r="F137" s="534"/>
      <c r="G137" s="572"/>
      <c r="H137" s="534"/>
      <c r="I137" s="582"/>
      <c r="J137" s="231"/>
      <c r="K137" s="231"/>
      <c r="L137" s="231"/>
      <c r="M137" s="231"/>
      <c r="N137" s="231"/>
      <c r="O137" s="231"/>
      <c r="P137" s="231"/>
      <c r="Q137" s="231"/>
      <c r="R137" s="231"/>
      <c r="S137" s="231"/>
      <c r="T137" s="231"/>
      <c r="U137" s="231"/>
      <c r="V137" s="231"/>
      <c r="W137" s="231"/>
      <c r="X137" s="231"/>
      <c r="Y137" s="231"/>
      <c r="Z137" s="231"/>
      <c r="AA137" s="231"/>
      <c r="AB137" s="231"/>
      <c r="AC137" s="231"/>
      <c r="AD137" s="231"/>
      <c r="AE137" s="231"/>
      <c r="AF137" s="231"/>
      <c r="AG137" s="231"/>
      <c r="AH137" s="231"/>
      <c r="AI137" s="231"/>
      <c r="AJ137" s="231"/>
      <c r="AK137" s="231"/>
    </row>
    <row r="138" spans="1:37" s="203" customFormat="1">
      <c r="A138" s="819">
        <v>34</v>
      </c>
      <c r="B138" s="490" t="s">
        <v>123</v>
      </c>
      <c r="C138" s="490"/>
      <c r="D138" s="490"/>
      <c r="E138" s="492">
        <v>2260.209789925811</v>
      </c>
      <c r="F138" s="52">
        <v>2270</v>
      </c>
      <c r="G138" s="572"/>
      <c r="H138" s="563">
        <v>2348</v>
      </c>
      <c r="I138" s="582"/>
      <c r="J138" s="231"/>
      <c r="K138" s="231"/>
      <c r="L138" s="231"/>
      <c r="M138" s="231"/>
      <c r="N138" s="231"/>
      <c r="O138" s="231"/>
      <c r="P138" s="231"/>
      <c r="Q138" s="231"/>
      <c r="R138" s="231"/>
      <c r="S138" s="231"/>
      <c r="T138" s="231"/>
      <c r="U138" s="231"/>
      <c r="V138" s="231"/>
      <c r="W138" s="231"/>
      <c r="X138" s="231"/>
      <c r="Y138" s="231"/>
      <c r="Z138" s="231"/>
      <c r="AA138" s="231"/>
      <c r="AB138" s="231"/>
      <c r="AC138" s="231"/>
      <c r="AD138" s="231"/>
      <c r="AE138" s="231"/>
      <c r="AF138" s="231"/>
      <c r="AG138" s="231"/>
      <c r="AH138" s="231"/>
      <c r="AI138" s="231"/>
      <c r="AJ138" s="231"/>
      <c r="AK138" s="231"/>
    </row>
    <row r="139" spans="1:37" s="203" customFormat="1">
      <c r="A139" s="819">
        <v>35</v>
      </c>
      <c r="B139" s="490" t="s">
        <v>119</v>
      </c>
      <c r="C139" s="490"/>
      <c r="D139" s="490"/>
      <c r="E139" s="492">
        <v>20604.552761141011</v>
      </c>
      <c r="F139" s="52">
        <v>19911</v>
      </c>
      <c r="G139" s="572"/>
      <c r="H139" s="563">
        <v>21560</v>
      </c>
      <c r="I139" s="582"/>
      <c r="J139" s="231"/>
      <c r="K139" s="231"/>
      <c r="L139" s="231"/>
      <c r="M139" s="231"/>
      <c r="N139" s="231"/>
      <c r="O139" s="231"/>
      <c r="P139" s="231"/>
      <c r="Q139" s="231"/>
      <c r="R139" s="231"/>
      <c r="S139" s="231"/>
      <c r="T139" s="231"/>
      <c r="U139" s="231"/>
      <c r="V139" s="231"/>
      <c r="W139" s="231"/>
      <c r="X139" s="231"/>
      <c r="Y139" s="231"/>
      <c r="Z139" s="231"/>
      <c r="AA139" s="231"/>
      <c r="AB139" s="231"/>
      <c r="AC139" s="231"/>
      <c r="AD139" s="231"/>
      <c r="AE139" s="231"/>
      <c r="AF139" s="231"/>
      <c r="AG139" s="231"/>
      <c r="AH139" s="231"/>
      <c r="AI139" s="231"/>
      <c r="AJ139" s="231"/>
      <c r="AK139" s="231"/>
    </row>
    <row r="140" spans="1:37" s="203" customFormat="1">
      <c r="A140" s="819">
        <v>36</v>
      </c>
      <c r="B140" s="490" t="s">
        <v>120</v>
      </c>
      <c r="C140" s="490"/>
      <c r="D140" s="490"/>
      <c r="E140" s="492">
        <v>7536.916115620138</v>
      </c>
      <c r="F140" s="52">
        <v>7219</v>
      </c>
      <c r="G140" s="572"/>
      <c r="H140" s="563">
        <v>7496</v>
      </c>
      <c r="I140" s="582"/>
      <c r="J140" s="231"/>
      <c r="K140" s="231"/>
      <c r="L140" s="231"/>
      <c r="M140" s="231"/>
      <c r="N140" s="231"/>
      <c r="O140" s="231"/>
      <c r="P140" s="231"/>
      <c r="Q140" s="231"/>
      <c r="R140" s="231"/>
      <c r="S140" s="231"/>
      <c r="T140" s="231"/>
      <c r="U140" s="231"/>
      <c r="V140" s="231"/>
      <c r="W140" s="231"/>
      <c r="X140" s="231"/>
      <c r="Y140" s="231"/>
      <c r="Z140" s="231"/>
      <c r="AA140" s="231"/>
      <c r="AB140" s="231"/>
      <c r="AC140" s="231"/>
      <c r="AD140" s="231"/>
      <c r="AE140" s="231"/>
      <c r="AF140" s="231"/>
      <c r="AG140" s="231"/>
      <c r="AH140" s="231"/>
      <c r="AI140" s="231"/>
      <c r="AJ140" s="231"/>
      <c r="AK140" s="231"/>
    </row>
    <row r="141" spans="1:37" s="203" customFormat="1">
      <c r="A141" s="819">
        <v>37</v>
      </c>
      <c r="B141" s="517" t="s">
        <v>126</v>
      </c>
      <c r="C141" s="490"/>
      <c r="D141" s="490"/>
      <c r="E141" s="492">
        <v>540.99090389743651</v>
      </c>
      <c r="F141" s="52">
        <v>1324</v>
      </c>
      <c r="G141" s="572"/>
      <c r="H141" s="543">
        <v>1192</v>
      </c>
      <c r="I141" s="582"/>
      <c r="J141" s="231"/>
      <c r="K141" s="231"/>
      <c r="L141" s="231"/>
      <c r="M141" s="231"/>
      <c r="N141" s="231"/>
      <c r="O141" s="231"/>
      <c r="P141" s="231"/>
      <c r="Q141" s="231"/>
      <c r="R141" s="231"/>
      <c r="S141" s="231"/>
      <c r="T141" s="231"/>
      <c r="U141" s="231"/>
      <c r="V141" s="231"/>
      <c r="W141" s="231"/>
      <c r="X141" s="231"/>
      <c r="Y141" s="231"/>
      <c r="Z141" s="231"/>
      <c r="AA141" s="231"/>
      <c r="AB141" s="231"/>
      <c r="AC141" s="231"/>
      <c r="AD141" s="231"/>
      <c r="AE141" s="231"/>
      <c r="AF141" s="231"/>
      <c r="AG141" s="231"/>
      <c r="AH141" s="231"/>
      <c r="AI141" s="231"/>
      <c r="AJ141" s="231"/>
      <c r="AK141" s="231"/>
    </row>
    <row r="142" spans="1:37" s="203" customFormat="1">
      <c r="A142" s="819">
        <v>38</v>
      </c>
      <c r="B142" s="490" t="s">
        <v>121</v>
      </c>
      <c r="C142" s="490"/>
      <c r="D142" s="490"/>
      <c r="E142" s="492">
        <v>1799.7492627412335</v>
      </c>
      <c r="F142" s="52">
        <v>1411</v>
      </c>
      <c r="G142" s="572"/>
      <c r="H142" s="544">
        <v>1492</v>
      </c>
      <c r="I142" s="582"/>
      <c r="J142" s="231"/>
      <c r="K142" s="231"/>
      <c r="L142" s="231"/>
      <c r="M142" s="231"/>
      <c r="N142" s="231"/>
      <c r="O142" s="231"/>
      <c r="P142" s="231"/>
      <c r="Q142" s="231"/>
      <c r="R142" s="231"/>
      <c r="S142" s="231"/>
      <c r="T142" s="231"/>
      <c r="U142" s="231"/>
      <c r="V142" s="231"/>
      <c r="W142" s="231"/>
      <c r="X142" s="231"/>
      <c r="Y142" s="231"/>
      <c r="Z142" s="231"/>
      <c r="AA142" s="231"/>
      <c r="AB142" s="231"/>
      <c r="AC142" s="231"/>
      <c r="AD142" s="231"/>
      <c r="AE142" s="231"/>
      <c r="AF142" s="231"/>
      <c r="AG142" s="231"/>
      <c r="AH142" s="231"/>
      <c r="AI142" s="231"/>
      <c r="AJ142" s="231"/>
      <c r="AK142" s="231"/>
    </row>
    <row r="143" spans="1:37" s="203" customFormat="1">
      <c r="A143" s="819">
        <v>39</v>
      </c>
      <c r="B143" s="567" t="s">
        <v>129</v>
      </c>
      <c r="C143" s="567"/>
      <c r="D143" s="567"/>
      <c r="E143" s="522">
        <v>32742.418833325628</v>
      </c>
      <c r="F143" s="590">
        <f>SUM(F138:F142)</f>
        <v>32135</v>
      </c>
      <c r="G143" s="572"/>
      <c r="H143" s="590">
        <f>SUM(H138:H142)</f>
        <v>34088</v>
      </c>
      <c r="I143" s="582"/>
      <c r="J143" s="231"/>
      <c r="K143" s="231"/>
      <c r="L143" s="231"/>
      <c r="M143" s="231"/>
      <c r="N143" s="231"/>
      <c r="O143" s="231"/>
      <c r="P143" s="231"/>
      <c r="Q143" s="231"/>
      <c r="R143" s="231"/>
      <c r="S143" s="231"/>
      <c r="T143" s="231"/>
      <c r="U143" s="231"/>
      <c r="V143" s="231"/>
      <c r="W143" s="231"/>
      <c r="X143" s="231"/>
      <c r="Y143" s="231"/>
      <c r="Z143" s="231"/>
      <c r="AA143" s="231"/>
      <c r="AB143" s="231"/>
      <c r="AC143" s="231"/>
      <c r="AD143" s="231"/>
      <c r="AE143" s="231"/>
      <c r="AF143" s="231"/>
      <c r="AG143" s="231"/>
      <c r="AH143" s="231"/>
      <c r="AI143" s="231"/>
      <c r="AJ143" s="231"/>
      <c r="AK143" s="231"/>
    </row>
    <row r="144" spans="1:37" s="203" customFormat="1">
      <c r="A144" s="557"/>
      <c r="B144" s="490"/>
      <c r="C144" s="490"/>
      <c r="D144" s="490"/>
      <c r="E144" s="571"/>
      <c r="F144" s="572"/>
      <c r="G144" s="572"/>
      <c r="H144" s="572"/>
      <c r="I144" s="582"/>
      <c r="J144" s="231"/>
      <c r="K144" s="231"/>
      <c r="L144" s="231"/>
      <c r="M144" s="231"/>
      <c r="N144" s="231"/>
      <c r="O144" s="231"/>
      <c r="P144" s="231"/>
      <c r="Q144" s="231"/>
      <c r="R144" s="231"/>
      <c r="S144" s="231"/>
      <c r="T144" s="231"/>
      <c r="U144" s="231"/>
      <c r="V144" s="231"/>
      <c r="W144" s="231"/>
      <c r="X144" s="231"/>
      <c r="Y144" s="231"/>
      <c r="Z144" s="231"/>
      <c r="AA144" s="231"/>
      <c r="AB144" s="231"/>
      <c r="AC144" s="231"/>
      <c r="AD144" s="231"/>
      <c r="AE144" s="231"/>
      <c r="AF144" s="231"/>
      <c r="AG144" s="231"/>
      <c r="AH144" s="231"/>
      <c r="AI144" s="231"/>
      <c r="AJ144" s="231"/>
      <c r="AK144" s="231"/>
    </row>
    <row r="145" spans="1:37" s="203" customFormat="1">
      <c r="A145" s="573" t="s">
        <v>110</v>
      </c>
      <c r="B145" s="567"/>
      <c r="C145" s="567"/>
      <c r="D145" s="567"/>
      <c r="E145" s="588"/>
      <c r="F145" s="534"/>
      <c r="G145" s="572"/>
      <c r="H145" s="534"/>
      <c r="I145" s="582"/>
      <c r="J145" s="231"/>
      <c r="K145" s="231"/>
      <c r="L145" s="231"/>
      <c r="M145" s="231"/>
      <c r="N145" s="231"/>
      <c r="O145" s="231"/>
      <c r="P145" s="231"/>
      <c r="Q145" s="231"/>
      <c r="R145" s="231"/>
      <c r="S145" s="231"/>
      <c r="T145" s="231"/>
      <c r="U145" s="231"/>
      <c r="V145" s="231"/>
      <c r="W145" s="231"/>
      <c r="X145" s="231"/>
      <c r="Y145" s="231"/>
      <c r="Z145" s="231"/>
      <c r="AA145" s="231"/>
      <c r="AB145" s="231"/>
      <c r="AC145" s="231"/>
      <c r="AD145" s="231"/>
      <c r="AE145" s="231"/>
      <c r="AF145" s="231"/>
      <c r="AG145" s="231"/>
      <c r="AH145" s="231"/>
      <c r="AI145" s="231"/>
      <c r="AJ145" s="231"/>
      <c r="AK145" s="231"/>
    </row>
    <row r="146" spans="1:37" s="203" customFormat="1">
      <c r="A146" s="819">
        <v>40</v>
      </c>
      <c r="B146" s="490" t="s">
        <v>123</v>
      </c>
      <c r="C146" s="490"/>
      <c r="D146" s="490"/>
      <c r="E146" s="492">
        <v>2294.2117686849415</v>
      </c>
      <c r="F146" s="52">
        <v>1915</v>
      </c>
      <c r="G146" s="572"/>
      <c r="H146" s="563">
        <v>1977</v>
      </c>
      <c r="I146" s="582"/>
      <c r="J146" s="231"/>
      <c r="K146" s="231"/>
      <c r="L146" s="231"/>
      <c r="M146" s="231"/>
      <c r="N146" s="231"/>
      <c r="O146" s="231"/>
      <c r="P146" s="231"/>
      <c r="Q146" s="231"/>
      <c r="R146" s="231"/>
      <c r="S146" s="231"/>
      <c r="T146" s="231"/>
      <c r="U146" s="231"/>
      <c r="V146" s="231"/>
      <c r="W146" s="231"/>
      <c r="X146" s="231"/>
      <c r="Y146" s="231"/>
      <c r="Z146" s="231"/>
      <c r="AA146" s="231"/>
      <c r="AB146" s="231"/>
      <c r="AC146" s="231"/>
      <c r="AD146" s="231"/>
      <c r="AE146" s="231"/>
      <c r="AF146" s="231"/>
      <c r="AG146" s="231"/>
      <c r="AH146" s="231"/>
      <c r="AI146" s="231"/>
      <c r="AJ146" s="231"/>
      <c r="AK146" s="231"/>
    </row>
    <row r="147" spans="1:37" s="203" customFormat="1">
      <c r="A147" s="819">
        <v>41</v>
      </c>
      <c r="B147" s="490" t="s">
        <v>119</v>
      </c>
      <c r="C147" s="490"/>
      <c r="D147" s="490"/>
      <c r="E147" s="492">
        <v>2151.0990456372556</v>
      </c>
      <c r="F147" s="52">
        <v>2456</v>
      </c>
      <c r="G147" s="572"/>
      <c r="H147" s="563">
        <v>2433</v>
      </c>
      <c r="I147" s="582"/>
      <c r="J147" s="231"/>
      <c r="K147" s="231"/>
      <c r="L147" s="231"/>
      <c r="M147" s="231"/>
      <c r="N147" s="231"/>
      <c r="O147" s="231"/>
      <c r="P147" s="231"/>
      <c r="Q147" s="231"/>
      <c r="R147" s="231"/>
      <c r="S147" s="231"/>
      <c r="T147" s="231"/>
      <c r="U147" s="231"/>
      <c r="V147" s="231"/>
      <c r="W147" s="231"/>
      <c r="X147" s="231"/>
      <c r="Y147" s="231"/>
      <c r="Z147" s="231"/>
      <c r="AA147" s="231"/>
      <c r="AB147" s="231"/>
      <c r="AC147" s="231"/>
      <c r="AD147" s="231"/>
      <c r="AE147" s="231"/>
      <c r="AF147" s="231"/>
      <c r="AG147" s="231"/>
      <c r="AH147" s="231"/>
      <c r="AI147" s="231"/>
      <c r="AJ147" s="231"/>
      <c r="AK147" s="231"/>
    </row>
    <row r="148" spans="1:37" s="203" customFormat="1">
      <c r="A148" s="819">
        <v>42</v>
      </c>
      <c r="B148" s="490" t="s">
        <v>120</v>
      </c>
      <c r="C148" s="490"/>
      <c r="D148" s="490"/>
      <c r="E148" s="492">
        <v>141.16491377984559</v>
      </c>
      <c r="F148" s="52">
        <v>257</v>
      </c>
      <c r="G148" s="572"/>
      <c r="H148" s="563">
        <v>313</v>
      </c>
      <c r="I148" s="582"/>
      <c r="J148" s="231"/>
      <c r="K148" s="231"/>
      <c r="L148" s="231"/>
      <c r="M148" s="231"/>
      <c r="N148" s="231"/>
      <c r="O148" s="231"/>
      <c r="P148" s="231"/>
      <c r="Q148" s="231"/>
      <c r="R148" s="231"/>
      <c r="S148" s="231"/>
      <c r="T148" s="231"/>
      <c r="U148" s="231"/>
      <c r="V148" s="231"/>
      <c r="W148" s="231"/>
      <c r="X148" s="231"/>
      <c r="Y148" s="231"/>
      <c r="Z148" s="231"/>
      <c r="AA148" s="231"/>
      <c r="AB148" s="231"/>
      <c r="AC148" s="231"/>
      <c r="AD148" s="231"/>
      <c r="AE148" s="231"/>
      <c r="AF148" s="231"/>
      <c r="AG148" s="231"/>
      <c r="AH148" s="231"/>
      <c r="AI148" s="231"/>
      <c r="AJ148" s="231"/>
      <c r="AK148" s="231"/>
    </row>
    <row r="149" spans="1:37" s="203" customFormat="1">
      <c r="A149" s="819">
        <v>43</v>
      </c>
      <c r="B149" s="490" t="s">
        <v>121</v>
      </c>
      <c r="C149" s="490"/>
      <c r="D149" s="490"/>
      <c r="E149" s="492">
        <v>343.21535590594817</v>
      </c>
      <c r="F149" s="52">
        <v>268</v>
      </c>
      <c r="G149" s="572"/>
      <c r="H149" s="544">
        <v>356</v>
      </c>
      <c r="I149" s="582"/>
      <c r="J149" s="231"/>
      <c r="K149" s="231"/>
      <c r="L149" s="231"/>
      <c r="M149" s="231"/>
      <c r="N149" s="231"/>
      <c r="O149" s="231"/>
      <c r="P149" s="231"/>
      <c r="Q149" s="231"/>
      <c r="R149" s="231"/>
      <c r="S149" s="231"/>
      <c r="T149" s="231"/>
      <c r="U149" s="231"/>
      <c r="V149" s="231"/>
      <c r="W149" s="231"/>
      <c r="X149" s="231"/>
      <c r="Y149" s="231"/>
      <c r="Z149" s="231"/>
      <c r="AA149" s="231"/>
      <c r="AB149" s="231"/>
      <c r="AC149" s="231"/>
      <c r="AD149" s="231"/>
      <c r="AE149" s="231"/>
      <c r="AF149" s="231"/>
      <c r="AG149" s="231"/>
      <c r="AH149" s="231"/>
      <c r="AI149" s="231"/>
      <c r="AJ149" s="231"/>
      <c r="AK149" s="231"/>
    </row>
    <row r="150" spans="1:37" s="203" customFormat="1">
      <c r="A150" s="820">
        <v>44</v>
      </c>
      <c r="B150" s="538" t="s">
        <v>130</v>
      </c>
      <c r="C150" s="538"/>
      <c r="D150" s="538"/>
      <c r="E150" s="522">
        <v>4929.6910840079909</v>
      </c>
      <c r="F150" s="590">
        <f>SUM(F146:F149)</f>
        <v>4896</v>
      </c>
      <c r="G150" s="595"/>
      <c r="H150" s="590">
        <f>SUM(H146:H149)</f>
        <v>5079</v>
      </c>
      <c r="I150" s="582"/>
      <c r="J150" s="231"/>
      <c r="K150" s="231"/>
      <c r="L150" s="231"/>
      <c r="M150" s="231"/>
      <c r="N150" s="231"/>
      <c r="O150" s="231"/>
      <c r="P150" s="231"/>
      <c r="Q150" s="231"/>
      <c r="R150" s="231"/>
      <c r="S150" s="231"/>
      <c r="T150" s="231"/>
      <c r="U150" s="231"/>
      <c r="V150" s="231"/>
      <c r="W150" s="231"/>
      <c r="X150" s="231"/>
      <c r="Y150" s="231"/>
      <c r="Z150" s="231"/>
      <c r="AA150" s="231"/>
      <c r="AB150" s="231"/>
      <c r="AC150" s="231"/>
      <c r="AD150" s="231"/>
      <c r="AE150" s="231"/>
      <c r="AF150" s="231"/>
      <c r="AG150" s="231"/>
      <c r="AH150" s="231"/>
      <c r="AI150" s="231"/>
      <c r="AJ150" s="231"/>
      <c r="AK150" s="231"/>
    </row>
    <row r="151" spans="1:37" s="203" customFormat="1">
      <c r="A151" s="596"/>
      <c r="B151" s="578"/>
      <c r="C151" s="578"/>
      <c r="D151" s="597"/>
      <c r="E151" s="598"/>
      <c r="F151" s="459"/>
      <c r="G151" s="459"/>
      <c r="H151" s="457"/>
      <c r="I151" s="459"/>
      <c r="J151" s="231"/>
      <c r="K151" s="231"/>
      <c r="L151" s="231"/>
      <c r="M151" s="231"/>
      <c r="N151" s="231"/>
      <c r="O151" s="231"/>
      <c r="P151" s="231"/>
      <c r="Q151" s="231"/>
      <c r="R151" s="231"/>
      <c r="S151" s="231"/>
      <c r="T151" s="231"/>
      <c r="U151" s="231"/>
      <c r="V151" s="231"/>
      <c r="W151" s="231"/>
      <c r="X151" s="231"/>
      <c r="Y151" s="231"/>
      <c r="Z151" s="231"/>
      <c r="AA151" s="231"/>
      <c r="AB151" s="231"/>
      <c r="AC151" s="231"/>
      <c r="AD151" s="231"/>
      <c r="AE151" s="231"/>
      <c r="AF151" s="231"/>
      <c r="AG151" s="231"/>
      <c r="AH151" s="231"/>
      <c r="AI151" s="231"/>
      <c r="AJ151" s="231"/>
      <c r="AK151" s="231"/>
    </row>
    <row r="152" spans="1:37" s="203" customFormat="1">
      <c r="A152" s="596"/>
      <c r="B152" s="578"/>
      <c r="C152" s="578"/>
      <c r="D152" s="599"/>
      <c r="E152" s="600"/>
      <c r="F152" s="459"/>
      <c r="G152" s="459"/>
      <c r="H152" s="550" t="s">
        <v>27</v>
      </c>
      <c r="I152" s="459"/>
      <c r="J152" s="231"/>
      <c r="K152" s="231"/>
      <c r="L152" s="231"/>
      <c r="M152" s="231"/>
      <c r="N152" s="231"/>
      <c r="O152" s="231"/>
      <c r="P152" s="231"/>
      <c r="Q152" s="231"/>
      <c r="R152" s="231"/>
      <c r="S152" s="231"/>
      <c r="T152" s="231"/>
      <c r="U152" s="231"/>
      <c r="V152" s="231"/>
      <c r="W152" s="231"/>
      <c r="X152" s="231"/>
      <c r="Y152" s="231"/>
      <c r="Z152" s="231"/>
      <c r="AA152" s="231"/>
      <c r="AB152" s="231"/>
      <c r="AC152" s="231"/>
      <c r="AD152" s="231"/>
      <c r="AE152" s="231"/>
      <c r="AF152" s="231"/>
      <c r="AG152" s="231"/>
      <c r="AH152" s="231"/>
      <c r="AI152" s="231"/>
      <c r="AJ152" s="231"/>
      <c r="AK152" s="231"/>
    </row>
    <row r="153" spans="1:37" s="203" customFormat="1">
      <c r="A153" s="552" t="s">
        <v>20</v>
      </c>
      <c r="B153" s="553"/>
      <c r="C153" s="553"/>
      <c r="D153" s="553"/>
      <c r="E153" s="910" t="s">
        <v>377</v>
      </c>
      <c r="F153" s="910" t="s">
        <v>402</v>
      </c>
      <c r="G153" s="579"/>
      <c r="H153" s="910" t="s">
        <v>403</v>
      </c>
      <c r="I153" s="579"/>
      <c r="J153" s="231"/>
      <c r="K153" s="231"/>
      <c r="L153" s="231"/>
      <c r="M153" s="231"/>
      <c r="N153" s="231"/>
      <c r="O153" s="231"/>
      <c r="P153" s="231"/>
      <c r="Q153" s="231"/>
      <c r="R153" s="231"/>
      <c r="S153" s="231"/>
      <c r="T153" s="231"/>
      <c r="U153" s="231"/>
      <c r="V153" s="231"/>
      <c r="W153" s="231"/>
      <c r="X153" s="231"/>
      <c r="Y153" s="231"/>
      <c r="Z153" s="231"/>
      <c r="AA153" s="231"/>
      <c r="AB153" s="231"/>
      <c r="AC153" s="231"/>
      <c r="AD153" s="231"/>
      <c r="AE153" s="231"/>
      <c r="AF153" s="231"/>
      <c r="AG153" s="231"/>
      <c r="AH153" s="231"/>
      <c r="AI153" s="231"/>
      <c r="AJ153" s="231"/>
      <c r="AK153" s="231"/>
    </row>
    <row r="154" spans="1:37" s="203" customFormat="1">
      <c r="A154" s="601"/>
      <c r="B154" s="581"/>
      <c r="C154" s="581"/>
      <c r="D154" s="581"/>
      <c r="E154" s="911"/>
      <c r="F154" s="911"/>
      <c r="G154" s="579"/>
      <c r="H154" s="911"/>
      <c r="I154" s="579"/>
      <c r="J154" s="231"/>
      <c r="K154" s="231"/>
      <c r="L154" s="231"/>
      <c r="M154" s="231"/>
      <c r="N154" s="231"/>
      <c r="O154" s="231"/>
      <c r="P154" s="231"/>
      <c r="Q154" s="231"/>
      <c r="R154" s="231"/>
      <c r="S154" s="231"/>
      <c r="T154" s="231"/>
      <c r="U154" s="231"/>
      <c r="V154" s="231"/>
      <c r="W154" s="231"/>
      <c r="X154" s="231"/>
      <c r="Y154" s="231"/>
      <c r="Z154" s="231"/>
      <c r="AA154" s="231"/>
      <c r="AB154" s="231"/>
      <c r="AC154" s="231"/>
      <c r="AD154" s="231"/>
      <c r="AE154" s="231"/>
      <c r="AF154" s="231"/>
      <c r="AG154" s="231"/>
      <c r="AH154" s="231"/>
      <c r="AI154" s="231"/>
      <c r="AJ154" s="231"/>
      <c r="AK154" s="231"/>
    </row>
    <row r="155" spans="1:37" s="203" customFormat="1">
      <c r="A155" s="602" t="s">
        <v>131</v>
      </c>
      <c r="B155" s="567"/>
      <c r="C155" s="567"/>
      <c r="D155" s="567"/>
      <c r="E155" s="911"/>
      <c r="F155" s="911"/>
      <c r="G155" s="579"/>
      <c r="H155" s="911"/>
      <c r="I155" s="579"/>
      <c r="J155" s="231"/>
      <c r="K155" s="231"/>
      <c r="L155" s="231"/>
      <c r="M155" s="231"/>
      <c r="N155" s="231"/>
      <c r="O155" s="231"/>
      <c r="P155" s="231"/>
      <c r="Q155" s="231"/>
      <c r="R155" s="231"/>
      <c r="S155" s="231"/>
      <c r="T155" s="231"/>
      <c r="U155" s="231"/>
      <c r="V155" s="231"/>
      <c r="W155" s="231"/>
      <c r="X155" s="231"/>
      <c r="Y155" s="231"/>
      <c r="Z155" s="231"/>
      <c r="AA155" s="231"/>
      <c r="AB155" s="231"/>
      <c r="AC155" s="231"/>
      <c r="AD155" s="231"/>
      <c r="AE155" s="231"/>
      <c r="AF155" s="231"/>
      <c r="AG155" s="231"/>
      <c r="AH155" s="231"/>
      <c r="AI155" s="231"/>
      <c r="AJ155" s="231"/>
      <c r="AK155" s="231"/>
    </row>
    <row r="156" spans="1:37" s="203" customFormat="1" ht="12.75" customHeight="1">
      <c r="A156" s="555" t="s">
        <v>83</v>
      </c>
      <c r="B156" s="490"/>
      <c r="C156" s="490"/>
      <c r="D156" s="490"/>
      <c r="E156" s="911"/>
      <c r="F156" s="911"/>
      <c r="G156" s="579"/>
      <c r="H156" s="911"/>
      <c r="I156" s="579"/>
      <c r="J156" s="231"/>
      <c r="K156" s="231"/>
      <c r="L156" s="231"/>
      <c r="M156" s="231"/>
      <c r="N156" s="231"/>
      <c r="O156" s="231"/>
      <c r="P156" s="231"/>
      <c r="Q156" s="231"/>
      <c r="R156" s="231"/>
      <c r="S156" s="231"/>
      <c r="T156" s="231"/>
      <c r="U156" s="231"/>
      <c r="V156" s="231"/>
      <c r="W156" s="231"/>
      <c r="X156" s="231"/>
      <c r="Y156" s="231"/>
      <c r="Z156" s="231"/>
      <c r="AA156" s="231"/>
      <c r="AB156" s="231"/>
      <c r="AC156" s="231"/>
      <c r="AD156" s="231"/>
      <c r="AE156" s="231"/>
      <c r="AF156" s="231"/>
      <c r="AG156" s="231"/>
      <c r="AH156" s="231"/>
      <c r="AI156" s="231"/>
      <c r="AJ156" s="231"/>
      <c r="AK156" s="231"/>
    </row>
    <row r="157" spans="1:37" s="203" customFormat="1">
      <c r="A157" s="556" t="s">
        <v>84</v>
      </c>
      <c r="B157" s="581"/>
      <c r="C157" s="581"/>
      <c r="D157" s="581"/>
      <c r="E157" s="912"/>
      <c r="F157" s="912"/>
      <c r="G157" s="579"/>
      <c r="H157" s="912"/>
      <c r="I157" s="579"/>
      <c r="J157" s="231"/>
      <c r="K157" s="231"/>
      <c r="L157" s="231"/>
      <c r="M157" s="231"/>
      <c r="N157" s="231"/>
      <c r="O157" s="231"/>
      <c r="P157" s="231"/>
      <c r="Q157" s="231"/>
      <c r="R157" s="231"/>
      <c r="S157" s="231"/>
      <c r="T157" s="231"/>
      <c r="U157" s="231"/>
      <c r="V157" s="231"/>
      <c r="W157" s="231"/>
      <c r="X157" s="231"/>
      <c r="Y157" s="231"/>
      <c r="Z157" s="231"/>
      <c r="AA157" s="231"/>
      <c r="AB157" s="231"/>
      <c r="AC157" s="231"/>
      <c r="AD157" s="231"/>
      <c r="AE157" s="231"/>
      <c r="AF157" s="231"/>
      <c r="AG157" s="231"/>
      <c r="AH157" s="231"/>
      <c r="AI157" s="231"/>
      <c r="AJ157" s="231"/>
      <c r="AK157" s="231"/>
    </row>
    <row r="158" spans="1:37" s="203" customFormat="1">
      <c r="A158" s="573" t="s">
        <v>132</v>
      </c>
      <c r="B158" s="490"/>
      <c r="C158" s="490"/>
      <c r="D158" s="490"/>
      <c r="E158" s="603"/>
      <c r="F158" s="534" t="s">
        <v>133</v>
      </c>
      <c r="G158" s="572"/>
      <c r="H158" s="534"/>
      <c r="I158" s="459"/>
      <c r="J158" s="231"/>
      <c r="K158" s="231"/>
      <c r="L158" s="231"/>
      <c r="M158" s="231"/>
      <c r="N158" s="231"/>
      <c r="O158" s="231"/>
      <c r="P158" s="231"/>
      <c r="Q158" s="231"/>
      <c r="R158" s="231"/>
      <c r="S158" s="231"/>
      <c r="T158" s="231"/>
      <c r="U158" s="231"/>
      <c r="V158" s="231"/>
      <c r="W158" s="231"/>
      <c r="X158" s="231"/>
      <c r="Y158" s="231"/>
      <c r="Z158" s="231"/>
      <c r="AA158" s="231"/>
      <c r="AB158" s="231"/>
      <c r="AC158" s="231"/>
      <c r="AD158" s="231"/>
      <c r="AE158" s="231"/>
      <c r="AF158" s="231"/>
      <c r="AG158" s="231"/>
      <c r="AH158" s="231"/>
      <c r="AI158" s="231"/>
      <c r="AJ158" s="231"/>
      <c r="AK158" s="231"/>
    </row>
    <row r="159" spans="1:37" s="203" customFormat="1">
      <c r="A159" s="819">
        <v>1</v>
      </c>
      <c r="B159" s="490" t="s">
        <v>134</v>
      </c>
      <c r="C159" s="490"/>
      <c r="D159" s="490"/>
      <c r="E159" s="516">
        <v>0</v>
      </c>
      <c r="F159" s="52">
        <v>0</v>
      </c>
      <c r="G159" s="572"/>
      <c r="H159" s="563">
        <v>0</v>
      </c>
      <c r="I159" s="459"/>
      <c r="J159" s="231"/>
      <c r="K159" s="231"/>
      <c r="L159" s="231"/>
      <c r="M159" s="231"/>
      <c r="N159" s="231"/>
      <c r="O159" s="231"/>
      <c r="P159" s="231"/>
      <c r="Q159" s="231"/>
      <c r="R159" s="231"/>
      <c r="S159" s="231"/>
      <c r="T159" s="231"/>
      <c r="U159" s="231"/>
      <c r="V159" s="231"/>
      <c r="W159" s="231"/>
      <c r="X159" s="231"/>
      <c r="Y159" s="231"/>
      <c r="Z159" s="231"/>
      <c r="AA159" s="231"/>
      <c r="AB159" s="231"/>
      <c r="AC159" s="231"/>
      <c r="AD159" s="231"/>
      <c r="AE159" s="231"/>
      <c r="AF159" s="231"/>
      <c r="AG159" s="231"/>
      <c r="AH159" s="231"/>
      <c r="AI159" s="231"/>
      <c r="AJ159" s="231"/>
      <c r="AK159" s="231"/>
    </row>
    <row r="160" spans="1:37" s="203" customFormat="1">
      <c r="A160" s="819">
        <v>2</v>
      </c>
      <c r="B160" s="490" t="s">
        <v>135</v>
      </c>
      <c r="C160" s="490"/>
      <c r="D160" s="490"/>
      <c r="E160" s="492">
        <v>4378</v>
      </c>
      <c r="F160" s="52">
        <v>4700</v>
      </c>
      <c r="G160" s="572"/>
      <c r="H160" s="563">
        <v>4529</v>
      </c>
      <c r="I160" s="459"/>
      <c r="J160" s="231"/>
      <c r="K160" s="231"/>
      <c r="L160" s="231"/>
      <c r="M160" s="231"/>
      <c r="N160" s="231"/>
      <c r="O160" s="231"/>
      <c r="P160" s="231"/>
      <c r="Q160" s="231"/>
      <c r="R160" s="231"/>
      <c r="S160" s="231"/>
      <c r="T160" s="231"/>
      <c r="U160" s="231"/>
      <c r="V160" s="231"/>
      <c r="W160" s="231"/>
      <c r="X160" s="231"/>
      <c r="Y160" s="231"/>
      <c r="Z160" s="231"/>
      <c r="AA160" s="231"/>
      <c r="AB160" s="231"/>
      <c r="AC160" s="231"/>
      <c r="AD160" s="231"/>
      <c r="AE160" s="231"/>
      <c r="AF160" s="231"/>
      <c r="AG160" s="231"/>
      <c r="AH160" s="231"/>
      <c r="AI160" s="231"/>
      <c r="AJ160" s="231"/>
      <c r="AK160" s="231"/>
    </row>
    <row r="161" spans="1:37" s="203" customFormat="1">
      <c r="A161" s="819">
        <v>3</v>
      </c>
      <c r="B161" s="490" t="s">
        <v>136</v>
      </c>
      <c r="C161" s="490"/>
      <c r="D161" s="490"/>
      <c r="E161" s="564">
        <v>2331</v>
      </c>
      <c r="F161" s="52">
        <v>4401</v>
      </c>
      <c r="G161" s="572"/>
      <c r="H161" s="563">
        <v>2509</v>
      </c>
      <c r="I161" s="459"/>
      <c r="J161" s="231"/>
      <c r="K161" s="231"/>
      <c r="L161" s="231"/>
      <c r="M161" s="231"/>
      <c r="N161" s="231"/>
      <c r="O161" s="231"/>
      <c r="P161" s="231"/>
      <c r="Q161" s="231"/>
      <c r="R161" s="231"/>
      <c r="S161" s="231"/>
      <c r="T161" s="231"/>
      <c r="U161" s="231"/>
      <c r="V161" s="231"/>
      <c r="W161" s="231"/>
      <c r="X161" s="231"/>
      <c r="Y161" s="231"/>
      <c r="Z161" s="231"/>
      <c r="AA161" s="231"/>
      <c r="AB161" s="231"/>
      <c r="AC161" s="231"/>
      <c r="AD161" s="231"/>
      <c r="AE161" s="231"/>
      <c r="AF161" s="231"/>
      <c r="AG161" s="231"/>
      <c r="AH161" s="231"/>
      <c r="AI161" s="231"/>
      <c r="AJ161" s="231"/>
      <c r="AK161" s="231"/>
    </row>
    <row r="162" spans="1:37" s="203" customFormat="1">
      <c r="A162" s="819">
        <v>4</v>
      </c>
      <c r="B162" s="490" t="s">
        <v>137</v>
      </c>
      <c r="C162" s="490"/>
      <c r="D162" s="490"/>
      <c r="E162" s="564">
        <v>2251</v>
      </c>
      <c r="F162" s="52">
        <v>2140</v>
      </c>
      <c r="G162" s="572"/>
      <c r="H162" s="544">
        <v>1869</v>
      </c>
      <c r="I162" s="459"/>
      <c r="J162" s="231"/>
      <c r="K162" s="231"/>
      <c r="L162" s="231"/>
      <c r="M162" s="231"/>
      <c r="N162" s="231"/>
      <c r="O162" s="231"/>
      <c r="P162" s="231"/>
      <c r="Q162" s="231"/>
      <c r="R162" s="231"/>
      <c r="S162" s="231"/>
      <c r="T162" s="231"/>
      <c r="U162" s="231"/>
      <c r="V162" s="231"/>
      <c r="W162" s="231"/>
      <c r="X162" s="231"/>
      <c r="Y162" s="231"/>
      <c r="Z162" s="231"/>
      <c r="AA162" s="231"/>
      <c r="AB162" s="231"/>
      <c r="AC162" s="231"/>
      <c r="AD162" s="231"/>
      <c r="AE162" s="231"/>
      <c r="AF162" s="231"/>
      <c r="AG162" s="231"/>
      <c r="AH162" s="231"/>
      <c r="AI162" s="231"/>
      <c r="AJ162" s="231"/>
      <c r="AK162" s="231"/>
    </row>
    <row r="163" spans="1:37" s="203" customFormat="1">
      <c r="A163" s="819">
        <v>5</v>
      </c>
      <c r="B163" s="567" t="s">
        <v>138</v>
      </c>
      <c r="C163" s="567"/>
      <c r="D163" s="567"/>
      <c r="E163" s="522">
        <v>8960</v>
      </c>
      <c r="F163" s="590">
        <f>SUM(F159:F162)</f>
        <v>11241</v>
      </c>
      <c r="G163" s="572"/>
      <c r="H163" s="590">
        <f>SUM(H159:H162)</f>
        <v>8907</v>
      </c>
      <c r="I163" s="459"/>
      <c r="J163" s="231"/>
      <c r="K163" s="231"/>
      <c r="L163" s="231"/>
      <c r="M163" s="231"/>
      <c r="N163" s="231"/>
      <c r="O163" s="231"/>
      <c r="P163" s="231"/>
      <c r="Q163" s="231"/>
      <c r="R163" s="231"/>
      <c r="S163" s="231"/>
      <c r="T163" s="231"/>
      <c r="U163" s="231"/>
      <c r="V163" s="231"/>
      <c r="W163" s="231"/>
      <c r="X163" s="231"/>
      <c r="Y163" s="231"/>
      <c r="Z163" s="231"/>
      <c r="AA163" s="231"/>
      <c r="AB163" s="231"/>
      <c r="AC163" s="231"/>
      <c r="AD163" s="231"/>
      <c r="AE163" s="231"/>
      <c r="AF163" s="231"/>
      <c r="AG163" s="231"/>
      <c r="AH163" s="231"/>
      <c r="AI163" s="231"/>
      <c r="AJ163" s="231"/>
      <c r="AK163" s="231"/>
    </row>
    <row r="164" spans="1:37" s="203" customFormat="1">
      <c r="A164" s="489"/>
      <c r="B164" s="581"/>
      <c r="C164" s="581"/>
      <c r="D164" s="581"/>
      <c r="E164" s="604"/>
      <c r="F164" s="582"/>
      <c r="G164" s="582"/>
      <c r="H164" s="582"/>
      <c r="I164" s="459"/>
      <c r="J164" s="231"/>
      <c r="K164" s="231"/>
      <c r="L164" s="231"/>
      <c r="M164" s="231"/>
      <c r="N164" s="231"/>
      <c r="O164" s="231"/>
      <c r="P164" s="231"/>
      <c r="Q164" s="231"/>
      <c r="R164" s="231"/>
      <c r="S164" s="231"/>
      <c r="T164" s="231"/>
      <c r="U164" s="231"/>
      <c r="V164" s="231"/>
      <c r="W164" s="231"/>
      <c r="X164" s="231"/>
      <c r="Y164" s="231"/>
      <c r="Z164" s="231"/>
      <c r="AA164" s="231"/>
      <c r="AB164" s="231"/>
      <c r="AC164" s="231"/>
      <c r="AD164" s="231"/>
      <c r="AE164" s="231"/>
      <c r="AF164" s="231"/>
      <c r="AG164" s="231"/>
      <c r="AH164" s="231"/>
      <c r="AI164" s="231"/>
      <c r="AJ164" s="231"/>
      <c r="AK164" s="231"/>
    </row>
    <row r="165" spans="1:37" s="203" customFormat="1">
      <c r="A165" s="573" t="s">
        <v>139</v>
      </c>
      <c r="B165" s="490"/>
      <c r="C165" s="490"/>
      <c r="D165" s="490"/>
      <c r="E165" s="588"/>
      <c r="F165" s="534"/>
      <c r="G165" s="572"/>
      <c r="H165" s="534"/>
      <c r="I165" s="459"/>
      <c r="J165" s="231"/>
      <c r="K165" s="231"/>
      <c r="L165" s="231"/>
      <c r="M165" s="231"/>
      <c r="N165" s="231"/>
      <c r="O165" s="231"/>
      <c r="P165" s="231"/>
      <c r="Q165" s="231"/>
      <c r="R165" s="231"/>
      <c r="S165" s="231"/>
      <c r="T165" s="231"/>
      <c r="U165" s="231"/>
      <c r="V165" s="231"/>
      <c r="W165" s="231"/>
      <c r="X165" s="231"/>
      <c r="Y165" s="231"/>
      <c r="Z165" s="231"/>
      <c r="AA165" s="231"/>
      <c r="AB165" s="231"/>
      <c r="AC165" s="231"/>
      <c r="AD165" s="231"/>
      <c r="AE165" s="231"/>
      <c r="AF165" s="231"/>
      <c r="AG165" s="231"/>
      <c r="AH165" s="231"/>
      <c r="AI165" s="231"/>
      <c r="AJ165" s="231"/>
      <c r="AK165" s="231"/>
    </row>
    <row r="166" spans="1:37" s="203" customFormat="1">
      <c r="A166" s="819">
        <v>6</v>
      </c>
      <c r="B166" s="490" t="s">
        <v>140</v>
      </c>
      <c r="C166" s="490"/>
      <c r="D166" s="490"/>
      <c r="E166" s="516">
        <v>0</v>
      </c>
      <c r="F166" s="52">
        <v>0</v>
      </c>
      <c r="G166" s="572"/>
      <c r="H166" s="563">
        <v>0</v>
      </c>
      <c r="I166" s="459"/>
      <c r="J166" s="231"/>
      <c r="K166" s="231"/>
      <c r="L166" s="231"/>
      <c r="M166" s="231"/>
      <c r="N166" s="231"/>
      <c r="O166" s="231"/>
      <c r="P166" s="231"/>
      <c r="Q166" s="231"/>
      <c r="R166" s="231"/>
      <c r="S166" s="231"/>
      <c r="T166" s="231"/>
      <c r="U166" s="231"/>
      <c r="V166" s="231"/>
      <c r="W166" s="231"/>
      <c r="X166" s="231"/>
      <c r="Y166" s="231"/>
      <c r="Z166" s="231"/>
      <c r="AA166" s="231"/>
      <c r="AB166" s="231"/>
      <c r="AC166" s="231"/>
      <c r="AD166" s="231"/>
      <c r="AE166" s="231"/>
      <c r="AF166" s="231"/>
      <c r="AG166" s="231"/>
      <c r="AH166" s="231"/>
      <c r="AI166" s="231"/>
      <c r="AJ166" s="231"/>
      <c r="AK166" s="231"/>
    </row>
    <row r="167" spans="1:37" s="203" customFormat="1">
      <c r="A167" s="819">
        <v>7</v>
      </c>
      <c r="B167" s="490" t="s">
        <v>141</v>
      </c>
      <c r="C167" s="490"/>
      <c r="D167" s="490"/>
      <c r="E167" s="492">
        <v>374</v>
      </c>
      <c r="F167" s="52">
        <v>315</v>
      </c>
      <c r="G167" s="572"/>
      <c r="H167" s="563">
        <v>384</v>
      </c>
      <c r="I167" s="459"/>
      <c r="J167" s="231"/>
      <c r="K167" s="231"/>
      <c r="L167" s="231"/>
      <c r="M167" s="231"/>
      <c r="N167" s="231"/>
      <c r="O167" s="231"/>
      <c r="P167" s="231"/>
      <c r="Q167" s="231"/>
      <c r="R167" s="231"/>
      <c r="S167" s="231"/>
      <c r="T167" s="231"/>
      <c r="U167" s="231"/>
      <c r="V167" s="231"/>
      <c r="W167" s="231"/>
      <c r="X167" s="231"/>
      <c r="Y167" s="231"/>
      <c r="Z167" s="231"/>
      <c r="AA167" s="231"/>
      <c r="AB167" s="231"/>
      <c r="AC167" s="231"/>
      <c r="AD167" s="231"/>
      <c r="AE167" s="231"/>
      <c r="AF167" s="231"/>
      <c r="AG167" s="231"/>
      <c r="AH167" s="231"/>
      <c r="AI167" s="231"/>
      <c r="AJ167" s="231"/>
      <c r="AK167" s="231"/>
    </row>
    <row r="168" spans="1:37" s="203" customFormat="1">
      <c r="A168" s="819">
        <v>8</v>
      </c>
      <c r="B168" s="490" t="s">
        <v>121</v>
      </c>
      <c r="C168" s="490"/>
      <c r="D168" s="490"/>
      <c r="E168" s="492">
        <v>1750</v>
      </c>
      <c r="F168" s="52">
        <v>1681</v>
      </c>
      <c r="G168" s="572"/>
      <c r="H168" s="544">
        <v>1740</v>
      </c>
      <c r="I168" s="459"/>
      <c r="J168" s="231"/>
      <c r="K168" s="231"/>
      <c r="L168" s="231"/>
      <c r="M168" s="231"/>
      <c r="N168" s="231"/>
      <c r="O168" s="231"/>
      <c r="P168" s="231"/>
      <c r="Q168" s="231"/>
      <c r="R168" s="231"/>
      <c r="S168" s="231"/>
      <c r="T168" s="231"/>
      <c r="U168" s="231"/>
      <c r="V168" s="231"/>
      <c r="W168" s="231"/>
      <c r="X168" s="231"/>
      <c r="Y168" s="231"/>
      <c r="Z168" s="231"/>
      <c r="AA168" s="231"/>
      <c r="AB168" s="231"/>
      <c r="AC168" s="231"/>
      <c r="AD168" s="231"/>
      <c r="AE168" s="231"/>
      <c r="AF168" s="231"/>
      <c r="AG168" s="231"/>
      <c r="AH168" s="231"/>
      <c r="AI168" s="231"/>
      <c r="AJ168" s="231"/>
      <c r="AK168" s="231"/>
    </row>
    <row r="169" spans="1:37" s="203" customFormat="1">
      <c r="A169" s="819">
        <v>9</v>
      </c>
      <c r="B169" s="567" t="s">
        <v>142</v>
      </c>
      <c r="C169" s="567"/>
      <c r="D169" s="567"/>
      <c r="E169" s="522">
        <v>2124</v>
      </c>
      <c r="F169" s="590">
        <f>SUM(F166:F168)</f>
        <v>1996</v>
      </c>
      <c r="G169" s="572"/>
      <c r="H169" s="590">
        <f>SUM(H166:H168)</f>
        <v>2124</v>
      </c>
      <c r="I169" s="459"/>
      <c r="J169" s="231"/>
      <c r="K169" s="231"/>
      <c r="L169" s="231"/>
      <c r="M169" s="231"/>
      <c r="N169" s="231"/>
      <c r="O169" s="231"/>
      <c r="P169" s="231"/>
      <c r="Q169" s="231"/>
      <c r="R169" s="231"/>
      <c r="S169" s="231"/>
      <c r="T169" s="231"/>
      <c r="U169" s="231"/>
      <c r="V169" s="231"/>
      <c r="W169" s="231"/>
      <c r="X169" s="231"/>
      <c r="Y169" s="231"/>
      <c r="Z169" s="231"/>
      <c r="AA169" s="231"/>
      <c r="AB169" s="231"/>
      <c r="AC169" s="231"/>
      <c r="AD169" s="231"/>
      <c r="AE169" s="231"/>
      <c r="AF169" s="231"/>
      <c r="AG169" s="231"/>
      <c r="AH169" s="231"/>
      <c r="AI169" s="231"/>
      <c r="AJ169" s="231"/>
      <c r="AK169" s="231"/>
    </row>
    <row r="170" spans="1:37" s="203" customFormat="1">
      <c r="A170" s="489"/>
      <c r="B170" s="581"/>
      <c r="C170" s="581"/>
      <c r="D170" s="581"/>
      <c r="E170" s="604"/>
      <c r="F170" s="582"/>
      <c r="G170" s="582"/>
      <c r="H170" s="582"/>
      <c r="I170" s="459"/>
      <c r="J170" s="231"/>
      <c r="K170" s="231"/>
      <c r="L170" s="231"/>
      <c r="M170" s="231"/>
      <c r="N170" s="231"/>
      <c r="O170" s="231"/>
      <c r="P170" s="231"/>
      <c r="Q170" s="231"/>
      <c r="R170" s="231"/>
      <c r="S170" s="231"/>
      <c r="T170" s="231"/>
      <c r="U170" s="231"/>
      <c r="V170" s="231"/>
      <c r="W170" s="231"/>
      <c r="X170" s="231"/>
      <c r="Y170" s="231"/>
      <c r="Z170" s="231"/>
      <c r="AA170" s="231"/>
      <c r="AB170" s="231"/>
      <c r="AC170" s="231"/>
      <c r="AD170" s="231"/>
      <c r="AE170" s="231"/>
      <c r="AF170" s="231"/>
      <c r="AG170" s="231"/>
      <c r="AH170" s="231"/>
      <c r="AI170" s="231"/>
      <c r="AJ170" s="231"/>
      <c r="AK170" s="231"/>
    </row>
    <row r="171" spans="1:37" s="203" customFormat="1">
      <c r="A171" s="819">
        <v>10</v>
      </c>
      <c r="B171" s="490" t="s">
        <v>143</v>
      </c>
      <c r="C171" s="490"/>
      <c r="D171" s="490"/>
      <c r="E171" s="484">
        <v>-7</v>
      </c>
      <c r="F171" s="121">
        <v>186</v>
      </c>
      <c r="G171" s="572"/>
      <c r="H171" s="560">
        <v>0</v>
      </c>
      <c r="I171" s="459"/>
      <c r="J171" s="231"/>
      <c r="K171" s="231"/>
      <c r="L171" s="231"/>
      <c r="M171" s="231"/>
      <c r="N171" s="231"/>
      <c r="O171" s="231"/>
      <c r="P171" s="231"/>
      <c r="Q171" s="231"/>
      <c r="R171" s="231"/>
      <c r="S171" s="231"/>
      <c r="T171" s="231"/>
      <c r="U171" s="231"/>
      <c r="V171" s="231"/>
      <c r="W171" s="231"/>
      <c r="X171" s="231"/>
      <c r="Y171" s="231"/>
      <c r="Z171" s="231"/>
      <c r="AA171" s="231"/>
      <c r="AB171" s="231"/>
      <c r="AC171" s="231"/>
      <c r="AD171" s="231"/>
      <c r="AE171" s="231"/>
      <c r="AF171" s="231"/>
      <c r="AG171" s="231"/>
      <c r="AH171" s="231"/>
      <c r="AI171" s="231"/>
      <c r="AJ171" s="231"/>
      <c r="AK171" s="231"/>
    </row>
    <row r="172" spans="1:37" s="203" customFormat="1">
      <c r="A172" s="819">
        <v>11</v>
      </c>
      <c r="B172" s="490" t="s">
        <v>144</v>
      </c>
      <c r="C172" s="490"/>
      <c r="D172" s="490"/>
      <c r="E172" s="498">
        <v>0</v>
      </c>
      <c r="F172" s="126">
        <v>0</v>
      </c>
      <c r="G172" s="572"/>
      <c r="H172" s="544">
        <v>0</v>
      </c>
      <c r="I172" s="459"/>
      <c r="J172" s="231"/>
      <c r="K172" s="231"/>
      <c r="L172" s="231"/>
      <c r="M172" s="231"/>
      <c r="N172" s="231"/>
      <c r="O172" s="231"/>
      <c r="P172" s="231"/>
      <c r="Q172" s="231"/>
      <c r="R172" s="231"/>
      <c r="S172" s="231"/>
      <c r="T172" s="231"/>
      <c r="U172" s="231"/>
      <c r="V172" s="231"/>
      <c r="W172" s="231"/>
      <c r="X172" s="231"/>
      <c r="Y172" s="231"/>
      <c r="Z172" s="231"/>
      <c r="AA172" s="231"/>
      <c r="AB172" s="231"/>
      <c r="AC172" s="231"/>
      <c r="AD172" s="231"/>
      <c r="AE172" s="231"/>
      <c r="AF172" s="231"/>
      <c r="AG172" s="231"/>
      <c r="AH172" s="231"/>
      <c r="AI172" s="231"/>
      <c r="AJ172" s="231"/>
      <c r="AK172" s="231"/>
    </row>
    <row r="173" spans="1:37" s="203" customFormat="1">
      <c r="A173" s="489"/>
      <c r="B173" s="581"/>
      <c r="C173" s="581"/>
      <c r="D173" s="581"/>
      <c r="E173" s="604"/>
      <c r="F173" s="582"/>
      <c r="G173" s="582"/>
      <c r="H173" s="582"/>
      <c r="I173" s="459"/>
      <c r="J173" s="231"/>
      <c r="K173" s="231"/>
      <c r="L173" s="231"/>
      <c r="M173" s="231"/>
      <c r="N173" s="231"/>
      <c r="O173" s="231"/>
      <c r="P173" s="231"/>
      <c r="Q173" s="231"/>
      <c r="R173" s="231"/>
      <c r="S173" s="231"/>
      <c r="T173" s="231"/>
      <c r="U173" s="231"/>
      <c r="V173" s="231"/>
      <c r="W173" s="231"/>
      <c r="X173" s="231"/>
      <c r="Y173" s="231"/>
      <c r="Z173" s="231"/>
      <c r="AA173" s="231"/>
      <c r="AB173" s="231"/>
      <c r="AC173" s="231"/>
      <c r="AD173" s="231"/>
      <c r="AE173" s="231"/>
      <c r="AF173" s="231"/>
      <c r="AG173" s="231"/>
      <c r="AH173" s="231"/>
      <c r="AI173" s="231"/>
      <c r="AJ173" s="231"/>
      <c r="AK173" s="231"/>
    </row>
    <row r="174" spans="1:37" s="203" customFormat="1">
      <c r="A174" s="573" t="s">
        <v>145</v>
      </c>
      <c r="B174" s="490"/>
      <c r="C174" s="490"/>
      <c r="D174" s="490"/>
      <c r="E174" s="605"/>
      <c r="F174" s="534"/>
      <c r="G174" s="572"/>
      <c r="H174" s="534"/>
      <c r="I174" s="459"/>
      <c r="J174" s="231"/>
      <c r="K174" s="231"/>
      <c r="L174" s="231"/>
      <c r="M174" s="231"/>
      <c r="N174" s="231"/>
      <c r="O174" s="231"/>
      <c r="P174" s="231"/>
      <c r="Q174" s="231"/>
      <c r="R174" s="231"/>
      <c r="S174" s="231"/>
      <c r="T174" s="231"/>
      <c r="U174" s="231"/>
      <c r="V174" s="231"/>
      <c r="W174" s="231"/>
      <c r="X174" s="231"/>
      <c r="Y174" s="231"/>
      <c r="Z174" s="231"/>
      <c r="AA174" s="231"/>
      <c r="AB174" s="231"/>
      <c r="AC174" s="231"/>
      <c r="AD174" s="231"/>
      <c r="AE174" s="231"/>
      <c r="AF174" s="231"/>
      <c r="AG174" s="231"/>
      <c r="AH174" s="231"/>
      <c r="AI174" s="231"/>
      <c r="AJ174" s="231"/>
      <c r="AK174" s="231"/>
    </row>
    <row r="175" spans="1:37" s="203" customFormat="1">
      <c r="A175" s="819">
        <v>12</v>
      </c>
      <c r="B175" s="490" t="s">
        <v>146</v>
      </c>
      <c r="C175" s="490"/>
      <c r="D175" s="490"/>
      <c r="E175" s="516">
        <v>146</v>
      </c>
      <c r="F175" s="52">
        <v>158</v>
      </c>
      <c r="G175" s="572"/>
      <c r="H175" s="563">
        <v>144</v>
      </c>
      <c r="I175" s="459"/>
      <c r="J175" s="231"/>
      <c r="K175" s="231"/>
      <c r="L175" s="231"/>
      <c r="M175" s="231"/>
      <c r="N175" s="231"/>
      <c r="O175" s="231"/>
      <c r="P175" s="231"/>
      <c r="Q175" s="231"/>
      <c r="R175" s="231"/>
      <c r="S175" s="231"/>
      <c r="T175" s="231"/>
      <c r="U175" s="231"/>
      <c r="V175" s="231"/>
      <c r="W175" s="231"/>
      <c r="X175" s="231"/>
      <c r="Y175" s="231"/>
      <c r="Z175" s="231"/>
      <c r="AA175" s="231"/>
      <c r="AB175" s="231"/>
      <c r="AC175" s="231"/>
      <c r="AD175" s="231"/>
      <c r="AE175" s="231"/>
      <c r="AF175" s="231"/>
      <c r="AG175" s="231"/>
      <c r="AH175" s="231"/>
      <c r="AI175" s="231"/>
      <c r="AJ175" s="231"/>
      <c r="AK175" s="231"/>
    </row>
    <row r="176" spans="1:37" s="203" customFormat="1">
      <c r="A176" s="819">
        <v>13</v>
      </c>
      <c r="B176" s="490" t="s">
        <v>147</v>
      </c>
      <c r="C176" s="490"/>
      <c r="D176" s="490"/>
      <c r="E176" s="492">
        <v>4113</v>
      </c>
      <c r="F176" s="52">
        <v>3639</v>
      </c>
      <c r="G176" s="572"/>
      <c r="H176" s="563">
        <v>3425</v>
      </c>
      <c r="I176" s="459"/>
      <c r="J176" s="231"/>
      <c r="K176" s="231"/>
      <c r="L176" s="231"/>
      <c r="M176" s="231"/>
      <c r="N176" s="231"/>
      <c r="O176" s="231"/>
      <c r="P176" s="231"/>
      <c r="Q176" s="231"/>
      <c r="R176" s="231"/>
      <c r="S176" s="231"/>
      <c r="T176" s="231"/>
      <c r="U176" s="231"/>
      <c r="V176" s="231"/>
      <c r="W176" s="231"/>
      <c r="X176" s="231"/>
      <c r="Y176" s="231"/>
      <c r="Z176" s="231"/>
      <c r="AA176" s="231"/>
      <c r="AB176" s="231"/>
      <c r="AC176" s="231"/>
      <c r="AD176" s="231"/>
      <c r="AE176" s="231"/>
      <c r="AF176" s="231"/>
      <c r="AG176" s="231"/>
      <c r="AH176" s="231"/>
      <c r="AI176" s="231"/>
      <c r="AJ176" s="231"/>
      <c r="AK176" s="231"/>
    </row>
    <row r="177" spans="1:37" s="203" customFormat="1">
      <c r="A177" s="819">
        <v>14</v>
      </c>
      <c r="B177" s="490" t="s">
        <v>148</v>
      </c>
      <c r="C177" s="490"/>
      <c r="D177" s="490"/>
      <c r="E177" s="498">
        <v>4121</v>
      </c>
      <c r="F177" s="52">
        <v>3919</v>
      </c>
      <c r="G177" s="572"/>
      <c r="H177" s="544">
        <v>4256</v>
      </c>
      <c r="I177" s="459"/>
      <c r="J177" s="231"/>
      <c r="K177" s="231"/>
      <c r="L177" s="231"/>
      <c r="M177" s="231"/>
      <c r="N177" s="231"/>
      <c r="O177" s="231"/>
      <c r="P177" s="231"/>
      <c r="Q177" s="231"/>
      <c r="R177" s="231"/>
      <c r="S177" s="231"/>
      <c r="T177" s="231"/>
      <c r="U177" s="231"/>
      <c r="V177" s="231"/>
      <c r="W177" s="231"/>
      <c r="X177" s="231"/>
      <c r="Y177" s="231"/>
      <c r="Z177" s="231"/>
      <c r="AA177" s="231"/>
      <c r="AB177" s="231"/>
      <c r="AC177" s="231"/>
      <c r="AD177" s="231"/>
      <c r="AE177" s="231"/>
      <c r="AF177" s="231"/>
      <c r="AG177" s="231"/>
      <c r="AH177" s="231"/>
      <c r="AI177" s="231"/>
      <c r="AJ177" s="231"/>
      <c r="AK177" s="231"/>
    </row>
    <row r="178" spans="1:37" s="203" customFormat="1">
      <c r="A178" s="819">
        <v>15</v>
      </c>
      <c r="B178" s="567" t="s">
        <v>149</v>
      </c>
      <c r="C178" s="567"/>
      <c r="D178" s="567"/>
      <c r="E178" s="522">
        <v>8380</v>
      </c>
      <c r="F178" s="590">
        <f>SUM(F175:F177)</f>
        <v>7716</v>
      </c>
      <c r="G178" s="572"/>
      <c r="H178" s="590">
        <f>SUM(H175:H177)</f>
        <v>7825</v>
      </c>
      <c r="I178" s="459"/>
      <c r="J178" s="231"/>
      <c r="K178" s="231"/>
      <c r="L178" s="231"/>
      <c r="M178" s="231"/>
      <c r="N178" s="231"/>
      <c r="O178" s="231"/>
      <c r="P178" s="231"/>
      <c r="Q178" s="231"/>
      <c r="R178" s="231"/>
      <c r="S178" s="231"/>
      <c r="T178" s="231"/>
      <c r="U178" s="231"/>
      <c r="V178" s="231"/>
      <c r="W178" s="231"/>
      <c r="X178" s="231"/>
      <c r="Y178" s="231"/>
      <c r="Z178" s="231"/>
      <c r="AA178" s="231"/>
      <c r="AB178" s="231"/>
      <c r="AC178" s="231"/>
      <c r="AD178" s="231"/>
      <c r="AE178" s="231"/>
      <c r="AF178" s="231"/>
      <c r="AG178" s="231"/>
      <c r="AH178" s="231"/>
      <c r="AI178" s="231"/>
      <c r="AJ178" s="231"/>
      <c r="AK178" s="231"/>
    </row>
    <row r="179" spans="1:37" s="203" customFormat="1">
      <c r="A179" s="819">
        <v>16</v>
      </c>
      <c r="B179" s="567" t="s">
        <v>150</v>
      </c>
      <c r="C179" s="567"/>
      <c r="D179" s="567"/>
      <c r="E179" s="522">
        <v>8380</v>
      </c>
      <c r="F179" s="606">
        <f>F172+F178</f>
        <v>7716</v>
      </c>
      <c r="G179" s="572"/>
      <c r="H179" s="606">
        <f>H172+H178</f>
        <v>7825</v>
      </c>
      <c r="I179" s="459"/>
      <c r="J179" s="231"/>
      <c r="K179" s="231"/>
      <c r="L179" s="231"/>
      <c r="M179" s="231"/>
      <c r="N179" s="231"/>
      <c r="O179" s="231"/>
      <c r="P179" s="231"/>
      <c r="Q179" s="231"/>
      <c r="R179" s="231"/>
      <c r="S179" s="231"/>
      <c r="T179" s="231"/>
      <c r="U179" s="231"/>
      <c r="V179" s="231"/>
      <c r="W179" s="231"/>
      <c r="X179" s="231"/>
      <c r="Y179" s="231"/>
      <c r="Z179" s="231"/>
      <c r="AA179" s="231"/>
      <c r="AB179" s="231"/>
      <c r="AC179" s="231"/>
      <c r="AD179" s="231"/>
      <c r="AE179" s="231"/>
      <c r="AF179" s="231"/>
      <c r="AG179" s="231"/>
      <c r="AH179" s="231"/>
      <c r="AI179" s="231"/>
      <c r="AJ179" s="231"/>
      <c r="AK179" s="231"/>
    </row>
    <row r="180" spans="1:37" s="203" customFormat="1">
      <c r="A180" s="819">
        <v>17</v>
      </c>
      <c r="B180" s="567" t="s">
        <v>151</v>
      </c>
      <c r="C180" s="567"/>
      <c r="D180" s="567"/>
      <c r="E180" s="607">
        <v>19457</v>
      </c>
      <c r="F180" s="503">
        <f>SUM(F163+F169+F171+F179)</f>
        <v>21139</v>
      </c>
      <c r="G180" s="572"/>
      <c r="H180" s="503">
        <f>SUM(H163+H169+H171+H179)</f>
        <v>18856</v>
      </c>
      <c r="I180" s="459"/>
      <c r="J180" s="231"/>
      <c r="K180" s="231"/>
      <c r="L180" s="231"/>
      <c r="M180" s="231"/>
      <c r="N180" s="231"/>
      <c r="O180" s="231"/>
      <c r="P180" s="231"/>
      <c r="Q180" s="231"/>
      <c r="R180" s="231"/>
      <c r="S180" s="231"/>
      <c r="T180" s="231"/>
      <c r="U180" s="231"/>
      <c r="V180" s="231"/>
      <c r="W180" s="231"/>
      <c r="X180" s="231"/>
      <c r="Y180" s="231"/>
      <c r="Z180" s="231"/>
      <c r="AA180" s="231"/>
      <c r="AB180" s="231"/>
      <c r="AC180" s="231"/>
      <c r="AD180" s="231"/>
      <c r="AE180" s="231"/>
      <c r="AF180" s="231"/>
      <c r="AG180" s="231"/>
      <c r="AH180" s="231"/>
      <c r="AI180" s="231"/>
      <c r="AJ180" s="231"/>
      <c r="AK180" s="231"/>
    </row>
    <row r="181" spans="1:37" s="203" customFormat="1">
      <c r="A181" s="489"/>
      <c r="B181" s="581"/>
      <c r="C181" s="581"/>
      <c r="D181" s="581"/>
      <c r="E181" s="604"/>
      <c r="F181" s="582"/>
      <c r="G181" s="582"/>
      <c r="H181" s="582"/>
      <c r="I181" s="459"/>
      <c r="J181" s="231"/>
      <c r="K181" s="231"/>
      <c r="L181" s="231"/>
      <c r="M181" s="231"/>
      <c r="N181" s="231"/>
      <c r="O181" s="231"/>
      <c r="P181" s="231"/>
      <c r="Q181" s="231"/>
      <c r="R181" s="231"/>
      <c r="S181" s="231"/>
      <c r="T181" s="231"/>
      <c r="U181" s="231"/>
      <c r="V181" s="231"/>
      <c r="W181" s="231"/>
      <c r="X181" s="231"/>
      <c r="Y181" s="231"/>
      <c r="Z181" s="231"/>
      <c r="AA181" s="231"/>
      <c r="AB181" s="231"/>
      <c r="AC181" s="231"/>
      <c r="AD181" s="231"/>
      <c r="AE181" s="231"/>
      <c r="AF181" s="231"/>
      <c r="AG181" s="231"/>
      <c r="AH181" s="231"/>
      <c r="AI181" s="231"/>
      <c r="AJ181" s="231"/>
      <c r="AK181" s="231"/>
    </row>
    <row r="182" spans="1:37" s="203" customFormat="1">
      <c r="A182" s="573" t="s">
        <v>152</v>
      </c>
      <c r="B182" s="490"/>
      <c r="C182" s="490"/>
      <c r="D182" s="567"/>
      <c r="E182" s="571"/>
      <c r="F182" s="572"/>
      <c r="G182" s="572"/>
      <c r="H182" s="572"/>
      <c r="I182" s="459"/>
      <c r="J182" s="231"/>
      <c r="K182" s="231"/>
      <c r="L182" s="231"/>
      <c r="M182" s="231"/>
      <c r="N182" s="231"/>
      <c r="O182" s="231"/>
      <c r="P182" s="231"/>
      <c r="Q182" s="231"/>
      <c r="R182" s="231"/>
      <c r="S182" s="231"/>
      <c r="T182" s="231"/>
      <c r="U182" s="231"/>
      <c r="V182" s="231"/>
      <c r="W182" s="231"/>
      <c r="X182" s="231"/>
      <c r="Y182" s="231"/>
      <c r="Z182" s="231"/>
      <c r="AA182" s="231"/>
      <c r="AB182" s="231"/>
      <c r="AC182" s="231"/>
      <c r="AD182" s="231"/>
      <c r="AE182" s="231"/>
      <c r="AF182" s="231"/>
      <c r="AG182" s="231"/>
      <c r="AH182" s="231"/>
      <c r="AI182" s="231"/>
      <c r="AJ182" s="231"/>
      <c r="AK182" s="231"/>
    </row>
    <row r="183" spans="1:37" s="203" customFormat="1">
      <c r="A183" s="819">
        <v>18</v>
      </c>
      <c r="B183" s="490" t="s">
        <v>153</v>
      </c>
      <c r="C183" s="490"/>
      <c r="D183" s="490"/>
      <c r="E183" s="484">
        <v>0</v>
      </c>
      <c r="F183" s="121">
        <v>0</v>
      </c>
      <c r="G183" s="572"/>
      <c r="H183" s="560">
        <v>0</v>
      </c>
      <c r="I183" s="459"/>
      <c r="J183" s="231"/>
      <c r="K183" s="231"/>
      <c r="L183" s="231"/>
      <c r="M183" s="231"/>
      <c r="N183" s="231"/>
      <c r="O183" s="231"/>
      <c r="P183" s="231"/>
      <c r="Q183" s="231"/>
      <c r="R183" s="231"/>
      <c r="S183" s="231"/>
      <c r="T183" s="231"/>
      <c r="U183" s="231"/>
      <c r="V183" s="231"/>
      <c r="W183" s="231"/>
      <c r="X183" s="231"/>
      <c r="Y183" s="231"/>
      <c r="Z183" s="231"/>
      <c r="AA183" s="231"/>
      <c r="AB183" s="231"/>
      <c r="AC183" s="231"/>
      <c r="AD183" s="231"/>
      <c r="AE183" s="231"/>
      <c r="AF183" s="231"/>
      <c r="AG183" s="231"/>
      <c r="AH183" s="231"/>
      <c r="AI183" s="231"/>
      <c r="AJ183" s="231"/>
      <c r="AK183" s="231"/>
    </row>
    <row r="184" spans="1:37" s="203" customFormat="1">
      <c r="A184" s="819">
        <v>19</v>
      </c>
      <c r="B184" s="490" t="s">
        <v>154</v>
      </c>
      <c r="C184" s="490"/>
      <c r="D184" s="490"/>
      <c r="E184" s="492">
        <v>3831</v>
      </c>
      <c r="F184" s="52">
        <v>3415</v>
      </c>
      <c r="G184" s="572"/>
      <c r="H184" s="563">
        <v>3196</v>
      </c>
      <c r="I184" s="459"/>
      <c r="J184" s="231"/>
      <c r="K184" s="231"/>
      <c r="L184" s="231"/>
      <c r="M184" s="231"/>
      <c r="N184" s="231"/>
      <c r="O184" s="231"/>
      <c r="P184" s="231"/>
      <c r="Q184" s="231"/>
      <c r="R184" s="231"/>
      <c r="S184" s="231"/>
      <c r="T184" s="231"/>
      <c r="U184" s="231"/>
      <c r="V184" s="231"/>
      <c r="W184" s="231"/>
      <c r="X184" s="231"/>
      <c r="Y184" s="231"/>
      <c r="Z184" s="231"/>
      <c r="AA184" s="231"/>
      <c r="AB184" s="231"/>
      <c r="AC184" s="231"/>
      <c r="AD184" s="231"/>
      <c r="AE184" s="231"/>
      <c r="AF184" s="231"/>
      <c r="AG184" s="231"/>
      <c r="AH184" s="231"/>
      <c r="AI184" s="231"/>
      <c r="AJ184" s="231"/>
      <c r="AK184" s="231"/>
    </row>
    <row r="185" spans="1:37" s="203" customFormat="1">
      <c r="A185" s="819">
        <v>20</v>
      </c>
      <c r="B185" s="490" t="s">
        <v>155</v>
      </c>
      <c r="C185" s="490"/>
      <c r="D185" s="490"/>
      <c r="E185" s="492">
        <v>0</v>
      </c>
      <c r="F185" s="52">
        <v>0</v>
      </c>
      <c r="G185" s="572"/>
      <c r="H185" s="563">
        <v>0</v>
      </c>
      <c r="I185" s="459"/>
      <c r="J185" s="231"/>
      <c r="K185" s="231"/>
      <c r="L185" s="231"/>
      <c r="M185" s="231"/>
      <c r="N185" s="231"/>
      <c r="O185" s="231"/>
      <c r="P185" s="231"/>
      <c r="Q185" s="231"/>
      <c r="R185" s="231"/>
      <c r="S185" s="231"/>
      <c r="T185" s="231"/>
      <c r="U185" s="231"/>
      <c r="V185" s="231"/>
      <c r="W185" s="231"/>
      <c r="X185" s="231"/>
      <c r="Y185" s="231"/>
      <c r="Z185" s="231"/>
      <c r="AA185" s="231"/>
      <c r="AB185" s="231"/>
      <c r="AC185" s="231"/>
      <c r="AD185" s="231"/>
      <c r="AE185" s="231"/>
      <c r="AF185" s="231"/>
      <c r="AG185" s="231"/>
      <c r="AH185" s="231"/>
      <c r="AI185" s="231"/>
      <c r="AJ185" s="231"/>
      <c r="AK185" s="231"/>
    </row>
    <row r="186" spans="1:37" s="203" customFormat="1">
      <c r="A186" s="819">
        <v>21</v>
      </c>
      <c r="B186" s="490" t="s">
        <v>156</v>
      </c>
      <c r="C186" s="490"/>
      <c r="D186" s="490"/>
      <c r="E186" s="492">
        <v>0</v>
      </c>
      <c r="F186" s="52">
        <v>0</v>
      </c>
      <c r="G186" s="572"/>
      <c r="H186" s="563">
        <v>0</v>
      </c>
      <c r="I186" s="459"/>
      <c r="J186" s="231"/>
      <c r="K186" s="231"/>
      <c r="L186" s="231"/>
      <c r="M186" s="231"/>
      <c r="N186" s="231"/>
      <c r="O186" s="231"/>
      <c r="P186" s="231"/>
      <c r="Q186" s="231"/>
      <c r="R186" s="231"/>
      <c r="S186" s="231"/>
      <c r="T186" s="231"/>
      <c r="U186" s="231"/>
      <c r="V186" s="231"/>
      <c r="W186" s="231"/>
      <c r="X186" s="231"/>
      <c r="Y186" s="231"/>
      <c r="Z186" s="231"/>
      <c r="AA186" s="231"/>
      <c r="AB186" s="231"/>
      <c r="AC186" s="231"/>
      <c r="AD186" s="231"/>
      <c r="AE186" s="231"/>
      <c r="AF186" s="231"/>
      <c r="AG186" s="231"/>
      <c r="AH186" s="231"/>
      <c r="AI186" s="231"/>
      <c r="AJ186" s="231"/>
      <c r="AK186" s="231"/>
    </row>
    <row r="187" spans="1:37" s="203" customFormat="1">
      <c r="A187" s="819">
        <v>22</v>
      </c>
      <c r="B187" s="490" t="s">
        <v>157</v>
      </c>
      <c r="C187" s="490"/>
      <c r="D187" s="490"/>
      <c r="E187" s="492">
        <v>0</v>
      </c>
      <c r="F187" s="52">
        <v>0</v>
      </c>
      <c r="G187" s="572"/>
      <c r="H187" s="563">
        <v>0</v>
      </c>
      <c r="I187" s="459"/>
      <c r="J187" s="231"/>
      <c r="K187" s="231"/>
      <c r="L187" s="231"/>
      <c r="M187" s="231"/>
      <c r="N187" s="231"/>
      <c r="O187" s="231"/>
      <c r="P187" s="231"/>
      <c r="Q187" s="231"/>
      <c r="R187" s="231"/>
      <c r="S187" s="231"/>
      <c r="T187" s="231"/>
      <c r="U187" s="231"/>
      <c r="V187" s="231"/>
      <c r="W187" s="231"/>
      <c r="X187" s="231"/>
      <c r="Y187" s="231"/>
      <c r="Z187" s="231"/>
      <c r="AA187" s="231"/>
      <c r="AB187" s="231"/>
      <c r="AC187" s="231"/>
      <c r="AD187" s="231"/>
      <c r="AE187" s="231"/>
      <c r="AF187" s="231"/>
      <c r="AG187" s="231"/>
      <c r="AH187" s="231"/>
      <c r="AI187" s="231"/>
      <c r="AJ187" s="231"/>
      <c r="AK187" s="231"/>
    </row>
    <row r="188" spans="1:37" s="203" customFormat="1">
      <c r="A188" s="819">
        <v>23</v>
      </c>
      <c r="B188" s="490" t="s">
        <v>158</v>
      </c>
      <c r="C188" s="490"/>
      <c r="D188" s="490"/>
      <c r="E188" s="492">
        <v>0</v>
      </c>
      <c r="F188" s="52">
        <v>0</v>
      </c>
      <c r="G188" s="572"/>
      <c r="H188" s="563">
        <v>0</v>
      </c>
      <c r="I188" s="459"/>
      <c r="J188" s="231"/>
      <c r="K188" s="231"/>
      <c r="L188" s="231"/>
      <c r="M188" s="231"/>
      <c r="N188" s="231"/>
      <c r="O188" s="231"/>
      <c r="P188" s="231"/>
      <c r="Q188" s="231"/>
      <c r="R188" s="231"/>
      <c r="S188" s="231"/>
      <c r="T188" s="231"/>
      <c r="U188" s="231"/>
      <c r="V188" s="231"/>
      <c r="W188" s="231"/>
      <c r="X188" s="231"/>
      <c r="Y188" s="231"/>
      <c r="Z188" s="231"/>
      <c r="AA188" s="231"/>
      <c r="AB188" s="231"/>
      <c r="AC188" s="231"/>
      <c r="AD188" s="231"/>
      <c r="AE188" s="231"/>
      <c r="AF188" s="231"/>
      <c r="AG188" s="231"/>
      <c r="AH188" s="231"/>
      <c r="AI188" s="231"/>
      <c r="AJ188" s="231"/>
      <c r="AK188" s="231"/>
    </row>
    <row r="189" spans="1:37" s="203" customFormat="1">
      <c r="A189" s="819">
        <v>24</v>
      </c>
      <c r="B189" s="490" t="s">
        <v>159</v>
      </c>
      <c r="C189" s="490"/>
      <c r="D189" s="490"/>
      <c r="E189" s="492">
        <v>0</v>
      </c>
      <c r="F189" s="52">
        <v>0</v>
      </c>
      <c r="G189" s="572"/>
      <c r="H189" s="563">
        <v>0</v>
      </c>
      <c r="I189" s="459"/>
      <c r="J189" s="231"/>
      <c r="K189" s="231"/>
      <c r="L189" s="231"/>
      <c r="M189" s="231"/>
      <c r="N189" s="231"/>
      <c r="O189" s="231"/>
      <c r="P189" s="231"/>
      <c r="Q189" s="231"/>
      <c r="R189" s="231"/>
      <c r="S189" s="231"/>
      <c r="T189" s="231"/>
      <c r="U189" s="231"/>
      <c r="V189" s="231"/>
      <c r="W189" s="231"/>
      <c r="X189" s="231"/>
      <c r="Y189" s="231"/>
      <c r="Z189" s="231"/>
      <c r="AA189" s="231"/>
      <c r="AB189" s="231"/>
      <c r="AC189" s="231"/>
      <c r="AD189" s="231"/>
      <c r="AE189" s="231"/>
      <c r="AF189" s="231"/>
      <c r="AG189" s="231"/>
      <c r="AH189" s="231"/>
      <c r="AI189" s="231"/>
      <c r="AJ189" s="231"/>
      <c r="AK189" s="231"/>
    </row>
    <row r="190" spans="1:37" s="203" customFormat="1">
      <c r="A190" s="820">
        <v>25</v>
      </c>
      <c r="B190" s="496" t="s">
        <v>160</v>
      </c>
      <c r="C190" s="496"/>
      <c r="D190" s="496"/>
      <c r="E190" s="498">
        <v>0</v>
      </c>
      <c r="F190" s="126">
        <v>0</v>
      </c>
      <c r="G190" s="572"/>
      <c r="H190" s="544">
        <v>0</v>
      </c>
      <c r="I190" s="465"/>
      <c r="J190" s="231"/>
      <c r="K190" s="231"/>
      <c r="L190" s="231"/>
      <c r="M190" s="231"/>
      <c r="N190" s="231"/>
      <c r="O190" s="231"/>
      <c r="P190" s="231"/>
      <c r="Q190" s="231"/>
      <c r="R190" s="231"/>
      <c r="S190" s="231"/>
      <c r="T190" s="231"/>
      <c r="U190" s="231"/>
      <c r="V190" s="231"/>
      <c r="W190" s="231"/>
      <c r="X190" s="231"/>
      <c r="Y190" s="231"/>
      <c r="Z190" s="231"/>
      <c r="AA190" s="231"/>
      <c r="AB190" s="231"/>
      <c r="AC190" s="231"/>
      <c r="AD190" s="231"/>
      <c r="AE190" s="231"/>
      <c r="AF190" s="231"/>
      <c r="AG190" s="231"/>
      <c r="AH190" s="231"/>
      <c r="AI190" s="231"/>
      <c r="AJ190" s="231"/>
      <c r="AK190" s="231"/>
    </row>
    <row r="191" spans="1:37" s="203" customFormat="1">
      <c r="A191" s="608"/>
      <c r="B191" s="578"/>
      <c r="C191" s="578"/>
      <c r="D191" s="597"/>
      <c r="E191" s="609"/>
      <c r="F191" s="459"/>
      <c r="G191" s="459"/>
      <c r="H191" s="457"/>
      <c r="I191" s="459"/>
      <c r="J191" s="231"/>
      <c r="K191" s="231"/>
      <c r="L191" s="231"/>
      <c r="M191" s="231"/>
      <c r="N191" s="231"/>
      <c r="O191" s="231"/>
      <c r="P191" s="231"/>
      <c r="Q191" s="231"/>
      <c r="R191" s="231"/>
      <c r="S191" s="231"/>
      <c r="T191" s="231"/>
      <c r="U191" s="231"/>
      <c r="V191" s="231"/>
      <c r="W191" s="231"/>
      <c r="X191" s="231"/>
      <c r="Y191" s="231"/>
      <c r="Z191" s="231"/>
      <c r="AA191" s="231"/>
      <c r="AB191" s="231"/>
      <c r="AC191" s="231"/>
      <c r="AD191" s="231"/>
      <c r="AE191" s="231"/>
      <c r="AF191" s="231"/>
      <c r="AG191" s="231"/>
      <c r="AH191" s="231"/>
      <c r="AI191" s="231"/>
      <c r="AJ191" s="231"/>
      <c r="AK191" s="231"/>
    </row>
    <row r="192" spans="1:37" s="203" customFormat="1">
      <c r="A192" s="608"/>
      <c r="B192" s="578"/>
      <c r="C192" s="578"/>
      <c r="D192" s="599"/>
      <c r="E192" s="610"/>
      <c r="F192" s="459"/>
      <c r="G192" s="459"/>
      <c r="H192" s="550" t="s">
        <v>27</v>
      </c>
      <c r="I192" s="459"/>
      <c r="J192" s="231"/>
      <c r="K192" s="231"/>
      <c r="L192" s="231"/>
      <c r="M192" s="231"/>
      <c r="N192" s="231"/>
      <c r="O192" s="231"/>
      <c r="P192" s="231"/>
      <c r="Q192" s="231"/>
      <c r="R192" s="231"/>
      <c r="S192" s="231"/>
      <c r="T192" s="231"/>
      <c r="U192" s="231"/>
      <c r="V192" s="231"/>
      <c r="W192" s="231"/>
      <c r="X192" s="231"/>
      <c r="Y192" s="231"/>
      <c r="Z192" s="231"/>
      <c r="AA192" s="231"/>
      <c r="AB192" s="231"/>
      <c r="AC192" s="231"/>
      <c r="AD192" s="231"/>
      <c r="AE192" s="231"/>
      <c r="AF192" s="231"/>
      <c r="AG192" s="231"/>
      <c r="AH192" s="231"/>
      <c r="AI192" s="231"/>
      <c r="AJ192" s="231"/>
      <c r="AK192" s="231"/>
    </row>
    <row r="193" spans="1:37" s="203" customFormat="1" ht="12.75" customHeight="1">
      <c r="A193" s="552" t="s">
        <v>23</v>
      </c>
      <c r="B193" s="611"/>
      <c r="C193" s="611"/>
      <c r="D193" s="611"/>
      <c r="E193" s="910" t="s">
        <v>377</v>
      </c>
      <c r="F193" s="910" t="s">
        <v>402</v>
      </c>
      <c r="G193" s="579"/>
      <c r="H193" s="910" t="s">
        <v>403</v>
      </c>
      <c r="I193" s="579"/>
      <c r="J193" s="231"/>
      <c r="K193" s="231"/>
      <c r="L193" s="231"/>
      <c r="M193" s="231"/>
      <c r="N193" s="231"/>
      <c r="O193" s="231"/>
      <c r="P193" s="231"/>
      <c r="Q193" s="231"/>
      <c r="R193" s="231"/>
      <c r="S193" s="231"/>
      <c r="T193" s="231"/>
      <c r="U193" s="231"/>
      <c r="V193" s="231"/>
      <c r="W193" s="231"/>
      <c r="X193" s="231"/>
      <c r="Y193" s="231"/>
      <c r="Z193" s="231"/>
      <c r="AA193" s="231"/>
      <c r="AB193" s="231"/>
      <c r="AC193" s="231"/>
      <c r="AD193" s="231"/>
      <c r="AE193" s="231"/>
      <c r="AF193" s="231"/>
      <c r="AG193" s="231"/>
      <c r="AH193" s="231"/>
      <c r="AI193" s="231"/>
      <c r="AJ193" s="231"/>
      <c r="AK193" s="231"/>
    </row>
    <row r="194" spans="1:37" s="203" customFormat="1" ht="23.25" customHeight="1">
      <c r="A194" s="612"/>
      <c r="B194" s="581"/>
      <c r="C194" s="581"/>
      <c r="D194" s="581"/>
      <c r="E194" s="911"/>
      <c r="F194" s="911"/>
      <c r="G194" s="579"/>
      <c r="H194" s="911"/>
      <c r="I194" s="579"/>
      <c r="J194" s="231"/>
      <c r="K194" s="231"/>
      <c r="L194" s="231"/>
      <c r="M194" s="231"/>
      <c r="N194" s="231"/>
      <c r="O194" s="231"/>
      <c r="P194" s="231"/>
      <c r="Q194" s="231"/>
      <c r="R194" s="231"/>
      <c r="S194" s="231"/>
      <c r="T194" s="231"/>
      <c r="U194" s="231"/>
      <c r="V194" s="231"/>
      <c r="W194" s="231"/>
      <c r="X194" s="231"/>
      <c r="Y194" s="231"/>
      <c r="Z194" s="231"/>
      <c r="AA194" s="231"/>
      <c r="AB194" s="231"/>
      <c r="AC194" s="231"/>
      <c r="AD194" s="231"/>
      <c r="AE194" s="231"/>
      <c r="AF194" s="231"/>
      <c r="AG194" s="231"/>
      <c r="AH194" s="231"/>
      <c r="AI194" s="231"/>
      <c r="AJ194" s="231"/>
      <c r="AK194" s="231"/>
    </row>
    <row r="195" spans="1:37" s="203" customFormat="1">
      <c r="A195" s="602" t="s">
        <v>161</v>
      </c>
      <c r="B195" s="567"/>
      <c r="C195" s="567"/>
      <c r="D195" s="567"/>
      <c r="E195" s="911"/>
      <c r="F195" s="911"/>
      <c r="G195" s="579"/>
      <c r="H195" s="911"/>
      <c r="I195" s="579"/>
      <c r="J195" s="231"/>
      <c r="K195" s="231"/>
      <c r="L195" s="231"/>
      <c r="M195" s="231"/>
      <c r="N195" s="231"/>
      <c r="O195" s="231"/>
      <c r="P195" s="231"/>
      <c r="Q195" s="231"/>
      <c r="R195" s="231"/>
      <c r="S195" s="231"/>
      <c r="T195" s="231"/>
      <c r="U195" s="231"/>
      <c r="V195" s="231"/>
      <c r="W195" s="231"/>
      <c r="X195" s="231"/>
      <c r="Y195" s="231"/>
      <c r="Z195" s="231"/>
      <c r="AA195" s="231"/>
      <c r="AB195" s="231"/>
      <c r="AC195" s="231"/>
      <c r="AD195" s="231"/>
      <c r="AE195" s="231"/>
      <c r="AF195" s="231"/>
      <c r="AG195" s="231"/>
      <c r="AH195" s="231"/>
      <c r="AI195" s="231"/>
      <c r="AJ195" s="231"/>
      <c r="AK195" s="231"/>
    </row>
    <row r="196" spans="1:37" s="203" customFormat="1">
      <c r="A196" s="555" t="s">
        <v>83</v>
      </c>
      <c r="B196" s="490"/>
      <c r="C196" s="490"/>
      <c r="D196" s="490"/>
      <c r="E196" s="911"/>
      <c r="F196" s="911"/>
      <c r="G196" s="579"/>
      <c r="H196" s="911"/>
      <c r="I196" s="579"/>
      <c r="J196" s="231"/>
      <c r="K196" s="231"/>
      <c r="L196" s="231"/>
      <c r="M196" s="231"/>
      <c r="N196" s="231"/>
      <c r="O196" s="231"/>
      <c r="P196" s="231"/>
      <c r="Q196" s="231"/>
      <c r="R196" s="231"/>
      <c r="S196" s="231"/>
      <c r="T196" s="231"/>
      <c r="U196" s="231"/>
      <c r="V196" s="231"/>
      <c r="W196" s="231"/>
      <c r="X196" s="231"/>
      <c r="Y196" s="231"/>
      <c r="Z196" s="231"/>
      <c r="AA196" s="231"/>
      <c r="AB196" s="231"/>
      <c r="AC196" s="231"/>
      <c r="AD196" s="231"/>
      <c r="AE196" s="231"/>
      <c r="AF196" s="231"/>
      <c r="AG196" s="231"/>
      <c r="AH196" s="231"/>
      <c r="AI196" s="231"/>
      <c r="AJ196" s="231"/>
      <c r="AK196" s="231"/>
    </row>
    <row r="197" spans="1:37" s="203" customFormat="1">
      <c r="A197" s="556" t="s">
        <v>84</v>
      </c>
      <c r="B197" s="581"/>
      <c r="C197" s="581"/>
      <c r="D197" s="581"/>
      <c r="E197" s="912"/>
      <c r="F197" s="912"/>
      <c r="G197" s="579"/>
      <c r="H197" s="912"/>
      <c r="I197" s="579"/>
      <c r="J197" s="231"/>
      <c r="K197" s="231"/>
      <c r="L197" s="231"/>
      <c r="M197" s="231"/>
      <c r="N197" s="231"/>
      <c r="O197" s="231"/>
      <c r="P197" s="231"/>
      <c r="Q197" s="231"/>
      <c r="R197" s="231"/>
      <c r="S197" s="231"/>
      <c r="T197" s="231"/>
      <c r="U197" s="231"/>
      <c r="V197" s="231"/>
      <c r="W197" s="231"/>
      <c r="X197" s="231"/>
      <c r="Y197" s="231"/>
      <c r="Z197" s="231"/>
      <c r="AA197" s="231"/>
      <c r="AB197" s="231"/>
      <c r="AC197" s="231"/>
      <c r="AD197" s="231"/>
      <c r="AE197" s="231"/>
      <c r="AF197" s="231"/>
      <c r="AG197" s="231"/>
      <c r="AH197" s="231"/>
      <c r="AI197" s="231"/>
      <c r="AJ197" s="231"/>
      <c r="AK197" s="231"/>
    </row>
    <row r="198" spans="1:37" s="203" customFormat="1">
      <c r="A198" s="601" t="s">
        <v>162</v>
      </c>
      <c r="B198" s="613"/>
      <c r="C198" s="613"/>
      <c r="D198" s="613"/>
      <c r="E198" s="614"/>
      <c r="F198" s="534"/>
      <c r="G198" s="572"/>
      <c r="H198" s="534"/>
      <c r="I198" s="459"/>
      <c r="J198" s="231"/>
      <c r="K198" s="231"/>
      <c r="L198" s="231"/>
      <c r="M198" s="231"/>
      <c r="N198" s="231"/>
      <c r="O198" s="231"/>
      <c r="P198" s="231"/>
      <c r="Q198" s="231"/>
      <c r="R198" s="231"/>
      <c r="S198" s="231"/>
      <c r="T198" s="231"/>
      <c r="U198" s="231"/>
      <c r="V198" s="231"/>
      <c r="W198" s="231"/>
      <c r="X198" s="231"/>
      <c r="Y198" s="231"/>
      <c r="Z198" s="231"/>
      <c r="AA198" s="231"/>
      <c r="AB198" s="231"/>
      <c r="AC198" s="231"/>
      <c r="AD198" s="231"/>
      <c r="AE198" s="231"/>
      <c r="AF198" s="231"/>
      <c r="AG198" s="231"/>
      <c r="AH198" s="231"/>
      <c r="AI198" s="231"/>
      <c r="AJ198" s="231"/>
      <c r="AK198" s="231"/>
    </row>
    <row r="199" spans="1:37" s="203" customFormat="1">
      <c r="A199" s="819">
        <v>1</v>
      </c>
      <c r="B199" s="490" t="s">
        <v>163</v>
      </c>
      <c r="C199" s="490"/>
      <c r="D199" s="490"/>
      <c r="E199" s="516">
        <v>520</v>
      </c>
      <c r="F199" s="52">
        <v>549</v>
      </c>
      <c r="G199" s="572"/>
      <c r="H199" s="563">
        <v>549</v>
      </c>
      <c r="I199" s="459"/>
      <c r="J199" s="231"/>
      <c r="K199" s="231"/>
      <c r="L199" s="231"/>
      <c r="M199" s="231"/>
      <c r="N199" s="231"/>
      <c r="O199" s="231"/>
      <c r="P199" s="231"/>
      <c r="Q199" s="231"/>
      <c r="R199" s="231"/>
      <c r="S199" s="231"/>
      <c r="T199" s="231"/>
      <c r="U199" s="231"/>
      <c r="V199" s="231"/>
      <c r="W199" s="231"/>
      <c r="X199" s="231"/>
      <c r="Y199" s="231"/>
      <c r="Z199" s="231"/>
      <c r="AA199" s="231"/>
      <c r="AB199" s="231"/>
      <c r="AC199" s="231"/>
      <c r="AD199" s="231"/>
      <c r="AE199" s="231"/>
      <c r="AF199" s="231"/>
      <c r="AG199" s="231"/>
      <c r="AH199" s="231"/>
      <c r="AI199" s="231"/>
      <c r="AJ199" s="231"/>
      <c r="AK199" s="231"/>
    </row>
    <row r="200" spans="1:37" s="203" customFormat="1">
      <c r="A200" s="819">
        <v>2</v>
      </c>
      <c r="B200" s="490" t="s">
        <v>164</v>
      </c>
      <c r="C200" s="490"/>
      <c r="D200" s="490"/>
      <c r="E200" s="498">
        <v>1148</v>
      </c>
      <c r="F200" s="52">
        <v>954</v>
      </c>
      <c r="G200" s="572"/>
      <c r="H200" s="544">
        <v>1051</v>
      </c>
      <c r="I200" s="459"/>
      <c r="J200" s="231"/>
      <c r="K200" s="231"/>
      <c r="L200" s="231"/>
      <c r="M200" s="231"/>
      <c r="N200" s="231"/>
      <c r="O200" s="231"/>
      <c r="P200" s="231"/>
      <c r="Q200" s="231"/>
      <c r="R200" s="231"/>
      <c r="S200" s="231"/>
      <c r="T200" s="231"/>
      <c r="U200" s="231"/>
      <c r="V200" s="231"/>
      <c r="W200" s="231"/>
      <c r="X200" s="231"/>
      <c r="Y200" s="231"/>
      <c r="Z200" s="231"/>
      <c r="AA200" s="231"/>
      <c r="AB200" s="231"/>
      <c r="AC200" s="231"/>
      <c r="AD200" s="231"/>
      <c r="AE200" s="231"/>
      <c r="AF200" s="231"/>
      <c r="AG200" s="231"/>
      <c r="AH200" s="231"/>
      <c r="AI200" s="231"/>
      <c r="AJ200" s="231"/>
      <c r="AK200" s="231"/>
    </row>
    <row r="201" spans="1:37" s="203" customFormat="1">
      <c r="A201" s="819">
        <v>3</v>
      </c>
      <c r="B201" s="567" t="s">
        <v>165</v>
      </c>
      <c r="C201" s="567"/>
      <c r="D201" s="567"/>
      <c r="E201" s="522">
        <v>1668</v>
      </c>
      <c r="F201" s="590">
        <f>SUM(F199:F200)</f>
        <v>1503</v>
      </c>
      <c r="G201" s="572"/>
      <c r="H201" s="590">
        <f>SUM(H199:H200)</f>
        <v>1600</v>
      </c>
      <c r="I201" s="459"/>
      <c r="J201" s="231"/>
      <c r="K201" s="231"/>
      <c r="L201" s="231"/>
      <c r="M201" s="231"/>
      <c r="N201" s="231"/>
      <c r="O201" s="231"/>
      <c r="P201" s="231"/>
      <c r="Q201" s="231"/>
      <c r="R201" s="231"/>
      <c r="S201" s="231"/>
      <c r="T201" s="231"/>
      <c r="U201" s="231"/>
      <c r="V201" s="231"/>
      <c r="W201" s="231"/>
      <c r="X201" s="231"/>
      <c r="Y201" s="231"/>
      <c r="Z201" s="231"/>
      <c r="AA201" s="231"/>
      <c r="AB201" s="231"/>
      <c r="AC201" s="231"/>
      <c r="AD201" s="231"/>
      <c r="AE201" s="231"/>
      <c r="AF201" s="231"/>
      <c r="AG201" s="231"/>
      <c r="AH201" s="231"/>
      <c r="AI201" s="231"/>
      <c r="AJ201" s="231"/>
      <c r="AK201" s="231"/>
    </row>
    <row r="202" spans="1:37" s="203" customFormat="1">
      <c r="A202" s="489"/>
      <c r="B202" s="581"/>
      <c r="C202" s="581"/>
      <c r="D202" s="581"/>
      <c r="E202" s="604"/>
      <c r="F202" s="582"/>
      <c r="G202" s="582"/>
      <c r="H202" s="582"/>
      <c r="I202" s="459"/>
      <c r="J202" s="231"/>
      <c r="K202" s="231"/>
      <c r="L202" s="231"/>
      <c r="M202" s="231"/>
      <c r="N202" s="231"/>
      <c r="O202" s="231"/>
      <c r="P202" s="231"/>
      <c r="Q202" s="231"/>
      <c r="R202" s="231"/>
      <c r="S202" s="231"/>
      <c r="T202" s="231"/>
      <c r="U202" s="231"/>
      <c r="V202" s="231"/>
      <c r="W202" s="231"/>
      <c r="X202" s="231"/>
      <c r="Y202" s="231"/>
      <c r="Z202" s="231"/>
      <c r="AA202" s="231"/>
      <c r="AB202" s="231"/>
      <c r="AC202" s="231"/>
      <c r="AD202" s="231"/>
      <c r="AE202" s="231"/>
      <c r="AF202" s="231"/>
      <c r="AG202" s="231"/>
      <c r="AH202" s="231"/>
      <c r="AI202" s="231"/>
      <c r="AJ202" s="231"/>
      <c r="AK202" s="231"/>
    </row>
    <row r="203" spans="1:37" s="203" customFormat="1">
      <c r="A203" s="601" t="s">
        <v>166</v>
      </c>
      <c r="B203" s="567"/>
      <c r="C203" s="567"/>
      <c r="D203" s="567"/>
      <c r="E203" s="588"/>
      <c r="F203" s="534"/>
      <c r="G203" s="572"/>
      <c r="H203" s="534"/>
      <c r="I203" s="459"/>
      <c r="J203" s="231"/>
      <c r="K203" s="231"/>
      <c r="L203" s="231"/>
      <c r="M203" s="231"/>
      <c r="N203" s="231"/>
      <c r="O203" s="231"/>
      <c r="P203" s="231"/>
      <c r="Q203" s="231"/>
      <c r="R203" s="231"/>
      <c r="S203" s="231"/>
      <c r="T203" s="231"/>
      <c r="U203" s="231"/>
      <c r="V203" s="231"/>
      <c r="W203" s="231"/>
      <c r="X203" s="231"/>
      <c r="Y203" s="231"/>
      <c r="Z203" s="231"/>
      <c r="AA203" s="231"/>
      <c r="AB203" s="231"/>
      <c r="AC203" s="231"/>
      <c r="AD203" s="231"/>
      <c r="AE203" s="231"/>
      <c r="AF203" s="231"/>
      <c r="AG203" s="231"/>
      <c r="AH203" s="231"/>
      <c r="AI203" s="231"/>
      <c r="AJ203" s="231"/>
      <c r="AK203" s="231"/>
    </row>
    <row r="204" spans="1:37" s="203" customFormat="1">
      <c r="A204" s="819">
        <v>4</v>
      </c>
      <c r="B204" s="490" t="s">
        <v>167</v>
      </c>
      <c r="C204" s="490"/>
      <c r="D204" s="490"/>
      <c r="E204" s="516">
        <v>7012</v>
      </c>
      <c r="F204" s="52">
        <v>7780</v>
      </c>
      <c r="G204" s="572"/>
      <c r="H204" s="563">
        <v>7615</v>
      </c>
      <c r="I204" s="459"/>
      <c r="J204" s="231"/>
      <c r="K204" s="231"/>
      <c r="L204" s="231"/>
      <c r="M204" s="231"/>
      <c r="N204" s="231"/>
      <c r="O204" s="231"/>
      <c r="P204" s="231"/>
      <c r="Q204" s="231"/>
      <c r="R204" s="231"/>
      <c r="S204" s="231"/>
      <c r="T204" s="231"/>
      <c r="U204" s="231"/>
      <c r="V204" s="231"/>
      <c r="W204" s="231"/>
      <c r="X204" s="231"/>
      <c r="Y204" s="231"/>
      <c r="Z204" s="231"/>
      <c r="AA204" s="231"/>
      <c r="AB204" s="231"/>
      <c r="AC204" s="231"/>
      <c r="AD204" s="231"/>
      <c r="AE204" s="231"/>
      <c r="AF204" s="231"/>
      <c r="AG204" s="231"/>
      <c r="AH204" s="231"/>
      <c r="AI204" s="231"/>
      <c r="AJ204" s="231"/>
      <c r="AK204" s="231"/>
    </row>
    <row r="205" spans="1:37" s="203" customFormat="1">
      <c r="A205" s="819">
        <v>5</v>
      </c>
      <c r="B205" s="490" t="s">
        <v>168</v>
      </c>
      <c r="C205" s="490"/>
      <c r="D205" s="490"/>
      <c r="E205" s="492">
        <v>16137</v>
      </c>
      <c r="F205" s="52">
        <v>15625</v>
      </c>
      <c r="G205" s="572"/>
      <c r="H205" s="563">
        <v>15969</v>
      </c>
      <c r="I205" s="459"/>
      <c r="J205" s="231"/>
      <c r="K205" s="231"/>
      <c r="L205" s="231"/>
      <c r="M205" s="231"/>
      <c r="N205" s="231"/>
      <c r="O205" s="231"/>
      <c r="P205" s="231"/>
      <c r="Q205" s="231"/>
      <c r="R205" s="231"/>
      <c r="S205" s="231"/>
      <c r="T205" s="231"/>
      <c r="U205" s="231"/>
      <c r="V205" s="231"/>
      <c r="W205" s="231"/>
      <c r="X205" s="231"/>
      <c r="Y205" s="231"/>
      <c r="Z205" s="231"/>
      <c r="AA205" s="231"/>
      <c r="AB205" s="231"/>
      <c r="AC205" s="231"/>
      <c r="AD205" s="231"/>
      <c r="AE205" s="231"/>
      <c r="AF205" s="231"/>
      <c r="AG205" s="231"/>
      <c r="AH205" s="231"/>
      <c r="AI205" s="231"/>
      <c r="AJ205" s="231"/>
      <c r="AK205" s="231"/>
    </row>
    <row r="206" spans="1:37" s="203" customFormat="1">
      <c r="A206" s="819">
        <v>6</v>
      </c>
      <c r="B206" s="490" t="s">
        <v>169</v>
      </c>
      <c r="C206" s="490"/>
      <c r="D206" s="490"/>
      <c r="E206" s="492">
        <v>2845</v>
      </c>
      <c r="F206" s="52">
        <v>2819</v>
      </c>
      <c r="G206" s="572"/>
      <c r="H206" s="544">
        <v>2994</v>
      </c>
      <c r="I206" s="459"/>
      <c r="J206" s="231"/>
      <c r="K206" s="231"/>
      <c r="L206" s="231"/>
      <c r="M206" s="231"/>
      <c r="N206" s="231"/>
      <c r="O206" s="231"/>
      <c r="P206" s="231"/>
      <c r="Q206" s="231"/>
      <c r="R206" s="231"/>
      <c r="S206" s="231"/>
      <c r="T206" s="231"/>
      <c r="U206" s="231"/>
      <c r="V206" s="231"/>
      <c r="W206" s="231"/>
      <c r="X206" s="231"/>
      <c r="Y206" s="231"/>
      <c r="Z206" s="231"/>
      <c r="AA206" s="231"/>
      <c r="AB206" s="231"/>
      <c r="AC206" s="231"/>
      <c r="AD206" s="231"/>
      <c r="AE206" s="231"/>
      <c r="AF206" s="231"/>
      <c r="AG206" s="231"/>
      <c r="AH206" s="231"/>
      <c r="AI206" s="231"/>
      <c r="AJ206" s="231"/>
      <c r="AK206" s="231"/>
    </row>
    <row r="207" spans="1:37" s="203" customFormat="1">
      <c r="A207" s="819">
        <v>7</v>
      </c>
      <c r="B207" s="567" t="s">
        <v>170</v>
      </c>
      <c r="C207" s="567"/>
      <c r="D207" s="567"/>
      <c r="E207" s="522">
        <v>25994</v>
      </c>
      <c r="F207" s="590">
        <f>SUM(F204:F206)</f>
        <v>26224</v>
      </c>
      <c r="G207" s="572"/>
      <c r="H207" s="590">
        <f>SUM(H204:H206)</f>
        <v>26578</v>
      </c>
      <c r="I207" s="459"/>
      <c r="J207" s="231"/>
      <c r="K207" s="231"/>
      <c r="L207" s="231"/>
      <c r="M207" s="231"/>
      <c r="N207" s="231"/>
      <c r="O207" s="231"/>
      <c r="P207" s="231"/>
      <c r="Q207" s="231"/>
      <c r="R207" s="231"/>
      <c r="S207" s="231"/>
      <c r="T207" s="231"/>
      <c r="U207" s="231"/>
      <c r="V207" s="231"/>
      <c r="W207" s="231"/>
      <c r="X207" s="231"/>
      <c r="Y207" s="231"/>
      <c r="Z207" s="231"/>
      <c r="AA207" s="231"/>
      <c r="AB207" s="231"/>
      <c r="AC207" s="231"/>
      <c r="AD207" s="231"/>
      <c r="AE207" s="231"/>
      <c r="AF207" s="231"/>
      <c r="AG207" s="231"/>
      <c r="AH207" s="231"/>
      <c r="AI207" s="231"/>
      <c r="AJ207" s="231"/>
      <c r="AK207" s="231"/>
    </row>
    <row r="208" spans="1:37" s="203" customFormat="1">
      <c r="A208" s="489"/>
      <c r="B208" s="581"/>
      <c r="C208" s="581"/>
      <c r="D208" s="581"/>
      <c r="E208" s="604"/>
      <c r="F208" s="582"/>
      <c r="G208" s="582"/>
      <c r="H208" s="582"/>
      <c r="I208" s="459"/>
      <c r="J208" s="231"/>
      <c r="K208" s="231"/>
      <c r="L208" s="231"/>
      <c r="M208" s="231"/>
      <c r="N208" s="231"/>
      <c r="O208" s="231"/>
      <c r="P208" s="231"/>
      <c r="Q208" s="231"/>
      <c r="R208" s="231"/>
      <c r="S208" s="231"/>
      <c r="T208" s="231"/>
      <c r="U208" s="231"/>
      <c r="V208" s="231"/>
      <c r="W208" s="231"/>
      <c r="X208" s="231"/>
      <c r="Y208" s="231"/>
      <c r="Z208" s="231"/>
      <c r="AA208" s="231"/>
      <c r="AB208" s="231"/>
      <c r="AC208" s="231"/>
      <c r="AD208" s="231"/>
      <c r="AE208" s="231"/>
      <c r="AF208" s="231"/>
      <c r="AG208" s="231"/>
      <c r="AH208" s="231"/>
      <c r="AI208" s="231"/>
      <c r="AJ208" s="231"/>
      <c r="AK208" s="231"/>
    </row>
    <row r="209" spans="1:37" s="203" customFormat="1">
      <c r="A209" s="601" t="s">
        <v>121</v>
      </c>
      <c r="B209" s="615"/>
      <c r="C209" s="615"/>
      <c r="D209" s="615"/>
      <c r="E209" s="588"/>
      <c r="F209" s="534"/>
      <c r="G209" s="572"/>
      <c r="H209" s="534"/>
      <c r="I209" s="459"/>
      <c r="J209" s="231"/>
      <c r="K209" s="231"/>
      <c r="L209" s="231"/>
      <c r="M209" s="231"/>
      <c r="N209" s="231"/>
      <c r="O209" s="231"/>
      <c r="P209" s="231"/>
      <c r="Q209" s="231"/>
      <c r="R209" s="231"/>
      <c r="S209" s="231"/>
      <c r="T209" s="231"/>
      <c r="U209" s="231"/>
      <c r="V209" s="231"/>
      <c r="W209" s="231"/>
      <c r="X209" s="231"/>
      <c r="Y209" s="231"/>
      <c r="Z209" s="231"/>
      <c r="AA209" s="231"/>
      <c r="AB209" s="231"/>
      <c r="AC209" s="231"/>
      <c r="AD209" s="231"/>
      <c r="AE209" s="231"/>
      <c r="AF209" s="231"/>
      <c r="AG209" s="231"/>
      <c r="AH209" s="231"/>
      <c r="AI209" s="231"/>
      <c r="AJ209" s="231"/>
      <c r="AK209" s="231"/>
    </row>
    <row r="210" spans="1:37" s="203" customFormat="1">
      <c r="A210" s="819">
        <v>8</v>
      </c>
      <c r="B210" s="490" t="s">
        <v>171</v>
      </c>
      <c r="C210" s="490"/>
      <c r="D210" s="490"/>
      <c r="E210" s="516">
        <v>421</v>
      </c>
      <c r="F210" s="52">
        <v>518</v>
      </c>
      <c r="G210" s="572"/>
      <c r="H210" s="563">
        <v>281</v>
      </c>
      <c r="I210" s="459"/>
      <c r="J210" s="231"/>
      <c r="K210" s="231"/>
      <c r="L210" s="231"/>
      <c r="M210" s="231"/>
      <c r="N210" s="231"/>
      <c r="O210" s="231"/>
      <c r="P210" s="231"/>
      <c r="Q210" s="231"/>
      <c r="R210" s="231"/>
      <c r="S210" s="231"/>
      <c r="T210" s="231"/>
      <c r="U210" s="231"/>
      <c r="V210" s="231"/>
      <c r="W210" s="231"/>
      <c r="X210" s="231"/>
      <c r="Y210" s="231"/>
      <c r="Z210" s="231"/>
      <c r="AA210" s="231"/>
      <c r="AB210" s="231"/>
      <c r="AC210" s="231"/>
      <c r="AD210" s="231"/>
      <c r="AE210" s="231"/>
      <c r="AF210" s="231"/>
      <c r="AG210" s="231"/>
      <c r="AH210" s="231"/>
      <c r="AI210" s="231"/>
      <c r="AJ210" s="231"/>
      <c r="AK210" s="231"/>
    </row>
    <row r="211" spans="1:37" s="203" customFormat="1">
      <c r="A211" s="819">
        <v>9</v>
      </c>
      <c r="B211" s="490" t="s">
        <v>172</v>
      </c>
      <c r="C211" s="490"/>
      <c r="D211" s="490"/>
      <c r="E211" s="492">
        <v>96</v>
      </c>
      <c r="F211" s="52">
        <v>78</v>
      </c>
      <c r="G211" s="572"/>
      <c r="H211" s="563">
        <v>97</v>
      </c>
      <c r="I211" s="459"/>
      <c r="J211" s="231"/>
      <c r="K211" s="231"/>
      <c r="L211" s="231"/>
      <c r="M211" s="231"/>
      <c r="N211" s="231"/>
      <c r="O211" s="231"/>
      <c r="P211" s="231"/>
      <c r="Q211" s="231"/>
      <c r="R211" s="231"/>
      <c r="S211" s="231"/>
      <c r="T211" s="231"/>
      <c r="U211" s="231"/>
      <c r="V211" s="231"/>
      <c r="W211" s="231"/>
      <c r="X211" s="231"/>
      <c r="Y211" s="231"/>
      <c r="Z211" s="231"/>
      <c r="AA211" s="231"/>
      <c r="AB211" s="231"/>
      <c r="AC211" s="231"/>
      <c r="AD211" s="231"/>
      <c r="AE211" s="231"/>
      <c r="AF211" s="231"/>
      <c r="AG211" s="231"/>
      <c r="AH211" s="231"/>
      <c r="AI211" s="231"/>
      <c r="AJ211" s="231"/>
      <c r="AK211" s="231"/>
    </row>
    <row r="212" spans="1:37" s="203" customFormat="1">
      <c r="A212" s="819">
        <v>10</v>
      </c>
      <c r="B212" s="490" t="s">
        <v>173</v>
      </c>
      <c r="C212" s="490"/>
      <c r="D212" s="490"/>
      <c r="E212" s="492">
        <v>739</v>
      </c>
      <c r="F212" s="52">
        <v>553</v>
      </c>
      <c r="G212" s="572"/>
      <c r="H212" s="563">
        <v>747</v>
      </c>
      <c r="I212" s="459"/>
      <c r="J212" s="231"/>
      <c r="K212" s="231"/>
      <c r="L212" s="231"/>
      <c r="M212" s="231"/>
      <c r="N212" s="231"/>
      <c r="O212" s="231"/>
      <c r="P212" s="231"/>
      <c r="Q212" s="231"/>
      <c r="R212" s="231"/>
      <c r="S212" s="231"/>
      <c r="T212" s="231"/>
      <c r="U212" s="231"/>
      <c r="V212" s="231"/>
      <c r="W212" s="231"/>
      <c r="X212" s="231"/>
      <c r="Y212" s="231"/>
      <c r="Z212" s="231"/>
      <c r="AA212" s="231"/>
      <c r="AB212" s="231"/>
      <c r="AC212" s="231"/>
      <c r="AD212" s="231"/>
      <c r="AE212" s="231"/>
      <c r="AF212" s="231"/>
      <c r="AG212" s="231"/>
      <c r="AH212" s="231"/>
      <c r="AI212" s="231"/>
      <c r="AJ212" s="231"/>
      <c r="AK212" s="231"/>
    </row>
    <row r="213" spans="1:37" s="203" customFormat="1">
      <c r="A213" s="819">
        <v>11</v>
      </c>
      <c r="B213" s="490" t="s">
        <v>174</v>
      </c>
      <c r="C213" s="490"/>
      <c r="D213" s="490"/>
      <c r="E213" s="492">
        <v>3611</v>
      </c>
      <c r="F213" s="52">
        <v>3805</v>
      </c>
      <c r="G213" s="572"/>
      <c r="H213" s="543">
        <v>4291</v>
      </c>
      <c r="I213" s="459"/>
      <c r="J213" s="231"/>
      <c r="K213" s="231"/>
      <c r="L213" s="231"/>
      <c r="M213" s="231"/>
      <c r="N213" s="231"/>
      <c r="O213" s="231"/>
      <c r="P213" s="231"/>
      <c r="Q213" s="231"/>
      <c r="R213" s="231"/>
      <c r="S213" s="231"/>
      <c r="T213" s="231"/>
      <c r="U213" s="231"/>
      <c r="V213" s="231"/>
      <c r="W213" s="231"/>
      <c r="X213" s="231"/>
      <c r="Y213" s="231"/>
      <c r="Z213" s="231"/>
      <c r="AA213" s="231"/>
      <c r="AB213" s="231"/>
      <c r="AC213" s="231"/>
      <c r="AD213" s="231"/>
      <c r="AE213" s="231"/>
      <c r="AF213" s="231"/>
      <c r="AG213" s="231"/>
      <c r="AH213" s="231"/>
      <c r="AI213" s="231"/>
      <c r="AJ213" s="231"/>
      <c r="AK213" s="231"/>
    </row>
    <row r="214" spans="1:37" s="203" customFormat="1">
      <c r="A214" s="819">
        <v>12</v>
      </c>
      <c r="B214" s="567" t="s">
        <v>175</v>
      </c>
      <c r="C214" s="567"/>
      <c r="D214" s="567"/>
      <c r="E214" s="607">
        <v>32529</v>
      </c>
      <c r="F214" s="503">
        <f>F201+F207+SUM(F210:F213)</f>
        <v>32681</v>
      </c>
      <c r="G214" s="572"/>
      <c r="H214" s="503">
        <f>H201+H207+SUM(H210:H213)</f>
        <v>33594</v>
      </c>
      <c r="I214" s="459"/>
      <c r="J214" s="231"/>
      <c r="K214" s="231"/>
      <c r="L214" s="231"/>
      <c r="M214" s="231"/>
      <c r="N214" s="231"/>
      <c r="O214" s="231"/>
      <c r="P214" s="231"/>
      <c r="Q214" s="231"/>
      <c r="R214" s="231"/>
      <c r="S214" s="231"/>
      <c r="T214" s="231"/>
      <c r="U214" s="231"/>
      <c r="V214" s="231"/>
      <c r="W214" s="231"/>
      <c r="X214" s="231"/>
      <c r="Y214" s="231"/>
      <c r="Z214" s="231"/>
      <c r="AA214" s="231"/>
      <c r="AB214" s="231"/>
      <c r="AC214" s="231"/>
      <c r="AD214" s="231"/>
      <c r="AE214" s="231"/>
      <c r="AF214" s="231"/>
      <c r="AG214" s="231"/>
      <c r="AH214" s="231"/>
      <c r="AI214" s="231"/>
      <c r="AJ214" s="231"/>
      <c r="AK214" s="231"/>
    </row>
    <row r="215" spans="1:37" s="203" customFormat="1">
      <c r="A215" s="557"/>
      <c r="B215" s="490"/>
      <c r="C215" s="490"/>
      <c r="D215" s="490"/>
      <c r="E215" s="571"/>
      <c r="F215" s="572"/>
      <c r="G215" s="572"/>
      <c r="H215" s="572"/>
      <c r="I215" s="459"/>
      <c r="J215" s="231"/>
      <c r="K215" s="231"/>
      <c r="L215" s="231"/>
      <c r="M215" s="231"/>
      <c r="N215" s="231"/>
      <c r="O215" s="231"/>
      <c r="P215" s="231"/>
      <c r="Q215" s="231"/>
      <c r="R215" s="231"/>
      <c r="S215" s="231"/>
      <c r="T215" s="231"/>
      <c r="U215" s="231"/>
      <c r="V215" s="231"/>
      <c r="W215" s="231"/>
      <c r="X215" s="231"/>
      <c r="Y215" s="231"/>
      <c r="Z215" s="231"/>
      <c r="AA215" s="231"/>
      <c r="AB215" s="231"/>
      <c r="AC215" s="231"/>
      <c r="AD215" s="231"/>
      <c r="AE215" s="231"/>
      <c r="AF215" s="231"/>
      <c r="AG215" s="231"/>
      <c r="AH215" s="231"/>
      <c r="AI215" s="231"/>
      <c r="AJ215" s="231"/>
      <c r="AK215" s="231"/>
    </row>
    <row r="216" spans="1:37" s="203" customFormat="1">
      <c r="A216" s="573" t="s">
        <v>176</v>
      </c>
      <c r="B216" s="567"/>
      <c r="C216" s="567"/>
      <c r="D216" s="567"/>
      <c r="E216" s="571"/>
      <c r="F216" s="616"/>
      <c r="G216" s="572"/>
      <c r="H216" s="616"/>
      <c r="I216" s="459"/>
      <c r="J216" s="231"/>
      <c r="K216" s="231"/>
      <c r="L216" s="231"/>
      <c r="M216" s="231"/>
      <c r="N216" s="231"/>
      <c r="O216" s="231"/>
      <c r="P216" s="231"/>
      <c r="Q216" s="231"/>
      <c r="R216" s="231"/>
      <c r="S216" s="231"/>
      <c r="T216" s="231"/>
      <c r="U216" s="231"/>
      <c r="V216" s="231"/>
      <c r="W216" s="231"/>
      <c r="X216" s="231"/>
      <c r="Y216" s="231"/>
      <c r="Z216" s="231"/>
      <c r="AA216" s="231"/>
      <c r="AB216" s="231"/>
      <c r="AC216" s="231"/>
      <c r="AD216" s="231"/>
      <c r="AE216" s="231"/>
      <c r="AF216" s="231"/>
      <c r="AG216" s="231"/>
      <c r="AH216" s="231"/>
      <c r="AI216" s="231"/>
      <c r="AJ216" s="231"/>
      <c r="AK216" s="231"/>
    </row>
    <row r="217" spans="1:37" s="203" customFormat="1">
      <c r="A217" s="819">
        <v>13</v>
      </c>
      <c r="B217" s="490" t="s">
        <v>177</v>
      </c>
      <c r="C217" s="490"/>
      <c r="D217" s="490"/>
      <c r="E217" s="484">
        <v>552</v>
      </c>
      <c r="F217" s="121">
        <v>533</v>
      </c>
      <c r="G217" s="572"/>
      <c r="H217" s="617">
        <v>567</v>
      </c>
      <c r="I217" s="459"/>
      <c r="J217" s="231"/>
      <c r="K217" s="231"/>
      <c r="L217" s="231"/>
      <c r="M217" s="231"/>
      <c r="N217" s="231"/>
      <c r="O217" s="231"/>
      <c r="P217" s="231"/>
      <c r="Q217" s="231"/>
      <c r="R217" s="231"/>
      <c r="S217" s="231"/>
      <c r="T217" s="231"/>
      <c r="U217" s="231"/>
      <c r="V217" s="231"/>
      <c r="W217" s="231"/>
      <c r="X217" s="231"/>
      <c r="Y217" s="231"/>
      <c r="Z217" s="231"/>
      <c r="AA217" s="231"/>
      <c r="AB217" s="231"/>
      <c r="AC217" s="231"/>
      <c r="AD217" s="231"/>
      <c r="AE217" s="231"/>
      <c r="AF217" s="231"/>
      <c r="AG217" s="231"/>
      <c r="AH217" s="231"/>
      <c r="AI217" s="231"/>
      <c r="AJ217" s="231"/>
      <c r="AK217" s="231"/>
    </row>
    <row r="218" spans="1:37" s="203" customFormat="1">
      <c r="A218" s="820">
        <v>14</v>
      </c>
      <c r="B218" s="496" t="s">
        <v>178</v>
      </c>
      <c r="C218" s="496"/>
      <c r="D218" s="496"/>
      <c r="E218" s="498">
        <v>2845</v>
      </c>
      <c r="F218" s="126">
        <v>2819</v>
      </c>
      <c r="G218" s="572"/>
      <c r="H218" s="544">
        <v>2994</v>
      </c>
      <c r="I218" s="459"/>
      <c r="J218" s="231"/>
      <c r="K218" s="231"/>
      <c r="L218" s="231"/>
      <c r="M218" s="231"/>
      <c r="N218" s="231"/>
      <c r="O218" s="231"/>
      <c r="P218" s="231"/>
      <c r="Q218" s="231"/>
      <c r="R218" s="231"/>
      <c r="S218" s="231"/>
      <c r="T218" s="231"/>
      <c r="U218" s="231"/>
      <c r="V218" s="231"/>
      <c r="W218" s="231"/>
      <c r="X218" s="231"/>
      <c r="Y218" s="231"/>
      <c r="Z218" s="231"/>
      <c r="AA218" s="231"/>
      <c r="AB218" s="231"/>
      <c r="AC218" s="231"/>
      <c r="AD218" s="231"/>
      <c r="AE218" s="231"/>
      <c r="AF218" s="231"/>
      <c r="AG218" s="231"/>
      <c r="AH218" s="231"/>
      <c r="AI218" s="231"/>
      <c r="AJ218" s="231"/>
      <c r="AK218" s="231"/>
    </row>
    <row r="219" spans="1:37" s="203" customFormat="1">
      <c r="A219" s="596"/>
      <c r="B219" s="459"/>
      <c r="C219" s="459"/>
      <c r="D219" s="618"/>
      <c r="E219" s="619"/>
      <c r="F219" s="459"/>
      <c r="G219" s="459"/>
      <c r="H219" s="457"/>
      <c r="I219" s="459"/>
      <c r="J219" s="231"/>
      <c r="K219" s="231"/>
      <c r="L219" s="231"/>
      <c r="M219" s="231"/>
      <c r="N219" s="231"/>
      <c r="O219" s="231"/>
      <c r="P219" s="231"/>
      <c r="Q219" s="231"/>
      <c r="R219" s="231"/>
      <c r="S219" s="231"/>
      <c r="T219" s="231"/>
      <c r="U219" s="231"/>
      <c r="V219" s="231"/>
      <c r="W219" s="231"/>
      <c r="X219" s="231"/>
      <c r="Y219" s="231"/>
      <c r="Z219" s="231"/>
      <c r="AA219" s="231"/>
      <c r="AB219" s="231"/>
      <c r="AC219" s="231"/>
      <c r="AD219" s="231"/>
      <c r="AE219" s="231"/>
      <c r="AF219" s="231"/>
      <c r="AG219" s="231"/>
      <c r="AH219" s="231"/>
      <c r="AI219" s="231"/>
      <c r="AJ219" s="231"/>
      <c r="AK219" s="231"/>
    </row>
    <row r="220" spans="1:37" s="203" customFormat="1">
      <c r="A220" s="596"/>
      <c r="B220" s="459"/>
      <c r="C220" s="459"/>
      <c r="D220" s="620"/>
      <c r="E220" s="600"/>
      <c r="F220" s="459"/>
      <c r="G220" s="459"/>
      <c r="H220" s="550" t="s">
        <v>27</v>
      </c>
      <c r="I220" s="459"/>
      <c r="J220" s="231"/>
      <c r="K220" s="231"/>
      <c r="L220" s="231"/>
      <c r="M220" s="231"/>
      <c r="N220" s="231"/>
      <c r="O220" s="231"/>
      <c r="P220" s="231"/>
      <c r="Q220" s="231"/>
      <c r="R220" s="231"/>
      <c r="S220" s="231"/>
      <c r="T220" s="231"/>
      <c r="U220" s="231"/>
      <c r="V220" s="231"/>
      <c r="W220" s="231"/>
      <c r="X220" s="231"/>
      <c r="Y220" s="231"/>
      <c r="Z220" s="231"/>
      <c r="AA220" s="231"/>
      <c r="AB220" s="231"/>
      <c r="AC220" s="231"/>
      <c r="AD220" s="231"/>
      <c r="AE220" s="231"/>
      <c r="AF220" s="231"/>
      <c r="AG220" s="231"/>
      <c r="AH220" s="231"/>
      <c r="AI220" s="231"/>
      <c r="AJ220" s="231"/>
      <c r="AK220" s="231"/>
    </row>
    <row r="221" spans="1:37" s="203" customFormat="1" ht="12.75" customHeight="1">
      <c r="A221" s="552" t="s">
        <v>10</v>
      </c>
      <c r="B221" s="611"/>
      <c r="C221" s="611"/>
      <c r="D221" s="611"/>
      <c r="E221" s="910" t="s">
        <v>377</v>
      </c>
      <c r="F221" s="910" t="s">
        <v>402</v>
      </c>
      <c r="G221" s="579"/>
      <c r="H221" s="910" t="s">
        <v>403</v>
      </c>
      <c r="I221" s="579"/>
      <c r="J221" s="231"/>
      <c r="K221" s="231"/>
      <c r="L221" s="231"/>
      <c r="M221" s="231"/>
      <c r="N221" s="231"/>
      <c r="O221" s="231"/>
      <c r="P221" s="231"/>
      <c r="Q221" s="231"/>
      <c r="R221" s="231"/>
      <c r="S221" s="231"/>
      <c r="T221" s="231"/>
      <c r="U221" s="231"/>
      <c r="V221" s="231"/>
      <c r="W221" s="231"/>
      <c r="X221" s="231"/>
      <c r="Y221" s="231"/>
      <c r="Z221" s="231"/>
      <c r="AA221" s="231"/>
      <c r="AB221" s="231"/>
      <c r="AC221" s="231"/>
      <c r="AD221" s="231"/>
      <c r="AE221" s="231"/>
      <c r="AF221" s="231"/>
      <c r="AG221" s="231"/>
      <c r="AH221" s="231"/>
      <c r="AI221" s="231"/>
      <c r="AJ221" s="231"/>
      <c r="AK221" s="231"/>
    </row>
    <row r="222" spans="1:37" s="203" customFormat="1">
      <c r="A222" s="555"/>
      <c r="B222" s="581"/>
      <c r="C222" s="581"/>
      <c r="D222" s="581"/>
      <c r="E222" s="911"/>
      <c r="F222" s="911"/>
      <c r="G222" s="579"/>
      <c r="H222" s="911"/>
      <c r="I222" s="579"/>
      <c r="J222" s="231"/>
      <c r="K222" s="231"/>
      <c r="L222" s="231"/>
      <c r="M222" s="231"/>
      <c r="N222" s="231"/>
      <c r="O222" s="231"/>
      <c r="P222" s="231"/>
      <c r="Q222" s="231"/>
      <c r="R222" s="231"/>
      <c r="S222" s="231"/>
      <c r="T222" s="231"/>
      <c r="U222" s="231"/>
      <c r="V222" s="231"/>
      <c r="W222" s="231"/>
      <c r="X222" s="231"/>
      <c r="Y222" s="231"/>
      <c r="Z222" s="231"/>
      <c r="AA222" s="231"/>
      <c r="AB222" s="231"/>
      <c r="AC222" s="231"/>
      <c r="AD222" s="231"/>
      <c r="AE222" s="231"/>
      <c r="AF222" s="231"/>
      <c r="AG222" s="231"/>
      <c r="AH222" s="231"/>
      <c r="AI222" s="231"/>
      <c r="AJ222" s="231"/>
      <c r="AK222" s="231"/>
    </row>
    <row r="223" spans="1:37" s="203" customFormat="1">
      <c r="A223" s="602" t="s">
        <v>179</v>
      </c>
      <c r="B223" s="567"/>
      <c r="C223" s="567"/>
      <c r="D223" s="567"/>
      <c r="E223" s="911"/>
      <c r="F223" s="911"/>
      <c r="G223" s="579"/>
      <c r="H223" s="911"/>
      <c r="I223" s="579"/>
      <c r="J223" s="231"/>
      <c r="K223" s="231"/>
      <c r="L223" s="231"/>
      <c r="M223" s="231"/>
      <c r="N223" s="231"/>
      <c r="O223" s="231"/>
      <c r="P223" s="231"/>
      <c r="Q223" s="231"/>
      <c r="R223" s="231"/>
      <c r="S223" s="231"/>
      <c r="T223" s="231"/>
      <c r="U223" s="231"/>
      <c r="V223" s="231"/>
      <c r="W223" s="231"/>
      <c r="X223" s="231"/>
      <c r="Y223" s="231"/>
      <c r="Z223" s="231"/>
      <c r="AA223" s="231"/>
      <c r="AB223" s="231"/>
      <c r="AC223" s="231"/>
      <c r="AD223" s="231"/>
      <c r="AE223" s="231"/>
      <c r="AF223" s="231"/>
      <c r="AG223" s="231"/>
      <c r="AH223" s="231"/>
      <c r="AI223" s="231"/>
      <c r="AJ223" s="231"/>
      <c r="AK223" s="231"/>
    </row>
    <row r="224" spans="1:37" s="203" customFormat="1">
      <c r="A224" s="555" t="s">
        <v>83</v>
      </c>
      <c r="B224" s="490"/>
      <c r="C224" s="490"/>
      <c r="D224" s="490"/>
      <c r="E224" s="911"/>
      <c r="F224" s="911"/>
      <c r="G224" s="579"/>
      <c r="H224" s="911"/>
      <c r="I224" s="579"/>
      <c r="J224" s="231"/>
      <c r="K224" s="231"/>
      <c r="L224" s="231"/>
      <c r="M224" s="231"/>
      <c r="N224" s="231"/>
      <c r="O224" s="231"/>
      <c r="P224" s="231"/>
      <c r="Q224" s="231"/>
      <c r="R224" s="231"/>
      <c r="S224" s="231"/>
      <c r="T224" s="231"/>
      <c r="U224" s="231"/>
      <c r="V224" s="231"/>
      <c r="W224" s="231"/>
      <c r="X224" s="231"/>
      <c r="Y224" s="231"/>
      <c r="Z224" s="231"/>
      <c r="AA224" s="231"/>
      <c r="AB224" s="231"/>
      <c r="AC224" s="231"/>
      <c r="AD224" s="231"/>
      <c r="AE224" s="231"/>
      <c r="AF224" s="231"/>
      <c r="AG224" s="231"/>
      <c r="AH224" s="231"/>
      <c r="AI224" s="231"/>
      <c r="AJ224" s="231"/>
      <c r="AK224" s="231"/>
    </row>
    <row r="225" spans="1:37" s="203" customFormat="1">
      <c r="A225" s="556" t="s">
        <v>84</v>
      </c>
      <c r="B225" s="581"/>
      <c r="C225" s="581"/>
      <c r="D225" s="581"/>
      <c r="E225" s="912"/>
      <c r="F225" s="912"/>
      <c r="G225" s="579"/>
      <c r="H225" s="912"/>
      <c r="I225" s="579"/>
      <c r="J225" s="231"/>
      <c r="K225" s="231"/>
      <c r="L225" s="231"/>
      <c r="M225" s="231"/>
      <c r="N225" s="231"/>
      <c r="O225" s="231"/>
      <c r="P225" s="231"/>
      <c r="Q225" s="231"/>
      <c r="R225" s="231"/>
      <c r="S225" s="231"/>
      <c r="T225" s="231"/>
      <c r="U225" s="231"/>
      <c r="V225" s="231"/>
      <c r="W225" s="231"/>
      <c r="X225" s="231"/>
      <c r="Y225" s="231"/>
      <c r="Z225" s="231"/>
      <c r="AA225" s="231"/>
      <c r="AB225" s="231"/>
      <c r="AC225" s="231"/>
      <c r="AD225" s="231"/>
      <c r="AE225" s="231"/>
      <c r="AF225" s="231"/>
      <c r="AG225" s="231"/>
      <c r="AH225" s="231"/>
      <c r="AI225" s="231"/>
      <c r="AJ225" s="231"/>
      <c r="AK225" s="231"/>
    </row>
    <row r="226" spans="1:37" s="203" customFormat="1">
      <c r="A226" s="819">
        <v>1</v>
      </c>
      <c r="B226" s="490" t="s">
        <v>180</v>
      </c>
      <c r="C226" s="490"/>
      <c r="D226" s="490"/>
      <c r="E226" s="484">
        <v>125</v>
      </c>
      <c r="F226" s="52">
        <v>269</v>
      </c>
      <c r="G226" s="572"/>
      <c r="H226" s="560">
        <v>269</v>
      </c>
      <c r="I226" s="459"/>
      <c r="J226" s="231"/>
      <c r="K226" s="231"/>
      <c r="L226" s="231"/>
      <c r="M226" s="231"/>
      <c r="N226" s="231"/>
      <c r="O226" s="231"/>
      <c r="P226" s="231"/>
      <c r="Q226" s="231"/>
      <c r="R226" s="231"/>
      <c r="S226" s="231"/>
      <c r="T226" s="231"/>
      <c r="U226" s="231"/>
      <c r="V226" s="231"/>
      <c r="W226" s="231"/>
      <c r="X226" s="231"/>
      <c r="Y226" s="231"/>
      <c r="Z226" s="231"/>
      <c r="AA226" s="231"/>
      <c r="AB226" s="231"/>
      <c r="AC226" s="231"/>
      <c r="AD226" s="231"/>
      <c r="AE226" s="231"/>
      <c r="AF226" s="231"/>
      <c r="AG226" s="231"/>
      <c r="AH226" s="231"/>
      <c r="AI226" s="231"/>
      <c r="AJ226" s="231"/>
      <c r="AK226" s="231"/>
    </row>
    <row r="227" spans="1:37" s="203" customFormat="1">
      <c r="A227" s="819">
        <v>2</v>
      </c>
      <c r="B227" s="490" t="s">
        <v>181</v>
      </c>
      <c r="C227" s="490"/>
      <c r="D227" s="490"/>
      <c r="E227" s="492">
        <v>1959</v>
      </c>
      <c r="F227" s="52">
        <v>2109</v>
      </c>
      <c r="G227" s="572"/>
      <c r="H227" s="563">
        <v>2271</v>
      </c>
      <c r="I227" s="459"/>
      <c r="J227" s="231"/>
      <c r="K227" s="231"/>
      <c r="L227" s="231"/>
      <c r="M227" s="231"/>
      <c r="N227" s="231"/>
      <c r="O227" s="231"/>
      <c r="P227" s="231"/>
      <c r="Q227" s="231"/>
      <c r="R227" s="231"/>
      <c r="S227" s="231"/>
      <c r="T227" s="231"/>
      <c r="U227" s="231"/>
      <c r="V227" s="231"/>
      <c r="W227" s="231"/>
      <c r="X227" s="231"/>
      <c r="Y227" s="231"/>
      <c r="Z227" s="231"/>
      <c r="AA227" s="231"/>
      <c r="AB227" s="231"/>
      <c r="AC227" s="231"/>
      <c r="AD227" s="231"/>
      <c r="AE227" s="231"/>
      <c r="AF227" s="231"/>
      <c r="AG227" s="231"/>
      <c r="AH227" s="231"/>
      <c r="AI227" s="231"/>
      <c r="AJ227" s="231"/>
      <c r="AK227" s="231"/>
    </row>
    <row r="228" spans="1:37" s="203" customFormat="1">
      <c r="A228" s="819">
        <v>3</v>
      </c>
      <c r="B228" s="490" t="s">
        <v>182</v>
      </c>
      <c r="C228" s="490"/>
      <c r="D228" s="490"/>
      <c r="E228" s="564">
        <v>1068</v>
      </c>
      <c r="F228" s="52">
        <v>1035</v>
      </c>
      <c r="G228" s="572"/>
      <c r="H228" s="563">
        <v>1057</v>
      </c>
      <c r="I228" s="459"/>
      <c r="J228" s="231"/>
      <c r="K228" s="231"/>
      <c r="L228" s="231"/>
      <c r="M228" s="231"/>
      <c r="N228" s="231"/>
      <c r="O228" s="231"/>
      <c r="P228" s="231"/>
      <c r="Q228" s="231"/>
      <c r="R228" s="231"/>
      <c r="S228" s="231"/>
      <c r="T228" s="231"/>
      <c r="U228" s="231"/>
      <c r="V228" s="231"/>
      <c r="W228" s="231"/>
      <c r="X228" s="231"/>
      <c r="Y228" s="231"/>
      <c r="Z228" s="231"/>
      <c r="AA228" s="231"/>
      <c r="AB228" s="231"/>
      <c r="AC228" s="231"/>
      <c r="AD228" s="231"/>
      <c r="AE228" s="231"/>
      <c r="AF228" s="231"/>
      <c r="AG228" s="231"/>
      <c r="AH228" s="231"/>
      <c r="AI228" s="231"/>
      <c r="AJ228" s="231"/>
      <c r="AK228" s="231"/>
    </row>
    <row r="229" spans="1:37" s="203" customFormat="1">
      <c r="A229" s="819">
        <v>4</v>
      </c>
      <c r="B229" s="490" t="s">
        <v>183</v>
      </c>
      <c r="C229" s="490"/>
      <c r="D229" s="490"/>
      <c r="E229" s="564">
        <v>2053</v>
      </c>
      <c r="F229" s="52">
        <v>2190</v>
      </c>
      <c r="G229" s="572"/>
      <c r="H229" s="563">
        <v>2004</v>
      </c>
      <c r="I229" s="459"/>
      <c r="J229" s="231"/>
      <c r="K229" s="231"/>
      <c r="L229" s="231"/>
      <c r="M229" s="231"/>
      <c r="N229" s="231"/>
      <c r="O229" s="231"/>
      <c r="P229" s="231"/>
      <c r="Q229" s="231"/>
      <c r="R229" s="231"/>
      <c r="S229" s="231"/>
      <c r="T229" s="231"/>
      <c r="U229" s="231"/>
      <c r="V229" s="231"/>
      <c r="W229" s="231"/>
      <c r="X229" s="231"/>
      <c r="Y229" s="231"/>
      <c r="Z229" s="231"/>
      <c r="AA229" s="231"/>
      <c r="AB229" s="231"/>
      <c r="AC229" s="231"/>
      <c r="AD229" s="231"/>
      <c r="AE229" s="231"/>
      <c r="AF229" s="231"/>
      <c r="AG229" s="231"/>
      <c r="AH229" s="231"/>
      <c r="AI229" s="231"/>
      <c r="AJ229" s="231"/>
      <c r="AK229" s="231"/>
    </row>
    <row r="230" spans="1:37" s="203" customFormat="1">
      <c r="A230" s="819">
        <v>5</v>
      </c>
      <c r="B230" s="490" t="s">
        <v>184</v>
      </c>
      <c r="C230" s="490"/>
      <c r="D230" s="490"/>
      <c r="E230" s="564">
        <v>1561</v>
      </c>
      <c r="F230" s="52">
        <v>4348</v>
      </c>
      <c r="G230" s="572"/>
      <c r="H230" s="543">
        <v>1519</v>
      </c>
      <c r="I230" s="459"/>
      <c r="J230" s="231"/>
      <c r="K230" s="231"/>
      <c r="L230" s="231"/>
      <c r="M230" s="231"/>
      <c r="N230" s="231"/>
      <c r="O230" s="231"/>
      <c r="P230" s="231"/>
      <c r="Q230" s="231"/>
      <c r="R230" s="231"/>
      <c r="S230" s="231"/>
      <c r="T230" s="231"/>
      <c r="U230" s="231"/>
      <c r="V230" s="231"/>
      <c r="W230" s="231"/>
      <c r="X230" s="231"/>
      <c r="Y230" s="231"/>
      <c r="Z230" s="231"/>
      <c r="AA230" s="231"/>
      <c r="AB230" s="231"/>
      <c r="AC230" s="231"/>
      <c r="AD230" s="231"/>
      <c r="AE230" s="231"/>
      <c r="AF230" s="231"/>
      <c r="AG230" s="231"/>
      <c r="AH230" s="231"/>
      <c r="AI230" s="231"/>
      <c r="AJ230" s="231"/>
      <c r="AK230" s="231"/>
    </row>
    <row r="231" spans="1:37" s="203" customFormat="1">
      <c r="A231" s="820">
        <v>6</v>
      </c>
      <c r="B231" s="621" t="s">
        <v>185</v>
      </c>
      <c r="C231" s="621"/>
      <c r="D231" s="621"/>
      <c r="E231" s="607">
        <v>6766</v>
      </c>
      <c r="F231" s="503">
        <f>SUM(F226:F230)</f>
        <v>9951</v>
      </c>
      <c r="G231" s="572"/>
      <c r="H231" s="503">
        <f>SUM(H226:H230)</f>
        <v>7120</v>
      </c>
      <c r="I231" s="459"/>
      <c r="J231" s="231"/>
      <c r="K231" s="231"/>
      <c r="L231" s="231"/>
      <c r="M231" s="231"/>
      <c r="N231" s="231"/>
      <c r="O231" s="231"/>
      <c r="P231" s="231"/>
      <c r="Q231" s="231"/>
      <c r="R231" s="231"/>
      <c r="S231" s="231"/>
      <c r="T231" s="231"/>
      <c r="U231" s="231"/>
      <c r="V231" s="231"/>
      <c r="W231" s="231"/>
      <c r="X231" s="231"/>
      <c r="Y231" s="231"/>
      <c r="Z231" s="231"/>
      <c r="AA231" s="231"/>
      <c r="AB231" s="231"/>
      <c r="AC231" s="231"/>
      <c r="AD231" s="231"/>
      <c r="AE231" s="231"/>
      <c r="AF231" s="231"/>
      <c r="AG231" s="231"/>
      <c r="AH231" s="231"/>
      <c r="AI231" s="231"/>
      <c r="AJ231" s="231"/>
      <c r="AK231" s="231"/>
    </row>
    <row r="232" spans="1:37" s="203" customFormat="1">
      <c r="A232" s="596"/>
      <c r="B232" s="459"/>
      <c r="C232" s="459"/>
      <c r="D232" s="618"/>
      <c r="E232" s="598"/>
      <c r="F232" s="459"/>
      <c r="G232" s="459"/>
      <c r="H232" s="457"/>
      <c r="I232" s="459"/>
      <c r="J232" s="231"/>
      <c r="K232" s="231"/>
      <c r="L232" s="231"/>
      <c r="M232" s="231"/>
      <c r="N232" s="231"/>
      <c r="O232" s="231"/>
      <c r="P232" s="231"/>
      <c r="Q232" s="231"/>
      <c r="R232" s="231"/>
      <c r="S232" s="231"/>
      <c r="T232" s="231"/>
      <c r="U232" s="231"/>
      <c r="V232" s="231"/>
      <c r="W232" s="231"/>
      <c r="X232" s="231"/>
      <c r="Y232" s="231"/>
      <c r="Z232" s="231"/>
      <c r="AA232" s="231"/>
      <c r="AB232" s="231"/>
      <c r="AC232" s="231"/>
      <c r="AD232" s="231"/>
      <c r="AE232" s="231"/>
      <c r="AF232" s="231"/>
      <c r="AG232" s="231"/>
      <c r="AH232" s="231"/>
      <c r="AI232" s="231"/>
      <c r="AJ232" s="231"/>
      <c r="AK232" s="231"/>
    </row>
    <row r="233" spans="1:37" s="203" customFormat="1">
      <c r="A233" s="596"/>
      <c r="B233" s="459"/>
      <c r="C233" s="459"/>
      <c r="D233" s="620"/>
      <c r="E233" s="600"/>
      <c r="F233" s="459"/>
      <c r="G233" s="459"/>
      <c r="H233" s="550" t="s">
        <v>27</v>
      </c>
      <c r="I233" s="459"/>
      <c r="J233" s="231"/>
      <c r="K233" s="231"/>
      <c r="L233" s="231"/>
      <c r="M233" s="231"/>
      <c r="N233" s="231"/>
      <c r="O233" s="231"/>
      <c r="P233" s="231"/>
      <c r="Q233" s="231"/>
      <c r="R233" s="231"/>
      <c r="S233" s="231"/>
      <c r="T233" s="231"/>
      <c r="U233" s="231"/>
      <c r="V233" s="231"/>
      <c r="W233" s="231"/>
      <c r="X233" s="231"/>
      <c r="Y233" s="231"/>
      <c r="Z233" s="231"/>
      <c r="AA233" s="231"/>
      <c r="AB233" s="231"/>
      <c r="AC233" s="231"/>
      <c r="AD233" s="231"/>
      <c r="AE233" s="231"/>
      <c r="AF233" s="231"/>
      <c r="AG233" s="231"/>
      <c r="AH233" s="231"/>
      <c r="AI233" s="231"/>
      <c r="AJ233" s="231"/>
      <c r="AK233" s="231"/>
    </row>
    <row r="234" spans="1:37" s="203" customFormat="1" ht="12.75" customHeight="1">
      <c r="A234" s="552" t="s">
        <v>12</v>
      </c>
      <c r="B234" s="611"/>
      <c r="C234" s="611"/>
      <c r="D234" s="611"/>
      <c r="E234" s="910" t="s">
        <v>377</v>
      </c>
      <c r="F234" s="910" t="s">
        <v>402</v>
      </c>
      <c r="G234" s="579"/>
      <c r="H234" s="910" t="s">
        <v>403</v>
      </c>
      <c r="I234" s="579"/>
      <c r="J234" s="231"/>
      <c r="K234" s="231"/>
      <c r="L234" s="231"/>
      <c r="M234" s="231"/>
      <c r="N234" s="231"/>
      <c r="O234" s="231"/>
      <c r="P234" s="231"/>
      <c r="Q234" s="231"/>
      <c r="R234" s="231"/>
      <c r="S234" s="231"/>
      <c r="T234" s="231"/>
      <c r="U234" s="231"/>
      <c r="V234" s="231"/>
      <c r="W234" s="231"/>
      <c r="X234" s="231"/>
      <c r="Y234" s="231"/>
      <c r="Z234" s="231"/>
      <c r="AA234" s="231"/>
      <c r="AB234" s="231"/>
      <c r="AC234" s="231"/>
      <c r="AD234" s="231"/>
      <c r="AE234" s="231"/>
      <c r="AF234" s="231"/>
      <c r="AG234" s="231"/>
      <c r="AH234" s="231"/>
      <c r="AI234" s="231"/>
      <c r="AJ234" s="231"/>
      <c r="AK234" s="231"/>
    </row>
    <row r="235" spans="1:37" s="203" customFormat="1">
      <c r="A235" s="612"/>
      <c r="B235" s="490"/>
      <c r="C235" s="490"/>
      <c r="D235" s="490"/>
      <c r="E235" s="911"/>
      <c r="F235" s="911"/>
      <c r="G235" s="579"/>
      <c r="H235" s="911"/>
      <c r="I235" s="579"/>
      <c r="J235" s="231"/>
      <c r="K235" s="231"/>
      <c r="L235" s="231"/>
      <c r="M235" s="231"/>
      <c r="N235" s="231"/>
      <c r="O235" s="231"/>
      <c r="P235" s="231"/>
      <c r="Q235" s="231"/>
      <c r="R235" s="231"/>
      <c r="S235" s="231"/>
      <c r="T235" s="231"/>
      <c r="U235" s="231"/>
      <c r="V235" s="231"/>
      <c r="W235" s="231"/>
      <c r="X235" s="231"/>
      <c r="Y235" s="231"/>
      <c r="Z235" s="231"/>
      <c r="AA235" s="231"/>
      <c r="AB235" s="231"/>
      <c r="AC235" s="231"/>
      <c r="AD235" s="231"/>
      <c r="AE235" s="231"/>
      <c r="AF235" s="231"/>
      <c r="AG235" s="231"/>
      <c r="AH235" s="231"/>
      <c r="AI235" s="231"/>
      <c r="AJ235" s="231"/>
      <c r="AK235" s="231"/>
    </row>
    <row r="236" spans="1:37" s="203" customFormat="1">
      <c r="A236" s="602" t="s">
        <v>186</v>
      </c>
      <c r="B236" s="490"/>
      <c r="C236" s="490"/>
      <c r="D236" s="490"/>
      <c r="E236" s="911"/>
      <c r="F236" s="911"/>
      <c r="G236" s="579"/>
      <c r="H236" s="911"/>
      <c r="I236" s="579"/>
      <c r="J236" s="231"/>
      <c r="K236" s="231"/>
      <c r="L236" s="231"/>
      <c r="M236" s="231"/>
      <c r="N236" s="231"/>
      <c r="O236" s="231"/>
      <c r="P236" s="231"/>
      <c r="Q236" s="231"/>
      <c r="R236" s="231"/>
      <c r="S236" s="231"/>
      <c r="T236" s="231"/>
      <c r="U236" s="231"/>
      <c r="V236" s="231"/>
      <c r="W236" s="231"/>
      <c r="X236" s="231"/>
      <c r="Y236" s="231"/>
      <c r="Z236" s="231"/>
      <c r="AA236" s="231"/>
      <c r="AB236" s="231"/>
      <c r="AC236" s="231"/>
      <c r="AD236" s="231"/>
      <c r="AE236" s="231"/>
      <c r="AF236" s="231"/>
      <c r="AG236" s="231"/>
      <c r="AH236" s="231"/>
      <c r="AI236" s="231"/>
      <c r="AJ236" s="231"/>
      <c r="AK236" s="231"/>
    </row>
    <row r="237" spans="1:37" s="203" customFormat="1">
      <c r="A237" s="555" t="s">
        <v>83</v>
      </c>
      <c r="B237" s="490"/>
      <c r="C237" s="490"/>
      <c r="D237" s="490"/>
      <c r="E237" s="911"/>
      <c r="F237" s="911"/>
      <c r="G237" s="579"/>
      <c r="H237" s="911"/>
      <c r="I237" s="579"/>
      <c r="J237" s="231"/>
      <c r="K237" s="231"/>
      <c r="L237" s="231"/>
      <c r="M237" s="231"/>
      <c r="N237" s="231"/>
      <c r="O237" s="231"/>
      <c r="P237" s="231"/>
      <c r="Q237" s="231"/>
      <c r="R237" s="231"/>
      <c r="S237" s="231"/>
      <c r="T237" s="231"/>
      <c r="U237" s="231"/>
      <c r="V237" s="231"/>
      <c r="W237" s="231"/>
      <c r="X237" s="231"/>
      <c r="Y237" s="231"/>
      <c r="Z237" s="231"/>
      <c r="AA237" s="231"/>
      <c r="AB237" s="231"/>
      <c r="AC237" s="231"/>
      <c r="AD237" s="231"/>
      <c r="AE237" s="231"/>
      <c r="AF237" s="231"/>
      <c r="AG237" s="231"/>
      <c r="AH237" s="231"/>
      <c r="AI237" s="231"/>
      <c r="AJ237" s="231"/>
      <c r="AK237" s="231"/>
    </row>
    <row r="238" spans="1:37" s="203" customFormat="1">
      <c r="A238" s="556" t="s">
        <v>84</v>
      </c>
      <c r="B238" s="490"/>
      <c r="C238" s="490"/>
      <c r="D238" s="490"/>
      <c r="E238" s="912"/>
      <c r="F238" s="912"/>
      <c r="G238" s="579"/>
      <c r="H238" s="912"/>
      <c r="I238" s="579"/>
      <c r="J238" s="231"/>
      <c r="K238" s="231"/>
      <c r="L238" s="231"/>
      <c r="M238" s="231"/>
      <c r="N238" s="231"/>
      <c r="O238" s="231"/>
      <c r="P238" s="231"/>
      <c r="Q238" s="231"/>
      <c r="R238" s="231"/>
      <c r="S238" s="231"/>
      <c r="T238" s="231"/>
      <c r="U238" s="231"/>
      <c r="V238" s="231"/>
      <c r="W238" s="231"/>
      <c r="X238" s="231"/>
      <c r="Y238" s="231"/>
      <c r="Z238" s="231"/>
      <c r="AA238" s="231"/>
      <c r="AB238" s="231"/>
      <c r="AC238" s="231"/>
      <c r="AD238" s="231"/>
      <c r="AE238" s="231"/>
      <c r="AF238" s="231"/>
      <c r="AG238" s="231"/>
      <c r="AH238" s="231"/>
      <c r="AI238" s="231"/>
      <c r="AJ238" s="231"/>
      <c r="AK238" s="231"/>
    </row>
    <row r="239" spans="1:37" s="203" customFormat="1">
      <c r="A239" s="601" t="s">
        <v>187</v>
      </c>
      <c r="B239" s="567"/>
      <c r="C239" s="567"/>
      <c r="D239" s="567"/>
      <c r="E239" s="614"/>
      <c r="F239" s="534"/>
      <c r="G239" s="572"/>
      <c r="H239" s="534"/>
      <c r="I239" s="459"/>
      <c r="J239" s="231"/>
      <c r="K239" s="231"/>
      <c r="L239" s="231"/>
      <c r="M239" s="231"/>
      <c r="N239" s="231"/>
      <c r="O239" s="231"/>
      <c r="P239" s="231"/>
      <c r="Q239" s="231"/>
      <c r="R239" s="231"/>
      <c r="S239" s="231"/>
      <c r="T239" s="231"/>
      <c r="U239" s="231"/>
      <c r="V239" s="231"/>
      <c r="W239" s="231"/>
      <c r="X239" s="231"/>
      <c r="Y239" s="231"/>
      <c r="Z239" s="231"/>
      <c r="AA239" s="231"/>
      <c r="AB239" s="231"/>
      <c r="AC239" s="231"/>
      <c r="AD239" s="231"/>
      <c r="AE239" s="231"/>
      <c r="AF239" s="231"/>
      <c r="AG239" s="231"/>
      <c r="AH239" s="231"/>
      <c r="AI239" s="231"/>
      <c r="AJ239" s="231"/>
      <c r="AK239" s="231"/>
    </row>
    <row r="240" spans="1:37" s="203" customFormat="1">
      <c r="A240" s="819">
        <v>1</v>
      </c>
      <c r="B240" s="490" t="s">
        <v>188</v>
      </c>
      <c r="C240" s="490"/>
      <c r="D240" s="490"/>
      <c r="E240" s="516">
        <v>1231</v>
      </c>
      <c r="F240" s="52">
        <v>1200</v>
      </c>
      <c r="G240" s="572"/>
      <c r="H240" s="563">
        <v>1100</v>
      </c>
      <c r="I240" s="459"/>
      <c r="J240" s="231"/>
      <c r="K240" s="231"/>
      <c r="L240" s="231"/>
      <c r="M240" s="231"/>
      <c r="N240" s="231"/>
      <c r="O240" s="231"/>
      <c r="P240" s="231"/>
      <c r="Q240" s="231"/>
      <c r="R240" s="231"/>
      <c r="S240" s="231"/>
      <c r="T240" s="231"/>
      <c r="U240" s="231"/>
      <c r="V240" s="231"/>
      <c r="W240" s="231"/>
      <c r="X240" s="231"/>
      <c r="Y240" s="231"/>
      <c r="Z240" s="231"/>
      <c r="AA240" s="231"/>
      <c r="AB240" s="231"/>
      <c r="AC240" s="231"/>
      <c r="AD240" s="231"/>
      <c r="AE240" s="231"/>
      <c r="AF240" s="231"/>
      <c r="AG240" s="231"/>
      <c r="AH240" s="231"/>
      <c r="AI240" s="231"/>
      <c r="AJ240" s="231"/>
      <c r="AK240" s="231"/>
    </row>
    <row r="241" spans="1:37" s="203" customFormat="1">
      <c r="A241" s="819">
        <v>2</v>
      </c>
      <c r="B241" s="490" t="s">
        <v>189</v>
      </c>
      <c r="C241" s="490"/>
      <c r="D241" s="490"/>
      <c r="E241" s="564">
        <v>1154</v>
      </c>
      <c r="F241" s="52">
        <v>1539</v>
      </c>
      <c r="G241" s="572"/>
      <c r="H241" s="544">
        <v>1428</v>
      </c>
      <c r="I241" s="459"/>
      <c r="J241" s="231"/>
      <c r="K241" s="231"/>
      <c r="L241" s="231"/>
      <c r="M241" s="231"/>
      <c r="N241" s="231"/>
      <c r="O241" s="231"/>
      <c r="P241" s="231"/>
      <c r="Q241" s="231"/>
      <c r="R241" s="231"/>
      <c r="S241" s="231"/>
      <c r="T241" s="231"/>
      <c r="U241" s="231"/>
      <c r="V241" s="231"/>
      <c r="W241" s="231"/>
      <c r="X241" s="231"/>
      <c r="Y241" s="231"/>
      <c r="Z241" s="231"/>
      <c r="AA241" s="231"/>
      <c r="AB241" s="231"/>
      <c r="AC241" s="231"/>
      <c r="AD241" s="231"/>
      <c r="AE241" s="231"/>
      <c r="AF241" s="231"/>
      <c r="AG241" s="231"/>
      <c r="AH241" s="231"/>
      <c r="AI241" s="231"/>
      <c r="AJ241" s="231"/>
      <c r="AK241" s="231"/>
    </row>
    <row r="242" spans="1:37" s="203" customFormat="1">
      <c r="A242" s="819">
        <v>3</v>
      </c>
      <c r="B242" s="615" t="s">
        <v>190</v>
      </c>
      <c r="C242" s="615"/>
      <c r="D242" s="615"/>
      <c r="E242" s="522">
        <v>2385</v>
      </c>
      <c r="F242" s="590">
        <f>SUM(F240:F241)</f>
        <v>2739</v>
      </c>
      <c r="G242" s="572"/>
      <c r="H242" s="590">
        <f>SUM(H240:H241)</f>
        <v>2528</v>
      </c>
      <c r="I242" s="459"/>
      <c r="J242" s="231"/>
      <c r="K242" s="231"/>
      <c r="L242" s="231"/>
      <c r="M242" s="231"/>
      <c r="N242" s="231"/>
      <c r="O242" s="231"/>
      <c r="P242" s="231"/>
      <c r="Q242" s="231"/>
      <c r="R242" s="231"/>
      <c r="S242" s="231"/>
      <c r="T242" s="231"/>
      <c r="U242" s="231"/>
      <c r="V242" s="231"/>
      <c r="W242" s="231"/>
      <c r="X242" s="231"/>
      <c r="Y242" s="231"/>
      <c r="Z242" s="231"/>
      <c r="AA242" s="231"/>
      <c r="AB242" s="231"/>
      <c r="AC242" s="231"/>
      <c r="AD242" s="231"/>
      <c r="AE242" s="231"/>
      <c r="AF242" s="231"/>
      <c r="AG242" s="231"/>
      <c r="AH242" s="231"/>
      <c r="AI242" s="231"/>
      <c r="AJ242" s="231"/>
      <c r="AK242" s="231"/>
    </row>
    <row r="243" spans="1:37" s="203" customFormat="1">
      <c r="A243" s="819"/>
      <c r="B243" s="567"/>
      <c r="C243" s="567"/>
      <c r="D243" s="567"/>
      <c r="E243" s="571"/>
      <c r="F243" s="572"/>
      <c r="G243" s="572"/>
      <c r="H243" s="572"/>
      <c r="I243" s="459"/>
      <c r="J243" s="231"/>
      <c r="K243" s="231"/>
      <c r="L243" s="231"/>
      <c r="M243" s="231"/>
      <c r="N243" s="231"/>
      <c r="O243" s="231"/>
      <c r="P243" s="231"/>
      <c r="Q243" s="231"/>
      <c r="R243" s="231"/>
      <c r="S243" s="231"/>
      <c r="T243" s="231"/>
      <c r="U243" s="231"/>
      <c r="V243" s="231"/>
      <c r="W243" s="231"/>
      <c r="X243" s="231"/>
      <c r="Y243" s="231"/>
      <c r="Z243" s="231"/>
      <c r="AA243" s="231"/>
      <c r="AB243" s="231"/>
      <c r="AC243" s="231"/>
      <c r="AD243" s="231"/>
      <c r="AE243" s="231"/>
      <c r="AF243" s="231"/>
      <c r="AG243" s="231"/>
      <c r="AH243" s="231"/>
      <c r="AI243" s="231"/>
      <c r="AJ243" s="231"/>
      <c r="AK243" s="231"/>
    </row>
    <row r="244" spans="1:37" s="203" customFormat="1">
      <c r="A244" s="554" t="s">
        <v>191</v>
      </c>
      <c r="B244" s="490"/>
      <c r="C244" s="490"/>
      <c r="D244" s="490"/>
      <c r="E244" s="588"/>
      <c r="F244" s="534"/>
      <c r="G244" s="572"/>
      <c r="H244" s="534"/>
      <c r="I244" s="459"/>
      <c r="J244" s="231"/>
      <c r="K244" s="231"/>
      <c r="L244" s="231"/>
      <c r="M244" s="231"/>
      <c r="N244" s="231"/>
      <c r="O244" s="231"/>
      <c r="P244" s="231"/>
      <c r="Q244" s="231"/>
      <c r="R244" s="231"/>
      <c r="S244" s="231"/>
      <c r="T244" s="231"/>
      <c r="U244" s="231"/>
      <c r="V244" s="231"/>
      <c r="W244" s="231"/>
      <c r="X244" s="231"/>
      <c r="Y244" s="231"/>
      <c r="Z244" s="231"/>
      <c r="AA244" s="231"/>
      <c r="AB244" s="231"/>
      <c r="AC244" s="231"/>
      <c r="AD244" s="231"/>
      <c r="AE244" s="231"/>
      <c r="AF244" s="231"/>
      <c r="AG244" s="231"/>
      <c r="AH244" s="231"/>
      <c r="AI244" s="231"/>
      <c r="AJ244" s="231"/>
      <c r="AK244" s="231"/>
    </row>
    <row r="245" spans="1:37" s="203" customFormat="1">
      <c r="A245" s="819">
        <v>4</v>
      </c>
      <c r="B245" s="490" t="s">
        <v>192</v>
      </c>
      <c r="C245" s="490"/>
      <c r="D245" s="490"/>
      <c r="E245" s="516">
        <v>0</v>
      </c>
      <c r="F245" s="52">
        <v>0</v>
      </c>
      <c r="G245" s="572"/>
      <c r="H245" s="563">
        <v>0</v>
      </c>
      <c r="I245" s="459"/>
      <c r="J245" s="231"/>
      <c r="K245" s="231"/>
      <c r="L245" s="231"/>
      <c r="M245" s="231"/>
      <c r="N245" s="231"/>
      <c r="O245" s="231"/>
      <c r="P245" s="231"/>
      <c r="Q245" s="231"/>
      <c r="R245" s="231"/>
      <c r="S245" s="231"/>
      <c r="T245" s="231"/>
      <c r="U245" s="231"/>
      <c r="V245" s="231"/>
      <c r="W245" s="231"/>
      <c r="X245" s="231"/>
      <c r="Y245" s="231"/>
      <c r="Z245" s="231"/>
      <c r="AA245" s="231"/>
      <c r="AB245" s="231"/>
      <c r="AC245" s="231"/>
      <c r="AD245" s="231"/>
      <c r="AE245" s="231"/>
      <c r="AF245" s="231"/>
      <c r="AG245" s="231"/>
      <c r="AH245" s="231"/>
      <c r="AI245" s="231"/>
      <c r="AJ245" s="231"/>
      <c r="AK245" s="231"/>
    </row>
    <row r="246" spans="1:37" s="203" customFormat="1">
      <c r="A246" s="819">
        <v>5</v>
      </c>
      <c r="B246" s="490" t="s">
        <v>193</v>
      </c>
      <c r="C246" s="490"/>
      <c r="D246" s="490"/>
      <c r="E246" s="492">
        <v>400</v>
      </c>
      <c r="F246" s="52">
        <v>400</v>
      </c>
      <c r="G246" s="572"/>
      <c r="H246" s="544">
        <v>400</v>
      </c>
      <c r="I246" s="459"/>
      <c r="J246" s="231"/>
      <c r="K246" s="231"/>
      <c r="L246" s="231"/>
      <c r="M246" s="231"/>
      <c r="N246" s="231"/>
      <c r="O246" s="231"/>
      <c r="P246" s="231"/>
      <c r="Q246" s="231"/>
      <c r="R246" s="231"/>
      <c r="S246" s="231"/>
      <c r="T246" s="231"/>
      <c r="U246" s="231"/>
      <c r="V246" s="231"/>
      <c r="W246" s="231"/>
      <c r="X246" s="231"/>
      <c r="Y246" s="231"/>
      <c r="Z246" s="231"/>
      <c r="AA246" s="231"/>
      <c r="AB246" s="231"/>
      <c r="AC246" s="231"/>
      <c r="AD246" s="231"/>
      <c r="AE246" s="231"/>
      <c r="AF246" s="231"/>
      <c r="AG246" s="231"/>
      <c r="AH246" s="231"/>
      <c r="AI246" s="231"/>
      <c r="AJ246" s="231"/>
      <c r="AK246" s="231"/>
    </row>
    <row r="247" spans="1:37" s="203" customFormat="1">
      <c r="A247" s="819">
        <v>6</v>
      </c>
      <c r="B247" s="567" t="s">
        <v>194</v>
      </c>
      <c r="C247" s="567"/>
      <c r="D247" s="567"/>
      <c r="E247" s="522">
        <v>400</v>
      </c>
      <c r="F247" s="590">
        <f>SUM(F245:F246)</f>
        <v>400</v>
      </c>
      <c r="G247" s="572"/>
      <c r="H247" s="590">
        <f>SUM(H245:H246)</f>
        <v>400</v>
      </c>
      <c r="I247" s="459"/>
      <c r="J247" s="231"/>
      <c r="K247" s="231"/>
      <c r="L247" s="231"/>
      <c r="M247" s="231"/>
      <c r="N247" s="231"/>
      <c r="O247" s="231"/>
      <c r="P247" s="231"/>
      <c r="Q247" s="231"/>
      <c r="R247" s="231"/>
      <c r="S247" s="231"/>
      <c r="T247" s="231"/>
      <c r="U247" s="231"/>
      <c r="V247" s="231"/>
      <c r="W247" s="231"/>
      <c r="X247" s="231"/>
      <c r="Y247" s="231"/>
      <c r="Z247" s="231"/>
      <c r="AA247" s="231"/>
      <c r="AB247" s="231"/>
      <c r="AC247" s="231"/>
      <c r="AD247" s="231"/>
      <c r="AE247" s="231"/>
      <c r="AF247" s="231"/>
      <c r="AG247" s="231"/>
      <c r="AH247" s="231"/>
      <c r="AI247" s="231"/>
      <c r="AJ247" s="231"/>
      <c r="AK247" s="231"/>
    </row>
    <row r="248" spans="1:37" s="203" customFormat="1">
      <c r="A248" s="819"/>
      <c r="B248" s="567"/>
      <c r="C248" s="567"/>
      <c r="D248" s="567"/>
      <c r="E248" s="571"/>
      <c r="F248" s="572"/>
      <c r="G248" s="572"/>
      <c r="H248" s="572"/>
      <c r="I248" s="459"/>
      <c r="J248" s="231"/>
      <c r="K248" s="231"/>
      <c r="L248" s="231"/>
      <c r="M248" s="231"/>
      <c r="N248" s="231"/>
      <c r="O248" s="231"/>
      <c r="P248" s="231"/>
      <c r="Q248" s="231"/>
      <c r="R248" s="231"/>
      <c r="S248" s="231"/>
      <c r="T248" s="231"/>
      <c r="U248" s="231"/>
      <c r="V248" s="231"/>
      <c r="W248" s="231"/>
      <c r="X248" s="231"/>
      <c r="Y248" s="231"/>
      <c r="Z248" s="231"/>
      <c r="AA248" s="231"/>
      <c r="AB248" s="231"/>
      <c r="AC248" s="231"/>
      <c r="AD248" s="231"/>
      <c r="AE248" s="231"/>
      <c r="AF248" s="231"/>
      <c r="AG248" s="231"/>
      <c r="AH248" s="231"/>
      <c r="AI248" s="231"/>
      <c r="AJ248" s="231"/>
      <c r="AK248" s="231"/>
    </row>
    <row r="249" spans="1:37" s="203" customFormat="1">
      <c r="A249" s="554" t="s">
        <v>195</v>
      </c>
      <c r="B249" s="567"/>
      <c r="C249" s="567"/>
      <c r="D249" s="567"/>
      <c r="E249" s="588"/>
      <c r="F249" s="534"/>
      <c r="G249" s="572"/>
      <c r="H249" s="534"/>
      <c r="I249" s="459"/>
      <c r="J249" s="231"/>
      <c r="K249" s="231"/>
      <c r="L249" s="231"/>
      <c r="M249" s="231"/>
      <c r="N249" s="231"/>
      <c r="O249" s="231"/>
      <c r="P249" s="231"/>
      <c r="Q249" s="231"/>
      <c r="R249" s="231"/>
      <c r="S249" s="231"/>
      <c r="T249" s="231"/>
      <c r="U249" s="231"/>
      <c r="V249" s="231"/>
      <c r="W249" s="231"/>
      <c r="X249" s="231"/>
      <c r="Y249" s="231"/>
      <c r="Z249" s="231"/>
      <c r="AA249" s="231"/>
      <c r="AB249" s="231"/>
      <c r="AC249" s="231"/>
      <c r="AD249" s="231"/>
      <c r="AE249" s="231"/>
      <c r="AF249" s="231"/>
      <c r="AG249" s="231"/>
      <c r="AH249" s="231"/>
      <c r="AI249" s="231"/>
      <c r="AJ249" s="231"/>
      <c r="AK249" s="231"/>
    </row>
    <row r="250" spans="1:37" s="203" customFormat="1">
      <c r="A250" s="819">
        <v>7</v>
      </c>
      <c r="B250" s="490" t="s">
        <v>196</v>
      </c>
      <c r="C250" s="490"/>
      <c r="D250" s="490"/>
      <c r="E250" s="516">
        <v>354</v>
      </c>
      <c r="F250" s="52">
        <v>354</v>
      </c>
      <c r="G250" s="572"/>
      <c r="H250" s="52">
        <v>359</v>
      </c>
      <c r="I250" s="459"/>
      <c r="J250" s="231"/>
      <c r="K250" s="231"/>
      <c r="L250" s="231"/>
      <c r="M250" s="231"/>
      <c r="N250" s="231"/>
      <c r="O250" s="231"/>
      <c r="P250" s="231"/>
      <c r="Q250" s="231"/>
      <c r="R250" s="231"/>
      <c r="S250" s="231"/>
      <c r="T250" s="231"/>
      <c r="U250" s="231"/>
      <c r="V250" s="231"/>
      <c r="W250" s="231"/>
      <c r="X250" s="231"/>
      <c r="Y250" s="231"/>
      <c r="Z250" s="231"/>
      <c r="AA250" s="231"/>
      <c r="AB250" s="231"/>
      <c r="AC250" s="231"/>
      <c r="AD250" s="231"/>
      <c r="AE250" s="231"/>
      <c r="AF250" s="231"/>
      <c r="AG250" s="231"/>
      <c r="AH250" s="231"/>
      <c r="AI250" s="231"/>
      <c r="AJ250" s="231"/>
      <c r="AK250" s="231"/>
    </row>
    <row r="251" spans="1:37" s="203" customFormat="1">
      <c r="A251" s="819">
        <v>8</v>
      </c>
      <c r="B251" s="490" t="s">
        <v>197</v>
      </c>
      <c r="C251" s="490"/>
      <c r="D251" s="490"/>
      <c r="E251" s="492">
        <v>5204</v>
      </c>
      <c r="F251" s="52">
        <v>5703</v>
      </c>
      <c r="G251" s="572"/>
      <c r="H251" s="563">
        <v>4260</v>
      </c>
      <c r="I251" s="459"/>
      <c r="J251" s="231"/>
      <c r="K251" s="231"/>
      <c r="L251" s="231"/>
      <c r="M251" s="231"/>
      <c r="N251" s="231"/>
      <c r="O251" s="231"/>
      <c r="P251" s="231"/>
      <c r="Q251" s="231"/>
      <c r="R251" s="231"/>
      <c r="S251" s="231"/>
      <c r="T251" s="231"/>
      <c r="U251" s="231"/>
      <c r="V251" s="231"/>
      <c r="W251" s="231"/>
      <c r="X251" s="231"/>
      <c r="Y251" s="231"/>
      <c r="Z251" s="231"/>
      <c r="AA251" s="231"/>
      <c r="AB251" s="231"/>
      <c r="AC251" s="231"/>
      <c r="AD251" s="231"/>
      <c r="AE251" s="231"/>
      <c r="AF251" s="231"/>
      <c r="AG251" s="231"/>
      <c r="AH251" s="231"/>
      <c r="AI251" s="231"/>
      <c r="AJ251" s="231"/>
      <c r="AK251" s="231"/>
    </row>
    <row r="252" spans="1:37" s="203" customFormat="1">
      <c r="A252" s="819">
        <v>9</v>
      </c>
      <c r="B252" s="490" t="s">
        <v>198</v>
      </c>
      <c r="C252" s="490"/>
      <c r="D252" s="490"/>
      <c r="E252" s="492">
        <v>5430</v>
      </c>
      <c r="F252" s="52">
        <v>6808</v>
      </c>
      <c r="G252" s="572"/>
      <c r="H252" s="563">
        <v>6596</v>
      </c>
      <c r="I252" s="459"/>
      <c r="J252" s="231"/>
      <c r="K252" s="231"/>
      <c r="L252" s="231"/>
      <c r="M252" s="231"/>
      <c r="N252" s="231"/>
      <c r="O252" s="231"/>
      <c r="P252" s="231"/>
      <c r="Q252" s="231"/>
      <c r="R252" s="231"/>
      <c r="S252" s="231"/>
      <c r="T252" s="231"/>
      <c r="U252" s="231"/>
      <c r="V252" s="231"/>
      <c r="W252" s="231"/>
      <c r="X252" s="231"/>
      <c r="Y252" s="231"/>
      <c r="Z252" s="231"/>
      <c r="AA252" s="231"/>
      <c r="AB252" s="231"/>
      <c r="AC252" s="231"/>
      <c r="AD252" s="231"/>
      <c r="AE252" s="231"/>
      <c r="AF252" s="231"/>
      <c r="AG252" s="231"/>
      <c r="AH252" s="231"/>
      <c r="AI252" s="231"/>
      <c r="AJ252" s="231"/>
      <c r="AK252" s="231"/>
    </row>
    <row r="253" spans="1:37" s="203" customFormat="1">
      <c r="A253" s="819">
        <v>10</v>
      </c>
      <c r="B253" s="490" t="s">
        <v>199</v>
      </c>
      <c r="C253" s="490"/>
      <c r="D253" s="490"/>
      <c r="E253" s="492">
        <v>2164</v>
      </c>
      <c r="F253" s="52">
        <v>2054</v>
      </c>
      <c r="G253" s="572"/>
      <c r="H253" s="544">
        <v>2375</v>
      </c>
      <c r="I253" s="459"/>
      <c r="J253" s="231"/>
      <c r="K253" s="231"/>
      <c r="L253" s="231"/>
      <c r="M253" s="231"/>
      <c r="N253" s="231"/>
      <c r="O253" s="231"/>
      <c r="P253" s="231"/>
      <c r="Q253" s="231"/>
      <c r="R253" s="231"/>
      <c r="S253" s="231"/>
      <c r="T253" s="231"/>
      <c r="U253" s="231"/>
      <c r="V253" s="231"/>
      <c r="W253" s="231"/>
      <c r="X253" s="231"/>
      <c r="Y253" s="231"/>
      <c r="Z253" s="231"/>
      <c r="AA253" s="231"/>
      <c r="AB253" s="231"/>
      <c r="AC253" s="231"/>
      <c r="AD253" s="231"/>
      <c r="AE253" s="231"/>
      <c r="AF253" s="231"/>
      <c r="AG253" s="231"/>
      <c r="AH253" s="231"/>
      <c r="AI253" s="231"/>
      <c r="AJ253" s="231"/>
      <c r="AK253" s="231"/>
    </row>
    <row r="254" spans="1:37" s="203" customFormat="1">
      <c r="A254" s="819">
        <v>11</v>
      </c>
      <c r="B254" s="567" t="s">
        <v>200</v>
      </c>
      <c r="C254" s="567"/>
      <c r="D254" s="567"/>
      <c r="E254" s="522">
        <v>13152</v>
      </c>
      <c r="F254" s="590">
        <f>SUM(F250:F253)</f>
        <v>14919</v>
      </c>
      <c r="G254" s="572"/>
      <c r="H254" s="590">
        <f>SUM(H250:H253)</f>
        <v>13590</v>
      </c>
      <c r="I254" s="622"/>
      <c r="J254" s="231"/>
      <c r="K254" s="231"/>
      <c r="L254" s="231"/>
      <c r="M254" s="231"/>
      <c r="N254" s="231"/>
      <c r="O254" s="231"/>
      <c r="P254" s="231"/>
      <c r="Q254" s="231"/>
      <c r="R254" s="231"/>
      <c r="S254" s="231"/>
      <c r="T254" s="231"/>
      <c r="U254" s="231"/>
      <c r="V254" s="231"/>
      <c r="W254" s="231"/>
      <c r="X254" s="231"/>
      <c r="Y254" s="231"/>
      <c r="Z254" s="231"/>
      <c r="AA254" s="231"/>
      <c r="AB254" s="231"/>
      <c r="AC254" s="231"/>
      <c r="AD254" s="231"/>
      <c r="AE254" s="231"/>
      <c r="AF254" s="231"/>
      <c r="AG254" s="231"/>
      <c r="AH254" s="231"/>
      <c r="AI254" s="231"/>
      <c r="AJ254" s="231"/>
      <c r="AK254" s="231"/>
    </row>
    <row r="255" spans="1:37" s="203" customFormat="1">
      <c r="A255" s="819"/>
      <c r="B255" s="567"/>
      <c r="C255" s="567"/>
      <c r="D255" s="567"/>
      <c r="E255" s="571"/>
      <c r="F255" s="572"/>
      <c r="G255" s="572"/>
      <c r="H255" s="572"/>
      <c r="I255" s="459"/>
      <c r="J255" s="231"/>
      <c r="K255" s="231"/>
      <c r="L255" s="231"/>
      <c r="M255" s="231"/>
      <c r="N255" s="231"/>
      <c r="O255" s="231"/>
      <c r="P255" s="231"/>
      <c r="Q255" s="231"/>
      <c r="R255" s="231"/>
      <c r="S255" s="231"/>
      <c r="T255" s="231"/>
      <c r="U255" s="231"/>
      <c r="V255" s="231"/>
      <c r="W255" s="231"/>
      <c r="X255" s="231"/>
      <c r="Y255" s="231"/>
      <c r="Z255" s="231"/>
      <c r="AA255" s="231"/>
      <c r="AB255" s="231"/>
      <c r="AC255" s="231"/>
      <c r="AD255" s="231"/>
      <c r="AE255" s="231"/>
      <c r="AF255" s="231"/>
      <c r="AG255" s="231"/>
      <c r="AH255" s="231"/>
      <c r="AI255" s="231"/>
      <c r="AJ255" s="231"/>
      <c r="AK255" s="231"/>
    </row>
    <row r="256" spans="1:37" s="203" customFormat="1">
      <c r="A256" s="819">
        <v>12</v>
      </c>
      <c r="B256" s="490" t="s">
        <v>201</v>
      </c>
      <c r="C256" s="490"/>
      <c r="D256" s="490"/>
      <c r="E256" s="624">
        <v>4489</v>
      </c>
      <c r="F256" s="136">
        <v>4827</v>
      </c>
      <c r="G256" s="572"/>
      <c r="H256" s="625">
        <v>4795</v>
      </c>
      <c r="I256" s="622"/>
      <c r="J256" s="231"/>
      <c r="K256" s="231"/>
      <c r="L256" s="231"/>
      <c r="M256" s="231"/>
      <c r="N256" s="231"/>
      <c r="O256" s="231"/>
      <c r="P256" s="231"/>
      <c r="Q256" s="231"/>
      <c r="R256" s="231"/>
      <c r="S256" s="231"/>
      <c r="T256" s="231"/>
      <c r="U256" s="231"/>
      <c r="V256" s="231"/>
      <c r="W256" s="231"/>
      <c r="X256" s="231"/>
      <c r="Y256" s="231"/>
      <c r="Z256" s="231"/>
      <c r="AA256" s="231"/>
      <c r="AB256" s="231"/>
      <c r="AC256" s="231"/>
      <c r="AD256" s="231"/>
      <c r="AE256" s="231"/>
      <c r="AF256" s="231"/>
      <c r="AG256" s="231"/>
      <c r="AH256" s="231"/>
      <c r="AI256" s="231"/>
      <c r="AJ256" s="231"/>
      <c r="AK256" s="231"/>
    </row>
    <row r="257" spans="1:37" s="203" customFormat="1">
      <c r="A257" s="820">
        <v>13</v>
      </c>
      <c r="B257" s="538" t="s">
        <v>202</v>
      </c>
      <c r="C257" s="538"/>
      <c r="D257" s="538"/>
      <c r="E257" s="607">
        <v>20426</v>
      </c>
      <c r="F257" s="503">
        <f>F242+F247+F254+F256</f>
        <v>22885</v>
      </c>
      <c r="G257" s="572"/>
      <c r="H257" s="503">
        <f>H242+H247+H254+H256</f>
        <v>21313</v>
      </c>
      <c r="I257" s="461"/>
      <c r="J257" s="231"/>
      <c r="K257" s="231"/>
      <c r="L257" s="231"/>
      <c r="M257" s="231"/>
      <c r="N257" s="231"/>
      <c r="O257" s="231"/>
      <c r="P257" s="231"/>
      <c r="Q257" s="231"/>
      <c r="R257" s="231"/>
      <c r="S257" s="231"/>
      <c r="T257" s="231"/>
      <c r="U257" s="231"/>
      <c r="V257" s="231"/>
      <c r="W257" s="231"/>
      <c r="X257" s="231"/>
      <c r="Y257" s="231"/>
      <c r="Z257" s="231"/>
      <c r="AA257" s="231"/>
      <c r="AB257" s="231"/>
      <c r="AC257" s="231"/>
      <c r="AD257" s="231"/>
      <c r="AE257" s="231"/>
      <c r="AF257" s="231"/>
      <c r="AG257" s="231"/>
      <c r="AH257" s="231"/>
      <c r="AI257" s="231"/>
      <c r="AJ257" s="231"/>
      <c r="AK257" s="231"/>
    </row>
    <row r="258" spans="1:37" s="203" customFormat="1">
      <c r="A258" s="457"/>
      <c r="B258" s="457"/>
      <c r="C258" s="457"/>
      <c r="D258" s="626"/>
      <c r="E258" s="626"/>
      <c r="F258" s="457"/>
      <c r="G258" s="457"/>
      <c r="H258" s="457"/>
      <c r="I258" s="461"/>
      <c r="J258" s="231"/>
      <c r="K258" s="231"/>
      <c r="L258" s="231"/>
      <c r="M258" s="231"/>
      <c r="N258" s="231"/>
      <c r="O258" s="231"/>
      <c r="P258" s="231"/>
      <c r="Q258" s="231"/>
      <c r="R258" s="231"/>
      <c r="S258" s="231"/>
      <c r="T258" s="231"/>
      <c r="U258" s="231"/>
      <c r="V258" s="231"/>
      <c r="W258" s="231"/>
      <c r="X258" s="231"/>
      <c r="Y258" s="231"/>
      <c r="Z258" s="231"/>
      <c r="AA258" s="231"/>
      <c r="AB258" s="231"/>
      <c r="AC258" s="231"/>
      <c r="AD258" s="231"/>
      <c r="AE258" s="231"/>
      <c r="AF258" s="231"/>
      <c r="AG258" s="231"/>
      <c r="AH258" s="231"/>
      <c r="AI258" s="231"/>
      <c r="AJ258" s="231"/>
      <c r="AK258" s="231"/>
    </row>
    <row r="259" spans="1:37" s="203" customFormat="1">
      <c r="A259" s="464"/>
      <c r="B259" s="457"/>
      <c r="C259" s="457"/>
      <c r="D259" s="457"/>
      <c r="E259" s="457"/>
      <c r="F259" s="457"/>
      <c r="G259" s="457"/>
      <c r="H259" s="461"/>
      <c r="I259" s="461"/>
      <c r="J259" s="231"/>
      <c r="K259" s="231"/>
      <c r="L259" s="231"/>
      <c r="M259" s="231"/>
      <c r="N259" s="231"/>
      <c r="O259" s="231"/>
      <c r="P259" s="231"/>
      <c r="Q259" s="231"/>
      <c r="R259" s="231"/>
      <c r="S259" s="231"/>
      <c r="T259" s="231"/>
      <c r="U259" s="231"/>
      <c r="V259" s="231"/>
      <c r="W259" s="231"/>
      <c r="X259" s="231"/>
      <c r="Y259" s="231"/>
      <c r="Z259" s="231"/>
      <c r="AA259" s="231"/>
      <c r="AB259" s="231"/>
      <c r="AC259" s="231"/>
      <c r="AD259" s="231"/>
      <c r="AE259" s="231"/>
      <c r="AF259" s="231"/>
      <c r="AG259" s="231"/>
      <c r="AH259" s="231"/>
      <c r="AI259" s="231"/>
      <c r="AJ259" s="231"/>
      <c r="AK259" s="231"/>
    </row>
    <row r="260" spans="1:37" s="203" customFormat="1">
      <c r="A260" s="596"/>
      <c r="B260" s="459"/>
      <c r="C260" s="459"/>
      <c r="D260" s="620"/>
      <c r="E260" s="600"/>
      <c r="F260" s="459"/>
      <c r="G260" s="459"/>
      <c r="H260" s="550" t="s">
        <v>27</v>
      </c>
      <c r="I260" s="461"/>
      <c r="J260" s="231"/>
      <c r="K260" s="231"/>
      <c r="L260" s="231"/>
      <c r="M260" s="231"/>
      <c r="N260" s="231"/>
      <c r="O260" s="231"/>
      <c r="P260" s="231"/>
      <c r="Q260" s="231"/>
      <c r="R260" s="231"/>
      <c r="S260" s="231"/>
      <c r="T260" s="231"/>
      <c r="U260" s="231"/>
      <c r="V260" s="231"/>
      <c r="W260" s="231"/>
      <c r="X260" s="231"/>
      <c r="Y260" s="231"/>
      <c r="Z260" s="231"/>
      <c r="AA260" s="231"/>
      <c r="AB260" s="231"/>
      <c r="AC260" s="231"/>
      <c r="AD260" s="231"/>
      <c r="AE260" s="231"/>
      <c r="AF260" s="231"/>
      <c r="AG260" s="231"/>
      <c r="AH260" s="231"/>
      <c r="AI260" s="231"/>
      <c r="AJ260" s="231"/>
      <c r="AK260" s="231"/>
    </row>
    <row r="261" spans="1:37" s="203" customFormat="1" ht="12.75" customHeight="1">
      <c r="A261" s="552" t="s">
        <v>15</v>
      </c>
      <c r="B261" s="611"/>
      <c r="C261" s="611"/>
      <c r="D261" s="611"/>
      <c r="E261" s="910" t="s">
        <v>377</v>
      </c>
      <c r="F261" s="910" t="s">
        <v>402</v>
      </c>
      <c r="G261" s="579"/>
      <c r="H261" s="910" t="s">
        <v>403</v>
      </c>
      <c r="I261" s="461"/>
      <c r="J261" s="231"/>
      <c r="K261" s="231"/>
      <c r="L261" s="231"/>
      <c r="M261" s="231"/>
      <c r="N261" s="231"/>
      <c r="O261" s="231"/>
      <c r="P261" s="231"/>
      <c r="Q261" s="231"/>
      <c r="R261" s="231"/>
      <c r="S261" s="231"/>
      <c r="T261" s="231"/>
      <c r="U261" s="231"/>
      <c r="V261" s="231"/>
      <c r="W261" s="231"/>
      <c r="X261" s="231"/>
      <c r="Y261" s="231"/>
      <c r="Z261" s="231"/>
      <c r="AA261" s="231"/>
      <c r="AB261" s="231"/>
      <c r="AC261" s="231"/>
      <c r="AD261" s="231"/>
      <c r="AE261" s="231"/>
      <c r="AF261" s="231"/>
      <c r="AG261" s="231"/>
      <c r="AH261" s="231"/>
      <c r="AI261" s="231"/>
      <c r="AJ261" s="231"/>
      <c r="AK261" s="231"/>
    </row>
    <row r="262" spans="1:37" s="203" customFormat="1">
      <c r="A262" s="612"/>
      <c r="B262" s="490"/>
      <c r="C262" s="490"/>
      <c r="D262" s="490"/>
      <c r="E262" s="911"/>
      <c r="F262" s="911"/>
      <c r="G262" s="579"/>
      <c r="H262" s="911"/>
      <c r="I262" s="461"/>
      <c r="J262" s="231"/>
      <c r="K262" s="231"/>
      <c r="L262" s="231"/>
      <c r="M262" s="231"/>
      <c r="N262" s="231"/>
      <c r="O262" s="231"/>
      <c r="P262" s="231"/>
      <c r="Q262" s="231"/>
      <c r="R262" s="231"/>
      <c r="S262" s="231"/>
      <c r="T262" s="231"/>
      <c r="U262" s="231"/>
      <c r="V262" s="231"/>
      <c r="W262" s="231"/>
      <c r="X262" s="231"/>
      <c r="Y262" s="231"/>
      <c r="Z262" s="231"/>
      <c r="AA262" s="231"/>
      <c r="AB262" s="231"/>
      <c r="AC262" s="231"/>
      <c r="AD262" s="231"/>
      <c r="AE262" s="231"/>
      <c r="AF262" s="231"/>
      <c r="AG262" s="231"/>
      <c r="AH262" s="231"/>
      <c r="AI262" s="231"/>
      <c r="AJ262" s="231"/>
      <c r="AK262" s="231"/>
    </row>
    <row r="263" spans="1:37" s="203" customFormat="1">
      <c r="A263" s="555"/>
      <c r="B263" s="490"/>
      <c r="C263" s="490"/>
      <c r="D263" s="490"/>
      <c r="E263" s="911"/>
      <c r="F263" s="911"/>
      <c r="G263" s="579"/>
      <c r="H263" s="911"/>
      <c r="I263" s="461"/>
      <c r="J263" s="231"/>
      <c r="K263" s="231"/>
      <c r="L263" s="231"/>
      <c r="M263" s="231"/>
      <c r="N263" s="231"/>
      <c r="O263" s="231"/>
      <c r="P263" s="231"/>
      <c r="Q263" s="231"/>
      <c r="R263" s="231"/>
      <c r="S263" s="231"/>
      <c r="T263" s="231"/>
      <c r="U263" s="231"/>
      <c r="V263" s="231"/>
      <c r="W263" s="231"/>
      <c r="X263" s="231"/>
      <c r="Y263" s="231"/>
      <c r="Z263" s="231"/>
      <c r="AA263" s="231"/>
      <c r="AB263" s="231"/>
      <c r="AC263" s="231"/>
      <c r="AD263" s="231"/>
      <c r="AE263" s="231"/>
      <c r="AF263" s="231"/>
      <c r="AG263" s="231"/>
      <c r="AH263" s="231"/>
      <c r="AI263" s="231"/>
      <c r="AJ263" s="231"/>
      <c r="AK263" s="231"/>
    </row>
    <row r="264" spans="1:37" s="203" customFormat="1">
      <c r="A264" s="602" t="s">
        <v>203</v>
      </c>
      <c r="B264" s="490"/>
      <c r="C264" s="490"/>
      <c r="D264" s="490"/>
      <c r="E264" s="911"/>
      <c r="F264" s="911"/>
      <c r="G264" s="579"/>
      <c r="H264" s="911"/>
      <c r="I264" s="461"/>
      <c r="J264" s="231"/>
      <c r="K264" s="231"/>
      <c r="L264" s="231"/>
      <c r="M264" s="231"/>
      <c r="N264" s="231"/>
      <c r="O264" s="231"/>
      <c r="P264" s="231"/>
      <c r="Q264" s="231"/>
      <c r="R264" s="231"/>
      <c r="S264" s="231"/>
      <c r="T264" s="231"/>
      <c r="U264" s="231"/>
      <c r="V264" s="231"/>
      <c r="W264" s="231"/>
      <c r="X264" s="231"/>
      <c r="Y264" s="231"/>
      <c r="Z264" s="231"/>
      <c r="AA264" s="231"/>
      <c r="AB264" s="231"/>
      <c r="AC264" s="231"/>
      <c r="AD264" s="231"/>
      <c r="AE264" s="231"/>
      <c r="AF264" s="231"/>
      <c r="AG264" s="231"/>
      <c r="AH264" s="231"/>
      <c r="AI264" s="231"/>
      <c r="AJ264" s="231"/>
      <c r="AK264" s="231"/>
    </row>
    <row r="265" spans="1:37" s="203" customFormat="1">
      <c r="A265" s="555" t="s">
        <v>83</v>
      </c>
      <c r="B265" s="490"/>
      <c r="C265" s="490"/>
      <c r="D265" s="490"/>
      <c r="E265" s="912"/>
      <c r="F265" s="912"/>
      <c r="G265" s="579"/>
      <c r="H265" s="912"/>
      <c r="I265" s="461"/>
      <c r="J265" s="231"/>
      <c r="K265" s="231"/>
      <c r="L265" s="231"/>
      <c r="M265" s="231"/>
      <c r="N265" s="231"/>
      <c r="O265" s="231"/>
      <c r="P265" s="231"/>
      <c r="Q265" s="231"/>
      <c r="R265" s="231"/>
      <c r="S265" s="231"/>
      <c r="T265" s="231"/>
      <c r="U265" s="231"/>
      <c r="V265" s="231"/>
      <c r="W265" s="231"/>
      <c r="X265" s="231"/>
      <c r="Y265" s="231"/>
      <c r="Z265" s="231"/>
      <c r="AA265" s="231"/>
      <c r="AB265" s="231"/>
      <c r="AC265" s="231"/>
      <c r="AD265" s="231"/>
      <c r="AE265" s="231"/>
      <c r="AF265" s="231"/>
      <c r="AG265" s="231"/>
      <c r="AH265" s="231"/>
      <c r="AI265" s="231"/>
      <c r="AJ265" s="231"/>
      <c r="AK265" s="231"/>
    </row>
    <row r="266" spans="1:37" s="203" customFormat="1">
      <c r="A266" s="556" t="s">
        <v>84</v>
      </c>
      <c r="B266" s="567"/>
      <c r="C266" s="567"/>
      <c r="D266" s="567"/>
      <c r="E266" s="627"/>
      <c r="F266" s="534"/>
      <c r="G266" s="572"/>
      <c r="H266" s="534"/>
      <c r="I266" s="461"/>
      <c r="J266" s="231"/>
      <c r="K266" s="231"/>
      <c r="L266" s="231"/>
      <c r="M266" s="231"/>
      <c r="N266" s="231"/>
      <c r="O266" s="231"/>
      <c r="P266" s="231"/>
      <c r="Q266" s="231"/>
      <c r="R266" s="231"/>
      <c r="S266" s="231"/>
      <c r="T266" s="231"/>
      <c r="U266" s="231"/>
      <c r="V266" s="231"/>
      <c r="W266" s="231"/>
      <c r="X266" s="231"/>
      <c r="Y266" s="231"/>
      <c r="Z266" s="231"/>
      <c r="AA266" s="231"/>
      <c r="AB266" s="231"/>
      <c r="AC266" s="231"/>
      <c r="AD266" s="231"/>
      <c r="AE266" s="231"/>
      <c r="AF266" s="231"/>
      <c r="AG266" s="231"/>
      <c r="AH266" s="231"/>
      <c r="AI266" s="231"/>
      <c r="AJ266" s="231"/>
      <c r="AK266" s="231"/>
    </row>
    <row r="267" spans="1:37" s="203" customFormat="1">
      <c r="A267" s="819">
        <v>1</v>
      </c>
      <c r="B267" s="490" t="s">
        <v>204</v>
      </c>
      <c r="C267" s="490"/>
      <c r="D267" s="490"/>
      <c r="E267" s="516">
        <v>0</v>
      </c>
      <c r="F267" s="52">
        <v>0</v>
      </c>
      <c r="G267" s="572"/>
      <c r="H267" s="563">
        <v>0</v>
      </c>
      <c r="I267" s="461"/>
      <c r="J267" s="231"/>
      <c r="K267" s="231"/>
      <c r="L267" s="231"/>
      <c r="M267" s="231"/>
      <c r="N267" s="231"/>
      <c r="O267" s="231"/>
      <c r="P267" s="231"/>
      <c r="Q267" s="231"/>
      <c r="R267" s="231"/>
      <c r="S267" s="231"/>
      <c r="T267" s="231"/>
      <c r="U267" s="231"/>
      <c r="V267" s="231"/>
      <c r="W267" s="231"/>
      <c r="X267" s="231"/>
      <c r="Y267" s="231"/>
      <c r="Z267" s="231"/>
      <c r="AA267" s="231"/>
      <c r="AB267" s="231"/>
      <c r="AC267" s="231"/>
      <c r="AD267" s="231"/>
      <c r="AE267" s="231"/>
      <c r="AF267" s="231"/>
      <c r="AG267" s="231"/>
      <c r="AH267" s="231"/>
      <c r="AI267" s="231"/>
      <c r="AJ267" s="231"/>
      <c r="AK267" s="231"/>
    </row>
    <row r="268" spans="1:37" s="203" customFormat="1">
      <c r="A268" s="819">
        <v>2</v>
      </c>
      <c r="B268" s="613" t="s">
        <v>205</v>
      </c>
      <c r="C268" s="613"/>
      <c r="D268" s="490"/>
      <c r="E268" s="564">
        <v>454</v>
      </c>
      <c r="F268" s="52">
        <v>428</v>
      </c>
      <c r="G268" s="572"/>
      <c r="H268" s="563">
        <v>433</v>
      </c>
      <c r="I268" s="461"/>
      <c r="J268" s="231"/>
      <c r="K268" s="231"/>
      <c r="L268" s="231"/>
      <c r="M268" s="231"/>
      <c r="N268" s="231"/>
      <c r="O268" s="231"/>
      <c r="P268" s="231"/>
      <c r="Q268" s="231"/>
      <c r="R268" s="231"/>
      <c r="S268" s="231"/>
      <c r="T268" s="231"/>
      <c r="U268" s="231"/>
      <c r="V268" s="231"/>
      <c r="W268" s="231"/>
      <c r="X268" s="231"/>
      <c r="Y268" s="231"/>
      <c r="Z268" s="231"/>
      <c r="AA268" s="231"/>
      <c r="AB268" s="231"/>
      <c r="AC268" s="231"/>
      <c r="AD268" s="231"/>
      <c r="AE268" s="231"/>
      <c r="AF268" s="231"/>
      <c r="AG268" s="231"/>
      <c r="AH268" s="231"/>
      <c r="AI268" s="231"/>
      <c r="AJ268" s="231"/>
      <c r="AK268" s="231"/>
    </row>
    <row r="269" spans="1:37" s="203" customFormat="1">
      <c r="A269" s="819">
        <v>3</v>
      </c>
      <c r="B269" s="490" t="s">
        <v>206</v>
      </c>
      <c r="C269" s="490"/>
      <c r="D269" s="615"/>
      <c r="E269" s="564">
        <v>486</v>
      </c>
      <c r="F269" s="52">
        <v>440</v>
      </c>
      <c r="G269" s="572"/>
      <c r="H269" s="563">
        <v>482</v>
      </c>
      <c r="I269" s="461"/>
      <c r="J269" s="231"/>
      <c r="K269" s="231"/>
      <c r="L269" s="231"/>
      <c r="M269" s="231"/>
      <c r="N269" s="231"/>
      <c r="O269" s="231"/>
      <c r="P269" s="231"/>
      <c r="Q269" s="231"/>
      <c r="R269" s="231"/>
      <c r="S269" s="231"/>
      <c r="T269" s="231"/>
      <c r="U269" s="231"/>
      <c r="V269" s="231"/>
      <c r="W269" s="231"/>
      <c r="X269" s="231"/>
      <c r="Y269" s="231"/>
      <c r="Z269" s="231"/>
      <c r="AA269" s="231"/>
      <c r="AB269" s="231"/>
      <c r="AC269" s="231"/>
      <c r="AD269" s="231"/>
      <c r="AE269" s="231"/>
      <c r="AF269" s="231"/>
      <c r="AG269" s="231"/>
      <c r="AH269" s="231"/>
      <c r="AI269" s="231"/>
      <c r="AJ269" s="231"/>
      <c r="AK269" s="231"/>
    </row>
    <row r="270" spans="1:37" s="203" customFormat="1">
      <c r="A270" s="819">
        <v>4</v>
      </c>
      <c r="B270" s="490" t="s">
        <v>207</v>
      </c>
      <c r="C270" s="490"/>
      <c r="D270" s="567"/>
      <c r="E270" s="564">
        <v>746</v>
      </c>
      <c r="F270" s="52">
        <v>2249</v>
      </c>
      <c r="G270" s="572"/>
      <c r="H270" s="563">
        <v>677</v>
      </c>
      <c r="I270" s="461"/>
      <c r="J270" s="231"/>
      <c r="K270" s="231"/>
      <c r="L270" s="231"/>
      <c r="M270" s="231"/>
      <c r="N270" s="231"/>
      <c r="O270" s="231"/>
      <c r="P270" s="231"/>
      <c r="Q270" s="231"/>
      <c r="R270" s="231"/>
      <c r="S270" s="231"/>
      <c r="T270" s="231"/>
      <c r="U270" s="231"/>
      <c r="V270" s="231"/>
      <c r="W270" s="231"/>
      <c r="X270" s="231"/>
      <c r="Y270" s="231"/>
      <c r="Z270" s="231"/>
      <c r="AA270" s="231"/>
      <c r="AB270" s="231"/>
      <c r="AC270" s="231"/>
      <c r="AD270" s="231"/>
      <c r="AE270" s="231"/>
      <c r="AF270" s="231"/>
      <c r="AG270" s="231"/>
      <c r="AH270" s="231"/>
      <c r="AI270" s="231"/>
      <c r="AJ270" s="231"/>
      <c r="AK270" s="231"/>
    </row>
    <row r="271" spans="1:37" s="203" customFormat="1">
      <c r="A271" s="819">
        <v>5</v>
      </c>
      <c r="B271" s="490" t="s">
        <v>208</v>
      </c>
      <c r="C271" s="490"/>
      <c r="D271" s="490"/>
      <c r="E271" s="564">
        <v>233</v>
      </c>
      <c r="F271" s="52">
        <v>36</v>
      </c>
      <c r="G271" s="572"/>
      <c r="H271" s="563">
        <v>253</v>
      </c>
      <c r="I271" s="461"/>
      <c r="J271" s="231"/>
      <c r="K271" s="231"/>
      <c r="L271" s="231"/>
      <c r="M271" s="231"/>
      <c r="N271" s="231"/>
      <c r="O271" s="231"/>
      <c r="P271" s="231"/>
      <c r="Q271" s="231"/>
      <c r="R271" s="231"/>
      <c r="S271" s="231"/>
      <c r="T271" s="231"/>
      <c r="U271" s="231"/>
      <c r="V271" s="231"/>
      <c r="W271" s="231"/>
      <c r="X271" s="231"/>
      <c r="Y271" s="231"/>
      <c r="Z271" s="231"/>
      <c r="AA271" s="231"/>
      <c r="AB271" s="231"/>
      <c r="AC271" s="231"/>
      <c r="AD271" s="231"/>
      <c r="AE271" s="231"/>
      <c r="AF271" s="231"/>
      <c r="AG271" s="231"/>
      <c r="AH271" s="231"/>
      <c r="AI271" s="231"/>
      <c r="AJ271" s="231"/>
      <c r="AK271" s="231"/>
    </row>
    <row r="272" spans="1:37" s="203" customFormat="1">
      <c r="A272" s="819">
        <v>6</v>
      </c>
      <c r="B272" s="490" t="s">
        <v>209</v>
      </c>
      <c r="C272" s="490"/>
      <c r="D272" s="490"/>
      <c r="E272" s="564">
        <v>219</v>
      </c>
      <c r="F272" s="52">
        <v>35</v>
      </c>
      <c r="G272" s="572"/>
      <c r="H272" s="563">
        <v>245</v>
      </c>
      <c r="I272" s="461"/>
      <c r="J272" s="231"/>
      <c r="K272" s="231"/>
      <c r="L272" s="231"/>
      <c r="M272" s="231"/>
      <c r="N272" s="231"/>
      <c r="O272" s="231"/>
      <c r="P272" s="231"/>
      <c r="Q272" s="231"/>
      <c r="R272" s="231"/>
      <c r="S272" s="231"/>
      <c r="T272" s="231"/>
      <c r="U272" s="231"/>
      <c r="V272" s="231"/>
      <c r="W272" s="231"/>
      <c r="X272" s="231"/>
      <c r="Y272" s="231"/>
      <c r="Z272" s="231"/>
      <c r="AA272" s="231"/>
      <c r="AB272" s="231"/>
      <c r="AC272" s="231"/>
      <c r="AD272" s="231"/>
      <c r="AE272" s="231"/>
      <c r="AF272" s="231"/>
      <c r="AG272" s="231"/>
      <c r="AH272" s="231"/>
      <c r="AI272" s="231"/>
      <c r="AJ272" s="231"/>
      <c r="AK272" s="231"/>
    </row>
    <row r="273" spans="1:37" s="203" customFormat="1">
      <c r="A273" s="819">
        <v>7</v>
      </c>
      <c r="B273" s="490" t="s">
        <v>210</v>
      </c>
      <c r="C273" s="490"/>
      <c r="D273" s="490"/>
      <c r="E273" s="564">
        <v>3214</v>
      </c>
      <c r="F273" s="52">
        <v>3692</v>
      </c>
      <c r="G273" s="572"/>
      <c r="H273" s="563">
        <v>3047</v>
      </c>
      <c r="I273" s="461"/>
      <c r="J273" s="231"/>
      <c r="K273" s="231"/>
      <c r="L273" s="231"/>
      <c r="M273" s="231"/>
      <c r="N273" s="231"/>
      <c r="O273" s="231"/>
      <c r="P273" s="231"/>
      <c r="Q273" s="231"/>
      <c r="R273" s="231"/>
      <c r="S273" s="231"/>
      <c r="T273" s="231"/>
      <c r="U273" s="231"/>
      <c r="V273" s="231"/>
      <c r="W273" s="231"/>
      <c r="X273" s="231"/>
      <c r="Y273" s="231"/>
      <c r="Z273" s="231"/>
      <c r="AA273" s="231"/>
      <c r="AB273" s="231"/>
      <c r="AC273" s="231"/>
      <c r="AD273" s="231"/>
      <c r="AE273" s="231"/>
      <c r="AF273" s="231"/>
      <c r="AG273" s="231"/>
      <c r="AH273" s="231"/>
      <c r="AI273" s="231"/>
      <c r="AJ273" s="231"/>
      <c r="AK273" s="231"/>
    </row>
    <row r="274" spans="1:37" s="203" customFormat="1">
      <c r="A274" s="819">
        <v>8</v>
      </c>
      <c r="B274" s="490" t="s">
        <v>211</v>
      </c>
      <c r="C274" s="490"/>
      <c r="D274" s="490"/>
      <c r="E274" s="564">
        <v>684</v>
      </c>
      <c r="F274" s="52">
        <v>668</v>
      </c>
      <c r="G274" s="572"/>
      <c r="H274" s="563">
        <v>874</v>
      </c>
      <c r="I274" s="461"/>
      <c r="J274" s="231"/>
      <c r="K274" s="231"/>
      <c r="L274" s="231"/>
      <c r="M274" s="231"/>
      <c r="N274" s="231"/>
      <c r="O274" s="231"/>
      <c r="P274" s="231"/>
      <c r="Q274" s="231"/>
      <c r="R274" s="231"/>
      <c r="S274" s="231"/>
      <c r="T274" s="231"/>
      <c r="U274" s="231"/>
      <c r="V274" s="231"/>
      <c r="W274" s="231"/>
      <c r="X274" s="231"/>
      <c r="Y274" s="231"/>
      <c r="Z274" s="231"/>
      <c r="AA274" s="231"/>
      <c r="AB274" s="231"/>
      <c r="AC274" s="231"/>
      <c r="AD274" s="231"/>
      <c r="AE274" s="231"/>
      <c r="AF274" s="231"/>
      <c r="AG274" s="231"/>
      <c r="AH274" s="231"/>
      <c r="AI274" s="231"/>
      <c r="AJ274" s="231"/>
      <c r="AK274" s="231"/>
    </row>
    <row r="275" spans="1:37" s="203" customFormat="1">
      <c r="A275" s="819">
        <v>9</v>
      </c>
      <c r="B275" s="490" t="s">
        <v>212</v>
      </c>
      <c r="C275" s="490"/>
      <c r="D275" s="490"/>
      <c r="E275" s="564">
        <v>0</v>
      </c>
      <c r="F275" s="52">
        <v>0</v>
      </c>
      <c r="G275" s="572"/>
      <c r="H275" s="563">
        <v>0</v>
      </c>
      <c r="I275" s="461"/>
      <c r="J275" s="231"/>
      <c r="K275" s="231"/>
      <c r="L275" s="231"/>
      <c r="M275" s="231"/>
      <c r="N275" s="231"/>
      <c r="O275" s="231"/>
      <c r="P275" s="231"/>
      <c r="Q275" s="231"/>
      <c r="R275" s="231"/>
      <c r="S275" s="231"/>
      <c r="T275" s="231"/>
      <c r="U275" s="231"/>
      <c r="V275" s="231"/>
      <c r="W275" s="231"/>
      <c r="X275" s="231"/>
      <c r="Y275" s="231"/>
      <c r="Z275" s="231"/>
      <c r="AA275" s="231"/>
      <c r="AB275" s="231"/>
      <c r="AC275" s="231"/>
      <c r="AD275" s="231"/>
      <c r="AE275" s="231"/>
      <c r="AF275" s="231"/>
      <c r="AG275" s="231"/>
      <c r="AH275" s="231"/>
      <c r="AI275" s="231"/>
      <c r="AJ275" s="231"/>
      <c r="AK275" s="231"/>
    </row>
    <row r="276" spans="1:37" s="203" customFormat="1">
      <c r="A276" s="819">
        <v>10</v>
      </c>
      <c r="B276" s="490" t="s">
        <v>213</v>
      </c>
      <c r="C276" s="490"/>
      <c r="D276" s="490"/>
      <c r="E276" s="564">
        <v>914</v>
      </c>
      <c r="F276" s="52">
        <v>1146</v>
      </c>
      <c r="G276" s="572"/>
      <c r="H276" s="543">
        <v>1140</v>
      </c>
      <c r="I276" s="461"/>
      <c r="J276" s="231"/>
      <c r="K276" s="231"/>
      <c r="L276" s="231"/>
      <c r="M276" s="231"/>
      <c r="N276" s="231"/>
      <c r="O276" s="231"/>
      <c r="P276" s="231"/>
      <c r="Q276" s="231"/>
      <c r="R276" s="231"/>
      <c r="S276" s="231"/>
      <c r="T276" s="231"/>
      <c r="U276" s="231"/>
      <c r="V276" s="231"/>
      <c r="W276" s="231"/>
      <c r="X276" s="231"/>
      <c r="Y276" s="231"/>
      <c r="Z276" s="231"/>
      <c r="AA276" s="231"/>
      <c r="AB276" s="231"/>
      <c r="AC276" s="231"/>
      <c r="AD276" s="231"/>
      <c r="AE276" s="231"/>
      <c r="AF276" s="231"/>
      <c r="AG276" s="231"/>
      <c r="AH276" s="231"/>
      <c r="AI276" s="231"/>
      <c r="AJ276" s="231"/>
      <c r="AK276" s="231"/>
    </row>
    <row r="277" spans="1:37" s="203" customFormat="1">
      <c r="A277" s="820">
        <v>11</v>
      </c>
      <c r="B277" s="538" t="s">
        <v>214</v>
      </c>
      <c r="C277" s="538"/>
      <c r="D277" s="538"/>
      <c r="E277" s="607">
        <v>6950</v>
      </c>
      <c r="F277" s="503">
        <f>SUM(F267:F276)</f>
        <v>8694</v>
      </c>
      <c r="G277" s="572"/>
      <c r="H277" s="503">
        <f>SUM(H267:H276)</f>
        <v>7151</v>
      </c>
      <c r="I277" s="461"/>
      <c r="J277" s="231"/>
      <c r="K277" s="231"/>
      <c r="L277" s="231"/>
      <c r="M277" s="231"/>
      <c r="N277" s="231"/>
      <c r="O277" s="231"/>
      <c r="P277" s="231"/>
      <c r="Q277" s="231"/>
      <c r="R277" s="231"/>
      <c r="S277" s="231"/>
      <c r="T277" s="231"/>
      <c r="U277" s="231"/>
      <c r="V277" s="231"/>
      <c r="W277" s="231"/>
      <c r="X277" s="231"/>
      <c r="Y277" s="231"/>
      <c r="Z277" s="231"/>
      <c r="AA277" s="231"/>
      <c r="AB277" s="231"/>
      <c r="AC277" s="231"/>
      <c r="AD277" s="231"/>
      <c r="AE277" s="231"/>
      <c r="AF277" s="231"/>
      <c r="AG277" s="231"/>
      <c r="AH277" s="231"/>
      <c r="AI277" s="231"/>
      <c r="AJ277" s="231"/>
      <c r="AK277" s="231"/>
    </row>
    <row r="278" spans="1:37" s="203" customFormat="1">
      <c r="A278" s="457"/>
      <c r="B278" s="457"/>
      <c r="C278" s="457"/>
      <c r="D278" s="457"/>
      <c r="E278" s="457"/>
      <c r="F278" s="457"/>
      <c r="G278" s="457"/>
      <c r="H278" s="457"/>
      <c r="I278" s="461"/>
      <c r="J278" s="231"/>
      <c r="K278" s="231"/>
      <c r="L278" s="231"/>
      <c r="M278" s="231"/>
      <c r="N278" s="231"/>
      <c r="O278" s="231"/>
      <c r="P278" s="231"/>
      <c r="Q278" s="231"/>
      <c r="R278" s="231"/>
      <c r="S278" s="231"/>
      <c r="T278" s="231"/>
      <c r="U278" s="231"/>
      <c r="V278" s="231"/>
      <c r="W278" s="231"/>
      <c r="X278" s="231"/>
      <c r="Y278" s="231"/>
      <c r="Z278" s="231"/>
      <c r="AA278" s="231"/>
      <c r="AB278" s="231"/>
      <c r="AC278" s="231"/>
      <c r="AD278" s="231"/>
      <c r="AE278" s="231"/>
      <c r="AF278" s="231"/>
      <c r="AG278" s="231"/>
      <c r="AH278" s="231"/>
      <c r="AI278" s="231"/>
      <c r="AJ278" s="231"/>
      <c r="AK278" s="231"/>
    </row>
    <row r="279" spans="1:37" s="203" customFormat="1">
      <c r="A279" s="457"/>
      <c r="B279" s="457"/>
      <c r="C279" s="457"/>
      <c r="D279" s="457"/>
      <c r="E279" s="457"/>
      <c r="F279" s="457"/>
      <c r="G279" s="457"/>
      <c r="H279" s="550" t="s">
        <v>27</v>
      </c>
      <c r="I279" s="461"/>
      <c r="J279" s="231"/>
      <c r="K279" s="231"/>
      <c r="L279" s="231"/>
      <c r="M279" s="231"/>
      <c r="N279" s="231"/>
      <c r="O279" s="231"/>
      <c r="P279" s="231"/>
      <c r="Q279" s="231"/>
      <c r="R279" s="231"/>
      <c r="S279" s="231"/>
      <c r="T279" s="231"/>
      <c r="U279" s="231"/>
      <c r="V279" s="231"/>
      <c r="W279" s="231"/>
      <c r="X279" s="231"/>
      <c r="Y279" s="231"/>
      <c r="Z279" s="231"/>
      <c r="AA279" s="231"/>
      <c r="AB279" s="231"/>
      <c r="AC279" s="231"/>
      <c r="AD279" s="231"/>
      <c r="AE279" s="231"/>
      <c r="AF279" s="231"/>
      <c r="AG279" s="231"/>
      <c r="AH279" s="231"/>
      <c r="AI279" s="231"/>
      <c r="AJ279" s="231"/>
      <c r="AK279" s="231"/>
    </row>
    <row r="280" spans="1:37" s="203" customFormat="1" ht="12.75" customHeight="1">
      <c r="A280" s="552" t="s">
        <v>18</v>
      </c>
      <c r="B280" s="611"/>
      <c r="C280" s="611"/>
      <c r="D280" s="611"/>
      <c r="E280" s="910" t="s">
        <v>377</v>
      </c>
      <c r="F280" s="910" t="s">
        <v>402</v>
      </c>
      <c r="G280" s="579"/>
      <c r="H280" s="910" t="s">
        <v>403</v>
      </c>
      <c r="I280" s="461"/>
      <c r="J280" s="231"/>
      <c r="K280" s="231"/>
      <c r="L280" s="231"/>
      <c r="M280" s="231"/>
      <c r="N280" s="231"/>
      <c r="O280" s="231"/>
      <c r="P280" s="231"/>
      <c r="Q280" s="231"/>
      <c r="R280" s="231"/>
      <c r="S280" s="231"/>
      <c r="T280" s="231"/>
      <c r="U280" s="231"/>
      <c r="V280" s="231"/>
      <c r="W280" s="231"/>
      <c r="X280" s="231"/>
      <c r="Y280" s="231"/>
      <c r="Z280" s="231"/>
      <c r="AA280" s="231"/>
      <c r="AB280" s="231"/>
      <c r="AC280" s="231"/>
      <c r="AD280" s="231"/>
      <c r="AE280" s="231"/>
      <c r="AF280" s="231"/>
      <c r="AG280" s="231"/>
      <c r="AH280" s="231"/>
      <c r="AI280" s="231"/>
      <c r="AJ280" s="231"/>
      <c r="AK280" s="231"/>
    </row>
    <row r="281" spans="1:37" s="203" customFormat="1">
      <c r="A281" s="612"/>
      <c r="B281" s="490"/>
      <c r="C281" s="490"/>
      <c r="D281" s="490"/>
      <c r="E281" s="911"/>
      <c r="F281" s="911"/>
      <c r="G281" s="579"/>
      <c r="H281" s="911"/>
      <c r="I281" s="461"/>
      <c r="J281" s="231"/>
      <c r="K281" s="231"/>
      <c r="L281" s="231"/>
      <c r="M281" s="231"/>
      <c r="N281" s="231"/>
      <c r="O281" s="231"/>
      <c r="P281" s="231"/>
      <c r="Q281" s="231"/>
      <c r="R281" s="231"/>
      <c r="S281" s="231"/>
      <c r="T281" s="231"/>
      <c r="U281" s="231"/>
      <c r="V281" s="231"/>
      <c r="W281" s="231"/>
      <c r="X281" s="231"/>
      <c r="Y281" s="231"/>
      <c r="Z281" s="231"/>
      <c r="AA281" s="231"/>
      <c r="AB281" s="231"/>
      <c r="AC281" s="231"/>
      <c r="AD281" s="231"/>
      <c r="AE281" s="231"/>
      <c r="AF281" s="231"/>
      <c r="AG281" s="231"/>
      <c r="AH281" s="231"/>
      <c r="AI281" s="231"/>
      <c r="AJ281" s="231"/>
      <c r="AK281" s="231"/>
    </row>
    <row r="282" spans="1:37" s="203" customFormat="1" ht="21.75" customHeight="1">
      <c r="A282" s="555"/>
      <c r="B282" s="490"/>
      <c r="C282" s="490"/>
      <c r="D282" s="490"/>
      <c r="E282" s="911"/>
      <c r="F282" s="911"/>
      <c r="G282" s="579"/>
      <c r="H282" s="911"/>
      <c r="I282" s="461"/>
      <c r="J282" s="231"/>
      <c r="K282" s="231"/>
      <c r="L282" s="231"/>
      <c r="M282" s="231"/>
      <c r="N282" s="231"/>
      <c r="O282" s="231"/>
      <c r="P282" s="231"/>
      <c r="Q282" s="231"/>
      <c r="R282" s="231"/>
      <c r="S282" s="231"/>
      <c r="T282" s="231"/>
      <c r="U282" s="231"/>
      <c r="V282" s="231"/>
      <c r="W282" s="231"/>
      <c r="X282" s="231"/>
      <c r="Y282" s="231"/>
      <c r="Z282" s="231"/>
      <c r="AA282" s="231"/>
      <c r="AB282" s="231"/>
      <c r="AC282" s="231"/>
      <c r="AD282" s="231"/>
      <c r="AE282" s="231"/>
      <c r="AF282" s="231"/>
      <c r="AG282" s="231"/>
      <c r="AH282" s="231"/>
      <c r="AI282" s="231"/>
      <c r="AJ282" s="231"/>
      <c r="AK282" s="231"/>
    </row>
    <row r="283" spans="1:37" s="203" customFormat="1">
      <c r="A283" s="602" t="s">
        <v>215</v>
      </c>
      <c r="B283" s="490"/>
      <c r="C283" s="490"/>
      <c r="D283" s="490"/>
      <c r="E283" s="911"/>
      <c r="F283" s="911"/>
      <c r="G283" s="579"/>
      <c r="H283" s="911"/>
      <c r="I283" s="461"/>
      <c r="J283" s="231"/>
      <c r="K283" s="231"/>
      <c r="L283" s="231"/>
      <c r="M283" s="231"/>
      <c r="N283" s="231"/>
      <c r="O283" s="231"/>
      <c r="P283" s="231"/>
      <c r="Q283" s="231"/>
      <c r="R283" s="231"/>
      <c r="S283" s="231"/>
      <c r="T283" s="231"/>
      <c r="U283" s="231"/>
      <c r="V283" s="231"/>
      <c r="W283" s="231"/>
      <c r="X283" s="231"/>
      <c r="Y283" s="231"/>
      <c r="Z283" s="231"/>
      <c r="AA283" s="231"/>
      <c r="AB283" s="231"/>
      <c r="AC283" s="231"/>
      <c r="AD283" s="231"/>
      <c r="AE283" s="231"/>
      <c r="AF283" s="231"/>
      <c r="AG283" s="231"/>
      <c r="AH283" s="231"/>
      <c r="AI283" s="231"/>
      <c r="AJ283" s="231"/>
      <c r="AK283" s="231"/>
    </row>
    <row r="284" spans="1:37" s="203" customFormat="1">
      <c r="A284" s="555" t="s">
        <v>83</v>
      </c>
      <c r="B284" s="490"/>
      <c r="C284" s="490"/>
      <c r="D284" s="490"/>
      <c r="E284" s="912"/>
      <c r="F284" s="912"/>
      <c r="G284" s="579"/>
      <c r="H284" s="912"/>
      <c r="I284" s="461"/>
      <c r="J284" s="231"/>
      <c r="K284" s="231"/>
      <c r="L284" s="231"/>
      <c r="M284" s="231"/>
      <c r="N284" s="231"/>
      <c r="O284" s="231"/>
      <c r="P284" s="231"/>
      <c r="Q284" s="231"/>
      <c r="R284" s="231"/>
      <c r="S284" s="231"/>
      <c r="T284" s="231"/>
      <c r="U284" s="231"/>
      <c r="V284" s="231"/>
      <c r="W284" s="231"/>
      <c r="X284" s="231"/>
      <c r="Y284" s="231"/>
      <c r="Z284" s="231"/>
      <c r="AA284" s="231"/>
      <c r="AB284" s="231"/>
      <c r="AC284" s="231"/>
      <c r="AD284" s="231"/>
      <c r="AE284" s="231"/>
      <c r="AF284" s="231"/>
      <c r="AG284" s="231"/>
      <c r="AH284" s="231"/>
      <c r="AI284" s="231"/>
      <c r="AJ284" s="231"/>
      <c r="AK284" s="231"/>
    </row>
    <row r="285" spans="1:37" s="203" customFormat="1">
      <c r="A285" s="556" t="s">
        <v>84</v>
      </c>
      <c r="B285" s="567"/>
      <c r="C285" s="567"/>
      <c r="D285" s="567"/>
      <c r="E285" s="627"/>
      <c r="F285" s="534"/>
      <c r="G285" s="572"/>
      <c r="H285" s="534"/>
      <c r="I285" s="461"/>
      <c r="J285" s="231"/>
      <c r="K285" s="231"/>
      <c r="L285" s="231"/>
      <c r="M285" s="231"/>
      <c r="N285" s="231"/>
      <c r="O285" s="231"/>
      <c r="P285" s="231"/>
      <c r="Q285" s="231"/>
      <c r="R285" s="231"/>
      <c r="S285" s="231"/>
      <c r="T285" s="231"/>
      <c r="U285" s="231"/>
      <c r="V285" s="231"/>
      <c r="W285" s="231"/>
      <c r="X285" s="231"/>
      <c r="Y285" s="231"/>
      <c r="Z285" s="231"/>
      <c r="AA285" s="231"/>
      <c r="AB285" s="231"/>
      <c r="AC285" s="231"/>
      <c r="AD285" s="231"/>
      <c r="AE285" s="231"/>
      <c r="AF285" s="231"/>
      <c r="AG285" s="231"/>
      <c r="AH285" s="231"/>
      <c r="AI285" s="231"/>
      <c r="AJ285" s="231"/>
      <c r="AK285" s="231"/>
    </row>
    <row r="286" spans="1:37" s="203" customFormat="1">
      <c r="A286" s="819">
        <v>1</v>
      </c>
      <c r="B286" s="490" t="s">
        <v>216</v>
      </c>
      <c r="C286" s="490"/>
      <c r="D286" s="490"/>
      <c r="E286" s="516">
        <v>2115</v>
      </c>
      <c r="F286" s="52">
        <v>2233</v>
      </c>
      <c r="G286" s="572"/>
      <c r="H286" s="563">
        <v>2055</v>
      </c>
      <c r="I286" s="461"/>
      <c r="J286" s="231"/>
      <c r="K286" s="231"/>
      <c r="L286" s="231"/>
      <c r="M286" s="231"/>
      <c r="N286" s="231"/>
      <c r="O286" s="231"/>
      <c r="P286" s="231"/>
      <c r="Q286" s="231"/>
      <c r="R286" s="231"/>
      <c r="S286" s="231"/>
      <c r="T286" s="231"/>
      <c r="U286" s="231"/>
      <c r="V286" s="231"/>
      <c r="W286" s="231"/>
      <c r="X286" s="231"/>
      <c r="Y286" s="231"/>
      <c r="Z286" s="231"/>
      <c r="AA286" s="231"/>
      <c r="AB286" s="231"/>
      <c r="AC286" s="231"/>
      <c r="AD286" s="231"/>
      <c r="AE286" s="231"/>
      <c r="AF286" s="231"/>
      <c r="AG286" s="231"/>
      <c r="AH286" s="231"/>
      <c r="AI286" s="231"/>
      <c r="AJ286" s="231"/>
      <c r="AK286" s="231"/>
    </row>
    <row r="287" spans="1:37" s="203" customFormat="1">
      <c r="A287" s="819">
        <v>2</v>
      </c>
      <c r="B287" s="490" t="s">
        <v>217</v>
      </c>
      <c r="C287" s="490"/>
      <c r="D287" s="490"/>
      <c r="E287" s="564">
        <v>259</v>
      </c>
      <c r="F287" s="52">
        <v>300</v>
      </c>
      <c r="G287" s="572"/>
      <c r="H287" s="563">
        <v>276</v>
      </c>
      <c r="I287" s="461"/>
      <c r="J287" s="231"/>
      <c r="K287" s="231"/>
      <c r="L287" s="231"/>
      <c r="M287" s="231"/>
      <c r="N287" s="231"/>
      <c r="O287" s="231"/>
      <c r="P287" s="231"/>
      <c r="Q287" s="231"/>
      <c r="R287" s="231"/>
      <c r="S287" s="231"/>
      <c r="T287" s="231"/>
      <c r="U287" s="231"/>
      <c r="V287" s="231"/>
      <c r="W287" s="231"/>
      <c r="X287" s="231"/>
      <c r="Y287" s="231"/>
      <c r="Z287" s="231"/>
      <c r="AA287" s="231"/>
      <c r="AB287" s="231"/>
      <c r="AC287" s="231"/>
      <c r="AD287" s="231"/>
      <c r="AE287" s="231"/>
      <c r="AF287" s="231"/>
      <c r="AG287" s="231"/>
      <c r="AH287" s="231"/>
      <c r="AI287" s="231"/>
      <c r="AJ287" s="231"/>
      <c r="AK287" s="231"/>
    </row>
    <row r="288" spans="1:37" s="203" customFormat="1">
      <c r="A288" s="819">
        <v>3</v>
      </c>
      <c r="B288" s="517" t="s">
        <v>218</v>
      </c>
      <c r="C288" s="613"/>
      <c r="D288" s="615"/>
      <c r="E288" s="564">
        <v>2066</v>
      </c>
      <c r="F288" s="52">
        <v>1945</v>
      </c>
      <c r="G288" s="572"/>
      <c r="H288" s="563">
        <v>1389</v>
      </c>
      <c r="I288" s="461"/>
      <c r="J288" s="231"/>
      <c r="K288" s="231"/>
      <c r="L288" s="231"/>
      <c r="M288" s="231"/>
      <c r="N288" s="231"/>
      <c r="O288" s="231"/>
      <c r="P288" s="231"/>
      <c r="Q288" s="231"/>
      <c r="R288" s="231"/>
      <c r="S288" s="231"/>
      <c r="T288" s="231"/>
      <c r="U288" s="231"/>
      <c r="V288" s="231"/>
      <c r="W288" s="231"/>
      <c r="X288" s="231"/>
      <c r="Y288" s="231"/>
      <c r="Z288" s="231"/>
      <c r="AA288" s="231"/>
      <c r="AB288" s="231"/>
      <c r="AC288" s="231"/>
      <c r="AD288" s="231"/>
      <c r="AE288" s="231"/>
      <c r="AF288" s="231"/>
      <c r="AG288" s="231"/>
      <c r="AH288" s="231"/>
      <c r="AI288" s="231"/>
      <c r="AJ288" s="231"/>
      <c r="AK288" s="231"/>
    </row>
    <row r="289" spans="1:37" s="203" customFormat="1">
      <c r="A289" s="819">
        <v>4</v>
      </c>
      <c r="B289" s="490" t="s">
        <v>219</v>
      </c>
      <c r="C289" s="490"/>
      <c r="D289" s="567"/>
      <c r="E289" s="564">
        <v>0</v>
      </c>
      <c r="F289" s="52">
        <v>173</v>
      </c>
      <c r="G289" s="572"/>
      <c r="H289" s="563">
        <v>205</v>
      </c>
      <c r="I289" s="461"/>
      <c r="J289" s="231"/>
      <c r="K289" s="231"/>
      <c r="L289" s="231"/>
      <c r="M289" s="231"/>
      <c r="N289" s="231"/>
      <c r="O289" s="231"/>
      <c r="P289" s="231"/>
      <c r="Q289" s="231"/>
      <c r="R289" s="231"/>
      <c r="S289" s="231"/>
      <c r="T289" s="231"/>
      <c r="U289" s="231"/>
      <c r="V289" s="231"/>
      <c r="W289" s="231"/>
      <c r="X289" s="231"/>
      <c r="Y289" s="231"/>
      <c r="Z289" s="231"/>
      <c r="AA289" s="231"/>
      <c r="AB289" s="231"/>
      <c r="AC289" s="231"/>
      <c r="AD289" s="231"/>
      <c r="AE289" s="231"/>
      <c r="AF289" s="231"/>
      <c r="AG289" s="231"/>
      <c r="AH289" s="231"/>
      <c r="AI289" s="231"/>
      <c r="AJ289" s="231"/>
      <c r="AK289" s="231"/>
    </row>
    <row r="290" spans="1:37" s="203" customFormat="1">
      <c r="A290" s="819">
        <v>5</v>
      </c>
      <c r="B290" s="490" t="s">
        <v>220</v>
      </c>
      <c r="C290" s="490"/>
      <c r="D290" s="490"/>
      <c r="E290" s="564">
        <v>394</v>
      </c>
      <c r="F290" s="52">
        <v>368</v>
      </c>
      <c r="G290" s="572"/>
      <c r="H290" s="563">
        <v>334</v>
      </c>
      <c r="I290" s="461"/>
      <c r="J290" s="231"/>
      <c r="K290" s="231"/>
      <c r="L290" s="231"/>
      <c r="M290" s="231"/>
      <c r="N290" s="231"/>
      <c r="O290" s="231"/>
      <c r="P290" s="231"/>
      <c r="Q290" s="231"/>
      <c r="R290" s="231"/>
      <c r="S290" s="231"/>
      <c r="T290" s="231"/>
      <c r="U290" s="231"/>
      <c r="V290" s="231"/>
      <c r="W290" s="231"/>
      <c r="X290" s="231"/>
      <c r="Y290" s="231"/>
      <c r="Z290" s="231"/>
      <c r="AA290" s="231"/>
      <c r="AB290" s="231"/>
      <c r="AC290" s="231"/>
      <c r="AD290" s="231"/>
      <c r="AE290" s="231"/>
      <c r="AF290" s="231"/>
      <c r="AG290" s="231"/>
      <c r="AH290" s="231"/>
      <c r="AI290" s="231"/>
      <c r="AJ290" s="231"/>
      <c r="AK290" s="231"/>
    </row>
    <row r="291" spans="1:37" s="203" customFormat="1">
      <c r="A291" s="819">
        <v>6</v>
      </c>
      <c r="B291" s="490" t="s">
        <v>221</v>
      </c>
      <c r="C291" s="490"/>
      <c r="D291" s="490"/>
      <c r="E291" s="564">
        <v>-105</v>
      </c>
      <c r="F291" s="52">
        <v>64</v>
      </c>
      <c r="G291" s="572"/>
      <c r="H291" s="563">
        <v>84</v>
      </c>
      <c r="I291" s="461"/>
      <c r="J291" s="231"/>
      <c r="K291" s="231"/>
      <c r="L291" s="231"/>
      <c r="M291" s="231"/>
      <c r="N291" s="231"/>
      <c r="O291" s="231"/>
      <c r="P291" s="231"/>
      <c r="Q291" s="231"/>
      <c r="R291" s="231"/>
      <c r="S291" s="231"/>
      <c r="T291" s="231"/>
      <c r="U291" s="231"/>
      <c r="V291" s="231"/>
      <c r="W291" s="231"/>
      <c r="X291" s="231"/>
      <c r="Y291" s="231"/>
      <c r="Z291" s="231"/>
      <c r="AA291" s="231"/>
      <c r="AB291" s="231"/>
      <c r="AC291" s="231"/>
      <c r="AD291" s="231"/>
      <c r="AE291" s="231"/>
      <c r="AF291" s="231"/>
      <c r="AG291" s="231"/>
      <c r="AH291" s="231"/>
      <c r="AI291" s="231"/>
      <c r="AJ291" s="231"/>
      <c r="AK291" s="231"/>
    </row>
    <row r="292" spans="1:37" s="203" customFormat="1">
      <c r="A292" s="819">
        <v>7</v>
      </c>
      <c r="B292" s="490" t="s">
        <v>222</v>
      </c>
      <c r="C292" s="490"/>
      <c r="D292" s="567"/>
      <c r="E292" s="564">
        <v>364</v>
      </c>
      <c r="F292" s="52">
        <v>362</v>
      </c>
      <c r="G292" s="572"/>
      <c r="H292" s="563">
        <v>364</v>
      </c>
      <c r="I292" s="461"/>
      <c r="J292" s="231"/>
      <c r="K292" s="231"/>
      <c r="L292" s="231"/>
      <c r="M292" s="231"/>
      <c r="N292" s="231"/>
      <c r="O292" s="231"/>
      <c r="P292" s="231"/>
      <c r="Q292" s="231"/>
      <c r="R292" s="231"/>
      <c r="S292" s="231"/>
      <c r="T292" s="231"/>
      <c r="U292" s="231"/>
      <c r="V292" s="231"/>
      <c r="W292" s="231"/>
      <c r="X292" s="231"/>
      <c r="Y292" s="231"/>
      <c r="Z292" s="231"/>
      <c r="AA292" s="231"/>
      <c r="AB292" s="231"/>
      <c r="AC292" s="231"/>
      <c r="AD292" s="231"/>
      <c r="AE292" s="231"/>
      <c r="AF292" s="231"/>
      <c r="AG292" s="231"/>
      <c r="AH292" s="231"/>
      <c r="AI292" s="231"/>
      <c r="AJ292" s="231"/>
      <c r="AK292" s="231"/>
    </row>
    <row r="293" spans="1:37" s="203" customFormat="1">
      <c r="A293" s="819">
        <v>8</v>
      </c>
      <c r="B293" s="490" t="s">
        <v>223</v>
      </c>
      <c r="C293" s="490"/>
      <c r="D293" s="567"/>
      <c r="E293" s="564">
        <v>1014</v>
      </c>
      <c r="F293" s="52">
        <v>1008</v>
      </c>
      <c r="G293" s="572"/>
      <c r="H293" s="563">
        <v>1014</v>
      </c>
      <c r="I293" s="461"/>
      <c r="J293" s="231"/>
      <c r="K293" s="231"/>
      <c r="L293" s="231"/>
      <c r="M293" s="231"/>
      <c r="N293" s="231"/>
      <c r="O293" s="231"/>
      <c r="P293" s="231"/>
      <c r="Q293" s="231"/>
      <c r="R293" s="231"/>
      <c r="S293" s="231"/>
      <c r="T293" s="231"/>
      <c r="U293" s="231"/>
      <c r="V293" s="231"/>
      <c r="W293" s="231"/>
      <c r="X293" s="231"/>
      <c r="Y293" s="231"/>
      <c r="Z293" s="231"/>
      <c r="AA293" s="231"/>
      <c r="AB293" s="231"/>
      <c r="AC293" s="231"/>
      <c r="AD293" s="231"/>
      <c r="AE293" s="231"/>
      <c r="AF293" s="231"/>
      <c r="AG293" s="231"/>
      <c r="AH293" s="231"/>
      <c r="AI293" s="231"/>
      <c r="AJ293" s="231"/>
      <c r="AK293" s="231"/>
    </row>
    <row r="294" spans="1:37" s="203" customFormat="1">
      <c r="A294" s="819">
        <v>9</v>
      </c>
      <c r="B294" s="490" t="s">
        <v>224</v>
      </c>
      <c r="C294" s="490"/>
      <c r="D294" s="567"/>
      <c r="E294" s="564">
        <v>536</v>
      </c>
      <c r="F294" s="52">
        <v>533</v>
      </c>
      <c r="G294" s="572"/>
      <c r="H294" s="563">
        <v>536</v>
      </c>
      <c r="I294" s="461"/>
      <c r="J294" s="231"/>
      <c r="K294" s="231"/>
      <c r="L294" s="231"/>
      <c r="M294" s="231"/>
      <c r="N294" s="231"/>
      <c r="O294" s="231"/>
      <c r="P294" s="231"/>
      <c r="Q294" s="231"/>
      <c r="R294" s="231"/>
      <c r="S294" s="231"/>
      <c r="T294" s="231"/>
      <c r="U294" s="231"/>
      <c r="V294" s="231"/>
      <c r="W294" s="231"/>
      <c r="X294" s="231"/>
      <c r="Y294" s="231"/>
      <c r="Z294" s="231"/>
      <c r="AA294" s="231"/>
      <c r="AB294" s="231"/>
      <c r="AC294" s="231"/>
      <c r="AD294" s="231"/>
      <c r="AE294" s="231"/>
      <c r="AF294" s="231"/>
      <c r="AG294" s="231"/>
      <c r="AH294" s="231"/>
      <c r="AI294" s="231"/>
      <c r="AJ294" s="231"/>
      <c r="AK294" s="231"/>
    </row>
    <row r="295" spans="1:37" s="203" customFormat="1">
      <c r="A295" s="819">
        <v>10</v>
      </c>
      <c r="B295" s="490" t="s">
        <v>225</v>
      </c>
      <c r="C295" s="490"/>
      <c r="D295" s="490"/>
      <c r="E295" s="564">
        <v>0</v>
      </c>
      <c r="F295" s="52">
        <v>0</v>
      </c>
      <c r="G295" s="572"/>
      <c r="H295" s="563">
        <v>0</v>
      </c>
      <c r="I295" s="461"/>
      <c r="J295" s="231"/>
      <c r="K295" s="231"/>
      <c r="L295" s="231"/>
      <c r="M295" s="231"/>
      <c r="N295" s="231"/>
      <c r="O295" s="231"/>
      <c r="P295" s="231"/>
      <c r="Q295" s="231"/>
      <c r="R295" s="231"/>
      <c r="S295" s="231"/>
      <c r="T295" s="231"/>
      <c r="U295" s="231"/>
      <c r="V295" s="231"/>
      <c r="W295" s="231"/>
      <c r="X295" s="231"/>
      <c r="Y295" s="231"/>
      <c r="Z295" s="231"/>
      <c r="AA295" s="231"/>
      <c r="AB295" s="231"/>
      <c r="AC295" s="231"/>
      <c r="AD295" s="231"/>
      <c r="AE295" s="231"/>
      <c r="AF295" s="231"/>
      <c r="AG295" s="231"/>
      <c r="AH295" s="231"/>
      <c r="AI295" s="231"/>
      <c r="AJ295" s="231"/>
      <c r="AK295" s="231"/>
    </row>
    <row r="296" spans="1:37" s="203" customFormat="1">
      <c r="A296" s="819">
        <v>11</v>
      </c>
      <c r="B296" s="490" t="s">
        <v>226</v>
      </c>
      <c r="C296" s="490"/>
      <c r="D296" s="490"/>
      <c r="E296" s="564">
        <v>0</v>
      </c>
      <c r="F296" s="52">
        <v>0</v>
      </c>
      <c r="G296" s="572"/>
      <c r="H296" s="563">
        <v>0</v>
      </c>
      <c r="I296" s="461"/>
      <c r="J296" s="231"/>
      <c r="K296" s="231"/>
      <c r="L296" s="231"/>
      <c r="M296" s="231"/>
      <c r="N296" s="231"/>
      <c r="O296" s="231"/>
      <c r="P296" s="231"/>
      <c r="Q296" s="231"/>
      <c r="R296" s="231"/>
      <c r="S296" s="231"/>
      <c r="T296" s="231"/>
      <c r="U296" s="231"/>
      <c r="V296" s="231"/>
      <c r="W296" s="231"/>
      <c r="X296" s="231"/>
      <c r="Y296" s="231"/>
      <c r="Z296" s="231"/>
      <c r="AA296" s="231"/>
      <c r="AB296" s="231"/>
      <c r="AC296" s="231"/>
      <c r="AD296" s="231"/>
      <c r="AE296" s="231"/>
      <c r="AF296" s="231"/>
      <c r="AG296" s="231"/>
      <c r="AH296" s="231"/>
      <c r="AI296" s="231"/>
      <c r="AJ296" s="231"/>
      <c r="AK296" s="231"/>
    </row>
    <row r="297" spans="1:37" s="203" customFormat="1">
      <c r="A297" s="819">
        <v>12</v>
      </c>
      <c r="B297" s="490" t="s">
        <v>227</v>
      </c>
      <c r="C297" s="490"/>
      <c r="D297" s="490"/>
      <c r="E297" s="564">
        <v>415</v>
      </c>
      <c r="F297" s="52">
        <v>419</v>
      </c>
      <c r="G297" s="572"/>
      <c r="H297" s="563">
        <v>423</v>
      </c>
      <c r="I297" s="461"/>
      <c r="J297" s="231"/>
      <c r="K297" s="231"/>
      <c r="L297" s="231"/>
      <c r="M297" s="231"/>
      <c r="N297" s="231"/>
      <c r="O297" s="231"/>
      <c r="P297" s="231"/>
      <c r="Q297" s="231"/>
      <c r="R297" s="231"/>
      <c r="S297" s="231"/>
      <c r="T297" s="231"/>
      <c r="U297" s="231"/>
      <c r="V297" s="231"/>
      <c r="W297" s="231"/>
      <c r="X297" s="231"/>
      <c r="Y297" s="231"/>
      <c r="Z297" s="231"/>
      <c r="AA297" s="231"/>
      <c r="AB297" s="231"/>
      <c r="AC297" s="231"/>
      <c r="AD297" s="231"/>
      <c r="AE297" s="231"/>
      <c r="AF297" s="231"/>
      <c r="AG297" s="231"/>
      <c r="AH297" s="231"/>
      <c r="AI297" s="231"/>
      <c r="AJ297" s="231"/>
      <c r="AK297" s="231"/>
    </row>
    <row r="298" spans="1:37" s="203" customFormat="1">
      <c r="A298" s="819">
        <v>13</v>
      </c>
      <c r="B298" s="490" t="s">
        <v>228</v>
      </c>
      <c r="C298" s="490"/>
      <c r="D298" s="490"/>
      <c r="E298" s="564">
        <v>7735</v>
      </c>
      <c r="F298" s="52">
        <v>7759</v>
      </c>
      <c r="G298" s="572"/>
      <c r="H298" s="563">
        <v>7603</v>
      </c>
      <c r="I298" s="461"/>
      <c r="J298" s="231"/>
      <c r="K298" s="231"/>
      <c r="L298" s="231"/>
      <c r="M298" s="231"/>
      <c r="N298" s="231"/>
      <c r="O298" s="231"/>
      <c r="P298" s="231"/>
      <c r="Q298" s="231"/>
      <c r="R298" s="231"/>
      <c r="S298" s="231"/>
      <c r="T298" s="231"/>
      <c r="U298" s="231"/>
      <c r="V298" s="231"/>
      <c r="W298" s="231"/>
      <c r="X298" s="231"/>
      <c r="Y298" s="231"/>
      <c r="Z298" s="231"/>
      <c r="AA298" s="231"/>
      <c r="AB298" s="231"/>
      <c r="AC298" s="231"/>
      <c r="AD298" s="231"/>
      <c r="AE298" s="231"/>
      <c r="AF298" s="231"/>
      <c r="AG298" s="231"/>
      <c r="AH298" s="231"/>
      <c r="AI298" s="231"/>
      <c r="AJ298" s="231"/>
      <c r="AK298" s="231"/>
    </row>
    <row r="299" spans="1:37" s="203" customFormat="1">
      <c r="A299" s="819">
        <v>14</v>
      </c>
      <c r="B299" s="490" t="s">
        <v>229</v>
      </c>
      <c r="C299" s="490"/>
      <c r="D299" s="567"/>
      <c r="E299" s="564">
        <v>0</v>
      </c>
      <c r="F299" s="52">
        <v>0</v>
      </c>
      <c r="G299" s="572"/>
      <c r="H299" s="563">
        <v>0</v>
      </c>
      <c r="I299" s="461"/>
      <c r="J299" s="231"/>
      <c r="K299" s="231"/>
      <c r="L299" s="231"/>
      <c r="M299" s="231"/>
      <c r="N299" s="231"/>
      <c r="O299" s="231"/>
      <c r="P299" s="231"/>
      <c r="Q299" s="231"/>
      <c r="R299" s="231"/>
      <c r="S299" s="231"/>
      <c r="T299" s="231"/>
      <c r="U299" s="231"/>
      <c r="V299" s="231"/>
      <c r="W299" s="231"/>
      <c r="X299" s="231"/>
      <c r="Y299" s="231"/>
      <c r="Z299" s="231"/>
      <c r="AA299" s="231"/>
      <c r="AB299" s="231"/>
      <c r="AC299" s="231"/>
      <c r="AD299" s="231"/>
      <c r="AE299" s="231"/>
      <c r="AF299" s="231"/>
      <c r="AG299" s="231"/>
      <c r="AH299" s="231"/>
      <c r="AI299" s="231"/>
      <c r="AJ299" s="231"/>
      <c r="AK299" s="231"/>
    </row>
    <row r="300" spans="1:37" s="203" customFormat="1">
      <c r="A300" s="819">
        <v>15</v>
      </c>
      <c r="B300" s="490" t="s">
        <v>230</v>
      </c>
      <c r="C300" s="490"/>
      <c r="D300" s="567"/>
      <c r="E300" s="564">
        <v>1518</v>
      </c>
      <c r="F300" s="52">
        <v>1572</v>
      </c>
      <c r="G300" s="572"/>
      <c r="H300" s="563">
        <v>1619</v>
      </c>
      <c r="I300" s="461"/>
      <c r="J300" s="231"/>
      <c r="K300" s="231"/>
      <c r="L300" s="231"/>
      <c r="M300" s="231"/>
      <c r="N300" s="231"/>
      <c r="O300" s="231"/>
      <c r="P300" s="231"/>
      <c r="Q300" s="231"/>
      <c r="R300" s="231"/>
      <c r="S300" s="231"/>
      <c r="T300" s="231"/>
      <c r="U300" s="231"/>
      <c r="V300" s="231"/>
      <c r="W300" s="231"/>
      <c r="X300" s="231"/>
      <c r="Y300" s="231"/>
      <c r="Z300" s="231"/>
      <c r="AA300" s="231"/>
      <c r="AB300" s="231"/>
      <c r="AC300" s="231"/>
      <c r="AD300" s="231"/>
      <c r="AE300" s="231"/>
      <c r="AF300" s="231"/>
      <c r="AG300" s="231"/>
      <c r="AH300" s="231"/>
      <c r="AI300" s="231"/>
      <c r="AJ300" s="231"/>
      <c r="AK300" s="231"/>
    </row>
    <row r="301" spans="1:37" s="203" customFormat="1">
      <c r="A301" s="819">
        <v>17</v>
      </c>
      <c r="B301" s="490" t="s">
        <v>231</v>
      </c>
      <c r="C301" s="490"/>
      <c r="D301" s="490"/>
      <c r="E301" s="564">
        <v>2201</v>
      </c>
      <c r="F301" s="52">
        <v>-401</v>
      </c>
      <c r="G301" s="572"/>
      <c r="H301" s="543">
        <v>252</v>
      </c>
      <c r="I301" s="461"/>
      <c r="J301" s="231"/>
      <c r="K301" s="231"/>
      <c r="L301" s="231"/>
      <c r="M301" s="231"/>
      <c r="N301" s="231"/>
      <c r="O301" s="231"/>
      <c r="P301" s="231"/>
      <c r="Q301" s="231"/>
      <c r="R301" s="231"/>
      <c r="S301" s="231"/>
      <c r="T301" s="231"/>
      <c r="U301" s="231"/>
      <c r="V301" s="231"/>
      <c r="W301" s="231"/>
      <c r="X301" s="231"/>
      <c r="Y301" s="231"/>
      <c r="Z301" s="231"/>
      <c r="AA301" s="231"/>
      <c r="AB301" s="231"/>
      <c r="AC301" s="231"/>
      <c r="AD301" s="231"/>
      <c r="AE301" s="231"/>
      <c r="AF301" s="231"/>
      <c r="AG301" s="231"/>
      <c r="AH301" s="231"/>
      <c r="AI301" s="231"/>
      <c r="AJ301" s="231"/>
      <c r="AK301" s="231"/>
    </row>
    <row r="302" spans="1:37" s="203" customFormat="1">
      <c r="A302" s="820">
        <v>18</v>
      </c>
      <c r="B302" s="538" t="s">
        <v>232</v>
      </c>
      <c r="C302" s="538"/>
      <c r="D302" s="538"/>
      <c r="E302" s="607">
        <v>18512</v>
      </c>
      <c r="F302" s="503">
        <f>SUM(F286:F301)</f>
        <v>16335</v>
      </c>
      <c r="G302" s="572"/>
      <c r="H302" s="503">
        <f>SUM(H286:H301)</f>
        <v>16154</v>
      </c>
      <c r="I302" s="461"/>
      <c r="J302" s="231"/>
      <c r="K302" s="231"/>
      <c r="L302" s="231"/>
      <c r="M302" s="231"/>
      <c r="N302" s="231"/>
      <c r="O302" s="231"/>
      <c r="P302" s="231"/>
      <c r="Q302" s="231"/>
      <c r="R302" s="231"/>
      <c r="S302" s="231"/>
      <c r="T302" s="231"/>
      <c r="U302" s="231"/>
      <c r="V302" s="231"/>
      <c r="W302" s="231"/>
      <c r="X302" s="231"/>
      <c r="Y302" s="231"/>
      <c r="Z302" s="231"/>
      <c r="AA302" s="231"/>
      <c r="AB302" s="231"/>
      <c r="AC302" s="231"/>
      <c r="AD302" s="231"/>
      <c r="AE302" s="231"/>
      <c r="AF302" s="231"/>
      <c r="AG302" s="231"/>
      <c r="AH302" s="231"/>
      <c r="AI302" s="231"/>
      <c r="AJ302" s="231"/>
      <c r="AK302" s="231"/>
    </row>
    <row r="303" spans="1:37" s="203" customFormat="1">
      <c r="A303" s="476"/>
      <c r="B303" s="628"/>
      <c r="C303" s="628"/>
      <c r="D303" s="629"/>
      <c r="E303" s="630"/>
      <c r="F303" s="631"/>
      <c r="G303" s="461"/>
      <c r="H303" s="631"/>
      <c r="I303" s="461"/>
      <c r="J303" s="231"/>
      <c r="K303" s="231"/>
      <c r="L303" s="231"/>
      <c r="M303" s="231"/>
      <c r="N303" s="231"/>
      <c r="O303" s="231"/>
      <c r="P303" s="231"/>
      <c r="Q303" s="231"/>
      <c r="R303" s="231"/>
      <c r="S303" s="231"/>
      <c r="T303" s="231"/>
      <c r="U303" s="231"/>
      <c r="V303" s="231"/>
      <c r="W303" s="231"/>
      <c r="X303" s="231"/>
      <c r="Y303" s="231"/>
      <c r="Z303" s="231"/>
      <c r="AA303" s="231"/>
      <c r="AB303" s="231"/>
      <c r="AC303" s="231"/>
      <c r="AD303" s="231"/>
      <c r="AE303" s="231"/>
      <c r="AF303" s="231"/>
      <c r="AG303" s="231"/>
      <c r="AH303" s="231"/>
      <c r="AI303" s="231"/>
      <c r="AJ303" s="231"/>
      <c r="AK303" s="231"/>
    </row>
    <row r="304" spans="1:37" s="203" customFormat="1">
      <c r="A304" s="632"/>
      <c r="B304" s="457"/>
      <c r="C304" s="457"/>
      <c r="D304" s="633"/>
      <c r="E304" s="634"/>
      <c r="F304" s="457"/>
      <c r="G304" s="457"/>
      <c r="H304" s="550" t="s">
        <v>27</v>
      </c>
      <c r="I304" s="461"/>
      <c r="J304" s="231"/>
      <c r="K304" s="231"/>
      <c r="L304" s="231"/>
      <c r="M304" s="231"/>
      <c r="N304" s="231"/>
      <c r="O304" s="231"/>
      <c r="P304" s="231"/>
      <c r="Q304" s="231"/>
      <c r="R304" s="231"/>
      <c r="S304" s="231"/>
      <c r="T304" s="231"/>
      <c r="U304" s="231"/>
      <c r="V304" s="231"/>
      <c r="W304" s="231"/>
      <c r="X304" s="231"/>
      <c r="Y304" s="231"/>
      <c r="Z304" s="231"/>
      <c r="AA304" s="231"/>
      <c r="AB304" s="231"/>
      <c r="AC304" s="231"/>
      <c r="AD304" s="231"/>
      <c r="AE304" s="231"/>
      <c r="AF304" s="231"/>
      <c r="AG304" s="231"/>
      <c r="AH304" s="231"/>
      <c r="AI304" s="231"/>
      <c r="AJ304" s="231"/>
      <c r="AK304" s="231"/>
    </row>
    <row r="305" spans="1:37" s="203" customFormat="1" ht="12.75" customHeight="1">
      <c r="A305" s="552" t="s">
        <v>21</v>
      </c>
      <c r="B305" s="611"/>
      <c r="C305" s="611"/>
      <c r="D305" s="611"/>
      <c r="E305" s="910" t="s">
        <v>377</v>
      </c>
      <c r="F305" s="910" t="s">
        <v>402</v>
      </c>
      <c r="G305" s="579"/>
      <c r="H305" s="910" t="s">
        <v>403</v>
      </c>
      <c r="I305" s="461"/>
      <c r="J305" s="231"/>
      <c r="K305" s="231"/>
      <c r="L305" s="231"/>
      <c r="M305" s="231"/>
      <c r="N305" s="231"/>
      <c r="O305" s="231"/>
      <c r="P305" s="231"/>
      <c r="Q305" s="231"/>
      <c r="R305" s="231"/>
      <c r="S305" s="231"/>
      <c r="T305" s="231"/>
      <c r="U305" s="231"/>
      <c r="V305" s="231"/>
      <c r="W305" s="231"/>
      <c r="X305" s="231"/>
      <c r="Y305" s="231"/>
      <c r="Z305" s="231"/>
      <c r="AA305" s="231"/>
      <c r="AB305" s="231"/>
      <c r="AC305" s="231"/>
      <c r="AD305" s="231"/>
      <c r="AE305" s="231"/>
      <c r="AF305" s="231"/>
      <c r="AG305" s="231"/>
      <c r="AH305" s="231"/>
      <c r="AI305" s="231"/>
      <c r="AJ305" s="231"/>
      <c r="AK305" s="231"/>
    </row>
    <row r="306" spans="1:37" s="203" customFormat="1">
      <c r="A306" s="612"/>
      <c r="B306" s="490"/>
      <c r="C306" s="490"/>
      <c r="D306" s="490"/>
      <c r="E306" s="911"/>
      <c r="F306" s="911"/>
      <c r="G306" s="579"/>
      <c r="H306" s="911"/>
      <c r="I306" s="461"/>
      <c r="J306" s="231"/>
      <c r="K306" s="231"/>
      <c r="L306" s="231"/>
      <c r="M306" s="231"/>
      <c r="N306" s="231"/>
      <c r="O306" s="231"/>
      <c r="P306" s="231"/>
      <c r="Q306" s="231"/>
      <c r="R306" s="231"/>
      <c r="S306" s="231"/>
      <c r="T306" s="231"/>
      <c r="U306" s="231"/>
      <c r="V306" s="231"/>
      <c r="W306" s="231"/>
      <c r="X306" s="231"/>
      <c r="Y306" s="231"/>
      <c r="Z306" s="231"/>
      <c r="AA306" s="231"/>
      <c r="AB306" s="231"/>
      <c r="AC306" s="231"/>
      <c r="AD306" s="231"/>
      <c r="AE306" s="231"/>
      <c r="AF306" s="231"/>
      <c r="AG306" s="231"/>
      <c r="AH306" s="231"/>
      <c r="AI306" s="231"/>
      <c r="AJ306" s="231"/>
      <c r="AK306" s="231"/>
    </row>
    <row r="307" spans="1:37" s="203" customFormat="1" ht="12.75" customHeight="1">
      <c r="A307" s="555"/>
      <c r="B307" s="490"/>
      <c r="C307" s="490"/>
      <c r="D307" s="490"/>
      <c r="E307" s="911"/>
      <c r="F307" s="911"/>
      <c r="G307" s="579"/>
      <c r="H307" s="911"/>
      <c r="I307" s="461"/>
      <c r="J307" s="231"/>
      <c r="K307" s="231"/>
      <c r="L307" s="231"/>
      <c r="M307" s="231"/>
      <c r="N307" s="231"/>
      <c r="O307" s="231"/>
      <c r="P307" s="231"/>
      <c r="Q307" s="231"/>
      <c r="R307" s="231"/>
      <c r="S307" s="231"/>
      <c r="T307" s="231"/>
      <c r="U307" s="231"/>
      <c r="V307" s="231"/>
      <c r="W307" s="231"/>
      <c r="X307" s="231"/>
      <c r="Y307" s="231"/>
      <c r="Z307" s="231"/>
      <c r="AA307" s="231"/>
      <c r="AB307" s="231"/>
      <c r="AC307" s="231"/>
      <c r="AD307" s="231"/>
      <c r="AE307" s="231"/>
      <c r="AF307" s="231"/>
      <c r="AG307" s="231"/>
      <c r="AH307" s="231"/>
      <c r="AI307" s="231"/>
      <c r="AJ307" s="231"/>
      <c r="AK307" s="231"/>
    </row>
    <row r="308" spans="1:37" s="203" customFormat="1">
      <c r="A308" s="602" t="s">
        <v>233</v>
      </c>
      <c r="B308" s="490"/>
      <c r="C308" s="490"/>
      <c r="D308" s="490"/>
      <c r="E308" s="911"/>
      <c r="F308" s="911"/>
      <c r="G308" s="579"/>
      <c r="H308" s="911"/>
      <c r="I308" s="461"/>
      <c r="J308" s="231"/>
      <c r="K308" s="231"/>
      <c r="L308" s="231"/>
      <c r="M308" s="231"/>
      <c r="N308" s="231"/>
      <c r="O308" s="231"/>
      <c r="P308" s="231"/>
      <c r="Q308" s="231"/>
      <c r="R308" s="231"/>
      <c r="S308" s="231"/>
      <c r="T308" s="231"/>
      <c r="U308" s="231"/>
      <c r="V308" s="231"/>
      <c r="W308" s="231"/>
      <c r="X308" s="231"/>
      <c r="Y308" s="231"/>
      <c r="Z308" s="231"/>
      <c r="AA308" s="231"/>
      <c r="AB308" s="231"/>
      <c r="AC308" s="231"/>
      <c r="AD308" s="231"/>
      <c r="AE308" s="231"/>
      <c r="AF308" s="231"/>
      <c r="AG308" s="231"/>
      <c r="AH308" s="231"/>
      <c r="AI308" s="231"/>
      <c r="AJ308" s="231"/>
      <c r="AK308" s="231"/>
    </row>
    <row r="309" spans="1:37" s="203" customFormat="1">
      <c r="A309" s="555" t="s">
        <v>83</v>
      </c>
      <c r="B309" s="490"/>
      <c r="C309" s="490"/>
      <c r="D309" s="490"/>
      <c r="E309" s="912"/>
      <c r="F309" s="912"/>
      <c r="G309" s="579"/>
      <c r="H309" s="912"/>
      <c r="I309" s="461"/>
      <c r="J309" s="231"/>
      <c r="K309" s="231"/>
      <c r="L309" s="231"/>
      <c r="M309" s="231"/>
      <c r="N309" s="231"/>
      <c r="O309" s="231"/>
      <c r="P309" s="231"/>
      <c r="Q309" s="231"/>
      <c r="R309" s="231"/>
      <c r="S309" s="231"/>
      <c r="T309" s="231"/>
      <c r="U309" s="231"/>
      <c r="V309" s="231"/>
      <c r="W309" s="231"/>
      <c r="X309" s="231"/>
      <c r="Y309" s="231"/>
      <c r="Z309" s="231"/>
      <c r="AA309" s="231"/>
      <c r="AB309" s="231"/>
      <c r="AC309" s="231"/>
      <c r="AD309" s="231"/>
      <c r="AE309" s="231"/>
      <c r="AF309" s="231"/>
      <c r="AG309" s="231"/>
      <c r="AH309" s="231"/>
      <c r="AI309" s="231"/>
      <c r="AJ309" s="231"/>
      <c r="AK309" s="231"/>
    </row>
    <row r="310" spans="1:37" s="203" customFormat="1">
      <c r="A310" s="556" t="s">
        <v>84</v>
      </c>
      <c r="B310" s="567"/>
      <c r="C310" s="567"/>
      <c r="D310" s="567"/>
      <c r="E310" s="635"/>
      <c r="F310" s="534"/>
      <c r="G310" s="572"/>
      <c r="H310" s="534"/>
      <c r="I310" s="461"/>
      <c r="J310" s="231"/>
      <c r="K310" s="231"/>
      <c r="L310" s="231"/>
      <c r="M310" s="231"/>
      <c r="N310" s="231"/>
      <c r="O310" s="231"/>
      <c r="P310" s="231"/>
      <c r="Q310" s="231"/>
      <c r="R310" s="231"/>
      <c r="S310" s="231"/>
      <c r="T310" s="231"/>
      <c r="U310" s="231"/>
      <c r="V310" s="231"/>
      <c r="W310" s="231"/>
      <c r="X310" s="231"/>
      <c r="Y310" s="231"/>
      <c r="Z310" s="231"/>
      <c r="AA310" s="231"/>
      <c r="AB310" s="231"/>
      <c r="AC310" s="231"/>
      <c r="AD310" s="231"/>
      <c r="AE310" s="231"/>
      <c r="AF310" s="231"/>
      <c r="AG310" s="231"/>
      <c r="AH310" s="231"/>
      <c r="AI310" s="231"/>
      <c r="AJ310" s="231"/>
      <c r="AK310" s="231"/>
    </row>
    <row r="311" spans="1:37" s="203" customFormat="1">
      <c r="A311" s="819">
        <v>1</v>
      </c>
      <c r="B311" s="490" t="s">
        <v>258</v>
      </c>
      <c r="C311" s="490"/>
      <c r="D311" s="822"/>
      <c r="E311" s="516">
        <v>0</v>
      </c>
      <c r="F311" s="52">
        <v>535</v>
      </c>
      <c r="G311" s="486"/>
      <c r="H311" s="52">
        <v>523</v>
      </c>
      <c r="I311" s="461"/>
      <c r="J311" s="231"/>
      <c r="K311" s="231"/>
      <c r="L311" s="231"/>
      <c r="M311" s="231"/>
      <c r="N311" s="231"/>
      <c r="O311" s="231"/>
      <c r="P311" s="231"/>
      <c r="Q311" s="231"/>
      <c r="R311" s="231"/>
      <c r="S311" s="231"/>
      <c r="T311" s="231"/>
      <c r="U311" s="231"/>
      <c r="V311" s="231"/>
      <c r="W311" s="231"/>
      <c r="X311" s="231"/>
      <c r="Y311" s="231"/>
      <c r="Z311" s="231"/>
      <c r="AA311" s="231"/>
      <c r="AB311" s="231"/>
      <c r="AC311" s="231"/>
      <c r="AD311" s="231"/>
      <c r="AE311" s="231"/>
      <c r="AF311" s="231"/>
      <c r="AG311" s="231"/>
      <c r="AH311" s="231"/>
      <c r="AI311" s="231"/>
      <c r="AJ311" s="231"/>
      <c r="AK311" s="231"/>
    </row>
    <row r="312" spans="1:37" s="203" customFormat="1">
      <c r="A312" s="819">
        <v>2</v>
      </c>
      <c r="B312" s="490" t="s">
        <v>234</v>
      </c>
      <c r="C312" s="490"/>
      <c r="D312" s="822"/>
      <c r="E312" s="564">
        <v>2229</v>
      </c>
      <c r="F312" s="52">
        <v>2239</v>
      </c>
      <c r="G312" s="486"/>
      <c r="H312" s="52">
        <v>2402</v>
      </c>
      <c r="I312" s="461"/>
      <c r="J312" s="231"/>
      <c r="K312" s="231"/>
      <c r="L312" s="231"/>
      <c r="M312" s="231"/>
      <c r="N312" s="231"/>
      <c r="O312" s="231"/>
      <c r="P312" s="231"/>
      <c r="Q312" s="231"/>
      <c r="R312" s="231"/>
      <c r="S312" s="231"/>
      <c r="T312" s="231"/>
      <c r="U312" s="231"/>
      <c r="V312" s="231"/>
      <c r="W312" s="231"/>
      <c r="X312" s="231"/>
      <c r="Y312" s="231"/>
      <c r="Z312" s="231"/>
      <c r="AA312" s="231"/>
      <c r="AB312" s="231"/>
      <c r="AC312" s="231"/>
      <c r="AD312" s="231"/>
      <c r="AE312" s="231"/>
      <c r="AF312" s="231"/>
      <c r="AG312" s="231"/>
      <c r="AH312" s="231"/>
      <c r="AI312" s="231"/>
      <c r="AJ312" s="231"/>
      <c r="AK312" s="231"/>
    </row>
    <row r="313" spans="1:37" s="203" customFormat="1">
      <c r="A313" s="819">
        <v>3</v>
      </c>
      <c r="B313" s="490" t="s">
        <v>259</v>
      </c>
      <c r="C313" s="490"/>
      <c r="D313" s="822"/>
      <c r="E313" s="564">
        <v>-50</v>
      </c>
      <c r="F313" s="52">
        <v>-207</v>
      </c>
      <c r="G313" s="486"/>
      <c r="H313" s="52">
        <v>-445</v>
      </c>
      <c r="I313" s="461"/>
      <c r="J313" s="231"/>
      <c r="K313" s="231"/>
      <c r="L313" s="231"/>
      <c r="M313" s="231"/>
      <c r="N313" s="231"/>
      <c r="O313" s="231"/>
      <c r="P313" s="231"/>
      <c r="Q313" s="231"/>
      <c r="R313" s="231"/>
      <c r="S313" s="231"/>
      <c r="T313" s="231"/>
      <c r="U313" s="231"/>
      <c r="V313" s="231"/>
      <c r="W313" s="231"/>
      <c r="X313" s="231"/>
      <c r="Y313" s="231"/>
      <c r="Z313" s="231"/>
      <c r="AA313" s="231"/>
      <c r="AB313" s="231"/>
      <c r="AC313" s="231"/>
      <c r="AD313" s="231"/>
      <c r="AE313" s="231"/>
      <c r="AF313" s="231"/>
      <c r="AG313" s="231"/>
      <c r="AH313" s="231"/>
      <c r="AI313" s="231"/>
      <c r="AJ313" s="231"/>
      <c r="AK313" s="231"/>
    </row>
    <row r="314" spans="1:37" s="203" customFormat="1">
      <c r="A314" s="819">
        <v>4</v>
      </c>
      <c r="B314" s="490" t="s">
        <v>235</v>
      </c>
      <c r="C314" s="490"/>
      <c r="D314" s="822"/>
      <c r="E314" s="564">
        <v>11861</v>
      </c>
      <c r="F314" s="52">
        <v>12303</v>
      </c>
      <c r="G314" s="486"/>
      <c r="H314" s="52">
        <v>13069</v>
      </c>
      <c r="I314" s="461"/>
      <c r="J314" s="231"/>
      <c r="K314" s="231"/>
      <c r="L314" s="231"/>
      <c r="M314" s="231"/>
      <c r="N314" s="231"/>
      <c r="O314" s="231"/>
      <c r="P314" s="231"/>
      <c r="Q314" s="231"/>
      <c r="R314" s="231"/>
      <c r="S314" s="231"/>
      <c r="T314" s="231"/>
      <c r="U314" s="231"/>
      <c r="V314" s="231"/>
      <c r="W314" s="231"/>
      <c r="X314" s="231"/>
      <c r="Y314" s="231"/>
      <c r="Z314" s="231"/>
      <c r="AA314" s="231"/>
      <c r="AB314" s="231"/>
      <c r="AC314" s="231"/>
      <c r="AD314" s="231"/>
      <c r="AE314" s="231"/>
      <c r="AF314" s="231"/>
      <c r="AG314" s="231"/>
      <c r="AH314" s="231"/>
      <c r="AI314" s="231"/>
      <c r="AJ314" s="231"/>
      <c r="AK314" s="231"/>
    </row>
    <row r="315" spans="1:37" s="203" customFormat="1">
      <c r="A315" s="819">
        <v>5</v>
      </c>
      <c r="B315" s="490" t="s">
        <v>236</v>
      </c>
      <c r="C315" s="490"/>
      <c r="D315" s="822"/>
      <c r="E315" s="564">
        <v>2759</v>
      </c>
      <c r="F315" s="52">
        <v>2759</v>
      </c>
      <c r="G315" s="636"/>
      <c r="H315" s="52">
        <v>2941</v>
      </c>
      <c r="I315" s="461"/>
      <c r="J315" s="231"/>
      <c r="K315" s="231"/>
      <c r="L315" s="231"/>
      <c r="M315" s="231"/>
      <c r="N315" s="231"/>
      <c r="O315" s="231"/>
      <c r="P315" s="231"/>
      <c r="Q315" s="231"/>
      <c r="R315" s="231"/>
      <c r="S315" s="231"/>
      <c r="T315" s="231"/>
      <c r="U315" s="231"/>
      <c r="V315" s="231"/>
      <c r="W315" s="231"/>
      <c r="X315" s="231"/>
      <c r="Y315" s="231"/>
      <c r="Z315" s="231"/>
      <c r="AA315" s="231"/>
      <c r="AB315" s="231"/>
      <c r="AC315" s="231"/>
      <c r="AD315" s="231"/>
      <c r="AE315" s="231"/>
      <c r="AF315" s="231"/>
      <c r="AG315" s="231"/>
      <c r="AH315" s="231"/>
      <c r="AI315" s="231"/>
      <c r="AJ315" s="231"/>
      <c r="AK315" s="231"/>
    </row>
    <row r="316" spans="1:37" s="203" customFormat="1">
      <c r="A316" s="819">
        <v>6</v>
      </c>
      <c r="B316" s="490" t="s">
        <v>237</v>
      </c>
      <c r="C316" s="490"/>
      <c r="D316" s="822"/>
      <c r="E316" s="564">
        <v>23336</v>
      </c>
      <c r="F316" s="52">
        <v>23029</v>
      </c>
      <c r="G316" s="486"/>
      <c r="H316" s="52">
        <v>22581</v>
      </c>
      <c r="I316" s="461"/>
      <c r="J316" s="231"/>
      <c r="K316" s="231"/>
      <c r="L316" s="231"/>
      <c r="M316" s="231"/>
      <c r="N316" s="231"/>
      <c r="O316" s="231"/>
      <c r="P316" s="231"/>
      <c r="Q316" s="231"/>
      <c r="R316" s="231"/>
      <c r="S316" s="231"/>
      <c r="T316" s="231"/>
      <c r="U316" s="231"/>
      <c r="V316" s="231"/>
      <c r="W316" s="231"/>
      <c r="X316" s="231"/>
      <c r="Y316" s="231"/>
      <c r="Z316" s="231"/>
      <c r="AA316" s="231"/>
      <c r="AB316" s="231"/>
      <c r="AC316" s="231"/>
      <c r="AD316" s="231"/>
      <c r="AE316" s="231"/>
      <c r="AF316" s="231"/>
      <c r="AG316" s="231"/>
      <c r="AH316" s="231"/>
      <c r="AI316" s="231"/>
      <c r="AJ316" s="231"/>
      <c r="AK316" s="231"/>
    </row>
    <row r="317" spans="1:37" s="203" customFormat="1">
      <c r="A317" s="819">
        <v>7</v>
      </c>
      <c r="B317" s="490" t="s">
        <v>238</v>
      </c>
      <c r="C317" s="490"/>
      <c r="D317" s="822"/>
      <c r="E317" s="564">
        <v>811</v>
      </c>
      <c r="F317" s="52">
        <v>793</v>
      </c>
      <c r="G317" s="486"/>
      <c r="H317" s="52">
        <v>586</v>
      </c>
      <c r="I317" s="461"/>
      <c r="J317" s="231"/>
      <c r="K317" s="231"/>
      <c r="L317" s="231"/>
      <c r="M317" s="231"/>
      <c r="N317" s="231"/>
      <c r="O317" s="231"/>
      <c r="P317" s="231"/>
      <c r="Q317" s="231"/>
      <c r="R317" s="231"/>
      <c r="S317" s="231"/>
      <c r="T317" s="231"/>
      <c r="U317" s="231"/>
      <c r="V317" s="231"/>
      <c r="W317" s="231"/>
      <c r="X317" s="231"/>
      <c r="Y317" s="231"/>
      <c r="Z317" s="231"/>
      <c r="AA317" s="231"/>
      <c r="AB317" s="231"/>
      <c r="AC317" s="231"/>
      <c r="AD317" s="231"/>
      <c r="AE317" s="231"/>
      <c r="AF317" s="231"/>
      <c r="AG317" s="231"/>
      <c r="AH317" s="231"/>
      <c r="AI317" s="231"/>
      <c r="AJ317" s="231"/>
      <c r="AK317" s="231"/>
    </row>
    <row r="318" spans="1:37" s="203" customFormat="1">
      <c r="A318" s="819">
        <v>8</v>
      </c>
      <c r="B318" s="490" t="s">
        <v>239</v>
      </c>
      <c r="C318" s="490"/>
      <c r="D318" s="822"/>
      <c r="E318" s="564">
        <v>122</v>
      </c>
      <c r="F318" s="52">
        <v>202</v>
      </c>
      <c r="G318" s="486"/>
      <c r="H318" s="52">
        <v>203</v>
      </c>
      <c r="I318" s="461"/>
      <c r="J318" s="231"/>
      <c r="K318" s="231"/>
      <c r="L318" s="231"/>
      <c r="M318" s="231"/>
      <c r="N318" s="231"/>
      <c r="O318" s="231"/>
      <c r="P318" s="231"/>
      <c r="Q318" s="231"/>
      <c r="R318" s="231"/>
      <c r="S318" s="231"/>
      <c r="T318" s="231"/>
      <c r="U318" s="231"/>
      <c r="V318" s="231"/>
      <c r="W318" s="231"/>
      <c r="X318" s="231"/>
      <c r="Y318" s="231"/>
      <c r="Z318" s="231"/>
      <c r="AA318" s="231"/>
      <c r="AB318" s="231"/>
      <c r="AC318" s="231"/>
      <c r="AD318" s="231"/>
      <c r="AE318" s="231"/>
      <c r="AF318" s="231"/>
      <c r="AG318" s="231"/>
      <c r="AH318" s="231"/>
      <c r="AI318" s="231"/>
      <c r="AJ318" s="231"/>
      <c r="AK318" s="231"/>
    </row>
    <row r="319" spans="1:37" s="203" customFormat="1">
      <c r="A319" s="819">
        <v>9</v>
      </c>
      <c r="B319" s="517" t="s">
        <v>260</v>
      </c>
      <c r="C319" s="490"/>
      <c r="D319" s="490"/>
      <c r="E319" s="564">
        <v>0</v>
      </c>
      <c r="F319" s="637"/>
      <c r="G319" s="486"/>
      <c r="H319" s="189"/>
      <c r="I319" s="461"/>
      <c r="J319" s="231"/>
      <c r="K319" s="231"/>
      <c r="L319" s="231"/>
      <c r="M319" s="231"/>
      <c r="N319" s="231"/>
      <c r="O319" s="231"/>
      <c r="P319" s="231"/>
      <c r="Q319" s="231"/>
      <c r="R319" s="231"/>
      <c r="S319" s="231"/>
      <c r="T319" s="231"/>
      <c r="U319" s="231"/>
      <c r="V319" s="231"/>
      <c r="W319" s="231"/>
      <c r="X319" s="231"/>
      <c r="Y319" s="231"/>
      <c r="Z319" s="231"/>
      <c r="AA319" s="231"/>
      <c r="AB319" s="231"/>
      <c r="AC319" s="231"/>
      <c r="AD319" s="231"/>
      <c r="AE319" s="231"/>
      <c r="AF319" s="231"/>
      <c r="AG319" s="231"/>
      <c r="AH319" s="231"/>
      <c r="AI319" s="231"/>
      <c r="AJ319" s="231"/>
      <c r="AK319" s="231"/>
    </row>
    <row r="320" spans="1:37" s="203" customFormat="1">
      <c r="A320" s="820">
        <v>10</v>
      </c>
      <c r="B320" s="538" t="s">
        <v>62</v>
      </c>
      <c r="C320" s="538"/>
      <c r="D320" s="538"/>
      <c r="E320" s="607">
        <v>41068</v>
      </c>
      <c r="F320" s="503">
        <f>F311+F312+F313+F314+F315+F316+F317+F318</f>
        <v>41653</v>
      </c>
      <c r="G320" s="572"/>
      <c r="H320" s="503">
        <f>H311+H312+H313+H314+H315+H316+H317+H318+H319</f>
        <v>41860</v>
      </c>
      <c r="I320" s="631"/>
      <c r="J320" s="231"/>
      <c r="K320" s="231"/>
      <c r="L320" s="231"/>
      <c r="M320" s="231"/>
      <c r="N320" s="231"/>
      <c r="O320" s="231"/>
      <c r="P320" s="231"/>
      <c r="Q320" s="231"/>
      <c r="R320" s="231"/>
      <c r="S320" s="231"/>
      <c r="T320" s="231"/>
      <c r="U320" s="231"/>
      <c r="V320" s="231"/>
      <c r="W320" s="231"/>
      <c r="X320" s="231"/>
      <c r="Y320" s="231"/>
      <c r="Z320" s="231"/>
      <c r="AA320" s="231"/>
      <c r="AB320" s="231"/>
      <c r="AC320" s="231"/>
      <c r="AD320" s="231"/>
      <c r="AE320" s="231"/>
      <c r="AF320" s="231"/>
      <c r="AG320" s="231"/>
      <c r="AH320" s="231"/>
      <c r="AI320" s="231"/>
      <c r="AJ320" s="231"/>
      <c r="AK320" s="231"/>
    </row>
    <row r="321" spans="1:37" s="203" customFormat="1">
      <c r="A321" s="476"/>
      <c r="B321" s="628"/>
      <c r="C321" s="628"/>
      <c r="D321" s="628"/>
      <c r="E321" s="628"/>
      <c r="F321" s="631"/>
      <c r="G321" s="461"/>
      <c r="H321" s="631"/>
      <c r="I321" s="631"/>
      <c r="J321" s="231"/>
      <c r="K321" s="231"/>
      <c r="L321" s="231"/>
      <c r="M321" s="231"/>
      <c r="N321" s="231"/>
      <c r="O321" s="231"/>
      <c r="P321" s="231"/>
      <c r="Q321" s="231"/>
      <c r="R321" s="231"/>
      <c r="S321" s="231"/>
      <c r="T321" s="231"/>
      <c r="U321" s="231"/>
      <c r="V321" s="231"/>
      <c r="W321" s="231"/>
      <c r="X321" s="231"/>
      <c r="Y321" s="231"/>
      <c r="Z321" s="231"/>
      <c r="AA321" s="231"/>
      <c r="AB321" s="231"/>
      <c r="AC321" s="231"/>
      <c r="AD321" s="231"/>
      <c r="AE321" s="231"/>
      <c r="AF321" s="231"/>
      <c r="AG321" s="231"/>
      <c r="AH321" s="231"/>
      <c r="AI321" s="231"/>
      <c r="AJ321" s="231"/>
      <c r="AK321" s="231"/>
    </row>
    <row r="322" spans="1:37" s="203" customFormat="1">
      <c r="A322" s="596"/>
      <c r="B322" s="457"/>
      <c r="C322" s="457"/>
      <c r="D322" s="459"/>
      <c r="E322" s="459"/>
      <c r="F322" s="459"/>
      <c r="G322" s="459"/>
      <c r="H322" s="471" t="s">
        <v>27</v>
      </c>
      <c r="I322"/>
      <c r="J322" s="231"/>
      <c r="K322" s="231"/>
      <c r="L322" s="231"/>
      <c r="M322" s="231"/>
      <c r="N322" s="231"/>
      <c r="O322" s="231"/>
      <c r="P322" s="231"/>
      <c r="Q322" s="231"/>
      <c r="R322" s="231"/>
      <c r="S322" s="231"/>
      <c r="T322" s="231"/>
      <c r="U322" s="231"/>
      <c r="V322" s="231"/>
      <c r="W322" s="231"/>
      <c r="X322" s="231"/>
      <c r="Y322" s="231"/>
      <c r="Z322" s="231"/>
      <c r="AA322" s="231"/>
      <c r="AB322" s="231"/>
      <c r="AC322" s="231"/>
      <c r="AD322" s="231"/>
      <c r="AE322" s="231"/>
      <c r="AF322" s="231"/>
      <c r="AG322" s="231"/>
      <c r="AH322" s="231"/>
      <c r="AI322" s="231"/>
      <c r="AJ322" s="231"/>
      <c r="AK322" s="231"/>
    </row>
    <row r="323" spans="1:37" s="203" customFormat="1">
      <c r="A323" s="638" t="s">
        <v>240</v>
      </c>
      <c r="B323" s="191"/>
      <c r="C323" s="918" t="s">
        <v>405</v>
      </c>
      <c r="D323" s="919"/>
      <c r="E323" s="919"/>
      <c r="F323" s="919"/>
      <c r="G323" s="919"/>
      <c r="H323" s="920"/>
      <c r="I323" s="639"/>
      <c r="J323" s="231"/>
      <c r="K323" s="231"/>
      <c r="L323" s="231"/>
      <c r="M323" s="231"/>
      <c r="N323" s="231"/>
      <c r="O323" s="231"/>
      <c r="P323" s="231"/>
      <c r="Q323" s="231"/>
      <c r="R323" s="231"/>
      <c r="S323" s="231"/>
      <c r="T323" s="231"/>
      <c r="U323" s="231"/>
      <c r="V323" s="231"/>
      <c r="W323" s="231"/>
      <c r="X323" s="231"/>
      <c r="Y323" s="231"/>
      <c r="Z323" s="231"/>
      <c r="AA323" s="231"/>
      <c r="AB323" s="231"/>
      <c r="AC323" s="231"/>
      <c r="AD323" s="231"/>
      <c r="AE323" s="231"/>
      <c r="AF323" s="231"/>
      <c r="AG323" s="231"/>
      <c r="AH323" s="231"/>
      <c r="AI323" s="231"/>
      <c r="AJ323" s="231"/>
      <c r="AK323" s="231"/>
    </row>
    <row r="324" spans="1:37" s="203" customFormat="1" ht="39" thickBot="1">
      <c r="A324" s="556" t="s">
        <v>84</v>
      </c>
      <c r="B324" s="567"/>
      <c r="C324" s="640" t="s">
        <v>52</v>
      </c>
      <c r="D324" s="640" t="s">
        <v>53</v>
      </c>
      <c r="E324" s="641" t="s">
        <v>54</v>
      </c>
      <c r="F324" s="641" t="s">
        <v>55</v>
      </c>
      <c r="G324" s="641" t="s">
        <v>241</v>
      </c>
      <c r="H324" s="640" t="s">
        <v>121</v>
      </c>
      <c r="I324" s="459"/>
      <c r="J324" s="231"/>
      <c r="K324" s="231"/>
      <c r="L324" s="231"/>
      <c r="M324" s="231"/>
      <c r="N324" s="231"/>
      <c r="O324" s="231"/>
      <c r="P324" s="231"/>
      <c r="Q324" s="231"/>
      <c r="R324" s="231"/>
      <c r="S324" s="231"/>
      <c r="T324" s="231"/>
      <c r="U324" s="231"/>
      <c r="V324" s="231"/>
      <c r="W324" s="231"/>
      <c r="X324" s="231"/>
      <c r="Y324" s="231"/>
      <c r="Z324" s="231"/>
      <c r="AA324" s="231"/>
      <c r="AB324" s="231"/>
      <c r="AC324" s="231"/>
      <c r="AD324" s="231"/>
      <c r="AE324" s="231"/>
      <c r="AF324" s="231"/>
      <c r="AG324" s="231"/>
      <c r="AH324" s="231"/>
      <c r="AI324" s="231"/>
      <c r="AJ324" s="231"/>
      <c r="AK324" s="231"/>
    </row>
    <row r="325" spans="1:37" s="203" customFormat="1" ht="13.5" thickBot="1">
      <c r="A325" s="819">
        <v>1</v>
      </c>
      <c r="B325" s="567" t="s">
        <v>242</v>
      </c>
      <c r="C325" s="642">
        <f t="shared" ref="C325:H325" si="0">SUM(C326:C329)</f>
        <v>15044</v>
      </c>
      <c r="D325" s="642">
        <f t="shared" si="0"/>
        <v>0</v>
      </c>
      <c r="E325" s="642">
        <v>0</v>
      </c>
      <c r="F325" s="642">
        <f t="shared" si="0"/>
        <v>0</v>
      </c>
      <c r="G325" s="642">
        <f>SUM(G326:G329)</f>
        <v>0</v>
      </c>
      <c r="H325" s="642">
        <f t="shared" si="0"/>
        <v>0</v>
      </c>
      <c r="I325" s="457"/>
      <c r="J325" s="231"/>
      <c r="K325" s="231"/>
      <c r="L325" s="231"/>
      <c r="M325" s="231"/>
      <c r="N325" s="231"/>
      <c r="O325" s="231"/>
      <c r="P325" s="231"/>
      <c r="Q325" s="231"/>
      <c r="R325" s="231"/>
      <c r="S325" s="231"/>
      <c r="T325" s="231"/>
      <c r="U325" s="231"/>
      <c r="V325" s="231"/>
      <c r="W325" s="231"/>
      <c r="X325" s="231"/>
      <c r="Y325" s="231"/>
      <c r="Z325" s="231"/>
      <c r="AA325" s="231"/>
      <c r="AB325" s="231"/>
      <c r="AC325" s="231"/>
      <c r="AD325" s="231"/>
      <c r="AE325" s="231"/>
      <c r="AF325" s="231"/>
      <c r="AG325" s="231"/>
      <c r="AH325" s="231"/>
      <c r="AI325" s="231"/>
      <c r="AJ325" s="231"/>
      <c r="AK325" s="231"/>
    </row>
    <row r="326" spans="1:37" s="203" customFormat="1">
      <c r="A326" s="819">
        <v>2</v>
      </c>
      <c r="B326" s="490" t="s">
        <v>243</v>
      </c>
      <c r="C326" s="617">
        <v>4281</v>
      </c>
      <c r="D326" s="617"/>
      <c r="E326" s="617"/>
      <c r="F326" s="617"/>
      <c r="G326" s="617"/>
      <c r="H326" s="617"/>
      <c r="I326" s="457"/>
      <c r="J326" s="231"/>
      <c r="K326" s="231"/>
      <c r="L326" s="231"/>
      <c r="M326" s="231"/>
      <c r="N326" s="231"/>
      <c r="O326" s="231"/>
      <c r="P326" s="231"/>
      <c r="Q326" s="231"/>
      <c r="R326" s="231"/>
      <c r="S326" s="231"/>
      <c r="T326" s="231"/>
      <c r="U326" s="231"/>
      <c r="V326" s="231"/>
      <c r="W326" s="231"/>
      <c r="X326" s="231"/>
      <c r="Y326" s="231"/>
      <c r="Z326" s="231"/>
      <c r="AA326" s="231"/>
      <c r="AB326" s="231"/>
      <c r="AC326" s="231"/>
      <c r="AD326" s="231"/>
      <c r="AE326" s="231"/>
      <c r="AF326" s="231"/>
      <c r="AG326" s="231"/>
      <c r="AH326" s="231"/>
      <c r="AI326" s="231"/>
      <c r="AJ326" s="231"/>
      <c r="AK326" s="231"/>
    </row>
    <row r="327" spans="1:37" s="203" customFormat="1">
      <c r="A327" s="819">
        <v>3</v>
      </c>
      <c r="B327" s="490" t="s">
        <v>244</v>
      </c>
      <c r="C327" s="543">
        <v>5765</v>
      </c>
      <c r="D327" s="543"/>
      <c r="E327" s="543"/>
      <c r="F327" s="543"/>
      <c r="G327" s="543"/>
      <c r="H327" s="543"/>
      <c r="I327" s="457"/>
      <c r="J327" s="231"/>
      <c r="K327" s="231"/>
      <c r="L327" s="231"/>
      <c r="M327" s="231"/>
      <c r="N327" s="231"/>
      <c r="O327" s="231"/>
      <c r="P327" s="231"/>
      <c r="Q327" s="231"/>
      <c r="R327" s="231"/>
      <c r="S327" s="231"/>
      <c r="T327" s="231"/>
      <c r="U327" s="231"/>
      <c r="V327" s="231"/>
      <c r="W327" s="231"/>
      <c r="X327" s="231"/>
      <c r="Y327" s="231"/>
      <c r="Z327" s="231"/>
      <c r="AA327" s="231"/>
      <c r="AB327" s="231"/>
      <c r="AC327" s="231"/>
      <c r="AD327" s="231"/>
      <c r="AE327" s="231"/>
      <c r="AF327" s="231"/>
      <c r="AG327" s="231"/>
      <c r="AH327" s="231"/>
      <c r="AI327" s="231"/>
      <c r="AJ327" s="231"/>
      <c r="AK327" s="231"/>
    </row>
    <row r="328" spans="1:37" s="203" customFormat="1">
      <c r="A328" s="819">
        <v>4</v>
      </c>
      <c r="B328" s="490" t="s">
        <v>245</v>
      </c>
      <c r="C328" s="543">
        <v>2759</v>
      </c>
      <c r="D328" s="543"/>
      <c r="E328" s="543"/>
      <c r="F328" s="543"/>
      <c r="G328" s="543"/>
      <c r="H328" s="543"/>
      <c r="I328" s="457"/>
      <c r="J328" s="231"/>
      <c r="K328" s="231"/>
      <c r="L328" s="231"/>
      <c r="M328" s="231"/>
      <c r="N328" s="231"/>
      <c r="O328" s="231"/>
      <c r="P328" s="231"/>
      <c r="Q328" s="231"/>
      <c r="R328" s="231"/>
      <c r="S328" s="231"/>
      <c r="T328" s="231"/>
      <c r="U328" s="231"/>
      <c r="V328" s="231"/>
      <c r="W328" s="231"/>
      <c r="X328" s="231"/>
      <c r="Y328" s="231"/>
      <c r="Z328" s="231"/>
      <c r="AA328" s="231"/>
      <c r="AB328" s="231"/>
      <c r="AC328" s="231"/>
      <c r="AD328" s="231"/>
      <c r="AE328" s="231"/>
      <c r="AF328" s="231"/>
      <c r="AG328" s="231"/>
      <c r="AH328" s="231"/>
      <c r="AI328" s="231"/>
      <c r="AJ328" s="231"/>
      <c r="AK328" s="231"/>
    </row>
    <row r="329" spans="1:37" s="203" customFormat="1">
      <c r="A329" s="820">
        <v>5</v>
      </c>
      <c r="B329" s="496" t="s">
        <v>246</v>
      </c>
      <c r="C329" s="544">
        <v>2239</v>
      </c>
      <c r="D329" s="544"/>
      <c r="E329" s="544"/>
      <c r="F329" s="544"/>
      <c r="G329" s="544"/>
      <c r="H329" s="544"/>
      <c r="I329" s="457"/>
      <c r="J329" s="231"/>
      <c r="K329" s="231"/>
      <c r="L329" s="231"/>
      <c r="M329" s="231"/>
      <c r="N329" s="231"/>
      <c r="O329" s="231"/>
      <c r="P329" s="231"/>
      <c r="Q329" s="231"/>
      <c r="R329" s="231"/>
      <c r="S329" s="231"/>
      <c r="T329" s="231"/>
      <c r="U329" s="231"/>
      <c r="V329" s="231"/>
      <c r="W329" s="231"/>
      <c r="X329" s="231"/>
      <c r="Y329" s="231"/>
      <c r="Z329" s="231"/>
      <c r="AA329" s="231"/>
      <c r="AB329" s="231"/>
      <c r="AC329" s="231"/>
      <c r="AD329" s="231"/>
      <c r="AE329" s="231"/>
      <c r="AF329" s="231"/>
      <c r="AG329" s="231"/>
      <c r="AH329" s="231"/>
      <c r="AI329" s="231"/>
      <c r="AJ329" s="231"/>
      <c r="AK329" s="231"/>
    </row>
    <row r="330" spans="1:37" s="203" customFormat="1">
      <c r="A330" s="819"/>
      <c r="B330" s="490"/>
      <c r="C330" s="921" t="s">
        <v>404</v>
      </c>
      <c r="D330" s="922"/>
      <c r="E330" s="922"/>
      <c r="F330" s="922"/>
      <c r="G330" s="922"/>
      <c r="H330" s="923"/>
      <c r="I330" s="457"/>
      <c r="J330" s="231"/>
      <c r="K330" s="231"/>
      <c r="L330" s="231"/>
      <c r="M330" s="231"/>
      <c r="N330" s="231"/>
      <c r="O330" s="231"/>
      <c r="P330" s="231"/>
      <c r="Q330" s="231"/>
      <c r="R330" s="231"/>
      <c r="S330" s="231"/>
      <c r="T330" s="231"/>
      <c r="U330" s="231"/>
      <c r="V330" s="231"/>
      <c r="W330" s="231"/>
      <c r="X330" s="231"/>
      <c r="Y330" s="231"/>
      <c r="Z330" s="231"/>
      <c r="AA330" s="231"/>
      <c r="AB330" s="231"/>
      <c r="AC330" s="231"/>
      <c r="AD330" s="231"/>
      <c r="AE330" s="231"/>
      <c r="AF330" s="231"/>
      <c r="AG330" s="231"/>
      <c r="AH330" s="231"/>
      <c r="AI330" s="231"/>
      <c r="AJ330" s="231"/>
      <c r="AK330" s="231"/>
    </row>
    <row r="331" spans="1:37" s="203" customFormat="1" ht="39" thickBot="1">
      <c r="A331" s="556" t="s">
        <v>84</v>
      </c>
      <c r="B331" s="567"/>
      <c r="C331" s="640" t="s">
        <v>52</v>
      </c>
      <c r="D331" s="640" t="s">
        <v>53</v>
      </c>
      <c r="E331" s="641" t="s">
        <v>54</v>
      </c>
      <c r="F331" s="641" t="s">
        <v>55</v>
      </c>
      <c r="G331" s="641" t="s">
        <v>241</v>
      </c>
      <c r="H331" s="640" t="s">
        <v>121</v>
      </c>
      <c r="I331" s="457"/>
      <c r="J331" s="231"/>
      <c r="K331" s="231"/>
      <c r="L331" s="231"/>
      <c r="M331" s="231"/>
      <c r="N331" s="231"/>
      <c r="O331" s="231"/>
      <c r="P331" s="231"/>
      <c r="Q331" s="231"/>
      <c r="R331" s="231"/>
      <c r="S331" s="231"/>
      <c r="T331" s="231"/>
      <c r="U331" s="231"/>
      <c r="V331" s="231"/>
      <c r="W331" s="231"/>
      <c r="X331" s="231"/>
      <c r="Y331" s="231"/>
      <c r="Z331" s="231"/>
      <c r="AA331" s="231"/>
      <c r="AB331" s="231"/>
      <c r="AC331" s="231"/>
      <c r="AD331" s="231"/>
      <c r="AE331" s="231"/>
      <c r="AF331" s="231"/>
      <c r="AG331" s="231"/>
      <c r="AH331" s="231"/>
      <c r="AI331" s="231"/>
      <c r="AJ331" s="231"/>
      <c r="AK331" s="231"/>
    </row>
    <row r="332" spans="1:37" s="203" customFormat="1" ht="13.5" thickBot="1">
      <c r="A332" s="819">
        <v>1</v>
      </c>
      <c r="B332" s="567" t="s">
        <v>242</v>
      </c>
      <c r="C332" s="642">
        <f t="shared" ref="C332:H332" si="1">SUM(C333:C336)</f>
        <v>15373</v>
      </c>
      <c r="D332" s="642">
        <f t="shared" si="1"/>
        <v>0</v>
      </c>
      <c r="E332" s="642">
        <v>0</v>
      </c>
      <c r="F332" s="642">
        <f t="shared" si="1"/>
        <v>0</v>
      </c>
      <c r="G332" s="642">
        <f>SUM(G333:G336)</f>
        <v>0</v>
      </c>
      <c r="H332" s="642">
        <f t="shared" si="1"/>
        <v>0</v>
      </c>
      <c r="I332" s="457"/>
      <c r="J332" s="231"/>
      <c r="K332" s="231"/>
      <c r="L332" s="231"/>
      <c r="M332" s="231"/>
      <c r="N332" s="231"/>
      <c r="O332" s="231"/>
      <c r="P332" s="231"/>
      <c r="Q332" s="231"/>
      <c r="R332" s="231"/>
      <c r="S332" s="231"/>
      <c r="T332" s="231"/>
      <c r="U332" s="231"/>
      <c r="V332" s="231"/>
      <c r="W332" s="231"/>
      <c r="X332" s="231"/>
      <c r="Y332" s="231"/>
      <c r="Z332" s="231"/>
      <c r="AA332" s="231"/>
      <c r="AB332" s="231"/>
      <c r="AC332" s="231"/>
      <c r="AD332" s="231"/>
      <c r="AE332" s="231"/>
      <c r="AF332" s="231"/>
      <c r="AG332" s="231"/>
      <c r="AH332" s="231"/>
      <c r="AI332" s="231"/>
      <c r="AJ332" s="231"/>
      <c r="AK332" s="231"/>
    </row>
    <row r="333" spans="1:37" s="203" customFormat="1">
      <c r="A333" s="819">
        <v>2</v>
      </c>
      <c r="B333" s="490" t="s">
        <v>243</v>
      </c>
      <c r="C333" s="617">
        <v>4391</v>
      </c>
      <c r="D333" s="617"/>
      <c r="E333" s="617"/>
      <c r="F333" s="617"/>
      <c r="G333" s="617"/>
      <c r="H333" s="617"/>
      <c r="I333" s="457"/>
      <c r="J333" s="231"/>
      <c r="K333" s="231"/>
      <c r="L333" s="231"/>
      <c r="M333" s="231"/>
      <c r="N333" s="231"/>
      <c r="O333" s="231"/>
      <c r="P333" s="231"/>
      <c r="Q333" s="231"/>
      <c r="R333" s="231"/>
      <c r="S333" s="231"/>
      <c r="T333" s="231"/>
      <c r="U333" s="231"/>
      <c r="V333" s="231"/>
      <c r="W333" s="231"/>
      <c r="X333" s="231"/>
      <c r="Y333" s="231"/>
      <c r="Z333" s="231"/>
      <c r="AA333" s="231"/>
      <c r="AB333" s="231"/>
      <c r="AC333" s="231"/>
      <c r="AD333" s="231"/>
      <c r="AE333" s="231"/>
      <c r="AF333" s="231"/>
      <c r="AG333" s="231"/>
      <c r="AH333" s="231"/>
      <c r="AI333" s="231"/>
      <c r="AJ333" s="231"/>
      <c r="AK333" s="231"/>
    </row>
    <row r="334" spans="1:37" s="203" customFormat="1">
      <c r="A334" s="819">
        <v>3</v>
      </c>
      <c r="B334" s="490" t="s">
        <v>244</v>
      </c>
      <c r="C334" s="543">
        <v>5639</v>
      </c>
      <c r="D334" s="543"/>
      <c r="E334" s="543"/>
      <c r="F334" s="543"/>
      <c r="G334" s="543"/>
      <c r="H334" s="543"/>
      <c r="I334" s="457"/>
      <c r="J334" s="231"/>
      <c r="K334" s="231"/>
      <c r="L334" s="231"/>
      <c r="M334" s="231"/>
      <c r="N334" s="231"/>
      <c r="O334" s="231"/>
      <c r="P334" s="231"/>
      <c r="Q334" s="231"/>
      <c r="R334" s="231"/>
      <c r="S334" s="231"/>
      <c r="T334" s="231"/>
      <c r="U334" s="231"/>
      <c r="V334" s="231"/>
      <c r="W334" s="231"/>
      <c r="X334" s="231"/>
      <c r="Y334" s="231"/>
      <c r="Z334" s="231"/>
      <c r="AA334" s="231"/>
      <c r="AB334" s="231"/>
      <c r="AC334" s="231"/>
      <c r="AD334" s="231"/>
      <c r="AE334" s="231"/>
      <c r="AF334" s="231"/>
      <c r="AG334" s="231"/>
      <c r="AH334" s="231"/>
      <c r="AI334" s="231"/>
      <c r="AJ334" s="231"/>
      <c r="AK334" s="231"/>
    </row>
    <row r="335" spans="1:37" s="203" customFormat="1">
      <c r="A335" s="819">
        <v>4</v>
      </c>
      <c r="B335" s="490" t="s">
        <v>245</v>
      </c>
      <c r="C335" s="543">
        <v>2941</v>
      </c>
      <c r="D335" s="543"/>
      <c r="E335" s="543"/>
      <c r="F335" s="543"/>
      <c r="G335" s="543"/>
      <c r="H335" s="543"/>
      <c r="I335" s="457"/>
      <c r="J335" s="231"/>
      <c r="K335" s="231"/>
      <c r="L335" s="231"/>
      <c r="M335" s="231"/>
      <c r="N335" s="231"/>
      <c r="O335" s="231"/>
      <c r="P335" s="231"/>
      <c r="Q335" s="231"/>
      <c r="R335" s="231"/>
      <c r="S335" s="231"/>
      <c r="T335" s="231"/>
      <c r="U335" s="231"/>
      <c r="V335" s="231"/>
      <c r="W335" s="231"/>
      <c r="X335" s="231"/>
      <c r="Y335" s="231"/>
      <c r="Z335" s="231"/>
      <c r="AA335" s="231"/>
      <c r="AB335" s="231"/>
      <c r="AC335" s="231"/>
      <c r="AD335" s="231"/>
      <c r="AE335" s="231"/>
      <c r="AF335" s="231"/>
      <c r="AG335" s="231"/>
      <c r="AH335" s="231"/>
      <c r="AI335" s="231"/>
      <c r="AJ335" s="231"/>
      <c r="AK335" s="231"/>
    </row>
    <row r="336" spans="1:37" s="203" customFormat="1">
      <c r="A336" s="820">
        <v>5</v>
      </c>
      <c r="B336" s="496" t="s">
        <v>246</v>
      </c>
      <c r="C336" s="544">
        <v>2402</v>
      </c>
      <c r="D336" s="544"/>
      <c r="E336" s="544"/>
      <c r="F336" s="544"/>
      <c r="G336" s="544"/>
      <c r="H336" s="544"/>
      <c r="I336" s="457"/>
      <c r="J336" s="231"/>
      <c r="K336" s="231"/>
      <c r="L336" s="231"/>
      <c r="M336" s="231"/>
      <c r="N336" s="231"/>
      <c r="O336" s="231"/>
      <c r="P336" s="231"/>
      <c r="Q336" s="231"/>
      <c r="R336" s="231"/>
      <c r="S336" s="231"/>
      <c r="T336" s="231"/>
      <c r="U336" s="231"/>
      <c r="V336" s="231"/>
      <c r="W336" s="231"/>
      <c r="X336" s="231"/>
      <c r="Y336" s="231"/>
      <c r="Z336" s="231"/>
      <c r="AA336" s="231"/>
      <c r="AB336" s="231"/>
      <c r="AC336" s="231"/>
      <c r="AD336" s="231"/>
      <c r="AE336" s="231"/>
      <c r="AF336" s="231"/>
      <c r="AG336" s="231"/>
      <c r="AH336" s="231"/>
      <c r="AI336" s="231"/>
      <c r="AJ336" s="231"/>
      <c r="AK336" s="231"/>
    </row>
    <row r="337" spans="1:37" s="203" customFormat="1">
      <c r="A337" s="464"/>
      <c r="B337" s="457"/>
      <c r="C337" s="457"/>
      <c r="D337" s="457"/>
      <c r="E337" s="457"/>
      <c r="F337" s="457"/>
      <c r="G337" s="457"/>
      <c r="H337" s="461"/>
      <c r="I337" s="461"/>
      <c r="J337" s="231"/>
      <c r="K337" s="231"/>
      <c r="L337" s="231"/>
      <c r="M337" s="231"/>
      <c r="N337" s="231"/>
      <c r="O337" s="231"/>
      <c r="P337" s="231"/>
      <c r="Q337" s="231"/>
      <c r="R337" s="231"/>
      <c r="S337" s="231"/>
      <c r="T337" s="231"/>
      <c r="U337" s="231"/>
      <c r="V337" s="231"/>
      <c r="W337" s="231"/>
      <c r="X337" s="231"/>
      <c r="Y337" s="231"/>
      <c r="Z337" s="231"/>
      <c r="AA337" s="231"/>
      <c r="AB337" s="231"/>
      <c r="AC337" s="231"/>
      <c r="AD337" s="231"/>
      <c r="AE337" s="231"/>
      <c r="AF337" s="231"/>
      <c r="AG337" s="231"/>
      <c r="AH337" s="231"/>
      <c r="AI337" s="231"/>
      <c r="AJ337" s="231"/>
      <c r="AK337" s="231"/>
    </row>
    <row r="338" spans="1:37" s="203" customFormat="1" ht="12.75" customHeight="1">
      <c r="A338" s="464"/>
      <c r="B338" s="457"/>
      <c r="C338" s="457"/>
      <c r="D338" s="457"/>
      <c r="E338" s="457"/>
      <c r="F338" s="457"/>
      <c r="G338" s="457"/>
      <c r="H338" s="461"/>
      <c r="I338" s="461"/>
      <c r="J338" s="231"/>
      <c r="K338" s="231"/>
      <c r="L338" s="231"/>
      <c r="M338" s="231"/>
      <c r="N338" s="231"/>
      <c r="O338" s="231"/>
      <c r="P338" s="231"/>
      <c r="Q338" s="231"/>
      <c r="R338" s="231"/>
      <c r="S338" s="231"/>
      <c r="T338" s="231"/>
      <c r="U338" s="231"/>
      <c r="V338" s="231"/>
      <c r="W338" s="231"/>
      <c r="X338" s="231"/>
      <c r="Y338" s="231"/>
      <c r="Z338" s="231"/>
      <c r="AA338" s="231"/>
      <c r="AB338" s="231"/>
      <c r="AC338" s="231"/>
      <c r="AD338" s="231"/>
      <c r="AE338" s="231"/>
      <c r="AF338" s="231"/>
      <c r="AG338" s="231"/>
      <c r="AH338" s="231"/>
      <c r="AI338" s="231"/>
      <c r="AJ338" s="231"/>
      <c r="AK338" s="231"/>
    </row>
    <row r="339" spans="1:37" s="203" customFormat="1">
      <c r="A339" s="464"/>
      <c r="B339" s="457"/>
      <c r="C339" s="457"/>
      <c r="D339" s="457"/>
      <c r="E339" s="457"/>
      <c r="F339" s="457"/>
      <c r="G339" s="457"/>
      <c r="H339" s="461"/>
      <c r="I339" s="461"/>
      <c r="J339" s="231"/>
      <c r="K339" s="231"/>
      <c r="L339" s="231"/>
      <c r="M339" s="231"/>
      <c r="N339" s="231"/>
      <c r="O339" s="231"/>
      <c r="P339" s="231"/>
      <c r="Q339" s="231"/>
      <c r="R339" s="231"/>
      <c r="S339" s="231"/>
      <c r="T339" s="231"/>
      <c r="U339" s="231"/>
      <c r="V339" s="231"/>
      <c r="W339" s="231"/>
      <c r="X339" s="231"/>
      <c r="Y339" s="231"/>
      <c r="Z339" s="231"/>
      <c r="AA339" s="231"/>
      <c r="AB339" s="231"/>
      <c r="AC339" s="231"/>
      <c r="AD339" s="231"/>
      <c r="AE339" s="231"/>
      <c r="AF339" s="231"/>
      <c r="AG339" s="231"/>
      <c r="AH339" s="231"/>
      <c r="AI339" s="231"/>
      <c r="AJ339" s="231"/>
      <c r="AK339" s="231"/>
    </row>
    <row r="340" spans="1:37" s="203" customFormat="1">
      <c r="A340" s="464"/>
      <c r="B340" s="457"/>
      <c r="C340" s="457"/>
      <c r="D340" s="457"/>
      <c r="E340" s="457"/>
      <c r="F340" s="457"/>
      <c r="G340" s="457"/>
      <c r="H340" s="550" t="s">
        <v>27</v>
      </c>
      <c r="I340" s="461"/>
      <c r="J340" s="231"/>
      <c r="K340" s="231"/>
      <c r="L340" s="231"/>
      <c r="M340" s="231"/>
      <c r="N340" s="231"/>
      <c r="O340" s="231"/>
      <c r="P340" s="231"/>
      <c r="Q340" s="231"/>
      <c r="R340" s="231"/>
      <c r="S340" s="231"/>
      <c r="T340" s="231"/>
      <c r="U340" s="231"/>
      <c r="V340" s="231"/>
      <c r="W340" s="231"/>
      <c r="X340" s="231"/>
      <c r="Y340" s="231"/>
      <c r="Z340" s="231"/>
      <c r="AA340" s="231"/>
      <c r="AB340" s="231"/>
      <c r="AC340" s="231"/>
      <c r="AD340" s="231"/>
      <c r="AE340" s="231"/>
      <c r="AF340" s="231"/>
      <c r="AG340" s="231"/>
      <c r="AH340" s="231"/>
      <c r="AI340" s="231"/>
      <c r="AJ340" s="231"/>
      <c r="AK340" s="231"/>
    </row>
    <row r="341" spans="1:37" s="203" customFormat="1">
      <c r="A341" s="643"/>
      <c r="B341" s="510"/>
      <c r="C341" s="510"/>
      <c r="D341" s="510"/>
      <c r="E341" s="910" t="s">
        <v>377</v>
      </c>
      <c r="F341" s="913" t="s">
        <v>402</v>
      </c>
      <c r="G341" s="457"/>
      <c r="H341" s="910" t="s">
        <v>403</v>
      </c>
      <c r="I341" s="461"/>
      <c r="J341" s="231"/>
      <c r="K341" s="231"/>
      <c r="L341" s="231"/>
      <c r="M341" s="231"/>
      <c r="N341" s="231"/>
      <c r="O341" s="231"/>
      <c r="P341" s="231"/>
      <c r="Q341" s="231"/>
      <c r="R341" s="231"/>
      <c r="S341" s="231"/>
      <c r="T341" s="231"/>
      <c r="U341" s="231"/>
      <c r="V341" s="231"/>
      <c r="W341" s="231"/>
      <c r="X341" s="231"/>
      <c r="Y341" s="231"/>
      <c r="Z341" s="231"/>
      <c r="AA341" s="231"/>
      <c r="AB341" s="231"/>
      <c r="AC341" s="231"/>
      <c r="AD341" s="231"/>
      <c r="AE341" s="231"/>
      <c r="AF341" s="231"/>
      <c r="AG341" s="231"/>
      <c r="AH341" s="231"/>
      <c r="AI341" s="231"/>
      <c r="AJ341" s="231"/>
      <c r="AK341" s="231"/>
    </row>
    <row r="342" spans="1:37" s="203" customFormat="1">
      <c r="A342" s="592" t="s">
        <v>261</v>
      </c>
      <c r="B342" s="567"/>
      <c r="C342" s="567"/>
      <c r="D342" s="567"/>
      <c r="E342" s="911"/>
      <c r="F342" s="914"/>
      <c r="G342" s="457"/>
      <c r="H342" s="916"/>
      <c r="I342" s="461"/>
      <c r="J342" s="231"/>
      <c r="K342" s="231"/>
      <c r="L342" s="231"/>
      <c r="M342" s="231"/>
      <c r="N342" s="231"/>
      <c r="O342" s="231"/>
      <c r="P342" s="231"/>
      <c r="Q342" s="231"/>
      <c r="R342" s="231"/>
      <c r="S342" s="231"/>
      <c r="T342" s="231"/>
      <c r="U342" s="231"/>
      <c r="V342" s="231"/>
      <c r="W342" s="231"/>
      <c r="X342" s="231"/>
      <c r="Y342" s="231"/>
      <c r="Z342" s="231"/>
      <c r="AA342" s="231"/>
      <c r="AB342" s="231"/>
      <c r="AC342" s="231"/>
      <c r="AD342" s="231"/>
      <c r="AE342" s="231"/>
      <c r="AF342" s="231"/>
      <c r="AG342" s="231"/>
      <c r="AH342" s="231"/>
      <c r="AI342" s="231"/>
      <c r="AJ342" s="231"/>
      <c r="AK342" s="231"/>
    </row>
    <row r="343" spans="1:37" s="203" customFormat="1">
      <c r="A343" s="573"/>
      <c r="B343" s="567"/>
      <c r="C343" s="567"/>
      <c r="D343" s="567"/>
      <c r="E343" s="911"/>
      <c r="F343" s="914"/>
      <c r="G343" s="457"/>
      <c r="H343" s="916"/>
      <c r="I343" s="461"/>
      <c r="J343" s="231"/>
      <c r="K343" s="231"/>
      <c r="L343" s="231"/>
      <c r="M343" s="231"/>
      <c r="N343" s="231"/>
      <c r="O343" s="231"/>
      <c r="P343" s="231"/>
      <c r="Q343" s="231"/>
      <c r="R343" s="231"/>
      <c r="S343" s="231"/>
      <c r="T343" s="231"/>
      <c r="U343" s="231"/>
      <c r="V343" s="231"/>
      <c r="W343" s="231"/>
      <c r="X343" s="231"/>
      <c r="Y343" s="231"/>
      <c r="Z343" s="231"/>
      <c r="AA343" s="231"/>
      <c r="AB343" s="231"/>
      <c r="AC343" s="231"/>
      <c r="AD343" s="231"/>
      <c r="AE343" s="231"/>
      <c r="AF343" s="231"/>
      <c r="AG343" s="231"/>
      <c r="AH343" s="231"/>
      <c r="AI343" s="231"/>
      <c r="AJ343" s="231"/>
      <c r="AK343" s="231"/>
    </row>
    <row r="344" spans="1:37" s="203" customFormat="1">
      <c r="A344" s="644" t="s">
        <v>262</v>
      </c>
      <c r="B344" s="567"/>
      <c r="C344" s="567"/>
      <c r="D344" s="567"/>
      <c r="E344" s="911"/>
      <c r="F344" s="914"/>
      <c r="G344" s="457"/>
      <c r="H344" s="916"/>
      <c r="I344" s="461"/>
      <c r="J344" s="231"/>
      <c r="K344" s="231"/>
      <c r="L344" s="231"/>
      <c r="M344" s="231"/>
      <c r="N344" s="231"/>
      <c r="O344" s="231"/>
      <c r="P344" s="231"/>
      <c r="Q344" s="231"/>
      <c r="R344" s="231"/>
      <c r="S344" s="231"/>
      <c r="T344" s="231"/>
      <c r="U344" s="231"/>
      <c r="V344" s="231"/>
      <c r="W344" s="231"/>
      <c r="X344" s="231"/>
      <c r="Y344" s="231"/>
      <c r="Z344" s="231"/>
      <c r="AA344" s="231"/>
      <c r="AB344" s="231"/>
      <c r="AC344" s="231"/>
      <c r="AD344" s="231"/>
      <c r="AE344" s="231"/>
      <c r="AF344" s="231"/>
      <c r="AG344" s="231"/>
      <c r="AH344" s="231"/>
      <c r="AI344" s="231"/>
      <c r="AJ344" s="231"/>
      <c r="AK344" s="231"/>
    </row>
    <row r="345" spans="1:37" s="203" customFormat="1">
      <c r="A345" s="644" t="s">
        <v>330</v>
      </c>
      <c r="B345" s="567"/>
      <c r="C345" s="567"/>
      <c r="D345" s="567"/>
      <c r="E345" s="912"/>
      <c r="F345" s="915"/>
      <c r="G345" s="457"/>
      <c r="H345" s="917"/>
      <c r="I345" s="461"/>
      <c r="J345" s="231"/>
      <c r="K345" s="231"/>
      <c r="L345" s="231"/>
      <c r="M345" s="231"/>
      <c r="N345" s="231"/>
      <c r="O345" s="231"/>
      <c r="P345" s="231"/>
      <c r="Q345" s="231"/>
      <c r="R345" s="231"/>
      <c r="S345" s="231"/>
      <c r="T345" s="231"/>
      <c r="U345" s="231"/>
      <c r="V345" s="231"/>
      <c r="W345" s="231"/>
      <c r="X345" s="231"/>
      <c r="Y345" s="231"/>
      <c r="Z345" s="231"/>
      <c r="AA345" s="231"/>
      <c r="AB345" s="231"/>
      <c r="AC345" s="231"/>
      <c r="AD345" s="231"/>
      <c r="AE345" s="231"/>
      <c r="AF345" s="231"/>
      <c r="AG345" s="231"/>
      <c r="AH345" s="231"/>
      <c r="AI345" s="231"/>
      <c r="AJ345" s="231"/>
      <c r="AK345" s="231"/>
    </row>
    <row r="346" spans="1:37" s="203" customFormat="1">
      <c r="A346" s="573"/>
      <c r="B346" s="490"/>
      <c r="C346" s="567"/>
      <c r="D346" s="567"/>
      <c r="E346" s="627"/>
      <c r="F346" s="534"/>
      <c r="G346" s="464"/>
      <c r="H346" s="645"/>
      <c r="I346" s="461"/>
      <c r="J346" s="231"/>
      <c r="K346" s="231"/>
      <c r="L346" s="231"/>
      <c r="M346" s="231"/>
      <c r="N346" s="231"/>
      <c r="O346" s="231"/>
      <c r="P346" s="231"/>
      <c r="Q346" s="231"/>
      <c r="R346" s="231"/>
      <c r="S346" s="231"/>
      <c r="T346" s="231"/>
      <c r="U346" s="231"/>
      <c r="V346" s="231"/>
      <c r="W346" s="231"/>
      <c r="X346" s="231"/>
      <c r="Y346" s="231"/>
      <c r="Z346" s="231"/>
      <c r="AA346" s="231"/>
      <c r="AB346" s="231"/>
      <c r="AC346" s="231"/>
      <c r="AD346" s="231"/>
      <c r="AE346" s="231"/>
      <c r="AF346" s="231"/>
      <c r="AG346" s="231"/>
      <c r="AH346" s="231"/>
      <c r="AI346" s="231"/>
      <c r="AJ346" s="231"/>
      <c r="AK346" s="231"/>
    </row>
    <row r="347" spans="1:37" s="203" customFormat="1">
      <c r="A347" s="819">
        <v>1</v>
      </c>
      <c r="B347" s="490" t="s">
        <v>263</v>
      </c>
      <c r="C347" s="567"/>
      <c r="D347" s="567"/>
      <c r="E347" s="646">
        <v>7805</v>
      </c>
      <c r="F347" s="265">
        <v>7682</v>
      </c>
      <c r="G347" s="486"/>
      <c r="H347" s="126">
        <v>7766</v>
      </c>
      <c r="I347" s="488"/>
      <c r="J347" s="231"/>
      <c r="K347" s="231"/>
      <c r="L347" s="231"/>
      <c r="M347" s="231"/>
      <c r="N347" s="231"/>
      <c r="O347" s="231"/>
      <c r="P347" s="231"/>
      <c r="Q347" s="231"/>
      <c r="R347" s="231"/>
      <c r="S347" s="231"/>
      <c r="T347" s="231"/>
      <c r="U347" s="231"/>
      <c r="V347" s="231"/>
      <c r="W347" s="231"/>
      <c r="X347" s="231"/>
      <c r="Y347" s="231"/>
      <c r="Z347" s="231"/>
      <c r="AA347" s="231"/>
      <c r="AB347" s="231"/>
      <c r="AC347" s="231"/>
      <c r="AD347" s="231"/>
      <c r="AE347" s="231"/>
      <c r="AF347" s="231"/>
      <c r="AG347" s="231"/>
      <c r="AH347" s="231"/>
      <c r="AI347" s="231"/>
      <c r="AJ347" s="231"/>
      <c r="AK347" s="231"/>
    </row>
    <row r="348" spans="1:37" s="203" customFormat="1">
      <c r="A348" s="819"/>
      <c r="B348" s="490"/>
      <c r="C348" s="567"/>
      <c r="D348" s="567"/>
      <c r="E348" s="647"/>
      <c r="F348" s="637"/>
      <c r="G348" s="486"/>
      <c r="H348" s="637"/>
      <c r="I348" s="488"/>
      <c r="J348" s="231"/>
      <c r="K348" s="231"/>
      <c r="L348" s="231"/>
      <c r="M348" s="231"/>
      <c r="N348" s="231"/>
      <c r="O348" s="231"/>
      <c r="P348" s="231"/>
      <c r="Q348" s="231"/>
      <c r="R348" s="231"/>
      <c r="S348" s="231"/>
      <c r="T348" s="231"/>
      <c r="U348" s="231"/>
      <c r="V348" s="231"/>
      <c r="W348" s="231"/>
      <c r="X348" s="231"/>
      <c r="Y348" s="231"/>
      <c r="Z348" s="231"/>
      <c r="AA348" s="231"/>
      <c r="AB348" s="231"/>
      <c r="AC348" s="231"/>
      <c r="AD348" s="231"/>
      <c r="AE348" s="231"/>
      <c r="AF348" s="231"/>
      <c r="AG348" s="231"/>
      <c r="AH348" s="231"/>
      <c r="AI348" s="231"/>
      <c r="AJ348" s="231"/>
      <c r="AK348" s="231"/>
    </row>
    <row r="349" spans="1:37" s="203" customFormat="1">
      <c r="A349" s="554" t="s">
        <v>378</v>
      </c>
      <c r="B349" s="490"/>
      <c r="C349" s="567"/>
      <c r="D349" s="567"/>
      <c r="E349" s="647"/>
      <c r="F349" s="637"/>
      <c r="G349" s="486"/>
      <c r="H349" s="637"/>
      <c r="I349" s="488"/>
      <c r="J349" s="231"/>
      <c r="K349" s="231"/>
      <c r="L349" s="231"/>
      <c r="M349" s="231"/>
      <c r="N349" s="231"/>
      <c r="O349" s="231"/>
      <c r="P349" s="231"/>
      <c r="Q349" s="231"/>
      <c r="R349" s="231"/>
      <c r="S349" s="231"/>
      <c r="T349" s="231"/>
      <c r="U349" s="231"/>
      <c r="V349" s="231"/>
      <c r="W349" s="231"/>
      <c r="X349" s="231"/>
      <c r="Y349" s="231"/>
      <c r="Z349" s="231"/>
      <c r="AA349" s="231"/>
      <c r="AB349" s="231"/>
      <c r="AC349" s="231"/>
      <c r="AD349" s="231"/>
      <c r="AE349" s="231"/>
      <c r="AF349" s="231"/>
      <c r="AG349" s="231"/>
      <c r="AH349" s="231"/>
      <c r="AI349" s="231"/>
      <c r="AJ349" s="231"/>
      <c r="AK349" s="231"/>
    </row>
    <row r="350" spans="1:37" s="203" customFormat="1">
      <c r="A350" s="819"/>
      <c r="B350" s="490"/>
      <c r="C350" s="567"/>
      <c r="D350" s="567"/>
      <c r="E350" s="647"/>
      <c r="F350" s="637"/>
      <c r="G350" s="486"/>
      <c r="H350" s="637"/>
      <c r="I350" s="488"/>
      <c r="J350" s="231"/>
      <c r="K350" s="231"/>
      <c r="L350" s="231"/>
      <c r="M350" s="231"/>
      <c r="N350" s="231"/>
      <c r="O350" s="231"/>
      <c r="P350" s="231"/>
      <c r="Q350" s="231"/>
      <c r="R350" s="231"/>
      <c r="S350" s="231"/>
      <c r="T350" s="231"/>
      <c r="U350" s="231"/>
      <c r="V350" s="231"/>
      <c r="W350" s="231"/>
      <c r="X350" s="231"/>
      <c r="Y350" s="231"/>
      <c r="Z350" s="231"/>
      <c r="AA350" s="231"/>
      <c r="AB350" s="231"/>
      <c r="AC350" s="231"/>
      <c r="AD350" s="231"/>
      <c r="AE350" s="231"/>
      <c r="AF350" s="231"/>
      <c r="AG350" s="231"/>
      <c r="AH350" s="231"/>
      <c r="AI350" s="231"/>
      <c r="AJ350" s="231"/>
      <c r="AK350" s="231"/>
    </row>
    <row r="351" spans="1:37" s="203" customFormat="1">
      <c r="A351" s="644" t="s">
        <v>379</v>
      </c>
      <c r="B351" s="490"/>
      <c r="C351" s="567"/>
      <c r="D351" s="567"/>
      <c r="E351" s="647"/>
      <c r="F351" s="637"/>
      <c r="G351" s="486"/>
      <c r="H351" s="637"/>
      <c r="I351" s="488"/>
      <c r="J351" s="231"/>
      <c r="K351" s="231"/>
      <c r="L351" s="231"/>
      <c r="M351" s="231"/>
      <c r="N351" s="231"/>
      <c r="O351" s="231"/>
      <c r="P351" s="231"/>
      <c r="Q351" s="231"/>
      <c r="R351" s="231"/>
      <c r="S351" s="231"/>
      <c r="T351" s="231"/>
      <c r="U351" s="231"/>
      <c r="V351" s="231"/>
      <c r="W351" s="231"/>
      <c r="X351" s="231"/>
      <c r="Y351" s="231"/>
      <c r="Z351" s="231"/>
      <c r="AA351" s="231"/>
      <c r="AB351" s="231"/>
      <c r="AC351" s="231"/>
      <c r="AD351" s="231"/>
      <c r="AE351" s="231"/>
      <c r="AF351" s="231"/>
      <c r="AG351" s="231"/>
      <c r="AH351" s="231"/>
      <c r="AI351" s="231"/>
      <c r="AJ351" s="231"/>
      <c r="AK351" s="231"/>
    </row>
    <row r="352" spans="1:37" s="203" customFormat="1">
      <c r="A352" s="819"/>
      <c r="B352" s="490"/>
      <c r="C352" s="567"/>
      <c r="D352" s="567"/>
      <c r="E352" s="647"/>
      <c r="F352" s="637"/>
      <c r="G352" s="486"/>
      <c r="H352" s="637"/>
      <c r="I352" s="488"/>
      <c r="J352" s="231"/>
      <c r="K352" s="231"/>
      <c r="L352" s="231"/>
      <c r="M352" s="231"/>
      <c r="N352" s="231"/>
      <c r="O352" s="231"/>
      <c r="P352" s="231"/>
      <c r="Q352" s="231"/>
      <c r="R352" s="231"/>
      <c r="S352" s="231"/>
      <c r="T352" s="231"/>
      <c r="U352" s="231"/>
      <c r="V352" s="231"/>
      <c r="W352" s="231"/>
      <c r="X352" s="231"/>
      <c r="Y352" s="231"/>
      <c r="Z352" s="231"/>
      <c r="AA352" s="231"/>
      <c r="AB352" s="231"/>
      <c r="AC352" s="231"/>
      <c r="AD352" s="231"/>
      <c r="AE352" s="231"/>
      <c r="AF352" s="231"/>
      <c r="AG352" s="231"/>
      <c r="AH352" s="231"/>
      <c r="AI352" s="231"/>
      <c r="AJ352" s="231"/>
      <c r="AK352" s="231"/>
    </row>
    <row r="353" spans="1:37" s="203" customFormat="1">
      <c r="A353" s="819">
        <v>2</v>
      </c>
      <c r="B353" s="490" t="s">
        <v>52</v>
      </c>
      <c r="C353" s="567"/>
      <c r="D353" s="567"/>
      <c r="E353" s="516">
        <v>1622</v>
      </c>
      <c r="F353" s="265">
        <v>1622</v>
      </c>
      <c r="G353" s="486"/>
      <c r="H353" s="126">
        <v>1622</v>
      </c>
      <c r="I353" s="488"/>
      <c r="J353" s="231"/>
      <c r="K353" s="231"/>
      <c r="L353" s="231"/>
      <c r="M353" s="231"/>
      <c r="N353" s="231"/>
      <c r="O353" s="231"/>
      <c r="P353" s="231"/>
      <c r="Q353" s="231"/>
      <c r="R353" s="231"/>
      <c r="S353" s="231"/>
      <c r="T353" s="231"/>
      <c r="U353" s="231"/>
      <c r="V353" s="231"/>
      <c r="W353" s="231"/>
      <c r="X353" s="231"/>
      <c r="Y353" s="231"/>
      <c r="Z353" s="231"/>
      <c r="AA353" s="231"/>
      <c r="AB353" s="231"/>
      <c r="AC353" s="231"/>
      <c r="AD353" s="231"/>
      <c r="AE353" s="231"/>
      <c r="AF353" s="231"/>
      <c r="AG353" s="231"/>
      <c r="AH353" s="231"/>
      <c r="AI353" s="231"/>
      <c r="AJ353" s="231"/>
      <c r="AK353" s="231"/>
    </row>
    <row r="354" spans="1:37" s="203" customFormat="1">
      <c r="A354" s="819">
        <v>3</v>
      </c>
      <c r="B354" s="490" t="s">
        <v>53</v>
      </c>
      <c r="C354" s="567"/>
      <c r="D354" s="567"/>
      <c r="E354" s="492">
        <v>0</v>
      </c>
      <c r="F354" s="265"/>
      <c r="G354" s="486"/>
      <c r="H354" s="126"/>
      <c r="I354" s="488"/>
      <c r="J354" s="231"/>
      <c r="K354" s="231"/>
      <c r="L354" s="231"/>
      <c r="M354" s="231"/>
      <c r="N354" s="231"/>
      <c r="O354" s="231"/>
      <c r="P354" s="231"/>
      <c r="Q354" s="231"/>
      <c r="R354" s="231"/>
      <c r="S354" s="231"/>
      <c r="T354" s="231"/>
      <c r="U354" s="231"/>
      <c r="V354" s="231"/>
      <c r="W354" s="231"/>
      <c r="X354" s="231"/>
      <c r="Y354" s="231"/>
      <c r="Z354" s="231"/>
      <c r="AA354" s="231"/>
      <c r="AB354" s="231"/>
      <c r="AC354" s="231"/>
      <c r="AD354" s="231"/>
      <c r="AE354" s="231"/>
      <c r="AF354" s="231"/>
      <c r="AG354" s="231"/>
      <c r="AH354" s="231"/>
      <c r="AI354" s="231"/>
      <c r="AJ354" s="231"/>
      <c r="AK354" s="231"/>
    </row>
    <row r="355" spans="1:37" s="203" customFormat="1">
      <c r="A355" s="819">
        <v>4</v>
      </c>
      <c r="B355" s="490" t="s">
        <v>54</v>
      </c>
      <c r="C355" s="567"/>
      <c r="D355" s="567"/>
      <c r="E355" s="492">
        <v>4235</v>
      </c>
      <c r="F355" s="265">
        <v>4235</v>
      </c>
      <c r="G355" s="486"/>
      <c r="H355" s="126">
        <v>4235</v>
      </c>
      <c r="I355" s="488"/>
      <c r="J355" s="231"/>
      <c r="K355" s="231"/>
      <c r="L355" s="231"/>
      <c r="M355" s="231"/>
      <c r="N355" s="231"/>
      <c r="O355" s="231"/>
      <c r="P355" s="231"/>
      <c r="Q355" s="231"/>
      <c r="R355" s="231"/>
      <c r="S355" s="231"/>
      <c r="T355" s="231"/>
      <c r="U355" s="231"/>
      <c r="V355" s="231"/>
      <c r="W355" s="231"/>
      <c r="X355" s="231"/>
      <c r="Y355" s="231"/>
      <c r="Z355" s="231"/>
      <c r="AA355" s="231"/>
      <c r="AB355" s="231"/>
      <c r="AC355" s="231"/>
      <c r="AD355" s="231"/>
      <c r="AE355" s="231"/>
      <c r="AF355" s="231"/>
      <c r="AG355" s="231"/>
      <c r="AH355" s="231"/>
      <c r="AI355" s="231"/>
      <c r="AJ355" s="231"/>
      <c r="AK355" s="231"/>
    </row>
    <row r="356" spans="1:37" s="203" customFormat="1">
      <c r="A356" s="819">
        <v>5</v>
      </c>
      <c r="B356" s="490" t="s">
        <v>55</v>
      </c>
      <c r="C356" s="567"/>
      <c r="D356" s="567"/>
      <c r="E356" s="492">
        <v>0</v>
      </c>
      <c r="F356" s="265"/>
      <c r="G356" s="486"/>
      <c r="H356" s="126"/>
      <c r="I356" s="488"/>
      <c r="J356" s="231"/>
      <c r="K356" s="231"/>
      <c r="L356" s="231"/>
      <c r="M356" s="231"/>
      <c r="N356" s="231"/>
      <c r="O356" s="231"/>
      <c r="P356" s="231"/>
      <c r="Q356" s="231"/>
      <c r="R356" s="231"/>
      <c r="S356" s="231"/>
      <c r="T356" s="231"/>
      <c r="U356" s="231"/>
      <c r="V356" s="231"/>
      <c r="W356" s="231"/>
      <c r="X356" s="231"/>
      <c r="Y356" s="231"/>
      <c r="Z356" s="231"/>
      <c r="AA356" s="231"/>
      <c r="AB356" s="231"/>
      <c r="AC356" s="231"/>
      <c r="AD356" s="231"/>
      <c r="AE356" s="231"/>
      <c r="AF356" s="231"/>
      <c r="AG356" s="231"/>
      <c r="AH356" s="231"/>
      <c r="AI356" s="231"/>
      <c r="AJ356" s="231"/>
      <c r="AK356" s="231"/>
    </row>
    <row r="357" spans="1:37" s="203" customFormat="1">
      <c r="A357" s="819">
        <v>6</v>
      </c>
      <c r="B357" s="490" t="s">
        <v>56</v>
      </c>
      <c r="C357" s="567"/>
      <c r="D357" s="567"/>
      <c r="E357" s="492">
        <v>0</v>
      </c>
      <c r="F357" s="265"/>
      <c r="G357" s="486"/>
      <c r="H357" s="126"/>
      <c r="I357" s="488"/>
      <c r="J357" s="231"/>
      <c r="K357" s="231"/>
      <c r="L357" s="231"/>
      <c r="M357" s="231"/>
      <c r="N357" s="231"/>
      <c r="O357" s="231"/>
      <c r="P357" s="231"/>
      <c r="Q357" s="231"/>
      <c r="R357" s="231"/>
      <c r="S357" s="231"/>
      <c r="T357" s="231"/>
      <c r="U357" s="231"/>
      <c r="V357" s="231"/>
      <c r="W357" s="231"/>
      <c r="X357" s="231"/>
      <c r="Y357" s="231"/>
      <c r="Z357" s="231"/>
      <c r="AA357" s="231"/>
      <c r="AB357" s="231"/>
      <c r="AC357" s="231"/>
      <c r="AD357" s="231"/>
      <c r="AE357" s="231"/>
      <c r="AF357" s="231"/>
      <c r="AG357" s="231"/>
      <c r="AH357" s="231"/>
      <c r="AI357" s="231"/>
      <c r="AJ357" s="231"/>
      <c r="AK357" s="231"/>
    </row>
    <row r="358" spans="1:37" s="203" customFormat="1">
      <c r="A358" s="819">
        <v>7</v>
      </c>
      <c r="B358" s="490" t="s">
        <v>57</v>
      </c>
      <c r="C358" s="567"/>
      <c r="D358" s="567"/>
      <c r="E358" s="492">
        <v>0</v>
      </c>
      <c r="F358" s="265"/>
      <c r="G358" s="486"/>
      <c r="H358" s="126"/>
      <c r="I358" s="488"/>
      <c r="J358" s="231"/>
      <c r="K358" s="231"/>
      <c r="L358" s="231"/>
      <c r="M358" s="231"/>
      <c r="N358" s="231"/>
      <c r="O358" s="231"/>
      <c r="P358" s="231"/>
      <c r="Q358" s="231"/>
      <c r="R358" s="231"/>
      <c r="S358" s="231"/>
      <c r="T358" s="231"/>
      <c r="U358" s="231"/>
      <c r="V358" s="231"/>
      <c r="W358" s="231"/>
      <c r="X358" s="231"/>
      <c r="Y358" s="231"/>
      <c r="Z358" s="231"/>
      <c r="AA358" s="231"/>
      <c r="AB358" s="231"/>
      <c r="AC358" s="231"/>
      <c r="AD358" s="231"/>
      <c r="AE358" s="231"/>
      <c r="AF358" s="231"/>
      <c r="AG358" s="231"/>
      <c r="AH358" s="231"/>
      <c r="AI358" s="231"/>
      <c r="AJ358" s="231"/>
      <c r="AK358" s="231"/>
    </row>
    <row r="359" spans="1:37" s="203" customFormat="1">
      <c r="A359" s="819">
        <v>8</v>
      </c>
      <c r="B359" s="490" t="s">
        <v>58</v>
      </c>
      <c r="C359" s="567"/>
      <c r="D359" s="567"/>
      <c r="E359" s="492">
        <v>0</v>
      </c>
      <c r="F359" s="265"/>
      <c r="G359" s="486"/>
      <c r="H359" s="126"/>
      <c r="I359" s="488"/>
      <c r="J359" s="231"/>
      <c r="K359" s="231"/>
      <c r="L359" s="231"/>
      <c r="M359" s="231"/>
      <c r="N359" s="231"/>
      <c r="O359" s="231"/>
      <c r="P359" s="231"/>
      <c r="Q359" s="231"/>
      <c r="R359" s="231"/>
      <c r="S359" s="231"/>
      <c r="T359" s="231"/>
      <c r="U359" s="231"/>
      <c r="V359" s="231"/>
      <c r="W359" s="231"/>
      <c r="X359" s="231"/>
      <c r="Y359" s="231"/>
      <c r="Z359" s="231"/>
      <c r="AA359" s="231"/>
      <c r="AB359" s="231"/>
      <c r="AC359" s="231"/>
      <c r="AD359" s="231"/>
      <c r="AE359" s="231"/>
      <c r="AF359" s="231"/>
      <c r="AG359" s="231"/>
      <c r="AH359" s="231"/>
      <c r="AI359" s="231"/>
      <c r="AJ359" s="231"/>
      <c r="AK359" s="231"/>
    </row>
    <row r="360" spans="1:37" s="203" customFormat="1">
      <c r="A360" s="819">
        <v>9</v>
      </c>
      <c r="B360" s="490" t="s">
        <v>59</v>
      </c>
      <c r="C360" s="567"/>
      <c r="D360" s="567"/>
      <c r="E360" s="492">
        <v>500</v>
      </c>
      <c r="F360" s="265">
        <v>500</v>
      </c>
      <c r="G360" s="486"/>
      <c r="H360" s="126">
        <v>500</v>
      </c>
      <c r="I360" s="488"/>
      <c r="J360" s="231"/>
      <c r="K360" s="231"/>
      <c r="L360" s="231"/>
      <c r="M360" s="231"/>
      <c r="N360" s="231"/>
      <c r="O360" s="231"/>
      <c r="P360" s="231"/>
      <c r="Q360" s="231"/>
      <c r="R360" s="231"/>
      <c r="S360" s="231"/>
      <c r="T360" s="231"/>
      <c r="U360" s="231"/>
      <c r="V360" s="231"/>
      <c r="W360" s="231"/>
      <c r="X360" s="231"/>
      <c r="Y360" s="231"/>
      <c r="Z360" s="231"/>
      <c r="AA360" s="231"/>
      <c r="AB360" s="231"/>
      <c r="AC360" s="231"/>
      <c r="AD360" s="231"/>
      <c r="AE360" s="231"/>
      <c r="AF360" s="231"/>
      <c r="AG360" s="231"/>
      <c r="AH360" s="231"/>
      <c r="AI360" s="231"/>
      <c r="AJ360" s="231"/>
      <c r="AK360" s="231"/>
    </row>
    <row r="361" spans="1:37" s="203" customFormat="1">
      <c r="A361" s="819">
        <v>10</v>
      </c>
      <c r="B361" s="490" t="s">
        <v>60</v>
      </c>
      <c r="C361" s="567"/>
      <c r="D361" s="567"/>
      <c r="E361" s="492">
        <v>0</v>
      </c>
      <c r="F361" s="265"/>
      <c r="G361" s="486"/>
      <c r="H361" s="126"/>
      <c r="I361" s="488"/>
      <c r="J361" s="231"/>
      <c r="K361" s="231"/>
      <c r="L361" s="231"/>
      <c r="M361" s="231"/>
      <c r="N361" s="231"/>
      <c r="O361" s="231"/>
      <c r="P361" s="231"/>
      <c r="Q361" s="231"/>
      <c r="R361" s="231"/>
      <c r="S361" s="231"/>
      <c r="T361" s="231"/>
      <c r="U361" s="231"/>
      <c r="V361" s="231"/>
      <c r="W361" s="231"/>
      <c r="X361" s="231"/>
      <c r="Y361" s="231"/>
      <c r="Z361" s="231"/>
      <c r="AA361" s="231"/>
      <c r="AB361" s="231"/>
      <c r="AC361" s="231"/>
      <c r="AD361" s="231"/>
      <c r="AE361" s="231"/>
      <c r="AF361" s="231"/>
      <c r="AG361" s="231"/>
      <c r="AH361" s="231"/>
      <c r="AI361" s="231"/>
      <c r="AJ361" s="231"/>
      <c r="AK361" s="231"/>
    </row>
    <row r="362" spans="1:37" s="203" customFormat="1">
      <c r="A362" s="819">
        <v>11</v>
      </c>
      <c r="B362" s="490" t="s">
        <v>61</v>
      </c>
      <c r="C362" s="567"/>
      <c r="D362" s="567"/>
      <c r="E362" s="492">
        <v>0</v>
      </c>
      <c r="F362" s="265"/>
      <c r="G362" s="486"/>
      <c r="H362" s="126"/>
      <c r="I362" s="488"/>
      <c r="J362" s="231"/>
      <c r="K362" s="231"/>
      <c r="L362" s="231"/>
      <c r="M362" s="231"/>
      <c r="N362" s="231"/>
      <c r="O362" s="231"/>
      <c r="P362" s="231"/>
      <c r="Q362" s="231"/>
      <c r="R362" s="231"/>
      <c r="S362" s="231"/>
      <c r="T362" s="231"/>
      <c r="U362" s="231"/>
      <c r="V362" s="231"/>
      <c r="W362" s="231"/>
      <c r="X362" s="231"/>
      <c r="Y362" s="231"/>
      <c r="Z362" s="231"/>
      <c r="AA362" s="231"/>
      <c r="AB362" s="231"/>
      <c r="AC362" s="231"/>
      <c r="AD362" s="231"/>
      <c r="AE362" s="231"/>
      <c r="AF362" s="231"/>
      <c r="AG362" s="231"/>
      <c r="AH362" s="231"/>
      <c r="AI362" s="231"/>
      <c r="AJ362" s="231"/>
      <c r="AK362" s="231"/>
    </row>
    <row r="363" spans="1:37" s="203" customFormat="1">
      <c r="A363" s="820">
        <v>12</v>
      </c>
      <c r="B363" s="496" t="s">
        <v>380</v>
      </c>
      <c r="C363" s="538"/>
      <c r="D363" s="538"/>
      <c r="E363" s="585">
        <v>6357</v>
      </c>
      <c r="F363" s="503">
        <f>SUM(F353:F362)</f>
        <v>6357</v>
      </c>
      <c r="G363" s="486"/>
      <c r="H363" s="503">
        <f>SUM(H353:H362)</f>
        <v>6357</v>
      </c>
      <c r="I363" s="488"/>
      <c r="J363" s="231"/>
      <c r="K363" s="231"/>
      <c r="L363" s="231"/>
      <c r="M363" s="231"/>
      <c r="N363" s="231"/>
      <c r="O363" s="231"/>
      <c r="P363" s="231"/>
      <c r="Q363" s="231"/>
      <c r="R363" s="231"/>
      <c r="S363" s="231"/>
      <c r="T363" s="231"/>
      <c r="U363" s="231"/>
      <c r="V363" s="231"/>
      <c r="W363" s="231"/>
      <c r="X363" s="231"/>
      <c r="Y363" s="231"/>
      <c r="Z363" s="231"/>
      <c r="AA363" s="231"/>
      <c r="AB363" s="231"/>
      <c r="AC363" s="231"/>
      <c r="AD363" s="231"/>
      <c r="AE363" s="231"/>
      <c r="AF363" s="231"/>
      <c r="AG363" s="231"/>
      <c r="AH363" s="231"/>
      <c r="AI363" s="231"/>
      <c r="AJ363" s="231"/>
      <c r="AK363" s="231"/>
    </row>
    <row r="364" spans="1:37" s="203" customFormat="1">
      <c r="A364" s="648"/>
      <c r="B364" s="452"/>
      <c r="C364" s="452"/>
      <c r="D364" s="452"/>
      <c r="E364" s="452"/>
      <c r="F364" s="452"/>
      <c r="G364" s="452"/>
      <c r="H364" s="452"/>
      <c r="I364" s="488"/>
      <c r="J364" s="231"/>
      <c r="K364" s="231"/>
      <c r="L364" s="231"/>
      <c r="M364" s="231"/>
      <c r="N364" s="231"/>
      <c r="O364" s="231"/>
      <c r="P364" s="231"/>
      <c r="Q364" s="231"/>
      <c r="R364" s="231"/>
      <c r="S364" s="231"/>
      <c r="T364" s="231"/>
      <c r="U364" s="231"/>
      <c r="V364" s="231"/>
      <c r="W364" s="231"/>
      <c r="X364" s="231"/>
      <c r="Y364" s="231"/>
      <c r="Z364" s="231"/>
      <c r="AA364" s="231"/>
      <c r="AB364" s="231"/>
      <c r="AC364" s="231"/>
      <c r="AD364" s="231"/>
      <c r="AE364" s="231"/>
      <c r="AF364" s="231"/>
      <c r="AG364" s="231"/>
      <c r="AH364" s="231"/>
      <c r="AI364" s="231"/>
      <c r="AJ364" s="231"/>
      <c r="AK364" s="231"/>
    </row>
    <row r="365" spans="1:37" s="203" customFormat="1">
      <c r="A365" s="648"/>
      <c r="B365" s="452"/>
      <c r="C365" s="452"/>
      <c r="D365" s="452"/>
      <c r="E365" s="452"/>
      <c r="F365" s="452"/>
      <c r="G365" s="452"/>
      <c r="H365" s="488"/>
      <c r="I365" s="488"/>
      <c r="J365" s="231"/>
      <c r="K365" s="231"/>
      <c r="L365" s="231"/>
      <c r="M365" s="231"/>
      <c r="N365" s="231"/>
      <c r="O365" s="231"/>
      <c r="P365" s="231"/>
      <c r="Q365" s="231"/>
      <c r="R365" s="231"/>
      <c r="S365" s="231"/>
      <c r="T365" s="231"/>
      <c r="U365" s="231"/>
      <c r="V365" s="231"/>
      <c r="W365" s="231"/>
      <c r="X365" s="231"/>
      <c r="Y365" s="231"/>
      <c r="Z365" s="231"/>
      <c r="AA365" s="231"/>
      <c r="AB365" s="231"/>
      <c r="AC365" s="231"/>
      <c r="AD365" s="231"/>
      <c r="AE365" s="231"/>
      <c r="AF365" s="231"/>
      <c r="AG365" s="231"/>
      <c r="AH365" s="231"/>
      <c r="AI365" s="231"/>
      <c r="AJ365" s="231"/>
      <c r="AK365" s="231"/>
    </row>
    <row r="366" spans="1:37" s="203" customFormat="1">
      <c r="A366" s="648"/>
      <c r="B366" s="452"/>
      <c r="C366" s="452"/>
      <c r="D366" s="452"/>
      <c r="E366" s="452"/>
      <c r="F366" s="452"/>
      <c r="G366" s="452"/>
      <c r="H366" s="488"/>
      <c r="I366" s="488"/>
      <c r="J366" s="231"/>
      <c r="K366" s="231"/>
      <c r="L366" s="231"/>
      <c r="M366" s="231"/>
      <c r="N366" s="231"/>
      <c r="O366" s="231"/>
      <c r="P366" s="231"/>
      <c r="Q366" s="231"/>
      <c r="R366" s="231"/>
      <c r="S366" s="231"/>
      <c r="T366" s="231"/>
      <c r="U366" s="231"/>
      <c r="V366" s="231"/>
      <c r="W366" s="231"/>
      <c r="X366" s="231"/>
      <c r="Y366" s="231"/>
      <c r="Z366" s="231"/>
      <c r="AA366" s="231"/>
      <c r="AB366" s="231"/>
      <c r="AC366" s="231"/>
      <c r="AD366" s="231"/>
      <c r="AE366" s="231"/>
      <c r="AF366" s="231"/>
      <c r="AG366" s="231"/>
      <c r="AH366" s="231"/>
      <c r="AI366" s="231"/>
      <c r="AJ366" s="231"/>
      <c r="AK366" s="231"/>
    </row>
    <row r="367" spans="1:37" s="271" customFormat="1"/>
    <row r="368" spans="1:37" s="271" customFormat="1"/>
    <row r="369" s="271" customFormat="1"/>
    <row r="370" s="271" customFormat="1"/>
    <row r="371" s="271" customFormat="1"/>
    <row r="372" s="271" customFormat="1"/>
    <row r="373" s="271" customFormat="1"/>
    <row r="374" s="271" customFormat="1"/>
    <row r="375" s="271" customFormat="1"/>
    <row r="376" s="271" customFormat="1"/>
    <row r="377" s="271" customFormat="1"/>
    <row r="378" s="271" customFormat="1"/>
    <row r="379" s="271" customFormat="1"/>
    <row r="380" s="271" customFormat="1"/>
    <row r="381" s="271" customFormat="1"/>
    <row r="382" s="271" customFormat="1"/>
    <row r="383" s="271" customFormat="1"/>
    <row r="384" s="271" customFormat="1"/>
    <row r="385" spans="1:9" s="271" customFormat="1"/>
    <row r="386" spans="1:9" s="271" customFormat="1"/>
    <row r="387" spans="1:9" s="271" customFormat="1"/>
    <row r="388" spans="1:9" s="271" customFormat="1"/>
    <row r="389" spans="1:9" s="271" customFormat="1"/>
    <row r="390" spans="1:9" s="271" customFormat="1"/>
    <row r="391" spans="1:9" s="271" customFormat="1"/>
    <row r="392" spans="1:9" s="271" customFormat="1"/>
    <row r="393" spans="1:9" s="271" customFormat="1"/>
    <row r="394" spans="1:9" s="271" customFormat="1"/>
    <row r="395" spans="1:9" s="271" customFormat="1"/>
    <row r="396" spans="1:9" s="271" customFormat="1"/>
    <row r="397" spans="1:9">
      <c r="A397" s="271"/>
      <c r="B397" s="271"/>
      <c r="C397" s="271"/>
      <c r="D397" s="271"/>
      <c r="E397" s="271"/>
      <c r="F397" s="271"/>
      <c r="G397" s="271"/>
      <c r="H397" s="271"/>
      <c r="I397" s="271"/>
    </row>
    <row r="398" spans="1:9">
      <c r="A398" s="271"/>
      <c r="B398" s="271"/>
      <c r="C398" s="271"/>
      <c r="D398" s="271"/>
      <c r="E398" s="271"/>
      <c r="F398" s="271"/>
      <c r="G398" s="271"/>
      <c r="H398" s="271"/>
      <c r="I398" s="271"/>
    </row>
    <row r="399" spans="1:9">
      <c r="A399" s="271"/>
      <c r="B399" s="271"/>
      <c r="C399" s="271"/>
      <c r="D399" s="271"/>
      <c r="E399" s="271"/>
      <c r="F399" s="271"/>
      <c r="G399" s="271"/>
      <c r="H399" s="271"/>
      <c r="I399" s="271"/>
    </row>
    <row r="400" spans="1:9">
      <c r="A400" s="271"/>
      <c r="B400" s="271"/>
      <c r="C400" s="271"/>
      <c r="D400" s="271"/>
      <c r="E400" s="271"/>
      <c r="F400" s="271"/>
      <c r="G400" s="271"/>
      <c r="H400" s="271"/>
      <c r="I400" s="271"/>
    </row>
    <row r="401" spans="1:9">
      <c r="A401" s="271"/>
      <c r="B401" s="271"/>
      <c r="C401" s="271"/>
      <c r="D401" s="271"/>
      <c r="E401" s="271"/>
      <c r="F401" s="271"/>
      <c r="G401" s="271"/>
      <c r="H401" s="271"/>
      <c r="I401" s="271"/>
    </row>
    <row r="402" spans="1:9">
      <c r="A402" s="271"/>
      <c r="B402" s="271"/>
      <c r="C402" s="271"/>
      <c r="D402" s="271"/>
      <c r="E402" s="271"/>
      <c r="F402" s="271"/>
      <c r="G402" s="271"/>
      <c r="H402" s="271"/>
      <c r="I402" s="271"/>
    </row>
    <row r="403" spans="1:9">
      <c r="A403" s="271"/>
      <c r="B403" s="271"/>
      <c r="C403" s="271"/>
      <c r="D403" s="271"/>
      <c r="E403" s="271"/>
      <c r="F403" s="271"/>
      <c r="G403" s="271"/>
      <c r="H403" s="271"/>
      <c r="I403" s="271"/>
    </row>
    <row r="404" spans="1:9">
      <c r="A404" s="271"/>
      <c r="B404" s="271"/>
      <c r="C404" s="271"/>
      <c r="D404" s="271"/>
      <c r="E404" s="271"/>
      <c r="F404" s="271"/>
      <c r="G404" s="271"/>
      <c r="H404" s="271"/>
      <c r="I404" s="271"/>
    </row>
    <row r="405" spans="1:9">
      <c r="A405" s="271"/>
      <c r="B405" s="271"/>
      <c r="C405" s="271"/>
      <c r="D405" s="271"/>
      <c r="E405" s="271"/>
      <c r="F405" s="271"/>
      <c r="G405" s="271"/>
      <c r="H405" s="271"/>
      <c r="I405" s="271"/>
    </row>
    <row r="406" spans="1:9">
      <c r="A406" s="271"/>
      <c r="B406" s="271"/>
      <c r="C406" s="271"/>
      <c r="D406" s="271"/>
      <c r="E406" s="271"/>
      <c r="F406" s="271"/>
      <c r="G406" s="271"/>
      <c r="H406" s="271"/>
      <c r="I406" s="271"/>
    </row>
    <row r="407" spans="1:9">
      <c r="A407" s="271"/>
      <c r="B407" s="271"/>
      <c r="C407" s="271"/>
      <c r="D407" s="271"/>
      <c r="E407" s="271"/>
      <c r="F407" s="271"/>
      <c r="G407" s="271"/>
      <c r="H407" s="271"/>
      <c r="I407" s="271"/>
    </row>
    <row r="408" spans="1:9">
      <c r="A408" s="271"/>
      <c r="B408" s="271"/>
      <c r="C408" s="271"/>
      <c r="D408" s="271"/>
      <c r="E408" s="271"/>
      <c r="F408" s="271"/>
      <c r="G408" s="271"/>
      <c r="H408" s="271"/>
      <c r="I408" s="271"/>
    </row>
    <row r="409" spans="1:9">
      <c r="A409" s="271"/>
      <c r="B409" s="271"/>
      <c r="C409" s="271"/>
      <c r="D409" s="271"/>
      <c r="E409" s="271"/>
      <c r="F409" s="271"/>
      <c r="G409" s="271"/>
      <c r="H409" s="271"/>
      <c r="I409" s="271"/>
    </row>
    <row r="410" spans="1:9">
      <c r="A410" s="271"/>
      <c r="B410" s="271"/>
      <c r="C410" s="271"/>
      <c r="D410" s="271"/>
      <c r="E410" s="271"/>
      <c r="F410" s="271"/>
      <c r="G410" s="271"/>
      <c r="H410" s="271"/>
      <c r="I410" s="271"/>
    </row>
    <row r="411" spans="1:9">
      <c r="A411" s="271"/>
      <c r="B411" s="271"/>
      <c r="C411" s="271"/>
      <c r="D411" s="271"/>
      <c r="E411" s="271"/>
      <c r="F411" s="271"/>
      <c r="G411" s="271"/>
      <c r="H411" s="271"/>
      <c r="I411" s="271"/>
    </row>
  </sheetData>
  <mergeCells count="59">
    <mergeCell ref="F341:F345"/>
    <mergeCell ref="H341:H345"/>
    <mergeCell ref="E261:E265"/>
    <mergeCell ref="F261:F265"/>
    <mergeCell ref="H261:H265"/>
    <mergeCell ref="E280:E284"/>
    <mergeCell ref="F280:F284"/>
    <mergeCell ref="H280:H284"/>
    <mergeCell ref="E305:E309"/>
    <mergeCell ref="F305:F309"/>
    <mergeCell ref="H305:H309"/>
    <mergeCell ref="C323:H323"/>
    <mergeCell ref="C330:H330"/>
    <mergeCell ref="E341:E345"/>
    <mergeCell ref="E221:E225"/>
    <mergeCell ref="F221:F225"/>
    <mergeCell ref="H221:H225"/>
    <mergeCell ref="E234:E238"/>
    <mergeCell ref="F234:F238"/>
    <mergeCell ref="H234:H238"/>
    <mergeCell ref="G66:G70"/>
    <mergeCell ref="H66:H70"/>
    <mergeCell ref="F91:F95"/>
    <mergeCell ref="H91:H95"/>
    <mergeCell ref="E193:E197"/>
    <mergeCell ref="F193:F197"/>
    <mergeCell ref="H193:H197"/>
    <mergeCell ref="E153:E157"/>
    <mergeCell ref="F153:F157"/>
    <mergeCell ref="H153:H157"/>
    <mergeCell ref="E91:E95"/>
    <mergeCell ref="I66:I70"/>
    <mergeCell ref="A23:D24"/>
    <mergeCell ref="E23:E24"/>
    <mergeCell ref="F23:F24"/>
    <mergeCell ref="H23:H24"/>
    <mergeCell ref="A25:A27"/>
    <mergeCell ref="B25:D27"/>
    <mergeCell ref="E25:E27"/>
    <mergeCell ref="F25:F27"/>
    <mergeCell ref="H25:H27"/>
    <mergeCell ref="A40:D41"/>
    <mergeCell ref="E40:E41"/>
    <mergeCell ref="F40:F41"/>
    <mergeCell ref="H40:H41"/>
    <mergeCell ref="E66:E70"/>
    <mergeCell ref="F66:F70"/>
    <mergeCell ref="C19:F19"/>
    <mergeCell ref="B3:B4"/>
    <mergeCell ref="C3:D4"/>
    <mergeCell ref="A5:B5"/>
    <mergeCell ref="D6:H6"/>
    <mergeCell ref="A9:I9"/>
    <mergeCell ref="D10:F10"/>
    <mergeCell ref="C14:F14"/>
    <mergeCell ref="C15:F15"/>
    <mergeCell ref="C16:F16"/>
    <mergeCell ref="C17:F17"/>
    <mergeCell ref="C18:F18"/>
  </mergeCells>
  <phoneticPr fontId="10" type="noConversion"/>
  <conditionalFormatting sqref="F71:F76 F286:F301 F311:F318 F80:F88 F96:F97 F103:F104 F106 F110:F114 F118:F124 F128:F134 F138:F142 F146:F149 F159:F162 F166:F168 F171:F172 F175:F177 F183:F190 F199:F200 F204:F206 F210:F213 F217:F218 F226:F230 F240:F241 F245:F246 F250:F253 F256 F267:F276 H250">
    <cfRule type="expression" dxfId="62" priority="247" stopIfTrue="1">
      <formula>ISBLANK(F71)</formula>
    </cfRule>
    <cfRule type="expression" dxfId="61" priority="248" stopIfTrue="1">
      <formula>IF(AND(OR(F71-E71&gt;500,F71-E71&lt;-500),OR(#REF!&gt;0.1,#REF!&lt;-0.1)),TRUE,FALSE)</formula>
    </cfRule>
  </conditionalFormatting>
  <dataValidations count="1">
    <dataValidation type="list" errorStyle="information" allowBlank="1" showInputMessage="1" showErrorMessage="1" errorTitle="POBE 2006" error="Please select from the drop-down menu..." prompt="Please select your Authority from the drop-down menu..." sqref="C3:D4">
      <formula1>#REF!</formula1>
    </dataValidation>
  </dataValidations>
  <hyperlinks>
    <hyperlink ref="F7" r:id="rId1" display="lgfstats@scotland.gsi.gov.uk"/>
    <hyperlink ref="D6" r:id="rId2"/>
    <hyperlink ref="D10" r:id="rId3" display="^lgfstats@gov.scot"/>
    <hyperlink ref="B14" location="'POBE 2017'!A28" display="PART 1 - Expenditure"/>
    <hyperlink ref="C19:F19" location="'POBE 2017'!A323" display="Sheet 10. - PUBLIC PRIVATE PARTNERSHIPS/PRIVATE FINANCE INITIATIVES"/>
    <hyperlink ref="B15" location="'POBE 2017'!A40" display="PART 2 - Income and Balances"/>
    <hyperlink ref="B16" location="'POBE 2017'!A66" display="Sheet 1. EDUCATION"/>
    <hyperlink ref="B17" location="'POBE 2017'!A91" display="Sheet 2. SOCIAL WORK"/>
    <hyperlink ref="B18" location="'POBE 2017'!A153" display="Sheet 3. ROADS AND TRANSPORT"/>
    <hyperlink ref="B19" location="'POBE 2017'!A193" display="Sheet 4. ENVIRONMENTAL SERVICES"/>
    <hyperlink ref="C14:F14" location="'POBE 2017'!A221" display="Sheet 5. PLANNING AND DEVELOPMENT SERVICES"/>
    <hyperlink ref="C15:F15" location="'POBE 2017'!A234" display="Sheet 6. CULTURAL AND RELATED SERVICES"/>
    <hyperlink ref="C16:F16" location="'POBE 2017'!A261" display="Sheet 7. HOUSING"/>
    <hyperlink ref="C17:F17" location="'POBE 2017'!A280" display="Sheet 8. CENTRAL SERVICES"/>
    <hyperlink ref="C18:F18" location="'POBE 2017'!A305" display="Sheet 9. OTHER EXPENDITURE"/>
  </hyperlinks>
  <pageMargins left="0.75" right="0.75" top="1" bottom="1" header="0.5" footer="0.5"/>
  <pageSetup paperSize="9" orientation="portrait" horizontalDpi="4294967292" r:id="rId4"/>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AM411"/>
  <sheetViews>
    <sheetView topLeftCell="A148" zoomScale="80" zoomScaleNormal="80" workbookViewId="0">
      <selection activeCell="E189" sqref="E189"/>
    </sheetView>
  </sheetViews>
  <sheetFormatPr defaultColWidth="9.140625" defaultRowHeight="12.75"/>
  <cols>
    <col min="1" max="1" width="10.5703125" style="1" customWidth="1"/>
    <col min="2" max="2" width="43" style="1" customWidth="1"/>
    <col min="3" max="3" width="24.5703125" style="1" customWidth="1"/>
    <col min="4" max="4" width="14.7109375" style="1" customWidth="1"/>
    <col min="5" max="5" width="21.5703125" style="1" customWidth="1"/>
    <col min="6" max="6" width="19.140625" style="1" customWidth="1"/>
    <col min="7" max="7" width="17.42578125" style="1" customWidth="1"/>
    <col min="8" max="8" width="19.28515625" style="1" customWidth="1"/>
    <col min="9" max="9" width="17.85546875" style="1" customWidth="1"/>
    <col min="10" max="39" width="9.140625" style="8" customWidth="1"/>
    <col min="40" max="16384" width="9.140625" style="1"/>
  </cols>
  <sheetData>
    <row r="1" spans="1:39" s="203" customFormat="1" ht="51" customHeight="1">
      <c r="A1" s="3" t="s">
        <v>410</v>
      </c>
      <c r="B1" s="4"/>
      <c r="C1" s="224"/>
      <c r="D1" s="224"/>
      <c r="E1" s="224"/>
      <c r="F1" s="224"/>
      <c r="G1" s="225"/>
      <c r="H1" s="226"/>
      <c r="I1" s="227"/>
      <c r="J1" s="231"/>
      <c r="K1" s="231"/>
      <c r="L1" s="231"/>
      <c r="M1" s="231"/>
      <c r="N1" s="231"/>
      <c r="O1" s="231"/>
      <c r="P1" s="231"/>
      <c r="Q1" s="231"/>
      <c r="R1" s="231"/>
      <c r="S1" s="231"/>
      <c r="T1" s="231"/>
      <c r="U1" s="231"/>
      <c r="V1" s="231"/>
      <c r="W1" s="231"/>
      <c r="X1" s="231"/>
      <c r="Y1" s="231"/>
      <c r="Z1" s="231"/>
      <c r="AA1" s="231"/>
      <c r="AB1" s="231"/>
      <c r="AC1" s="231"/>
      <c r="AD1" s="231"/>
      <c r="AE1" s="231"/>
      <c r="AF1" s="231"/>
      <c r="AG1" s="231"/>
      <c r="AH1" s="231"/>
      <c r="AI1" s="231"/>
      <c r="AJ1" s="231"/>
      <c r="AK1" s="231"/>
      <c r="AL1" s="231"/>
      <c r="AM1" s="231"/>
    </row>
    <row r="2" spans="1:39" s="203" customFormat="1" ht="35.25">
      <c r="A2" s="9"/>
      <c r="B2" s="10"/>
      <c r="C2" s="232"/>
      <c r="D2" s="232"/>
      <c r="E2" s="232"/>
      <c r="F2" s="11"/>
      <c r="G2" s="11"/>
      <c r="H2" s="11"/>
      <c r="I2" s="11"/>
      <c r="J2" s="231"/>
      <c r="K2" s="231"/>
      <c r="L2" s="231"/>
      <c r="M2" s="231"/>
      <c r="N2" s="231"/>
      <c r="O2" s="231"/>
      <c r="P2" s="231"/>
      <c r="Q2" s="231"/>
      <c r="R2" s="231"/>
      <c r="S2" s="231"/>
      <c r="T2" s="231"/>
      <c r="U2" s="231"/>
      <c r="V2" s="231"/>
      <c r="W2" s="231"/>
      <c r="X2" s="231"/>
      <c r="Y2" s="231"/>
      <c r="Z2" s="231"/>
      <c r="AA2" s="231"/>
      <c r="AB2" s="231"/>
      <c r="AC2" s="231"/>
      <c r="AD2" s="231"/>
      <c r="AE2" s="231"/>
      <c r="AF2" s="231"/>
      <c r="AG2" s="231"/>
      <c r="AH2" s="231"/>
      <c r="AI2" s="231"/>
      <c r="AJ2" s="231"/>
      <c r="AK2" s="231"/>
      <c r="AL2" s="231"/>
      <c r="AM2" s="231"/>
    </row>
    <row r="3" spans="1:39" s="203" customFormat="1" ht="15">
      <c r="A3" s="12"/>
      <c r="B3" s="882" t="s">
        <v>0</v>
      </c>
      <c r="C3" s="884" t="s">
        <v>5</v>
      </c>
      <c r="D3" s="885"/>
      <c r="E3" s="13"/>
      <c r="F3" s="14"/>
      <c r="G3" s="14"/>
      <c r="H3" s="15"/>
      <c r="I3" s="14"/>
      <c r="J3" s="231"/>
      <c r="K3" s="231"/>
      <c r="L3" s="231"/>
      <c r="M3" s="231"/>
      <c r="N3" s="231"/>
      <c r="O3" s="231"/>
      <c r="P3" s="231"/>
      <c r="Q3" s="231"/>
      <c r="R3" s="231"/>
      <c r="S3" s="231"/>
      <c r="T3" s="231"/>
      <c r="U3" s="231"/>
      <c r="V3" s="231"/>
      <c r="W3" s="231"/>
      <c r="X3" s="231"/>
      <c r="Y3" s="231"/>
      <c r="Z3" s="231"/>
      <c r="AA3" s="231"/>
      <c r="AB3" s="231"/>
      <c r="AC3" s="231"/>
      <c r="AD3" s="231"/>
      <c r="AE3" s="231"/>
      <c r="AF3" s="231"/>
      <c r="AG3" s="231"/>
      <c r="AH3" s="231"/>
      <c r="AI3" s="231"/>
      <c r="AJ3" s="231"/>
      <c r="AK3" s="231"/>
      <c r="AL3" s="231"/>
      <c r="AM3" s="231"/>
    </row>
    <row r="4" spans="1:39" s="203" customFormat="1" ht="15">
      <c r="A4" s="17"/>
      <c r="B4" s="883"/>
      <c r="C4" s="886"/>
      <c r="D4" s="887"/>
      <c r="E4" s="13"/>
      <c r="F4" s="14"/>
      <c r="G4" s="14"/>
      <c r="H4" s="15"/>
      <c r="I4" s="14"/>
      <c r="J4" s="231"/>
      <c r="K4" s="231"/>
      <c r="L4" s="231"/>
      <c r="M4" s="231"/>
      <c r="N4" s="231"/>
      <c r="O4" s="231"/>
      <c r="P4" s="231"/>
      <c r="Q4" s="231"/>
      <c r="R4" s="231"/>
      <c r="S4" s="231"/>
      <c r="T4" s="231"/>
      <c r="U4" s="231"/>
      <c r="V4" s="231"/>
      <c r="W4" s="231"/>
      <c r="X4" s="231"/>
      <c r="Y4" s="231"/>
      <c r="Z4" s="231"/>
      <c r="AA4" s="231"/>
      <c r="AB4" s="231"/>
      <c r="AC4" s="231"/>
      <c r="AD4" s="231"/>
      <c r="AE4" s="231"/>
      <c r="AF4" s="231"/>
      <c r="AG4" s="231"/>
      <c r="AH4" s="231"/>
      <c r="AI4" s="231"/>
      <c r="AJ4" s="231"/>
      <c r="AK4" s="231"/>
      <c r="AL4" s="231"/>
      <c r="AM4" s="231"/>
    </row>
    <row r="5" spans="1:39" s="203" customFormat="1" ht="15">
      <c r="A5" s="888"/>
      <c r="B5" s="889"/>
      <c r="C5" s="18"/>
      <c r="D5" s="206"/>
      <c r="E5" s="206"/>
      <c r="F5" s="14"/>
      <c r="G5" s="14"/>
      <c r="H5" s="14"/>
      <c r="I5" s="234"/>
      <c r="J5" s="231"/>
      <c r="K5" s="231"/>
      <c r="L5" s="231"/>
      <c r="M5" s="231"/>
      <c r="N5" s="231"/>
      <c r="O5" s="231"/>
      <c r="P5" s="231"/>
      <c r="Q5" s="231"/>
      <c r="R5" s="231"/>
      <c r="S5" s="231"/>
      <c r="T5" s="231"/>
      <c r="U5" s="231"/>
      <c r="V5" s="231"/>
      <c r="W5" s="231"/>
      <c r="X5" s="231"/>
      <c r="Y5" s="231"/>
      <c r="Z5" s="231"/>
      <c r="AA5" s="231"/>
      <c r="AB5" s="231"/>
      <c r="AC5" s="231"/>
      <c r="AD5" s="231"/>
      <c r="AE5" s="231"/>
      <c r="AF5" s="231"/>
      <c r="AG5" s="231"/>
      <c r="AH5" s="231"/>
      <c r="AI5" s="231"/>
      <c r="AJ5" s="231"/>
      <c r="AK5" s="231"/>
      <c r="AL5" s="231"/>
      <c r="AM5" s="231"/>
    </row>
    <row r="6" spans="1:39" s="203" customFormat="1" ht="23.25" customHeight="1">
      <c r="A6" s="19" t="s">
        <v>1</v>
      </c>
      <c r="B6" s="207"/>
      <c r="C6" s="20"/>
      <c r="D6" s="890" t="s">
        <v>249</v>
      </c>
      <c r="E6" s="890"/>
      <c r="F6" s="890"/>
      <c r="G6" s="890"/>
      <c r="H6" s="890"/>
      <c r="I6" s="29"/>
      <c r="J6" s="231"/>
      <c r="K6" s="231"/>
      <c r="L6" s="231"/>
      <c r="M6" s="231"/>
      <c r="N6" s="231"/>
      <c r="O6" s="231"/>
      <c r="P6" s="231"/>
      <c r="Q6" s="231"/>
      <c r="R6" s="231"/>
      <c r="S6" s="231"/>
      <c r="T6" s="231"/>
      <c r="U6" s="231"/>
      <c r="V6" s="231"/>
      <c r="W6" s="231"/>
      <c r="X6" s="231"/>
      <c r="Y6" s="231"/>
      <c r="Z6" s="231"/>
      <c r="AA6" s="231"/>
      <c r="AB6" s="231"/>
      <c r="AC6" s="231"/>
      <c r="AD6" s="231"/>
      <c r="AE6" s="231"/>
      <c r="AF6" s="231"/>
      <c r="AG6" s="231"/>
      <c r="AH6" s="231"/>
      <c r="AI6" s="231"/>
      <c r="AJ6" s="231"/>
      <c r="AK6" s="231"/>
      <c r="AL6" s="231"/>
      <c r="AM6" s="231"/>
    </row>
    <row r="7" spans="1:39" s="203" customFormat="1" ht="18.75" customHeight="1">
      <c r="A7" s="19" t="s">
        <v>419</v>
      </c>
      <c r="B7" s="207"/>
      <c r="C7" s="207"/>
      <c r="D7" s="207"/>
      <c r="E7" s="207"/>
      <c r="F7" s="362" t="s">
        <v>250</v>
      </c>
      <c r="G7" s="1"/>
      <c r="H7" s="21"/>
      <c r="I7" s="29"/>
      <c r="J7" s="231"/>
      <c r="K7" s="231"/>
      <c r="L7" s="231"/>
      <c r="M7" s="231"/>
      <c r="N7" s="231"/>
      <c r="O7" s="231"/>
      <c r="P7" s="231"/>
      <c r="Q7" s="231"/>
      <c r="R7" s="231"/>
      <c r="S7" s="231"/>
      <c r="T7" s="231"/>
      <c r="U7" s="231"/>
      <c r="V7" s="231"/>
      <c r="W7" s="231"/>
      <c r="X7" s="231"/>
      <c r="Y7" s="231"/>
      <c r="Z7" s="231"/>
      <c r="AA7" s="231"/>
      <c r="AB7" s="231"/>
      <c r="AC7" s="231"/>
      <c r="AD7" s="231"/>
      <c r="AE7" s="231"/>
      <c r="AF7" s="231"/>
      <c r="AG7" s="231"/>
      <c r="AH7" s="231"/>
      <c r="AI7" s="231"/>
      <c r="AJ7" s="231"/>
      <c r="AK7" s="231"/>
      <c r="AL7" s="231"/>
      <c r="AM7" s="231"/>
    </row>
    <row r="8" spans="1:39" s="203" customFormat="1" ht="24" customHeight="1">
      <c r="A8" s="22" t="s">
        <v>408</v>
      </c>
      <c r="B8" s="207"/>
      <c r="C8" s="207"/>
      <c r="D8" s="207"/>
      <c r="E8" s="207"/>
      <c r="F8" s="207"/>
      <c r="G8" s="813"/>
      <c r="H8" s="21"/>
      <c r="I8" s="29"/>
      <c r="J8" s="231"/>
      <c r="K8" s="231"/>
      <c r="L8" s="231"/>
      <c r="M8" s="231"/>
      <c r="N8" s="231"/>
      <c r="O8" s="231"/>
      <c r="P8" s="231"/>
      <c r="Q8" s="231"/>
      <c r="R8" s="231"/>
      <c r="S8" s="231"/>
      <c r="T8" s="231"/>
      <c r="U8" s="231"/>
      <c r="V8" s="231"/>
      <c r="W8" s="231"/>
      <c r="X8" s="231"/>
      <c r="Y8" s="231"/>
      <c r="Z8" s="231"/>
      <c r="AA8" s="231"/>
      <c r="AB8" s="231"/>
      <c r="AC8" s="231"/>
      <c r="AD8" s="231"/>
      <c r="AE8" s="231"/>
      <c r="AF8" s="231"/>
      <c r="AG8" s="231"/>
      <c r="AH8" s="231"/>
      <c r="AI8" s="231"/>
      <c r="AJ8" s="231"/>
      <c r="AK8" s="231"/>
      <c r="AL8" s="231"/>
      <c r="AM8" s="231"/>
    </row>
    <row r="9" spans="1:39" s="203" customFormat="1" ht="30.75" customHeight="1">
      <c r="A9" s="891" t="s">
        <v>420</v>
      </c>
      <c r="B9" s="892"/>
      <c r="C9" s="892"/>
      <c r="D9" s="892"/>
      <c r="E9" s="892"/>
      <c r="F9" s="892"/>
      <c r="G9" s="892"/>
      <c r="H9" s="892"/>
      <c r="I9" s="892"/>
      <c r="J9" s="231"/>
      <c r="K9" s="231"/>
      <c r="L9" s="231"/>
      <c r="M9" s="231"/>
      <c r="N9" s="231"/>
      <c r="O9" s="231"/>
      <c r="P9" s="231"/>
      <c r="Q9" s="231"/>
      <c r="R9" s="231"/>
      <c r="S9" s="231"/>
      <c r="T9" s="231"/>
      <c r="U9" s="231"/>
      <c r="V9" s="231"/>
      <c r="W9" s="231"/>
      <c r="X9" s="231"/>
      <c r="Y9" s="231"/>
      <c r="Z9" s="231"/>
      <c r="AA9" s="231"/>
      <c r="AB9" s="231"/>
      <c r="AC9" s="231"/>
      <c r="AD9" s="231"/>
      <c r="AE9" s="231"/>
      <c r="AF9" s="231"/>
      <c r="AG9" s="231"/>
      <c r="AH9" s="231"/>
      <c r="AI9" s="231"/>
      <c r="AJ9" s="231"/>
      <c r="AK9" s="231"/>
      <c r="AL9" s="231"/>
      <c r="AM9" s="231"/>
    </row>
    <row r="10" spans="1:39" s="203" customFormat="1" ht="12.75" customHeight="1">
      <c r="A10" s="22" t="s">
        <v>409</v>
      </c>
      <c r="B10" s="19"/>
      <c r="C10" s="1"/>
      <c r="D10" s="880" t="s">
        <v>250</v>
      </c>
      <c r="E10" s="881"/>
      <c r="F10" s="881"/>
      <c r="G10" s="207"/>
      <c r="H10" s="207"/>
      <c r="I10" s="29"/>
      <c r="J10" s="231"/>
      <c r="K10" s="231"/>
      <c r="L10" s="231"/>
      <c r="M10" s="231"/>
      <c r="N10" s="231"/>
      <c r="O10" s="231"/>
      <c r="P10" s="231"/>
      <c r="Q10" s="231"/>
      <c r="R10" s="231"/>
      <c r="S10" s="231"/>
      <c r="T10" s="231"/>
      <c r="U10" s="231"/>
      <c r="V10" s="231"/>
      <c r="W10" s="231"/>
      <c r="X10" s="231"/>
      <c r="Y10" s="231"/>
      <c r="Z10" s="231"/>
      <c r="AA10" s="231"/>
      <c r="AB10" s="231"/>
      <c r="AC10" s="231"/>
      <c r="AD10" s="231"/>
      <c r="AE10" s="231"/>
      <c r="AF10" s="231"/>
      <c r="AG10" s="231"/>
      <c r="AH10" s="231"/>
      <c r="AI10" s="231"/>
      <c r="AJ10" s="231"/>
      <c r="AK10" s="231"/>
      <c r="AL10" s="231"/>
      <c r="AM10" s="231"/>
    </row>
    <row r="11" spans="1:39" s="203" customFormat="1">
      <c r="A11" s="23"/>
      <c r="B11" s="207"/>
      <c r="C11" s="207"/>
      <c r="D11" s="207"/>
      <c r="E11" s="207"/>
      <c r="F11" s="207"/>
      <c r="G11" s="21"/>
      <c r="H11" s="21"/>
      <c r="I11" s="29"/>
      <c r="J11" s="231"/>
      <c r="K11" s="231"/>
      <c r="L11" s="231"/>
      <c r="M11" s="231"/>
      <c r="N11" s="231"/>
      <c r="O11" s="231"/>
      <c r="P11" s="231"/>
      <c r="Q11" s="231"/>
      <c r="R11" s="231"/>
      <c r="S11" s="231"/>
      <c r="T11" s="231"/>
      <c r="U11" s="231"/>
      <c r="V11" s="231"/>
      <c r="W11" s="231"/>
      <c r="X11" s="231"/>
      <c r="Y11" s="231"/>
      <c r="Z11" s="231"/>
      <c r="AA11" s="231"/>
      <c r="AB11" s="231"/>
      <c r="AC11" s="231"/>
      <c r="AD11" s="231"/>
      <c r="AE11" s="231"/>
      <c r="AF11" s="231"/>
      <c r="AG11" s="231"/>
      <c r="AH11" s="231"/>
      <c r="AI11" s="231"/>
      <c r="AJ11" s="231"/>
      <c r="AK11" s="231"/>
      <c r="AL11" s="231"/>
      <c r="AM11" s="231"/>
    </row>
    <row r="12" spans="1:39" s="203" customFormat="1">
      <c r="A12" s="24"/>
      <c r="B12" s="25" t="s">
        <v>7</v>
      </c>
      <c r="C12" s="26"/>
      <c r="D12" s="356"/>
      <c r="E12" s="356"/>
      <c r="F12" s="357"/>
      <c r="G12" s="21"/>
      <c r="H12" s="21"/>
      <c r="I12" s="29"/>
      <c r="J12" s="231"/>
      <c r="K12" s="231"/>
      <c r="L12" s="231"/>
      <c r="M12" s="231"/>
      <c r="N12" s="231"/>
      <c r="O12" s="231"/>
      <c r="P12" s="231"/>
      <c r="Q12" s="231"/>
      <c r="R12" s="231"/>
      <c r="S12" s="231"/>
      <c r="T12" s="231"/>
      <c r="U12" s="231"/>
      <c r="V12" s="231"/>
      <c r="W12" s="231"/>
      <c r="X12" s="231"/>
      <c r="Y12" s="231"/>
      <c r="Z12" s="231"/>
      <c r="AA12" s="231"/>
      <c r="AB12" s="231"/>
      <c r="AC12" s="231"/>
      <c r="AD12" s="231"/>
      <c r="AE12" s="231"/>
      <c r="AF12" s="231"/>
      <c r="AG12" s="231"/>
      <c r="AH12" s="231"/>
      <c r="AI12" s="231"/>
      <c r="AJ12" s="231"/>
      <c r="AK12" s="231"/>
      <c r="AL12" s="231"/>
      <c r="AM12" s="231"/>
    </row>
    <row r="13" spans="1:39" s="203" customFormat="1">
      <c r="A13" s="23"/>
      <c r="B13" s="27"/>
      <c r="C13" s="358"/>
      <c r="D13" s="15"/>
      <c r="E13" s="15"/>
      <c r="F13" s="359"/>
      <c r="G13" s="207"/>
      <c r="H13" s="21"/>
      <c r="I13" s="29"/>
      <c r="J13" s="231"/>
      <c r="K13" s="231"/>
      <c r="L13" s="231"/>
      <c r="M13" s="231"/>
      <c r="N13" s="231"/>
      <c r="O13" s="231"/>
      <c r="P13" s="231"/>
      <c r="Q13" s="231"/>
      <c r="R13" s="231"/>
      <c r="S13" s="231"/>
      <c r="T13" s="231"/>
      <c r="U13" s="231"/>
      <c r="V13" s="231"/>
      <c r="W13" s="231"/>
      <c r="X13" s="231"/>
      <c r="Y13" s="231"/>
      <c r="Z13" s="231"/>
      <c r="AA13" s="231"/>
      <c r="AB13" s="231"/>
      <c r="AC13" s="231"/>
      <c r="AD13" s="231"/>
      <c r="AE13" s="231"/>
      <c r="AF13" s="231"/>
      <c r="AG13" s="231"/>
      <c r="AH13" s="231"/>
      <c r="AI13" s="231"/>
      <c r="AJ13" s="231"/>
      <c r="AK13" s="231"/>
      <c r="AL13" s="231"/>
      <c r="AM13" s="231"/>
    </row>
    <row r="14" spans="1:39" s="203" customFormat="1">
      <c r="A14" s="23"/>
      <c r="B14" s="363" t="s">
        <v>328</v>
      </c>
      <c r="C14" s="870" t="s">
        <v>10</v>
      </c>
      <c r="D14" s="870"/>
      <c r="E14" s="870"/>
      <c r="F14" s="871"/>
      <c r="G14" s="207"/>
      <c r="H14" s="21"/>
      <c r="I14" s="29"/>
      <c r="J14" s="231"/>
      <c r="K14" s="231"/>
      <c r="L14" s="231"/>
      <c r="M14" s="231"/>
      <c r="N14" s="231"/>
      <c r="O14" s="231"/>
      <c r="P14" s="231"/>
      <c r="Q14" s="231"/>
      <c r="R14" s="231"/>
      <c r="S14" s="231"/>
      <c r="T14" s="231"/>
      <c r="U14" s="231"/>
      <c r="V14" s="231"/>
      <c r="W14" s="231"/>
      <c r="X14" s="231"/>
      <c r="Y14" s="231"/>
      <c r="Z14" s="231"/>
      <c r="AA14" s="231"/>
      <c r="AB14" s="231"/>
      <c r="AC14" s="231"/>
      <c r="AD14" s="231"/>
      <c r="AE14" s="231"/>
      <c r="AF14" s="231"/>
      <c r="AG14" s="231"/>
      <c r="AH14" s="231"/>
      <c r="AI14" s="231"/>
      <c r="AJ14" s="231"/>
      <c r="AK14" s="231"/>
      <c r="AL14" s="231"/>
      <c r="AM14" s="231"/>
    </row>
    <row r="15" spans="1:39" s="203" customFormat="1">
      <c r="A15" s="23"/>
      <c r="B15" s="363" t="s">
        <v>329</v>
      </c>
      <c r="C15" s="870" t="s">
        <v>12</v>
      </c>
      <c r="D15" s="870"/>
      <c r="E15" s="870"/>
      <c r="F15" s="871"/>
      <c r="G15" s="207"/>
      <c r="H15" s="21"/>
      <c r="I15" s="29"/>
      <c r="J15" s="231"/>
      <c r="K15" s="231"/>
      <c r="L15" s="231"/>
      <c r="M15" s="231"/>
      <c r="N15" s="231"/>
      <c r="O15" s="231"/>
      <c r="P15" s="231"/>
      <c r="Q15" s="231"/>
      <c r="R15" s="231"/>
      <c r="S15" s="231"/>
      <c r="T15" s="231"/>
      <c r="U15" s="231"/>
      <c r="V15" s="231"/>
      <c r="W15" s="231"/>
      <c r="X15" s="231"/>
      <c r="Y15" s="231"/>
      <c r="Z15" s="231"/>
      <c r="AA15" s="231"/>
      <c r="AB15" s="231"/>
      <c r="AC15" s="231"/>
      <c r="AD15" s="231"/>
      <c r="AE15" s="231"/>
      <c r="AF15" s="231"/>
      <c r="AG15" s="231"/>
      <c r="AH15" s="231"/>
      <c r="AI15" s="231"/>
      <c r="AJ15" s="231"/>
      <c r="AK15" s="231"/>
      <c r="AL15" s="231"/>
      <c r="AM15" s="231"/>
    </row>
    <row r="16" spans="1:39" s="203" customFormat="1">
      <c r="A16" s="23"/>
      <c r="B16" s="360" t="s">
        <v>14</v>
      </c>
      <c r="C16" s="870" t="s">
        <v>15</v>
      </c>
      <c r="D16" s="870"/>
      <c r="E16" s="870"/>
      <c r="F16" s="871"/>
      <c r="G16" s="207"/>
      <c r="H16" s="21"/>
      <c r="I16" s="29"/>
      <c r="J16" s="231"/>
      <c r="K16" s="231"/>
      <c r="L16" s="231"/>
      <c r="M16" s="231"/>
      <c r="N16" s="231"/>
      <c r="O16" s="231"/>
      <c r="P16" s="231"/>
      <c r="Q16" s="231"/>
      <c r="R16" s="231"/>
      <c r="S16" s="231"/>
      <c r="T16" s="231"/>
      <c r="U16" s="231"/>
      <c r="V16" s="231"/>
      <c r="W16" s="231"/>
      <c r="X16" s="231"/>
      <c r="Y16" s="231"/>
      <c r="Z16" s="231"/>
      <c r="AA16" s="231"/>
      <c r="AB16" s="231"/>
      <c r="AC16" s="231"/>
      <c r="AD16" s="231"/>
      <c r="AE16" s="231"/>
      <c r="AF16" s="231"/>
      <c r="AG16" s="231"/>
      <c r="AH16" s="231"/>
      <c r="AI16" s="231"/>
      <c r="AJ16" s="231"/>
      <c r="AK16" s="231"/>
      <c r="AL16" s="231"/>
      <c r="AM16" s="231"/>
    </row>
    <row r="17" spans="1:39" s="203" customFormat="1">
      <c r="A17" s="23"/>
      <c r="B17" s="360" t="s">
        <v>17</v>
      </c>
      <c r="C17" s="870" t="s">
        <v>18</v>
      </c>
      <c r="D17" s="870"/>
      <c r="E17" s="870"/>
      <c r="F17" s="871"/>
      <c r="G17" s="207"/>
      <c r="H17" s="21"/>
      <c r="I17" s="29"/>
      <c r="J17" s="231"/>
      <c r="K17" s="231"/>
      <c r="L17" s="231"/>
      <c r="M17" s="231"/>
      <c r="N17" s="231"/>
      <c r="O17" s="231"/>
      <c r="P17" s="231"/>
      <c r="Q17" s="231"/>
      <c r="R17" s="231"/>
      <c r="S17" s="231"/>
      <c r="T17" s="231"/>
      <c r="U17" s="231"/>
      <c r="V17" s="231"/>
      <c r="W17" s="231"/>
      <c r="X17" s="231"/>
      <c r="Y17" s="231"/>
      <c r="Z17" s="231"/>
      <c r="AA17" s="231"/>
      <c r="AB17" s="231"/>
      <c r="AC17" s="231"/>
      <c r="AD17" s="231"/>
      <c r="AE17" s="231"/>
      <c r="AF17" s="231"/>
      <c r="AG17" s="231"/>
      <c r="AH17" s="231"/>
      <c r="AI17" s="231"/>
      <c r="AJ17" s="231"/>
      <c r="AK17" s="231"/>
      <c r="AL17" s="231"/>
      <c r="AM17" s="231"/>
    </row>
    <row r="18" spans="1:39" s="203" customFormat="1">
      <c r="A18" s="23"/>
      <c r="B18" s="360" t="s">
        <v>20</v>
      </c>
      <c r="C18" s="870" t="s">
        <v>21</v>
      </c>
      <c r="D18" s="870"/>
      <c r="E18" s="870"/>
      <c r="F18" s="871"/>
      <c r="G18" s="207"/>
      <c r="H18" s="21"/>
      <c r="I18" s="29"/>
      <c r="J18" s="231"/>
      <c r="K18" s="231"/>
      <c r="L18" s="231"/>
      <c r="M18" s="231"/>
      <c r="N18" s="231"/>
      <c r="O18" s="231"/>
      <c r="P18" s="231"/>
      <c r="Q18" s="231"/>
      <c r="R18" s="231"/>
      <c r="S18" s="231"/>
      <c r="T18" s="231"/>
      <c r="U18" s="231"/>
      <c r="V18" s="231"/>
      <c r="W18" s="231"/>
      <c r="X18" s="231"/>
      <c r="Y18" s="231"/>
      <c r="Z18" s="231"/>
      <c r="AA18" s="231"/>
      <c r="AB18" s="231"/>
      <c r="AC18" s="231"/>
      <c r="AD18" s="231"/>
      <c r="AE18" s="231"/>
      <c r="AF18" s="231"/>
      <c r="AG18" s="231"/>
      <c r="AH18" s="231"/>
      <c r="AI18" s="231"/>
      <c r="AJ18" s="231"/>
      <c r="AK18" s="231"/>
      <c r="AL18" s="231"/>
      <c r="AM18" s="231"/>
    </row>
    <row r="19" spans="1:39" s="203" customFormat="1">
      <c r="A19" s="23"/>
      <c r="B19" s="361" t="s">
        <v>23</v>
      </c>
      <c r="C19" s="872" t="s">
        <v>24</v>
      </c>
      <c r="D19" s="872"/>
      <c r="E19" s="872"/>
      <c r="F19" s="873"/>
      <c r="G19" s="21"/>
      <c r="H19" s="21"/>
      <c r="I19" s="29"/>
      <c r="J19" s="231"/>
      <c r="K19" s="231"/>
      <c r="L19" s="231"/>
      <c r="M19" s="231"/>
      <c r="N19" s="231"/>
      <c r="O19" s="231"/>
      <c r="P19" s="231"/>
      <c r="Q19" s="231"/>
      <c r="R19" s="231"/>
      <c r="S19" s="231"/>
      <c r="T19" s="231"/>
      <c r="U19" s="231"/>
      <c r="V19" s="231"/>
      <c r="W19" s="231"/>
      <c r="X19" s="231"/>
      <c r="Y19" s="231"/>
      <c r="Z19" s="231"/>
      <c r="AA19" s="231"/>
      <c r="AB19" s="231"/>
      <c r="AC19" s="231"/>
      <c r="AD19" s="231"/>
      <c r="AE19" s="231"/>
      <c r="AF19" s="231"/>
      <c r="AG19" s="231"/>
      <c r="AH19" s="231"/>
      <c r="AI19" s="231"/>
      <c r="AJ19" s="231"/>
      <c r="AK19" s="231"/>
      <c r="AL19" s="231"/>
      <c r="AM19" s="231"/>
    </row>
    <row r="20" spans="1:39" s="203" customFormat="1">
      <c r="A20" s="236"/>
      <c r="B20" s="206"/>
      <c r="C20" s="206"/>
      <c r="D20" s="206"/>
      <c r="E20" s="206"/>
      <c r="F20" s="206"/>
      <c r="G20" s="206"/>
      <c r="H20" s="206"/>
      <c r="I20" s="206"/>
      <c r="J20" s="231"/>
      <c r="K20" s="231"/>
      <c r="L20" s="231"/>
      <c r="M20" s="231"/>
      <c r="N20" s="231"/>
      <c r="O20" s="231"/>
      <c r="P20" s="231"/>
      <c r="Q20" s="231"/>
      <c r="R20" s="231"/>
      <c r="S20" s="231"/>
      <c r="T20" s="231"/>
      <c r="U20" s="231"/>
      <c r="V20" s="231"/>
      <c r="W20" s="231"/>
      <c r="X20" s="231"/>
      <c r="Y20" s="231"/>
      <c r="Z20" s="231"/>
      <c r="AA20" s="231"/>
      <c r="AB20" s="231"/>
      <c r="AC20" s="231"/>
      <c r="AD20" s="231"/>
      <c r="AE20" s="231"/>
      <c r="AF20" s="231"/>
      <c r="AG20" s="231"/>
      <c r="AH20" s="231"/>
      <c r="AI20" s="231"/>
      <c r="AJ20" s="231"/>
      <c r="AK20" s="231"/>
      <c r="AL20" s="231"/>
      <c r="AM20" s="231"/>
    </row>
    <row r="21" spans="1:39" s="203" customFormat="1" ht="19.5">
      <c r="A21" s="30"/>
      <c r="B21" s="13"/>
      <c r="C21" s="13"/>
      <c r="D21" s="13"/>
      <c r="E21" s="13"/>
      <c r="F21" s="13"/>
      <c r="G21" s="13"/>
      <c r="H21" s="31" t="s">
        <v>27</v>
      </c>
      <c r="I21" s="237"/>
      <c r="J21" s="231"/>
      <c r="K21" s="231"/>
      <c r="L21" s="231"/>
      <c r="M21" s="231"/>
      <c r="N21" s="231"/>
      <c r="O21" s="231"/>
      <c r="P21" s="231"/>
      <c r="Q21" s="231"/>
      <c r="R21" s="231"/>
      <c r="S21" s="231"/>
      <c r="T21" s="231"/>
      <c r="U21" s="231"/>
      <c r="V21" s="231"/>
      <c r="W21" s="231"/>
      <c r="X21" s="231"/>
      <c r="Y21" s="231"/>
      <c r="Z21" s="231"/>
      <c r="AA21" s="231"/>
      <c r="AB21" s="231"/>
      <c r="AC21" s="231"/>
      <c r="AD21" s="231"/>
      <c r="AE21" s="231"/>
      <c r="AF21" s="231"/>
      <c r="AG21" s="231"/>
      <c r="AH21" s="231"/>
      <c r="AI21" s="231"/>
      <c r="AJ21" s="231"/>
      <c r="AK21" s="231"/>
      <c r="AL21" s="231"/>
      <c r="AM21" s="231"/>
    </row>
    <row r="22" spans="1:39" s="203" customFormat="1" ht="18.75" customHeight="1">
      <c r="A22" s="32"/>
      <c r="B22" s="29"/>
      <c r="C22" s="29"/>
      <c r="D22" s="29"/>
      <c r="E22" s="29"/>
      <c r="F22" s="33">
        <v>1</v>
      </c>
      <c r="G22" s="34"/>
      <c r="H22" s="33">
        <v>2</v>
      </c>
      <c r="I22" s="34"/>
      <c r="J22" s="231"/>
      <c r="K22" s="231"/>
      <c r="L22" s="231"/>
      <c r="M22" s="231"/>
      <c r="N22" s="231"/>
      <c r="O22" s="231"/>
      <c r="P22" s="231"/>
      <c r="Q22" s="231"/>
      <c r="R22" s="231"/>
      <c r="S22" s="231"/>
      <c r="T22" s="231"/>
      <c r="U22" s="231"/>
      <c r="V22" s="231"/>
      <c r="W22" s="231"/>
      <c r="X22" s="231"/>
      <c r="Y22" s="231"/>
      <c r="Z22" s="231"/>
      <c r="AA22" s="231"/>
      <c r="AB22" s="231"/>
      <c r="AC22" s="231"/>
      <c r="AD22" s="231"/>
      <c r="AE22" s="231"/>
      <c r="AF22" s="231"/>
      <c r="AG22" s="231"/>
      <c r="AH22" s="231"/>
      <c r="AI22" s="231"/>
      <c r="AJ22" s="231"/>
      <c r="AK22" s="231"/>
      <c r="AL22" s="231"/>
      <c r="AM22" s="231"/>
    </row>
    <row r="23" spans="1:39" s="203" customFormat="1" ht="21.95" customHeight="1">
      <c r="A23" s="874" t="s">
        <v>30</v>
      </c>
      <c r="B23" s="875"/>
      <c r="C23" s="875"/>
      <c r="D23" s="875"/>
      <c r="E23" s="878" t="s">
        <v>376</v>
      </c>
      <c r="F23" s="856" t="s">
        <v>407</v>
      </c>
      <c r="G23" s="36"/>
      <c r="H23" s="878" t="s">
        <v>406</v>
      </c>
      <c r="I23" s="36"/>
      <c r="J23" s="231"/>
      <c r="K23" s="231"/>
      <c r="L23" s="231"/>
      <c r="M23" s="231"/>
      <c r="N23" s="231"/>
      <c r="O23" s="231"/>
      <c r="P23" s="231"/>
      <c r="Q23" s="231"/>
      <c r="R23" s="231"/>
      <c r="S23" s="231"/>
      <c r="T23" s="231"/>
      <c r="U23" s="231"/>
      <c r="V23" s="231"/>
      <c r="W23" s="231"/>
      <c r="X23" s="231"/>
      <c r="Y23" s="231"/>
      <c r="Z23" s="231"/>
      <c r="AA23" s="231"/>
      <c r="AB23" s="231"/>
      <c r="AC23" s="231"/>
      <c r="AD23" s="231"/>
      <c r="AE23" s="231"/>
      <c r="AF23" s="231"/>
      <c r="AG23" s="231"/>
      <c r="AH23" s="231"/>
      <c r="AI23" s="231"/>
      <c r="AJ23" s="231"/>
      <c r="AK23" s="231"/>
      <c r="AL23" s="231"/>
      <c r="AM23" s="231"/>
    </row>
    <row r="24" spans="1:39" s="203" customFormat="1" ht="21.95" customHeight="1">
      <c r="A24" s="876"/>
      <c r="B24" s="877"/>
      <c r="C24" s="877"/>
      <c r="D24" s="877"/>
      <c r="E24" s="879"/>
      <c r="F24" s="860"/>
      <c r="G24" s="23"/>
      <c r="H24" s="879"/>
      <c r="I24" s="36"/>
      <c r="J24" s="231"/>
      <c r="K24" s="231"/>
      <c r="L24" s="231"/>
      <c r="M24" s="231"/>
      <c r="N24" s="231"/>
      <c r="O24" s="231"/>
      <c r="P24" s="231"/>
      <c r="Q24" s="231"/>
      <c r="R24" s="231"/>
      <c r="S24" s="231"/>
      <c r="T24" s="231"/>
      <c r="U24" s="231"/>
      <c r="V24" s="231"/>
      <c r="W24" s="231"/>
      <c r="X24" s="231"/>
      <c r="Y24" s="231"/>
      <c r="Z24" s="231"/>
      <c r="AA24" s="231"/>
      <c r="AB24" s="231"/>
      <c r="AC24" s="231"/>
      <c r="AD24" s="231"/>
      <c r="AE24" s="231"/>
      <c r="AF24" s="231"/>
      <c r="AG24" s="231"/>
      <c r="AH24" s="231"/>
      <c r="AI24" s="231"/>
      <c r="AJ24" s="231"/>
      <c r="AK24" s="231"/>
      <c r="AL24" s="231"/>
      <c r="AM24" s="231"/>
    </row>
    <row r="25" spans="1:39" s="203" customFormat="1" ht="21.95" customHeight="1">
      <c r="A25" s="898" t="s">
        <v>48</v>
      </c>
      <c r="B25" s="901" t="s">
        <v>49</v>
      </c>
      <c r="C25" s="901"/>
      <c r="D25" s="902"/>
      <c r="E25" s="907" t="s">
        <v>50</v>
      </c>
      <c r="F25" s="909" t="s">
        <v>51</v>
      </c>
      <c r="G25" s="34"/>
      <c r="H25" s="907" t="s">
        <v>50</v>
      </c>
      <c r="I25" s="36"/>
      <c r="J25" s="231"/>
      <c r="K25" s="231"/>
      <c r="L25" s="231"/>
      <c r="M25" s="231"/>
      <c r="N25" s="231"/>
      <c r="O25" s="231"/>
      <c r="P25" s="231"/>
      <c r="Q25" s="231"/>
      <c r="R25" s="231"/>
      <c r="S25" s="231"/>
      <c r="T25" s="231"/>
      <c r="U25" s="231"/>
      <c r="V25" s="231"/>
      <c r="W25" s="231"/>
      <c r="X25" s="231"/>
      <c r="Y25" s="231"/>
      <c r="Z25" s="231"/>
      <c r="AA25" s="231"/>
      <c r="AB25" s="231"/>
      <c r="AC25" s="231"/>
      <c r="AD25" s="231"/>
      <c r="AE25" s="231"/>
      <c r="AF25" s="231"/>
      <c r="AG25" s="231"/>
      <c r="AH25" s="231"/>
      <c r="AI25" s="231"/>
      <c r="AJ25" s="231"/>
      <c r="AK25" s="231"/>
      <c r="AL25" s="231"/>
      <c r="AM25" s="231"/>
    </row>
    <row r="26" spans="1:39" s="203" customFormat="1" ht="21.95" customHeight="1">
      <c r="A26" s="899"/>
      <c r="B26" s="903"/>
      <c r="C26" s="903"/>
      <c r="D26" s="904"/>
      <c r="E26" s="908"/>
      <c r="F26" s="859"/>
      <c r="G26" s="34"/>
      <c r="H26" s="908"/>
      <c r="I26" s="36"/>
      <c r="J26" s="231"/>
      <c r="K26" s="231"/>
      <c r="L26" s="231"/>
      <c r="M26" s="231"/>
      <c r="N26" s="231"/>
      <c r="O26" s="231"/>
      <c r="P26" s="231"/>
      <c r="Q26" s="231"/>
      <c r="R26" s="231"/>
      <c r="S26" s="231"/>
      <c r="T26" s="231"/>
      <c r="U26" s="231"/>
      <c r="V26" s="231"/>
      <c r="W26" s="231"/>
      <c r="X26" s="231"/>
      <c r="Y26" s="231"/>
      <c r="Z26" s="231"/>
      <c r="AA26" s="231"/>
      <c r="AB26" s="231"/>
      <c r="AC26" s="231"/>
      <c r="AD26" s="231"/>
      <c r="AE26" s="231"/>
      <c r="AF26" s="231"/>
      <c r="AG26" s="231"/>
      <c r="AH26" s="231"/>
      <c r="AI26" s="231"/>
      <c r="AJ26" s="231"/>
      <c r="AK26" s="231"/>
      <c r="AL26" s="231"/>
      <c r="AM26" s="231"/>
    </row>
    <row r="27" spans="1:39" s="203" customFormat="1" ht="21.95" customHeight="1">
      <c r="A27" s="900"/>
      <c r="B27" s="905"/>
      <c r="C27" s="905"/>
      <c r="D27" s="906"/>
      <c r="E27" s="879"/>
      <c r="F27" s="860"/>
      <c r="G27" s="34"/>
      <c r="H27" s="879"/>
      <c r="I27" s="36"/>
      <c r="J27" s="231"/>
      <c r="K27" s="231"/>
      <c r="L27" s="231"/>
      <c r="M27" s="231"/>
      <c r="N27" s="231"/>
      <c r="O27" s="231"/>
      <c r="P27" s="231"/>
      <c r="Q27" s="231"/>
      <c r="R27" s="231"/>
      <c r="S27" s="231"/>
      <c r="T27" s="231"/>
      <c r="U27" s="231"/>
      <c r="V27" s="231"/>
      <c r="W27" s="231"/>
      <c r="X27" s="231"/>
      <c r="Y27" s="231"/>
      <c r="Z27" s="231"/>
      <c r="AA27" s="231"/>
      <c r="AB27" s="231"/>
      <c r="AC27" s="231"/>
      <c r="AD27" s="231"/>
      <c r="AE27" s="231"/>
      <c r="AF27" s="231"/>
      <c r="AG27" s="231"/>
      <c r="AH27" s="231"/>
      <c r="AI27" s="231"/>
      <c r="AJ27" s="231"/>
      <c r="AK27" s="231"/>
      <c r="AL27" s="231"/>
      <c r="AM27" s="231"/>
    </row>
    <row r="28" spans="1:39" s="203" customFormat="1">
      <c r="A28" s="38">
        <v>1</v>
      </c>
      <c r="B28" s="39" t="s">
        <v>52</v>
      </c>
      <c r="C28" s="39"/>
      <c r="D28" s="40"/>
      <c r="E28" s="41">
        <v>107346</v>
      </c>
      <c r="F28" s="42">
        <f>F77</f>
        <v>106324</v>
      </c>
      <c r="G28" s="43"/>
      <c r="H28" s="44">
        <f>H77</f>
        <v>115385</v>
      </c>
      <c r="I28" s="43"/>
      <c r="J28" s="231"/>
      <c r="K28" s="231"/>
      <c r="L28" s="231"/>
      <c r="M28" s="231"/>
      <c r="N28" s="231"/>
      <c r="O28" s="231"/>
      <c r="P28" s="231"/>
      <c r="Q28" s="231"/>
      <c r="R28" s="231"/>
      <c r="S28" s="231"/>
      <c r="T28" s="231"/>
      <c r="U28" s="231"/>
      <c r="V28" s="231"/>
      <c r="W28" s="231"/>
      <c r="X28" s="231"/>
      <c r="Y28" s="231"/>
      <c r="Z28" s="231"/>
      <c r="AA28" s="231"/>
      <c r="AB28" s="231"/>
      <c r="AC28" s="231"/>
      <c r="AD28" s="231"/>
      <c r="AE28" s="231"/>
      <c r="AF28" s="231"/>
      <c r="AG28" s="231"/>
      <c r="AH28" s="231"/>
      <c r="AI28" s="231"/>
      <c r="AJ28" s="231"/>
      <c r="AK28" s="231"/>
      <c r="AL28" s="231"/>
      <c r="AM28" s="231"/>
    </row>
    <row r="29" spans="1:39" s="203" customFormat="1">
      <c r="A29" s="46">
        <v>2</v>
      </c>
      <c r="B29" s="47" t="s">
        <v>53</v>
      </c>
      <c r="C29" s="47"/>
      <c r="D29" s="48"/>
      <c r="E29" s="49">
        <v>59606</v>
      </c>
      <c r="F29" s="50">
        <f>F105</f>
        <v>65259</v>
      </c>
      <c r="G29" s="43"/>
      <c r="H29" s="51">
        <f>H105</f>
        <v>68892</v>
      </c>
      <c r="I29" s="43"/>
      <c r="J29" s="231"/>
      <c r="K29" s="231"/>
      <c r="L29" s="231"/>
      <c r="M29" s="231"/>
      <c r="N29" s="231"/>
      <c r="O29" s="231"/>
      <c r="P29" s="231"/>
      <c r="Q29" s="231"/>
      <c r="R29" s="231"/>
      <c r="S29" s="231"/>
      <c r="T29" s="231"/>
      <c r="U29" s="231"/>
      <c r="V29" s="231"/>
      <c r="W29" s="231"/>
      <c r="X29" s="231"/>
      <c r="Y29" s="231"/>
      <c r="Z29" s="231"/>
      <c r="AA29" s="231"/>
      <c r="AB29" s="231"/>
      <c r="AC29" s="231"/>
      <c r="AD29" s="231"/>
      <c r="AE29" s="231"/>
      <c r="AF29" s="231"/>
      <c r="AG29" s="231"/>
      <c r="AH29" s="231"/>
      <c r="AI29" s="231"/>
      <c r="AJ29" s="231"/>
      <c r="AK29" s="231"/>
      <c r="AL29" s="231"/>
      <c r="AM29" s="231"/>
    </row>
    <row r="30" spans="1:39" s="203" customFormat="1">
      <c r="A30" s="46">
        <v>3</v>
      </c>
      <c r="B30" s="47" t="s">
        <v>54</v>
      </c>
      <c r="C30" s="47"/>
      <c r="D30" s="48"/>
      <c r="E30" s="49">
        <v>10446</v>
      </c>
      <c r="F30" s="50">
        <f>F180</f>
        <v>10824</v>
      </c>
      <c r="G30" s="43"/>
      <c r="H30" s="51">
        <f>H180</f>
        <v>10391</v>
      </c>
      <c r="I30" s="43"/>
      <c r="J30" s="231"/>
      <c r="K30" s="231"/>
      <c r="L30" s="231"/>
      <c r="M30" s="231"/>
      <c r="N30" s="231"/>
      <c r="O30" s="231"/>
      <c r="P30" s="231"/>
      <c r="Q30" s="231"/>
      <c r="R30" s="231"/>
      <c r="S30" s="231"/>
      <c r="T30" s="231"/>
      <c r="U30" s="231"/>
      <c r="V30" s="231"/>
      <c r="W30" s="231"/>
      <c r="X30" s="231"/>
      <c r="Y30" s="231"/>
      <c r="Z30" s="231"/>
      <c r="AA30" s="231"/>
      <c r="AB30" s="231"/>
      <c r="AC30" s="231"/>
      <c r="AD30" s="231"/>
      <c r="AE30" s="231"/>
      <c r="AF30" s="231"/>
      <c r="AG30" s="231"/>
      <c r="AH30" s="231"/>
      <c r="AI30" s="231"/>
      <c r="AJ30" s="231"/>
      <c r="AK30" s="231"/>
      <c r="AL30" s="231"/>
      <c r="AM30" s="231"/>
    </row>
    <row r="31" spans="1:39" s="203" customFormat="1">
      <c r="A31" s="46">
        <v>4</v>
      </c>
      <c r="B31" s="47" t="s">
        <v>55</v>
      </c>
      <c r="C31" s="47"/>
      <c r="D31" s="48"/>
      <c r="E31" s="49">
        <v>16440</v>
      </c>
      <c r="F31" s="50">
        <f>F214</f>
        <v>16828</v>
      </c>
      <c r="G31" s="43"/>
      <c r="H31" s="51">
        <f>H214</f>
        <v>16197</v>
      </c>
      <c r="I31" s="43"/>
      <c r="J31" s="231"/>
      <c r="K31" s="231"/>
      <c r="L31" s="231"/>
      <c r="M31" s="231"/>
      <c r="N31" s="231"/>
      <c r="O31" s="231"/>
      <c r="P31" s="231"/>
      <c r="Q31" s="231"/>
      <c r="R31" s="231"/>
      <c r="S31" s="231"/>
      <c r="T31" s="231"/>
      <c r="U31" s="231"/>
      <c r="V31" s="231"/>
      <c r="W31" s="231"/>
      <c r="X31" s="231"/>
      <c r="Y31" s="231"/>
      <c r="Z31" s="231"/>
      <c r="AA31" s="231"/>
      <c r="AB31" s="231"/>
      <c r="AC31" s="231"/>
      <c r="AD31" s="231"/>
      <c r="AE31" s="231"/>
      <c r="AF31" s="231"/>
      <c r="AG31" s="231"/>
      <c r="AH31" s="231"/>
      <c r="AI31" s="231"/>
      <c r="AJ31" s="231"/>
      <c r="AK31" s="231"/>
      <c r="AL31" s="231"/>
      <c r="AM31" s="231"/>
    </row>
    <row r="32" spans="1:39" s="203" customFormat="1">
      <c r="A32" s="46">
        <v>5</v>
      </c>
      <c r="B32" s="47" t="s">
        <v>56</v>
      </c>
      <c r="C32" s="47"/>
      <c r="D32" s="48"/>
      <c r="E32" s="49">
        <v>2317</v>
      </c>
      <c r="F32" s="50">
        <f>F231</f>
        <v>2073</v>
      </c>
      <c r="G32" s="43"/>
      <c r="H32" s="51">
        <f>H231</f>
        <v>2857</v>
      </c>
      <c r="I32" s="43"/>
      <c r="J32" s="231"/>
      <c r="K32" s="231"/>
      <c r="L32" s="231"/>
      <c r="M32" s="231"/>
      <c r="N32" s="231"/>
      <c r="O32" s="231"/>
      <c r="P32" s="231"/>
      <c r="Q32" s="231"/>
      <c r="R32" s="231"/>
      <c r="S32" s="231"/>
      <c r="T32" s="231"/>
      <c r="U32" s="231"/>
      <c r="V32" s="231"/>
      <c r="W32" s="231"/>
      <c r="X32" s="231"/>
      <c r="Y32" s="231"/>
      <c r="Z32" s="231"/>
      <c r="AA32" s="231"/>
      <c r="AB32" s="231"/>
      <c r="AC32" s="231"/>
      <c r="AD32" s="231"/>
      <c r="AE32" s="231"/>
      <c r="AF32" s="231"/>
      <c r="AG32" s="231"/>
      <c r="AH32" s="231"/>
      <c r="AI32" s="231"/>
      <c r="AJ32" s="231"/>
      <c r="AK32" s="231"/>
      <c r="AL32" s="231"/>
      <c r="AM32" s="231"/>
    </row>
    <row r="33" spans="1:39" s="203" customFormat="1">
      <c r="A33" s="46">
        <v>6</v>
      </c>
      <c r="B33" s="47" t="s">
        <v>57</v>
      </c>
      <c r="C33" s="47"/>
      <c r="D33" s="48"/>
      <c r="E33" s="49">
        <v>9687</v>
      </c>
      <c r="F33" s="50">
        <f>F257</f>
        <v>9841</v>
      </c>
      <c r="G33" s="43"/>
      <c r="H33" s="51">
        <f>H257</f>
        <v>9652</v>
      </c>
      <c r="I33" s="43"/>
      <c r="J33" s="231"/>
      <c r="K33" s="231"/>
      <c r="L33" s="231"/>
      <c r="M33" s="231"/>
      <c r="N33" s="231"/>
      <c r="O33" s="231"/>
      <c r="P33" s="231"/>
      <c r="Q33" s="231"/>
      <c r="R33" s="231"/>
      <c r="S33" s="231"/>
      <c r="T33" s="231"/>
      <c r="U33" s="231"/>
      <c r="V33" s="231"/>
      <c r="W33" s="231"/>
      <c r="X33" s="231"/>
      <c r="Y33" s="231"/>
      <c r="Z33" s="231"/>
      <c r="AA33" s="231"/>
      <c r="AB33" s="231"/>
      <c r="AC33" s="231"/>
      <c r="AD33" s="231"/>
      <c r="AE33" s="231"/>
      <c r="AF33" s="231"/>
      <c r="AG33" s="231"/>
      <c r="AH33" s="231"/>
      <c r="AI33" s="231"/>
      <c r="AJ33" s="231"/>
      <c r="AK33" s="231"/>
      <c r="AL33" s="231"/>
      <c r="AM33" s="231"/>
    </row>
    <row r="34" spans="1:39" s="203" customFormat="1">
      <c r="A34" s="46">
        <v>7</v>
      </c>
      <c r="B34" s="47" t="s">
        <v>58</v>
      </c>
      <c r="C34" s="47"/>
      <c r="D34" s="48"/>
      <c r="E34" s="49">
        <v>9430</v>
      </c>
      <c r="F34" s="50">
        <f>F277</f>
        <v>3992</v>
      </c>
      <c r="G34" s="43"/>
      <c r="H34" s="50">
        <f>H277</f>
        <v>3863</v>
      </c>
      <c r="I34" s="43"/>
      <c r="J34" s="231"/>
      <c r="K34" s="231"/>
      <c r="L34" s="231"/>
      <c r="M34" s="231"/>
      <c r="N34" s="231"/>
      <c r="O34" s="231"/>
      <c r="P34" s="231"/>
      <c r="Q34" s="231"/>
      <c r="R34" s="231"/>
      <c r="S34" s="231"/>
      <c r="T34" s="231"/>
      <c r="U34" s="231"/>
      <c r="V34" s="231"/>
      <c r="W34" s="231"/>
      <c r="X34" s="231"/>
      <c r="Y34" s="231"/>
      <c r="Z34" s="231"/>
      <c r="AA34" s="231"/>
      <c r="AB34" s="231"/>
      <c r="AC34" s="231"/>
      <c r="AD34" s="231"/>
      <c r="AE34" s="231"/>
      <c r="AF34" s="231"/>
      <c r="AG34" s="231"/>
      <c r="AH34" s="231"/>
      <c r="AI34" s="231"/>
      <c r="AJ34" s="231"/>
      <c r="AK34" s="231"/>
      <c r="AL34" s="231"/>
      <c r="AM34" s="231"/>
    </row>
    <row r="35" spans="1:39" s="203" customFormat="1">
      <c r="A35" s="46">
        <v>8</v>
      </c>
      <c r="B35" s="47" t="s">
        <v>59</v>
      </c>
      <c r="C35" s="47"/>
      <c r="D35" s="48"/>
      <c r="E35" s="49">
        <v>14304</v>
      </c>
      <c r="F35" s="50">
        <f>F302</f>
        <v>11524</v>
      </c>
      <c r="G35" s="43"/>
      <c r="H35" s="50">
        <f>H302</f>
        <v>8578</v>
      </c>
      <c r="I35" s="21"/>
      <c r="J35" s="231"/>
      <c r="K35" s="231"/>
      <c r="L35" s="231"/>
      <c r="M35" s="231"/>
      <c r="N35" s="231"/>
      <c r="O35" s="231"/>
      <c r="P35" s="231"/>
      <c r="Q35" s="231"/>
      <c r="R35" s="231"/>
      <c r="S35" s="231"/>
      <c r="T35" s="231"/>
      <c r="U35" s="231"/>
      <c r="V35" s="231"/>
      <c r="W35" s="231"/>
      <c r="X35" s="231"/>
      <c r="Y35" s="231"/>
      <c r="Z35" s="231"/>
      <c r="AA35" s="231"/>
      <c r="AB35" s="231"/>
      <c r="AC35" s="231"/>
      <c r="AD35" s="231"/>
      <c r="AE35" s="231"/>
      <c r="AF35" s="231"/>
      <c r="AG35" s="231"/>
      <c r="AH35" s="231"/>
      <c r="AI35" s="231"/>
      <c r="AJ35" s="231"/>
      <c r="AK35" s="231"/>
      <c r="AL35" s="231"/>
      <c r="AM35" s="231"/>
    </row>
    <row r="36" spans="1:39" s="203" customFormat="1">
      <c r="A36" s="46">
        <v>9</v>
      </c>
      <c r="B36" s="47" t="s">
        <v>60</v>
      </c>
      <c r="C36" s="47"/>
      <c r="D36" s="48"/>
      <c r="E36" s="49">
        <v>96</v>
      </c>
      <c r="F36" s="52">
        <v>-25</v>
      </c>
      <c r="G36" s="43"/>
      <c r="H36" s="52">
        <v>-34</v>
      </c>
      <c r="I36" s="21"/>
      <c r="J36" s="231"/>
      <c r="K36" s="231"/>
      <c r="L36" s="231"/>
      <c r="M36" s="231"/>
      <c r="N36" s="231"/>
      <c r="O36" s="231"/>
      <c r="P36" s="231"/>
      <c r="Q36" s="231"/>
      <c r="R36" s="231"/>
      <c r="S36" s="231"/>
      <c r="T36" s="231"/>
      <c r="U36" s="231"/>
      <c r="V36" s="231"/>
      <c r="W36" s="231"/>
      <c r="X36" s="231"/>
      <c r="Y36" s="231"/>
      <c r="Z36" s="231"/>
      <c r="AA36" s="231"/>
      <c r="AB36" s="231"/>
      <c r="AC36" s="231"/>
      <c r="AD36" s="231"/>
      <c r="AE36" s="231"/>
      <c r="AF36" s="231"/>
      <c r="AG36" s="231"/>
      <c r="AH36" s="231"/>
      <c r="AI36" s="231"/>
      <c r="AJ36" s="231"/>
      <c r="AK36" s="231"/>
      <c r="AL36" s="231"/>
      <c r="AM36" s="231"/>
    </row>
    <row r="37" spans="1:39" s="203" customFormat="1">
      <c r="A37" s="53">
        <v>10</v>
      </c>
      <c r="B37" s="54" t="s">
        <v>61</v>
      </c>
      <c r="C37" s="54"/>
      <c r="D37" s="55"/>
      <c r="E37" s="56">
        <v>28263</v>
      </c>
      <c r="F37" s="57">
        <f>F320</f>
        <v>26618</v>
      </c>
      <c r="G37" s="43"/>
      <c r="H37" s="57">
        <f>H320</f>
        <v>28149</v>
      </c>
      <c r="I37" s="21"/>
      <c r="J37" s="231"/>
      <c r="K37" s="231"/>
      <c r="L37" s="231"/>
      <c r="M37" s="231"/>
      <c r="N37" s="231"/>
      <c r="O37" s="231"/>
      <c r="P37" s="231"/>
      <c r="Q37" s="231"/>
      <c r="R37" s="231"/>
      <c r="S37" s="231"/>
      <c r="T37" s="231"/>
      <c r="U37" s="231"/>
      <c r="V37" s="231"/>
      <c r="W37" s="231"/>
      <c r="X37" s="231"/>
      <c r="Y37" s="231"/>
      <c r="Z37" s="231"/>
      <c r="AA37" s="231"/>
      <c r="AB37" s="231"/>
      <c r="AC37" s="231"/>
      <c r="AD37" s="231"/>
      <c r="AE37" s="231"/>
      <c r="AF37" s="231"/>
      <c r="AG37" s="231"/>
      <c r="AH37" s="231"/>
      <c r="AI37" s="231"/>
      <c r="AJ37" s="231"/>
      <c r="AK37" s="231"/>
      <c r="AL37" s="231"/>
      <c r="AM37" s="231"/>
    </row>
    <row r="38" spans="1:39" s="203" customFormat="1">
      <c r="A38" s="33">
        <v>11</v>
      </c>
      <c r="B38" s="58" t="s">
        <v>62</v>
      </c>
      <c r="C38" s="58"/>
      <c r="D38" s="59"/>
      <c r="E38" s="60">
        <v>257935</v>
      </c>
      <c r="F38" s="61">
        <f>SUM(F28:F37)</f>
        <v>253258</v>
      </c>
      <c r="G38" s="43"/>
      <c r="H38" s="61">
        <f>SUM(H28:H37)</f>
        <v>263930</v>
      </c>
      <c r="I38" s="68"/>
      <c r="J38" s="231"/>
      <c r="K38" s="231"/>
      <c r="L38" s="231"/>
      <c r="M38" s="231"/>
      <c r="N38" s="231"/>
      <c r="O38" s="231"/>
      <c r="P38" s="231"/>
      <c r="Q38" s="231"/>
      <c r="R38" s="231"/>
      <c r="S38" s="231"/>
      <c r="T38" s="231"/>
      <c r="U38" s="231"/>
      <c r="V38" s="231"/>
      <c r="W38" s="231"/>
      <c r="X38" s="231"/>
      <c r="Y38" s="231"/>
      <c r="Z38" s="231"/>
      <c r="AA38" s="231"/>
      <c r="AB38" s="231"/>
      <c r="AC38" s="231"/>
      <c r="AD38" s="231"/>
      <c r="AE38" s="231"/>
      <c r="AF38" s="231"/>
      <c r="AG38" s="231"/>
      <c r="AH38" s="231"/>
      <c r="AI38" s="231"/>
      <c r="AJ38" s="231"/>
      <c r="AK38" s="231"/>
      <c r="AL38" s="231"/>
      <c r="AM38" s="231"/>
    </row>
    <row r="39" spans="1:39" s="203" customFormat="1" ht="12.75" customHeight="1">
      <c r="A39" s="63"/>
      <c r="B39" s="64"/>
      <c r="C39" s="64"/>
      <c r="D39" s="65"/>
      <c r="E39" s="66"/>
      <c r="F39" s="67"/>
      <c r="G39" s="21"/>
      <c r="H39" s="67"/>
      <c r="I39" s="68"/>
      <c r="J39" s="231"/>
      <c r="K39" s="231"/>
      <c r="L39" s="231"/>
      <c r="M39" s="231"/>
      <c r="N39" s="231"/>
      <c r="O39" s="231"/>
      <c r="P39" s="231"/>
      <c r="Q39" s="231"/>
      <c r="R39" s="231"/>
      <c r="S39" s="231"/>
      <c r="T39" s="231"/>
      <c r="U39" s="231"/>
      <c r="V39" s="231"/>
      <c r="W39" s="231"/>
      <c r="X39" s="231"/>
      <c r="Y39" s="231"/>
      <c r="Z39" s="231"/>
      <c r="AA39" s="231"/>
      <c r="AB39" s="231"/>
      <c r="AC39" s="231"/>
      <c r="AD39" s="231"/>
      <c r="AE39" s="231"/>
      <c r="AF39" s="231"/>
      <c r="AG39" s="231"/>
      <c r="AH39" s="231"/>
      <c r="AI39" s="231"/>
      <c r="AJ39" s="231"/>
      <c r="AK39" s="231"/>
      <c r="AL39" s="231"/>
      <c r="AM39" s="231"/>
    </row>
    <row r="40" spans="1:39" s="203" customFormat="1" ht="12.75" customHeight="1">
      <c r="A40" s="893" t="s">
        <v>63</v>
      </c>
      <c r="B40" s="894"/>
      <c r="C40" s="894"/>
      <c r="D40" s="895"/>
      <c r="E40" s="878" t="s">
        <v>376</v>
      </c>
      <c r="F40" s="856" t="s">
        <v>407</v>
      </c>
      <c r="G40" s="36"/>
      <c r="H40" s="878" t="s">
        <v>406</v>
      </c>
      <c r="I40" s="43"/>
      <c r="J40" s="231"/>
      <c r="K40" s="231"/>
      <c r="L40" s="231"/>
      <c r="M40" s="231"/>
      <c r="N40" s="231"/>
      <c r="O40" s="231"/>
      <c r="P40" s="231"/>
      <c r="Q40" s="231"/>
      <c r="R40" s="231"/>
      <c r="S40" s="231"/>
      <c r="T40" s="231"/>
      <c r="U40" s="231"/>
      <c r="V40" s="231"/>
      <c r="W40" s="231"/>
      <c r="X40" s="231"/>
      <c r="Y40" s="231"/>
      <c r="Z40" s="231"/>
      <c r="AA40" s="231"/>
      <c r="AB40" s="231"/>
      <c r="AC40" s="231"/>
      <c r="AD40" s="231"/>
      <c r="AE40" s="231"/>
      <c r="AF40" s="231"/>
      <c r="AG40" s="231"/>
      <c r="AH40" s="231"/>
      <c r="AI40" s="231"/>
      <c r="AJ40" s="231"/>
      <c r="AK40" s="231"/>
      <c r="AL40" s="231"/>
      <c r="AM40" s="231"/>
    </row>
    <row r="41" spans="1:39" s="203" customFormat="1" ht="27.75" customHeight="1">
      <c r="A41" s="876"/>
      <c r="B41" s="877"/>
      <c r="C41" s="877"/>
      <c r="D41" s="896"/>
      <c r="E41" s="879"/>
      <c r="F41" s="860"/>
      <c r="G41" s="23"/>
      <c r="H41" s="879"/>
      <c r="I41" s="43"/>
      <c r="J41" s="231"/>
      <c r="K41" s="231"/>
      <c r="L41" s="231"/>
      <c r="M41" s="231"/>
      <c r="N41" s="231"/>
      <c r="O41" s="231"/>
      <c r="P41" s="231"/>
      <c r="Q41" s="231"/>
      <c r="R41" s="231"/>
      <c r="S41" s="231"/>
      <c r="T41" s="231"/>
      <c r="U41" s="231"/>
      <c r="V41" s="231"/>
      <c r="W41" s="231"/>
      <c r="X41" s="231"/>
      <c r="Y41" s="231"/>
      <c r="Z41" s="231"/>
      <c r="AA41" s="231"/>
      <c r="AB41" s="231"/>
      <c r="AC41" s="231"/>
      <c r="AD41" s="231"/>
      <c r="AE41" s="231"/>
      <c r="AF41" s="231"/>
      <c r="AG41" s="231"/>
      <c r="AH41" s="231"/>
      <c r="AI41" s="231"/>
      <c r="AJ41" s="231"/>
      <c r="AK41" s="231"/>
      <c r="AL41" s="231"/>
      <c r="AM41" s="231"/>
    </row>
    <row r="42" spans="1:39" s="203" customFormat="1">
      <c r="A42" s="814" t="s">
        <v>64</v>
      </c>
      <c r="B42" s="69" t="s">
        <v>65</v>
      </c>
      <c r="C42" s="69"/>
      <c r="D42" s="70"/>
      <c r="E42" s="71"/>
      <c r="F42" s="72" t="str">
        <f>IF(OR(F43&lt;0,F44&lt;0,F47&lt;0,F48&lt;0,H43&lt;0,H44&lt;0,H47&lt;0,H48&lt;0),"Funding should be recorded as positive figures",".")</f>
        <v>.</v>
      </c>
      <c r="G42" s="45"/>
      <c r="H42" s="73"/>
      <c r="I42" s="43"/>
      <c r="J42" s="231"/>
      <c r="K42" s="231"/>
      <c r="L42" s="231"/>
      <c r="M42" s="231"/>
      <c r="N42" s="231"/>
      <c r="O42" s="231"/>
      <c r="P42" s="231"/>
      <c r="Q42" s="231"/>
      <c r="R42" s="231"/>
      <c r="S42" s="231"/>
      <c r="T42" s="231"/>
      <c r="U42" s="231"/>
      <c r="V42" s="231"/>
      <c r="W42" s="231"/>
      <c r="X42" s="231"/>
      <c r="Y42" s="231"/>
      <c r="Z42" s="231"/>
      <c r="AA42" s="231"/>
      <c r="AB42" s="231"/>
      <c r="AC42" s="231"/>
      <c r="AD42" s="231"/>
      <c r="AE42" s="231"/>
      <c r="AF42" s="231"/>
      <c r="AG42" s="231"/>
      <c r="AH42" s="231"/>
      <c r="AI42" s="231"/>
      <c r="AJ42" s="231"/>
      <c r="AK42" s="231"/>
      <c r="AL42" s="231"/>
      <c r="AM42" s="231"/>
    </row>
    <row r="43" spans="1:39" s="203" customFormat="1">
      <c r="A43" s="46">
        <v>1</v>
      </c>
      <c r="B43" s="47" t="s">
        <v>66</v>
      </c>
      <c r="C43" s="47"/>
      <c r="D43" s="48"/>
      <c r="E43" s="74">
        <v>176326</v>
      </c>
      <c r="F43" s="241">
        <v>174775.99999999997</v>
      </c>
      <c r="G43" s="45"/>
      <c r="H43" s="75">
        <f>175155+3974-2367</f>
        <v>176762</v>
      </c>
      <c r="I43" s="43"/>
      <c r="J43" s="231"/>
      <c r="K43" s="231"/>
      <c r="L43" s="231"/>
      <c r="M43" s="231"/>
      <c r="N43" s="231"/>
      <c r="O43" s="231"/>
      <c r="P43" s="231"/>
      <c r="Q43" s="231"/>
      <c r="R43" s="231"/>
      <c r="S43" s="231"/>
      <c r="T43" s="231"/>
      <c r="U43" s="231"/>
      <c r="V43" s="231"/>
      <c r="W43" s="231"/>
      <c r="X43" s="231"/>
      <c r="Y43" s="231"/>
      <c r="Z43" s="231"/>
      <c r="AA43" s="231"/>
      <c r="AB43" s="231"/>
      <c r="AC43" s="231"/>
      <c r="AD43" s="231"/>
      <c r="AE43" s="231"/>
      <c r="AF43" s="231"/>
      <c r="AG43" s="231"/>
      <c r="AH43" s="231"/>
      <c r="AI43" s="231"/>
      <c r="AJ43" s="231"/>
      <c r="AK43" s="231"/>
      <c r="AL43" s="231"/>
      <c r="AM43" s="231"/>
    </row>
    <row r="44" spans="1:39" s="203" customFormat="1">
      <c r="A44" s="46">
        <v>2</v>
      </c>
      <c r="B44" s="47" t="s">
        <v>67</v>
      </c>
      <c r="C44" s="47"/>
      <c r="D44" s="48"/>
      <c r="E44" s="49">
        <v>25101</v>
      </c>
      <c r="F44" s="241">
        <v>25101</v>
      </c>
      <c r="G44" s="45"/>
      <c r="H44" s="75">
        <f>25101+2367</f>
        <v>27468</v>
      </c>
      <c r="I44" s="43"/>
      <c r="J44" s="231"/>
      <c r="K44" s="231"/>
      <c r="L44" s="231"/>
      <c r="M44" s="231"/>
      <c r="N44" s="231"/>
      <c r="O44" s="231"/>
      <c r="P44" s="231"/>
      <c r="Q44" s="231"/>
      <c r="R44" s="231"/>
      <c r="S44" s="231"/>
      <c r="T44" s="231"/>
      <c r="U44" s="231"/>
      <c r="V44" s="231"/>
      <c r="W44" s="231"/>
      <c r="X44" s="231"/>
      <c r="Y44" s="231"/>
      <c r="Z44" s="231"/>
      <c r="AA44" s="231"/>
      <c r="AB44" s="231"/>
      <c r="AC44" s="231"/>
      <c r="AD44" s="231"/>
      <c r="AE44" s="231"/>
      <c r="AF44" s="231"/>
      <c r="AG44" s="231"/>
      <c r="AH44" s="231"/>
      <c r="AI44" s="231"/>
      <c r="AJ44" s="231"/>
      <c r="AK44" s="231"/>
      <c r="AL44" s="231"/>
      <c r="AM44" s="231"/>
    </row>
    <row r="45" spans="1:39" s="203" customFormat="1">
      <c r="A45" s="46">
        <v>3</v>
      </c>
      <c r="B45" s="47" t="s">
        <v>68</v>
      </c>
      <c r="C45" s="47"/>
      <c r="D45" s="48"/>
      <c r="E45" s="49">
        <v>0</v>
      </c>
      <c r="F45" s="52"/>
      <c r="G45" s="45"/>
      <c r="H45" s="75"/>
      <c r="I45" s="43"/>
      <c r="J45" s="231"/>
      <c r="K45" s="231"/>
      <c r="L45" s="231"/>
      <c r="M45" s="231"/>
      <c r="N45" s="231"/>
      <c r="O45" s="231"/>
      <c r="P45" s="231"/>
      <c r="Q45" s="231"/>
      <c r="R45" s="231"/>
      <c r="S45" s="231"/>
      <c r="T45" s="231"/>
      <c r="U45" s="231"/>
      <c r="V45" s="231"/>
      <c r="W45" s="231"/>
      <c r="X45" s="231"/>
      <c r="Y45" s="231"/>
      <c r="Z45" s="231"/>
      <c r="AA45" s="231"/>
      <c r="AB45" s="231"/>
      <c r="AC45" s="231"/>
      <c r="AD45" s="231"/>
      <c r="AE45" s="231"/>
      <c r="AF45" s="231"/>
      <c r="AG45" s="231"/>
      <c r="AH45" s="231"/>
      <c r="AI45" s="231"/>
      <c r="AJ45" s="231"/>
      <c r="AK45" s="231"/>
      <c r="AL45" s="231"/>
      <c r="AM45" s="231"/>
    </row>
    <row r="46" spans="1:39" s="203" customFormat="1">
      <c r="A46" s="46">
        <v>4</v>
      </c>
      <c r="B46" s="47" t="s">
        <v>70</v>
      </c>
      <c r="C46" s="47"/>
      <c r="D46" s="48"/>
      <c r="E46" s="49">
        <v>0</v>
      </c>
      <c r="F46" s="52"/>
      <c r="G46" s="45"/>
      <c r="H46" s="75"/>
      <c r="I46" s="43"/>
      <c r="J46" s="231"/>
      <c r="K46" s="231"/>
      <c r="L46" s="231"/>
      <c r="M46" s="231"/>
      <c r="N46" s="231"/>
      <c r="O46" s="231"/>
      <c r="P46" s="231"/>
      <c r="Q46" s="231"/>
      <c r="R46" s="231"/>
      <c r="S46" s="231"/>
      <c r="T46" s="231"/>
      <c r="U46" s="231"/>
      <c r="V46" s="231"/>
      <c r="W46" s="231"/>
      <c r="X46" s="231"/>
      <c r="Y46" s="231"/>
      <c r="Z46" s="231"/>
      <c r="AA46" s="231"/>
      <c r="AB46" s="231"/>
      <c r="AC46" s="231"/>
      <c r="AD46" s="231"/>
      <c r="AE46" s="231"/>
      <c r="AF46" s="231"/>
      <c r="AG46" s="231"/>
      <c r="AH46" s="231"/>
      <c r="AI46" s="231"/>
      <c r="AJ46" s="231"/>
      <c r="AK46" s="231"/>
      <c r="AL46" s="231"/>
      <c r="AM46" s="231"/>
    </row>
    <row r="47" spans="1:39" s="203" customFormat="1">
      <c r="A47" s="46">
        <v>5</v>
      </c>
      <c r="B47" s="47" t="s">
        <v>69</v>
      </c>
      <c r="C47" s="47"/>
      <c r="D47" s="48"/>
      <c r="E47" s="49">
        <v>3832</v>
      </c>
      <c r="F47" s="52">
        <v>4477</v>
      </c>
      <c r="G47" s="45"/>
      <c r="H47" s="76">
        <f>8899+243</f>
        <v>9142</v>
      </c>
      <c r="I47" s="43"/>
      <c r="J47" s="231"/>
      <c r="K47" s="231"/>
      <c r="L47" s="231"/>
      <c r="M47" s="231"/>
      <c r="N47" s="231"/>
      <c r="O47" s="231"/>
      <c r="P47" s="231"/>
      <c r="Q47" s="231"/>
      <c r="R47" s="231"/>
      <c r="S47" s="231"/>
      <c r="T47" s="231"/>
      <c r="U47" s="231"/>
      <c r="V47" s="231"/>
      <c r="W47" s="231"/>
      <c r="X47" s="231"/>
      <c r="Y47" s="231"/>
      <c r="Z47" s="231"/>
      <c r="AA47" s="231"/>
      <c r="AB47" s="231"/>
      <c r="AC47" s="231"/>
      <c r="AD47" s="231"/>
      <c r="AE47" s="231"/>
      <c r="AF47" s="231"/>
      <c r="AG47" s="231"/>
      <c r="AH47" s="231"/>
      <c r="AI47" s="231"/>
      <c r="AJ47" s="231"/>
      <c r="AK47" s="231"/>
      <c r="AL47" s="231"/>
      <c r="AM47" s="231"/>
    </row>
    <row r="48" spans="1:39" s="203" customFormat="1">
      <c r="A48" s="46">
        <v>6</v>
      </c>
      <c r="B48" s="90" t="s">
        <v>253</v>
      </c>
      <c r="C48" s="47"/>
      <c r="D48" s="195"/>
      <c r="E48" s="49">
        <v>47118</v>
      </c>
      <c r="F48" s="52">
        <f>200-5490+52408</f>
        <v>47118</v>
      </c>
      <c r="G48" s="45"/>
      <c r="H48" s="52">
        <f>-5490+54443</f>
        <v>48953</v>
      </c>
      <c r="I48" s="43"/>
      <c r="J48" s="231"/>
      <c r="K48" s="231"/>
      <c r="L48" s="231"/>
      <c r="M48" s="231"/>
      <c r="N48" s="231"/>
      <c r="O48" s="231"/>
      <c r="P48" s="231"/>
      <c r="Q48" s="231"/>
      <c r="R48" s="231"/>
      <c r="S48" s="231"/>
      <c r="T48" s="231"/>
      <c r="U48" s="231"/>
      <c r="V48" s="231"/>
      <c r="W48" s="231"/>
      <c r="X48" s="231"/>
      <c r="Y48" s="231"/>
      <c r="Z48" s="231"/>
      <c r="AA48" s="231"/>
      <c r="AB48" s="231"/>
      <c r="AC48" s="231"/>
      <c r="AD48" s="231"/>
      <c r="AE48" s="231"/>
      <c r="AF48" s="231"/>
      <c r="AG48" s="231"/>
      <c r="AH48" s="231"/>
      <c r="AI48" s="231"/>
      <c r="AJ48" s="231"/>
      <c r="AK48" s="231"/>
      <c r="AL48" s="231"/>
      <c r="AM48" s="231"/>
    </row>
    <row r="49" spans="1:39" s="203" customFormat="1">
      <c r="A49" s="77">
        <v>7</v>
      </c>
      <c r="B49" s="78" t="s">
        <v>71</v>
      </c>
      <c r="C49" s="58"/>
      <c r="D49" s="79"/>
      <c r="E49" s="80">
        <v>252377</v>
      </c>
      <c r="F49" s="81">
        <f>SUM(F43:F48)</f>
        <v>251471.99999999997</v>
      </c>
      <c r="G49" s="82"/>
      <c r="H49" s="62">
        <f>SUM(H43:H48)</f>
        <v>262325</v>
      </c>
      <c r="I49" s="242"/>
      <c r="J49" s="231"/>
      <c r="K49" s="231"/>
      <c r="L49" s="231"/>
      <c r="M49" s="231"/>
      <c r="N49" s="231"/>
      <c r="O49" s="231"/>
      <c r="P49" s="231"/>
      <c r="Q49" s="231"/>
      <c r="R49" s="231"/>
      <c r="S49" s="231"/>
      <c r="T49" s="231"/>
      <c r="U49" s="231"/>
      <c r="V49" s="231"/>
      <c r="W49" s="231"/>
      <c r="X49" s="231"/>
      <c r="Y49" s="231"/>
      <c r="Z49" s="231"/>
      <c r="AA49" s="231"/>
      <c r="AB49" s="231"/>
      <c r="AC49" s="231"/>
      <c r="AD49" s="231"/>
      <c r="AE49" s="231"/>
      <c r="AF49" s="231"/>
      <c r="AG49" s="231"/>
      <c r="AH49" s="231"/>
      <c r="AI49" s="231"/>
      <c r="AJ49" s="231"/>
      <c r="AK49" s="231"/>
      <c r="AL49" s="231"/>
      <c r="AM49" s="231"/>
    </row>
    <row r="50" spans="1:39" s="203" customFormat="1">
      <c r="A50" s="83"/>
      <c r="B50" s="244"/>
      <c r="C50" s="244"/>
      <c r="D50" s="244"/>
      <c r="E50" s="85"/>
      <c r="F50" s="244"/>
      <c r="G50" s="86"/>
      <c r="H50" s="86"/>
      <c r="I50" s="21"/>
      <c r="J50" s="231"/>
      <c r="K50" s="231"/>
      <c r="L50" s="231"/>
      <c r="M50" s="231"/>
      <c r="N50" s="231"/>
      <c r="O50" s="231"/>
      <c r="P50" s="231"/>
      <c r="Q50" s="231"/>
      <c r="R50" s="231"/>
      <c r="S50" s="231"/>
      <c r="T50" s="231"/>
      <c r="U50" s="231"/>
      <c r="V50" s="231"/>
      <c r="W50" s="231"/>
      <c r="X50" s="231"/>
      <c r="Y50" s="231"/>
      <c r="Z50" s="231"/>
      <c r="AA50" s="231"/>
      <c r="AB50" s="231"/>
      <c r="AC50" s="231"/>
      <c r="AD50" s="231"/>
      <c r="AE50" s="231"/>
      <c r="AF50" s="231"/>
      <c r="AG50" s="231"/>
      <c r="AH50" s="231"/>
      <c r="AI50" s="231"/>
      <c r="AJ50" s="231"/>
      <c r="AK50" s="231"/>
      <c r="AL50" s="231"/>
      <c r="AM50" s="231"/>
    </row>
    <row r="51" spans="1:39" s="203" customFormat="1">
      <c r="A51" s="814" t="s">
        <v>72</v>
      </c>
      <c r="B51" s="196" t="s">
        <v>254</v>
      </c>
      <c r="C51" s="69"/>
      <c r="D51" s="70"/>
      <c r="E51" s="87"/>
      <c r="F51" s="88"/>
      <c r="G51" s="45"/>
      <c r="H51" s="89"/>
      <c r="I51" s="43"/>
      <c r="J51" s="231"/>
      <c r="K51" s="231"/>
      <c r="L51" s="231"/>
      <c r="M51" s="231"/>
      <c r="N51" s="231"/>
      <c r="O51" s="231"/>
      <c r="P51" s="231"/>
      <c r="Q51" s="231"/>
      <c r="R51" s="231"/>
      <c r="S51" s="231"/>
      <c r="T51" s="231"/>
      <c r="U51" s="231"/>
      <c r="V51" s="231"/>
      <c r="W51" s="231"/>
      <c r="X51" s="231"/>
      <c r="Y51" s="231"/>
      <c r="Z51" s="231"/>
      <c r="AA51" s="231"/>
      <c r="AB51" s="231"/>
      <c r="AC51" s="231"/>
      <c r="AD51" s="231"/>
      <c r="AE51" s="231"/>
      <c r="AF51" s="231"/>
      <c r="AG51" s="231"/>
      <c r="AH51" s="231"/>
      <c r="AI51" s="231"/>
      <c r="AJ51" s="231"/>
      <c r="AK51" s="231"/>
      <c r="AL51" s="231"/>
      <c r="AM51" s="231"/>
    </row>
    <row r="52" spans="1:39" s="203" customFormat="1">
      <c r="A52" s="46">
        <v>8</v>
      </c>
      <c r="B52" s="90" t="s">
        <v>73</v>
      </c>
      <c r="C52" s="47"/>
      <c r="D52" s="48"/>
      <c r="E52" s="74">
        <v>257935</v>
      </c>
      <c r="F52" s="50">
        <f>F38</f>
        <v>253258</v>
      </c>
      <c r="G52" s="45"/>
      <c r="H52" s="91">
        <f>H38</f>
        <v>263930</v>
      </c>
      <c r="I52" s="43"/>
      <c r="J52" s="231"/>
      <c r="K52" s="231"/>
      <c r="L52" s="231"/>
      <c r="M52" s="231"/>
      <c r="N52" s="231"/>
      <c r="O52" s="231"/>
      <c r="P52" s="231"/>
      <c r="Q52" s="231"/>
      <c r="R52" s="231"/>
      <c r="S52" s="231"/>
      <c r="T52" s="231"/>
      <c r="U52" s="231"/>
      <c r="V52" s="231"/>
      <c r="W52" s="231"/>
      <c r="X52" s="231"/>
      <c r="Y52" s="231"/>
      <c r="Z52" s="231"/>
      <c r="AA52" s="231"/>
      <c r="AB52" s="231"/>
      <c r="AC52" s="231"/>
      <c r="AD52" s="231"/>
      <c r="AE52" s="231"/>
      <c r="AF52" s="231"/>
      <c r="AG52" s="231"/>
      <c r="AH52" s="231"/>
      <c r="AI52" s="231"/>
      <c r="AJ52" s="231"/>
      <c r="AK52" s="231"/>
      <c r="AL52" s="231"/>
      <c r="AM52" s="231"/>
    </row>
    <row r="53" spans="1:39" s="203" customFormat="1">
      <c r="A53" s="46">
        <v>9</v>
      </c>
      <c r="B53" s="90" t="s">
        <v>74</v>
      </c>
      <c r="C53" s="47"/>
      <c r="D53" s="48"/>
      <c r="E53" s="49">
        <v>252377</v>
      </c>
      <c r="F53" s="92">
        <f>F49</f>
        <v>251471.99999999997</v>
      </c>
      <c r="G53" s="45"/>
      <c r="H53" s="91">
        <f>H49</f>
        <v>262325</v>
      </c>
      <c r="I53" s="43"/>
      <c r="J53" s="231"/>
      <c r="K53" s="231"/>
      <c r="L53" s="231"/>
      <c r="M53" s="231"/>
      <c r="N53" s="231"/>
      <c r="O53" s="231"/>
      <c r="P53" s="231"/>
      <c r="Q53" s="231"/>
      <c r="R53" s="231"/>
      <c r="S53" s="231"/>
      <c r="T53" s="231"/>
      <c r="U53" s="231"/>
      <c r="V53" s="231"/>
      <c r="W53" s="231"/>
      <c r="X53" s="231"/>
      <c r="Y53" s="231"/>
      <c r="Z53" s="231"/>
      <c r="AA53" s="231"/>
      <c r="AB53" s="231"/>
      <c r="AC53" s="231"/>
      <c r="AD53" s="231"/>
      <c r="AE53" s="231"/>
      <c r="AF53" s="231"/>
      <c r="AG53" s="231"/>
      <c r="AH53" s="231"/>
      <c r="AI53" s="231"/>
      <c r="AJ53" s="231"/>
      <c r="AK53" s="231"/>
      <c r="AL53" s="231"/>
      <c r="AM53" s="231"/>
    </row>
    <row r="54" spans="1:39" s="203" customFormat="1">
      <c r="A54" s="816">
        <v>10</v>
      </c>
      <c r="B54" s="93" t="s">
        <v>255</v>
      </c>
      <c r="C54" s="94"/>
      <c r="D54" s="55"/>
      <c r="E54" s="95">
        <v>-5558</v>
      </c>
      <c r="F54" s="96">
        <f>F53-F52</f>
        <v>-1786.0000000000291</v>
      </c>
      <c r="G54" s="45"/>
      <c r="H54" s="97">
        <f>H53-H52</f>
        <v>-1605</v>
      </c>
      <c r="I54" s="43"/>
      <c r="J54" s="231"/>
      <c r="K54" s="231"/>
      <c r="L54" s="231"/>
      <c r="M54" s="231"/>
      <c r="N54" s="231"/>
      <c r="O54" s="231"/>
      <c r="P54" s="231"/>
      <c r="Q54" s="231"/>
      <c r="R54" s="231"/>
      <c r="S54" s="231"/>
      <c r="T54" s="231"/>
      <c r="U54" s="231"/>
      <c r="V54" s="231"/>
      <c r="W54" s="231"/>
      <c r="X54" s="231"/>
      <c r="Y54" s="231"/>
      <c r="Z54" s="231"/>
      <c r="AA54" s="231"/>
      <c r="AB54" s="231"/>
      <c r="AC54" s="231"/>
      <c r="AD54" s="231"/>
      <c r="AE54" s="231"/>
      <c r="AF54" s="231"/>
      <c r="AG54" s="231"/>
      <c r="AH54" s="231"/>
      <c r="AI54" s="231"/>
      <c r="AJ54" s="231"/>
      <c r="AK54" s="231"/>
      <c r="AL54" s="231"/>
      <c r="AM54" s="231"/>
    </row>
    <row r="55" spans="1:39" s="203" customFormat="1">
      <c r="A55" s="83"/>
      <c r="B55" s="244"/>
      <c r="C55" s="244"/>
      <c r="D55" s="244"/>
      <c r="E55" s="85"/>
      <c r="F55" s="244"/>
      <c r="G55" s="86"/>
      <c r="H55" s="86"/>
      <c r="I55" s="21"/>
      <c r="J55" s="231"/>
      <c r="K55" s="231"/>
      <c r="L55" s="231"/>
      <c r="M55" s="231"/>
      <c r="N55" s="231"/>
      <c r="O55" s="231"/>
      <c r="P55" s="231"/>
      <c r="Q55" s="231"/>
      <c r="R55" s="231"/>
      <c r="S55" s="231"/>
      <c r="T55" s="231"/>
      <c r="U55" s="231"/>
      <c r="V55" s="231"/>
      <c r="W55" s="231"/>
      <c r="X55" s="231"/>
      <c r="Y55" s="231"/>
      <c r="Z55" s="231"/>
      <c r="AA55" s="231"/>
      <c r="AB55" s="231"/>
      <c r="AC55" s="231"/>
      <c r="AD55" s="231"/>
      <c r="AE55" s="231"/>
      <c r="AF55" s="231"/>
      <c r="AG55" s="231"/>
      <c r="AH55" s="231"/>
      <c r="AI55" s="231"/>
      <c r="AJ55" s="231"/>
      <c r="AK55" s="231"/>
      <c r="AL55" s="231"/>
      <c r="AM55" s="231"/>
    </row>
    <row r="56" spans="1:39" s="203" customFormat="1">
      <c r="A56" s="814" t="s">
        <v>75</v>
      </c>
      <c r="B56" s="69" t="s">
        <v>256</v>
      </c>
      <c r="C56" s="69"/>
      <c r="D56" s="70"/>
      <c r="E56" s="87"/>
      <c r="F56" s="88"/>
      <c r="G56" s="45"/>
      <c r="H56" s="89"/>
      <c r="I56" s="43"/>
      <c r="J56" s="231"/>
      <c r="K56" s="231"/>
      <c r="L56" s="231"/>
      <c r="M56" s="231"/>
      <c r="N56" s="231"/>
      <c r="O56" s="231"/>
      <c r="P56" s="231"/>
      <c r="Q56" s="231"/>
      <c r="R56" s="231"/>
      <c r="S56" s="231"/>
      <c r="T56" s="231"/>
      <c r="U56" s="231"/>
      <c r="V56" s="231"/>
      <c r="W56" s="231"/>
      <c r="X56" s="231"/>
      <c r="Y56" s="231"/>
      <c r="Z56" s="231"/>
      <c r="AA56" s="231"/>
      <c r="AB56" s="231"/>
      <c r="AC56" s="231"/>
      <c r="AD56" s="231"/>
      <c r="AE56" s="231"/>
      <c r="AF56" s="231"/>
      <c r="AG56" s="231"/>
      <c r="AH56" s="231"/>
      <c r="AI56" s="231"/>
      <c r="AJ56" s="231"/>
      <c r="AK56" s="231"/>
      <c r="AL56" s="231"/>
      <c r="AM56" s="231"/>
    </row>
    <row r="57" spans="1:39" s="203" customFormat="1">
      <c r="A57" s="46">
        <v>11</v>
      </c>
      <c r="B57" s="47" t="s">
        <v>76</v>
      </c>
      <c r="C57" s="47"/>
      <c r="D57" s="48"/>
      <c r="E57" s="74">
        <v>26670</v>
      </c>
      <c r="F57" s="52">
        <v>27194</v>
      </c>
      <c r="G57" s="45"/>
      <c r="H57" s="91">
        <f>F61</f>
        <v>25407.999999999971</v>
      </c>
      <c r="I57" s="43"/>
      <c r="J57" s="231"/>
      <c r="K57" s="231"/>
      <c r="L57" s="231"/>
      <c r="M57" s="231"/>
      <c r="N57" s="231"/>
      <c r="O57" s="231"/>
      <c r="P57" s="231"/>
      <c r="Q57" s="231"/>
      <c r="R57" s="231"/>
      <c r="S57" s="231"/>
      <c r="T57" s="231"/>
      <c r="U57" s="231"/>
      <c r="V57" s="231"/>
      <c r="W57" s="231"/>
      <c r="X57" s="231"/>
      <c r="Y57" s="231"/>
      <c r="Z57" s="231"/>
      <c r="AA57" s="231"/>
      <c r="AB57" s="231"/>
      <c r="AC57" s="231"/>
      <c r="AD57" s="231"/>
      <c r="AE57" s="231"/>
      <c r="AF57" s="231"/>
      <c r="AG57" s="231"/>
      <c r="AH57" s="231"/>
      <c r="AI57" s="231"/>
      <c r="AJ57" s="231"/>
      <c r="AK57" s="231"/>
      <c r="AL57" s="231"/>
      <c r="AM57" s="231"/>
    </row>
    <row r="58" spans="1:39" s="203" customFormat="1">
      <c r="A58" s="46">
        <v>12</v>
      </c>
      <c r="B58" s="90" t="s">
        <v>257</v>
      </c>
      <c r="C58" s="47"/>
      <c r="D58" s="48"/>
      <c r="E58" s="49">
        <v>-5558</v>
      </c>
      <c r="F58" s="92">
        <f>F54</f>
        <v>-1786.0000000000291</v>
      </c>
      <c r="G58" s="45"/>
      <c r="H58" s="98">
        <f>H54</f>
        <v>-1605</v>
      </c>
      <c r="I58" s="43"/>
      <c r="J58" s="231"/>
      <c r="K58" s="231"/>
      <c r="L58" s="231"/>
      <c r="M58" s="231"/>
      <c r="N58" s="231"/>
      <c r="O58" s="231"/>
      <c r="P58" s="231"/>
      <c r="Q58" s="231"/>
      <c r="R58" s="231"/>
      <c r="S58" s="231"/>
      <c r="T58" s="231"/>
      <c r="U58" s="231"/>
      <c r="V58" s="231"/>
      <c r="W58" s="231"/>
      <c r="X58" s="231"/>
      <c r="Y58" s="231"/>
      <c r="Z58" s="231"/>
      <c r="AA58" s="231"/>
      <c r="AB58" s="231"/>
      <c r="AC58" s="231"/>
      <c r="AD58" s="231"/>
      <c r="AE58" s="231"/>
      <c r="AF58" s="231"/>
      <c r="AG58" s="231"/>
      <c r="AH58" s="231"/>
      <c r="AI58" s="231"/>
      <c r="AJ58" s="231"/>
      <c r="AK58" s="231"/>
      <c r="AL58" s="231"/>
      <c r="AM58" s="231"/>
    </row>
    <row r="59" spans="1:39" s="203" customFormat="1">
      <c r="A59" s="46">
        <v>13</v>
      </c>
      <c r="B59" s="47" t="s">
        <v>77</v>
      </c>
      <c r="C59" s="47"/>
      <c r="D59" s="48"/>
      <c r="E59" s="49">
        <v>0</v>
      </c>
      <c r="F59" s="52">
        <v>0</v>
      </c>
      <c r="G59" s="45"/>
      <c r="H59" s="99">
        <v>0</v>
      </c>
      <c r="I59" s="43"/>
      <c r="J59" s="231"/>
      <c r="K59" s="231"/>
      <c r="L59" s="231"/>
      <c r="M59" s="231"/>
      <c r="N59" s="231"/>
      <c r="O59" s="231"/>
      <c r="P59" s="231"/>
      <c r="Q59" s="231"/>
      <c r="R59" s="231"/>
      <c r="S59" s="231"/>
      <c r="T59" s="231"/>
      <c r="U59" s="231"/>
      <c r="V59" s="231"/>
      <c r="W59" s="231"/>
      <c r="X59" s="231"/>
      <c r="Y59" s="231"/>
      <c r="Z59" s="231"/>
      <c r="AA59" s="231"/>
      <c r="AB59" s="231"/>
      <c r="AC59" s="231"/>
      <c r="AD59" s="231"/>
      <c r="AE59" s="231"/>
      <c r="AF59" s="231"/>
      <c r="AG59" s="231"/>
      <c r="AH59" s="231"/>
      <c r="AI59" s="231"/>
      <c r="AJ59" s="231"/>
      <c r="AK59" s="231"/>
      <c r="AL59" s="231"/>
      <c r="AM59" s="231"/>
    </row>
    <row r="60" spans="1:39" s="203" customFormat="1">
      <c r="A60" s="46">
        <v>14</v>
      </c>
      <c r="B60" s="47" t="s">
        <v>78</v>
      </c>
      <c r="C60" s="47"/>
      <c r="D60" s="48"/>
      <c r="E60" s="49">
        <v>0</v>
      </c>
      <c r="F60" s="52">
        <v>0</v>
      </c>
      <c r="G60" s="45"/>
      <c r="H60" s="100">
        <v>0</v>
      </c>
      <c r="I60" s="43"/>
      <c r="J60" s="231"/>
      <c r="K60" s="231"/>
      <c r="L60" s="231"/>
      <c r="M60" s="231"/>
      <c r="N60" s="231"/>
      <c r="O60" s="231"/>
      <c r="P60" s="231"/>
      <c r="Q60" s="231"/>
      <c r="R60" s="231"/>
      <c r="S60" s="231"/>
      <c r="T60" s="231"/>
      <c r="U60" s="231"/>
      <c r="V60" s="231"/>
      <c r="W60" s="231"/>
      <c r="X60" s="231"/>
      <c r="Y60" s="231"/>
      <c r="Z60" s="231"/>
      <c r="AA60" s="231"/>
      <c r="AB60" s="231"/>
      <c r="AC60" s="231"/>
      <c r="AD60" s="231"/>
      <c r="AE60" s="231"/>
      <c r="AF60" s="231"/>
      <c r="AG60" s="231"/>
      <c r="AH60" s="231"/>
      <c r="AI60" s="231"/>
      <c r="AJ60" s="231"/>
      <c r="AK60" s="231"/>
      <c r="AL60" s="231"/>
      <c r="AM60" s="231"/>
    </row>
    <row r="61" spans="1:39" s="203" customFormat="1">
      <c r="A61" s="53">
        <v>15</v>
      </c>
      <c r="B61" s="54" t="s">
        <v>79</v>
      </c>
      <c r="C61" s="54"/>
      <c r="D61" s="55"/>
      <c r="E61" s="56">
        <v>21112</v>
      </c>
      <c r="F61" s="96">
        <f>F57+F58+F59+F60</f>
        <v>25407.999999999971</v>
      </c>
      <c r="G61" s="45"/>
      <c r="H61" s="101">
        <f>H57+H58+H59+H60</f>
        <v>23802.999999999971</v>
      </c>
      <c r="I61" s="43"/>
      <c r="J61" s="231"/>
      <c r="K61" s="231"/>
      <c r="L61" s="231"/>
      <c r="M61" s="231"/>
      <c r="N61" s="231"/>
      <c r="O61" s="231"/>
      <c r="P61" s="231"/>
      <c r="Q61" s="231"/>
      <c r="R61" s="231"/>
      <c r="S61" s="231"/>
      <c r="T61" s="231"/>
      <c r="U61" s="231"/>
      <c r="V61" s="231"/>
      <c r="W61" s="231"/>
      <c r="X61" s="231"/>
      <c r="Y61" s="231"/>
      <c r="Z61" s="231"/>
      <c r="AA61" s="231"/>
      <c r="AB61" s="231"/>
      <c r="AC61" s="231"/>
      <c r="AD61" s="231"/>
      <c r="AE61" s="231"/>
      <c r="AF61" s="231"/>
      <c r="AG61" s="231"/>
      <c r="AH61" s="231"/>
      <c r="AI61" s="231"/>
      <c r="AJ61" s="231"/>
      <c r="AK61" s="231"/>
      <c r="AL61" s="231"/>
      <c r="AM61" s="231"/>
    </row>
    <row r="62" spans="1:39" s="203" customFormat="1">
      <c r="A62" s="102"/>
      <c r="B62" s="207"/>
      <c r="C62" s="207"/>
      <c r="D62" s="207"/>
      <c r="E62" s="103"/>
      <c r="F62" s="21"/>
      <c r="G62" s="21"/>
      <c r="H62" s="21"/>
      <c r="I62" s="21"/>
      <c r="J62" s="231"/>
      <c r="K62" s="231"/>
      <c r="L62" s="231"/>
      <c r="M62" s="231"/>
      <c r="N62" s="231"/>
      <c r="O62" s="231"/>
      <c r="P62" s="231"/>
      <c r="Q62" s="231"/>
      <c r="R62" s="231"/>
      <c r="S62" s="231"/>
      <c r="T62" s="231"/>
      <c r="U62" s="231"/>
      <c r="V62" s="231"/>
      <c r="W62" s="231"/>
      <c r="X62" s="231"/>
      <c r="Y62" s="231"/>
      <c r="Z62" s="231"/>
      <c r="AA62" s="231"/>
      <c r="AB62" s="231"/>
      <c r="AC62" s="231"/>
      <c r="AD62" s="231"/>
      <c r="AE62" s="231"/>
      <c r="AF62" s="231"/>
      <c r="AG62" s="231"/>
      <c r="AH62" s="231"/>
      <c r="AI62" s="231"/>
      <c r="AJ62" s="231"/>
      <c r="AK62" s="231"/>
      <c r="AL62" s="231"/>
      <c r="AM62" s="231"/>
    </row>
    <row r="63" spans="1:39" s="203" customFormat="1" ht="12.75" customHeight="1">
      <c r="A63" s="23"/>
      <c r="B63" s="207"/>
      <c r="C63" s="207"/>
      <c r="D63" s="207"/>
      <c r="E63" s="15"/>
      <c r="F63" s="207"/>
      <c r="G63" s="207"/>
      <c r="H63" s="21"/>
      <c r="I63" s="21"/>
      <c r="J63" s="231"/>
      <c r="K63" s="231"/>
      <c r="L63" s="231"/>
      <c r="M63" s="231"/>
      <c r="N63" s="231"/>
      <c r="O63" s="231"/>
      <c r="P63" s="231"/>
      <c r="Q63" s="231"/>
      <c r="R63" s="231"/>
      <c r="S63" s="231"/>
      <c r="T63" s="231"/>
      <c r="U63" s="231"/>
      <c r="V63" s="231"/>
      <c r="W63" s="231"/>
      <c r="X63" s="231"/>
      <c r="Y63" s="231"/>
      <c r="Z63" s="231"/>
      <c r="AA63" s="231"/>
      <c r="AB63" s="231"/>
      <c r="AC63" s="231"/>
      <c r="AD63" s="231"/>
      <c r="AE63" s="231"/>
      <c r="AF63" s="231"/>
      <c r="AG63" s="231"/>
      <c r="AH63" s="231"/>
      <c r="AI63" s="231"/>
      <c r="AJ63" s="231"/>
      <c r="AK63" s="231"/>
      <c r="AL63" s="231"/>
      <c r="AM63" s="231"/>
    </row>
    <row r="64" spans="1:39" s="203" customFormat="1" ht="15">
      <c r="A64" s="104" t="s">
        <v>80</v>
      </c>
      <c r="B64" s="29"/>
      <c r="C64" s="29"/>
      <c r="D64" s="29"/>
      <c r="E64" s="15"/>
      <c r="F64" s="29"/>
      <c r="G64" s="29"/>
      <c r="H64" s="29"/>
      <c r="I64" s="29"/>
      <c r="J64" s="231"/>
      <c r="K64" s="231"/>
      <c r="L64" s="231"/>
      <c r="M64" s="231"/>
      <c r="N64" s="231"/>
      <c r="O64" s="231"/>
      <c r="P64" s="231"/>
      <c r="Q64" s="231"/>
      <c r="R64" s="231"/>
      <c r="S64" s="231"/>
      <c r="T64" s="231"/>
      <c r="U64" s="231"/>
      <c r="V64" s="231"/>
      <c r="W64" s="231"/>
      <c r="X64" s="231"/>
      <c r="Y64" s="231"/>
      <c r="Z64" s="231"/>
      <c r="AA64" s="231"/>
      <c r="AB64" s="231"/>
      <c r="AC64" s="231"/>
      <c r="AD64" s="231"/>
      <c r="AE64" s="231"/>
      <c r="AF64" s="231"/>
      <c r="AG64" s="231"/>
      <c r="AH64" s="231"/>
      <c r="AI64" s="231"/>
      <c r="AJ64" s="231"/>
      <c r="AK64" s="231"/>
      <c r="AL64" s="231"/>
      <c r="AM64" s="231"/>
    </row>
    <row r="65" spans="1:39" s="203" customFormat="1">
      <c r="A65" s="32"/>
      <c r="B65" s="29"/>
      <c r="C65" s="29"/>
      <c r="D65" s="29"/>
      <c r="E65" s="105"/>
      <c r="F65" s="29"/>
      <c r="G65" s="29"/>
      <c r="H65" s="29"/>
      <c r="I65" s="131" t="s">
        <v>27</v>
      </c>
      <c r="J65" s="231"/>
      <c r="K65" s="231"/>
      <c r="L65" s="231"/>
      <c r="M65" s="231"/>
      <c r="N65" s="231"/>
      <c r="O65" s="231"/>
      <c r="P65" s="231"/>
      <c r="Q65" s="231"/>
      <c r="R65" s="231"/>
      <c r="S65" s="231"/>
      <c r="T65" s="231"/>
      <c r="U65" s="231"/>
      <c r="V65" s="231"/>
      <c r="W65" s="231"/>
      <c r="X65" s="231"/>
      <c r="Y65" s="231"/>
      <c r="Z65" s="231"/>
      <c r="AA65" s="231"/>
      <c r="AB65" s="231"/>
      <c r="AC65" s="231"/>
      <c r="AD65" s="231"/>
      <c r="AE65" s="231"/>
      <c r="AF65" s="231"/>
      <c r="AG65" s="231"/>
      <c r="AH65" s="231"/>
      <c r="AI65" s="231"/>
      <c r="AJ65" s="231"/>
      <c r="AK65" s="231"/>
      <c r="AL65" s="231"/>
      <c r="AM65" s="231"/>
    </row>
    <row r="66" spans="1:39" s="203" customFormat="1">
      <c r="A66" s="106" t="s">
        <v>14</v>
      </c>
      <c r="B66" s="107"/>
      <c r="C66" s="107"/>
      <c r="D66" s="107"/>
      <c r="E66" s="856" t="s">
        <v>377</v>
      </c>
      <c r="F66" s="962" t="s">
        <v>402</v>
      </c>
      <c r="G66" s="867" t="s">
        <v>81</v>
      </c>
      <c r="H66" s="962" t="s">
        <v>403</v>
      </c>
      <c r="I66" s="867" t="s">
        <v>81</v>
      </c>
      <c r="J66" s="231"/>
      <c r="K66" s="231"/>
      <c r="L66" s="231"/>
      <c r="M66" s="231"/>
      <c r="N66" s="231"/>
      <c r="O66" s="231"/>
      <c r="P66" s="231"/>
      <c r="Q66" s="231"/>
      <c r="R66" s="231"/>
      <c r="S66" s="231"/>
      <c r="T66" s="231"/>
      <c r="U66" s="231"/>
      <c r="V66" s="231"/>
      <c r="W66" s="231"/>
      <c r="X66" s="231"/>
      <c r="Y66" s="231"/>
      <c r="Z66" s="231"/>
      <c r="AA66" s="231"/>
      <c r="AB66" s="231"/>
      <c r="AC66" s="231"/>
      <c r="AD66" s="231"/>
      <c r="AE66" s="231"/>
      <c r="AF66" s="231"/>
      <c r="AG66" s="231"/>
      <c r="AH66" s="231"/>
      <c r="AI66" s="231"/>
      <c r="AJ66" s="231"/>
      <c r="AK66" s="231"/>
      <c r="AL66" s="231"/>
      <c r="AM66" s="231"/>
    </row>
    <row r="67" spans="1:39" s="203" customFormat="1" ht="21" customHeight="1">
      <c r="A67" s="108"/>
      <c r="B67" s="47"/>
      <c r="C67" s="47"/>
      <c r="D67" s="47"/>
      <c r="E67" s="859"/>
      <c r="F67" s="963"/>
      <c r="G67" s="868"/>
      <c r="H67" s="963"/>
      <c r="I67" s="868"/>
      <c r="J67" s="231"/>
      <c r="K67" s="231"/>
      <c r="L67" s="231"/>
      <c r="M67" s="231"/>
      <c r="N67" s="231"/>
      <c r="O67" s="231"/>
      <c r="P67" s="231"/>
      <c r="Q67" s="231"/>
      <c r="R67" s="231"/>
      <c r="S67" s="231"/>
      <c r="T67" s="231"/>
      <c r="U67" s="231"/>
      <c r="V67" s="231"/>
      <c r="W67" s="231"/>
      <c r="X67" s="231"/>
      <c r="Y67" s="231"/>
      <c r="Z67" s="231"/>
      <c r="AA67" s="231"/>
      <c r="AB67" s="231"/>
      <c r="AC67" s="231"/>
      <c r="AD67" s="231"/>
      <c r="AE67" s="231"/>
      <c r="AF67" s="231"/>
      <c r="AG67" s="231"/>
      <c r="AH67" s="231"/>
      <c r="AI67" s="231"/>
      <c r="AJ67" s="231"/>
      <c r="AK67" s="231"/>
      <c r="AL67" s="231"/>
      <c r="AM67" s="231"/>
    </row>
    <row r="68" spans="1:39" s="203" customFormat="1">
      <c r="A68" s="109" t="s">
        <v>82</v>
      </c>
      <c r="B68" s="47"/>
      <c r="C68" s="47"/>
      <c r="D68" s="47"/>
      <c r="E68" s="859"/>
      <c r="F68" s="963"/>
      <c r="G68" s="868"/>
      <c r="H68" s="963"/>
      <c r="I68" s="868"/>
      <c r="J68" s="231"/>
      <c r="K68" s="231"/>
      <c r="L68" s="231"/>
      <c r="M68" s="231"/>
      <c r="N68" s="231"/>
      <c r="O68" s="231"/>
      <c r="P68" s="231"/>
      <c r="Q68" s="231"/>
      <c r="R68" s="231"/>
      <c r="S68" s="231"/>
      <c r="T68" s="231"/>
      <c r="U68" s="231"/>
      <c r="V68" s="231"/>
      <c r="W68" s="231"/>
      <c r="X68" s="231"/>
      <c r="Y68" s="231"/>
      <c r="Z68" s="231"/>
      <c r="AA68" s="231"/>
      <c r="AB68" s="231"/>
      <c r="AC68" s="231"/>
      <c r="AD68" s="231"/>
      <c r="AE68" s="231"/>
      <c r="AF68" s="231"/>
      <c r="AG68" s="231"/>
      <c r="AH68" s="231"/>
      <c r="AI68" s="231"/>
      <c r="AJ68" s="231"/>
      <c r="AK68" s="231"/>
      <c r="AL68" s="231"/>
      <c r="AM68" s="231"/>
    </row>
    <row r="69" spans="1:39" s="203" customFormat="1">
      <c r="A69" s="109" t="s">
        <v>83</v>
      </c>
      <c r="B69" s="47"/>
      <c r="C69" s="47"/>
      <c r="D69" s="47"/>
      <c r="E69" s="859"/>
      <c r="F69" s="963"/>
      <c r="G69" s="868"/>
      <c r="H69" s="963"/>
      <c r="I69" s="868"/>
      <c r="J69" s="231"/>
      <c r="K69" s="231"/>
      <c r="L69" s="231"/>
      <c r="M69" s="231"/>
      <c r="N69" s="231"/>
      <c r="O69" s="231"/>
      <c r="P69" s="231"/>
      <c r="Q69" s="231"/>
      <c r="R69" s="231"/>
      <c r="S69" s="231"/>
      <c r="T69" s="231"/>
      <c r="U69" s="231"/>
      <c r="V69" s="231"/>
      <c r="W69" s="231"/>
      <c r="X69" s="231"/>
      <c r="Y69" s="231"/>
      <c r="Z69" s="231"/>
      <c r="AA69" s="231"/>
      <c r="AB69" s="231"/>
      <c r="AC69" s="231"/>
      <c r="AD69" s="231"/>
      <c r="AE69" s="231"/>
      <c r="AF69" s="231"/>
      <c r="AG69" s="231"/>
      <c r="AH69" s="231"/>
      <c r="AI69" s="231"/>
      <c r="AJ69" s="231"/>
      <c r="AK69" s="231"/>
      <c r="AL69" s="231"/>
      <c r="AM69" s="231"/>
    </row>
    <row r="70" spans="1:39" s="203" customFormat="1">
      <c r="A70" s="110" t="s">
        <v>84</v>
      </c>
      <c r="B70" s="47"/>
      <c r="C70" s="47"/>
      <c r="D70" s="47"/>
      <c r="E70" s="860"/>
      <c r="F70" s="964"/>
      <c r="G70" s="869"/>
      <c r="H70" s="964"/>
      <c r="I70" s="869"/>
      <c r="J70" s="231"/>
      <c r="K70" s="231"/>
      <c r="L70" s="231"/>
      <c r="M70" s="231"/>
      <c r="N70" s="231"/>
      <c r="O70" s="231"/>
      <c r="P70" s="231"/>
      <c r="Q70" s="231"/>
      <c r="R70" s="231"/>
      <c r="S70" s="231"/>
      <c r="T70" s="231"/>
      <c r="U70" s="231"/>
      <c r="V70" s="231"/>
      <c r="W70" s="231"/>
      <c r="X70" s="231"/>
      <c r="Y70" s="231"/>
      <c r="Z70" s="231"/>
      <c r="AA70" s="231"/>
      <c r="AB70" s="231"/>
      <c r="AC70" s="231"/>
      <c r="AD70" s="231"/>
      <c r="AE70" s="231"/>
      <c r="AF70" s="231"/>
      <c r="AG70" s="231"/>
      <c r="AH70" s="231"/>
      <c r="AI70" s="231"/>
      <c r="AJ70" s="231"/>
      <c r="AK70" s="231"/>
      <c r="AL70" s="231"/>
      <c r="AM70" s="231"/>
    </row>
    <row r="71" spans="1:39" s="203" customFormat="1">
      <c r="A71" s="111">
        <v>1</v>
      </c>
      <c r="B71" s="47" t="s">
        <v>85</v>
      </c>
      <c r="C71" s="47"/>
      <c r="D71" s="47"/>
      <c r="E71" s="41">
        <v>8907</v>
      </c>
      <c r="F71" s="247">
        <v>7769</v>
      </c>
      <c r="G71" s="112">
        <v>4322</v>
      </c>
      <c r="H71" s="248">
        <v>13599</v>
      </c>
      <c r="I71" s="112">
        <v>4568</v>
      </c>
      <c r="J71" s="231"/>
      <c r="K71" s="231"/>
      <c r="L71" s="231"/>
      <c r="M71" s="231"/>
      <c r="N71" s="231"/>
      <c r="O71" s="231"/>
      <c r="P71" s="231"/>
      <c r="Q71" s="231"/>
      <c r="R71" s="231"/>
      <c r="S71" s="231"/>
      <c r="T71" s="231"/>
      <c r="U71" s="231"/>
      <c r="V71" s="231"/>
      <c r="W71" s="231"/>
      <c r="X71" s="231"/>
      <c r="Y71" s="231"/>
      <c r="Z71" s="231"/>
      <c r="AA71" s="231"/>
      <c r="AB71" s="231"/>
      <c r="AC71" s="231"/>
      <c r="AD71" s="231"/>
      <c r="AE71" s="231"/>
      <c r="AF71" s="231"/>
      <c r="AG71" s="231"/>
      <c r="AH71" s="231"/>
      <c r="AI71" s="231"/>
      <c r="AJ71" s="231"/>
      <c r="AK71" s="231"/>
      <c r="AL71" s="231"/>
      <c r="AM71" s="231"/>
    </row>
    <row r="72" spans="1:39" s="203" customFormat="1">
      <c r="A72" s="111">
        <v>2</v>
      </c>
      <c r="B72" s="47" t="s">
        <v>86</v>
      </c>
      <c r="C72" s="47"/>
      <c r="D72" s="47"/>
      <c r="E72" s="49">
        <v>42872</v>
      </c>
      <c r="F72" s="247">
        <f>41719+780-125</f>
        <v>42374</v>
      </c>
      <c r="G72" s="113">
        <f>30554+780</f>
        <v>31334</v>
      </c>
      <c r="H72" s="123">
        <f>44092-88</f>
        <v>44004</v>
      </c>
      <c r="I72" s="113">
        <v>32246</v>
      </c>
      <c r="J72" s="231"/>
      <c r="K72" s="231"/>
      <c r="L72" s="231"/>
      <c r="M72" s="231"/>
      <c r="N72" s="231"/>
      <c r="O72" s="231"/>
      <c r="P72" s="231"/>
      <c r="Q72" s="231"/>
      <c r="R72" s="231"/>
      <c r="S72" s="231"/>
      <c r="T72" s="231"/>
      <c r="U72" s="231"/>
      <c r="V72" s="231"/>
      <c r="W72" s="231"/>
      <c r="X72" s="231"/>
      <c r="Y72" s="231"/>
      <c r="Z72" s="231"/>
      <c r="AA72" s="231"/>
      <c r="AB72" s="231"/>
      <c r="AC72" s="231"/>
      <c r="AD72" s="231"/>
      <c r="AE72" s="231"/>
      <c r="AF72" s="231"/>
      <c r="AG72" s="231"/>
      <c r="AH72" s="231"/>
      <c r="AI72" s="231"/>
      <c r="AJ72" s="231"/>
      <c r="AK72" s="231"/>
      <c r="AL72" s="231"/>
      <c r="AM72" s="231"/>
    </row>
    <row r="73" spans="1:39" s="203" customFormat="1">
      <c r="A73" s="111">
        <v>3</v>
      </c>
      <c r="B73" s="47" t="s">
        <v>87</v>
      </c>
      <c r="C73" s="47"/>
      <c r="D73" s="47"/>
      <c r="E73" s="114">
        <v>43319</v>
      </c>
      <c r="F73" s="247">
        <f>43477+780-125</f>
        <v>44132</v>
      </c>
      <c r="G73" s="113">
        <f>33444+780</f>
        <v>34224</v>
      </c>
      <c r="H73" s="123">
        <f>44217-87</f>
        <v>44130</v>
      </c>
      <c r="I73" s="113">
        <v>35239</v>
      </c>
      <c r="J73" s="231"/>
      <c r="K73" s="231"/>
      <c r="L73" s="231"/>
      <c r="M73" s="231"/>
      <c r="N73" s="231"/>
      <c r="O73" s="231"/>
      <c r="P73" s="231"/>
      <c r="Q73" s="231"/>
      <c r="R73" s="231"/>
      <c r="S73" s="231"/>
      <c r="T73" s="231"/>
      <c r="U73" s="231"/>
      <c r="V73" s="231"/>
      <c r="W73" s="231"/>
      <c r="X73" s="231"/>
      <c r="Y73" s="231"/>
      <c r="Z73" s="231"/>
      <c r="AA73" s="231"/>
      <c r="AB73" s="231"/>
      <c r="AC73" s="231"/>
      <c r="AD73" s="231"/>
      <c r="AE73" s="231"/>
      <c r="AF73" s="231"/>
      <c r="AG73" s="231"/>
      <c r="AH73" s="231"/>
      <c r="AI73" s="231"/>
      <c r="AJ73" s="231"/>
      <c r="AK73" s="231"/>
      <c r="AL73" s="231"/>
      <c r="AM73" s="231"/>
    </row>
    <row r="74" spans="1:39" s="203" customFormat="1">
      <c r="A74" s="111">
        <v>4</v>
      </c>
      <c r="B74" s="47" t="s">
        <v>88</v>
      </c>
      <c r="C74" s="47"/>
      <c r="D74" s="47"/>
      <c r="E74" s="114">
        <v>9659</v>
      </c>
      <c r="F74" s="247">
        <f>9370+174</f>
        <v>9544</v>
      </c>
      <c r="G74" s="113">
        <f>3036+174</f>
        <v>3210</v>
      </c>
      <c r="H74" s="123">
        <v>9880</v>
      </c>
      <c r="I74" s="113">
        <v>3227</v>
      </c>
      <c r="J74" s="231"/>
      <c r="K74" s="231"/>
      <c r="L74" s="231"/>
      <c r="M74" s="231"/>
      <c r="N74" s="231"/>
      <c r="O74" s="231"/>
      <c r="P74" s="231"/>
      <c r="Q74" s="231"/>
      <c r="R74" s="231"/>
      <c r="S74" s="231"/>
      <c r="T74" s="231"/>
      <c r="U74" s="231"/>
      <c r="V74" s="231"/>
      <c r="W74" s="231"/>
      <c r="X74" s="231"/>
      <c r="Y74" s="231"/>
      <c r="Z74" s="231"/>
      <c r="AA74" s="231"/>
      <c r="AB74" s="231"/>
      <c r="AC74" s="231"/>
      <c r="AD74" s="231"/>
      <c r="AE74" s="231"/>
      <c r="AF74" s="231"/>
      <c r="AG74" s="231"/>
      <c r="AH74" s="231"/>
      <c r="AI74" s="231"/>
      <c r="AJ74" s="231"/>
      <c r="AK74" s="231"/>
      <c r="AL74" s="231"/>
      <c r="AM74" s="231"/>
    </row>
    <row r="75" spans="1:39" s="203" customFormat="1">
      <c r="A75" s="111">
        <v>5</v>
      </c>
      <c r="B75" s="47" t="s">
        <v>89</v>
      </c>
      <c r="C75" s="47" t="s">
        <v>90</v>
      </c>
      <c r="D75" s="47"/>
      <c r="E75" s="114">
        <v>589</v>
      </c>
      <c r="F75" s="247">
        <v>605</v>
      </c>
      <c r="G75" s="113">
        <v>0</v>
      </c>
      <c r="H75" s="123">
        <v>630</v>
      </c>
      <c r="I75" s="113">
        <v>0</v>
      </c>
      <c r="J75" s="231"/>
      <c r="K75" s="231"/>
      <c r="L75" s="231"/>
      <c r="M75" s="231"/>
      <c r="N75" s="231"/>
      <c r="O75" s="231"/>
      <c r="P75" s="231"/>
      <c r="Q75" s="231"/>
      <c r="R75" s="231"/>
      <c r="S75" s="231"/>
      <c r="T75" s="231"/>
      <c r="U75" s="231"/>
      <c r="V75" s="231"/>
      <c r="W75" s="231"/>
      <c r="X75" s="231"/>
      <c r="Y75" s="231"/>
      <c r="Z75" s="231"/>
      <c r="AA75" s="231"/>
      <c r="AB75" s="231"/>
      <c r="AC75" s="231"/>
      <c r="AD75" s="231"/>
      <c r="AE75" s="231"/>
      <c r="AF75" s="231"/>
      <c r="AG75" s="231"/>
      <c r="AH75" s="231"/>
      <c r="AI75" s="231"/>
      <c r="AJ75" s="231"/>
      <c r="AK75" s="231"/>
      <c r="AL75" s="231"/>
      <c r="AM75" s="231"/>
    </row>
    <row r="76" spans="1:39" s="203" customFormat="1">
      <c r="A76" s="815"/>
      <c r="B76" s="817"/>
      <c r="C76" s="47" t="s">
        <v>91</v>
      </c>
      <c r="D76" s="47"/>
      <c r="E76" s="114">
        <v>2000</v>
      </c>
      <c r="F76" s="247">
        <v>1900</v>
      </c>
      <c r="G76" s="115">
        <v>0</v>
      </c>
      <c r="H76" s="249">
        <v>3142</v>
      </c>
      <c r="I76" s="115">
        <v>0</v>
      </c>
      <c r="J76" s="231"/>
      <c r="K76" s="231"/>
      <c r="L76" s="231"/>
      <c r="M76" s="231"/>
      <c r="N76" s="231"/>
      <c r="O76" s="231"/>
      <c r="P76" s="231"/>
      <c r="Q76" s="231"/>
      <c r="R76" s="231"/>
      <c r="S76" s="231"/>
      <c r="T76" s="231"/>
      <c r="U76" s="231"/>
      <c r="V76" s="231"/>
      <c r="W76" s="231"/>
      <c r="X76" s="231"/>
      <c r="Y76" s="231"/>
      <c r="Z76" s="231"/>
      <c r="AA76" s="231"/>
      <c r="AB76" s="231"/>
      <c r="AC76" s="231"/>
      <c r="AD76" s="231"/>
      <c r="AE76" s="231"/>
      <c r="AF76" s="231"/>
      <c r="AG76" s="231"/>
      <c r="AH76" s="231"/>
      <c r="AI76" s="231"/>
      <c r="AJ76" s="231"/>
      <c r="AK76" s="231"/>
      <c r="AL76" s="231"/>
      <c r="AM76" s="231"/>
    </row>
    <row r="77" spans="1:39" s="203" customFormat="1">
      <c r="A77" s="111">
        <v>6</v>
      </c>
      <c r="B77" s="116" t="s">
        <v>92</v>
      </c>
      <c r="C77" s="116"/>
      <c r="D77" s="47"/>
      <c r="E77" s="80">
        <v>107346</v>
      </c>
      <c r="F77" s="250">
        <f>SUM(F71:F76)</f>
        <v>106324</v>
      </c>
      <c r="G77" s="251">
        <f>SUM(G71:G76)</f>
        <v>73090</v>
      </c>
      <c r="H77" s="252">
        <f>SUM(H71:H76)</f>
        <v>115385</v>
      </c>
      <c r="I77" s="251">
        <f>SUM(I71:I76)</f>
        <v>75280</v>
      </c>
      <c r="J77" s="231"/>
      <c r="K77" s="231"/>
      <c r="L77" s="231"/>
      <c r="M77" s="231"/>
      <c r="N77" s="231"/>
      <c r="O77" s="231"/>
      <c r="P77" s="231"/>
      <c r="Q77" s="231"/>
      <c r="R77" s="231"/>
      <c r="S77" s="231"/>
      <c r="T77" s="231"/>
      <c r="U77" s="231"/>
      <c r="V77" s="231"/>
      <c r="W77" s="231"/>
      <c r="X77" s="231"/>
      <c r="Y77" s="231"/>
      <c r="Z77" s="231"/>
      <c r="AA77" s="231"/>
      <c r="AB77" s="231"/>
      <c r="AC77" s="231"/>
      <c r="AD77" s="231"/>
      <c r="AE77" s="231"/>
      <c r="AF77" s="231"/>
      <c r="AG77" s="231"/>
      <c r="AH77" s="231"/>
      <c r="AI77" s="231"/>
      <c r="AJ77" s="231"/>
      <c r="AK77" s="231"/>
      <c r="AL77" s="231"/>
      <c r="AM77" s="231"/>
    </row>
    <row r="78" spans="1:39" s="203" customFormat="1">
      <c r="A78" s="815"/>
      <c r="B78" s="47"/>
      <c r="C78" s="47"/>
      <c r="D78" s="47"/>
      <c r="E78" s="117"/>
      <c r="F78" s="118"/>
      <c r="G78" s="118"/>
      <c r="H78" s="118"/>
      <c r="I78" s="118"/>
      <c r="J78" s="231"/>
      <c r="K78" s="231"/>
      <c r="L78" s="231"/>
      <c r="M78" s="231"/>
      <c r="N78" s="231"/>
      <c r="O78" s="231"/>
      <c r="P78" s="231"/>
      <c r="Q78" s="231"/>
      <c r="R78" s="231"/>
      <c r="S78" s="231"/>
      <c r="T78" s="231"/>
      <c r="U78" s="231"/>
      <c r="V78" s="231"/>
      <c r="W78" s="231"/>
      <c r="X78" s="231"/>
      <c r="Y78" s="231"/>
      <c r="Z78" s="231"/>
      <c r="AA78" s="231"/>
      <c r="AB78" s="231"/>
      <c r="AC78" s="231"/>
      <c r="AD78" s="231"/>
      <c r="AE78" s="231"/>
      <c r="AF78" s="231"/>
      <c r="AG78" s="231"/>
      <c r="AH78" s="231"/>
      <c r="AI78" s="231"/>
      <c r="AJ78" s="231"/>
      <c r="AK78" s="231"/>
      <c r="AL78" s="231"/>
      <c r="AM78" s="231"/>
    </row>
    <row r="79" spans="1:39" s="203" customFormat="1">
      <c r="A79" s="119" t="s">
        <v>93</v>
      </c>
      <c r="B79" s="116"/>
      <c r="C79" s="116"/>
      <c r="D79" s="116"/>
      <c r="E79" s="117"/>
      <c r="F79" s="118"/>
      <c r="G79" s="118"/>
      <c r="H79" s="118"/>
      <c r="I79" s="118"/>
      <c r="J79" s="231"/>
      <c r="K79" s="231"/>
      <c r="L79" s="231"/>
      <c r="M79" s="231"/>
      <c r="N79" s="231"/>
      <c r="O79" s="231"/>
      <c r="P79" s="231"/>
      <c r="Q79" s="231"/>
      <c r="R79" s="231"/>
      <c r="S79" s="231"/>
      <c r="T79" s="231"/>
      <c r="U79" s="231"/>
      <c r="V79" s="231"/>
      <c r="W79" s="231"/>
      <c r="X79" s="231"/>
      <c r="Y79" s="231"/>
      <c r="Z79" s="231"/>
      <c r="AA79" s="231"/>
      <c r="AB79" s="231"/>
      <c r="AC79" s="231"/>
      <c r="AD79" s="231"/>
      <c r="AE79" s="231"/>
      <c r="AF79" s="231"/>
      <c r="AG79" s="231"/>
      <c r="AH79" s="231"/>
      <c r="AI79" s="231"/>
      <c r="AJ79" s="231"/>
      <c r="AK79" s="231"/>
      <c r="AL79" s="231"/>
      <c r="AM79" s="231"/>
    </row>
    <row r="80" spans="1:39" s="203" customFormat="1">
      <c r="A80" s="120">
        <v>7</v>
      </c>
      <c r="B80" s="47" t="s">
        <v>94</v>
      </c>
      <c r="C80" s="47"/>
      <c r="D80" s="47"/>
      <c r="E80" s="41">
        <v>268</v>
      </c>
      <c r="F80" s="253">
        <v>79</v>
      </c>
      <c r="G80" s="112">
        <v>0</v>
      </c>
      <c r="H80" s="248">
        <v>253</v>
      </c>
      <c r="I80" s="112">
        <v>0</v>
      </c>
      <c r="J80" s="231"/>
      <c r="K80" s="231"/>
      <c r="L80" s="231"/>
      <c r="M80" s="231"/>
      <c r="N80" s="231"/>
      <c r="O80" s="231"/>
      <c r="P80" s="231"/>
      <c r="Q80" s="231"/>
      <c r="R80" s="231"/>
      <c r="S80" s="231"/>
      <c r="T80" s="231"/>
      <c r="U80" s="231"/>
      <c r="V80" s="231"/>
      <c r="W80" s="231"/>
      <c r="X80" s="231"/>
      <c r="Y80" s="231"/>
      <c r="Z80" s="231"/>
      <c r="AA80" s="231"/>
      <c r="AB80" s="231"/>
      <c r="AC80" s="231"/>
      <c r="AD80" s="231"/>
      <c r="AE80" s="231"/>
      <c r="AF80" s="231"/>
      <c r="AG80" s="231"/>
      <c r="AH80" s="231"/>
      <c r="AI80" s="231"/>
      <c r="AJ80" s="231"/>
      <c r="AK80" s="231"/>
      <c r="AL80" s="231"/>
      <c r="AM80" s="231"/>
    </row>
    <row r="81" spans="1:39" s="203" customFormat="1">
      <c r="A81" s="120">
        <v>8</v>
      </c>
      <c r="B81" s="47" t="s">
        <v>95</v>
      </c>
      <c r="C81" s="47"/>
      <c r="D81" s="47"/>
      <c r="E81" s="49">
        <v>26826</v>
      </c>
      <c r="F81" s="247">
        <f>25987+780</f>
        <v>26767</v>
      </c>
      <c r="G81" s="113">
        <f>23860+780</f>
        <v>24640</v>
      </c>
      <c r="H81" s="123">
        <v>27813</v>
      </c>
      <c r="I81" s="113">
        <v>25324</v>
      </c>
      <c r="J81" s="231"/>
      <c r="K81" s="231"/>
      <c r="L81" s="231"/>
      <c r="M81" s="231"/>
      <c r="N81" s="231"/>
      <c r="O81" s="231"/>
      <c r="P81" s="231"/>
      <c r="Q81" s="231"/>
      <c r="R81" s="231"/>
      <c r="S81" s="231"/>
      <c r="T81" s="231"/>
      <c r="U81" s="231"/>
      <c r="V81" s="231"/>
      <c r="W81" s="231"/>
      <c r="X81" s="231"/>
      <c r="Y81" s="231"/>
      <c r="Z81" s="231"/>
      <c r="AA81" s="231"/>
      <c r="AB81" s="231"/>
      <c r="AC81" s="231"/>
      <c r="AD81" s="231"/>
      <c r="AE81" s="231"/>
      <c r="AF81" s="231"/>
      <c r="AG81" s="231"/>
      <c r="AH81" s="231"/>
      <c r="AI81" s="231"/>
      <c r="AJ81" s="231"/>
      <c r="AK81" s="231"/>
      <c r="AL81" s="231"/>
      <c r="AM81" s="231"/>
    </row>
    <row r="82" spans="1:39" s="203" customFormat="1">
      <c r="A82" s="120">
        <v>9</v>
      </c>
      <c r="B82" s="47" t="s">
        <v>96</v>
      </c>
      <c r="C82" s="47"/>
      <c r="D82" s="47"/>
      <c r="E82" s="49">
        <v>26750</v>
      </c>
      <c r="F82" s="247">
        <f>25832+780</f>
        <v>26612</v>
      </c>
      <c r="G82" s="113">
        <f>24928+780</f>
        <v>25708</v>
      </c>
      <c r="H82" s="123">
        <v>27952</v>
      </c>
      <c r="I82" s="113">
        <v>26444</v>
      </c>
      <c r="J82" s="231"/>
      <c r="K82" s="231"/>
      <c r="L82" s="231"/>
      <c r="M82" s="231"/>
      <c r="N82" s="231"/>
      <c r="O82" s="231"/>
      <c r="P82" s="231"/>
      <c r="Q82" s="231"/>
      <c r="R82" s="231"/>
      <c r="S82" s="231"/>
      <c r="T82" s="231"/>
      <c r="U82" s="231"/>
      <c r="V82" s="231"/>
      <c r="W82" s="231"/>
      <c r="X82" s="231"/>
      <c r="Y82" s="231"/>
      <c r="Z82" s="231"/>
      <c r="AA82" s="231"/>
      <c r="AB82" s="231"/>
      <c r="AC82" s="231"/>
      <c r="AD82" s="231"/>
      <c r="AE82" s="231"/>
      <c r="AF82" s="231"/>
      <c r="AG82" s="231"/>
      <c r="AH82" s="231"/>
      <c r="AI82" s="231"/>
      <c r="AJ82" s="231"/>
      <c r="AK82" s="231"/>
      <c r="AL82" s="231"/>
      <c r="AM82" s="231"/>
    </row>
    <row r="83" spans="1:39" s="203" customFormat="1">
      <c r="A83" s="120">
        <v>10</v>
      </c>
      <c r="B83" s="90" t="s">
        <v>97</v>
      </c>
      <c r="C83" s="47"/>
      <c r="D83" s="47"/>
      <c r="E83" s="49">
        <v>9382</v>
      </c>
      <c r="F83" s="247">
        <f>9434+174</f>
        <v>9608</v>
      </c>
      <c r="G83" s="113">
        <f>3036+174</f>
        <v>3210</v>
      </c>
      <c r="H83" s="123">
        <v>9880</v>
      </c>
      <c r="I83" s="113">
        <v>3225</v>
      </c>
      <c r="J83" s="231"/>
      <c r="K83" s="231"/>
      <c r="L83" s="231"/>
      <c r="M83" s="231"/>
      <c r="N83" s="231"/>
      <c r="O83" s="231"/>
      <c r="P83" s="231"/>
      <c r="Q83" s="231"/>
      <c r="R83" s="231"/>
      <c r="S83" s="231"/>
      <c r="T83" s="231"/>
      <c r="U83" s="231"/>
      <c r="V83" s="231"/>
      <c r="W83" s="231"/>
      <c r="X83" s="231"/>
      <c r="Y83" s="231"/>
      <c r="Z83" s="231"/>
      <c r="AA83" s="231"/>
      <c r="AB83" s="231"/>
      <c r="AC83" s="231"/>
      <c r="AD83" s="231"/>
      <c r="AE83" s="231"/>
      <c r="AF83" s="231"/>
      <c r="AG83" s="231"/>
      <c r="AH83" s="231"/>
      <c r="AI83" s="231"/>
      <c r="AJ83" s="231"/>
      <c r="AK83" s="231"/>
      <c r="AL83" s="231"/>
      <c r="AM83" s="231"/>
    </row>
    <row r="84" spans="1:39" s="203" customFormat="1">
      <c r="A84" s="120">
        <v>11</v>
      </c>
      <c r="B84" s="90" t="s">
        <v>98</v>
      </c>
      <c r="C84" s="47"/>
      <c r="D84" s="47"/>
      <c r="E84" s="49">
        <v>3465</v>
      </c>
      <c r="F84" s="247">
        <v>3235</v>
      </c>
      <c r="G84" s="113">
        <v>0</v>
      </c>
      <c r="H84" s="123">
        <v>3435</v>
      </c>
      <c r="I84" s="113">
        <v>0</v>
      </c>
      <c r="J84" s="231"/>
      <c r="K84" s="231"/>
      <c r="L84" s="231"/>
      <c r="M84" s="231"/>
      <c r="N84" s="231"/>
      <c r="O84" s="231"/>
      <c r="P84" s="231"/>
      <c r="Q84" s="231"/>
      <c r="R84" s="231"/>
      <c r="S84" s="231"/>
      <c r="T84" s="231"/>
      <c r="U84" s="231"/>
      <c r="V84" s="231"/>
      <c r="W84" s="231"/>
      <c r="X84" s="231"/>
      <c r="Y84" s="231"/>
      <c r="Z84" s="231"/>
      <c r="AA84" s="231"/>
      <c r="AB84" s="231"/>
      <c r="AC84" s="231"/>
      <c r="AD84" s="231"/>
      <c r="AE84" s="231"/>
      <c r="AF84" s="231"/>
      <c r="AG84" s="231"/>
      <c r="AH84" s="231"/>
      <c r="AI84" s="231"/>
      <c r="AJ84" s="231"/>
      <c r="AK84" s="231"/>
      <c r="AL84" s="231"/>
      <c r="AM84" s="231"/>
    </row>
    <row r="85" spans="1:39" s="203" customFormat="1">
      <c r="A85" s="120">
        <v>12</v>
      </c>
      <c r="B85" s="47" t="s">
        <v>99</v>
      </c>
      <c r="C85" s="47"/>
      <c r="D85" s="47"/>
      <c r="E85" s="49">
        <v>2627</v>
      </c>
      <c r="F85" s="247">
        <v>2621</v>
      </c>
      <c r="G85" s="113">
        <v>0</v>
      </c>
      <c r="H85" s="123">
        <v>2621</v>
      </c>
      <c r="I85" s="113">
        <v>0</v>
      </c>
      <c r="J85" s="231"/>
      <c r="K85" s="231"/>
      <c r="L85" s="231"/>
      <c r="M85" s="231"/>
      <c r="N85" s="231"/>
      <c r="O85" s="231"/>
      <c r="P85" s="231"/>
      <c r="Q85" s="231"/>
      <c r="R85" s="231"/>
      <c r="S85" s="231"/>
      <c r="T85" s="231"/>
      <c r="U85" s="231"/>
      <c r="V85" s="231"/>
      <c r="W85" s="231"/>
      <c r="X85" s="231"/>
      <c r="Y85" s="231"/>
      <c r="Z85" s="231"/>
      <c r="AA85" s="231"/>
      <c r="AB85" s="231"/>
      <c r="AC85" s="231"/>
      <c r="AD85" s="231"/>
      <c r="AE85" s="231"/>
      <c r="AF85" s="231"/>
      <c r="AG85" s="231"/>
      <c r="AH85" s="231"/>
      <c r="AI85" s="231"/>
      <c r="AJ85" s="231"/>
      <c r="AK85" s="231"/>
      <c r="AL85" s="231"/>
      <c r="AM85" s="231"/>
    </row>
    <row r="86" spans="1:39" s="203" customFormat="1">
      <c r="A86" s="120">
        <v>13</v>
      </c>
      <c r="B86" s="47" t="s">
        <v>100</v>
      </c>
      <c r="C86" s="47"/>
      <c r="D86" s="47"/>
      <c r="E86" s="49">
        <v>13733</v>
      </c>
      <c r="F86" s="247">
        <v>13525</v>
      </c>
      <c r="G86" s="113">
        <v>6692</v>
      </c>
      <c r="H86" s="123">
        <v>12400</v>
      </c>
      <c r="I86" s="113">
        <v>7105</v>
      </c>
      <c r="J86" s="231"/>
      <c r="K86" s="231"/>
      <c r="L86" s="231"/>
      <c r="M86" s="231"/>
      <c r="N86" s="231"/>
      <c r="O86" s="231"/>
      <c r="P86" s="231"/>
      <c r="Q86" s="231"/>
      <c r="R86" s="231"/>
      <c r="S86" s="231"/>
      <c r="T86" s="231"/>
      <c r="U86" s="231"/>
      <c r="V86" s="231"/>
      <c r="W86" s="231"/>
      <c r="X86" s="231"/>
      <c r="Y86" s="231"/>
      <c r="Z86" s="231"/>
      <c r="AA86" s="231"/>
      <c r="AB86" s="231"/>
      <c r="AC86" s="231"/>
      <c r="AD86" s="231"/>
      <c r="AE86" s="231"/>
      <c r="AF86" s="231"/>
      <c r="AG86" s="231"/>
      <c r="AH86" s="231"/>
      <c r="AI86" s="231"/>
      <c r="AJ86" s="231"/>
      <c r="AK86" s="231"/>
      <c r="AL86" s="231"/>
      <c r="AM86" s="231"/>
    </row>
    <row r="87" spans="1:39" s="203" customFormat="1">
      <c r="A87" s="120">
        <v>14</v>
      </c>
      <c r="B87" s="47" t="s">
        <v>101</v>
      </c>
      <c r="C87" s="47"/>
      <c r="D87" s="47"/>
      <c r="E87" s="49">
        <v>0</v>
      </c>
      <c r="F87" s="247">
        <v>0</v>
      </c>
      <c r="G87" s="113">
        <v>0</v>
      </c>
      <c r="H87" s="123">
        <v>0</v>
      </c>
      <c r="I87" s="113">
        <v>0</v>
      </c>
      <c r="J87" s="231"/>
      <c r="K87" s="231"/>
      <c r="L87" s="231"/>
      <c r="M87" s="231"/>
      <c r="N87" s="231"/>
      <c r="O87" s="231"/>
      <c r="P87" s="231"/>
      <c r="Q87" s="231"/>
      <c r="R87" s="231"/>
      <c r="S87" s="231"/>
      <c r="T87" s="231"/>
      <c r="U87" s="231"/>
      <c r="V87" s="231"/>
      <c r="W87" s="231"/>
      <c r="X87" s="231"/>
      <c r="Y87" s="231"/>
      <c r="Z87" s="231"/>
      <c r="AA87" s="231"/>
      <c r="AB87" s="231"/>
      <c r="AC87" s="231"/>
      <c r="AD87" s="231"/>
      <c r="AE87" s="231"/>
      <c r="AF87" s="231"/>
      <c r="AG87" s="231"/>
      <c r="AH87" s="231"/>
      <c r="AI87" s="231"/>
      <c r="AJ87" s="231"/>
      <c r="AK87" s="231"/>
      <c r="AL87" s="231"/>
      <c r="AM87" s="231"/>
    </row>
    <row r="88" spans="1:39" s="203" customFormat="1">
      <c r="A88" s="124">
        <v>15</v>
      </c>
      <c r="B88" s="125" t="s">
        <v>102</v>
      </c>
      <c r="C88" s="54"/>
      <c r="D88" s="54"/>
      <c r="E88" s="56">
        <v>0</v>
      </c>
      <c r="F88" s="254">
        <v>0</v>
      </c>
      <c r="G88" s="127">
        <v>0</v>
      </c>
      <c r="H88" s="255">
        <v>0</v>
      </c>
      <c r="I88" s="127">
        <v>0</v>
      </c>
      <c r="J88" s="231"/>
      <c r="K88" s="231"/>
      <c r="L88" s="231"/>
      <c r="M88" s="231"/>
      <c r="N88" s="231"/>
      <c r="O88" s="231"/>
      <c r="P88" s="231"/>
      <c r="Q88" s="231"/>
      <c r="R88" s="231"/>
      <c r="S88" s="231"/>
      <c r="T88" s="231"/>
      <c r="U88" s="231"/>
      <c r="V88" s="231"/>
      <c r="W88" s="231"/>
      <c r="X88" s="231"/>
      <c r="Y88" s="231"/>
      <c r="Z88" s="231"/>
      <c r="AA88" s="231"/>
      <c r="AB88" s="231"/>
      <c r="AC88" s="231"/>
      <c r="AD88" s="231"/>
      <c r="AE88" s="231"/>
      <c r="AF88" s="231"/>
      <c r="AG88" s="231"/>
      <c r="AH88" s="231"/>
      <c r="AI88" s="231"/>
      <c r="AJ88" s="231"/>
      <c r="AK88" s="231"/>
      <c r="AL88" s="231"/>
      <c r="AM88" s="231"/>
    </row>
    <row r="89" spans="1:39" s="203" customFormat="1">
      <c r="A89" s="128"/>
      <c r="B89" s="129"/>
      <c r="C89" s="129"/>
      <c r="D89" s="129"/>
      <c r="E89" s="15"/>
      <c r="F89" s="130"/>
      <c r="G89" s="29"/>
      <c r="H89" s="207"/>
      <c r="I89" s="29"/>
      <c r="J89" s="231"/>
      <c r="K89" s="231"/>
      <c r="L89" s="231"/>
      <c r="M89" s="231"/>
      <c r="N89" s="231"/>
      <c r="O89" s="231"/>
      <c r="P89" s="231"/>
      <c r="Q89" s="231"/>
      <c r="R89" s="231"/>
      <c r="S89" s="231"/>
      <c r="T89" s="231"/>
      <c r="U89" s="231"/>
      <c r="V89" s="231"/>
      <c r="W89" s="231"/>
      <c r="X89" s="231"/>
      <c r="Y89" s="231"/>
      <c r="Z89" s="231"/>
      <c r="AA89" s="231"/>
      <c r="AB89" s="231"/>
      <c r="AC89" s="231"/>
      <c r="AD89" s="231"/>
      <c r="AE89" s="231"/>
      <c r="AF89" s="231"/>
      <c r="AG89" s="231"/>
      <c r="AH89" s="231"/>
      <c r="AI89" s="231"/>
      <c r="AJ89" s="231"/>
      <c r="AK89" s="231"/>
      <c r="AL89" s="231"/>
      <c r="AM89" s="231"/>
    </row>
    <row r="90" spans="1:39" s="203" customFormat="1">
      <c r="A90" s="128"/>
      <c r="B90" s="129"/>
      <c r="C90" s="129"/>
      <c r="D90" s="129"/>
      <c r="E90" s="105"/>
      <c r="F90" s="130"/>
      <c r="G90" s="29"/>
      <c r="H90" s="131" t="s">
        <v>27</v>
      </c>
      <c r="I90" s="29"/>
      <c r="J90" s="231"/>
      <c r="K90" s="231"/>
      <c r="L90" s="231"/>
      <c r="M90" s="231"/>
      <c r="N90" s="231"/>
      <c r="O90" s="231"/>
      <c r="P90" s="231"/>
      <c r="Q90" s="231"/>
      <c r="R90" s="231"/>
      <c r="S90" s="231"/>
      <c r="T90" s="231"/>
      <c r="U90" s="231"/>
      <c r="V90" s="231"/>
      <c r="W90" s="231"/>
      <c r="X90" s="231"/>
      <c r="Y90" s="231"/>
      <c r="Z90" s="231"/>
      <c r="AA90" s="231"/>
      <c r="AB90" s="231"/>
      <c r="AC90" s="231"/>
      <c r="AD90" s="231"/>
      <c r="AE90" s="231"/>
      <c r="AF90" s="231"/>
      <c r="AG90" s="231"/>
      <c r="AH90" s="231"/>
      <c r="AI90" s="231"/>
      <c r="AJ90" s="231"/>
      <c r="AK90" s="231"/>
      <c r="AL90" s="231"/>
      <c r="AM90" s="231"/>
    </row>
    <row r="91" spans="1:39" s="203" customFormat="1">
      <c r="A91" s="106" t="s">
        <v>17</v>
      </c>
      <c r="B91" s="107"/>
      <c r="C91" s="107"/>
      <c r="D91" s="107"/>
      <c r="E91" s="856" t="s">
        <v>421</v>
      </c>
      <c r="F91" s="856" t="s">
        <v>402</v>
      </c>
      <c r="G91" s="257"/>
      <c r="H91" s="856" t="s">
        <v>403</v>
      </c>
      <c r="I91" s="29"/>
      <c r="J91" s="231"/>
      <c r="K91" s="231"/>
      <c r="L91" s="231"/>
      <c r="M91" s="231"/>
      <c r="N91" s="231"/>
      <c r="O91" s="231"/>
      <c r="P91" s="231"/>
      <c r="Q91" s="231"/>
      <c r="R91" s="231"/>
      <c r="S91" s="231"/>
      <c r="T91" s="231"/>
      <c r="U91" s="231"/>
      <c r="V91" s="231"/>
      <c r="W91" s="231"/>
      <c r="X91" s="231"/>
      <c r="Y91" s="231"/>
      <c r="Z91" s="231"/>
      <c r="AA91" s="231"/>
      <c r="AB91" s="231"/>
      <c r="AC91" s="231"/>
      <c r="AD91" s="231"/>
      <c r="AE91" s="231"/>
      <c r="AF91" s="231"/>
      <c r="AG91" s="231"/>
      <c r="AH91" s="231"/>
      <c r="AI91" s="231"/>
      <c r="AJ91" s="231"/>
      <c r="AK91" s="231"/>
      <c r="AL91" s="231"/>
      <c r="AM91" s="231"/>
    </row>
    <row r="92" spans="1:39" s="203" customFormat="1" ht="12.75" customHeight="1">
      <c r="A92" s="109"/>
      <c r="B92" s="132"/>
      <c r="C92" s="132"/>
      <c r="D92" s="132"/>
      <c r="E92" s="859"/>
      <c r="F92" s="859"/>
      <c r="G92" s="29"/>
      <c r="H92" s="859"/>
      <c r="I92" s="29"/>
      <c r="J92" s="231"/>
      <c r="K92" s="231"/>
      <c r="L92" s="231"/>
      <c r="M92" s="231"/>
      <c r="N92" s="231"/>
      <c r="O92" s="231"/>
      <c r="P92" s="231"/>
      <c r="Q92" s="231"/>
      <c r="R92" s="231"/>
      <c r="S92" s="231"/>
      <c r="T92" s="231"/>
      <c r="U92" s="231"/>
      <c r="V92" s="231"/>
      <c r="W92" s="231"/>
      <c r="X92" s="231"/>
      <c r="Y92" s="231"/>
      <c r="Z92" s="231"/>
      <c r="AA92" s="231"/>
      <c r="AB92" s="231"/>
      <c r="AC92" s="231"/>
      <c r="AD92" s="231"/>
      <c r="AE92" s="231"/>
      <c r="AF92" s="231"/>
      <c r="AG92" s="231"/>
      <c r="AH92" s="231"/>
      <c r="AI92" s="231"/>
      <c r="AJ92" s="231"/>
      <c r="AK92" s="231"/>
      <c r="AL92" s="231"/>
      <c r="AM92" s="231"/>
    </row>
    <row r="93" spans="1:39" s="203" customFormat="1">
      <c r="A93" s="109" t="s">
        <v>103</v>
      </c>
      <c r="B93" s="132"/>
      <c r="C93" s="132"/>
      <c r="D93" s="132"/>
      <c r="E93" s="859"/>
      <c r="F93" s="859"/>
      <c r="G93" s="29"/>
      <c r="H93" s="859"/>
      <c r="I93" s="29"/>
      <c r="J93" s="231"/>
      <c r="K93" s="231"/>
      <c r="L93" s="231"/>
      <c r="M93" s="231"/>
      <c r="N93" s="231"/>
      <c r="O93" s="231"/>
      <c r="P93" s="231"/>
      <c r="Q93" s="231"/>
      <c r="R93" s="231"/>
      <c r="S93" s="231"/>
      <c r="T93" s="231"/>
      <c r="U93" s="231"/>
      <c r="V93" s="231"/>
      <c r="W93" s="231"/>
      <c r="X93" s="231"/>
      <c r="Y93" s="231"/>
      <c r="Z93" s="231"/>
      <c r="AA93" s="231"/>
      <c r="AB93" s="231"/>
      <c r="AC93" s="231"/>
      <c r="AD93" s="231"/>
      <c r="AE93" s="231"/>
      <c r="AF93" s="231"/>
      <c r="AG93" s="231"/>
      <c r="AH93" s="231"/>
      <c r="AI93" s="231"/>
      <c r="AJ93" s="231"/>
      <c r="AK93" s="231"/>
      <c r="AL93" s="231"/>
      <c r="AM93" s="231"/>
    </row>
    <row r="94" spans="1:39" s="203" customFormat="1">
      <c r="A94" s="109" t="s">
        <v>83</v>
      </c>
      <c r="B94" s="132"/>
      <c r="C94" s="132"/>
      <c r="D94" s="132"/>
      <c r="E94" s="859"/>
      <c r="F94" s="859"/>
      <c r="G94" s="130"/>
      <c r="H94" s="859"/>
      <c r="I94" s="29"/>
      <c r="J94" s="231"/>
      <c r="K94" s="231"/>
      <c r="L94" s="231"/>
      <c r="M94" s="231"/>
      <c r="N94" s="231"/>
      <c r="O94" s="231"/>
      <c r="P94" s="231"/>
      <c r="Q94" s="231"/>
      <c r="R94" s="231"/>
      <c r="S94" s="231"/>
      <c r="T94" s="231"/>
      <c r="U94" s="231"/>
      <c r="V94" s="231"/>
      <c r="W94" s="231"/>
      <c r="X94" s="231"/>
      <c r="Y94" s="231"/>
      <c r="Z94" s="231"/>
      <c r="AA94" s="231"/>
      <c r="AB94" s="231"/>
      <c r="AC94" s="231"/>
      <c r="AD94" s="231"/>
      <c r="AE94" s="231"/>
      <c r="AF94" s="231"/>
      <c r="AG94" s="231"/>
      <c r="AH94" s="231"/>
      <c r="AI94" s="231"/>
      <c r="AJ94" s="231"/>
      <c r="AK94" s="231"/>
      <c r="AL94" s="231"/>
      <c r="AM94" s="231"/>
    </row>
    <row r="95" spans="1:39" s="203" customFormat="1">
      <c r="A95" s="110" t="s">
        <v>84</v>
      </c>
      <c r="B95" s="132"/>
      <c r="C95" s="132"/>
      <c r="D95" s="132"/>
      <c r="E95" s="860"/>
      <c r="F95" s="860"/>
      <c r="G95" s="130"/>
      <c r="H95" s="860"/>
      <c r="I95" s="130"/>
      <c r="J95" s="231"/>
      <c r="K95" s="231"/>
      <c r="L95" s="231"/>
      <c r="M95" s="231"/>
      <c r="N95" s="231"/>
      <c r="O95" s="231"/>
      <c r="P95" s="231"/>
      <c r="Q95" s="231"/>
      <c r="R95" s="231"/>
      <c r="S95" s="231"/>
      <c r="T95" s="231"/>
      <c r="U95" s="231"/>
      <c r="V95" s="231"/>
      <c r="W95" s="231"/>
      <c r="X95" s="231"/>
      <c r="Y95" s="231"/>
      <c r="Z95" s="231"/>
      <c r="AA95" s="231"/>
      <c r="AB95" s="231"/>
      <c r="AC95" s="231"/>
      <c r="AD95" s="231"/>
      <c r="AE95" s="231"/>
      <c r="AF95" s="231"/>
      <c r="AG95" s="231"/>
      <c r="AH95" s="231"/>
      <c r="AI95" s="231"/>
      <c r="AJ95" s="231"/>
      <c r="AK95" s="231"/>
      <c r="AL95" s="231"/>
      <c r="AM95" s="231"/>
    </row>
    <row r="96" spans="1:39" s="203" customFormat="1">
      <c r="A96" s="120">
        <v>1</v>
      </c>
      <c r="B96" s="47" t="s">
        <v>104</v>
      </c>
      <c r="C96" s="47"/>
      <c r="D96" s="47"/>
      <c r="E96" s="41">
        <v>880</v>
      </c>
      <c r="F96" s="52">
        <v>1068</v>
      </c>
      <c r="G96" s="118"/>
      <c r="H96" s="133">
        <v>795</v>
      </c>
      <c r="I96" s="139"/>
      <c r="J96" s="231"/>
      <c r="K96" s="231"/>
      <c r="L96" s="231"/>
      <c r="M96" s="231"/>
      <c r="N96" s="231"/>
      <c r="O96" s="231"/>
      <c r="P96" s="231"/>
      <c r="Q96" s="231"/>
      <c r="R96" s="231"/>
      <c r="S96" s="231"/>
      <c r="T96" s="231"/>
      <c r="U96" s="231"/>
      <c r="V96" s="231"/>
      <c r="W96" s="231"/>
      <c r="X96" s="231"/>
      <c r="Y96" s="231"/>
      <c r="Z96" s="231"/>
      <c r="AA96" s="231"/>
      <c r="AB96" s="231"/>
      <c r="AC96" s="231"/>
      <c r="AD96" s="231"/>
      <c r="AE96" s="231"/>
      <c r="AF96" s="231"/>
      <c r="AG96" s="231"/>
      <c r="AH96" s="231"/>
      <c r="AI96" s="231"/>
      <c r="AJ96" s="231"/>
      <c r="AK96" s="231"/>
      <c r="AL96" s="231"/>
      <c r="AM96" s="231"/>
    </row>
    <row r="97" spans="1:39" s="203" customFormat="1">
      <c r="A97" s="120">
        <v>2</v>
      </c>
      <c r="B97" s="47" t="s">
        <v>105</v>
      </c>
      <c r="C97" s="47"/>
      <c r="D97" s="47"/>
      <c r="E97" s="49">
        <v>43</v>
      </c>
      <c r="F97" s="52">
        <v>9</v>
      </c>
      <c r="G97" s="118"/>
      <c r="H97" s="122">
        <v>9</v>
      </c>
      <c r="I97" s="139"/>
      <c r="J97" s="231"/>
      <c r="K97" s="231"/>
      <c r="L97" s="231"/>
      <c r="M97" s="231"/>
      <c r="N97" s="231"/>
      <c r="O97" s="231"/>
      <c r="P97" s="231"/>
      <c r="Q97" s="231"/>
      <c r="R97" s="231"/>
      <c r="S97" s="231"/>
      <c r="T97" s="231"/>
      <c r="U97" s="231"/>
      <c r="V97" s="231"/>
      <c r="W97" s="231"/>
      <c r="X97" s="231"/>
      <c r="Y97" s="231"/>
      <c r="Z97" s="231"/>
      <c r="AA97" s="231"/>
      <c r="AB97" s="231"/>
      <c r="AC97" s="231"/>
      <c r="AD97" s="231"/>
      <c r="AE97" s="231"/>
      <c r="AF97" s="231"/>
      <c r="AG97" s="231"/>
      <c r="AH97" s="231"/>
      <c r="AI97" s="231"/>
      <c r="AJ97" s="231"/>
      <c r="AK97" s="231"/>
      <c r="AL97" s="231"/>
      <c r="AM97" s="231"/>
    </row>
    <row r="98" spans="1:39" s="203" customFormat="1">
      <c r="A98" s="120">
        <v>3</v>
      </c>
      <c r="B98" s="47" t="s">
        <v>106</v>
      </c>
      <c r="C98" s="47"/>
      <c r="D98" s="47"/>
      <c r="E98" s="114">
        <v>19026</v>
      </c>
      <c r="F98" s="50">
        <f>F115</f>
        <v>19449</v>
      </c>
      <c r="G98" s="118"/>
      <c r="H98" s="50">
        <f>H115</f>
        <v>19444</v>
      </c>
      <c r="I98" s="139"/>
      <c r="J98" s="231"/>
      <c r="K98" s="231"/>
      <c r="L98" s="231"/>
      <c r="M98" s="231"/>
      <c r="N98" s="231"/>
      <c r="O98" s="231"/>
      <c r="P98" s="231"/>
      <c r="Q98" s="231"/>
      <c r="R98" s="231"/>
      <c r="S98" s="231"/>
      <c r="T98" s="231"/>
      <c r="U98" s="231"/>
      <c r="V98" s="231"/>
      <c r="W98" s="231"/>
      <c r="X98" s="231"/>
      <c r="Y98" s="231"/>
      <c r="Z98" s="231"/>
      <c r="AA98" s="231"/>
      <c r="AB98" s="231"/>
      <c r="AC98" s="231"/>
      <c r="AD98" s="231"/>
      <c r="AE98" s="231"/>
      <c r="AF98" s="231"/>
      <c r="AG98" s="231"/>
      <c r="AH98" s="231"/>
      <c r="AI98" s="231"/>
      <c r="AJ98" s="231"/>
      <c r="AK98" s="231"/>
      <c r="AL98" s="231"/>
      <c r="AM98" s="231"/>
    </row>
    <row r="99" spans="1:39" s="203" customFormat="1">
      <c r="A99" s="120">
        <v>4</v>
      </c>
      <c r="B99" s="47" t="s">
        <v>107</v>
      </c>
      <c r="C99" s="47"/>
      <c r="D99" s="47"/>
      <c r="E99" s="114">
        <v>27062</v>
      </c>
      <c r="F99" s="50">
        <f>F125</f>
        <v>26096</v>
      </c>
      <c r="G99" s="118"/>
      <c r="H99" s="50">
        <f>H125</f>
        <v>30142</v>
      </c>
      <c r="I99" s="139"/>
      <c r="J99" s="231"/>
      <c r="K99" s="231"/>
      <c r="L99" s="231"/>
      <c r="M99" s="231"/>
      <c r="N99" s="231"/>
      <c r="O99" s="231"/>
      <c r="P99" s="231"/>
      <c r="Q99" s="231"/>
      <c r="R99" s="231"/>
      <c r="S99" s="231"/>
      <c r="T99" s="231"/>
      <c r="U99" s="231"/>
      <c r="V99" s="231"/>
      <c r="W99" s="231"/>
      <c r="X99" s="231"/>
      <c r="Y99" s="231"/>
      <c r="Z99" s="231"/>
      <c r="AA99" s="231"/>
      <c r="AB99" s="231"/>
      <c r="AC99" s="231"/>
      <c r="AD99" s="231"/>
      <c r="AE99" s="231"/>
      <c r="AF99" s="231"/>
      <c r="AG99" s="231"/>
      <c r="AH99" s="231"/>
      <c r="AI99" s="231"/>
      <c r="AJ99" s="231"/>
      <c r="AK99" s="231"/>
      <c r="AL99" s="231"/>
      <c r="AM99" s="231"/>
    </row>
    <row r="100" spans="1:39" s="203" customFormat="1">
      <c r="A100" s="120">
        <v>5</v>
      </c>
      <c r="B100" s="47" t="s">
        <v>108</v>
      </c>
      <c r="C100" s="47"/>
      <c r="D100" s="47"/>
      <c r="E100" s="114">
        <v>1956</v>
      </c>
      <c r="F100" s="50">
        <f>F135</f>
        <v>3025</v>
      </c>
      <c r="G100" s="118"/>
      <c r="H100" s="50">
        <f>H135</f>
        <v>2950</v>
      </c>
      <c r="I100" s="139"/>
      <c r="J100" s="231"/>
      <c r="K100" s="231"/>
      <c r="L100" s="231"/>
      <c r="M100" s="231"/>
      <c r="N100" s="231"/>
      <c r="O100" s="231"/>
      <c r="P100" s="231"/>
      <c r="Q100" s="231"/>
      <c r="R100" s="231"/>
      <c r="S100" s="231"/>
      <c r="T100" s="231"/>
      <c r="U100" s="231"/>
      <c r="V100" s="231"/>
      <c r="W100" s="231"/>
      <c r="X100" s="231"/>
      <c r="Y100" s="231"/>
      <c r="Z100" s="231"/>
      <c r="AA100" s="231"/>
      <c r="AB100" s="231"/>
      <c r="AC100" s="231"/>
      <c r="AD100" s="231"/>
      <c r="AE100" s="231"/>
      <c r="AF100" s="231"/>
      <c r="AG100" s="231"/>
      <c r="AH100" s="231"/>
      <c r="AI100" s="231"/>
      <c r="AJ100" s="231"/>
      <c r="AK100" s="231"/>
      <c r="AL100" s="231"/>
      <c r="AM100" s="231"/>
    </row>
    <row r="101" spans="1:39" s="203" customFormat="1">
      <c r="A101" s="120">
        <v>6</v>
      </c>
      <c r="B101" s="47" t="s">
        <v>109</v>
      </c>
      <c r="C101" s="47"/>
      <c r="D101" s="47"/>
      <c r="E101" s="114">
        <v>6705</v>
      </c>
      <c r="F101" s="50">
        <f>F143</f>
        <v>10566</v>
      </c>
      <c r="G101" s="118"/>
      <c r="H101" s="50">
        <f>H143</f>
        <v>10458</v>
      </c>
      <c r="I101" s="139"/>
      <c r="J101" s="231"/>
      <c r="K101" s="231"/>
      <c r="L101" s="231"/>
      <c r="M101" s="231"/>
      <c r="N101" s="231"/>
      <c r="O101" s="231"/>
      <c r="P101" s="231"/>
      <c r="Q101" s="231"/>
      <c r="R101" s="231"/>
      <c r="S101" s="231"/>
      <c r="T101" s="231"/>
      <c r="U101" s="231"/>
      <c r="V101" s="231"/>
      <c r="W101" s="231"/>
      <c r="X101" s="231"/>
      <c r="Y101" s="231"/>
      <c r="Z101" s="231"/>
      <c r="AA101" s="231"/>
      <c r="AB101" s="231"/>
      <c r="AC101" s="231"/>
      <c r="AD101" s="231"/>
      <c r="AE101" s="231"/>
      <c r="AF101" s="231"/>
      <c r="AG101" s="231"/>
      <c r="AH101" s="231"/>
      <c r="AI101" s="231"/>
      <c r="AJ101" s="231"/>
      <c r="AK101" s="231"/>
      <c r="AL101" s="231"/>
      <c r="AM101" s="231"/>
    </row>
    <row r="102" spans="1:39" s="203" customFormat="1">
      <c r="A102" s="120">
        <v>7</v>
      </c>
      <c r="B102" s="47" t="s">
        <v>110</v>
      </c>
      <c r="C102" s="47"/>
      <c r="D102" s="47"/>
      <c r="E102" s="114">
        <v>1514</v>
      </c>
      <c r="F102" s="50">
        <f>F150</f>
        <v>2070</v>
      </c>
      <c r="G102" s="118"/>
      <c r="H102" s="50">
        <f>H150</f>
        <v>2119</v>
      </c>
      <c r="I102" s="139"/>
      <c r="J102" s="231"/>
      <c r="K102" s="231"/>
      <c r="L102" s="231"/>
      <c r="M102" s="231"/>
      <c r="N102" s="231"/>
      <c r="O102" s="231"/>
      <c r="P102" s="231"/>
      <c r="Q102" s="231"/>
      <c r="R102" s="231"/>
      <c r="S102" s="231"/>
      <c r="T102" s="231"/>
      <c r="U102" s="231"/>
      <c r="V102" s="231"/>
      <c r="W102" s="231"/>
      <c r="X102" s="231"/>
      <c r="Y102" s="231"/>
      <c r="Z102" s="231"/>
      <c r="AA102" s="231"/>
      <c r="AB102" s="231"/>
      <c r="AC102" s="231"/>
      <c r="AD102" s="231"/>
      <c r="AE102" s="231"/>
      <c r="AF102" s="231"/>
      <c r="AG102" s="231"/>
      <c r="AH102" s="231"/>
      <c r="AI102" s="231"/>
      <c r="AJ102" s="231"/>
      <c r="AK102" s="231"/>
      <c r="AL102" s="231"/>
      <c r="AM102" s="231"/>
    </row>
    <row r="103" spans="1:39" s="203" customFormat="1">
      <c r="A103" s="120">
        <v>8</v>
      </c>
      <c r="B103" s="47" t="s">
        <v>111</v>
      </c>
      <c r="C103" s="47"/>
      <c r="D103" s="47"/>
      <c r="E103" s="114">
        <v>683</v>
      </c>
      <c r="F103" s="52">
        <v>871</v>
      </c>
      <c r="G103" s="118"/>
      <c r="H103" s="122">
        <v>951</v>
      </c>
      <c r="I103" s="139"/>
      <c r="J103" s="231"/>
      <c r="K103" s="231"/>
      <c r="L103" s="231"/>
      <c r="M103" s="231"/>
      <c r="N103" s="231"/>
      <c r="O103" s="231"/>
      <c r="P103" s="231"/>
      <c r="Q103" s="231"/>
      <c r="R103" s="231"/>
      <c r="S103" s="231"/>
      <c r="T103" s="231"/>
      <c r="U103" s="231"/>
      <c r="V103" s="231"/>
      <c r="W103" s="231"/>
      <c r="X103" s="231"/>
      <c r="Y103" s="231"/>
      <c r="Z103" s="231"/>
      <c r="AA103" s="231"/>
      <c r="AB103" s="231"/>
      <c r="AC103" s="231"/>
      <c r="AD103" s="231"/>
      <c r="AE103" s="231"/>
      <c r="AF103" s="231"/>
      <c r="AG103" s="231"/>
      <c r="AH103" s="231"/>
      <c r="AI103" s="231"/>
      <c r="AJ103" s="231"/>
      <c r="AK103" s="231"/>
      <c r="AL103" s="231"/>
      <c r="AM103" s="231"/>
    </row>
    <row r="104" spans="1:39" s="203" customFormat="1">
      <c r="A104" s="120">
        <v>9</v>
      </c>
      <c r="B104" s="47" t="s">
        <v>112</v>
      </c>
      <c r="C104" s="47"/>
      <c r="D104" s="47"/>
      <c r="E104" s="114">
        <v>1737</v>
      </c>
      <c r="F104" s="52">
        <v>2105</v>
      </c>
      <c r="G104" s="118"/>
      <c r="H104" s="122">
        <v>2024</v>
      </c>
      <c r="I104" s="139"/>
      <c r="J104" s="231"/>
      <c r="K104" s="231"/>
      <c r="L104" s="231"/>
      <c r="M104" s="231"/>
      <c r="N104" s="231"/>
      <c r="O104" s="231"/>
      <c r="P104" s="231"/>
      <c r="Q104" s="231"/>
      <c r="R104" s="231"/>
      <c r="S104" s="231"/>
      <c r="T104" s="231"/>
      <c r="U104" s="231"/>
      <c r="V104" s="231"/>
      <c r="W104" s="231"/>
      <c r="X104" s="231"/>
      <c r="Y104" s="231"/>
      <c r="Z104" s="231"/>
      <c r="AA104" s="231"/>
      <c r="AB104" s="231"/>
      <c r="AC104" s="231"/>
      <c r="AD104" s="231"/>
      <c r="AE104" s="231"/>
      <c r="AF104" s="231"/>
      <c r="AG104" s="231"/>
      <c r="AH104" s="231"/>
      <c r="AI104" s="231"/>
      <c r="AJ104" s="231"/>
      <c r="AK104" s="231"/>
      <c r="AL104" s="231"/>
      <c r="AM104" s="231"/>
    </row>
    <row r="105" spans="1:39" s="203" customFormat="1">
      <c r="A105" s="111" t="s">
        <v>113</v>
      </c>
      <c r="B105" s="116" t="s">
        <v>114</v>
      </c>
      <c r="C105" s="116"/>
      <c r="D105" s="47"/>
      <c r="E105" s="134">
        <v>59606</v>
      </c>
      <c r="F105" s="61">
        <f>SUM(F96:F104)</f>
        <v>65259</v>
      </c>
      <c r="G105" s="118"/>
      <c r="H105" s="61">
        <f>SUM(H96:H104)</f>
        <v>68892</v>
      </c>
      <c r="I105" s="139"/>
      <c r="J105" s="231"/>
      <c r="K105" s="231"/>
      <c r="L105" s="231"/>
      <c r="M105" s="231"/>
      <c r="N105" s="231"/>
      <c r="O105" s="231"/>
      <c r="P105" s="231"/>
      <c r="Q105" s="231"/>
      <c r="R105" s="231"/>
      <c r="S105" s="231"/>
      <c r="T105" s="231"/>
      <c r="U105" s="231"/>
      <c r="V105" s="231"/>
      <c r="W105" s="231"/>
      <c r="X105" s="231"/>
      <c r="Y105" s="231"/>
      <c r="Z105" s="231"/>
      <c r="AA105" s="231"/>
      <c r="AB105" s="231"/>
      <c r="AC105" s="231"/>
      <c r="AD105" s="231"/>
      <c r="AE105" s="231"/>
      <c r="AF105" s="231"/>
      <c r="AG105" s="231"/>
      <c r="AH105" s="231"/>
      <c r="AI105" s="231"/>
      <c r="AJ105" s="231"/>
      <c r="AK105" s="231"/>
      <c r="AL105" s="231"/>
      <c r="AM105" s="231"/>
    </row>
    <row r="106" spans="1:39" s="203" customFormat="1">
      <c r="A106" s="120">
        <v>11</v>
      </c>
      <c r="B106" s="90" t="s">
        <v>115</v>
      </c>
      <c r="C106" s="47"/>
      <c r="D106" s="47"/>
      <c r="E106" s="135">
        <v>81</v>
      </c>
      <c r="F106" s="136">
        <v>81</v>
      </c>
      <c r="G106" s="118"/>
      <c r="H106" s="137">
        <v>81</v>
      </c>
      <c r="I106" s="139"/>
      <c r="J106" s="231"/>
      <c r="K106" s="231"/>
      <c r="L106" s="231"/>
      <c r="M106" s="231"/>
      <c r="N106" s="231"/>
      <c r="O106" s="231"/>
      <c r="P106" s="231"/>
      <c r="Q106" s="231"/>
      <c r="R106" s="231"/>
      <c r="S106" s="231"/>
      <c r="T106" s="231"/>
      <c r="U106" s="231"/>
      <c r="V106" s="231"/>
      <c r="W106" s="231"/>
      <c r="X106" s="231"/>
      <c r="Y106" s="231"/>
      <c r="Z106" s="231"/>
      <c r="AA106" s="231"/>
      <c r="AB106" s="231"/>
      <c r="AC106" s="231"/>
      <c r="AD106" s="231"/>
      <c r="AE106" s="231"/>
      <c r="AF106" s="231"/>
      <c r="AG106" s="231"/>
      <c r="AH106" s="231"/>
      <c r="AI106" s="231"/>
      <c r="AJ106" s="231"/>
      <c r="AK106" s="231"/>
      <c r="AL106" s="231"/>
      <c r="AM106" s="231"/>
    </row>
    <row r="107" spans="1:39" s="203" customFormat="1">
      <c r="A107" s="111"/>
      <c r="B107" s="47"/>
      <c r="C107" s="47"/>
      <c r="D107" s="138"/>
      <c r="E107" s="117"/>
      <c r="F107" s="139"/>
      <c r="G107" s="139"/>
      <c r="H107" s="139"/>
      <c r="I107" s="139"/>
      <c r="J107" s="231"/>
      <c r="K107" s="231"/>
      <c r="L107" s="231"/>
      <c r="M107" s="231"/>
      <c r="N107" s="231"/>
      <c r="O107" s="231"/>
      <c r="P107" s="231"/>
      <c r="Q107" s="231"/>
      <c r="R107" s="231"/>
      <c r="S107" s="231"/>
      <c r="T107" s="231"/>
      <c r="U107" s="231"/>
      <c r="V107" s="231"/>
      <c r="W107" s="231"/>
      <c r="X107" s="231"/>
      <c r="Y107" s="231"/>
      <c r="Z107" s="231"/>
      <c r="AA107" s="231"/>
      <c r="AB107" s="231"/>
      <c r="AC107" s="231"/>
      <c r="AD107" s="231"/>
      <c r="AE107" s="231"/>
      <c r="AF107" s="231"/>
      <c r="AG107" s="231"/>
      <c r="AH107" s="231"/>
      <c r="AI107" s="231"/>
      <c r="AJ107" s="231"/>
      <c r="AK107" s="231"/>
      <c r="AL107" s="231"/>
      <c r="AM107" s="231"/>
    </row>
    <row r="108" spans="1:39" s="203" customFormat="1">
      <c r="A108" s="119" t="s">
        <v>116</v>
      </c>
      <c r="B108" s="47"/>
      <c r="C108" s="47"/>
      <c r="D108" s="47"/>
      <c r="E108" s="117"/>
      <c r="F108" s="139"/>
      <c r="G108" s="139"/>
      <c r="H108" s="139"/>
      <c r="I108" s="139"/>
      <c r="J108" s="231"/>
      <c r="K108" s="231"/>
      <c r="L108" s="231"/>
      <c r="M108" s="231"/>
      <c r="N108" s="231"/>
      <c r="O108" s="231"/>
      <c r="P108" s="231"/>
      <c r="Q108" s="231"/>
      <c r="R108" s="231"/>
      <c r="S108" s="231"/>
      <c r="T108" s="231"/>
      <c r="U108" s="231"/>
      <c r="V108" s="231"/>
      <c r="W108" s="231"/>
      <c r="X108" s="231"/>
      <c r="Y108" s="231"/>
      <c r="Z108" s="231"/>
      <c r="AA108" s="231"/>
      <c r="AB108" s="231"/>
      <c r="AC108" s="231"/>
      <c r="AD108" s="231"/>
      <c r="AE108" s="231"/>
      <c r="AF108" s="231"/>
      <c r="AG108" s="231"/>
      <c r="AH108" s="231"/>
      <c r="AI108" s="231"/>
      <c r="AJ108" s="231"/>
      <c r="AK108" s="231"/>
      <c r="AL108" s="231"/>
      <c r="AM108" s="231"/>
    </row>
    <row r="109" spans="1:39" s="203" customFormat="1">
      <c r="A109" s="119" t="s">
        <v>106</v>
      </c>
      <c r="B109" s="47"/>
      <c r="C109" s="47"/>
      <c r="D109" s="47"/>
      <c r="E109" s="140"/>
      <c r="F109" s="141"/>
      <c r="G109" s="139"/>
      <c r="H109" s="141"/>
      <c r="I109" s="139"/>
      <c r="J109" s="231"/>
      <c r="K109" s="231"/>
      <c r="L109" s="231"/>
      <c r="M109" s="231"/>
      <c r="N109" s="231"/>
      <c r="O109" s="231"/>
      <c r="P109" s="231"/>
      <c r="Q109" s="231"/>
      <c r="R109" s="231"/>
      <c r="S109" s="231"/>
      <c r="T109" s="231"/>
      <c r="U109" s="231"/>
      <c r="V109" s="231"/>
      <c r="W109" s="231"/>
      <c r="X109" s="231"/>
      <c r="Y109" s="231"/>
      <c r="Z109" s="231"/>
      <c r="AA109" s="231"/>
      <c r="AB109" s="231"/>
      <c r="AC109" s="231"/>
      <c r="AD109" s="231"/>
      <c r="AE109" s="231"/>
      <c r="AF109" s="231"/>
      <c r="AG109" s="231"/>
      <c r="AH109" s="231"/>
      <c r="AI109" s="231"/>
      <c r="AJ109" s="231"/>
      <c r="AK109" s="231"/>
      <c r="AL109" s="231"/>
      <c r="AM109" s="231"/>
    </row>
    <row r="110" spans="1:39" s="203" customFormat="1">
      <c r="A110" s="120">
        <v>12</v>
      </c>
      <c r="B110" s="47" t="s">
        <v>117</v>
      </c>
      <c r="C110" s="47"/>
      <c r="D110" s="47"/>
      <c r="E110" s="49">
        <v>6472</v>
      </c>
      <c r="F110" s="52">
        <v>6508</v>
      </c>
      <c r="G110" s="118"/>
      <c r="H110" s="122">
        <v>6822</v>
      </c>
      <c r="I110" s="139"/>
      <c r="J110" s="231"/>
      <c r="K110" s="231"/>
      <c r="L110" s="231"/>
      <c r="M110" s="231"/>
      <c r="N110" s="231"/>
      <c r="O110" s="231"/>
      <c r="P110" s="231"/>
      <c r="Q110" s="231"/>
      <c r="R110" s="231"/>
      <c r="S110" s="231"/>
      <c r="T110" s="231"/>
      <c r="U110" s="231"/>
      <c r="V110" s="231"/>
      <c r="W110" s="231"/>
      <c r="X110" s="231"/>
      <c r="Y110" s="231"/>
      <c r="Z110" s="231"/>
      <c r="AA110" s="231"/>
      <c r="AB110" s="231"/>
      <c r="AC110" s="231"/>
      <c r="AD110" s="231"/>
      <c r="AE110" s="231"/>
      <c r="AF110" s="231"/>
      <c r="AG110" s="231"/>
      <c r="AH110" s="231"/>
      <c r="AI110" s="231"/>
      <c r="AJ110" s="231"/>
      <c r="AK110" s="231"/>
      <c r="AL110" s="231"/>
      <c r="AM110" s="231"/>
    </row>
    <row r="111" spans="1:39" s="203" customFormat="1">
      <c r="A111" s="120">
        <v>13</v>
      </c>
      <c r="B111" s="47" t="s">
        <v>118</v>
      </c>
      <c r="C111" s="47"/>
      <c r="D111" s="47"/>
      <c r="E111" s="49">
        <v>4478</v>
      </c>
      <c r="F111" s="52">
        <v>5183</v>
      </c>
      <c r="G111" s="118"/>
      <c r="H111" s="122">
        <v>4958</v>
      </c>
      <c r="I111" s="139"/>
      <c r="J111" s="231"/>
      <c r="K111" s="231"/>
      <c r="L111" s="231"/>
      <c r="M111" s="231"/>
      <c r="N111" s="231"/>
      <c r="O111" s="231"/>
      <c r="P111" s="231"/>
      <c r="Q111" s="231"/>
      <c r="R111" s="231"/>
      <c r="S111" s="231"/>
      <c r="T111" s="231"/>
      <c r="U111" s="231"/>
      <c r="V111" s="231"/>
      <c r="W111" s="231"/>
      <c r="X111" s="231"/>
      <c r="Y111" s="231"/>
      <c r="Z111" s="231"/>
      <c r="AA111" s="231"/>
      <c r="AB111" s="231"/>
      <c r="AC111" s="231"/>
      <c r="AD111" s="231"/>
      <c r="AE111" s="231"/>
      <c r="AF111" s="231"/>
      <c r="AG111" s="231"/>
      <c r="AH111" s="231"/>
      <c r="AI111" s="231"/>
      <c r="AJ111" s="231"/>
      <c r="AK111" s="231"/>
      <c r="AL111" s="231"/>
      <c r="AM111" s="231"/>
    </row>
    <row r="112" spans="1:39" s="203" customFormat="1">
      <c r="A112" s="120">
        <v>14</v>
      </c>
      <c r="B112" s="47" t="s">
        <v>119</v>
      </c>
      <c r="C112" s="47"/>
      <c r="D112" s="47"/>
      <c r="E112" s="49">
        <v>6183</v>
      </c>
      <c r="F112" s="52">
        <v>6111</v>
      </c>
      <c r="G112" s="118"/>
      <c r="H112" s="122">
        <v>5939</v>
      </c>
      <c r="I112" s="139"/>
      <c r="J112" s="231"/>
      <c r="K112" s="231"/>
      <c r="L112" s="231"/>
      <c r="M112" s="231"/>
      <c r="N112" s="231"/>
      <c r="O112" s="231"/>
      <c r="P112" s="231"/>
      <c r="Q112" s="231"/>
      <c r="R112" s="231"/>
      <c r="S112" s="231"/>
      <c r="T112" s="231"/>
      <c r="U112" s="231"/>
      <c r="V112" s="231"/>
      <c r="W112" s="231"/>
      <c r="X112" s="231"/>
      <c r="Y112" s="231"/>
      <c r="Z112" s="231"/>
      <c r="AA112" s="231"/>
      <c r="AB112" s="231"/>
      <c r="AC112" s="231"/>
      <c r="AD112" s="231"/>
      <c r="AE112" s="231"/>
      <c r="AF112" s="231"/>
      <c r="AG112" s="231"/>
      <c r="AH112" s="231"/>
      <c r="AI112" s="231"/>
      <c r="AJ112" s="231"/>
      <c r="AK112" s="231"/>
      <c r="AL112" s="231"/>
      <c r="AM112" s="231"/>
    </row>
    <row r="113" spans="1:39" s="203" customFormat="1">
      <c r="A113" s="120">
        <v>15</v>
      </c>
      <c r="B113" s="47" t="s">
        <v>120</v>
      </c>
      <c r="C113" s="47"/>
      <c r="D113" s="47"/>
      <c r="E113" s="49">
        <v>157</v>
      </c>
      <c r="F113" s="52">
        <v>183</v>
      </c>
      <c r="G113" s="118"/>
      <c r="H113" s="122">
        <v>216</v>
      </c>
      <c r="I113" s="139"/>
      <c r="J113" s="231"/>
      <c r="K113" s="231"/>
      <c r="L113" s="231"/>
      <c r="M113" s="231"/>
      <c r="N113" s="231"/>
      <c r="O113" s="231"/>
      <c r="P113" s="231"/>
      <c r="Q113" s="231"/>
      <c r="R113" s="231"/>
      <c r="S113" s="231"/>
      <c r="T113" s="231"/>
      <c r="U113" s="231"/>
      <c r="V113" s="231"/>
      <c r="W113" s="231"/>
      <c r="X113" s="231"/>
      <c r="Y113" s="231"/>
      <c r="Z113" s="231"/>
      <c r="AA113" s="231"/>
      <c r="AB113" s="231"/>
      <c r="AC113" s="231"/>
      <c r="AD113" s="231"/>
      <c r="AE113" s="231"/>
      <c r="AF113" s="231"/>
      <c r="AG113" s="231"/>
      <c r="AH113" s="231"/>
      <c r="AI113" s="231"/>
      <c r="AJ113" s="231"/>
      <c r="AK113" s="231"/>
      <c r="AL113" s="231"/>
      <c r="AM113" s="231"/>
    </row>
    <row r="114" spans="1:39" s="203" customFormat="1">
      <c r="A114" s="120">
        <v>16</v>
      </c>
      <c r="B114" s="47" t="s">
        <v>121</v>
      </c>
      <c r="C114" s="47"/>
      <c r="D114" s="47"/>
      <c r="E114" s="49">
        <v>1736</v>
      </c>
      <c r="F114" s="52">
        <v>1464</v>
      </c>
      <c r="G114" s="118"/>
      <c r="H114" s="100">
        <v>1509</v>
      </c>
      <c r="I114" s="139"/>
      <c r="J114" s="231"/>
      <c r="K114" s="231"/>
      <c r="L114" s="231"/>
      <c r="M114" s="231"/>
      <c r="N114" s="231"/>
      <c r="O114" s="231"/>
      <c r="P114" s="231"/>
      <c r="Q114" s="231"/>
      <c r="R114" s="231"/>
      <c r="S114" s="231"/>
      <c r="T114" s="231"/>
      <c r="U114" s="231"/>
      <c r="V114" s="231"/>
      <c r="W114" s="231"/>
      <c r="X114" s="231"/>
      <c r="Y114" s="231"/>
      <c r="Z114" s="231"/>
      <c r="AA114" s="231"/>
      <c r="AB114" s="231"/>
      <c r="AC114" s="231"/>
      <c r="AD114" s="231"/>
      <c r="AE114" s="231"/>
      <c r="AF114" s="231"/>
      <c r="AG114" s="231"/>
      <c r="AH114" s="231"/>
      <c r="AI114" s="231"/>
      <c r="AJ114" s="231"/>
      <c r="AK114" s="231"/>
      <c r="AL114" s="231"/>
      <c r="AM114" s="231"/>
    </row>
    <row r="115" spans="1:39" s="203" customFormat="1">
      <c r="A115" s="120">
        <v>17</v>
      </c>
      <c r="B115" s="116" t="s">
        <v>122</v>
      </c>
      <c r="C115" s="116"/>
      <c r="D115" s="116"/>
      <c r="E115" s="80">
        <v>19026</v>
      </c>
      <c r="F115" s="142">
        <f>SUM(F110:F114)</f>
        <v>19449</v>
      </c>
      <c r="G115" s="118"/>
      <c r="H115" s="142">
        <f>SUM(H110:H114)</f>
        <v>19444</v>
      </c>
      <c r="I115" s="139"/>
      <c r="J115" s="231"/>
      <c r="K115" s="231"/>
      <c r="L115" s="231"/>
      <c r="M115" s="231"/>
      <c r="N115" s="231"/>
      <c r="O115" s="231"/>
      <c r="P115" s="231"/>
      <c r="Q115" s="231"/>
      <c r="R115" s="231"/>
      <c r="S115" s="231"/>
      <c r="T115" s="231"/>
      <c r="U115" s="231"/>
      <c r="V115" s="231"/>
      <c r="W115" s="231"/>
      <c r="X115" s="231"/>
      <c r="Y115" s="231"/>
      <c r="Z115" s="231"/>
      <c r="AA115" s="231"/>
      <c r="AB115" s="231"/>
      <c r="AC115" s="231"/>
      <c r="AD115" s="231"/>
      <c r="AE115" s="231"/>
      <c r="AF115" s="231"/>
      <c r="AG115" s="231"/>
      <c r="AH115" s="231"/>
      <c r="AI115" s="231"/>
      <c r="AJ115" s="231"/>
      <c r="AK115" s="231"/>
      <c r="AL115" s="231"/>
      <c r="AM115" s="231"/>
    </row>
    <row r="116" spans="1:39" s="203" customFormat="1">
      <c r="A116" s="111"/>
      <c r="B116" s="116"/>
      <c r="C116" s="116"/>
      <c r="D116" s="116"/>
      <c r="E116" s="143"/>
      <c r="F116" s="118"/>
      <c r="G116" s="118"/>
      <c r="H116" s="118"/>
      <c r="I116" s="139"/>
      <c r="J116" s="231"/>
      <c r="K116" s="231"/>
      <c r="L116" s="231"/>
      <c r="M116" s="231"/>
      <c r="N116" s="231"/>
      <c r="O116" s="231"/>
      <c r="P116" s="231"/>
      <c r="Q116" s="231"/>
      <c r="R116" s="231"/>
      <c r="S116" s="231"/>
      <c r="T116" s="231"/>
      <c r="U116" s="231"/>
      <c r="V116" s="231"/>
      <c r="W116" s="231"/>
      <c r="X116" s="231"/>
      <c r="Y116" s="231"/>
      <c r="Z116" s="231"/>
      <c r="AA116" s="231"/>
      <c r="AB116" s="231"/>
      <c r="AC116" s="231"/>
      <c r="AD116" s="231"/>
      <c r="AE116" s="231"/>
      <c r="AF116" s="231"/>
      <c r="AG116" s="231"/>
      <c r="AH116" s="231"/>
      <c r="AI116" s="231"/>
      <c r="AJ116" s="231"/>
      <c r="AK116" s="231"/>
      <c r="AL116" s="231"/>
      <c r="AM116" s="231"/>
    </row>
    <row r="117" spans="1:39" s="203" customFormat="1">
      <c r="A117" s="144" t="s">
        <v>107</v>
      </c>
      <c r="B117" s="116"/>
      <c r="C117" s="116"/>
      <c r="D117" s="116"/>
      <c r="E117" s="145"/>
      <c r="F117" s="146"/>
      <c r="G117" s="118"/>
      <c r="H117" s="146"/>
      <c r="I117" s="139"/>
      <c r="J117" s="231"/>
      <c r="K117" s="231"/>
      <c r="L117" s="231"/>
      <c r="M117" s="231"/>
      <c r="N117" s="231"/>
      <c r="O117" s="231"/>
      <c r="P117" s="231"/>
      <c r="Q117" s="231"/>
      <c r="R117" s="231"/>
      <c r="S117" s="231"/>
      <c r="T117" s="231"/>
      <c r="U117" s="231"/>
      <c r="V117" s="231"/>
      <c r="W117" s="231"/>
      <c r="X117" s="231"/>
      <c r="Y117" s="231"/>
      <c r="Z117" s="231"/>
      <c r="AA117" s="231"/>
      <c r="AB117" s="231"/>
      <c r="AC117" s="231"/>
      <c r="AD117" s="231"/>
      <c r="AE117" s="231"/>
      <c r="AF117" s="231"/>
      <c r="AG117" s="231"/>
      <c r="AH117" s="231"/>
      <c r="AI117" s="231"/>
      <c r="AJ117" s="231"/>
      <c r="AK117" s="231"/>
      <c r="AL117" s="231"/>
      <c r="AM117" s="231"/>
    </row>
    <row r="118" spans="1:39" s="203" customFormat="1">
      <c r="A118" s="120">
        <v>18</v>
      </c>
      <c r="B118" s="47" t="s">
        <v>123</v>
      </c>
      <c r="C118" s="47"/>
      <c r="D118" s="47"/>
      <c r="E118" s="49">
        <v>2762</v>
      </c>
      <c r="F118" s="52">
        <v>3072</v>
      </c>
      <c r="G118" s="118"/>
      <c r="H118" s="122">
        <v>4072</v>
      </c>
      <c r="I118" s="139"/>
      <c r="J118" s="231"/>
      <c r="K118" s="231"/>
      <c r="L118" s="231"/>
      <c r="M118" s="231"/>
      <c r="N118" s="231"/>
      <c r="O118" s="231"/>
      <c r="P118" s="231"/>
      <c r="Q118" s="231"/>
      <c r="R118" s="231"/>
      <c r="S118" s="231"/>
      <c r="T118" s="231"/>
      <c r="U118" s="231"/>
      <c r="V118" s="231"/>
      <c r="W118" s="231"/>
      <c r="X118" s="231"/>
      <c r="Y118" s="231"/>
      <c r="Z118" s="231"/>
      <c r="AA118" s="231"/>
      <c r="AB118" s="231"/>
      <c r="AC118" s="231"/>
      <c r="AD118" s="231"/>
      <c r="AE118" s="231"/>
      <c r="AF118" s="231"/>
      <c r="AG118" s="231"/>
      <c r="AH118" s="231"/>
      <c r="AI118" s="231"/>
      <c r="AJ118" s="231"/>
      <c r="AK118" s="231"/>
      <c r="AL118" s="231"/>
      <c r="AM118" s="231"/>
    </row>
    <row r="119" spans="1:39" s="203" customFormat="1">
      <c r="A119" s="120">
        <v>19</v>
      </c>
      <c r="B119" s="47" t="s">
        <v>124</v>
      </c>
      <c r="C119" s="47"/>
      <c r="D119" s="47"/>
      <c r="E119" s="49">
        <v>7185</v>
      </c>
      <c r="F119" s="52">
        <v>6356</v>
      </c>
      <c r="G119" s="118"/>
      <c r="H119" s="122">
        <v>7755</v>
      </c>
      <c r="I119" s="139"/>
      <c r="J119" s="231"/>
      <c r="K119" s="231"/>
      <c r="L119" s="231"/>
      <c r="M119" s="231"/>
      <c r="N119" s="231"/>
      <c r="O119" s="231"/>
      <c r="P119" s="231"/>
      <c r="Q119" s="231"/>
      <c r="R119" s="231"/>
      <c r="S119" s="231"/>
      <c r="T119" s="231"/>
      <c r="U119" s="231"/>
      <c r="V119" s="231"/>
      <c r="W119" s="231"/>
      <c r="X119" s="231"/>
      <c r="Y119" s="231"/>
      <c r="Z119" s="231"/>
      <c r="AA119" s="231"/>
      <c r="AB119" s="231"/>
      <c r="AC119" s="231"/>
      <c r="AD119" s="231"/>
      <c r="AE119" s="231"/>
      <c r="AF119" s="231"/>
      <c r="AG119" s="231"/>
      <c r="AH119" s="231"/>
      <c r="AI119" s="231"/>
      <c r="AJ119" s="231"/>
      <c r="AK119" s="231"/>
      <c r="AL119" s="231"/>
      <c r="AM119" s="231"/>
    </row>
    <row r="120" spans="1:39" s="203" customFormat="1">
      <c r="A120" s="120">
        <v>20</v>
      </c>
      <c r="B120" s="47" t="s">
        <v>119</v>
      </c>
      <c r="C120" s="47"/>
      <c r="D120" s="47"/>
      <c r="E120" s="49">
        <v>14897</v>
      </c>
      <c r="F120" s="52">
        <f>15011-70</f>
        <v>14941</v>
      </c>
      <c r="G120" s="118"/>
      <c r="H120" s="122">
        <f>16436-50</f>
        <v>16386</v>
      </c>
      <c r="I120" s="139"/>
      <c r="J120" s="231"/>
      <c r="K120" s="231"/>
      <c r="L120" s="231"/>
      <c r="M120" s="231"/>
      <c r="N120" s="231"/>
      <c r="O120" s="231"/>
      <c r="P120" s="231"/>
      <c r="Q120" s="231"/>
      <c r="R120" s="231"/>
      <c r="S120" s="231"/>
      <c r="T120" s="231"/>
      <c r="U120" s="231"/>
      <c r="V120" s="231"/>
      <c r="W120" s="231"/>
      <c r="X120" s="231"/>
      <c r="Y120" s="231"/>
      <c r="Z120" s="231"/>
      <c r="AA120" s="231"/>
      <c r="AB120" s="231"/>
      <c r="AC120" s="231"/>
      <c r="AD120" s="231"/>
      <c r="AE120" s="231"/>
      <c r="AF120" s="231"/>
      <c r="AG120" s="231"/>
      <c r="AH120" s="231"/>
      <c r="AI120" s="231"/>
      <c r="AJ120" s="231"/>
      <c r="AK120" s="231"/>
      <c r="AL120" s="231"/>
      <c r="AM120" s="231"/>
    </row>
    <row r="121" spans="1:39" s="203" customFormat="1">
      <c r="A121" s="120">
        <v>21</v>
      </c>
      <c r="B121" s="47" t="s">
        <v>120</v>
      </c>
      <c r="C121" s="47"/>
      <c r="D121" s="47"/>
      <c r="E121" s="49">
        <v>666</v>
      </c>
      <c r="F121" s="52">
        <v>675</v>
      </c>
      <c r="G121" s="118"/>
      <c r="H121" s="122">
        <v>774</v>
      </c>
      <c r="I121" s="139"/>
      <c r="J121" s="231"/>
      <c r="K121" s="231"/>
      <c r="L121" s="231"/>
      <c r="M121" s="231"/>
      <c r="N121" s="231"/>
      <c r="O121" s="231"/>
      <c r="P121" s="231"/>
      <c r="Q121" s="231"/>
      <c r="R121" s="231"/>
      <c r="S121" s="231"/>
      <c r="T121" s="231"/>
      <c r="U121" s="231"/>
      <c r="V121" s="231"/>
      <c r="W121" s="231"/>
      <c r="X121" s="231"/>
      <c r="Y121" s="231"/>
      <c r="Z121" s="231"/>
      <c r="AA121" s="231"/>
      <c r="AB121" s="231"/>
      <c r="AC121" s="231"/>
      <c r="AD121" s="231"/>
      <c r="AE121" s="231"/>
      <c r="AF121" s="231"/>
      <c r="AG121" s="231"/>
      <c r="AH121" s="231"/>
      <c r="AI121" s="231"/>
      <c r="AJ121" s="231"/>
      <c r="AK121" s="231"/>
      <c r="AL121" s="231"/>
      <c r="AM121" s="231"/>
    </row>
    <row r="122" spans="1:39" s="203" customFormat="1">
      <c r="A122" s="120">
        <v>22</v>
      </c>
      <c r="B122" s="47" t="s">
        <v>125</v>
      </c>
      <c r="C122" s="47"/>
      <c r="D122" s="47"/>
      <c r="E122" s="49">
        <v>5</v>
      </c>
      <c r="F122" s="52">
        <v>0</v>
      </c>
      <c r="G122" s="118"/>
      <c r="H122" s="122">
        <v>0</v>
      </c>
      <c r="I122" s="139"/>
      <c r="J122" s="231"/>
      <c r="K122" s="231"/>
      <c r="L122" s="231"/>
      <c r="M122" s="231"/>
      <c r="N122" s="231"/>
      <c r="O122" s="231"/>
      <c r="P122" s="231"/>
      <c r="Q122" s="231"/>
      <c r="R122" s="231"/>
      <c r="S122" s="231"/>
      <c r="T122" s="231"/>
      <c r="U122" s="231"/>
      <c r="V122" s="231"/>
      <c r="W122" s="231"/>
      <c r="X122" s="231"/>
      <c r="Y122" s="231"/>
      <c r="Z122" s="231"/>
      <c r="AA122" s="231"/>
      <c r="AB122" s="231"/>
      <c r="AC122" s="231"/>
      <c r="AD122" s="231"/>
      <c r="AE122" s="231"/>
      <c r="AF122" s="231"/>
      <c r="AG122" s="231"/>
      <c r="AH122" s="231"/>
      <c r="AI122" s="231"/>
      <c r="AJ122" s="231"/>
      <c r="AK122" s="231"/>
      <c r="AL122" s="231"/>
      <c r="AM122" s="231"/>
    </row>
    <row r="123" spans="1:39" s="203" customFormat="1">
      <c r="A123" s="120">
        <v>23</v>
      </c>
      <c r="B123" s="90" t="s">
        <v>126</v>
      </c>
      <c r="C123" s="47"/>
      <c r="D123" s="47"/>
      <c r="E123" s="49">
        <v>591</v>
      </c>
      <c r="F123" s="52">
        <v>1052</v>
      </c>
      <c r="G123" s="118"/>
      <c r="H123" s="99">
        <v>1155</v>
      </c>
      <c r="I123" s="139"/>
      <c r="J123" s="231"/>
      <c r="K123" s="231"/>
      <c r="L123" s="231"/>
      <c r="M123" s="231"/>
      <c r="N123" s="231"/>
      <c r="O123" s="231"/>
      <c r="P123" s="231"/>
      <c r="Q123" s="231"/>
      <c r="R123" s="231"/>
      <c r="S123" s="231"/>
      <c r="T123" s="231"/>
      <c r="U123" s="231"/>
      <c r="V123" s="231"/>
      <c r="W123" s="231"/>
      <c r="X123" s="231"/>
      <c r="Y123" s="231"/>
      <c r="Z123" s="231"/>
      <c r="AA123" s="231"/>
      <c r="AB123" s="231"/>
      <c r="AC123" s="231"/>
      <c r="AD123" s="231"/>
      <c r="AE123" s="231"/>
      <c r="AF123" s="231"/>
      <c r="AG123" s="231"/>
      <c r="AH123" s="231"/>
      <c r="AI123" s="231"/>
      <c r="AJ123" s="231"/>
      <c r="AK123" s="231"/>
      <c r="AL123" s="231"/>
      <c r="AM123" s="231"/>
    </row>
    <row r="124" spans="1:39" s="203" customFormat="1">
      <c r="A124" s="120">
        <v>24</v>
      </c>
      <c r="B124" s="47" t="s">
        <v>121</v>
      </c>
      <c r="C124" s="47"/>
      <c r="D124" s="47"/>
      <c r="E124" s="49">
        <v>956</v>
      </c>
      <c r="F124" s="52">
        <v>0</v>
      </c>
      <c r="G124" s="118"/>
      <c r="H124" s="100">
        <v>0</v>
      </c>
      <c r="I124" s="139"/>
      <c r="J124" s="231"/>
      <c r="K124" s="231"/>
      <c r="L124" s="231"/>
      <c r="M124" s="231"/>
      <c r="N124" s="231"/>
      <c r="O124" s="231"/>
      <c r="P124" s="231"/>
      <c r="Q124" s="231"/>
      <c r="R124" s="231"/>
      <c r="S124" s="231"/>
      <c r="T124" s="231"/>
      <c r="U124" s="231"/>
      <c r="V124" s="231"/>
      <c r="W124" s="231"/>
      <c r="X124" s="231"/>
      <c r="Y124" s="231"/>
      <c r="Z124" s="231"/>
      <c r="AA124" s="231"/>
      <c r="AB124" s="231"/>
      <c r="AC124" s="231"/>
      <c r="AD124" s="231"/>
      <c r="AE124" s="231"/>
      <c r="AF124" s="231"/>
      <c r="AG124" s="231"/>
      <c r="AH124" s="231"/>
      <c r="AI124" s="231"/>
      <c r="AJ124" s="231"/>
      <c r="AK124" s="231"/>
      <c r="AL124" s="231"/>
      <c r="AM124" s="231"/>
    </row>
    <row r="125" spans="1:39" s="203" customFormat="1">
      <c r="A125" s="120">
        <v>25</v>
      </c>
      <c r="B125" s="147" t="s">
        <v>127</v>
      </c>
      <c r="C125" s="147"/>
      <c r="D125" s="147"/>
      <c r="E125" s="80">
        <v>27062</v>
      </c>
      <c r="F125" s="142">
        <f>SUM(F118:F124)</f>
        <v>26096</v>
      </c>
      <c r="G125" s="118"/>
      <c r="H125" s="142">
        <f>SUM(H118:H124)</f>
        <v>30142</v>
      </c>
      <c r="I125" s="139"/>
      <c r="J125" s="231"/>
      <c r="K125" s="231"/>
      <c r="L125" s="231"/>
      <c r="M125" s="231"/>
      <c r="N125" s="231"/>
      <c r="O125" s="231"/>
      <c r="P125" s="231"/>
      <c r="Q125" s="231"/>
      <c r="R125" s="231"/>
      <c r="S125" s="231"/>
      <c r="T125" s="231"/>
      <c r="U125" s="231"/>
      <c r="V125" s="231"/>
      <c r="W125" s="231"/>
      <c r="X125" s="231"/>
      <c r="Y125" s="231"/>
      <c r="Z125" s="231"/>
      <c r="AA125" s="231"/>
      <c r="AB125" s="231"/>
      <c r="AC125" s="231"/>
      <c r="AD125" s="231"/>
      <c r="AE125" s="231"/>
      <c r="AF125" s="231"/>
      <c r="AG125" s="231"/>
      <c r="AH125" s="231"/>
      <c r="AI125" s="231"/>
      <c r="AJ125" s="231"/>
      <c r="AK125" s="231"/>
      <c r="AL125" s="231"/>
      <c r="AM125" s="231"/>
    </row>
    <row r="126" spans="1:39" s="203" customFormat="1">
      <c r="A126" s="111"/>
      <c r="B126" s="47"/>
      <c r="C126" s="47"/>
      <c r="D126" s="47"/>
      <c r="E126" s="117"/>
      <c r="F126" s="118"/>
      <c r="G126" s="118"/>
      <c r="H126" s="118"/>
      <c r="I126" s="139"/>
      <c r="J126" s="231"/>
      <c r="K126" s="231"/>
      <c r="L126" s="231"/>
      <c r="M126" s="231"/>
      <c r="N126" s="231"/>
      <c r="O126" s="231"/>
      <c r="P126" s="231"/>
      <c r="Q126" s="231"/>
      <c r="R126" s="231"/>
      <c r="S126" s="231"/>
      <c r="T126" s="231"/>
      <c r="U126" s="231"/>
      <c r="V126" s="231"/>
      <c r="W126" s="231"/>
      <c r="X126" s="231"/>
      <c r="Y126" s="231"/>
      <c r="Z126" s="231"/>
      <c r="AA126" s="231"/>
      <c r="AB126" s="231"/>
      <c r="AC126" s="231"/>
      <c r="AD126" s="231"/>
      <c r="AE126" s="231"/>
      <c r="AF126" s="231"/>
      <c r="AG126" s="231"/>
      <c r="AH126" s="231"/>
      <c r="AI126" s="231"/>
      <c r="AJ126" s="231"/>
      <c r="AK126" s="231"/>
      <c r="AL126" s="231"/>
      <c r="AM126" s="231"/>
    </row>
    <row r="127" spans="1:39" s="203" customFormat="1">
      <c r="A127" s="119" t="s">
        <v>108</v>
      </c>
      <c r="B127" s="147"/>
      <c r="C127" s="147"/>
      <c r="D127" s="147"/>
      <c r="E127" s="140"/>
      <c r="F127" s="146"/>
      <c r="G127" s="118"/>
      <c r="H127" s="146"/>
      <c r="I127" s="139"/>
      <c r="J127" s="231"/>
      <c r="K127" s="231"/>
      <c r="L127" s="231"/>
      <c r="M127" s="231"/>
      <c r="N127" s="231"/>
      <c r="O127" s="231"/>
      <c r="P127" s="231"/>
      <c r="Q127" s="231"/>
      <c r="R127" s="231"/>
      <c r="S127" s="231"/>
      <c r="T127" s="231"/>
      <c r="U127" s="231"/>
      <c r="V127" s="231"/>
      <c r="W127" s="231"/>
      <c r="X127" s="231"/>
      <c r="Y127" s="231"/>
      <c r="Z127" s="231"/>
      <c r="AA127" s="231"/>
      <c r="AB127" s="231"/>
      <c r="AC127" s="231"/>
      <c r="AD127" s="231"/>
      <c r="AE127" s="231"/>
      <c r="AF127" s="231"/>
      <c r="AG127" s="231"/>
      <c r="AH127" s="231"/>
      <c r="AI127" s="231"/>
      <c r="AJ127" s="231"/>
      <c r="AK127" s="231"/>
      <c r="AL127" s="231"/>
      <c r="AM127" s="231"/>
    </row>
    <row r="128" spans="1:39" s="203" customFormat="1">
      <c r="A128" s="120">
        <v>26</v>
      </c>
      <c r="B128" s="47" t="s">
        <v>123</v>
      </c>
      <c r="C128" s="47"/>
      <c r="D128" s="47"/>
      <c r="E128" s="74">
        <v>344</v>
      </c>
      <c r="F128" s="52">
        <v>626</v>
      </c>
      <c r="G128" s="118"/>
      <c r="H128" s="122">
        <v>611</v>
      </c>
      <c r="I128" s="139"/>
      <c r="J128" s="231"/>
      <c r="K128" s="231"/>
      <c r="L128" s="231"/>
      <c r="M128" s="231"/>
      <c r="N128" s="231"/>
      <c r="O128" s="231"/>
      <c r="P128" s="231"/>
      <c r="Q128" s="231"/>
      <c r="R128" s="231"/>
      <c r="S128" s="231"/>
      <c r="T128" s="231"/>
      <c r="U128" s="231"/>
      <c r="V128" s="231"/>
      <c r="W128" s="231"/>
      <c r="X128" s="231"/>
      <c r="Y128" s="231"/>
      <c r="Z128" s="231"/>
      <c r="AA128" s="231"/>
      <c r="AB128" s="231"/>
      <c r="AC128" s="231"/>
      <c r="AD128" s="231"/>
      <c r="AE128" s="231"/>
      <c r="AF128" s="231"/>
      <c r="AG128" s="231"/>
      <c r="AH128" s="231"/>
      <c r="AI128" s="231"/>
      <c r="AJ128" s="231"/>
      <c r="AK128" s="231"/>
      <c r="AL128" s="231"/>
      <c r="AM128" s="231"/>
    </row>
    <row r="129" spans="1:39" s="203" customFormat="1">
      <c r="A129" s="120">
        <v>27</v>
      </c>
      <c r="B129" s="47" t="s">
        <v>124</v>
      </c>
      <c r="C129" s="47"/>
      <c r="D129" s="47"/>
      <c r="E129" s="49">
        <v>401</v>
      </c>
      <c r="F129" s="52">
        <v>291</v>
      </c>
      <c r="G129" s="118"/>
      <c r="H129" s="122">
        <v>337</v>
      </c>
      <c r="I129" s="139"/>
      <c r="J129" s="231"/>
      <c r="K129" s="231"/>
      <c r="L129" s="231"/>
      <c r="M129" s="231"/>
      <c r="N129" s="231"/>
      <c r="O129" s="231"/>
      <c r="P129" s="231"/>
      <c r="Q129" s="231"/>
      <c r="R129" s="231"/>
      <c r="S129" s="231"/>
      <c r="T129" s="231"/>
      <c r="U129" s="231"/>
      <c r="V129" s="231"/>
      <c r="W129" s="231"/>
      <c r="X129" s="231"/>
      <c r="Y129" s="231"/>
      <c r="Z129" s="231"/>
      <c r="AA129" s="231"/>
      <c r="AB129" s="231"/>
      <c r="AC129" s="231"/>
      <c r="AD129" s="231"/>
      <c r="AE129" s="231"/>
      <c r="AF129" s="231"/>
      <c r="AG129" s="231"/>
      <c r="AH129" s="231"/>
      <c r="AI129" s="231"/>
      <c r="AJ129" s="231"/>
      <c r="AK129" s="231"/>
      <c r="AL129" s="231"/>
      <c r="AM129" s="231"/>
    </row>
    <row r="130" spans="1:39" s="203" customFormat="1">
      <c r="A130" s="120">
        <v>28</v>
      </c>
      <c r="B130" s="47" t="s">
        <v>119</v>
      </c>
      <c r="C130" s="47"/>
      <c r="D130" s="47"/>
      <c r="E130" s="49">
        <v>0</v>
      </c>
      <c r="F130" s="52">
        <v>577</v>
      </c>
      <c r="G130" s="118"/>
      <c r="H130" s="122">
        <v>516</v>
      </c>
      <c r="I130" s="139"/>
      <c r="J130" s="231"/>
      <c r="K130" s="231"/>
      <c r="L130" s="231"/>
      <c r="M130" s="231"/>
      <c r="N130" s="231"/>
      <c r="O130" s="231"/>
      <c r="P130" s="231"/>
      <c r="Q130" s="231"/>
      <c r="R130" s="231"/>
      <c r="S130" s="231"/>
      <c r="T130" s="231"/>
      <c r="U130" s="231"/>
      <c r="V130" s="231"/>
      <c r="W130" s="231"/>
      <c r="X130" s="231"/>
      <c r="Y130" s="231"/>
      <c r="Z130" s="231"/>
      <c r="AA130" s="231"/>
      <c r="AB130" s="231"/>
      <c r="AC130" s="231"/>
      <c r="AD130" s="231"/>
      <c r="AE130" s="231"/>
      <c r="AF130" s="231"/>
      <c r="AG130" s="231"/>
      <c r="AH130" s="231"/>
      <c r="AI130" s="231"/>
      <c r="AJ130" s="231"/>
      <c r="AK130" s="231"/>
      <c r="AL130" s="231"/>
      <c r="AM130" s="231"/>
    </row>
    <row r="131" spans="1:39" s="203" customFormat="1">
      <c r="A131" s="120">
        <v>29</v>
      </c>
      <c r="B131" s="47" t="s">
        <v>120</v>
      </c>
      <c r="C131" s="47"/>
      <c r="D131" s="47"/>
      <c r="E131" s="49">
        <v>138</v>
      </c>
      <c r="F131" s="52">
        <v>68</v>
      </c>
      <c r="G131" s="118"/>
      <c r="H131" s="122">
        <v>46</v>
      </c>
      <c r="I131" s="139"/>
      <c r="J131" s="231"/>
      <c r="K131" s="231"/>
      <c r="L131" s="231"/>
      <c r="M131" s="231"/>
      <c r="N131" s="231"/>
      <c r="O131" s="231"/>
      <c r="P131" s="231"/>
      <c r="Q131" s="231"/>
      <c r="R131" s="231"/>
      <c r="S131" s="231"/>
      <c r="T131" s="231"/>
      <c r="U131" s="231"/>
      <c r="V131" s="231"/>
      <c r="W131" s="231"/>
      <c r="X131" s="231"/>
      <c r="Y131" s="231"/>
      <c r="Z131" s="231"/>
      <c r="AA131" s="231"/>
      <c r="AB131" s="231"/>
      <c r="AC131" s="231"/>
      <c r="AD131" s="231"/>
      <c r="AE131" s="231"/>
      <c r="AF131" s="231"/>
      <c r="AG131" s="231"/>
      <c r="AH131" s="231"/>
      <c r="AI131" s="231"/>
      <c r="AJ131" s="231"/>
      <c r="AK131" s="231"/>
      <c r="AL131" s="231"/>
      <c r="AM131" s="231"/>
    </row>
    <row r="132" spans="1:39" s="203" customFormat="1">
      <c r="A132" s="120">
        <v>30</v>
      </c>
      <c r="B132" s="47" t="s">
        <v>125</v>
      </c>
      <c r="C132" s="47"/>
      <c r="D132" s="47"/>
      <c r="E132" s="49">
        <v>480</v>
      </c>
      <c r="F132" s="52">
        <v>528</v>
      </c>
      <c r="G132" s="118"/>
      <c r="H132" s="122">
        <v>551</v>
      </c>
      <c r="I132" s="139"/>
      <c r="J132" s="231"/>
      <c r="K132" s="231"/>
      <c r="L132" s="231"/>
      <c r="M132" s="231"/>
      <c r="N132" s="231"/>
      <c r="O132" s="231"/>
      <c r="P132" s="231"/>
      <c r="Q132" s="231"/>
      <c r="R132" s="231"/>
      <c r="S132" s="231"/>
      <c r="T132" s="231"/>
      <c r="U132" s="231"/>
      <c r="V132" s="231"/>
      <c r="W132" s="231"/>
      <c r="X132" s="231"/>
      <c r="Y132" s="231"/>
      <c r="Z132" s="231"/>
      <c r="AA132" s="231"/>
      <c r="AB132" s="231"/>
      <c r="AC132" s="231"/>
      <c r="AD132" s="231"/>
      <c r="AE132" s="231"/>
      <c r="AF132" s="231"/>
      <c r="AG132" s="231"/>
      <c r="AH132" s="231"/>
      <c r="AI132" s="231"/>
      <c r="AJ132" s="231"/>
      <c r="AK132" s="231"/>
      <c r="AL132" s="231"/>
      <c r="AM132" s="231"/>
    </row>
    <row r="133" spans="1:39" s="203" customFormat="1">
      <c r="A133" s="120">
        <v>31</v>
      </c>
      <c r="B133" s="90" t="s">
        <v>126</v>
      </c>
      <c r="C133" s="47"/>
      <c r="D133" s="47"/>
      <c r="E133" s="49">
        <v>548</v>
      </c>
      <c r="F133" s="52">
        <v>935</v>
      </c>
      <c r="G133" s="118"/>
      <c r="H133" s="122">
        <v>889</v>
      </c>
      <c r="I133" s="139"/>
      <c r="J133" s="231"/>
      <c r="K133" s="231"/>
      <c r="L133" s="231"/>
      <c r="M133" s="231"/>
      <c r="N133" s="231"/>
      <c r="O133" s="231"/>
      <c r="P133" s="231"/>
      <c r="Q133" s="231"/>
      <c r="R133" s="231"/>
      <c r="S133" s="231"/>
      <c r="T133" s="231"/>
      <c r="U133" s="231"/>
      <c r="V133" s="231"/>
      <c r="W133" s="231"/>
      <c r="X133" s="231"/>
      <c r="Y133" s="231"/>
      <c r="Z133" s="231"/>
      <c r="AA133" s="231"/>
      <c r="AB133" s="231"/>
      <c r="AC133" s="231"/>
      <c r="AD133" s="231"/>
      <c r="AE133" s="231"/>
      <c r="AF133" s="231"/>
      <c r="AG133" s="231"/>
      <c r="AH133" s="231"/>
      <c r="AI133" s="231"/>
      <c r="AJ133" s="231"/>
      <c r="AK133" s="231"/>
      <c r="AL133" s="231"/>
      <c r="AM133" s="231"/>
    </row>
    <row r="134" spans="1:39" s="203" customFormat="1">
      <c r="A134" s="120">
        <v>32</v>
      </c>
      <c r="B134" s="47" t="s">
        <v>121</v>
      </c>
      <c r="C134" s="47"/>
      <c r="D134" s="47"/>
      <c r="E134" s="49">
        <v>45</v>
      </c>
      <c r="F134" s="52">
        <v>0</v>
      </c>
      <c r="G134" s="118"/>
      <c r="H134" s="100">
        <v>0</v>
      </c>
      <c r="I134" s="139"/>
      <c r="J134" s="231"/>
      <c r="K134" s="231"/>
      <c r="L134" s="231"/>
      <c r="M134" s="231"/>
      <c r="N134" s="231"/>
      <c r="O134" s="231"/>
      <c r="P134" s="231"/>
      <c r="Q134" s="231"/>
      <c r="R134" s="231"/>
      <c r="S134" s="231"/>
      <c r="T134" s="231"/>
      <c r="U134" s="231"/>
      <c r="V134" s="231"/>
      <c r="W134" s="231"/>
      <c r="X134" s="231"/>
      <c r="Y134" s="231"/>
      <c r="Z134" s="231"/>
      <c r="AA134" s="231"/>
      <c r="AB134" s="231"/>
      <c r="AC134" s="231"/>
      <c r="AD134" s="231"/>
      <c r="AE134" s="231"/>
      <c r="AF134" s="231"/>
      <c r="AG134" s="231"/>
      <c r="AH134" s="231"/>
      <c r="AI134" s="231"/>
      <c r="AJ134" s="231"/>
      <c r="AK134" s="231"/>
      <c r="AL134" s="231"/>
      <c r="AM134" s="231"/>
    </row>
    <row r="135" spans="1:39" s="203" customFormat="1">
      <c r="A135" s="120">
        <v>33</v>
      </c>
      <c r="B135" s="116" t="s">
        <v>128</v>
      </c>
      <c r="C135" s="116"/>
      <c r="D135" s="116"/>
      <c r="E135" s="80">
        <v>1956</v>
      </c>
      <c r="F135" s="142">
        <f>SUM(F128:F134)</f>
        <v>3025</v>
      </c>
      <c r="G135" s="118"/>
      <c r="H135" s="142">
        <f>SUM(H128:H134)</f>
        <v>2950</v>
      </c>
      <c r="I135" s="139"/>
      <c r="J135" s="231"/>
      <c r="K135" s="231"/>
      <c r="L135" s="231"/>
      <c r="M135" s="231"/>
      <c r="N135" s="231"/>
      <c r="O135" s="231"/>
      <c r="P135" s="231"/>
      <c r="Q135" s="231"/>
      <c r="R135" s="231"/>
      <c r="S135" s="231"/>
      <c r="T135" s="231"/>
      <c r="U135" s="231"/>
      <c r="V135" s="231"/>
      <c r="W135" s="231"/>
      <c r="X135" s="231"/>
      <c r="Y135" s="231"/>
      <c r="Z135" s="231"/>
      <c r="AA135" s="231"/>
      <c r="AB135" s="231"/>
      <c r="AC135" s="231"/>
      <c r="AD135" s="231"/>
      <c r="AE135" s="231"/>
      <c r="AF135" s="231"/>
      <c r="AG135" s="231"/>
      <c r="AH135" s="231"/>
      <c r="AI135" s="231"/>
      <c r="AJ135" s="231"/>
      <c r="AK135" s="231"/>
      <c r="AL135" s="231"/>
      <c r="AM135" s="231"/>
    </row>
    <row r="136" spans="1:39" s="203" customFormat="1">
      <c r="A136" s="111"/>
      <c r="B136" s="47"/>
      <c r="C136" s="47"/>
      <c r="D136" s="138"/>
      <c r="E136" s="117"/>
      <c r="F136" s="118"/>
      <c r="G136" s="118"/>
      <c r="H136" s="118"/>
      <c r="I136" s="139"/>
      <c r="J136" s="231"/>
      <c r="K136" s="231"/>
      <c r="L136" s="231"/>
      <c r="M136" s="231"/>
      <c r="N136" s="231"/>
      <c r="O136" s="231"/>
      <c r="P136" s="231"/>
      <c r="Q136" s="231"/>
      <c r="R136" s="231"/>
      <c r="S136" s="231"/>
      <c r="T136" s="231"/>
      <c r="U136" s="231"/>
      <c r="V136" s="231"/>
      <c r="W136" s="231"/>
      <c r="X136" s="231"/>
      <c r="Y136" s="231"/>
      <c r="Z136" s="231"/>
      <c r="AA136" s="231"/>
      <c r="AB136" s="231"/>
      <c r="AC136" s="231"/>
      <c r="AD136" s="231"/>
      <c r="AE136" s="231"/>
      <c r="AF136" s="231"/>
      <c r="AG136" s="231"/>
      <c r="AH136" s="231"/>
      <c r="AI136" s="231"/>
      <c r="AJ136" s="231"/>
      <c r="AK136" s="231"/>
      <c r="AL136" s="231"/>
      <c r="AM136" s="231"/>
    </row>
    <row r="137" spans="1:39" s="203" customFormat="1">
      <c r="A137" s="119" t="s">
        <v>109</v>
      </c>
      <c r="B137" s="116"/>
      <c r="C137" s="116"/>
      <c r="D137" s="116"/>
      <c r="E137" s="140"/>
      <c r="F137" s="146"/>
      <c r="G137" s="118"/>
      <c r="H137" s="146"/>
      <c r="I137" s="139"/>
      <c r="J137" s="231"/>
      <c r="K137" s="231"/>
      <c r="L137" s="231"/>
      <c r="M137" s="231"/>
      <c r="N137" s="231"/>
      <c r="O137" s="231"/>
      <c r="P137" s="231"/>
      <c r="Q137" s="231"/>
      <c r="R137" s="231"/>
      <c r="S137" s="231"/>
      <c r="T137" s="231"/>
      <c r="U137" s="231"/>
      <c r="V137" s="231"/>
      <c r="W137" s="231"/>
      <c r="X137" s="231"/>
      <c r="Y137" s="231"/>
      <c r="Z137" s="231"/>
      <c r="AA137" s="231"/>
      <c r="AB137" s="231"/>
      <c r="AC137" s="231"/>
      <c r="AD137" s="231"/>
      <c r="AE137" s="231"/>
      <c r="AF137" s="231"/>
      <c r="AG137" s="231"/>
      <c r="AH137" s="231"/>
      <c r="AI137" s="231"/>
      <c r="AJ137" s="231"/>
      <c r="AK137" s="231"/>
      <c r="AL137" s="231"/>
      <c r="AM137" s="231"/>
    </row>
    <row r="138" spans="1:39" s="203" customFormat="1">
      <c r="A138" s="120">
        <v>34</v>
      </c>
      <c r="B138" s="47" t="s">
        <v>123</v>
      </c>
      <c r="C138" s="47"/>
      <c r="D138" s="47"/>
      <c r="E138" s="49">
        <v>242</v>
      </c>
      <c r="F138" s="52">
        <v>548</v>
      </c>
      <c r="G138" s="118"/>
      <c r="H138" s="122">
        <v>583</v>
      </c>
      <c r="I138" s="139"/>
      <c r="J138" s="231"/>
      <c r="K138" s="231"/>
      <c r="L138" s="231"/>
      <c r="M138" s="231"/>
      <c r="N138" s="231"/>
      <c r="O138" s="231"/>
      <c r="P138" s="231"/>
      <c r="Q138" s="231"/>
      <c r="R138" s="231"/>
      <c r="S138" s="231"/>
      <c r="T138" s="231"/>
      <c r="U138" s="231"/>
      <c r="V138" s="231"/>
      <c r="W138" s="231"/>
      <c r="X138" s="231"/>
      <c r="Y138" s="231"/>
      <c r="Z138" s="231"/>
      <c r="AA138" s="231"/>
      <c r="AB138" s="231"/>
      <c r="AC138" s="231"/>
      <c r="AD138" s="231"/>
      <c r="AE138" s="231"/>
      <c r="AF138" s="231"/>
      <c r="AG138" s="231"/>
      <c r="AH138" s="231"/>
      <c r="AI138" s="231"/>
      <c r="AJ138" s="231"/>
      <c r="AK138" s="231"/>
      <c r="AL138" s="231"/>
      <c r="AM138" s="231"/>
    </row>
    <row r="139" spans="1:39" s="203" customFormat="1">
      <c r="A139" s="120">
        <v>35</v>
      </c>
      <c r="B139" s="47" t="s">
        <v>119</v>
      </c>
      <c r="C139" s="47"/>
      <c r="D139" s="47"/>
      <c r="E139" s="49">
        <v>4049</v>
      </c>
      <c r="F139" s="52">
        <v>7675</v>
      </c>
      <c r="G139" s="118"/>
      <c r="H139" s="122">
        <v>7742</v>
      </c>
      <c r="I139" s="139"/>
      <c r="J139" s="231"/>
      <c r="K139" s="231"/>
      <c r="L139" s="231"/>
      <c r="M139" s="231"/>
      <c r="N139" s="231"/>
      <c r="O139" s="231"/>
      <c r="P139" s="231"/>
      <c r="Q139" s="231"/>
      <c r="R139" s="231"/>
      <c r="S139" s="231"/>
      <c r="T139" s="231"/>
      <c r="U139" s="231"/>
      <c r="V139" s="231"/>
      <c r="W139" s="231"/>
      <c r="X139" s="231"/>
      <c r="Y139" s="231"/>
      <c r="Z139" s="231"/>
      <c r="AA139" s="231"/>
      <c r="AB139" s="231"/>
      <c r="AC139" s="231"/>
      <c r="AD139" s="231"/>
      <c r="AE139" s="231"/>
      <c r="AF139" s="231"/>
      <c r="AG139" s="231"/>
      <c r="AH139" s="231"/>
      <c r="AI139" s="231"/>
      <c r="AJ139" s="231"/>
      <c r="AK139" s="231"/>
      <c r="AL139" s="231"/>
      <c r="AM139" s="231"/>
    </row>
    <row r="140" spans="1:39" s="203" customFormat="1">
      <c r="A140" s="120">
        <v>36</v>
      </c>
      <c r="B140" s="47" t="s">
        <v>120</v>
      </c>
      <c r="C140" s="47"/>
      <c r="D140" s="47"/>
      <c r="E140" s="49">
        <v>1667</v>
      </c>
      <c r="F140" s="52">
        <v>1547</v>
      </c>
      <c r="G140" s="118"/>
      <c r="H140" s="122">
        <v>1566</v>
      </c>
      <c r="I140" s="139"/>
      <c r="J140" s="231"/>
      <c r="K140" s="231"/>
      <c r="L140" s="231"/>
      <c r="M140" s="231"/>
      <c r="N140" s="231"/>
      <c r="O140" s="231"/>
      <c r="P140" s="231"/>
      <c r="Q140" s="231"/>
      <c r="R140" s="231"/>
      <c r="S140" s="231"/>
      <c r="T140" s="231"/>
      <c r="U140" s="231"/>
      <c r="V140" s="231"/>
      <c r="W140" s="231"/>
      <c r="X140" s="231"/>
      <c r="Y140" s="231"/>
      <c r="Z140" s="231"/>
      <c r="AA140" s="231"/>
      <c r="AB140" s="231"/>
      <c r="AC140" s="231"/>
      <c r="AD140" s="231"/>
      <c r="AE140" s="231"/>
      <c r="AF140" s="231"/>
      <c r="AG140" s="231"/>
      <c r="AH140" s="231"/>
      <c r="AI140" s="231"/>
      <c r="AJ140" s="231"/>
      <c r="AK140" s="231"/>
      <c r="AL140" s="231"/>
      <c r="AM140" s="231"/>
    </row>
    <row r="141" spans="1:39" s="203" customFormat="1">
      <c r="A141" s="120">
        <v>37</v>
      </c>
      <c r="B141" s="90" t="s">
        <v>126</v>
      </c>
      <c r="C141" s="47"/>
      <c r="D141" s="47"/>
      <c r="E141" s="49">
        <v>345</v>
      </c>
      <c r="F141" s="52">
        <v>445</v>
      </c>
      <c r="G141" s="118"/>
      <c r="H141" s="99">
        <v>318</v>
      </c>
      <c r="I141" s="139"/>
      <c r="J141" s="231"/>
      <c r="K141" s="231"/>
      <c r="L141" s="231"/>
      <c r="M141" s="231"/>
      <c r="N141" s="231"/>
      <c r="O141" s="231"/>
      <c r="P141" s="231"/>
      <c r="Q141" s="231"/>
      <c r="R141" s="231"/>
      <c r="S141" s="231"/>
      <c r="T141" s="231"/>
      <c r="U141" s="231"/>
      <c r="V141" s="231"/>
      <c r="W141" s="231"/>
      <c r="X141" s="231"/>
      <c r="Y141" s="231"/>
      <c r="Z141" s="231"/>
      <c r="AA141" s="231"/>
      <c r="AB141" s="231"/>
      <c r="AC141" s="231"/>
      <c r="AD141" s="231"/>
      <c r="AE141" s="231"/>
      <c r="AF141" s="231"/>
      <c r="AG141" s="231"/>
      <c r="AH141" s="231"/>
      <c r="AI141" s="231"/>
      <c r="AJ141" s="231"/>
      <c r="AK141" s="231"/>
      <c r="AL141" s="231"/>
      <c r="AM141" s="231"/>
    </row>
    <row r="142" spans="1:39" s="203" customFormat="1">
      <c r="A142" s="120">
        <v>38</v>
      </c>
      <c r="B142" s="47" t="s">
        <v>121</v>
      </c>
      <c r="C142" s="47"/>
      <c r="D142" s="47"/>
      <c r="E142" s="49">
        <v>402</v>
      </c>
      <c r="F142" s="52">
        <v>351</v>
      </c>
      <c r="G142" s="118"/>
      <c r="H142" s="100">
        <v>249</v>
      </c>
      <c r="I142" s="139"/>
      <c r="J142" s="231"/>
      <c r="K142" s="231"/>
      <c r="L142" s="231"/>
      <c r="M142" s="231"/>
      <c r="N142" s="231"/>
      <c r="O142" s="231"/>
      <c r="P142" s="231"/>
      <c r="Q142" s="231"/>
      <c r="R142" s="231"/>
      <c r="S142" s="231"/>
      <c r="T142" s="231"/>
      <c r="U142" s="231"/>
      <c r="V142" s="231"/>
      <c r="W142" s="231"/>
      <c r="X142" s="231"/>
      <c r="Y142" s="231"/>
      <c r="Z142" s="231"/>
      <c r="AA142" s="231"/>
      <c r="AB142" s="231"/>
      <c r="AC142" s="231"/>
      <c r="AD142" s="231"/>
      <c r="AE142" s="231"/>
      <c r="AF142" s="231"/>
      <c r="AG142" s="231"/>
      <c r="AH142" s="231"/>
      <c r="AI142" s="231"/>
      <c r="AJ142" s="231"/>
      <c r="AK142" s="231"/>
      <c r="AL142" s="231"/>
      <c r="AM142" s="231"/>
    </row>
    <row r="143" spans="1:39" s="203" customFormat="1">
      <c r="A143" s="120">
        <v>39</v>
      </c>
      <c r="B143" s="116" t="s">
        <v>129</v>
      </c>
      <c r="C143" s="116"/>
      <c r="D143" s="116"/>
      <c r="E143" s="80">
        <v>6705</v>
      </c>
      <c r="F143" s="142">
        <f>SUM(F138:F142)</f>
        <v>10566</v>
      </c>
      <c r="G143" s="118"/>
      <c r="H143" s="142">
        <f>SUM(H138:H142)</f>
        <v>10458</v>
      </c>
      <c r="I143" s="139"/>
      <c r="J143" s="231"/>
      <c r="K143" s="231"/>
      <c r="L143" s="231"/>
      <c r="M143" s="231"/>
      <c r="N143" s="231"/>
      <c r="O143" s="231"/>
      <c r="P143" s="231"/>
      <c r="Q143" s="231"/>
      <c r="R143" s="231"/>
      <c r="S143" s="231"/>
      <c r="T143" s="231"/>
      <c r="U143" s="231"/>
      <c r="V143" s="231"/>
      <c r="W143" s="231"/>
      <c r="X143" s="231"/>
      <c r="Y143" s="231"/>
      <c r="Z143" s="231"/>
      <c r="AA143" s="231"/>
      <c r="AB143" s="231"/>
      <c r="AC143" s="231"/>
      <c r="AD143" s="231"/>
      <c r="AE143" s="231"/>
      <c r="AF143" s="231"/>
      <c r="AG143" s="231"/>
      <c r="AH143" s="231"/>
      <c r="AI143" s="231"/>
      <c r="AJ143" s="231"/>
      <c r="AK143" s="231"/>
      <c r="AL143" s="231"/>
      <c r="AM143" s="231"/>
    </row>
    <row r="144" spans="1:39" s="203" customFormat="1">
      <c r="A144" s="111"/>
      <c r="B144" s="47"/>
      <c r="C144" s="47"/>
      <c r="D144" s="47"/>
      <c r="E144" s="117"/>
      <c r="F144" s="118"/>
      <c r="G144" s="118"/>
      <c r="H144" s="118"/>
      <c r="I144" s="139"/>
      <c r="J144" s="231"/>
      <c r="K144" s="231"/>
      <c r="L144" s="231"/>
      <c r="M144" s="231"/>
      <c r="N144" s="231"/>
      <c r="O144" s="231"/>
      <c r="P144" s="231"/>
      <c r="Q144" s="231"/>
      <c r="R144" s="231"/>
      <c r="S144" s="231"/>
      <c r="T144" s="231"/>
      <c r="U144" s="231"/>
      <c r="V144" s="231"/>
      <c r="W144" s="231"/>
      <c r="X144" s="231"/>
      <c r="Y144" s="231"/>
      <c r="Z144" s="231"/>
      <c r="AA144" s="231"/>
      <c r="AB144" s="231"/>
      <c r="AC144" s="231"/>
      <c r="AD144" s="231"/>
      <c r="AE144" s="231"/>
      <c r="AF144" s="231"/>
      <c r="AG144" s="231"/>
      <c r="AH144" s="231"/>
      <c r="AI144" s="231"/>
      <c r="AJ144" s="231"/>
      <c r="AK144" s="231"/>
      <c r="AL144" s="231"/>
      <c r="AM144" s="231"/>
    </row>
    <row r="145" spans="1:39" s="203" customFormat="1">
      <c r="A145" s="119" t="s">
        <v>110</v>
      </c>
      <c r="B145" s="116"/>
      <c r="C145" s="116"/>
      <c r="D145" s="116"/>
      <c r="E145" s="140"/>
      <c r="F145" s="146"/>
      <c r="G145" s="118"/>
      <c r="H145" s="146"/>
      <c r="I145" s="139"/>
      <c r="J145" s="231"/>
      <c r="K145" s="231"/>
      <c r="L145" s="231"/>
      <c r="M145" s="231"/>
      <c r="N145" s="231"/>
      <c r="O145" s="231"/>
      <c r="P145" s="231"/>
      <c r="Q145" s="231"/>
      <c r="R145" s="231"/>
      <c r="S145" s="231"/>
      <c r="T145" s="231"/>
      <c r="U145" s="231"/>
      <c r="V145" s="231"/>
      <c r="W145" s="231"/>
      <c r="X145" s="231"/>
      <c r="Y145" s="231"/>
      <c r="Z145" s="231"/>
      <c r="AA145" s="231"/>
      <c r="AB145" s="231"/>
      <c r="AC145" s="231"/>
      <c r="AD145" s="231"/>
      <c r="AE145" s="231"/>
      <c r="AF145" s="231"/>
      <c r="AG145" s="231"/>
      <c r="AH145" s="231"/>
      <c r="AI145" s="231"/>
      <c r="AJ145" s="231"/>
      <c r="AK145" s="231"/>
      <c r="AL145" s="231"/>
      <c r="AM145" s="231"/>
    </row>
    <row r="146" spans="1:39" s="203" customFormat="1">
      <c r="A146" s="120">
        <v>40</v>
      </c>
      <c r="B146" s="47" t="s">
        <v>123</v>
      </c>
      <c r="C146" s="47"/>
      <c r="D146" s="47"/>
      <c r="E146" s="49">
        <v>805</v>
      </c>
      <c r="F146" s="52">
        <v>1097</v>
      </c>
      <c r="G146" s="118"/>
      <c r="H146" s="122">
        <v>1080</v>
      </c>
      <c r="I146" s="139"/>
      <c r="J146" s="231"/>
      <c r="K146" s="231"/>
      <c r="L146" s="231"/>
      <c r="M146" s="231"/>
      <c r="N146" s="231"/>
      <c r="O146" s="231"/>
      <c r="P146" s="231"/>
      <c r="Q146" s="231"/>
      <c r="R146" s="231"/>
      <c r="S146" s="231"/>
      <c r="T146" s="231"/>
      <c r="U146" s="231"/>
      <c r="V146" s="231"/>
      <c r="W146" s="231"/>
      <c r="X146" s="231"/>
      <c r="Y146" s="231"/>
      <c r="Z146" s="231"/>
      <c r="AA146" s="231"/>
      <c r="AB146" s="231"/>
      <c r="AC146" s="231"/>
      <c r="AD146" s="231"/>
      <c r="AE146" s="231"/>
      <c r="AF146" s="231"/>
      <c r="AG146" s="231"/>
      <c r="AH146" s="231"/>
      <c r="AI146" s="231"/>
      <c r="AJ146" s="231"/>
      <c r="AK146" s="231"/>
      <c r="AL146" s="231"/>
      <c r="AM146" s="231"/>
    </row>
    <row r="147" spans="1:39" s="203" customFormat="1">
      <c r="A147" s="120">
        <v>41</v>
      </c>
      <c r="B147" s="47" t="s">
        <v>119</v>
      </c>
      <c r="C147" s="47"/>
      <c r="D147" s="47"/>
      <c r="E147" s="49">
        <v>219</v>
      </c>
      <c r="F147" s="52">
        <v>185</v>
      </c>
      <c r="G147" s="118"/>
      <c r="H147" s="122">
        <v>282</v>
      </c>
      <c r="I147" s="139"/>
      <c r="J147" s="231"/>
      <c r="K147" s="231"/>
      <c r="L147" s="231"/>
      <c r="M147" s="231"/>
      <c r="N147" s="231"/>
      <c r="O147" s="231"/>
      <c r="P147" s="231"/>
      <c r="Q147" s="231"/>
      <c r="R147" s="231"/>
      <c r="S147" s="231"/>
      <c r="T147" s="231"/>
      <c r="U147" s="231"/>
      <c r="V147" s="231"/>
      <c r="W147" s="231"/>
      <c r="X147" s="231"/>
      <c r="Y147" s="231"/>
      <c r="Z147" s="231"/>
      <c r="AA147" s="231"/>
      <c r="AB147" s="231"/>
      <c r="AC147" s="231"/>
      <c r="AD147" s="231"/>
      <c r="AE147" s="231"/>
      <c r="AF147" s="231"/>
      <c r="AG147" s="231"/>
      <c r="AH147" s="231"/>
      <c r="AI147" s="231"/>
      <c r="AJ147" s="231"/>
      <c r="AK147" s="231"/>
      <c r="AL147" s="231"/>
      <c r="AM147" s="231"/>
    </row>
    <row r="148" spans="1:39" s="203" customFormat="1">
      <c r="A148" s="120">
        <v>42</v>
      </c>
      <c r="B148" s="47" t="s">
        <v>120</v>
      </c>
      <c r="C148" s="47"/>
      <c r="D148" s="47"/>
      <c r="E148" s="49">
        <v>0</v>
      </c>
      <c r="F148" s="52">
        <v>0</v>
      </c>
      <c r="G148" s="118"/>
      <c r="H148" s="122">
        <v>0</v>
      </c>
      <c r="I148" s="139"/>
      <c r="J148" s="231"/>
      <c r="K148" s="231"/>
      <c r="L148" s="231"/>
      <c r="M148" s="231"/>
      <c r="N148" s="231"/>
      <c r="O148" s="231"/>
      <c r="P148" s="231"/>
      <c r="Q148" s="231"/>
      <c r="R148" s="231"/>
      <c r="S148" s="231"/>
      <c r="T148" s="231"/>
      <c r="U148" s="231"/>
      <c r="V148" s="231"/>
      <c r="W148" s="231"/>
      <c r="X148" s="231"/>
      <c r="Y148" s="231"/>
      <c r="Z148" s="231"/>
      <c r="AA148" s="231"/>
      <c r="AB148" s="231"/>
      <c r="AC148" s="231"/>
      <c r="AD148" s="231"/>
      <c r="AE148" s="231"/>
      <c r="AF148" s="231"/>
      <c r="AG148" s="231"/>
      <c r="AH148" s="231"/>
      <c r="AI148" s="231"/>
      <c r="AJ148" s="231"/>
      <c r="AK148" s="231"/>
      <c r="AL148" s="231"/>
      <c r="AM148" s="231"/>
    </row>
    <row r="149" spans="1:39" s="203" customFormat="1">
      <c r="A149" s="120">
        <v>43</v>
      </c>
      <c r="B149" s="47" t="s">
        <v>121</v>
      </c>
      <c r="C149" s="47"/>
      <c r="D149" s="47"/>
      <c r="E149" s="49">
        <v>490</v>
      </c>
      <c r="F149" s="52">
        <v>788</v>
      </c>
      <c r="G149" s="118"/>
      <c r="H149" s="100">
        <v>757</v>
      </c>
      <c r="I149" s="139"/>
      <c r="J149" s="231"/>
      <c r="K149" s="231"/>
      <c r="L149" s="231"/>
      <c r="M149" s="231"/>
      <c r="N149" s="231"/>
      <c r="O149" s="231"/>
      <c r="P149" s="231"/>
      <c r="Q149" s="231"/>
      <c r="R149" s="231"/>
      <c r="S149" s="231"/>
      <c r="T149" s="231"/>
      <c r="U149" s="231"/>
      <c r="V149" s="231"/>
      <c r="W149" s="231"/>
      <c r="X149" s="231"/>
      <c r="Y149" s="231"/>
      <c r="Z149" s="231"/>
      <c r="AA149" s="231"/>
      <c r="AB149" s="231"/>
      <c r="AC149" s="231"/>
      <c r="AD149" s="231"/>
      <c r="AE149" s="231"/>
      <c r="AF149" s="231"/>
      <c r="AG149" s="231"/>
      <c r="AH149" s="231"/>
      <c r="AI149" s="231"/>
      <c r="AJ149" s="231"/>
      <c r="AK149" s="231"/>
      <c r="AL149" s="231"/>
      <c r="AM149" s="231"/>
    </row>
    <row r="150" spans="1:39" s="203" customFormat="1">
      <c r="A150" s="124">
        <v>44</v>
      </c>
      <c r="B150" s="94" t="s">
        <v>130</v>
      </c>
      <c r="C150" s="94"/>
      <c r="D150" s="94"/>
      <c r="E150" s="80">
        <v>1514</v>
      </c>
      <c r="F150" s="142">
        <f>SUM(F146:F149)</f>
        <v>2070</v>
      </c>
      <c r="G150" s="259"/>
      <c r="H150" s="142">
        <f>SUM(H146:H149)</f>
        <v>2119</v>
      </c>
      <c r="I150" s="139"/>
      <c r="J150" s="231"/>
      <c r="K150" s="231"/>
      <c r="L150" s="231"/>
      <c r="M150" s="231"/>
      <c r="N150" s="231"/>
      <c r="O150" s="231"/>
      <c r="P150" s="231"/>
      <c r="Q150" s="231"/>
      <c r="R150" s="231"/>
      <c r="S150" s="231"/>
      <c r="T150" s="231"/>
      <c r="U150" s="231"/>
      <c r="V150" s="231"/>
      <c r="W150" s="231"/>
      <c r="X150" s="231"/>
      <c r="Y150" s="231"/>
      <c r="Z150" s="231"/>
      <c r="AA150" s="231"/>
      <c r="AB150" s="231"/>
      <c r="AC150" s="231"/>
      <c r="AD150" s="231"/>
      <c r="AE150" s="231"/>
      <c r="AF150" s="231"/>
      <c r="AG150" s="231"/>
      <c r="AH150" s="231"/>
      <c r="AI150" s="231"/>
      <c r="AJ150" s="231"/>
      <c r="AK150" s="231"/>
      <c r="AL150" s="231"/>
      <c r="AM150" s="231"/>
    </row>
    <row r="151" spans="1:39" s="203" customFormat="1">
      <c r="A151" s="148"/>
      <c r="B151" s="129"/>
      <c r="C151" s="129"/>
      <c r="D151" s="149"/>
      <c r="E151" s="150"/>
      <c r="F151" s="29"/>
      <c r="G151" s="29"/>
      <c r="H151" s="207"/>
      <c r="I151" s="29"/>
      <c r="J151" s="231"/>
      <c r="K151" s="231"/>
      <c r="L151" s="231"/>
      <c r="M151" s="231"/>
      <c r="N151" s="231"/>
      <c r="O151" s="231"/>
      <c r="P151" s="231"/>
      <c r="Q151" s="231"/>
      <c r="R151" s="231"/>
      <c r="S151" s="231"/>
      <c r="T151" s="231"/>
      <c r="U151" s="231"/>
      <c r="V151" s="231"/>
      <c r="W151" s="231"/>
      <c r="X151" s="231"/>
      <c r="Y151" s="231"/>
      <c r="Z151" s="231"/>
      <c r="AA151" s="231"/>
      <c r="AB151" s="231"/>
      <c r="AC151" s="231"/>
      <c r="AD151" s="231"/>
      <c r="AE151" s="231"/>
      <c r="AF151" s="231"/>
      <c r="AG151" s="231"/>
      <c r="AH151" s="231"/>
      <c r="AI151" s="231"/>
      <c r="AJ151" s="231"/>
      <c r="AK151" s="231"/>
      <c r="AL151" s="231"/>
      <c r="AM151" s="231"/>
    </row>
    <row r="152" spans="1:39" s="203" customFormat="1">
      <c r="A152" s="148"/>
      <c r="B152" s="129"/>
      <c r="C152" s="129"/>
      <c r="D152" s="151"/>
      <c r="E152" s="152"/>
      <c r="F152" s="29"/>
      <c r="G152" s="29"/>
      <c r="H152" s="131" t="s">
        <v>27</v>
      </c>
      <c r="I152" s="29"/>
      <c r="J152" s="231"/>
      <c r="K152" s="231"/>
      <c r="L152" s="231"/>
      <c r="M152" s="231"/>
      <c r="N152" s="231"/>
      <c r="O152" s="231"/>
      <c r="P152" s="231"/>
      <c r="Q152" s="231"/>
      <c r="R152" s="231"/>
      <c r="S152" s="231"/>
      <c r="T152" s="231"/>
      <c r="U152" s="231"/>
      <c r="V152" s="231"/>
      <c r="W152" s="231"/>
      <c r="X152" s="231"/>
      <c r="Y152" s="231"/>
      <c r="Z152" s="231"/>
      <c r="AA152" s="231"/>
      <c r="AB152" s="231"/>
      <c r="AC152" s="231"/>
      <c r="AD152" s="231"/>
      <c r="AE152" s="231"/>
      <c r="AF152" s="231"/>
      <c r="AG152" s="231"/>
      <c r="AH152" s="231"/>
      <c r="AI152" s="231"/>
      <c r="AJ152" s="231"/>
      <c r="AK152" s="231"/>
      <c r="AL152" s="231"/>
      <c r="AM152" s="231"/>
    </row>
    <row r="153" spans="1:39" s="203" customFormat="1">
      <c r="A153" s="106" t="s">
        <v>20</v>
      </c>
      <c r="B153" s="107"/>
      <c r="C153" s="107"/>
      <c r="D153" s="107"/>
      <c r="E153" s="856" t="s">
        <v>377</v>
      </c>
      <c r="F153" s="856" t="s">
        <v>402</v>
      </c>
      <c r="G153" s="130"/>
      <c r="H153" s="856" t="s">
        <v>403</v>
      </c>
      <c r="I153" s="130"/>
      <c r="J153" s="231"/>
      <c r="K153" s="231"/>
      <c r="L153" s="231"/>
      <c r="M153" s="231"/>
      <c r="N153" s="231"/>
      <c r="O153" s="231"/>
      <c r="P153" s="231"/>
      <c r="Q153" s="231"/>
      <c r="R153" s="231"/>
      <c r="S153" s="231"/>
      <c r="T153" s="231"/>
      <c r="U153" s="231"/>
      <c r="V153" s="231"/>
      <c r="W153" s="231"/>
      <c r="X153" s="231"/>
      <c r="Y153" s="231"/>
      <c r="Z153" s="231"/>
      <c r="AA153" s="231"/>
      <c r="AB153" s="231"/>
      <c r="AC153" s="231"/>
      <c r="AD153" s="231"/>
      <c r="AE153" s="231"/>
      <c r="AF153" s="231"/>
      <c r="AG153" s="231"/>
      <c r="AH153" s="231"/>
      <c r="AI153" s="231"/>
      <c r="AJ153" s="231"/>
      <c r="AK153" s="231"/>
      <c r="AL153" s="231"/>
      <c r="AM153" s="231"/>
    </row>
    <row r="154" spans="1:39" s="203" customFormat="1">
      <c r="A154" s="153"/>
      <c r="B154" s="132"/>
      <c r="C154" s="132"/>
      <c r="D154" s="132"/>
      <c r="E154" s="859"/>
      <c r="F154" s="859"/>
      <c r="G154" s="130"/>
      <c r="H154" s="859"/>
      <c r="I154" s="130"/>
      <c r="J154" s="231"/>
      <c r="K154" s="231"/>
      <c r="L154" s="231"/>
      <c r="M154" s="231"/>
      <c r="N154" s="231"/>
      <c r="O154" s="231"/>
      <c r="P154" s="231"/>
      <c r="Q154" s="231"/>
      <c r="R154" s="231"/>
      <c r="S154" s="231"/>
      <c r="T154" s="231"/>
      <c r="U154" s="231"/>
      <c r="V154" s="231"/>
      <c r="W154" s="231"/>
      <c r="X154" s="231"/>
      <c r="Y154" s="231"/>
      <c r="Z154" s="231"/>
      <c r="AA154" s="231"/>
      <c r="AB154" s="231"/>
      <c r="AC154" s="231"/>
      <c r="AD154" s="231"/>
      <c r="AE154" s="231"/>
      <c r="AF154" s="231"/>
      <c r="AG154" s="231"/>
      <c r="AH154" s="231"/>
      <c r="AI154" s="231"/>
      <c r="AJ154" s="231"/>
      <c r="AK154" s="231"/>
      <c r="AL154" s="231"/>
      <c r="AM154" s="231"/>
    </row>
    <row r="155" spans="1:39" s="203" customFormat="1">
      <c r="A155" s="154" t="s">
        <v>131</v>
      </c>
      <c r="B155" s="116"/>
      <c r="C155" s="116"/>
      <c r="D155" s="116"/>
      <c r="E155" s="859"/>
      <c r="F155" s="859"/>
      <c r="G155" s="130"/>
      <c r="H155" s="859"/>
      <c r="I155" s="130"/>
      <c r="J155" s="231"/>
      <c r="K155" s="231"/>
      <c r="L155" s="231"/>
      <c r="M155" s="231"/>
      <c r="N155" s="231"/>
      <c r="O155" s="231"/>
      <c r="P155" s="231"/>
      <c r="Q155" s="231"/>
      <c r="R155" s="231"/>
      <c r="S155" s="231"/>
      <c r="T155" s="231"/>
      <c r="U155" s="231"/>
      <c r="V155" s="231"/>
      <c r="W155" s="231"/>
      <c r="X155" s="231"/>
      <c r="Y155" s="231"/>
      <c r="Z155" s="231"/>
      <c r="AA155" s="231"/>
      <c r="AB155" s="231"/>
      <c r="AC155" s="231"/>
      <c r="AD155" s="231"/>
      <c r="AE155" s="231"/>
      <c r="AF155" s="231"/>
      <c r="AG155" s="231"/>
      <c r="AH155" s="231"/>
      <c r="AI155" s="231"/>
      <c r="AJ155" s="231"/>
      <c r="AK155" s="231"/>
      <c r="AL155" s="231"/>
      <c r="AM155" s="231"/>
    </row>
    <row r="156" spans="1:39" s="203" customFormat="1" ht="12.75" customHeight="1">
      <c r="A156" s="109" t="s">
        <v>83</v>
      </c>
      <c r="B156" s="47"/>
      <c r="C156" s="47"/>
      <c r="D156" s="47"/>
      <c r="E156" s="859"/>
      <c r="F156" s="859"/>
      <c r="G156" s="130"/>
      <c r="H156" s="859"/>
      <c r="I156" s="130"/>
      <c r="J156" s="231"/>
      <c r="K156" s="231"/>
      <c r="L156" s="231"/>
      <c r="M156" s="231"/>
      <c r="N156" s="231"/>
      <c r="O156" s="231"/>
      <c r="P156" s="231"/>
      <c r="Q156" s="231"/>
      <c r="R156" s="231"/>
      <c r="S156" s="231"/>
      <c r="T156" s="231"/>
      <c r="U156" s="231"/>
      <c r="V156" s="231"/>
      <c r="W156" s="231"/>
      <c r="X156" s="231"/>
      <c r="Y156" s="231"/>
      <c r="Z156" s="231"/>
      <c r="AA156" s="231"/>
      <c r="AB156" s="231"/>
      <c r="AC156" s="231"/>
      <c r="AD156" s="231"/>
      <c r="AE156" s="231"/>
      <c r="AF156" s="231"/>
      <c r="AG156" s="231"/>
      <c r="AH156" s="231"/>
      <c r="AI156" s="231"/>
      <c r="AJ156" s="231"/>
      <c r="AK156" s="231"/>
      <c r="AL156" s="231"/>
      <c r="AM156" s="231"/>
    </row>
    <row r="157" spans="1:39" s="203" customFormat="1">
      <c r="A157" s="110" t="s">
        <v>84</v>
      </c>
      <c r="B157" s="132"/>
      <c r="C157" s="132"/>
      <c r="D157" s="132"/>
      <c r="E157" s="860"/>
      <c r="F157" s="860"/>
      <c r="G157" s="130"/>
      <c r="H157" s="860"/>
      <c r="I157" s="130"/>
      <c r="J157" s="231"/>
      <c r="K157" s="231"/>
      <c r="L157" s="231"/>
      <c r="M157" s="231"/>
      <c r="N157" s="231"/>
      <c r="O157" s="231"/>
      <c r="P157" s="231"/>
      <c r="Q157" s="231"/>
      <c r="R157" s="231"/>
      <c r="S157" s="231"/>
      <c r="T157" s="231"/>
      <c r="U157" s="231"/>
      <c r="V157" s="231"/>
      <c r="W157" s="231"/>
      <c r="X157" s="231"/>
      <c r="Y157" s="231"/>
      <c r="Z157" s="231"/>
      <c r="AA157" s="231"/>
      <c r="AB157" s="231"/>
      <c r="AC157" s="231"/>
      <c r="AD157" s="231"/>
      <c r="AE157" s="231"/>
      <c r="AF157" s="231"/>
      <c r="AG157" s="231"/>
      <c r="AH157" s="231"/>
      <c r="AI157" s="231"/>
      <c r="AJ157" s="231"/>
      <c r="AK157" s="231"/>
      <c r="AL157" s="231"/>
      <c r="AM157" s="231"/>
    </row>
    <row r="158" spans="1:39" s="203" customFormat="1">
      <c r="A158" s="119" t="s">
        <v>132</v>
      </c>
      <c r="B158" s="47"/>
      <c r="C158" s="47"/>
      <c r="D158" s="47"/>
      <c r="E158" s="155"/>
      <c r="F158" s="146" t="s">
        <v>133</v>
      </c>
      <c r="G158" s="118"/>
      <c r="H158" s="146"/>
      <c r="I158" s="29"/>
      <c r="J158" s="231"/>
      <c r="K158" s="231"/>
      <c r="L158" s="231"/>
      <c r="M158" s="231"/>
      <c r="N158" s="231"/>
      <c r="O158" s="231"/>
      <c r="P158" s="231"/>
      <c r="Q158" s="231"/>
      <c r="R158" s="231"/>
      <c r="S158" s="231"/>
      <c r="T158" s="231"/>
      <c r="U158" s="231"/>
      <c r="V158" s="231"/>
      <c r="W158" s="231"/>
      <c r="X158" s="231"/>
      <c r="Y158" s="231"/>
      <c r="Z158" s="231"/>
      <c r="AA158" s="231"/>
      <c r="AB158" s="231"/>
      <c r="AC158" s="231"/>
      <c r="AD158" s="231"/>
      <c r="AE158" s="231"/>
      <c r="AF158" s="231"/>
      <c r="AG158" s="231"/>
      <c r="AH158" s="231"/>
      <c r="AI158" s="231"/>
      <c r="AJ158" s="231"/>
      <c r="AK158" s="231"/>
      <c r="AL158" s="231"/>
      <c r="AM158" s="231"/>
    </row>
    <row r="159" spans="1:39" s="203" customFormat="1">
      <c r="A159" s="120">
        <v>1</v>
      </c>
      <c r="B159" s="47" t="s">
        <v>134</v>
      </c>
      <c r="C159" s="47"/>
      <c r="D159" s="47"/>
      <c r="E159" s="74">
        <v>0</v>
      </c>
      <c r="F159" s="52">
        <v>0</v>
      </c>
      <c r="G159" s="118"/>
      <c r="H159" s="122">
        <v>0</v>
      </c>
      <c r="I159" s="29"/>
      <c r="J159" s="231"/>
      <c r="K159" s="231"/>
      <c r="L159" s="231"/>
      <c r="M159" s="231"/>
      <c r="N159" s="231"/>
      <c r="O159" s="231"/>
      <c r="P159" s="231"/>
      <c r="Q159" s="231"/>
      <c r="R159" s="231"/>
      <c r="S159" s="231"/>
      <c r="T159" s="231"/>
      <c r="U159" s="231"/>
      <c r="V159" s="231"/>
      <c r="W159" s="231"/>
      <c r="X159" s="231"/>
      <c r="Y159" s="231"/>
      <c r="Z159" s="231"/>
      <c r="AA159" s="231"/>
      <c r="AB159" s="231"/>
      <c r="AC159" s="231"/>
      <c r="AD159" s="231"/>
      <c r="AE159" s="231"/>
      <c r="AF159" s="231"/>
      <c r="AG159" s="231"/>
      <c r="AH159" s="231"/>
      <c r="AI159" s="231"/>
      <c r="AJ159" s="231"/>
      <c r="AK159" s="231"/>
      <c r="AL159" s="231"/>
      <c r="AM159" s="231"/>
    </row>
    <row r="160" spans="1:39" s="203" customFormat="1">
      <c r="A160" s="120">
        <v>2</v>
      </c>
      <c r="B160" s="47" t="s">
        <v>135</v>
      </c>
      <c r="C160" s="47"/>
      <c r="D160" s="47"/>
      <c r="E160" s="49">
        <v>2861</v>
      </c>
      <c r="F160" s="52">
        <v>2788</v>
      </c>
      <c r="G160" s="118"/>
      <c r="H160" s="122">
        <v>2776</v>
      </c>
      <c r="I160" s="29"/>
      <c r="J160" s="231"/>
      <c r="K160" s="231"/>
      <c r="L160" s="231"/>
      <c r="M160" s="231"/>
      <c r="N160" s="231"/>
      <c r="O160" s="231"/>
      <c r="P160" s="231"/>
      <c r="Q160" s="231"/>
      <c r="R160" s="231"/>
      <c r="S160" s="231"/>
      <c r="T160" s="231"/>
      <c r="U160" s="231"/>
      <c r="V160" s="231"/>
      <c r="W160" s="231"/>
      <c r="X160" s="231"/>
      <c r="Y160" s="231"/>
      <c r="Z160" s="231"/>
      <c r="AA160" s="231"/>
      <c r="AB160" s="231"/>
      <c r="AC160" s="231"/>
      <c r="AD160" s="231"/>
      <c r="AE160" s="231"/>
      <c r="AF160" s="231"/>
      <c r="AG160" s="231"/>
      <c r="AH160" s="231"/>
      <c r="AI160" s="231"/>
      <c r="AJ160" s="231"/>
      <c r="AK160" s="231"/>
      <c r="AL160" s="231"/>
      <c r="AM160" s="231"/>
    </row>
    <row r="161" spans="1:39" s="203" customFormat="1">
      <c r="A161" s="120">
        <v>3</v>
      </c>
      <c r="B161" s="47" t="s">
        <v>136</v>
      </c>
      <c r="C161" s="47"/>
      <c r="D161" s="47"/>
      <c r="E161" s="114">
        <v>4119</v>
      </c>
      <c r="F161" s="52">
        <f>4644-41</f>
        <v>4603</v>
      </c>
      <c r="G161" s="118"/>
      <c r="H161" s="122">
        <v>4526</v>
      </c>
      <c r="I161" s="29"/>
      <c r="J161" s="231"/>
      <c r="K161" s="231"/>
      <c r="L161" s="231"/>
      <c r="M161" s="231"/>
      <c r="N161" s="231"/>
      <c r="O161" s="231"/>
      <c r="P161" s="231"/>
      <c r="Q161" s="231"/>
      <c r="R161" s="231"/>
      <c r="S161" s="231"/>
      <c r="T161" s="231"/>
      <c r="U161" s="231"/>
      <c r="V161" s="231"/>
      <c r="W161" s="231"/>
      <c r="X161" s="231"/>
      <c r="Y161" s="231"/>
      <c r="Z161" s="231"/>
      <c r="AA161" s="231"/>
      <c r="AB161" s="231"/>
      <c r="AC161" s="231"/>
      <c r="AD161" s="231"/>
      <c r="AE161" s="231"/>
      <c r="AF161" s="231"/>
      <c r="AG161" s="231"/>
      <c r="AH161" s="231"/>
      <c r="AI161" s="231"/>
      <c r="AJ161" s="231"/>
      <c r="AK161" s="231"/>
      <c r="AL161" s="231"/>
      <c r="AM161" s="231"/>
    </row>
    <row r="162" spans="1:39" s="203" customFormat="1">
      <c r="A162" s="120">
        <v>4</v>
      </c>
      <c r="B162" s="47" t="s">
        <v>137</v>
      </c>
      <c r="C162" s="47"/>
      <c r="D162" s="47"/>
      <c r="E162" s="114">
        <v>914</v>
      </c>
      <c r="F162" s="52">
        <f>975-195</f>
        <v>780</v>
      </c>
      <c r="G162" s="118"/>
      <c r="H162" s="100">
        <f>992-198</f>
        <v>794</v>
      </c>
      <c r="I162" s="29"/>
      <c r="J162" s="231"/>
      <c r="K162" s="231"/>
      <c r="L162" s="231"/>
      <c r="M162" s="231"/>
      <c r="N162" s="231"/>
      <c r="O162" s="231"/>
      <c r="P162" s="231"/>
      <c r="Q162" s="231"/>
      <c r="R162" s="231"/>
      <c r="S162" s="231"/>
      <c r="T162" s="231"/>
      <c r="U162" s="231"/>
      <c r="V162" s="231"/>
      <c r="W162" s="231"/>
      <c r="X162" s="231"/>
      <c r="Y162" s="231"/>
      <c r="Z162" s="231"/>
      <c r="AA162" s="231"/>
      <c r="AB162" s="231"/>
      <c r="AC162" s="231"/>
      <c r="AD162" s="231"/>
      <c r="AE162" s="231"/>
      <c r="AF162" s="231"/>
      <c r="AG162" s="231"/>
      <c r="AH162" s="231"/>
      <c r="AI162" s="231"/>
      <c r="AJ162" s="231"/>
      <c r="AK162" s="231"/>
      <c r="AL162" s="231"/>
      <c r="AM162" s="231"/>
    </row>
    <row r="163" spans="1:39" s="203" customFormat="1">
      <c r="A163" s="120">
        <v>5</v>
      </c>
      <c r="B163" s="116" t="s">
        <v>138</v>
      </c>
      <c r="C163" s="116"/>
      <c r="D163" s="116"/>
      <c r="E163" s="80">
        <v>7894</v>
      </c>
      <c r="F163" s="142">
        <f>SUM(F159:F162)</f>
        <v>8171</v>
      </c>
      <c r="G163" s="118"/>
      <c r="H163" s="142">
        <f>SUM(H159:H162)</f>
        <v>8096</v>
      </c>
      <c r="I163" s="29"/>
      <c r="J163" s="231"/>
      <c r="K163" s="231"/>
      <c r="L163" s="231"/>
      <c r="M163" s="231"/>
      <c r="N163" s="231"/>
      <c r="O163" s="231"/>
      <c r="P163" s="231"/>
      <c r="Q163" s="231"/>
      <c r="R163" s="231"/>
      <c r="S163" s="231"/>
      <c r="T163" s="231"/>
      <c r="U163" s="231"/>
      <c r="V163" s="231"/>
      <c r="W163" s="231"/>
      <c r="X163" s="231"/>
      <c r="Y163" s="231"/>
      <c r="Z163" s="231"/>
      <c r="AA163" s="231"/>
      <c r="AB163" s="231"/>
      <c r="AC163" s="231"/>
      <c r="AD163" s="231"/>
      <c r="AE163" s="231"/>
      <c r="AF163" s="231"/>
      <c r="AG163" s="231"/>
      <c r="AH163" s="231"/>
      <c r="AI163" s="231"/>
      <c r="AJ163" s="231"/>
      <c r="AK163" s="231"/>
      <c r="AL163" s="231"/>
      <c r="AM163" s="231"/>
    </row>
    <row r="164" spans="1:39" s="203" customFormat="1">
      <c r="A164" s="46"/>
      <c r="B164" s="132"/>
      <c r="C164" s="132"/>
      <c r="D164" s="132"/>
      <c r="E164" s="156"/>
      <c r="F164" s="139"/>
      <c r="G164" s="139"/>
      <c r="H164" s="139"/>
      <c r="I164" s="29"/>
      <c r="J164" s="231"/>
      <c r="K164" s="231"/>
      <c r="L164" s="231"/>
      <c r="M164" s="231"/>
      <c r="N164" s="231"/>
      <c r="O164" s="231"/>
      <c r="P164" s="231"/>
      <c r="Q164" s="231"/>
      <c r="R164" s="231"/>
      <c r="S164" s="231"/>
      <c r="T164" s="231"/>
      <c r="U164" s="231"/>
      <c r="V164" s="231"/>
      <c r="W164" s="231"/>
      <c r="X164" s="231"/>
      <c r="Y164" s="231"/>
      <c r="Z164" s="231"/>
      <c r="AA164" s="231"/>
      <c r="AB164" s="231"/>
      <c r="AC164" s="231"/>
      <c r="AD164" s="231"/>
      <c r="AE164" s="231"/>
      <c r="AF164" s="231"/>
      <c r="AG164" s="231"/>
      <c r="AH164" s="231"/>
      <c r="AI164" s="231"/>
      <c r="AJ164" s="231"/>
      <c r="AK164" s="231"/>
      <c r="AL164" s="231"/>
      <c r="AM164" s="231"/>
    </row>
    <row r="165" spans="1:39" s="203" customFormat="1">
      <c r="A165" s="119" t="s">
        <v>139</v>
      </c>
      <c r="B165" s="47"/>
      <c r="C165" s="47"/>
      <c r="D165" s="47"/>
      <c r="E165" s="140"/>
      <c r="F165" s="146"/>
      <c r="G165" s="118"/>
      <c r="H165" s="146"/>
      <c r="I165" s="29"/>
      <c r="J165" s="231"/>
      <c r="K165" s="231"/>
      <c r="L165" s="231"/>
      <c r="M165" s="231"/>
      <c r="N165" s="231"/>
      <c r="O165" s="231"/>
      <c r="P165" s="231"/>
      <c r="Q165" s="231"/>
      <c r="R165" s="231"/>
      <c r="S165" s="231"/>
      <c r="T165" s="231"/>
      <c r="U165" s="231"/>
      <c r="V165" s="231"/>
      <c r="W165" s="231"/>
      <c r="X165" s="231"/>
      <c r="Y165" s="231"/>
      <c r="Z165" s="231"/>
      <c r="AA165" s="231"/>
      <c r="AB165" s="231"/>
      <c r="AC165" s="231"/>
      <c r="AD165" s="231"/>
      <c r="AE165" s="231"/>
      <c r="AF165" s="231"/>
      <c r="AG165" s="231"/>
      <c r="AH165" s="231"/>
      <c r="AI165" s="231"/>
      <c r="AJ165" s="231"/>
      <c r="AK165" s="231"/>
      <c r="AL165" s="231"/>
      <c r="AM165" s="231"/>
    </row>
    <row r="166" spans="1:39" s="203" customFormat="1">
      <c r="A166" s="120">
        <v>6</v>
      </c>
      <c r="B166" s="47" t="s">
        <v>140</v>
      </c>
      <c r="C166" s="47"/>
      <c r="D166" s="47"/>
      <c r="E166" s="74">
        <v>0</v>
      </c>
      <c r="F166" s="52">
        <v>0</v>
      </c>
      <c r="G166" s="118"/>
      <c r="H166" s="122">
        <v>0</v>
      </c>
      <c r="I166" s="29"/>
      <c r="J166" s="231"/>
      <c r="K166" s="231"/>
      <c r="L166" s="231"/>
      <c r="M166" s="231"/>
      <c r="N166" s="231"/>
      <c r="O166" s="231"/>
      <c r="P166" s="231"/>
      <c r="Q166" s="231"/>
      <c r="R166" s="231"/>
      <c r="S166" s="231"/>
      <c r="T166" s="231"/>
      <c r="U166" s="231"/>
      <c r="V166" s="231"/>
      <c r="W166" s="231"/>
      <c r="X166" s="231"/>
      <c r="Y166" s="231"/>
      <c r="Z166" s="231"/>
      <c r="AA166" s="231"/>
      <c r="AB166" s="231"/>
      <c r="AC166" s="231"/>
      <c r="AD166" s="231"/>
      <c r="AE166" s="231"/>
      <c r="AF166" s="231"/>
      <c r="AG166" s="231"/>
      <c r="AH166" s="231"/>
      <c r="AI166" s="231"/>
      <c r="AJ166" s="231"/>
      <c r="AK166" s="231"/>
      <c r="AL166" s="231"/>
      <c r="AM166" s="231"/>
    </row>
    <row r="167" spans="1:39" s="203" customFormat="1">
      <c r="A167" s="120">
        <v>7</v>
      </c>
      <c r="B167" s="47" t="s">
        <v>141</v>
      </c>
      <c r="C167" s="47"/>
      <c r="D167" s="47"/>
      <c r="E167" s="49">
        <v>435</v>
      </c>
      <c r="F167" s="52">
        <v>202</v>
      </c>
      <c r="G167" s="118"/>
      <c r="H167" s="122">
        <v>201</v>
      </c>
      <c r="I167" s="29"/>
      <c r="J167" s="231"/>
      <c r="K167" s="231"/>
      <c r="L167" s="231"/>
      <c r="M167" s="231"/>
      <c r="N167" s="231"/>
      <c r="O167" s="231"/>
      <c r="P167" s="231"/>
      <c r="Q167" s="231"/>
      <c r="R167" s="231"/>
      <c r="S167" s="231"/>
      <c r="T167" s="231"/>
      <c r="U167" s="231"/>
      <c r="V167" s="231"/>
      <c r="W167" s="231"/>
      <c r="X167" s="231"/>
      <c r="Y167" s="231"/>
      <c r="Z167" s="231"/>
      <c r="AA167" s="231"/>
      <c r="AB167" s="231"/>
      <c r="AC167" s="231"/>
      <c r="AD167" s="231"/>
      <c r="AE167" s="231"/>
      <c r="AF167" s="231"/>
      <c r="AG167" s="231"/>
      <c r="AH167" s="231"/>
      <c r="AI167" s="231"/>
      <c r="AJ167" s="231"/>
      <c r="AK167" s="231"/>
      <c r="AL167" s="231"/>
      <c r="AM167" s="231"/>
    </row>
    <row r="168" spans="1:39" s="203" customFormat="1">
      <c r="A168" s="120">
        <v>8</v>
      </c>
      <c r="B168" s="47" t="s">
        <v>121</v>
      </c>
      <c r="C168" s="47"/>
      <c r="D168" s="47"/>
      <c r="E168" s="49">
        <v>0</v>
      </c>
      <c r="F168" s="52">
        <v>0</v>
      </c>
      <c r="G168" s="118"/>
      <c r="H168" s="100">
        <v>0</v>
      </c>
      <c r="I168" s="29"/>
      <c r="J168" s="231"/>
      <c r="K168" s="231"/>
      <c r="L168" s="231"/>
      <c r="M168" s="231"/>
      <c r="N168" s="231"/>
      <c r="O168" s="231"/>
      <c r="P168" s="231"/>
      <c r="Q168" s="231"/>
      <c r="R168" s="231"/>
      <c r="S168" s="231"/>
      <c r="T168" s="231"/>
      <c r="U168" s="231"/>
      <c r="V168" s="231"/>
      <c r="W168" s="231"/>
      <c r="X168" s="231"/>
      <c r="Y168" s="231"/>
      <c r="Z168" s="231"/>
      <c r="AA168" s="231"/>
      <c r="AB168" s="231"/>
      <c r="AC168" s="231"/>
      <c r="AD168" s="231"/>
      <c r="AE168" s="231"/>
      <c r="AF168" s="231"/>
      <c r="AG168" s="231"/>
      <c r="AH168" s="231"/>
      <c r="AI168" s="231"/>
      <c r="AJ168" s="231"/>
      <c r="AK168" s="231"/>
      <c r="AL168" s="231"/>
      <c r="AM168" s="231"/>
    </row>
    <row r="169" spans="1:39" s="203" customFormat="1">
      <c r="A169" s="120">
        <v>9</v>
      </c>
      <c r="B169" s="116" t="s">
        <v>142</v>
      </c>
      <c r="C169" s="116"/>
      <c r="D169" s="116"/>
      <c r="E169" s="80">
        <v>435</v>
      </c>
      <c r="F169" s="142">
        <f>SUM(F166:F168)</f>
        <v>202</v>
      </c>
      <c r="G169" s="118"/>
      <c r="H169" s="142">
        <f>SUM(H166:H168)</f>
        <v>201</v>
      </c>
      <c r="I169" s="29"/>
      <c r="J169" s="231"/>
      <c r="K169" s="231"/>
      <c r="L169" s="231"/>
      <c r="M169" s="231"/>
      <c r="N169" s="231"/>
      <c r="O169" s="231"/>
      <c r="P169" s="231"/>
      <c r="Q169" s="231"/>
      <c r="R169" s="231"/>
      <c r="S169" s="231"/>
      <c r="T169" s="231"/>
      <c r="U169" s="231"/>
      <c r="V169" s="231"/>
      <c r="W169" s="231"/>
      <c r="X169" s="231"/>
      <c r="Y169" s="231"/>
      <c r="Z169" s="231"/>
      <c r="AA169" s="231"/>
      <c r="AB169" s="231"/>
      <c r="AC169" s="231"/>
      <c r="AD169" s="231"/>
      <c r="AE169" s="231"/>
      <c r="AF169" s="231"/>
      <c r="AG169" s="231"/>
      <c r="AH169" s="231"/>
      <c r="AI169" s="231"/>
      <c r="AJ169" s="231"/>
      <c r="AK169" s="231"/>
      <c r="AL169" s="231"/>
      <c r="AM169" s="231"/>
    </row>
    <row r="170" spans="1:39" s="203" customFormat="1">
      <c r="A170" s="46"/>
      <c r="B170" s="132"/>
      <c r="C170" s="132"/>
      <c r="D170" s="132"/>
      <c r="E170" s="156"/>
      <c r="F170" s="139"/>
      <c r="G170" s="139"/>
      <c r="H170" s="139"/>
      <c r="I170" s="29"/>
      <c r="J170" s="231"/>
      <c r="K170" s="231"/>
      <c r="L170" s="231"/>
      <c r="M170" s="231"/>
      <c r="N170" s="231"/>
      <c r="O170" s="231"/>
      <c r="P170" s="231"/>
      <c r="Q170" s="231"/>
      <c r="R170" s="231"/>
      <c r="S170" s="231"/>
      <c r="T170" s="231"/>
      <c r="U170" s="231"/>
      <c r="V170" s="231"/>
      <c r="W170" s="231"/>
      <c r="X170" s="231"/>
      <c r="Y170" s="231"/>
      <c r="Z170" s="231"/>
      <c r="AA170" s="231"/>
      <c r="AB170" s="231"/>
      <c r="AC170" s="231"/>
      <c r="AD170" s="231"/>
      <c r="AE170" s="231"/>
      <c r="AF170" s="231"/>
      <c r="AG170" s="231"/>
      <c r="AH170" s="231"/>
      <c r="AI170" s="231"/>
      <c r="AJ170" s="231"/>
      <c r="AK170" s="231"/>
      <c r="AL170" s="231"/>
      <c r="AM170" s="231"/>
    </row>
    <row r="171" spans="1:39" s="203" customFormat="1">
      <c r="A171" s="120">
        <v>10</v>
      </c>
      <c r="B171" s="47" t="s">
        <v>143</v>
      </c>
      <c r="C171" s="47"/>
      <c r="D171" s="47"/>
      <c r="E171" s="41">
        <v>-204</v>
      </c>
      <c r="F171" s="121">
        <v>270</v>
      </c>
      <c r="G171" s="118"/>
      <c r="H171" s="133">
        <v>-87</v>
      </c>
      <c r="I171" s="29"/>
      <c r="J171" s="231"/>
      <c r="K171" s="231"/>
      <c r="L171" s="231"/>
      <c r="M171" s="231"/>
      <c r="N171" s="231"/>
      <c r="O171" s="231"/>
      <c r="P171" s="231"/>
      <c r="Q171" s="231"/>
      <c r="R171" s="231"/>
      <c r="S171" s="231"/>
      <c r="T171" s="231"/>
      <c r="U171" s="231"/>
      <c r="V171" s="231"/>
      <c r="W171" s="231"/>
      <c r="X171" s="231"/>
      <c r="Y171" s="231"/>
      <c r="Z171" s="231"/>
      <c r="AA171" s="231"/>
      <c r="AB171" s="231"/>
      <c r="AC171" s="231"/>
      <c r="AD171" s="231"/>
      <c r="AE171" s="231"/>
      <c r="AF171" s="231"/>
      <c r="AG171" s="231"/>
      <c r="AH171" s="231"/>
      <c r="AI171" s="231"/>
      <c r="AJ171" s="231"/>
      <c r="AK171" s="231"/>
      <c r="AL171" s="231"/>
      <c r="AM171" s="231"/>
    </row>
    <row r="172" spans="1:39" s="203" customFormat="1">
      <c r="A172" s="120">
        <v>11</v>
      </c>
      <c r="B172" s="47" t="s">
        <v>144</v>
      </c>
      <c r="C172" s="47"/>
      <c r="D172" s="47"/>
      <c r="E172" s="56">
        <v>0</v>
      </c>
      <c r="F172" s="126">
        <v>0</v>
      </c>
      <c r="G172" s="118"/>
      <c r="H172" s="100">
        <v>0</v>
      </c>
      <c r="I172" s="29"/>
      <c r="J172" s="231"/>
      <c r="K172" s="231"/>
      <c r="L172" s="231"/>
      <c r="M172" s="231"/>
      <c r="N172" s="231"/>
      <c r="O172" s="231"/>
      <c r="P172" s="231"/>
      <c r="Q172" s="231"/>
      <c r="R172" s="231"/>
      <c r="S172" s="231"/>
      <c r="T172" s="231"/>
      <c r="U172" s="231"/>
      <c r="V172" s="231"/>
      <c r="W172" s="231"/>
      <c r="X172" s="231"/>
      <c r="Y172" s="231"/>
      <c r="Z172" s="231"/>
      <c r="AA172" s="231"/>
      <c r="AB172" s="231"/>
      <c r="AC172" s="231"/>
      <c r="AD172" s="231"/>
      <c r="AE172" s="231"/>
      <c r="AF172" s="231"/>
      <c r="AG172" s="231"/>
      <c r="AH172" s="231"/>
      <c r="AI172" s="231"/>
      <c r="AJ172" s="231"/>
      <c r="AK172" s="231"/>
      <c r="AL172" s="231"/>
      <c r="AM172" s="231"/>
    </row>
    <row r="173" spans="1:39" s="203" customFormat="1">
      <c r="A173" s="46"/>
      <c r="B173" s="132"/>
      <c r="C173" s="132"/>
      <c r="D173" s="132"/>
      <c r="E173" s="156"/>
      <c r="F173" s="139"/>
      <c r="G173" s="139"/>
      <c r="H173" s="139"/>
      <c r="I173" s="29"/>
      <c r="J173" s="231"/>
      <c r="K173" s="231"/>
      <c r="L173" s="231"/>
      <c r="M173" s="231"/>
      <c r="N173" s="231"/>
      <c r="O173" s="231"/>
      <c r="P173" s="231"/>
      <c r="Q173" s="231"/>
      <c r="R173" s="231"/>
      <c r="S173" s="231"/>
      <c r="T173" s="231"/>
      <c r="U173" s="231"/>
      <c r="V173" s="231"/>
      <c r="W173" s="231"/>
      <c r="X173" s="231"/>
      <c r="Y173" s="231"/>
      <c r="Z173" s="231"/>
      <c r="AA173" s="231"/>
      <c r="AB173" s="231"/>
      <c r="AC173" s="231"/>
      <c r="AD173" s="231"/>
      <c r="AE173" s="231"/>
      <c r="AF173" s="231"/>
      <c r="AG173" s="231"/>
      <c r="AH173" s="231"/>
      <c r="AI173" s="231"/>
      <c r="AJ173" s="231"/>
      <c r="AK173" s="231"/>
      <c r="AL173" s="231"/>
      <c r="AM173" s="231"/>
    </row>
    <row r="174" spans="1:39" s="203" customFormat="1">
      <c r="A174" s="119" t="s">
        <v>145</v>
      </c>
      <c r="B174" s="47"/>
      <c r="C174" s="47"/>
      <c r="D174" s="47"/>
      <c r="E174" s="157"/>
      <c r="F174" s="146"/>
      <c r="G174" s="118"/>
      <c r="H174" s="146"/>
      <c r="I174" s="29"/>
      <c r="J174" s="231"/>
      <c r="K174" s="231"/>
      <c r="L174" s="231"/>
      <c r="M174" s="231"/>
      <c r="N174" s="231"/>
      <c r="O174" s="231"/>
      <c r="P174" s="231"/>
      <c r="Q174" s="231"/>
      <c r="R174" s="231"/>
      <c r="S174" s="231"/>
      <c r="T174" s="231"/>
      <c r="U174" s="231"/>
      <c r="V174" s="231"/>
      <c r="W174" s="231"/>
      <c r="X174" s="231"/>
      <c r="Y174" s="231"/>
      <c r="Z174" s="231"/>
      <c r="AA174" s="231"/>
      <c r="AB174" s="231"/>
      <c r="AC174" s="231"/>
      <c r="AD174" s="231"/>
      <c r="AE174" s="231"/>
      <c r="AF174" s="231"/>
      <c r="AG174" s="231"/>
      <c r="AH174" s="231"/>
      <c r="AI174" s="231"/>
      <c r="AJ174" s="231"/>
      <c r="AK174" s="231"/>
      <c r="AL174" s="231"/>
      <c r="AM174" s="231"/>
    </row>
    <row r="175" spans="1:39" s="203" customFormat="1">
      <c r="A175" s="120">
        <v>12</v>
      </c>
      <c r="B175" s="47" t="s">
        <v>146</v>
      </c>
      <c r="C175" s="47"/>
      <c r="D175" s="47"/>
      <c r="E175" s="74">
        <v>0</v>
      </c>
      <c r="F175" s="52">
        <v>0</v>
      </c>
      <c r="G175" s="118"/>
      <c r="H175" s="122">
        <v>0</v>
      </c>
      <c r="I175" s="29"/>
      <c r="J175" s="231"/>
      <c r="K175" s="231"/>
      <c r="L175" s="231"/>
      <c r="M175" s="231"/>
      <c r="N175" s="231"/>
      <c r="O175" s="231"/>
      <c r="P175" s="231"/>
      <c r="Q175" s="231"/>
      <c r="R175" s="231"/>
      <c r="S175" s="231"/>
      <c r="T175" s="231"/>
      <c r="U175" s="231"/>
      <c r="V175" s="231"/>
      <c r="W175" s="231"/>
      <c r="X175" s="231"/>
      <c r="Y175" s="231"/>
      <c r="Z175" s="231"/>
      <c r="AA175" s="231"/>
      <c r="AB175" s="231"/>
      <c r="AC175" s="231"/>
      <c r="AD175" s="231"/>
      <c r="AE175" s="231"/>
      <c r="AF175" s="231"/>
      <c r="AG175" s="231"/>
      <c r="AH175" s="231"/>
      <c r="AI175" s="231"/>
      <c r="AJ175" s="231"/>
      <c r="AK175" s="231"/>
      <c r="AL175" s="231"/>
      <c r="AM175" s="231"/>
    </row>
    <row r="176" spans="1:39" s="203" customFormat="1">
      <c r="A176" s="120">
        <v>13</v>
      </c>
      <c r="B176" s="47" t="s">
        <v>147</v>
      </c>
      <c r="C176" s="47"/>
      <c r="D176" s="47"/>
      <c r="E176" s="49">
        <v>1919</v>
      </c>
      <c r="F176" s="52">
        <v>2004</v>
      </c>
      <c r="G176" s="118"/>
      <c r="H176" s="52">
        <v>1989</v>
      </c>
      <c r="I176" s="29"/>
      <c r="J176" s="231"/>
      <c r="K176" s="231"/>
      <c r="L176" s="231"/>
      <c r="M176" s="231"/>
      <c r="N176" s="231"/>
      <c r="O176" s="231"/>
      <c r="P176" s="231"/>
      <c r="Q176" s="231"/>
      <c r="R176" s="231"/>
      <c r="S176" s="231"/>
      <c r="T176" s="231"/>
      <c r="U176" s="231"/>
      <c r="V176" s="231"/>
      <c r="W176" s="231"/>
      <c r="X176" s="231"/>
      <c r="Y176" s="231"/>
      <c r="Z176" s="231"/>
      <c r="AA176" s="231"/>
      <c r="AB176" s="231"/>
      <c r="AC176" s="231"/>
      <c r="AD176" s="231"/>
      <c r="AE176" s="231"/>
      <c r="AF176" s="231"/>
      <c r="AG176" s="231"/>
      <c r="AH176" s="231"/>
      <c r="AI176" s="231"/>
      <c r="AJ176" s="231"/>
      <c r="AK176" s="231"/>
      <c r="AL176" s="231"/>
      <c r="AM176" s="231"/>
    </row>
    <row r="177" spans="1:39" s="203" customFormat="1">
      <c r="A177" s="120">
        <v>14</v>
      </c>
      <c r="B177" s="47" t="s">
        <v>148</v>
      </c>
      <c r="C177" s="47"/>
      <c r="D177" s="47"/>
      <c r="E177" s="56">
        <v>402</v>
      </c>
      <c r="F177" s="52">
        <f>2181-F176</f>
        <v>177</v>
      </c>
      <c r="G177" s="118"/>
      <c r="H177" s="52">
        <f>2181-H176</f>
        <v>192</v>
      </c>
      <c r="I177" s="29"/>
      <c r="J177" s="231"/>
      <c r="K177" s="231"/>
      <c r="L177" s="231"/>
      <c r="M177" s="231"/>
      <c r="N177" s="231"/>
      <c r="O177" s="231"/>
      <c r="P177" s="231"/>
      <c r="Q177" s="231"/>
      <c r="R177" s="231"/>
      <c r="S177" s="231"/>
      <c r="T177" s="231"/>
      <c r="U177" s="231"/>
      <c r="V177" s="231"/>
      <c r="W177" s="231"/>
      <c r="X177" s="231"/>
      <c r="Y177" s="231"/>
      <c r="Z177" s="231"/>
      <c r="AA177" s="231"/>
      <c r="AB177" s="231"/>
      <c r="AC177" s="231"/>
      <c r="AD177" s="231"/>
      <c r="AE177" s="231"/>
      <c r="AF177" s="231"/>
      <c r="AG177" s="231"/>
      <c r="AH177" s="231"/>
      <c r="AI177" s="231"/>
      <c r="AJ177" s="231"/>
      <c r="AK177" s="231"/>
      <c r="AL177" s="231"/>
      <c r="AM177" s="231"/>
    </row>
    <row r="178" spans="1:39" s="203" customFormat="1">
      <c r="A178" s="120">
        <v>15</v>
      </c>
      <c r="B178" s="116" t="s">
        <v>149</v>
      </c>
      <c r="C178" s="116"/>
      <c r="D178" s="116"/>
      <c r="E178" s="80">
        <v>2321</v>
      </c>
      <c r="F178" s="142">
        <f>SUM(F175:F177)</f>
        <v>2181</v>
      </c>
      <c r="G178" s="118"/>
      <c r="H178" s="142">
        <f>SUM(H175:H177)</f>
        <v>2181</v>
      </c>
      <c r="I178" s="29"/>
      <c r="J178" s="231"/>
      <c r="K178" s="231"/>
      <c r="L178" s="231"/>
      <c r="M178" s="231"/>
      <c r="N178" s="231"/>
      <c r="O178" s="231"/>
      <c r="P178" s="231"/>
      <c r="Q178" s="231"/>
      <c r="R178" s="231"/>
      <c r="S178" s="231"/>
      <c r="T178" s="231"/>
      <c r="U178" s="231"/>
      <c r="V178" s="231"/>
      <c r="W178" s="231"/>
      <c r="X178" s="231"/>
      <c r="Y178" s="231"/>
      <c r="Z178" s="231"/>
      <c r="AA178" s="231"/>
      <c r="AB178" s="231"/>
      <c r="AC178" s="231"/>
      <c r="AD178" s="231"/>
      <c r="AE178" s="231"/>
      <c r="AF178" s="231"/>
      <c r="AG178" s="231"/>
      <c r="AH178" s="231"/>
      <c r="AI178" s="231"/>
      <c r="AJ178" s="231"/>
      <c r="AK178" s="231"/>
      <c r="AL178" s="231"/>
      <c r="AM178" s="231"/>
    </row>
    <row r="179" spans="1:39" s="203" customFormat="1">
      <c r="A179" s="120">
        <v>16</v>
      </c>
      <c r="B179" s="116" t="s">
        <v>150</v>
      </c>
      <c r="C179" s="116"/>
      <c r="D179" s="116"/>
      <c r="E179" s="80">
        <v>2321</v>
      </c>
      <c r="F179" s="158">
        <f>F172+F178</f>
        <v>2181</v>
      </c>
      <c r="G179" s="118"/>
      <c r="H179" s="158">
        <f>H172+H178</f>
        <v>2181</v>
      </c>
      <c r="I179" s="29"/>
      <c r="J179" s="231"/>
      <c r="K179" s="231"/>
      <c r="L179" s="231"/>
      <c r="M179" s="231"/>
      <c r="N179" s="231"/>
      <c r="O179" s="231"/>
      <c r="P179" s="231"/>
      <c r="Q179" s="231"/>
      <c r="R179" s="231"/>
      <c r="S179" s="231"/>
      <c r="T179" s="231"/>
      <c r="U179" s="231"/>
      <c r="V179" s="231"/>
      <c r="W179" s="231"/>
      <c r="X179" s="231"/>
      <c r="Y179" s="231"/>
      <c r="Z179" s="231"/>
      <c r="AA179" s="231"/>
      <c r="AB179" s="231"/>
      <c r="AC179" s="231"/>
      <c r="AD179" s="231"/>
      <c r="AE179" s="231"/>
      <c r="AF179" s="231"/>
      <c r="AG179" s="231"/>
      <c r="AH179" s="231"/>
      <c r="AI179" s="231"/>
      <c r="AJ179" s="231"/>
      <c r="AK179" s="231"/>
      <c r="AL179" s="231"/>
      <c r="AM179" s="231"/>
    </row>
    <row r="180" spans="1:39" s="203" customFormat="1">
      <c r="A180" s="120">
        <v>17</v>
      </c>
      <c r="B180" s="116" t="s">
        <v>151</v>
      </c>
      <c r="C180" s="116"/>
      <c r="D180" s="116"/>
      <c r="E180" s="159">
        <v>10446</v>
      </c>
      <c r="F180" s="61">
        <f>SUM(F163+F169+F171+F179)</f>
        <v>10824</v>
      </c>
      <c r="G180" s="118"/>
      <c r="H180" s="61">
        <f>SUM(H163+H169+H171+H179)</f>
        <v>10391</v>
      </c>
      <c r="I180" s="29"/>
      <c r="J180" s="231"/>
      <c r="K180" s="231"/>
      <c r="L180" s="231"/>
      <c r="M180" s="231"/>
      <c r="N180" s="231"/>
      <c r="O180" s="231"/>
      <c r="P180" s="231"/>
      <c r="Q180" s="231"/>
      <c r="R180" s="231"/>
      <c r="S180" s="231"/>
      <c r="T180" s="231"/>
      <c r="U180" s="231"/>
      <c r="V180" s="231"/>
      <c r="W180" s="231"/>
      <c r="X180" s="231"/>
      <c r="Y180" s="231"/>
      <c r="Z180" s="231"/>
      <c r="AA180" s="231"/>
      <c r="AB180" s="231"/>
      <c r="AC180" s="231"/>
      <c r="AD180" s="231"/>
      <c r="AE180" s="231"/>
      <c r="AF180" s="231"/>
      <c r="AG180" s="231"/>
      <c r="AH180" s="231"/>
      <c r="AI180" s="231"/>
      <c r="AJ180" s="231"/>
      <c r="AK180" s="231"/>
      <c r="AL180" s="231"/>
      <c r="AM180" s="231"/>
    </row>
    <row r="181" spans="1:39" s="203" customFormat="1">
      <c r="A181" s="46"/>
      <c r="B181" s="132"/>
      <c r="C181" s="132"/>
      <c r="D181" s="132"/>
      <c r="E181" s="156"/>
      <c r="F181" s="139"/>
      <c r="G181" s="139"/>
      <c r="H181" s="139"/>
      <c r="I181" s="29"/>
      <c r="J181" s="231"/>
      <c r="K181" s="231"/>
      <c r="L181" s="231"/>
      <c r="M181" s="231"/>
      <c r="N181" s="231"/>
      <c r="O181" s="231"/>
      <c r="P181" s="231"/>
      <c r="Q181" s="231"/>
      <c r="R181" s="231"/>
      <c r="S181" s="231"/>
      <c r="T181" s="231"/>
      <c r="U181" s="231"/>
      <c r="V181" s="231"/>
      <c r="W181" s="231"/>
      <c r="X181" s="231"/>
      <c r="Y181" s="231"/>
      <c r="Z181" s="231"/>
      <c r="AA181" s="231"/>
      <c r="AB181" s="231"/>
      <c r="AC181" s="231"/>
      <c r="AD181" s="231"/>
      <c r="AE181" s="231"/>
      <c r="AF181" s="231"/>
      <c r="AG181" s="231"/>
      <c r="AH181" s="231"/>
      <c r="AI181" s="231"/>
      <c r="AJ181" s="231"/>
      <c r="AK181" s="231"/>
      <c r="AL181" s="231"/>
      <c r="AM181" s="231"/>
    </row>
    <row r="182" spans="1:39" s="203" customFormat="1">
      <c r="A182" s="119" t="s">
        <v>152</v>
      </c>
      <c r="B182" s="47"/>
      <c r="C182" s="47"/>
      <c r="D182" s="116"/>
      <c r="E182" s="117"/>
      <c r="F182" s="118"/>
      <c r="G182" s="118"/>
      <c r="H182" s="118"/>
      <c r="I182" s="29"/>
      <c r="J182" s="231"/>
      <c r="K182" s="231"/>
      <c r="L182" s="231"/>
      <c r="M182" s="231"/>
      <c r="N182" s="231"/>
      <c r="O182" s="231"/>
      <c r="P182" s="231"/>
      <c r="Q182" s="231"/>
      <c r="R182" s="231"/>
      <c r="S182" s="231"/>
      <c r="T182" s="231"/>
      <c r="U182" s="231"/>
      <c r="V182" s="231"/>
      <c r="W182" s="231"/>
      <c r="X182" s="231"/>
      <c r="Y182" s="231"/>
      <c r="Z182" s="231"/>
      <c r="AA182" s="231"/>
      <c r="AB182" s="231"/>
      <c r="AC182" s="231"/>
      <c r="AD182" s="231"/>
      <c r="AE182" s="231"/>
      <c r="AF182" s="231"/>
      <c r="AG182" s="231"/>
      <c r="AH182" s="231"/>
      <c r="AI182" s="231"/>
      <c r="AJ182" s="231"/>
      <c r="AK182" s="231"/>
      <c r="AL182" s="231"/>
      <c r="AM182" s="231"/>
    </row>
    <row r="183" spans="1:39" s="203" customFormat="1">
      <c r="A183" s="120">
        <v>18</v>
      </c>
      <c r="B183" s="47" t="s">
        <v>153</v>
      </c>
      <c r="C183" s="47"/>
      <c r="D183" s="47"/>
      <c r="E183" s="41">
        <v>1919</v>
      </c>
      <c r="F183" s="121">
        <f>+F176</f>
        <v>2004</v>
      </c>
      <c r="G183" s="118"/>
      <c r="H183" s="133">
        <f>+H176</f>
        <v>1989</v>
      </c>
      <c r="I183" s="29"/>
      <c r="J183" s="231"/>
      <c r="K183" s="231"/>
      <c r="L183" s="231"/>
      <c r="M183" s="231"/>
      <c r="N183" s="231"/>
      <c r="O183" s="231"/>
      <c r="P183" s="231"/>
      <c r="Q183" s="231"/>
      <c r="R183" s="231"/>
      <c r="S183" s="231"/>
      <c r="T183" s="231"/>
      <c r="U183" s="231"/>
      <c r="V183" s="231"/>
      <c r="W183" s="231"/>
      <c r="X183" s="231"/>
      <c r="Y183" s="231"/>
      <c r="Z183" s="231"/>
      <c r="AA183" s="231"/>
      <c r="AB183" s="231"/>
      <c r="AC183" s="231"/>
      <c r="AD183" s="231"/>
      <c r="AE183" s="231"/>
      <c r="AF183" s="231"/>
      <c r="AG183" s="231"/>
      <c r="AH183" s="231"/>
      <c r="AI183" s="231"/>
      <c r="AJ183" s="231"/>
      <c r="AK183" s="231"/>
      <c r="AL183" s="231"/>
      <c r="AM183" s="231"/>
    </row>
    <row r="184" spans="1:39" s="203" customFormat="1">
      <c r="A184" s="120">
        <v>19</v>
      </c>
      <c r="B184" s="47" t="s">
        <v>154</v>
      </c>
      <c r="C184" s="47"/>
      <c r="D184" s="47"/>
      <c r="E184" s="49">
        <v>0</v>
      </c>
      <c r="F184" s="52"/>
      <c r="G184" s="118"/>
      <c r="H184" s="122"/>
      <c r="I184" s="29"/>
      <c r="J184" s="231"/>
      <c r="K184" s="231"/>
      <c r="L184" s="231"/>
      <c r="M184" s="231"/>
      <c r="N184" s="231"/>
      <c r="O184" s="231"/>
      <c r="P184" s="231"/>
      <c r="Q184" s="231"/>
      <c r="R184" s="231"/>
      <c r="S184" s="231"/>
      <c r="T184" s="231"/>
      <c r="U184" s="231"/>
      <c r="V184" s="231"/>
      <c r="W184" s="231"/>
      <c r="X184" s="231"/>
      <c r="Y184" s="231"/>
      <c r="Z184" s="231"/>
      <c r="AA184" s="231"/>
      <c r="AB184" s="231"/>
      <c r="AC184" s="231"/>
      <c r="AD184" s="231"/>
      <c r="AE184" s="231"/>
      <c r="AF184" s="231"/>
      <c r="AG184" s="231"/>
      <c r="AH184" s="231"/>
      <c r="AI184" s="231"/>
      <c r="AJ184" s="231"/>
      <c r="AK184" s="231"/>
      <c r="AL184" s="231"/>
      <c r="AM184" s="231"/>
    </row>
    <row r="185" spans="1:39" s="203" customFormat="1">
      <c r="A185" s="120">
        <v>20</v>
      </c>
      <c r="B185" s="47" t="s">
        <v>155</v>
      </c>
      <c r="C185" s="47"/>
      <c r="D185" s="47"/>
      <c r="E185" s="49">
        <v>0</v>
      </c>
      <c r="F185" s="52"/>
      <c r="G185" s="118"/>
      <c r="H185" s="122"/>
      <c r="I185" s="29"/>
      <c r="J185" s="231"/>
      <c r="K185" s="231"/>
      <c r="L185" s="231"/>
      <c r="M185" s="231"/>
      <c r="N185" s="231"/>
      <c r="O185" s="231"/>
      <c r="P185" s="231"/>
      <c r="Q185" s="231"/>
      <c r="R185" s="231"/>
      <c r="S185" s="231"/>
      <c r="T185" s="231"/>
      <c r="U185" s="231"/>
      <c r="V185" s="231"/>
      <c r="W185" s="231"/>
      <c r="X185" s="231"/>
      <c r="Y185" s="231"/>
      <c r="Z185" s="231"/>
      <c r="AA185" s="231"/>
      <c r="AB185" s="231"/>
      <c r="AC185" s="231"/>
      <c r="AD185" s="231"/>
      <c r="AE185" s="231"/>
      <c r="AF185" s="231"/>
      <c r="AG185" s="231"/>
      <c r="AH185" s="231"/>
      <c r="AI185" s="231"/>
      <c r="AJ185" s="231"/>
      <c r="AK185" s="231"/>
      <c r="AL185" s="231"/>
      <c r="AM185" s="231"/>
    </row>
    <row r="186" spans="1:39" s="203" customFormat="1">
      <c r="A186" s="120">
        <v>21</v>
      </c>
      <c r="B186" s="47" t="s">
        <v>156</v>
      </c>
      <c r="C186" s="47"/>
      <c r="D186" s="47"/>
      <c r="E186" s="49">
        <v>0</v>
      </c>
      <c r="F186" s="52"/>
      <c r="G186" s="118"/>
      <c r="H186" s="122"/>
      <c r="I186" s="29"/>
      <c r="J186" s="231"/>
      <c r="K186" s="231"/>
      <c r="L186" s="231"/>
      <c r="M186" s="231"/>
      <c r="N186" s="231"/>
      <c r="O186" s="231"/>
      <c r="P186" s="231"/>
      <c r="Q186" s="231"/>
      <c r="R186" s="231"/>
      <c r="S186" s="231"/>
      <c r="T186" s="231"/>
      <c r="U186" s="231"/>
      <c r="V186" s="231"/>
      <c r="W186" s="231"/>
      <c r="X186" s="231"/>
      <c r="Y186" s="231"/>
      <c r="Z186" s="231"/>
      <c r="AA186" s="231"/>
      <c r="AB186" s="231"/>
      <c r="AC186" s="231"/>
      <c r="AD186" s="231"/>
      <c r="AE186" s="231"/>
      <c r="AF186" s="231"/>
      <c r="AG186" s="231"/>
      <c r="AH186" s="231"/>
      <c r="AI186" s="231"/>
      <c r="AJ186" s="231"/>
      <c r="AK186" s="231"/>
      <c r="AL186" s="231"/>
      <c r="AM186" s="231"/>
    </row>
    <row r="187" spans="1:39" s="203" customFormat="1">
      <c r="A187" s="120">
        <v>22</v>
      </c>
      <c r="B187" s="47" t="s">
        <v>157</v>
      </c>
      <c r="C187" s="47"/>
      <c r="D187" s="47"/>
      <c r="E187" s="49">
        <v>0</v>
      </c>
      <c r="F187" s="52"/>
      <c r="G187" s="118"/>
      <c r="H187" s="122"/>
      <c r="I187" s="29"/>
      <c r="J187" s="231"/>
      <c r="K187" s="231"/>
      <c r="L187" s="231"/>
      <c r="M187" s="231"/>
      <c r="N187" s="231"/>
      <c r="O187" s="231"/>
      <c r="P187" s="231"/>
      <c r="Q187" s="231"/>
      <c r="R187" s="231"/>
      <c r="S187" s="231"/>
      <c r="T187" s="231"/>
      <c r="U187" s="231"/>
      <c r="V187" s="231"/>
      <c r="W187" s="231"/>
      <c r="X187" s="231"/>
      <c r="Y187" s="231"/>
      <c r="Z187" s="231"/>
      <c r="AA187" s="231"/>
      <c r="AB187" s="231"/>
      <c r="AC187" s="231"/>
      <c r="AD187" s="231"/>
      <c r="AE187" s="231"/>
      <c r="AF187" s="231"/>
      <c r="AG187" s="231"/>
      <c r="AH187" s="231"/>
      <c r="AI187" s="231"/>
      <c r="AJ187" s="231"/>
      <c r="AK187" s="231"/>
      <c r="AL187" s="231"/>
      <c r="AM187" s="231"/>
    </row>
    <row r="188" spans="1:39" s="203" customFormat="1">
      <c r="A188" s="120">
        <v>23</v>
      </c>
      <c r="B188" s="47" t="s">
        <v>158</v>
      </c>
      <c r="C188" s="47"/>
      <c r="D188" s="47"/>
      <c r="E188" s="49">
        <v>0</v>
      </c>
      <c r="F188" s="52"/>
      <c r="G188" s="118"/>
      <c r="H188" s="122"/>
      <c r="I188" s="29"/>
      <c r="J188" s="231"/>
      <c r="K188" s="231"/>
      <c r="L188" s="231"/>
      <c r="M188" s="231"/>
      <c r="N188" s="231"/>
      <c r="O188" s="231"/>
      <c r="P188" s="231"/>
      <c r="Q188" s="231"/>
      <c r="R188" s="231"/>
      <c r="S188" s="231"/>
      <c r="T188" s="231"/>
      <c r="U188" s="231"/>
      <c r="V188" s="231"/>
      <c r="W188" s="231"/>
      <c r="X188" s="231"/>
      <c r="Y188" s="231"/>
      <c r="Z188" s="231"/>
      <c r="AA188" s="231"/>
      <c r="AB188" s="231"/>
      <c r="AC188" s="231"/>
      <c r="AD188" s="231"/>
      <c r="AE188" s="231"/>
      <c r="AF188" s="231"/>
      <c r="AG188" s="231"/>
      <c r="AH188" s="231"/>
      <c r="AI188" s="231"/>
      <c r="AJ188" s="231"/>
      <c r="AK188" s="231"/>
      <c r="AL188" s="231"/>
      <c r="AM188" s="231"/>
    </row>
    <row r="189" spans="1:39" s="203" customFormat="1">
      <c r="A189" s="120">
        <v>24</v>
      </c>
      <c r="B189" s="47" t="s">
        <v>159</v>
      </c>
      <c r="C189" s="47"/>
      <c r="D189" s="47"/>
      <c r="E189" s="49">
        <v>0</v>
      </c>
      <c r="F189" s="52"/>
      <c r="G189" s="118"/>
      <c r="H189" s="122"/>
      <c r="I189" s="29"/>
      <c r="J189" s="231"/>
      <c r="K189" s="231"/>
      <c r="L189" s="231"/>
      <c r="M189" s="231"/>
      <c r="N189" s="231"/>
      <c r="O189" s="231"/>
      <c r="P189" s="231"/>
      <c r="Q189" s="231"/>
      <c r="R189" s="231"/>
      <c r="S189" s="231"/>
      <c r="T189" s="231"/>
      <c r="U189" s="231"/>
      <c r="V189" s="231"/>
      <c r="W189" s="231"/>
      <c r="X189" s="231"/>
      <c r="Y189" s="231"/>
      <c r="Z189" s="231"/>
      <c r="AA189" s="231"/>
      <c r="AB189" s="231"/>
      <c r="AC189" s="231"/>
      <c r="AD189" s="231"/>
      <c r="AE189" s="231"/>
      <c r="AF189" s="231"/>
      <c r="AG189" s="231"/>
      <c r="AH189" s="231"/>
      <c r="AI189" s="231"/>
      <c r="AJ189" s="231"/>
      <c r="AK189" s="231"/>
      <c r="AL189" s="231"/>
      <c r="AM189" s="231"/>
    </row>
    <row r="190" spans="1:39" s="203" customFormat="1">
      <c r="A190" s="124">
        <v>25</v>
      </c>
      <c r="B190" s="54" t="s">
        <v>160</v>
      </c>
      <c r="C190" s="54"/>
      <c r="D190" s="54"/>
      <c r="E190" s="56">
        <v>0</v>
      </c>
      <c r="F190" s="126"/>
      <c r="G190" s="118"/>
      <c r="H190" s="100"/>
      <c r="I190" s="24"/>
      <c r="J190" s="231"/>
      <c r="K190" s="231"/>
      <c r="L190" s="231"/>
      <c r="M190" s="231"/>
      <c r="N190" s="231"/>
      <c r="O190" s="231"/>
      <c r="P190" s="231"/>
      <c r="Q190" s="231"/>
      <c r="R190" s="231"/>
      <c r="S190" s="231"/>
      <c r="T190" s="231"/>
      <c r="U190" s="231"/>
      <c r="V190" s="231"/>
      <c r="W190" s="231"/>
      <c r="X190" s="231"/>
      <c r="Y190" s="231"/>
      <c r="Z190" s="231"/>
      <c r="AA190" s="231"/>
      <c r="AB190" s="231"/>
      <c r="AC190" s="231"/>
      <c r="AD190" s="231"/>
      <c r="AE190" s="231"/>
      <c r="AF190" s="231"/>
      <c r="AG190" s="231"/>
      <c r="AH190" s="231"/>
      <c r="AI190" s="231"/>
      <c r="AJ190" s="231"/>
      <c r="AK190" s="231"/>
      <c r="AL190" s="231"/>
      <c r="AM190" s="231"/>
    </row>
    <row r="191" spans="1:39" s="203" customFormat="1">
      <c r="A191" s="161"/>
      <c r="B191" s="129"/>
      <c r="C191" s="129"/>
      <c r="D191" s="149"/>
      <c r="E191" s="162"/>
      <c r="F191" s="29"/>
      <c r="G191" s="29"/>
      <c r="H191" s="207"/>
      <c r="I191" s="29"/>
      <c r="J191" s="231"/>
      <c r="K191" s="231"/>
      <c r="L191" s="231"/>
      <c r="M191" s="231"/>
      <c r="N191" s="231"/>
      <c r="O191" s="231"/>
      <c r="P191" s="231"/>
      <c r="Q191" s="231"/>
      <c r="R191" s="231"/>
      <c r="S191" s="231"/>
      <c r="T191" s="231"/>
      <c r="U191" s="231"/>
      <c r="V191" s="231"/>
      <c r="W191" s="231"/>
      <c r="X191" s="231"/>
      <c r="Y191" s="231"/>
      <c r="Z191" s="231"/>
      <c r="AA191" s="231"/>
      <c r="AB191" s="231"/>
      <c r="AC191" s="231"/>
      <c r="AD191" s="231"/>
      <c r="AE191" s="231"/>
      <c r="AF191" s="231"/>
      <c r="AG191" s="231"/>
      <c r="AH191" s="231"/>
      <c r="AI191" s="231"/>
      <c r="AJ191" s="231"/>
      <c r="AK191" s="231"/>
      <c r="AL191" s="231"/>
      <c r="AM191" s="231"/>
    </row>
    <row r="192" spans="1:39" s="203" customFormat="1">
      <c r="A192" s="161"/>
      <c r="B192" s="129"/>
      <c r="C192" s="129"/>
      <c r="D192" s="151"/>
      <c r="E192" s="163"/>
      <c r="F192" s="29"/>
      <c r="G192" s="29"/>
      <c r="H192" s="131" t="s">
        <v>27</v>
      </c>
      <c r="I192" s="29"/>
      <c r="J192" s="231"/>
      <c r="K192" s="231"/>
      <c r="L192" s="231"/>
      <c r="M192" s="231"/>
      <c r="N192" s="231"/>
      <c r="O192" s="231"/>
      <c r="P192" s="231"/>
      <c r="Q192" s="231"/>
      <c r="R192" s="231"/>
      <c r="S192" s="231"/>
      <c r="T192" s="231"/>
      <c r="U192" s="231"/>
      <c r="V192" s="231"/>
      <c r="W192" s="231"/>
      <c r="X192" s="231"/>
      <c r="Y192" s="231"/>
      <c r="Z192" s="231"/>
      <c r="AA192" s="231"/>
      <c r="AB192" s="231"/>
      <c r="AC192" s="231"/>
      <c r="AD192" s="231"/>
      <c r="AE192" s="231"/>
      <c r="AF192" s="231"/>
      <c r="AG192" s="231"/>
      <c r="AH192" s="231"/>
      <c r="AI192" s="231"/>
      <c r="AJ192" s="231"/>
      <c r="AK192" s="231"/>
      <c r="AL192" s="231"/>
      <c r="AM192" s="231"/>
    </row>
    <row r="193" spans="1:39" s="203" customFormat="1" ht="12.75" customHeight="1">
      <c r="A193" s="106" t="s">
        <v>23</v>
      </c>
      <c r="B193" s="164"/>
      <c r="C193" s="164"/>
      <c r="D193" s="164"/>
      <c r="E193" s="856" t="s">
        <v>377</v>
      </c>
      <c r="F193" s="856" t="s">
        <v>402</v>
      </c>
      <c r="G193" s="130"/>
      <c r="H193" s="856" t="s">
        <v>403</v>
      </c>
      <c r="I193" s="130"/>
      <c r="J193" s="231"/>
      <c r="K193" s="231"/>
      <c r="L193" s="231"/>
      <c r="M193" s="231"/>
      <c r="N193" s="231"/>
      <c r="O193" s="231"/>
      <c r="P193" s="231"/>
      <c r="Q193" s="231"/>
      <c r="R193" s="231"/>
      <c r="S193" s="231"/>
      <c r="T193" s="231"/>
      <c r="U193" s="231"/>
      <c r="V193" s="231"/>
      <c r="W193" s="231"/>
      <c r="X193" s="231"/>
      <c r="Y193" s="231"/>
      <c r="Z193" s="231"/>
      <c r="AA193" s="231"/>
      <c r="AB193" s="231"/>
      <c r="AC193" s="231"/>
      <c r="AD193" s="231"/>
      <c r="AE193" s="231"/>
      <c r="AF193" s="231"/>
      <c r="AG193" s="231"/>
      <c r="AH193" s="231"/>
      <c r="AI193" s="231"/>
      <c r="AJ193" s="231"/>
      <c r="AK193" s="231"/>
      <c r="AL193" s="231"/>
      <c r="AM193" s="231"/>
    </row>
    <row r="194" spans="1:39" s="203" customFormat="1" ht="23.25" customHeight="1">
      <c r="A194" s="165"/>
      <c r="B194" s="132"/>
      <c r="C194" s="132"/>
      <c r="D194" s="132"/>
      <c r="E194" s="859"/>
      <c r="F194" s="859"/>
      <c r="G194" s="130"/>
      <c r="H194" s="859"/>
      <c r="I194" s="130"/>
      <c r="J194" s="231"/>
      <c r="K194" s="231"/>
      <c r="L194" s="231"/>
      <c r="M194" s="231"/>
      <c r="N194" s="231"/>
      <c r="O194" s="231"/>
      <c r="P194" s="231"/>
      <c r="Q194" s="231"/>
      <c r="R194" s="231"/>
      <c r="S194" s="231"/>
      <c r="T194" s="231"/>
      <c r="U194" s="231"/>
      <c r="V194" s="231"/>
      <c r="W194" s="231"/>
      <c r="X194" s="231"/>
      <c r="Y194" s="231"/>
      <c r="Z194" s="231"/>
      <c r="AA194" s="231"/>
      <c r="AB194" s="231"/>
      <c r="AC194" s="231"/>
      <c r="AD194" s="231"/>
      <c r="AE194" s="231"/>
      <c r="AF194" s="231"/>
      <c r="AG194" s="231"/>
      <c r="AH194" s="231"/>
      <c r="AI194" s="231"/>
      <c r="AJ194" s="231"/>
      <c r="AK194" s="231"/>
      <c r="AL194" s="231"/>
      <c r="AM194" s="231"/>
    </row>
    <row r="195" spans="1:39" s="203" customFormat="1">
      <c r="A195" s="154" t="s">
        <v>161</v>
      </c>
      <c r="B195" s="116"/>
      <c r="C195" s="116"/>
      <c r="D195" s="116"/>
      <c r="E195" s="859"/>
      <c r="F195" s="859"/>
      <c r="G195" s="130"/>
      <c r="H195" s="859"/>
      <c r="I195" s="130"/>
      <c r="J195" s="231"/>
      <c r="K195" s="231"/>
      <c r="L195" s="231"/>
      <c r="M195" s="231"/>
      <c r="N195" s="231"/>
      <c r="O195" s="231"/>
      <c r="P195" s="231"/>
      <c r="Q195" s="231"/>
      <c r="R195" s="231"/>
      <c r="S195" s="231"/>
      <c r="T195" s="231"/>
      <c r="U195" s="231"/>
      <c r="V195" s="231"/>
      <c r="W195" s="231"/>
      <c r="X195" s="231"/>
      <c r="Y195" s="231"/>
      <c r="Z195" s="231"/>
      <c r="AA195" s="231"/>
      <c r="AB195" s="231"/>
      <c r="AC195" s="231"/>
      <c r="AD195" s="231"/>
      <c r="AE195" s="231"/>
      <c r="AF195" s="231"/>
      <c r="AG195" s="231"/>
      <c r="AH195" s="231"/>
      <c r="AI195" s="231"/>
      <c r="AJ195" s="231"/>
      <c r="AK195" s="231"/>
      <c r="AL195" s="231"/>
      <c r="AM195" s="231"/>
    </row>
    <row r="196" spans="1:39" s="203" customFormat="1">
      <c r="A196" s="109" t="s">
        <v>83</v>
      </c>
      <c r="B196" s="47"/>
      <c r="C196" s="47"/>
      <c r="D196" s="47"/>
      <c r="E196" s="859"/>
      <c r="F196" s="859"/>
      <c r="G196" s="130"/>
      <c r="H196" s="859"/>
      <c r="I196" s="130"/>
      <c r="J196" s="231"/>
      <c r="K196" s="231"/>
      <c r="L196" s="231"/>
      <c r="M196" s="231"/>
      <c r="N196" s="231"/>
      <c r="O196" s="231"/>
      <c r="P196" s="231"/>
      <c r="Q196" s="231"/>
      <c r="R196" s="231"/>
      <c r="S196" s="231"/>
      <c r="T196" s="231"/>
      <c r="U196" s="231"/>
      <c r="V196" s="231"/>
      <c r="W196" s="231"/>
      <c r="X196" s="231"/>
      <c r="Y196" s="231"/>
      <c r="Z196" s="231"/>
      <c r="AA196" s="231"/>
      <c r="AB196" s="231"/>
      <c r="AC196" s="231"/>
      <c r="AD196" s="231"/>
      <c r="AE196" s="231"/>
      <c r="AF196" s="231"/>
      <c r="AG196" s="231"/>
      <c r="AH196" s="231"/>
      <c r="AI196" s="231"/>
      <c r="AJ196" s="231"/>
      <c r="AK196" s="231"/>
      <c r="AL196" s="231"/>
      <c r="AM196" s="231"/>
    </row>
    <row r="197" spans="1:39" s="203" customFormat="1">
      <c r="A197" s="110" t="s">
        <v>84</v>
      </c>
      <c r="B197" s="132"/>
      <c r="C197" s="132"/>
      <c r="D197" s="132"/>
      <c r="E197" s="860"/>
      <c r="F197" s="860"/>
      <c r="G197" s="130"/>
      <c r="H197" s="860"/>
      <c r="I197" s="130"/>
      <c r="J197" s="231"/>
      <c r="K197" s="231"/>
      <c r="L197" s="231"/>
      <c r="M197" s="231"/>
      <c r="N197" s="231"/>
      <c r="O197" s="231"/>
      <c r="P197" s="231"/>
      <c r="Q197" s="231"/>
      <c r="R197" s="231"/>
      <c r="S197" s="231"/>
      <c r="T197" s="231"/>
      <c r="U197" s="231"/>
      <c r="V197" s="231"/>
      <c r="W197" s="231"/>
      <c r="X197" s="231"/>
      <c r="Y197" s="231"/>
      <c r="Z197" s="231"/>
      <c r="AA197" s="231"/>
      <c r="AB197" s="231"/>
      <c r="AC197" s="231"/>
      <c r="AD197" s="231"/>
      <c r="AE197" s="231"/>
      <c r="AF197" s="231"/>
      <c r="AG197" s="231"/>
      <c r="AH197" s="231"/>
      <c r="AI197" s="231"/>
      <c r="AJ197" s="231"/>
      <c r="AK197" s="231"/>
      <c r="AL197" s="231"/>
      <c r="AM197" s="231"/>
    </row>
    <row r="198" spans="1:39" s="203" customFormat="1">
      <c r="A198" s="153" t="s">
        <v>162</v>
      </c>
      <c r="B198" s="166"/>
      <c r="C198" s="166"/>
      <c r="D198" s="166"/>
      <c r="E198" s="167"/>
      <c r="F198" s="146"/>
      <c r="G198" s="118"/>
      <c r="H198" s="146"/>
      <c r="I198" s="29"/>
      <c r="J198" s="231"/>
      <c r="K198" s="231"/>
      <c r="L198" s="231"/>
      <c r="M198" s="231"/>
      <c r="N198" s="231"/>
      <c r="O198" s="231"/>
      <c r="P198" s="231"/>
      <c r="Q198" s="231"/>
      <c r="R198" s="231"/>
      <c r="S198" s="231"/>
      <c r="T198" s="231"/>
      <c r="U198" s="231"/>
      <c r="V198" s="231"/>
      <c r="W198" s="231"/>
      <c r="X198" s="231"/>
      <c r="Y198" s="231"/>
      <c r="Z198" s="231"/>
      <c r="AA198" s="231"/>
      <c r="AB198" s="231"/>
      <c r="AC198" s="231"/>
      <c r="AD198" s="231"/>
      <c r="AE198" s="231"/>
      <c r="AF198" s="231"/>
      <c r="AG198" s="231"/>
      <c r="AH198" s="231"/>
      <c r="AI198" s="231"/>
      <c r="AJ198" s="231"/>
      <c r="AK198" s="231"/>
      <c r="AL198" s="231"/>
      <c r="AM198" s="231"/>
    </row>
    <row r="199" spans="1:39" s="203" customFormat="1">
      <c r="A199" s="120">
        <v>1</v>
      </c>
      <c r="B199" s="47" t="s">
        <v>163</v>
      </c>
      <c r="C199" s="47"/>
      <c r="D199" s="47"/>
      <c r="E199" s="74">
        <v>108</v>
      </c>
      <c r="F199" s="52">
        <v>108</v>
      </c>
      <c r="G199" s="118"/>
      <c r="H199" s="122">
        <v>108</v>
      </c>
      <c r="I199" s="29"/>
      <c r="J199" s="231"/>
      <c r="K199" s="231"/>
      <c r="L199" s="231"/>
      <c r="M199" s="231"/>
      <c r="N199" s="231"/>
      <c r="O199" s="231"/>
      <c r="P199" s="231"/>
      <c r="Q199" s="231"/>
      <c r="R199" s="231"/>
      <c r="S199" s="231"/>
      <c r="T199" s="231"/>
      <c r="U199" s="231"/>
      <c r="V199" s="231"/>
      <c r="W199" s="231"/>
      <c r="X199" s="231"/>
      <c r="Y199" s="231"/>
      <c r="Z199" s="231"/>
      <c r="AA199" s="231"/>
      <c r="AB199" s="231"/>
      <c r="AC199" s="231"/>
      <c r="AD199" s="231"/>
      <c r="AE199" s="231"/>
      <c r="AF199" s="231"/>
      <c r="AG199" s="231"/>
      <c r="AH199" s="231"/>
      <c r="AI199" s="231"/>
      <c r="AJ199" s="231"/>
      <c r="AK199" s="231"/>
      <c r="AL199" s="231"/>
      <c r="AM199" s="231"/>
    </row>
    <row r="200" spans="1:39" s="203" customFormat="1">
      <c r="A200" s="120">
        <v>2</v>
      </c>
      <c r="B200" s="47" t="s">
        <v>164</v>
      </c>
      <c r="C200" s="47"/>
      <c r="D200" s="47"/>
      <c r="E200" s="56">
        <v>673</v>
      </c>
      <c r="F200" s="52">
        <v>492</v>
      </c>
      <c r="G200" s="118"/>
      <c r="H200" s="100">
        <v>536</v>
      </c>
      <c r="I200" s="29"/>
      <c r="J200" s="231"/>
      <c r="K200" s="231"/>
      <c r="L200" s="231"/>
      <c r="M200" s="231"/>
      <c r="N200" s="231"/>
      <c r="O200" s="231"/>
      <c r="P200" s="231"/>
      <c r="Q200" s="231"/>
      <c r="R200" s="231"/>
      <c r="S200" s="231"/>
      <c r="T200" s="231"/>
      <c r="U200" s="231"/>
      <c r="V200" s="231"/>
      <c r="W200" s="231"/>
      <c r="X200" s="231"/>
      <c r="Y200" s="231"/>
      <c r="Z200" s="231"/>
      <c r="AA200" s="231"/>
      <c r="AB200" s="231"/>
      <c r="AC200" s="231"/>
      <c r="AD200" s="231"/>
      <c r="AE200" s="231"/>
      <c r="AF200" s="231"/>
      <c r="AG200" s="231"/>
      <c r="AH200" s="231"/>
      <c r="AI200" s="231"/>
      <c r="AJ200" s="231"/>
      <c r="AK200" s="231"/>
      <c r="AL200" s="231"/>
      <c r="AM200" s="231"/>
    </row>
    <row r="201" spans="1:39" s="203" customFormat="1">
      <c r="A201" s="120">
        <v>3</v>
      </c>
      <c r="B201" s="116" t="s">
        <v>165</v>
      </c>
      <c r="C201" s="116"/>
      <c r="D201" s="116"/>
      <c r="E201" s="80">
        <v>781</v>
      </c>
      <c r="F201" s="142">
        <f>SUM(F199:F200)</f>
        <v>600</v>
      </c>
      <c r="G201" s="118"/>
      <c r="H201" s="142">
        <f>SUM(H199:H200)</f>
        <v>644</v>
      </c>
      <c r="I201" s="29"/>
      <c r="J201" s="231"/>
      <c r="K201" s="231"/>
      <c r="L201" s="231"/>
      <c r="M201" s="231"/>
      <c r="N201" s="231"/>
      <c r="O201" s="231"/>
      <c r="P201" s="231"/>
      <c r="Q201" s="231"/>
      <c r="R201" s="231"/>
      <c r="S201" s="231"/>
      <c r="T201" s="231"/>
      <c r="U201" s="231"/>
      <c r="V201" s="231"/>
      <c r="W201" s="231"/>
      <c r="X201" s="231"/>
      <c r="Y201" s="231"/>
      <c r="Z201" s="231"/>
      <c r="AA201" s="231"/>
      <c r="AB201" s="231"/>
      <c r="AC201" s="231"/>
      <c r="AD201" s="231"/>
      <c r="AE201" s="231"/>
      <c r="AF201" s="231"/>
      <c r="AG201" s="231"/>
      <c r="AH201" s="231"/>
      <c r="AI201" s="231"/>
      <c r="AJ201" s="231"/>
      <c r="AK201" s="231"/>
      <c r="AL201" s="231"/>
      <c r="AM201" s="231"/>
    </row>
    <row r="202" spans="1:39" s="203" customFormat="1">
      <c r="A202" s="46"/>
      <c r="B202" s="132"/>
      <c r="C202" s="132"/>
      <c r="D202" s="132"/>
      <c r="E202" s="156"/>
      <c r="F202" s="139"/>
      <c r="G202" s="139"/>
      <c r="H202" s="139"/>
      <c r="I202" s="29"/>
      <c r="J202" s="231"/>
      <c r="K202" s="231"/>
      <c r="L202" s="231"/>
      <c r="M202" s="231"/>
      <c r="N202" s="231"/>
      <c r="O202" s="231"/>
      <c r="P202" s="231"/>
      <c r="Q202" s="231"/>
      <c r="R202" s="231"/>
      <c r="S202" s="231"/>
      <c r="T202" s="231"/>
      <c r="U202" s="231"/>
      <c r="V202" s="231"/>
      <c r="W202" s="231"/>
      <c r="X202" s="231"/>
      <c r="Y202" s="231"/>
      <c r="Z202" s="231"/>
      <c r="AA202" s="231"/>
      <c r="AB202" s="231"/>
      <c r="AC202" s="231"/>
      <c r="AD202" s="231"/>
      <c r="AE202" s="231"/>
      <c r="AF202" s="231"/>
      <c r="AG202" s="231"/>
      <c r="AH202" s="231"/>
      <c r="AI202" s="231"/>
      <c r="AJ202" s="231"/>
      <c r="AK202" s="231"/>
      <c r="AL202" s="231"/>
      <c r="AM202" s="231"/>
    </row>
    <row r="203" spans="1:39" s="203" customFormat="1">
      <c r="A203" s="153" t="s">
        <v>166</v>
      </c>
      <c r="B203" s="116"/>
      <c r="C203" s="116"/>
      <c r="D203" s="116"/>
      <c r="E203" s="140"/>
      <c r="F203" s="146"/>
      <c r="G203" s="118"/>
      <c r="H203" s="146"/>
      <c r="I203" s="29"/>
      <c r="J203" s="231"/>
      <c r="K203" s="231"/>
      <c r="L203" s="231"/>
      <c r="M203" s="231"/>
      <c r="N203" s="231"/>
      <c r="O203" s="231"/>
      <c r="P203" s="231"/>
      <c r="Q203" s="231"/>
      <c r="R203" s="231"/>
      <c r="S203" s="231"/>
      <c r="T203" s="231"/>
      <c r="U203" s="231"/>
      <c r="V203" s="231"/>
      <c r="W203" s="231"/>
      <c r="X203" s="231"/>
      <c r="Y203" s="231"/>
      <c r="Z203" s="231"/>
      <c r="AA203" s="231"/>
      <c r="AB203" s="231"/>
      <c r="AC203" s="231"/>
      <c r="AD203" s="231"/>
      <c r="AE203" s="231"/>
      <c r="AF203" s="231"/>
      <c r="AG203" s="231"/>
      <c r="AH203" s="231"/>
      <c r="AI203" s="231"/>
      <c r="AJ203" s="231"/>
      <c r="AK203" s="231"/>
      <c r="AL203" s="231"/>
      <c r="AM203" s="231"/>
    </row>
    <row r="204" spans="1:39" s="203" customFormat="1">
      <c r="A204" s="120">
        <v>4</v>
      </c>
      <c r="B204" s="47" t="s">
        <v>167</v>
      </c>
      <c r="C204" s="47"/>
      <c r="D204" s="47"/>
      <c r="E204" s="74">
        <v>3684</v>
      </c>
      <c r="F204" s="52">
        <f>4269-25</f>
        <v>4244</v>
      </c>
      <c r="G204" s="118"/>
      <c r="H204" s="122">
        <f>4040-15</f>
        <v>4025</v>
      </c>
      <c r="I204" s="29"/>
      <c r="J204" s="231"/>
      <c r="K204" s="231"/>
      <c r="L204" s="231"/>
      <c r="M204" s="231"/>
      <c r="N204" s="231"/>
      <c r="O204" s="231"/>
      <c r="P204" s="231"/>
      <c r="Q204" s="231"/>
      <c r="R204" s="231"/>
      <c r="S204" s="231"/>
      <c r="T204" s="231"/>
      <c r="U204" s="231"/>
      <c r="V204" s="231"/>
      <c r="W204" s="231"/>
      <c r="X204" s="231"/>
      <c r="Y204" s="231"/>
      <c r="Z204" s="231"/>
      <c r="AA204" s="231"/>
      <c r="AB204" s="231"/>
      <c r="AC204" s="231"/>
      <c r="AD204" s="231"/>
      <c r="AE204" s="231"/>
      <c r="AF204" s="231"/>
      <c r="AG204" s="231"/>
      <c r="AH204" s="231"/>
      <c r="AI204" s="231"/>
      <c r="AJ204" s="231"/>
      <c r="AK204" s="231"/>
      <c r="AL204" s="231"/>
      <c r="AM204" s="231"/>
    </row>
    <row r="205" spans="1:39" s="203" customFormat="1">
      <c r="A205" s="120">
        <v>5</v>
      </c>
      <c r="B205" s="47" t="s">
        <v>168</v>
      </c>
      <c r="C205" s="47"/>
      <c r="D205" s="47"/>
      <c r="E205" s="49">
        <v>6603</v>
      </c>
      <c r="F205" s="52">
        <v>7245</v>
      </c>
      <c r="G205" s="118"/>
      <c r="H205" s="122">
        <v>6955</v>
      </c>
      <c r="I205" s="29"/>
      <c r="J205" s="231"/>
      <c r="K205" s="231"/>
      <c r="L205" s="231"/>
      <c r="M205" s="231"/>
      <c r="N205" s="231"/>
      <c r="O205" s="231"/>
      <c r="P205" s="231"/>
      <c r="Q205" s="231"/>
      <c r="R205" s="231"/>
      <c r="S205" s="231"/>
      <c r="T205" s="231"/>
      <c r="U205" s="231"/>
      <c r="V205" s="231"/>
      <c r="W205" s="231"/>
      <c r="X205" s="231"/>
      <c r="Y205" s="231"/>
      <c r="Z205" s="231"/>
      <c r="AA205" s="231"/>
      <c r="AB205" s="231"/>
      <c r="AC205" s="231"/>
      <c r="AD205" s="231"/>
      <c r="AE205" s="231"/>
      <c r="AF205" s="231"/>
      <c r="AG205" s="231"/>
      <c r="AH205" s="231"/>
      <c r="AI205" s="231"/>
      <c r="AJ205" s="231"/>
      <c r="AK205" s="231"/>
      <c r="AL205" s="231"/>
      <c r="AM205" s="231"/>
    </row>
    <row r="206" spans="1:39" s="203" customFormat="1">
      <c r="A206" s="120">
        <v>6</v>
      </c>
      <c r="B206" s="47" t="s">
        <v>169</v>
      </c>
      <c r="C206" s="47"/>
      <c r="D206" s="47"/>
      <c r="E206" s="49">
        <v>3368</v>
      </c>
      <c r="F206" s="52">
        <f>3901-25</f>
        <v>3876</v>
      </c>
      <c r="G206" s="118"/>
      <c r="H206" s="100">
        <f>3844-15</f>
        <v>3829</v>
      </c>
      <c r="I206" s="29"/>
      <c r="J206" s="231"/>
      <c r="K206" s="231"/>
      <c r="L206" s="231"/>
      <c r="M206" s="231"/>
      <c r="N206" s="231"/>
      <c r="O206" s="231"/>
      <c r="P206" s="231"/>
      <c r="Q206" s="231"/>
      <c r="R206" s="231"/>
      <c r="S206" s="231"/>
      <c r="T206" s="231"/>
      <c r="U206" s="231"/>
      <c r="V206" s="231"/>
      <c r="W206" s="231"/>
      <c r="X206" s="231"/>
      <c r="Y206" s="231"/>
      <c r="Z206" s="231"/>
      <c r="AA206" s="231"/>
      <c r="AB206" s="231"/>
      <c r="AC206" s="231"/>
      <c r="AD206" s="231"/>
      <c r="AE206" s="231"/>
      <c r="AF206" s="231"/>
      <c r="AG206" s="231"/>
      <c r="AH206" s="231"/>
      <c r="AI206" s="231"/>
      <c r="AJ206" s="231"/>
      <c r="AK206" s="231"/>
      <c r="AL206" s="231"/>
      <c r="AM206" s="231"/>
    </row>
    <row r="207" spans="1:39" s="203" customFormat="1">
      <c r="A207" s="120">
        <v>7</v>
      </c>
      <c r="B207" s="116" t="s">
        <v>170</v>
      </c>
      <c r="C207" s="116"/>
      <c r="D207" s="116"/>
      <c r="E207" s="80">
        <v>13655</v>
      </c>
      <c r="F207" s="142">
        <f>SUM(F204:F206)</f>
        <v>15365</v>
      </c>
      <c r="G207" s="118"/>
      <c r="H207" s="142">
        <f>SUM(H204:H206)</f>
        <v>14809</v>
      </c>
      <c r="I207" s="29"/>
      <c r="J207" s="231"/>
      <c r="K207" s="231"/>
      <c r="L207" s="231"/>
      <c r="M207" s="231"/>
      <c r="N207" s="231"/>
      <c r="O207" s="231"/>
      <c r="P207" s="231"/>
      <c r="Q207" s="231"/>
      <c r="R207" s="231"/>
      <c r="S207" s="231"/>
      <c r="T207" s="231"/>
      <c r="U207" s="231"/>
      <c r="V207" s="231"/>
      <c r="W207" s="231"/>
      <c r="X207" s="231"/>
      <c r="Y207" s="231"/>
      <c r="Z207" s="231"/>
      <c r="AA207" s="231"/>
      <c r="AB207" s="231"/>
      <c r="AC207" s="231"/>
      <c r="AD207" s="231"/>
      <c r="AE207" s="231"/>
      <c r="AF207" s="231"/>
      <c r="AG207" s="231"/>
      <c r="AH207" s="231"/>
      <c r="AI207" s="231"/>
      <c r="AJ207" s="231"/>
      <c r="AK207" s="231"/>
      <c r="AL207" s="231"/>
      <c r="AM207" s="231"/>
    </row>
    <row r="208" spans="1:39" s="203" customFormat="1">
      <c r="A208" s="46"/>
      <c r="B208" s="132"/>
      <c r="C208" s="132"/>
      <c r="D208" s="132"/>
      <c r="E208" s="156"/>
      <c r="F208" s="139"/>
      <c r="G208" s="139"/>
      <c r="H208" s="139"/>
      <c r="I208" s="29"/>
      <c r="J208" s="231"/>
      <c r="K208" s="231"/>
      <c r="L208" s="231"/>
      <c r="M208" s="231"/>
      <c r="N208" s="231"/>
      <c r="O208" s="231"/>
      <c r="P208" s="231"/>
      <c r="Q208" s="231"/>
      <c r="R208" s="231"/>
      <c r="S208" s="231"/>
      <c r="T208" s="231"/>
      <c r="U208" s="231"/>
      <c r="V208" s="231"/>
      <c r="W208" s="231"/>
      <c r="X208" s="231"/>
      <c r="Y208" s="231"/>
      <c r="Z208" s="231"/>
      <c r="AA208" s="231"/>
      <c r="AB208" s="231"/>
      <c r="AC208" s="231"/>
      <c r="AD208" s="231"/>
      <c r="AE208" s="231"/>
      <c r="AF208" s="231"/>
      <c r="AG208" s="231"/>
      <c r="AH208" s="231"/>
      <c r="AI208" s="231"/>
      <c r="AJ208" s="231"/>
      <c r="AK208" s="231"/>
      <c r="AL208" s="231"/>
      <c r="AM208" s="231"/>
    </row>
    <row r="209" spans="1:39" s="203" customFormat="1">
      <c r="A209" s="153" t="s">
        <v>121</v>
      </c>
      <c r="B209" s="168"/>
      <c r="C209" s="168"/>
      <c r="D209" s="168"/>
      <c r="E209" s="140"/>
      <c r="F209" s="146"/>
      <c r="G209" s="118"/>
      <c r="H209" s="146"/>
      <c r="I209" s="29"/>
      <c r="J209" s="231"/>
      <c r="K209" s="231"/>
      <c r="L209" s="231"/>
      <c r="M209" s="231"/>
      <c r="N209" s="231"/>
      <c r="O209" s="231"/>
      <c r="P209" s="231"/>
      <c r="Q209" s="231"/>
      <c r="R209" s="231"/>
      <c r="S209" s="231"/>
      <c r="T209" s="231"/>
      <c r="U209" s="231"/>
      <c r="V209" s="231"/>
      <c r="W209" s="231"/>
      <c r="X209" s="231"/>
      <c r="Y209" s="231"/>
      <c r="Z209" s="231"/>
      <c r="AA209" s="231"/>
      <c r="AB209" s="231"/>
      <c r="AC209" s="231"/>
      <c r="AD209" s="231"/>
      <c r="AE209" s="231"/>
      <c r="AF209" s="231"/>
      <c r="AG209" s="231"/>
      <c r="AH209" s="231"/>
      <c r="AI209" s="231"/>
      <c r="AJ209" s="231"/>
      <c r="AK209" s="231"/>
      <c r="AL209" s="231"/>
      <c r="AM209" s="231"/>
    </row>
    <row r="210" spans="1:39" s="203" customFormat="1">
      <c r="A210" s="120">
        <v>8</v>
      </c>
      <c r="B210" s="47" t="s">
        <v>171</v>
      </c>
      <c r="C210" s="47"/>
      <c r="D210" s="47"/>
      <c r="E210" s="74">
        <v>-588</v>
      </c>
      <c r="F210" s="52">
        <v>-568</v>
      </c>
      <c r="G210" s="118"/>
      <c r="H210" s="122">
        <v>-608</v>
      </c>
      <c r="I210" s="29"/>
      <c r="J210" s="231"/>
      <c r="K210" s="231"/>
      <c r="L210" s="231"/>
      <c r="M210" s="231"/>
      <c r="N210" s="231"/>
      <c r="O210" s="231"/>
      <c r="P210" s="231"/>
      <c r="Q210" s="231"/>
      <c r="R210" s="231"/>
      <c r="S210" s="231"/>
      <c r="T210" s="231"/>
      <c r="U210" s="231"/>
      <c r="V210" s="231"/>
      <c r="W210" s="231"/>
      <c r="X210" s="231"/>
      <c r="Y210" s="231"/>
      <c r="Z210" s="231"/>
      <c r="AA210" s="231"/>
      <c r="AB210" s="231"/>
      <c r="AC210" s="231"/>
      <c r="AD210" s="231"/>
      <c r="AE210" s="231"/>
      <c r="AF210" s="231"/>
      <c r="AG210" s="231"/>
      <c r="AH210" s="231"/>
      <c r="AI210" s="231"/>
      <c r="AJ210" s="231"/>
      <c r="AK210" s="231"/>
      <c r="AL210" s="231"/>
      <c r="AM210" s="231"/>
    </row>
    <row r="211" spans="1:39" s="203" customFormat="1">
      <c r="A211" s="120">
        <v>9</v>
      </c>
      <c r="B211" s="47" t="s">
        <v>172</v>
      </c>
      <c r="C211" s="47"/>
      <c r="D211" s="47"/>
      <c r="E211" s="49">
        <v>43</v>
      </c>
      <c r="F211" s="52">
        <v>10</v>
      </c>
      <c r="G211" s="118"/>
      <c r="H211" s="122">
        <v>10</v>
      </c>
      <c r="I211" s="29"/>
      <c r="J211" s="231"/>
      <c r="K211" s="231"/>
      <c r="L211" s="231"/>
      <c r="M211" s="231"/>
      <c r="N211" s="231"/>
      <c r="O211" s="231"/>
      <c r="P211" s="231"/>
      <c r="Q211" s="231"/>
      <c r="R211" s="231"/>
      <c r="S211" s="231"/>
      <c r="T211" s="231"/>
      <c r="U211" s="231"/>
      <c r="V211" s="231"/>
      <c r="W211" s="231"/>
      <c r="X211" s="231"/>
      <c r="Y211" s="231"/>
      <c r="Z211" s="231"/>
      <c r="AA211" s="231"/>
      <c r="AB211" s="231"/>
      <c r="AC211" s="231"/>
      <c r="AD211" s="231"/>
      <c r="AE211" s="231"/>
      <c r="AF211" s="231"/>
      <c r="AG211" s="231"/>
      <c r="AH211" s="231"/>
      <c r="AI211" s="231"/>
      <c r="AJ211" s="231"/>
      <c r="AK211" s="231"/>
      <c r="AL211" s="231"/>
      <c r="AM211" s="231"/>
    </row>
    <row r="212" spans="1:39" s="203" customFormat="1">
      <c r="A212" s="120">
        <v>10</v>
      </c>
      <c r="B212" s="47" t="s">
        <v>173</v>
      </c>
      <c r="C212" s="47"/>
      <c r="D212" s="47"/>
      <c r="E212" s="49">
        <v>186</v>
      </c>
      <c r="F212" s="52">
        <v>80</v>
      </c>
      <c r="G212" s="118"/>
      <c r="H212" s="122">
        <v>80</v>
      </c>
      <c r="I212" s="29"/>
      <c r="J212" s="231"/>
      <c r="K212" s="231"/>
      <c r="L212" s="231"/>
      <c r="M212" s="231"/>
      <c r="N212" s="231"/>
      <c r="O212" s="231"/>
      <c r="P212" s="231"/>
      <c r="Q212" s="231"/>
      <c r="R212" s="231"/>
      <c r="S212" s="231"/>
      <c r="T212" s="231"/>
      <c r="U212" s="231"/>
      <c r="V212" s="231"/>
      <c r="W212" s="231"/>
      <c r="X212" s="231"/>
      <c r="Y212" s="231"/>
      <c r="Z212" s="231"/>
      <c r="AA212" s="231"/>
      <c r="AB212" s="231"/>
      <c r="AC212" s="231"/>
      <c r="AD212" s="231"/>
      <c r="AE212" s="231"/>
      <c r="AF212" s="231"/>
      <c r="AG212" s="231"/>
      <c r="AH212" s="231"/>
      <c r="AI212" s="231"/>
      <c r="AJ212" s="231"/>
      <c r="AK212" s="231"/>
      <c r="AL212" s="231"/>
      <c r="AM212" s="231"/>
    </row>
    <row r="213" spans="1:39" s="203" customFormat="1">
      <c r="A213" s="120">
        <v>11</v>
      </c>
      <c r="B213" s="47" t="s">
        <v>174</v>
      </c>
      <c r="C213" s="47"/>
      <c r="D213" s="47"/>
      <c r="E213" s="49">
        <v>2363</v>
      </c>
      <c r="F213" s="52">
        <v>1341</v>
      </c>
      <c r="G213" s="118"/>
      <c r="H213" s="99">
        <v>1262</v>
      </c>
      <c r="I213" s="29"/>
      <c r="J213" s="231"/>
      <c r="K213" s="231"/>
      <c r="L213" s="231"/>
      <c r="M213" s="231"/>
      <c r="N213" s="231"/>
      <c r="O213" s="231"/>
      <c r="P213" s="231"/>
      <c r="Q213" s="231"/>
      <c r="R213" s="231"/>
      <c r="S213" s="231"/>
      <c r="T213" s="231"/>
      <c r="U213" s="231"/>
      <c r="V213" s="231"/>
      <c r="W213" s="231"/>
      <c r="X213" s="231"/>
      <c r="Y213" s="231"/>
      <c r="Z213" s="231"/>
      <c r="AA213" s="231"/>
      <c r="AB213" s="231"/>
      <c r="AC213" s="231"/>
      <c r="AD213" s="231"/>
      <c r="AE213" s="231"/>
      <c r="AF213" s="231"/>
      <c r="AG213" s="231"/>
      <c r="AH213" s="231"/>
      <c r="AI213" s="231"/>
      <c r="AJ213" s="231"/>
      <c r="AK213" s="231"/>
      <c r="AL213" s="231"/>
      <c r="AM213" s="231"/>
    </row>
    <row r="214" spans="1:39" s="203" customFormat="1">
      <c r="A214" s="120">
        <v>12</v>
      </c>
      <c r="B214" s="116" t="s">
        <v>175</v>
      </c>
      <c r="C214" s="116"/>
      <c r="D214" s="116"/>
      <c r="E214" s="159">
        <v>16440</v>
      </c>
      <c r="F214" s="61">
        <f>F201+F207+SUM(F210:F213)</f>
        <v>16828</v>
      </c>
      <c r="G214" s="118"/>
      <c r="H214" s="61">
        <f>H201+H207+SUM(H210:H213)</f>
        <v>16197</v>
      </c>
      <c r="I214" s="29"/>
      <c r="J214" s="231"/>
      <c r="K214" s="231"/>
      <c r="L214" s="231"/>
      <c r="M214" s="231"/>
      <c r="N214" s="231"/>
      <c r="O214" s="231"/>
      <c r="P214" s="231"/>
      <c r="Q214" s="231"/>
      <c r="R214" s="231"/>
      <c r="S214" s="231"/>
      <c r="T214" s="231"/>
      <c r="U214" s="231"/>
      <c r="V214" s="231"/>
      <c r="W214" s="231"/>
      <c r="X214" s="231"/>
      <c r="Y214" s="231"/>
      <c r="Z214" s="231"/>
      <c r="AA214" s="231"/>
      <c r="AB214" s="231"/>
      <c r="AC214" s="231"/>
      <c r="AD214" s="231"/>
      <c r="AE214" s="231"/>
      <c r="AF214" s="231"/>
      <c r="AG214" s="231"/>
      <c r="AH214" s="231"/>
      <c r="AI214" s="231"/>
      <c r="AJ214" s="231"/>
      <c r="AK214" s="231"/>
      <c r="AL214" s="231"/>
      <c r="AM214" s="231"/>
    </row>
    <row r="215" spans="1:39" s="203" customFormat="1">
      <c r="A215" s="111"/>
      <c r="B215" s="47"/>
      <c r="C215" s="47"/>
      <c r="D215" s="47"/>
      <c r="E215" s="117"/>
      <c r="F215" s="118"/>
      <c r="G215" s="118"/>
      <c r="H215" s="118"/>
      <c r="I215" s="29"/>
      <c r="J215" s="231"/>
      <c r="K215" s="231"/>
      <c r="L215" s="231"/>
      <c r="M215" s="231"/>
      <c r="N215" s="231"/>
      <c r="O215" s="231"/>
      <c r="P215" s="231"/>
      <c r="Q215" s="231"/>
      <c r="R215" s="231"/>
      <c r="S215" s="231"/>
      <c r="T215" s="231"/>
      <c r="U215" s="231"/>
      <c r="V215" s="231"/>
      <c r="W215" s="231"/>
      <c r="X215" s="231"/>
      <c r="Y215" s="231"/>
      <c r="Z215" s="231"/>
      <c r="AA215" s="231"/>
      <c r="AB215" s="231"/>
      <c r="AC215" s="231"/>
      <c r="AD215" s="231"/>
      <c r="AE215" s="231"/>
      <c r="AF215" s="231"/>
      <c r="AG215" s="231"/>
      <c r="AH215" s="231"/>
      <c r="AI215" s="231"/>
      <c r="AJ215" s="231"/>
      <c r="AK215" s="231"/>
      <c r="AL215" s="231"/>
      <c r="AM215" s="231"/>
    </row>
    <row r="216" spans="1:39" s="203" customFormat="1">
      <c r="A216" s="119" t="s">
        <v>176</v>
      </c>
      <c r="B216" s="116"/>
      <c r="C216" s="116"/>
      <c r="D216" s="116"/>
      <c r="E216" s="117"/>
      <c r="F216" s="160"/>
      <c r="G216" s="118"/>
      <c r="H216" s="160"/>
      <c r="I216" s="29"/>
      <c r="J216" s="231"/>
      <c r="K216" s="231"/>
      <c r="L216" s="231"/>
      <c r="M216" s="231"/>
      <c r="N216" s="231"/>
      <c r="O216" s="231"/>
      <c r="P216" s="231"/>
      <c r="Q216" s="231"/>
      <c r="R216" s="231"/>
      <c r="S216" s="231"/>
      <c r="T216" s="231"/>
      <c r="U216" s="231"/>
      <c r="V216" s="231"/>
      <c r="W216" s="231"/>
      <c r="X216" s="231"/>
      <c r="Y216" s="231"/>
      <c r="Z216" s="231"/>
      <c r="AA216" s="231"/>
      <c r="AB216" s="231"/>
      <c r="AC216" s="231"/>
      <c r="AD216" s="231"/>
      <c r="AE216" s="231"/>
      <c r="AF216" s="231"/>
      <c r="AG216" s="231"/>
      <c r="AH216" s="231"/>
      <c r="AI216" s="231"/>
      <c r="AJ216" s="231"/>
      <c r="AK216" s="231"/>
      <c r="AL216" s="231"/>
      <c r="AM216" s="231"/>
    </row>
    <row r="217" spans="1:39" s="203" customFormat="1">
      <c r="A217" s="120">
        <v>13</v>
      </c>
      <c r="B217" s="47" t="s">
        <v>177</v>
      </c>
      <c r="C217" s="47"/>
      <c r="D217" s="47"/>
      <c r="E217" s="41">
        <v>683</v>
      </c>
      <c r="F217" s="121">
        <v>771</v>
      </c>
      <c r="G217" s="118"/>
      <c r="H217" s="169">
        <v>741</v>
      </c>
      <c r="I217" s="29"/>
      <c r="J217" s="231"/>
      <c r="K217" s="231"/>
      <c r="L217" s="231"/>
      <c r="M217" s="231"/>
      <c r="N217" s="231"/>
      <c r="O217" s="231"/>
      <c r="P217" s="231"/>
      <c r="Q217" s="231"/>
      <c r="R217" s="231"/>
      <c r="S217" s="231"/>
      <c r="T217" s="231"/>
      <c r="U217" s="231"/>
      <c r="V217" s="231"/>
      <c r="W217" s="231"/>
      <c r="X217" s="231"/>
      <c r="Y217" s="231"/>
      <c r="Z217" s="231"/>
      <c r="AA217" s="231"/>
      <c r="AB217" s="231"/>
      <c r="AC217" s="231"/>
      <c r="AD217" s="231"/>
      <c r="AE217" s="231"/>
      <c r="AF217" s="231"/>
      <c r="AG217" s="231"/>
      <c r="AH217" s="231"/>
      <c r="AI217" s="231"/>
      <c r="AJ217" s="231"/>
      <c r="AK217" s="231"/>
      <c r="AL217" s="231"/>
      <c r="AM217" s="231"/>
    </row>
    <row r="218" spans="1:39" s="203" customFormat="1">
      <c r="A218" s="124">
        <v>14</v>
      </c>
      <c r="B218" s="54" t="s">
        <v>178</v>
      </c>
      <c r="C218" s="54"/>
      <c r="D218" s="54"/>
      <c r="E218" s="56">
        <v>1366</v>
      </c>
      <c r="F218" s="126">
        <v>1542</v>
      </c>
      <c r="G218" s="118"/>
      <c r="H218" s="100">
        <v>1483</v>
      </c>
      <c r="I218" s="29"/>
      <c r="J218" s="231"/>
      <c r="K218" s="231"/>
      <c r="L218" s="231"/>
      <c r="M218" s="231"/>
      <c r="N218" s="231"/>
      <c r="O218" s="231"/>
      <c r="P218" s="231"/>
      <c r="Q218" s="231"/>
      <c r="R218" s="231"/>
      <c r="S218" s="231"/>
      <c r="T218" s="231"/>
      <c r="U218" s="231"/>
      <c r="V218" s="231"/>
      <c r="W218" s="231"/>
      <c r="X218" s="231"/>
      <c r="Y218" s="231"/>
      <c r="Z218" s="231"/>
      <c r="AA218" s="231"/>
      <c r="AB218" s="231"/>
      <c r="AC218" s="231"/>
      <c r="AD218" s="231"/>
      <c r="AE218" s="231"/>
      <c r="AF218" s="231"/>
      <c r="AG218" s="231"/>
      <c r="AH218" s="231"/>
      <c r="AI218" s="231"/>
      <c r="AJ218" s="231"/>
      <c r="AK218" s="231"/>
      <c r="AL218" s="231"/>
      <c r="AM218" s="231"/>
    </row>
    <row r="219" spans="1:39" s="203" customFormat="1">
      <c r="A219" s="148"/>
      <c r="B219" s="29"/>
      <c r="C219" s="29"/>
      <c r="D219" s="170"/>
      <c r="E219" s="171"/>
      <c r="F219" s="29"/>
      <c r="G219" s="29"/>
      <c r="H219" s="207"/>
      <c r="I219" s="29"/>
      <c r="J219" s="231"/>
      <c r="K219" s="231"/>
      <c r="L219" s="231"/>
      <c r="M219" s="231"/>
      <c r="N219" s="231"/>
      <c r="O219" s="231"/>
      <c r="P219" s="231"/>
      <c r="Q219" s="231"/>
      <c r="R219" s="231"/>
      <c r="S219" s="231"/>
      <c r="T219" s="231"/>
      <c r="U219" s="231"/>
      <c r="V219" s="231"/>
      <c r="W219" s="231"/>
      <c r="X219" s="231"/>
      <c r="Y219" s="231"/>
      <c r="Z219" s="231"/>
      <c r="AA219" s="231"/>
      <c r="AB219" s="231"/>
      <c r="AC219" s="231"/>
      <c r="AD219" s="231"/>
      <c r="AE219" s="231"/>
      <c r="AF219" s="231"/>
      <c r="AG219" s="231"/>
      <c r="AH219" s="231"/>
      <c r="AI219" s="231"/>
      <c r="AJ219" s="231"/>
      <c r="AK219" s="231"/>
      <c r="AL219" s="231"/>
      <c r="AM219" s="231"/>
    </row>
    <row r="220" spans="1:39" s="203" customFormat="1">
      <c r="A220" s="148"/>
      <c r="B220" s="29"/>
      <c r="C220" s="29"/>
      <c r="D220" s="172"/>
      <c r="E220" s="152"/>
      <c r="F220" s="29"/>
      <c r="G220" s="29"/>
      <c r="H220" s="131" t="s">
        <v>27</v>
      </c>
      <c r="I220" s="29"/>
      <c r="J220" s="231"/>
      <c r="K220" s="231"/>
      <c r="L220" s="231"/>
      <c r="M220" s="231"/>
      <c r="N220" s="231"/>
      <c r="O220" s="231"/>
      <c r="P220" s="231"/>
      <c r="Q220" s="231"/>
      <c r="R220" s="231"/>
      <c r="S220" s="231"/>
      <c r="T220" s="231"/>
      <c r="U220" s="231"/>
      <c r="V220" s="231"/>
      <c r="W220" s="231"/>
      <c r="X220" s="231"/>
      <c r="Y220" s="231"/>
      <c r="Z220" s="231"/>
      <c r="AA220" s="231"/>
      <c r="AB220" s="231"/>
      <c r="AC220" s="231"/>
      <c r="AD220" s="231"/>
      <c r="AE220" s="231"/>
      <c r="AF220" s="231"/>
      <c r="AG220" s="231"/>
      <c r="AH220" s="231"/>
      <c r="AI220" s="231"/>
      <c r="AJ220" s="231"/>
      <c r="AK220" s="231"/>
      <c r="AL220" s="231"/>
      <c r="AM220" s="231"/>
    </row>
    <row r="221" spans="1:39" s="203" customFormat="1" ht="12.75" customHeight="1">
      <c r="A221" s="106" t="s">
        <v>10</v>
      </c>
      <c r="B221" s="164"/>
      <c r="C221" s="164"/>
      <c r="D221" s="164"/>
      <c r="E221" s="856" t="s">
        <v>377</v>
      </c>
      <c r="F221" s="856" t="s">
        <v>402</v>
      </c>
      <c r="G221" s="130"/>
      <c r="H221" s="856" t="s">
        <v>403</v>
      </c>
      <c r="I221" s="130"/>
      <c r="J221" s="231"/>
      <c r="K221" s="231"/>
      <c r="L221" s="231"/>
      <c r="M221" s="231"/>
      <c r="N221" s="231"/>
      <c r="O221" s="231"/>
      <c r="P221" s="231"/>
      <c r="Q221" s="231"/>
      <c r="R221" s="231"/>
      <c r="S221" s="231"/>
      <c r="T221" s="231"/>
      <c r="U221" s="231"/>
      <c r="V221" s="231"/>
      <c r="W221" s="231"/>
      <c r="X221" s="231"/>
      <c r="Y221" s="231"/>
      <c r="Z221" s="231"/>
      <c r="AA221" s="231"/>
      <c r="AB221" s="231"/>
      <c r="AC221" s="231"/>
      <c r="AD221" s="231"/>
      <c r="AE221" s="231"/>
      <c r="AF221" s="231"/>
      <c r="AG221" s="231"/>
      <c r="AH221" s="231"/>
      <c r="AI221" s="231"/>
      <c r="AJ221" s="231"/>
      <c r="AK221" s="231"/>
      <c r="AL221" s="231"/>
      <c r="AM221" s="231"/>
    </row>
    <row r="222" spans="1:39" s="203" customFormat="1">
      <c r="A222" s="109"/>
      <c r="B222" s="132"/>
      <c r="C222" s="132"/>
      <c r="D222" s="132"/>
      <c r="E222" s="859"/>
      <c r="F222" s="859"/>
      <c r="G222" s="130"/>
      <c r="H222" s="859"/>
      <c r="I222" s="130"/>
      <c r="J222" s="231"/>
      <c r="K222" s="231"/>
      <c r="L222" s="231"/>
      <c r="M222" s="231"/>
      <c r="N222" s="231"/>
      <c r="O222" s="231"/>
      <c r="P222" s="231"/>
      <c r="Q222" s="231"/>
      <c r="R222" s="231"/>
      <c r="S222" s="231"/>
      <c r="T222" s="231"/>
      <c r="U222" s="231"/>
      <c r="V222" s="231"/>
      <c r="W222" s="231"/>
      <c r="X222" s="231"/>
      <c r="Y222" s="231"/>
      <c r="Z222" s="231"/>
      <c r="AA222" s="231"/>
      <c r="AB222" s="231"/>
      <c r="AC222" s="231"/>
      <c r="AD222" s="231"/>
      <c r="AE222" s="231"/>
      <c r="AF222" s="231"/>
      <c r="AG222" s="231"/>
      <c r="AH222" s="231"/>
      <c r="AI222" s="231"/>
      <c r="AJ222" s="231"/>
      <c r="AK222" s="231"/>
      <c r="AL222" s="231"/>
      <c r="AM222" s="231"/>
    </row>
    <row r="223" spans="1:39" s="203" customFormat="1">
      <c r="A223" s="154" t="s">
        <v>179</v>
      </c>
      <c r="B223" s="116"/>
      <c r="C223" s="116"/>
      <c r="D223" s="116"/>
      <c r="E223" s="859"/>
      <c r="F223" s="859"/>
      <c r="G223" s="130"/>
      <c r="H223" s="859"/>
      <c r="I223" s="130"/>
      <c r="J223" s="231"/>
      <c r="K223" s="231"/>
      <c r="L223" s="231"/>
      <c r="M223" s="231"/>
      <c r="N223" s="231"/>
      <c r="O223" s="231"/>
      <c r="P223" s="231"/>
      <c r="Q223" s="231"/>
      <c r="R223" s="231"/>
      <c r="S223" s="231"/>
      <c r="T223" s="231"/>
      <c r="U223" s="231"/>
      <c r="V223" s="231"/>
      <c r="W223" s="231"/>
      <c r="X223" s="231"/>
      <c r="Y223" s="231"/>
      <c r="Z223" s="231"/>
      <c r="AA223" s="231"/>
      <c r="AB223" s="231"/>
      <c r="AC223" s="231"/>
      <c r="AD223" s="231"/>
      <c r="AE223" s="231"/>
      <c r="AF223" s="231"/>
      <c r="AG223" s="231"/>
      <c r="AH223" s="231"/>
      <c r="AI223" s="231"/>
      <c r="AJ223" s="231"/>
      <c r="AK223" s="231"/>
      <c r="AL223" s="231"/>
      <c r="AM223" s="231"/>
    </row>
    <row r="224" spans="1:39" s="203" customFormat="1">
      <c r="A224" s="109" t="s">
        <v>83</v>
      </c>
      <c r="B224" s="47"/>
      <c r="C224" s="47"/>
      <c r="D224" s="47"/>
      <c r="E224" s="859"/>
      <c r="F224" s="859"/>
      <c r="G224" s="130"/>
      <c r="H224" s="859"/>
      <c r="I224" s="130"/>
      <c r="J224" s="231"/>
      <c r="K224" s="231"/>
      <c r="L224" s="231"/>
      <c r="M224" s="231"/>
      <c r="N224" s="231"/>
      <c r="O224" s="231"/>
      <c r="P224" s="231"/>
      <c r="Q224" s="231"/>
      <c r="R224" s="231"/>
      <c r="S224" s="231"/>
      <c r="T224" s="231"/>
      <c r="U224" s="231"/>
      <c r="V224" s="231"/>
      <c r="W224" s="231"/>
      <c r="X224" s="231"/>
      <c r="Y224" s="231"/>
      <c r="Z224" s="231"/>
      <c r="AA224" s="231"/>
      <c r="AB224" s="231"/>
      <c r="AC224" s="231"/>
      <c r="AD224" s="231"/>
      <c r="AE224" s="231"/>
      <c r="AF224" s="231"/>
      <c r="AG224" s="231"/>
      <c r="AH224" s="231"/>
      <c r="AI224" s="231"/>
      <c r="AJ224" s="231"/>
      <c r="AK224" s="231"/>
      <c r="AL224" s="231"/>
      <c r="AM224" s="231"/>
    </row>
    <row r="225" spans="1:39" s="203" customFormat="1">
      <c r="A225" s="110" t="s">
        <v>84</v>
      </c>
      <c r="B225" s="132"/>
      <c r="C225" s="132"/>
      <c r="D225" s="132"/>
      <c r="E225" s="860"/>
      <c r="F225" s="860"/>
      <c r="G225" s="130"/>
      <c r="H225" s="860"/>
      <c r="I225" s="130"/>
      <c r="J225" s="231"/>
      <c r="K225" s="231"/>
      <c r="L225" s="231"/>
      <c r="M225" s="231"/>
      <c r="N225" s="231"/>
      <c r="O225" s="231"/>
      <c r="P225" s="231"/>
      <c r="Q225" s="231"/>
      <c r="R225" s="231"/>
      <c r="S225" s="231"/>
      <c r="T225" s="231"/>
      <c r="U225" s="231"/>
      <c r="V225" s="231"/>
      <c r="W225" s="231"/>
      <c r="X225" s="231"/>
      <c r="Y225" s="231"/>
      <c r="Z225" s="231"/>
      <c r="AA225" s="231"/>
      <c r="AB225" s="231"/>
      <c r="AC225" s="231"/>
      <c r="AD225" s="231"/>
      <c r="AE225" s="231"/>
      <c r="AF225" s="231"/>
      <c r="AG225" s="231"/>
      <c r="AH225" s="231"/>
      <c r="AI225" s="231"/>
      <c r="AJ225" s="231"/>
      <c r="AK225" s="231"/>
      <c r="AL225" s="231"/>
      <c r="AM225" s="231"/>
    </row>
    <row r="226" spans="1:39" s="203" customFormat="1">
      <c r="A226" s="120">
        <v>1</v>
      </c>
      <c r="B226" s="47" t="s">
        <v>180</v>
      </c>
      <c r="C226" s="47"/>
      <c r="D226" s="47"/>
      <c r="E226" s="41">
        <v>-52</v>
      </c>
      <c r="F226" s="52">
        <v>-158</v>
      </c>
      <c r="G226" s="118"/>
      <c r="H226" s="133">
        <v>-74</v>
      </c>
      <c r="I226" s="29"/>
      <c r="J226" s="231"/>
      <c r="K226" s="231"/>
      <c r="L226" s="231"/>
      <c r="M226" s="231"/>
      <c r="N226" s="231"/>
      <c r="O226" s="231"/>
      <c r="P226" s="231"/>
      <c r="Q226" s="231"/>
      <c r="R226" s="231"/>
      <c r="S226" s="231"/>
      <c r="T226" s="231"/>
      <c r="U226" s="231"/>
      <c r="V226" s="231"/>
      <c r="W226" s="231"/>
      <c r="X226" s="231"/>
      <c r="Y226" s="231"/>
      <c r="Z226" s="231"/>
      <c r="AA226" s="231"/>
      <c r="AB226" s="231"/>
      <c r="AC226" s="231"/>
      <c r="AD226" s="231"/>
      <c r="AE226" s="231"/>
      <c r="AF226" s="231"/>
      <c r="AG226" s="231"/>
      <c r="AH226" s="231"/>
      <c r="AI226" s="231"/>
      <c r="AJ226" s="231"/>
      <c r="AK226" s="231"/>
      <c r="AL226" s="231"/>
      <c r="AM226" s="231"/>
    </row>
    <row r="227" spans="1:39" s="203" customFormat="1">
      <c r="A227" s="120">
        <v>2</v>
      </c>
      <c r="B227" s="47" t="s">
        <v>181</v>
      </c>
      <c r="C227" s="47"/>
      <c r="D227" s="47"/>
      <c r="E227" s="49">
        <v>-12</v>
      </c>
      <c r="F227" s="52">
        <f>203-10</f>
        <v>193</v>
      </c>
      <c r="G227" s="118"/>
      <c r="H227" s="122">
        <f>313-15</f>
        <v>298</v>
      </c>
      <c r="I227" s="29"/>
      <c r="J227" s="231"/>
      <c r="K227" s="231"/>
      <c r="L227" s="231"/>
      <c r="M227" s="231"/>
      <c r="N227" s="231"/>
      <c r="O227" s="231"/>
      <c r="P227" s="231"/>
      <c r="Q227" s="231"/>
      <c r="R227" s="231"/>
      <c r="S227" s="231"/>
      <c r="T227" s="231"/>
      <c r="U227" s="231"/>
      <c r="V227" s="231"/>
      <c r="W227" s="231"/>
      <c r="X227" s="231"/>
      <c r="Y227" s="231"/>
      <c r="Z227" s="231"/>
      <c r="AA227" s="231"/>
      <c r="AB227" s="231"/>
      <c r="AC227" s="231"/>
      <c r="AD227" s="231"/>
      <c r="AE227" s="231"/>
      <c r="AF227" s="231"/>
      <c r="AG227" s="231"/>
      <c r="AH227" s="231"/>
      <c r="AI227" s="231"/>
      <c r="AJ227" s="231"/>
      <c r="AK227" s="231"/>
      <c r="AL227" s="231"/>
      <c r="AM227" s="231"/>
    </row>
    <row r="228" spans="1:39" s="203" customFormat="1">
      <c r="A228" s="120">
        <v>3</v>
      </c>
      <c r="B228" s="47" t="s">
        <v>182</v>
      </c>
      <c r="C228" s="47"/>
      <c r="D228" s="47"/>
      <c r="E228" s="114">
        <v>438</v>
      </c>
      <c r="F228" s="52">
        <f>493-10</f>
        <v>483</v>
      </c>
      <c r="G228" s="118"/>
      <c r="H228" s="122">
        <v>407</v>
      </c>
      <c r="I228" s="29"/>
      <c r="J228" s="231"/>
      <c r="K228" s="231"/>
      <c r="L228" s="231"/>
      <c r="M228" s="231"/>
      <c r="N228" s="231"/>
      <c r="O228" s="231"/>
      <c r="P228" s="231"/>
      <c r="Q228" s="231"/>
      <c r="R228" s="231"/>
      <c r="S228" s="231"/>
      <c r="T228" s="231"/>
      <c r="U228" s="231"/>
      <c r="V228" s="231"/>
      <c r="W228" s="231"/>
      <c r="X228" s="231"/>
      <c r="Y228" s="231"/>
      <c r="Z228" s="231"/>
      <c r="AA228" s="231"/>
      <c r="AB228" s="231"/>
      <c r="AC228" s="231"/>
      <c r="AD228" s="231"/>
      <c r="AE228" s="231"/>
      <c r="AF228" s="231"/>
      <c r="AG228" s="231"/>
      <c r="AH228" s="231"/>
      <c r="AI228" s="231"/>
      <c r="AJ228" s="231"/>
      <c r="AK228" s="231"/>
      <c r="AL228" s="231"/>
      <c r="AM228" s="231"/>
    </row>
    <row r="229" spans="1:39" s="203" customFormat="1">
      <c r="A229" s="120">
        <v>4</v>
      </c>
      <c r="B229" s="47" t="s">
        <v>183</v>
      </c>
      <c r="C229" s="47"/>
      <c r="D229" s="47"/>
      <c r="E229" s="114">
        <v>663</v>
      </c>
      <c r="F229" s="52">
        <v>412</v>
      </c>
      <c r="G229" s="118"/>
      <c r="H229" s="122">
        <v>357</v>
      </c>
      <c r="I229" s="29"/>
      <c r="J229" s="231"/>
      <c r="K229" s="231"/>
      <c r="L229" s="231"/>
      <c r="M229" s="231"/>
      <c r="N229" s="231"/>
      <c r="O229" s="231"/>
      <c r="P229" s="231"/>
      <c r="Q229" s="231"/>
      <c r="R229" s="231"/>
      <c r="S229" s="231"/>
      <c r="T229" s="231"/>
      <c r="U229" s="231"/>
      <c r="V229" s="231"/>
      <c r="W229" s="231"/>
      <c r="X229" s="231"/>
      <c r="Y229" s="231"/>
      <c r="Z229" s="231"/>
      <c r="AA229" s="231"/>
      <c r="AB229" s="231"/>
      <c r="AC229" s="231"/>
      <c r="AD229" s="231"/>
      <c r="AE229" s="231"/>
      <c r="AF229" s="231"/>
      <c r="AG229" s="231"/>
      <c r="AH229" s="231"/>
      <c r="AI229" s="231"/>
      <c r="AJ229" s="231"/>
      <c r="AK229" s="231"/>
      <c r="AL229" s="231"/>
      <c r="AM229" s="231"/>
    </row>
    <row r="230" spans="1:39" s="203" customFormat="1">
      <c r="A230" s="120">
        <v>5</v>
      </c>
      <c r="B230" s="47" t="s">
        <v>184</v>
      </c>
      <c r="C230" s="47"/>
      <c r="D230" s="47"/>
      <c r="E230" s="114">
        <v>1280</v>
      </c>
      <c r="F230" s="52">
        <f>649+494</f>
        <v>1143</v>
      </c>
      <c r="G230" s="118"/>
      <c r="H230" s="99">
        <f>749+1120</f>
        <v>1869</v>
      </c>
      <c r="I230" s="29"/>
      <c r="J230" s="231"/>
      <c r="K230" s="231"/>
      <c r="L230" s="231"/>
      <c r="M230" s="231"/>
      <c r="N230" s="231"/>
      <c r="O230" s="231"/>
      <c r="P230" s="231"/>
      <c r="Q230" s="231"/>
      <c r="R230" s="231"/>
      <c r="S230" s="231"/>
      <c r="T230" s="231"/>
      <c r="U230" s="231"/>
      <c r="V230" s="231"/>
      <c r="W230" s="231"/>
      <c r="X230" s="231"/>
      <c r="Y230" s="231"/>
      <c r="Z230" s="231"/>
      <c r="AA230" s="231"/>
      <c r="AB230" s="231"/>
      <c r="AC230" s="231"/>
      <c r="AD230" s="231"/>
      <c r="AE230" s="231"/>
      <c r="AF230" s="231"/>
      <c r="AG230" s="231"/>
      <c r="AH230" s="231"/>
      <c r="AI230" s="231"/>
      <c r="AJ230" s="231"/>
      <c r="AK230" s="231"/>
      <c r="AL230" s="231"/>
      <c r="AM230" s="231"/>
    </row>
    <row r="231" spans="1:39" s="203" customFormat="1">
      <c r="A231" s="124">
        <v>6</v>
      </c>
      <c r="B231" s="173" t="s">
        <v>185</v>
      </c>
      <c r="C231" s="173"/>
      <c r="D231" s="173"/>
      <c r="E231" s="159">
        <v>2317</v>
      </c>
      <c r="F231" s="61">
        <f>SUM(F226:F230)</f>
        <v>2073</v>
      </c>
      <c r="G231" s="118"/>
      <c r="H231" s="61">
        <f>SUM(H226:H230)</f>
        <v>2857</v>
      </c>
      <c r="I231" s="29"/>
      <c r="J231" s="231"/>
      <c r="K231" s="231"/>
      <c r="L231" s="231"/>
      <c r="M231" s="231"/>
      <c r="N231" s="231"/>
      <c r="O231" s="231"/>
      <c r="P231" s="231"/>
      <c r="Q231" s="231"/>
      <c r="R231" s="231"/>
      <c r="S231" s="231"/>
      <c r="T231" s="231"/>
      <c r="U231" s="231"/>
      <c r="V231" s="231"/>
      <c r="W231" s="231"/>
      <c r="X231" s="231"/>
      <c r="Y231" s="231"/>
      <c r="Z231" s="231"/>
      <c r="AA231" s="231"/>
      <c r="AB231" s="231"/>
      <c r="AC231" s="231"/>
      <c r="AD231" s="231"/>
      <c r="AE231" s="231"/>
      <c r="AF231" s="231"/>
      <c r="AG231" s="231"/>
      <c r="AH231" s="231"/>
      <c r="AI231" s="231"/>
      <c r="AJ231" s="231"/>
      <c r="AK231" s="231"/>
      <c r="AL231" s="231"/>
      <c r="AM231" s="231"/>
    </row>
    <row r="232" spans="1:39" s="203" customFormat="1">
      <c r="A232" s="148"/>
      <c r="B232" s="29"/>
      <c r="C232" s="29"/>
      <c r="D232" s="170"/>
      <c r="E232" s="150"/>
      <c r="F232" s="29"/>
      <c r="G232" s="29"/>
      <c r="H232" s="207"/>
      <c r="I232" s="29"/>
      <c r="J232" s="231"/>
      <c r="K232" s="231"/>
      <c r="L232" s="231"/>
      <c r="M232" s="231"/>
      <c r="N232" s="231"/>
      <c r="O232" s="231"/>
      <c r="P232" s="231"/>
      <c r="Q232" s="231"/>
      <c r="R232" s="231"/>
      <c r="S232" s="231"/>
      <c r="T232" s="231"/>
      <c r="U232" s="231"/>
      <c r="V232" s="231"/>
      <c r="W232" s="231"/>
      <c r="X232" s="231"/>
      <c r="Y232" s="231"/>
      <c r="Z232" s="231"/>
      <c r="AA232" s="231"/>
      <c r="AB232" s="231"/>
      <c r="AC232" s="231"/>
      <c r="AD232" s="231"/>
      <c r="AE232" s="231"/>
      <c r="AF232" s="231"/>
      <c r="AG232" s="231"/>
      <c r="AH232" s="231"/>
      <c r="AI232" s="231"/>
      <c r="AJ232" s="231"/>
      <c r="AK232" s="231"/>
      <c r="AL232" s="231"/>
      <c r="AM232" s="231"/>
    </row>
    <row r="233" spans="1:39" s="203" customFormat="1">
      <c r="A233" s="148"/>
      <c r="B233" s="29"/>
      <c r="C233" s="29"/>
      <c r="D233" s="172"/>
      <c r="E233" s="152"/>
      <c r="F233" s="29"/>
      <c r="G233" s="29"/>
      <c r="H233" s="131" t="s">
        <v>27</v>
      </c>
      <c r="I233" s="29"/>
      <c r="J233" s="231"/>
      <c r="K233" s="231"/>
      <c r="L233" s="231"/>
      <c r="M233" s="231"/>
      <c r="N233" s="231"/>
      <c r="O233" s="231"/>
      <c r="P233" s="231"/>
      <c r="Q233" s="231"/>
      <c r="R233" s="231"/>
      <c r="S233" s="231"/>
      <c r="T233" s="231"/>
      <c r="U233" s="231"/>
      <c r="V233" s="231"/>
      <c r="W233" s="231"/>
      <c r="X233" s="231"/>
      <c r="Y233" s="231"/>
      <c r="Z233" s="231"/>
      <c r="AA233" s="231"/>
      <c r="AB233" s="231"/>
      <c r="AC233" s="231"/>
      <c r="AD233" s="231"/>
      <c r="AE233" s="231"/>
      <c r="AF233" s="231"/>
      <c r="AG233" s="231"/>
      <c r="AH233" s="231"/>
      <c r="AI233" s="231"/>
      <c r="AJ233" s="231"/>
      <c r="AK233" s="231"/>
      <c r="AL233" s="231"/>
      <c r="AM233" s="231"/>
    </row>
    <row r="234" spans="1:39" s="203" customFormat="1" ht="12.75" customHeight="1">
      <c r="A234" s="106" t="s">
        <v>12</v>
      </c>
      <c r="B234" s="164"/>
      <c r="C234" s="164"/>
      <c r="D234" s="164"/>
      <c r="E234" s="856" t="s">
        <v>377</v>
      </c>
      <c r="F234" s="856" t="s">
        <v>402</v>
      </c>
      <c r="G234" s="130"/>
      <c r="H234" s="856" t="s">
        <v>403</v>
      </c>
      <c r="I234" s="130"/>
      <c r="J234" s="231"/>
      <c r="K234" s="231"/>
      <c r="L234" s="231"/>
      <c r="M234" s="231"/>
      <c r="N234" s="231"/>
      <c r="O234" s="231"/>
      <c r="P234" s="231"/>
      <c r="Q234" s="231"/>
      <c r="R234" s="231"/>
      <c r="S234" s="231"/>
      <c r="T234" s="231"/>
      <c r="U234" s="231"/>
      <c r="V234" s="231"/>
      <c r="W234" s="231"/>
      <c r="X234" s="231"/>
      <c r="Y234" s="231"/>
      <c r="Z234" s="231"/>
      <c r="AA234" s="231"/>
      <c r="AB234" s="231"/>
      <c r="AC234" s="231"/>
      <c r="AD234" s="231"/>
      <c r="AE234" s="231"/>
      <c r="AF234" s="231"/>
      <c r="AG234" s="231"/>
      <c r="AH234" s="231"/>
      <c r="AI234" s="231"/>
      <c r="AJ234" s="231"/>
      <c r="AK234" s="231"/>
      <c r="AL234" s="231"/>
      <c r="AM234" s="231"/>
    </row>
    <row r="235" spans="1:39" s="203" customFormat="1">
      <c r="A235" s="165"/>
      <c r="B235" s="47"/>
      <c r="C235" s="47"/>
      <c r="D235" s="47"/>
      <c r="E235" s="859"/>
      <c r="F235" s="859"/>
      <c r="G235" s="130"/>
      <c r="H235" s="859"/>
      <c r="I235" s="130"/>
      <c r="J235" s="231"/>
      <c r="K235" s="231"/>
      <c r="L235" s="231"/>
      <c r="M235" s="231"/>
      <c r="N235" s="231"/>
      <c r="O235" s="231"/>
      <c r="P235" s="231"/>
      <c r="Q235" s="231"/>
      <c r="R235" s="231"/>
      <c r="S235" s="231"/>
      <c r="T235" s="231"/>
      <c r="U235" s="231"/>
      <c r="V235" s="231"/>
      <c r="W235" s="231"/>
      <c r="X235" s="231"/>
      <c r="Y235" s="231"/>
      <c r="Z235" s="231"/>
      <c r="AA235" s="231"/>
      <c r="AB235" s="231"/>
      <c r="AC235" s="231"/>
      <c r="AD235" s="231"/>
      <c r="AE235" s="231"/>
      <c r="AF235" s="231"/>
      <c r="AG235" s="231"/>
      <c r="AH235" s="231"/>
      <c r="AI235" s="231"/>
      <c r="AJ235" s="231"/>
      <c r="AK235" s="231"/>
      <c r="AL235" s="231"/>
      <c r="AM235" s="231"/>
    </row>
    <row r="236" spans="1:39" s="203" customFormat="1">
      <c r="A236" s="154" t="s">
        <v>186</v>
      </c>
      <c r="B236" s="174"/>
      <c r="C236" s="174"/>
      <c r="D236" s="174"/>
      <c r="E236" s="859"/>
      <c r="F236" s="859"/>
      <c r="G236" s="130"/>
      <c r="H236" s="859"/>
      <c r="I236" s="130"/>
      <c r="J236" s="231"/>
      <c r="K236" s="231"/>
      <c r="L236" s="231"/>
      <c r="M236" s="231"/>
      <c r="N236" s="231"/>
      <c r="O236" s="231"/>
      <c r="P236" s="231"/>
      <c r="Q236" s="231"/>
      <c r="R236" s="231"/>
      <c r="S236" s="231"/>
      <c r="T236" s="231"/>
      <c r="U236" s="231"/>
      <c r="V236" s="231"/>
      <c r="W236" s="231"/>
      <c r="X236" s="231"/>
      <c r="Y236" s="231"/>
      <c r="Z236" s="231"/>
      <c r="AA236" s="231"/>
      <c r="AB236" s="231"/>
      <c r="AC236" s="231"/>
      <c r="AD236" s="231"/>
      <c r="AE236" s="231"/>
      <c r="AF236" s="231"/>
      <c r="AG236" s="231"/>
      <c r="AH236" s="231"/>
      <c r="AI236" s="231"/>
      <c r="AJ236" s="231"/>
      <c r="AK236" s="231"/>
      <c r="AL236" s="231"/>
      <c r="AM236" s="231"/>
    </row>
    <row r="237" spans="1:39" s="203" customFormat="1">
      <c r="A237" s="109" t="s">
        <v>83</v>
      </c>
      <c r="B237" s="47"/>
      <c r="C237" s="47"/>
      <c r="D237" s="47"/>
      <c r="E237" s="859"/>
      <c r="F237" s="859"/>
      <c r="G237" s="130"/>
      <c r="H237" s="859"/>
      <c r="I237" s="130"/>
      <c r="J237" s="231"/>
      <c r="K237" s="231"/>
      <c r="L237" s="231"/>
      <c r="M237" s="231"/>
      <c r="N237" s="231"/>
      <c r="O237" s="231"/>
      <c r="P237" s="231"/>
      <c r="Q237" s="231"/>
      <c r="R237" s="231"/>
      <c r="S237" s="231"/>
      <c r="T237" s="231"/>
      <c r="U237" s="231"/>
      <c r="V237" s="231"/>
      <c r="W237" s="231"/>
      <c r="X237" s="231"/>
      <c r="Y237" s="231"/>
      <c r="Z237" s="231"/>
      <c r="AA237" s="231"/>
      <c r="AB237" s="231"/>
      <c r="AC237" s="231"/>
      <c r="AD237" s="231"/>
      <c r="AE237" s="231"/>
      <c r="AF237" s="231"/>
      <c r="AG237" s="231"/>
      <c r="AH237" s="231"/>
      <c r="AI237" s="231"/>
      <c r="AJ237" s="231"/>
      <c r="AK237" s="231"/>
      <c r="AL237" s="231"/>
      <c r="AM237" s="231"/>
    </row>
    <row r="238" spans="1:39" s="203" customFormat="1">
      <c r="A238" s="110" t="s">
        <v>84</v>
      </c>
      <c r="B238" s="174"/>
      <c r="C238" s="174"/>
      <c r="D238" s="174"/>
      <c r="E238" s="860"/>
      <c r="F238" s="860"/>
      <c r="G238" s="130"/>
      <c r="H238" s="860"/>
      <c r="I238" s="130"/>
      <c r="J238" s="231"/>
      <c r="K238" s="231"/>
      <c r="L238" s="231"/>
      <c r="M238" s="231"/>
      <c r="N238" s="231"/>
      <c r="O238" s="231"/>
      <c r="P238" s="231"/>
      <c r="Q238" s="231"/>
      <c r="R238" s="231"/>
      <c r="S238" s="231"/>
      <c r="T238" s="231"/>
      <c r="U238" s="231"/>
      <c r="V238" s="231"/>
      <c r="W238" s="231"/>
      <c r="X238" s="231"/>
      <c r="Y238" s="231"/>
      <c r="Z238" s="231"/>
      <c r="AA238" s="231"/>
      <c r="AB238" s="231"/>
      <c r="AC238" s="231"/>
      <c r="AD238" s="231"/>
      <c r="AE238" s="231"/>
      <c r="AF238" s="231"/>
      <c r="AG238" s="231"/>
      <c r="AH238" s="231"/>
      <c r="AI238" s="231"/>
      <c r="AJ238" s="231"/>
      <c r="AK238" s="231"/>
      <c r="AL238" s="231"/>
      <c r="AM238" s="231"/>
    </row>
    <row r="239" spans="1:39" s="203" customFormat="1">
      <c r="A239" s="153" t="s">
        <v>187</v>
      </c>
      <c r="B239" s="116"/>
      <c r="C239" s="116"/>
      <c r="D239" s="116"/>
      <c r="E239" s="167"/>
      <c r="F239" s="146"/>
      <c r="G239" s="118"/>
      <c r="H239" s="146"/>
      <c r="I239" s="29"/>
      <c r="J239" s="231"/>
      <c r="K239" s="231"/>
      <c r="L239" s="231"/>
      <c r="M239" s="231"/>
      <c r="N239" s="231"/>
      <c r="O239" s="231"/>
      <c r="P239" s="231"/>
      <c r="Q239" s="231"/>
      <c r="R239" s="231"/>
      <c r="S239" s="231"/>
      <c r="T239" s="231"/>
      <c r="U239" s="231"/>
      <c r="V239" s="231"/>
      <c r="W239" s="231"/>
      <c r="X239" s="231"/>
      <c r="Y239" s="231"/>
      <c r="Z239" s="231"/>
      <c r="AA239" s="231"/>
      <c r="AB239" s="231"/>
      <c r="AC239" s="231"/>
      <c r="AD239" s="231"/>
      <c r="AE239" s="231"/>
      <c r="AF239" s="231"/>
      <c r="AG239" s="231"/>
      <c r="AH239" s="231"/>
      <c r="AI239" s="231"/>
      <c r="AJ239" s="231"/>
      <c r="AK239" s="231"/>
      <c r="AL239" s="231"/>
      <c r="AM239" s="231"/>
    </row>
    <row r="240" spans="1:39" s="203" customFormat="1">
      <c r="A240" s="120">
        <v>1</v>
      </c>
      <c r="B240" s="47" t="s">
        <v>188</v>
      </c>
      <c r="C240" s="47"/>
      <c r="D240" s="47"/>
      <c r="E240" s="74">
        <v>322</v>
      </c>
      <c r="F240" s="52">
        <v>314</v>
      </c>
      <c r="G240" s="118"/>
      <c r="H240" s="122">
        <v>316</v>
      </c>
      <c r="I240" s="29"/>
      <c r="J240" s="231"/>
      <c r="K240" s="231"/>
      <c r="L240" s="231"/>
      <c r="M240" s="231"/>
      <c r="N240" s="231"/>
      <c r="O240" s="231"/>
      <c r="P240" s="231"/>
      <c r="Q240" s="231"/>
      <c r="R240" s="231"/>
      <c r="S240" s="231"/>
      <c r="T240" s="231"/>
      <c r="U240" s="231"/>
      <c r="V240" s="231"/>
      <c r="W240" s="231"/>
      <c r="X240" s="231"/>
      <c r="Y240" s="231"/>
      <c r="Z240" s="231"/>
      <c r="AA240" s="231"/>
      <c r="AB240" s="231"/>
      <c r="AC240" s="231"/>
      <c r="AD240" s="231"/>
      <c r="AE240" s="231"/>
      <c r="AF240" s="231"/>
      <c r="AG240" s="231"/>
      <c r="AH240" s="231"/>
      <c r="AI240" s="231"/>
      <c r="AJ240" s="231"/>
      <c r="AK240" s="231"/>
      <c r="AL240" s="231"/>
      <c r="AM240" s="231"/>
    </row>
    <row r="241" spans="1:39" s="203" customFormat="1">
      <c r="A241" s="815">
        <v>2</v>
      </c>
      <c r="B241" s="47" t="s">
        <v>189</v>
      </c>
      <c r="C241" s="47"/>
      <c r="D241" s="47"/>
      <c r="E241" s="114">
        <v>392</v>
      </c>
      <c r="F241" s="52">
        <v>353</v>
      </c>
      <c r="G241" s="118"/>
      <c r="H241" s="100">
        <v>367</v>
      </c>
      <c r="I241" s="29"/>
      <c r="J241" s="231"/>
      <c r="K241" s="231"/>
      <c r="L241" s="231"/>
      <c r="M241" s="231"/>
      <c r="N241" s="231"/>
      <c r="O241" s="231"/>
      <c r="P241" s="231"/>
      <c r="Q241" s="231"/>
      <c r="R241" s="231"/>
      <c r="S241" s="231"/>
      <c r="T241" s="231"/>
      <c r="U241" s="231"/>
      <c r="V241" s="231"/>
      <c r="W241" s="231"/>
      <c r="X241" s="231"/>
      <c r="Y241" s="231"/>
      <c r="Z241" s="231"/>
      <c r="AA241" s="231"/>
      <c r="AB241" s="231"/>
      <c r="AC241" s="231"/>
      <c r="AD241" s="231"/>
      <c r="AE241" s="231"/>
      <c r="AF241" s="231"/>
      <c r="AG241" s="231"/>
      <c r="AH241" s="231"/>
      <c r="AI241" s="231"/>
      <c r="AJ241" s="231"/>
      <c r="AK241" s="231"/>
      <c r="AL241" s="231"/>
      <c r="AM241" s="231"/>
    </row>
    <row r="242" spans="1:39" s="203" customFormat="1">
      <c r="A242" s="815">
        <v>3</v>
      </c>
      <c r="B242" s="168" t="s">
        <v>190</v>
      </c>
      <c r="C242" s="168"/>
      <c r="D242" s="168"/>
      <c r="E242" s="80">
        <v>714</v>
      </c>
      <c r="F242" s="142">
        <f>SUM(F240:F241)</f>
        <v>667</v>
      </c>
      <c r="G242" s="118"/>
      <c r="H242" s="142">
        <f>SUM(H240:H241)</f>
        <v>683</v>
      </c>
      <c r="I242" s="29"/>
      <c r="J242" s="231"/>
      <c r="K242" s="231"/>
      <c r="L242" s="231"/>
      <c r="M242" s="231"/>
      <c r="N242" s="231"/>
      <c r="O242" s="231"/>
      <c r="P242" s="231"/>
      <c r="Q242" s="231"/>
      <c r="R242" s="231"/>
      <c r="S242" s="231"/>
      <c r="T242" s="231"/>
      <c r="U242" s="231"/>
      <c r="V242" s="231"/>
      <c r="W242" s="231"/>
      <c r="X242" s="231"/>
      <c r="Y242" s="231"/>
      <c r="Z242" s="231"/>
      <c r="AA242" s="231"/>
      <c r="AB242" s="231"/>
      <c r="AC242" s="231"/>
      <c r="AD242" s="231"/>
      <c r="AE242" s="231"/>
      <c r="AF242" s="231"/>
      <c r="AG242" s="231"/>
      <c r="AH242" s="231"/>
      <c r="AI242" s="231"/>
      <c r="AJ242" s="231"/>
      <c r="AK242" s="231"/>
      <c r="AL242" s="231"/>
      <c r="AM242" s="231"/>
    </row>
    <row r="243" spans="1:39" s="203" customFormat="1">
      <c r="A243" s="815"/>
      <c r="B243" s="116"/>
      <c r="C243" s="116"/>
      <c r="D243" s="116"/>
      <c r="E243" s="117"/>
      <c r="F243" s="118"/>
      <c r="G243" s="118"/>
      <c r="H243" s="118"/>
      <c r="I243" s="29"/>
      <c r="J243" s="231"/>
      <c r="K243" s="231"/>
      <c r="L243" s="231"/>
      <c r="M243" s="231"/>
      <c r="N243" s="231"/>
      <c r="O243" s="231"/>
      <c r="P243" s="231"/>
      <c r="Q243" s="231"/>
      <c r="R243" s="231"/>
      <c r="S243" s="231"/>
      <c r="T243" s="231"/>
      <c r="U243" s="231"/>
      <c r="V243" s="231"/>
      <c r="W243" s="231"/>
      <c r="X243" s="231"/>
      <c r="Y243" s="231"/>
      <c r="Z243" s="231"/>
      <c r="AA243" s="231"/>
      <c r="AB243" s="231"/>
      <c r="AC243" s="231"/>
      <c r="AD243" s="231"/>
      <c r="AE243" s="231"/>
      <c r="AF243" s="231"/>
      <c r="AG243" s="231"/>
      <c r="AH243" s="231"/>
      <c r="AI243" s="231"/>
      <c r="AJ243" s="231"/>
      <c r="AK243" s="231"/>
      <c r="AL243" s="231"/>
      <c r="AM243" s="231"/>
    </row>
    <row r="244" spans="1:39" s="203" customFormat="1">
      <c r="A244" s="108" t="s">
        <v>191</v>
      </c>
      <c r="B244" s="47"/>
      <c r="C244" s="47"/>
      <c r="D244" s="47"/>
      <c r="E244" s="140"/>
      <c r="F244" s="146"/>
      <c r="G244" s="118"/>
      <c r="H244" s="146"/>
      <c r="I244" s="29"/>
      <c r="J244" s="231"/>
      <c r="K244" s="231"/>
      <c r="L244" s="231"/>
      <c r="M244" s="231"/>
      <c r="N244" s="231"/>
      <c r="O244" s="231"/>
      <c r="P244" s="231"/>
      <c r="Q244" s="231"/>
      <c r="R244" s="231"/>
      <c r="S244" s="231"/>
      <c r="T244" s="231"/>
      <c r="U244" s="231"/>
      <c r="V244" s="231"/>
      <c r="W244" s="231"/>
      <c r="X244" s="231"/>
      <c r="Y244" s="231"/>
      <c r="Z244" s="231"/>
      <c r="AA244" s="231"/>
      <c r="AB244" s="231"/>
      <c r="AC244" s="231"/>
      <c r="AD244" s="231"/>
      <c r="AE244" s="231"/>
      <c r="AF244" s="231"/>
      <c r="AG244" s="231"/>
      <c r="AH244" s="231"/>
      <c r="AI244" s="231"/>
      <c r="AJ244" s="231"/>
      <c r="AK244" s="231"/>
      <c r="AL244" s="231"/>
      <c r="AM244" s="231"/>
    </row>
    <row r="245" spans="1:39" s="203" customFormat="1">
      <c r="A245" s="815">
        <v>4</v>
      </c>
      <c r="B245" s="47" t="s">
        <v>192</v>
      </c>
      <c r="C245" s="47"/>
      <c r="D245" s="47"/>
      <c r="E245" s="74">
        <v>0</v>
      </c>
      <c r="F245" s="52">
        <v>0</v>
      </c>
      <c r="G245" s="118"/>
      <c r="H245" s="122">
        <v>0</v>
      </c>
      <c r="I245" s="29"/>
      <c r="J245" s="231"/>
      <c r="K245" s="231"/>
      <c r="L245" s="231"/>
      <c r="M245" s="231"/>
      <c r="N245" s="231"/>
      <c r="O245" s="231"/>
      <c r="P245" s="231"/>
      <c r="Q245" s="231"/>
      <c r="R245" s="231"/>
      <c r="S245" s="231"/>
      <c r="T245" s="231"/>
      <c r="U245" s="231"/>
      <c r="V245" s="231"/>
      <c r="W245" s="231"/>
      <c r="X245" s="231"/>
      <c r="Y245" s="231"/>
      <c r="Z245" s="231"/>
      <c r="AA245" s="231"/>
      <c r="AB245" s="231"/>
      <c r="AC245" s="231"/>
      <c r="AD245" s="231"/>
      <c r="AE245" s="231"/>
      <c r="AF245" s="231"/>
      <c r="AG245" s="231"/>
      <c r="AH245" s="231"/>
      <c r="AI245" s="231"/>
      <c r="AJ245" s="231"/>
      <c r="AK245" s="231"/>
      <c r="AL245" s="231"/>
      <c r="AM245" s="231"/>
    </row>
    <row r="246" spans="1:39" s="203" customFormat="1">
      <c r="A246" s="815">
        <v>5</v>
      </c>
      <c r="B246" s="47" t="s">
        <v>193</v>
      </c>
      <c r="C246" s="47"/>
      <c r="D246" s="47"/>
      <c r="E246" s="49">
        <v>0</v>
      </c>
      <c r="F246" s="52">
        <v>29</v>
      </c>
      <c r="G246" s="118"/>
      <c r="H246" s="100">
        <v>31</v>
      </c>
      <c r="I246" s="29"/>
      <c r="J246" s="231"/>
      <c r="K246" s="231"/>
      <c r="L246" s="231"/>
      <c r="M246" s="231"/>
      <c r="N246" s="231"/>
      <c r="O246" s="231"/>
      <c r="P246" s="231"/>
      <c r="Q246" s="231"/>
      <c r="R246" s="231"/>
      <c r="S246" s="231"/>
      <c r="T246" s="231"/>
      <c r="U246" s="231"/>
      <c r="V246" s="231"/>
      <c r="W246" s="231"/>
      <c r="X246" s="231"/>
      <c r="Y246" s="231"/>
      <c r="Z246" s="231"/>
      <c r="AA246" s="231"/>
      <c r="AB246" s="231"/>
      <c r="AC246" s="231"/>
      <c r="AD246" s="231"/>
      <c r="AE246" s="231"/>
      <c r="AF246" s="231"/>
      <c r="AG246" s="231"/>
      <c r="AH246" s="231"/>
      <c r="AI246" s="231"/>
      <c r="AJ246" s="231"/>
      <c r="AK246" s="231"/>
      <c r="AL246" s="231"/>
      <c r="AM246" s="231"/>
    </row>
    <row r="247" spans="1:39" s="203" customFormat="1">
      <c r="A247" s="815">
        <v>6</v>
      </c>
      <c r="B247" s="116" t="s">
        <v>194</v>
      </c>
      <c r="C247" s="116"/>
      <c r="D247" s="116"/>
      <c r="E247" s="80">
        <v>0</v>
      </c>
      <c r="F247" s="142">
        <f>SUM(F245:F246)</f>
        <v>29</v>
      </c>
      <c r="G247" s="118"/>
      <c r="H247" s="142">
        <f>SUM(H245:H246)</f>
        <v>31</v>
      </c>
      <c r="I247" s="29"/>
      <c r="J247" s="231"/>
      <c r="K247" s="231"/>
      <c r="L247" s="231"/>
      <c r="M247" s="231"/>
      <c r="N247" s="231"/>
      <c r="O247" s="231"/>
      <c r="P247" s="231"/>
      <c r="Q247" s="231"/>
      <c r="R247" s="231"/>
      <c r="S247" s="231"/>
      <c r="T247" s="231"/>
      <c r="U247" s="231"/>
      <c r="V247" s="231"/>
      <c r="W247" s="231"/>
      <c r="X247" s="231"/>
      <c r="Y247" s="231"/>
      <c r="Z247" s="231"/>
      <c r="AA247" s="231"/>
      <c r="AB247" s="231"/>
      <c r="AC247" s="231"/>
      <c r="AD247" s="231"/>
      <c r="AE247" s="231"/>
      <c r="AF247" s="231"/>
      <c r="AG247" s="231"/>
      <c r="AH247" s="231"/>
      <c r="AI247" s="231"/>
      <c r="AJ247" s="231"/>
      <c r="AK247" s="231"/>
      <c r="AL247" s="231"/>
      <c r="AM247" s="231"/>
    </row>
    <row r="248" spans="1:39" s="203" customFormat="1">
      <c r="A248" s="815"/>
      <c r="B248" s="116"/>
      <c r="C248" s="116"/>
      <c r="D248" s="116"/>
      <c r="E248" s="117"/>
      <c r="F248" s="118"/>
      <c r="G248" s="118"/>
      <c r="H248" s="118"/>
      <c r="I248" s="29"/>
      <c r="J248" s="231"/>
      <c r="K248" s="231"/>
      <c r="L248" s="231"/>
      <c r="M248" s="231"/>
      <c r="N248" s="231"/>
      <c r="O248" s="231"/>
      <c r="P248" s="231"/>
      <c r="Q248" s="231"/>
      <c r="R248" s="231"/>
      <c r="S248" s="231"/>
      <c r="T248" s="231"/>
      <c r="U248" s="231"/>
      <c r="V248" s="231"/>
      <c r="W248" s="231"/>
      <c r="X248" s="231"/>
      <c r="Y248" s="231"/>
      <c r="Z248" s="231"/>
      <c r="AA248" s="231"/>
      <c r="AB248" s="231"/>
      <c r="AC248" s="231"/>
      <c r="AD248" s="231"/>
      <c r="AE248" s="231"/>
      <c r="AF248" s="231"/>
      <c r="AG248" s="231"/>
      <c r="AH248" s="231"/>
      <c r="AI248" s="231"/>
      <c r="AJ248" s="231"/>
      <c r="AK248" s="231"/>
      <c r="AL248" s="231"/>
      <c r="AM248" s="231"/>
    </row>
    <row r="249" spans="1:39" s="203" customFormat="1">
      <c r="A249" s="108" t="s">
        <v>195</v>
      </c>
      <c r="B249" s="116"/>
      <c r="C249" s="116"/>
      <c r="D249" s="116"/>
      <c r="E249" s="140"/>
      <c r="F249" s="146"/>
      <c r="G249" s="118"/>
      <c r="H249" s="146"/>
      <c r="I249" s="29"/>
      <c r="J249" s="231"/>
      <c r="K249" s="231"/>
      <c r="L249" s="231"/>
      <c r="M249" s="231"/>
      <c r="N249" s="231"/>
      <c r="O249" s="231"/>
      <c r="P249" s="231"/>
      <c r="Q249" s="231"/>
      <c r="R249" s="231"/>
      <c r="S249" s="231"/>
      <c r="T249" s="231"/>
      <c r="U249" s="231"/>
      <c r="V249" s="231"/>
      <c r="W249" s="231"/>
      <c r="X249" s="231"/>
      <c r="Y249" s="231"/>
      <c r="Z249" s="231"/>
      <c r="AA249" s="231"/>
      <c r="AB249" s="231"/>
      <c r="AC249" s="231"/>
      <c r="AD249" s="231"/>
      <c r="AE249" s="231"/>
      <c r="AF249" s="231"/>
      <c r="AG249" s="231"/>
      <c r="AH249" s="231"/>
      <c r="AI249" s="231"/>
      <c r="AJ249" s="231"/>
      <c r="AK249" s="231"/>
      <c r="AL249" s="231"/>
      <c r="AM249" s="231"/>
    </row>
    <row r="250" spans="1:39" s="203" customFormat="1">
      <c r="A250" s="815">
        <v>7</v>
      </c>
      <c r="B250" s="47" t="s">
        <v>196</v>
      </c>
      <c r="C250" s="47"/>
      <c r="D250" s="47"/>
      <c r="E250" s="74">
        <v>345</v>
      </c>
      <c r="F250" s="52">
        <v>412</v>
      </c>
      <c r="G250" s="118"/>
      <c r="H250" s="52">
        <v>384</v>
      </c>
      <c r="I250" s="29"/>
      <c r="J250" s="231"/>
      <c r="K250" s="231"/>
      <c r="L250" s="231"/>
      <c r="M250" s="231"/>
      <c r="N250" s="231"/>
      <c r="O250" s="231"/>
      <c r="P250" s="231"/>
      <c r="Q250" s="231"/>
      <c r="R250" s="231"/>
      <c r="S250" s="231"/>
      <c r="T250" s="231"/>
      <c r="U250" s="231"/>
      <c r="V250" s="231"/>
      <c r="W250" s="231"/>
      <c r="X250" s="231"/>
      <c r="Y250" s="231"/>
      <c r="Z250" s="231"/>
      <c r="AA250" s="231"/>
      <c r="AB250" s="231"/>
      <c r="AC250" s="231"/>
      <c r="AD250" s="231"/>
      <c r="AE250" s="231"/>
      <c r="AF250" s="231"/>
      <c r="AG250" s="231"/>
      <c r="AH250" s="231"/>
      <c r="AI250" s="231"/>
      <c r="AJ250" s="231"/>
      <c r="AK250" s="231"/>
      <c r="AL250" s="231"/>
      <c r="AM250" s="231"/>
    </row>
    <row r="251" spans="1:39" s="203" customFormat="1">
      <c r="A251" s="815">
        <v>8</v>
      </c>
      <c r="B251" s="47" t="s">
        <v>197</v>
      </c>
      <c r="C251" s="47"/>
      <c r="D251" s="47"/>
      <c r="E251" s="49">
        <v>4713</v>
      </c>
      <c r="F251" s="52">
        <f>4990-50</f>
        <v>4940</v>
      </c>
      <c r="G251" s="118"/>
      <c r="H251" s="122">
        <f>4793-40</f>
        <v>4753</v>
      </c>
      <c r="I251" s="29"/>
      <c r="J251" s="231"/>
      <c r="K251" s="231"/>
      <c r="L251" s="231"/>
      <c r="M251" s="231"/>
      <c r="N251" s="231"/>
      <c r="O251" s="231"/>
      <c r="P251" s="231"/>
      <c r="Q251" s="231"/>
      <c r="R251" s="231"/>
      <c r="S251" s="231"/>
      <c r="T251" s="231"/>
      <c r="U251" s="231"/>
      <c r="V251" s="231"/>
      <c r="W251" s="231"/>
      <c r="X251" s="231"/>
      <c r="Y251" s="231"/>
      <c r="Z251" s="231"/>
      <c r="AA251" s="231"/>
      <c r="AB251" s="231"/>
      <c r="AC251" s="231"/>
      <c r="AD251" s="231"/>
      <c r="AE251" s="231"/>
      <c r="AF251" s="231"/>
      <c r="AG251" s="231"/>
      <c r="AH251" s="231"/>
      <c r="AI251" s="231"/>
      <c r="AJ251" s="231"/>
      <c r="AK251" s="231"/>
      <c r="AL251" s="231"/>
      <c r="AM251" s="231"/>
    </row>
    <row r="252" spans="1:39" s="203" customFormat="1">
      <c r="A252" s="815">
        <v>9</v>
      </c>
      <c r="B252" s="47" t="s">
        <v>198</v>
      </c>
      <c r="C252" s="47"/>
      <c r="D252" s="47"/>
      <c r="E252" s="49">
        <v>3209</v>
      </c>
      <c r="F252" s="52">
        <v>2968</v>
      </c>
      <c r="G252" s="118"/>
      <c r="H252" s="122">
        <v>3104</v>
      </c>
      <c r="I252" s="29"/>
      <c r="J252" s="231"/>
      <c r="K252" s="231"/>
      <c r="L252" s="231"/>
      <c r="M252" s="231"/>
      <c r="N252" s="231"/>
      <c r="O252" s="231"/>
      <c r="P252" s="231"/>
      <c r="Q252" s="231"/>
      <c r="R252" s="231"/>
      <c r="S252" s="231"/>
      <c r="T252" s="231"/>
      <c r="U252" s="231"/>
      <c r="V252" s="231"/>
      <c r="W252" s="231"/>
      <c r="X252" s="231"/>
      <c r="Y252" s="231"/>
      <c r="Z252" s="231"/>
      <c r="AA252" s="231"/>
      <c r="AB252" s="231"/>
      <c r="AC252" s="231"/>
      <c r="AD252" s="231"/>
      <c r="AE252" s="231"/>
      <c r="AF252" s="231"/>
      <c r="AG252" s="231"/>
      <c r="AH252" s="231"/>
      <c r="AI252" s="231"/>
      <c r="AJ252" s="231"/>
      <c r="AK252" s="231"/>
      <c r="AL252" s="231"/>
      <c r="AM252" s="231"/>
    </row>
    <row r="253" spans="1:39" s="203" customFormat="1">
      <c r="A253" s="815">
        <v>10</v>
      </c>
      <c r="B253" s="47" t="s">
        <v>199</v>
      </c>
      <c r="C253" s="47"/>
      <c r="D253" s="47"/>
      <c r="E253" s="49">
        <v>34</v>
      </c>
      <c r="F253" s="52">
        <v>34</v>
      </c>
      <c r="G253" s="118"/>
      <c r="H253" s="100">
        <v>34</v>
      </c>
      <c r="I253" s="29"/>
      <c r="J253" s="231"/>
      <c r="K253" s="231"/>
      <c r="L253" s="231"/>
      <c r="M253" s="231"/>
      <c r="N253" s="231"/>
      <c r="O253" s="231"/>
      <c r="P253" s="231"/>
      <c r="Q253" s="231"/>
      <c r="R253" s="231"/>
      <c r="S253" s="231"/>
      <c r="T253" s="231"/>
      <c r="U253" s="231"/>
      <c r="V253" s="231"/>
      <c r="W253" s="231"/>
      <c r="X253" s="231"/>
      <c r="Y253" s="231"/>
      <c r="Z253" s="231"/>
      <c r="AA253" s="231"/>
      <c r="AB253" s="231"/>
      <c r="AC253" s="231"/>
      <c r="AD253" s="231"/>
      <c r="AE253" s="231"/>
      <c r="AF253" s="231"/>
      <c r="AG253" s="231"/>
      <c r="AH253" s="231"/>
      <c r="AI253" s="231"/>
      <c r="AJ253" s="231"/>
      <c r="AK253" s="231"/>
      <c r="AL253" s="231"/>
      <c r="AM253" s="231"/>
    </row>
    <row r="254" spans="1:39" s="203" customFormat="1">
      <c r="A254" s="815">
        <v>11</v>
      </c>
      <c r="B254" s="116" t="s">
        <v>200</v>
      </c>
      <c r="C254" s="116"/>
      <c r="D254" s="116"/>
      <c r="E254" s="80">
        <v>8301</v>
      </c>
      <c r="F254" s="142">
        <f>SUM(F250:F253)</f>
        <v>8354</v>
      </c>
      <c r="G254" s="118"/>
      <c r="H254" s="142">
        <f>SUM(H250:H253)</f>
        <v>8275</v>
      </c>
      <c r="I254" s="260"/>
      <c r="J254" s="231"/>
      <c r="K254" s="231"/>
      <c r="L254" s="231"/>
      <c r="M254" s="231"/>
      <c r="N254" s="231"/>
      <c r="O254" s="231"/>
      <c r="P254" s="231"/>
      <c r="Q254" s="231"/>
      <c r="R254" s="231"/>
      <c r="S254" s="231"/>
      <c r="T254" s="231"/>
      <c r="U254" s="231"/>
      <c r="V254" s="231"/>
      <c r="W254" s="231"/>
      <c r="X254" s="231"/>
      <c r="Y254" s="231"/>
      <c r="Z254" s="231"/>
      <c r="AA254" s="231"/>
      <c r="AB254" s="231"/>
      <c r="AC254" s="231"/>
      <c r="AD254" s="231"/>
      <c r="AE254" s="231"/>
      <c r="AF254" s="231"/>
      <c r="AG254" s="231"/>
      <c r="AH254" s="231"/>
      <c r="AI254" s="231"/>
      <c r="AJ254" s="231"/>
      <c r="AK254" s="231"/>
      <c r="AL254" s="231"/>
      <c r="AM254" s="231"/>
    </row>
    <row r="255" spans="1:39" s="203" customFormat="1">
      <c r="A255" s="815"/>
      <c r="B255" s="116"/>
      <c r="C255" s="116"/>
      <c r="D255" s="116"/>
      <c r="E255" s="117"/>
      <c r="F255" s="118"/>
      <c r="G255" s="118"/>
      <c r="H255" s="118"/>
      <c r="I255" s="29"/>
      <c r="J255" s="231"/>
      <c r="K255" s="231"/>
      <c r="L255" s="231"/>
      <c r="M255" s="231"/>
      <c r="N255" s="231"/>
      <c r="O255" s="231"/>
      <c r="P255" s="231"/>
      <c r="Q255" s="231"/>
      <c r="R255" s="231"/>
      <c r="S255" s="231"/>
      <c r="T255" s="231"/>
      <c r="U255" s="231"/>
      <c r="V255" s="231"/>
      <c r="W255" s="231"/>
      <c r="X255" s="231"/>
      <c r="Y255" s="231"/>
      <c r="Z255" s="231"/>
      <c r="AA255" s="231"/>
      <c r="AB255" s="231"/>
      <c r="AC255" s="231"/>
      <c r="AD255" s="231"/>
      <c r="AE255" s="231"/>
      <c r="AF255" s="231"/>
      <c r="AG255" s="231"/>
      <c r="AH255" s="231"/>
      <c r="AI255" s="231"/>
      <c r="AJ255" s="231"/>
      <c r="AK255" s="231"/>
      <c r="AL255" s="231"/>
      <c r="AM255" s="231"/>
    </row>
    <row r="256" spans="1:39" s="203" customFormat="1">
      <c r="A256" s="815">
        <v>12</v>
      </c>
      <c r="B256" s="47" t="s">
        <v>201</v>
      </c>
      <c r="C256" s="47"/>
      <c r="D256" s="47"/>
      <c r="E256" s="176">
        <v>672</v>
      </c>
      <c r="F256" s="136">
        <v>791</v>
      </c>
      <c r="G256" s="118"/>
      <c r="H256" s="177">
        <v>663</v>
      </c>
      <c r="I256" s="260"/>
      <c r="J256" s="231"/>
      <c r="K256" s="231"/>
      <c r="L256" s="231"/>
      <c r="M256" s="231"/>
      <c r="N256" s="231"/>
      <c r="O256" s="231"/>
      <c r="P256" s="231"/>
      <c r="Q256" s="231"/>
      <c r="R256" s="231"/>
      <c r="S256" s="231"/>
      <c r="T256" s="231"/>
      <c r="U256" s="231"/>
      <c r="V256" s="231"/>
      <c r="W256" s="231"/>
      <c r="X256" s="231"/>
      <c r="Y256" s="231"/>
      <c r="Z256" s="231"/>
      <c r="AA256" s="231"/>
      <c r="AB256" s="231"/>
      <c r="AC256" s="231"/>
      <c r="AD256" s="231"/>
      <c r="AE256" s="231"/>
      <c r="AF256" s="231"/>
      <c r="AG256" s="231"/>
      <c r="AH256" s="231"/>
      <c r="AI256" s="231"/>
      <c r="AJ256" s="231"/>
      <c r="AK256" s="231"/>
      <c r="AL256" s="231"/>
      <c r="AM256" s="231"/>
    </row>
    <row r="257" spans="1:39" s="203" customFormat="1">
      <c r="A257" s="124">
        <v>13</v>
      </c>
      <c r="B257" s="94" t="s">
        <v>202</v>
      </c>
      <c r="C257" s="94"/>
      <c r="D257" s="94"/>
      <c r="E257" s="159">
        <v>9687</v>
      </c>
      <c r="F257" s="61">
        <f>F242+F247+F254+F256</f>
        <v>9841</v>
      </c>
      <c r="G257" s="118"/>
      <c r="H257" s="61">
        <f>H242+H247+H254+H256</f>
        <v>9652</v>
      </c>
      <c r="I257" s="21"/>
      <c r="J257" s="231"/>
      <c r="K257" s="231"/>
      <c r="L257" s="231"/>
      <c r="M257" s="231"/>
      <c r="N257" s="231"/>
      <c r="O257" s="231"/>
      <c r="P257" s="231"/>
      <c r="Q257" s="231"/>
      <c r="R257" s="231"/>
      <c r="S257" s="231"/>
      <c r="T257" s="231"/>
      <c r="U257" s="231"/>
      <c r="V257" s="231"/>
      <c r="W257" s="231"/>
      <c r="X257" s="231"/>
      <c r="Y257" s="231"/>
      <c r="Z257" s="231"/>
      <c r="AA257" s="231"/>
      <c r="AB257" s="231"/>
      <c r="AC257" s="231"/>
      <c r="AD257" s="231"/>
      <c r="AE257" s="231"/>
      <c r="AF257" s="231"/>
      <c r="AG257" s="231"/>
      <c r="AH257" s="231"/>
      <c r="AI257" s="231"/>
      <c r="AJ257" s="231"/>
      <c r="AK257" s="231"/>
      <c r="AL257" s="231"/>
      <c r="AM257" s="231"/>
    </row>
    <row r="258" spans="1:39" s="203" customFormat="1">
      <c r="A258" s="207"/>
      <c r="B258" s="207"/>
      <c r="C258" s="207"/>
      <c r="D258" s="208"/>
      <c r="E258" s="208"/>
      <c r="F258" s="207"/>
      <c r="G258" s="207"/>
      <c r="H258" s="207"/>
      <c r="I258" s="21"/>
      <c r="J258" s="231"/>
      <c r="K258" s="231"/>
      <c r="L258" s="231"/>
      <c r="M258" s="231"/>
      <c r="N258" s="231"/>
      <c r="O258" s="231"/>
      <c r="P258" s="231"/>
      <c r="Q258" s="231"/>
      <c r="R258" s="231"/>
      <c r="S258" s="231"/>
      <c r="T258" s="231"/>
      <c r="U258" s="231"/>
      <c r="V258" s="231"/>
      <c r="W258" s="231"/>
      <c r="X258" s="231"/>
      <c r="Y258" s="231"/>
      <c r="Z258" s="231"/>
      <c r="AA258" s="231"/>
      <c r="AB258" s="231"/>
      <c r="AC258" s="231"/>
      <c r="AD258" s="231"/>
      <c r="AE258" s="231"/>
      <c r="AF258" s="231"/>
      <c r="AG258" s="231"/>
      <c r="AH258" s="231"/>
      <c r="AI258" s="231"/>
      <c r="AJ258" s="231"/>
      <c r="AK258" s="231"/>
      <c r="AL258" s="231"/>
      <c r="AM258" s="231"/>
    </row>
    <row r="259" spans="1:39" s="203" customFormat="1">
      <c r="A259" s="23"/>
      <c r="B259" s="207"/>
      <c r="C259" s="207"/>
      <c r="D259" s="207"/>
      <c r="E259" s="207"/>
      <c r="F259" s="207"/>
      <c r="G259" s="207"/>
      <c r="H259" s="21"/>
      <c r="I259" s="21"/>
      <c r="J259" s="231"/>
      <c r="K259" s="231"/>
      <c r="L259" s="231"/>
      <c r="M259" s="231"/>
      <c r="N259" s="231"/>
      <c r="O259" s="231"/>
      <c r="P259" s="231"/>
      <c r="Q259" s="231"/>
      <c r="R259" s="231"/>
      <c r="S259" s="231"/>
      <c r="T259" s="231"/>
      <c r="U259" s="231"/>
      <c r="V259" s="231"/>
      <c r="W259" s="231"/>
      <c r="X259" s="231"/>
      <c r="Y259" s="231"/>
      <c r="Z259" s="231"/>
      <c r="AA259" s="231"/>
      <c r="AB259" s="231"/>
      <c r="AC259" s="231"/>
      <c r="AD259" s="231"/>
      <c r="AE259" s="231"/>
      <c r="AF259" s="231"/>
      <c r="AG259" s="231"/>
      <c r="AH259" s="231"/>
      <c r="AI259" s="231"/>
      <c r="AJ259" s="231"/>
      <c r="AK259" s="231"/>
      <c r="AL259" s="231"/>
      <c r="AM259" s="231"/>
    </row>
    <row r="260" spans="1:39" s="203" customFormat="1">
      <c r="A260" s="148"/>
      <c r="B260" s="29"/>
      <c r="C260" s="29"/>
      <c r="D260" s="172"/>
      <c r="E260" s="152"/>
      <c r="F260" s="29"/>
      <c r="G260" s="29"/>
      <c r="H260" s="131" t="s">
        <v>27</v>
      </c>
      <c r="I260" s="21"/>
      <c r="J260" s="231"/>
      <c r="K260" s="231"/>
      <c r="L260" s="231"/>
      <c r="M260" s="231"/>
      <c r="N260" s="231"/>
      <c r="O260" s="231"/>
      <c r="P260" s="231"/>
      <c r="Q260" s="231"/>
      <c r="R260" s="231"/>
      <c r="S260" s="231"/>
      <c r="T260" s="231"/>
      <c r="U260" s="231"/>
      <c r="V260" s="231"/>
      <c r="W260" s="231"/>
      <c r="X260" s="231"/>
      <c r="Y260" s="231"/>
      <c r="Z260" s="231"/>
      <c r="AA260" s="231"/>
      <c r="AB260" s="231"/>
      <c r="AC260" s="231"/>
      <c r="AD260" s="231"/>
      <c r="AE260" s="231"/>
      <c r="AF260" s="231"/>
      <c r="AG260" s="231"/>
      <c r="AH260" s="231"/>
      <c r="AI260" s="231"/>
      <c r="AJ260" s="231"/>
      <c r="AK260" s="231"/>
      <c r="AL260" s="231"/>
      <c r="AM260" s="231"/>
    </row>
    <row r="261" spans="1:39" s="203" customFormat="1" ht="12.75" customHeight="1">
      <c r="A261" s="106" t="s">
        <v>15</v>
      </c>
      <c r="B261" s="164"/>
      <c r="C261" s="164"/>
      <c r="D261" s="164"/>
      <c r="E261" s="856" t="s">
        <v>377</v>
      </c>
      <c r="F261" s="856" t="s">
        <v>402</v>
      </c>
      <c r="G261" s="130"/>
      <c r="H261" s="856" t="s">
        <v>403</v>
      </c>
      <c r="I261" s="21"/>
      <c r="J261" s="231"/>
      <c r="K261" s="231"/>
      <c r="L261" s="231"/>
      <c r="M261" s="231"/>
      <c r="N261" s="231"/>
      <c r="O261" s="231"/>
      <c r="P261" s="231"/>
      <c r="Q261" s="231"/>
      <c r="R261" s="231"/>
      <c r="S261" s="231"/>
      <c r="T261" s="231"/>
      <c r="U261" s="231"/>
      <c r="V261" s="231"/>
      <c r="W261" s="231"/>
      <c r="X261" s="231"/>
      <c r="Y261" s="231"/>
      <c r="Z261" s="231"/>
      <c r="AA261" s="231"/>
      <c r="AB261" s="231"/>
      <c r="AC261" s="231"/>
      <c r="AD261" s="231"/>
      <c r="AE261" s="231"/>
      <c r="AF261" s="231"/>
      <c r="AG261" s="231"/>
      <c r="AH261" s="231"/>
      <c r="AI261" s="231"/>
      <c r="AJ261" s="231"/>
      <c r="AK261" s="231"/>
      <c r="AL261" s="231"/>
      <c r="AM261" s="231"/>
    </row>
    <row r="262" spans="1:39" s="203" customFormat="1">
      <c r="A262" s="165"/>
      <c r="B262" s="47"/>
      <c r="C262" s="47"/>
      <c r="D262" s="47"/>
      <c r="E262" s="859"/>
      <c r="F262" s="859"/>
      <c r="G262" s="130"/>
      <c r="H262" s="859"/>
      <c r="I262" s="21"/>
      <c r="J262" s="231"/>
      <c r="K262" s="231"/>
      <c r="L262" s="231"/>
      <c r="M262" s="231"/>
      <c r="N262" s="231"/>
      <c r="O262" s="231"/>
      <c r="P262" s="231"/>
      <c r="Q262" s="231"/>
      <c r="R262" s="231"/>
      <c r="S262" s="231"/>
      <c r="T262" s="231"/>
      <c r="U262" s="231"/>
      <c r="V262" s="231"/>
      <c r="W262" s="231"/>
      <c r="X262" s="231"/>
      <c r="Y262" s="231"/>
      <c r="Z262" s="231"/>
      <c r="AA262" s="231"/>
      <c r="AB262" s="231"/>
      <c r="AC262" s="231"/>
      <c r="AD262" s="231"/>
      <c r="AE262" s="231"/>
      <c r="AF262" s="231"/>
      <c r="AG262" s="231"/>
      <c r="AH262" s="231"/>
      <c r="AI262" s="231"/>
      <c r="AJ262" s="231"/>
      <c r="AK262" s="231"/>
      <c r="AL262" s="231"/>
      <c r="AM262" s="231"/>
    </row>
    <row r="263" spans="1:39" s="203" customFormat="1">
      <c r="A263" s="109"/>
      <c r="B263" s="174"/>
      <c r="C263" s="174"/>
      <c r="D263" s="174"/>
      <c r="E263" s="859"/>
      <c r="F263" s="859"/>
      <c r="G263" s="130"/>
      <c r="H263" s="859"/>
      <c r="I263" s="21"/>
      <c r="J263" s="231"/>
      <c r="K263" s="231"/>
      <c r="L263" s="231"/>
      <c r="M263" s="231"/>
      <c r="N263" s="231"/>
      <c r="O263" s="231"/>
      <c r="P263" s="231"/>
      <c r="Q263" s="231"/>
      <c r="R263" s="231"/>
      <c r="S263" s="231"/>
      <c r="T263" s="231"/>
      <c r="U263" s="231"/>
      <c r="V263" s="231"/>
      <c r="W263" s="231"/>
      <c r="X263" s="231"/>
      <c r="Y263" s="231"/>
      <c r="Z263" s="231"/>
      <c r="AA263" s="231"/>
      <c r="AB263" s="231"/>
      <c r="AC263" s="231"/>
      <c r="AD263" s="231"/>
      <c r="AE263" s="231"/>
      <c r="AF263" s="231"/>
      <c r="AG263" s="231"/>
      <c r="AH263" s="231"/>
      <c r="AI263" s="231"/>
      <c r="AJ263" s="231"/>
      <c r="AK263" s="231"/>
      <c r="AL263" s="231"/>
      <c r="AM263" s="231"/>
    </row>
    <row r="264" spans="1:39" s="203" customFormat="1">
      <c r="A264" s="154" t="s">
        <v>203</v>
      </c>
      <c r="B264" s="47"/>
      <c r="C264" s="47"/>
      <c r="D264" s="47"/>
      <c r="E264" s="859"/>
      <c r="F264" s="859"/>
      <c r="G264" s="130"/>
      <c r="H264" s="859"/>
      <c r="I264" s="21"/>
      <c r="J264" s="231"/>
      <c r="K264" s="231"/>
      <c r="L264" s="231"/>
      <c r="M264" s="231"/>
      <c r="N264" s="231"/>
      <c r="O264" s="231"/>
      <c r="P264" s="231"/>
      <c r="Q264" s="231"/>
      <c r="R264" s="231"/>
      <c r="S264" s="231"/>
      <c r="T264" s="231"/>
      <c r="U264" s="231"/>
      <c r="V264" s="231"/>
      <c r="W264" s="231"/>
      <c r="X264" s="231"/>
      <c r="Y264" s="231"/>
      <c r="Z264" s="231"/>
      <c r="AA264" s="231"/>
      <c r="AB264" s="231"/>
      <c r="AC264" s="231"/>
      <c r="AD264" s="231"/>
      <c r="AE264" s="231"/>
      <c r="AF264" s="231"/>
      <c r="AG264" s="231"/>
      <c r="AH264" s="231"/>
      <c r="AI264" s="231"/>
      <c r="AJ264" s="231"/>
      <c r="AK264" s="231"/>
      <c r="AL264" s="231"/>
      <c r="AM264" s="231"/>
    </row>
    <row r="265" spans="1:39" s="203" customFormat="1">
      <c r="A265" s="109" t="s">
        <v>83</v>
      </c>
      <c r="B265" s="174"/>
      <c r="C265" s="174"/>
      <c r="D265" s="174"/>
      <c r="E265" s="860"/>
      <c r="F265" s="860"/>
      <c r="G265" s="130"/>
      <c r="H265" s="860"/>
      <c r="I265" s="21"/>
      <c r="J265" s="231"/>
      <c r="K265" s="231"/>
      <c r="L265" s="231"/>
      <c r="M265" s="231"/>
      <c r="N265" s="231"/>
      <c r="O265" s="231"/>
      <c r="P265" s="231"/>
      <c r="Q265" s="231"/>
      <c r="R265" s="231"/>
      <c r="S265" s="231"/>
      <c r="T265" s="231"/>
      <c r="U265" s="231"/>
      <c r="V265" s="231"/>
      <c r="W265" s="231"/>
      <c r="X265" s="231"/>
      <c r="Y265" s="231"/>
      <c r="Z265" s="231"/>
      <c r="AA265" s="231"/>
      <c r="AB265" s="231"/>
      <c r="AC265" s="231"/>
      <c r="AD265" s="231"/>
      <c r="AE265" s="231"/>
      <c r="AF265" s="231"/>
      <c r="AG265" s="231"/>
      <c r="AH265" s="231"/>
      <c r="AI265" s="231"/>
      <c r="AJ265" s="231"/>
      <c r="AK265" s="231"/>
      <c r="AL265" s="231"/>
      <c r="AM265" s="231"/>
    </row>
    <row r="266" spans="1:39" s="203" customFormat="1">
      <c r="A266" s="110" t="s">
        <v>84</v>
      </c>
      <c r="B266" s="116"/>
      <c r="C266" s="116"/>
      <c r="D266" s="116"/>
      <c r="E266" s="178"/>
      <c r="F266" s="146"/>
      <c r="G266" s="118"/>
      <c r="H266" s="146"/>
      <c r="I266" s="21"/>
      <c r="J266" s="231"/>
      <c r="K266" s="231"/>
      <c r="L266" s="231"/>
      <c r="M266" s="231"/>
      <c r="N266" s="231"/>
      <c r="O266" s="231"/>
      <c r="P266" s="231"/>
      <c r="Q266" s="231"/>
      <c r="R266" s="231"/>
      <c r="S266" s="231"/>
      <c r="T266" s="231"/>
      <c r="U266" s="231"/>
      <c r="V266" s="231"/>
      <c r="W266" s="231"/>
      <c r="X266" s="231"/>
      <c r="Y266" s="231"/>
      <c r="Z266" s="231"/>
      <c r="AA266" s="231"/>
      <c r="AB266" s="231"/>
      <c r="AC266" s="231"/>
      <c r="AD266" s="231"/>
      <c r="AE266" s="231"/>
      <c r="AF266" s="231"/>
      <c r="AG266" s="231"/>
      <c r="AH266" s="231"/>
      <c r="AI266" s="231"/>
      <c r="AJ266" s="231"/>
      <c r="AK266" s="231"/>
      <c r="AL266" s="231"/>
      <c r="AM266" s="231"/>
    </row>
    <row r="267" spans="1:39" s="203" customFormat="1">
      <c r="A267" s="120">
        <v>1</v>
      </c>
      <c r="B267" s="47" t="s">
        <v>204</v>
      </c>
      <c r="C267" s="47"/>
      <c r="D267" s="47"/>
      <c r="E267" s="74">
        <v>10</v>
      </c>
      <c r="F267" s="52">
        <v>25</v>
      </c>
      <c r="G267" s="118"/>
      <c r="H267" s="122">
        <v>10</v>
      </c>
      <c r="I267" s="21"/>
      <c r="J267" s="231"/>
      <c r="K267" s="231"/>
      <c r="L267" s="231"/>
      <c r="M267" s="231"/>
      <c r="N267" s="231"/>
      <c r="O267" s="231"/>
      <c r="P267" s="231"/>
      <c r="Q267" s="231"/>
      <c r="R267" s="231"/>
      <c r="S267" s="231"/>
      <c r="T267" s="231"/>
      <c r="U267" s="231"/>
      <c r="V267" s="231"/>
      <c r="W267" s="231"/>
      <c r="X267" s="231"/>
      <c r="Y267" s="231"/>
      <c r="Z267" s="231"/>
      <c r="AA267" s="231"/>
      <c r="AB267" s="231"/>
      <c r="AC267" s="231"/>
      <c r="AD267" s="231"/>
      <c r="AE267" s="231"/>
      <c r="AF267" s="231"/>
      <c r="AG267" s="231"/>
      <c r="AH267" s="231"/>
      <c r="AI267" s="231"/>
      <c r="AJ267" s="231"/>
      <c r="AK267" s="231"/>
      <c r="AL267" s="231"/>
      <c r="AM267" s="231"/>
    </row>
    <row r="268" spans="1:39" s="203" customFormat="1">
      <c r="A268" s="815">
        <v>2</v>
      </c>
      <c r="B268" s="166" t="s">
        <v>205</v>
      </c>
      <c r="C268" s="166"/>
      <c r="D268" s="47"/>
      <c r="E268" s="114">
        <v>0</v>
      </c>
      <c r="F268" s="52">
        <v>0</v>
      </c>
      <c r="G268" s="118"/>
      <c r="H268" s="122">
        <v>0</v>
      </c>
      <c r="I268" s="21"/>
      <c r="J268" s="231"/>
      <c r="K268" s="231"/>
      <c r="L268" s="231"/>
      <c r="M268" s="231"/>
      <c r="N268" s="231"/>
      <c r="O268" s="231"/>
      <c r="P268" s="231"/>
      <c r="Q268" s="231"/>
      <c r="R268" s="231"/>
      <c r="S268" s="231"/>
      <c r="T268" s="231"/>
      <c r="U268" s="231"/>
      <c r="V268" s="231"/>
      <c r="W268" s="231"/>
      <c r="X268" s="231"/>
      <c r="Y268" s="231"/>
      <c r="Z268" s="231"/>
      <c r="AA268" s="231"/>
      <c r="AB268" s="231"/>
      <c r="AC268" s="231"/>
      <c r="AD268" s="231"/>
      <c r="AE268" s="231"/>
      <c r="AF268" s="231"/>
      <c r="AG268" s="231"/>
      <c r="AH268" s="231"/>
      <c r="AI268" s="231"/>
      <c r="AJ268" s="231"/>
      <c r="AK268" s="231"/>
      <c r="AL268" s="231"/>
      <c r="AM268" s="231"/>
    </row>
    <row r="269" spans="1:39" s="203" customFormat="1">
      <c r="A269" s="120">
        <v>3</v>
      </c>
      <c r="B269" s="47" t="s">
        <v>206</v>
      </c>
      <c r="C269" s="47"/>
      <c r="D269" s="168"/>
      <c r="E269" s="114">
        <v>107</v>
      </c>
      <c r="F269" s="52">
        <v>61</v>
      </c>
      <c r="G269" s="118"/>
      <c r="H269" s="122">
        <v>103</v>
      </c>
      <c r="I269" s="21"/>
      <c r="J269" s="231"/>
      <c r="K269" s="231"/>
      <c r="L269" s="231"/>
      <c r="M269" s="231"/>
      <c r="N269" s="231"/>
      <c r="O269" s="231"/>
      <c r="P269" s="231"/>
      <c r="Q269" s="231"/>
      <c r="R269" s="231"/>
      <c r="S269" s="231"/>
      <c r="T269" s="231"/>
      <c r="U269" s="231"/>
      <c r="V269" s="231"/>
      <c r="W269" s="231"/>
      <c r="X269" s="231"/>
      <c r="Y269" s="231"/>
      <c r="Z269" s="231"/>
      <c r="AA269" s="231"/>
      <c r="AB269" s="231"/>
      <c r="AC269" s="231"/>
      <c r="AD269" s="231"/>
      <c r="AE269" s="231"/>
      <c r="AF269" s="231"/>
      <c r="AG269" s="231"/>
      <c r="AH269" s="231"/>
      <c r="AI269" s="231"/>
      <c r="AJ269" s="231"/>
      <c r="AK269" s="231"/>
      <c r="AL269" s="231"/>
      <c r="AM269" s="231"/>
    </row>
    <row r="270" spans="1:39" s="203" customFormat="1">
      <c r="A270" s="815">
        <v>4</v>
      </c>
      <c r="B270" s="47" t="s">
        <v>207</v>
      </c>
      <c r="C270" s="47"/>
      <c r="D270" s="116"/>
      <c r="E270" s="114">
        <v>29</v>
      </c>
      <c r="F270" s="52">
        <v>0</v>
      </c>
      <c r="G270" s="118"/>
      <c r="H270" s="122">
        <v>0</v>
      </c>
      <c r="I270" s="21"/>
      <c r="J270" s="231"/>
      <c r="K270" s="231"/>
      <c r="L270" s="231"/>
      <c r="M270" s="231"/>
      <c r="N270" s="231"/>
      <c r="O270" s="231"/>
      <c r="P270" s="231"/>
      <c r="Q270" s="231"/>
      <c r="R270" s="231"/>
      <c r="S270" s="231"/>
      <c r="T270" s="231"/>
      <c r="U270" s="231"/>
      <c r="V270" s="231"/>
      <c r="W270" s="231"/>
      <c r="X270" s="231"/>
      <c r="Y270" s="231"/>
      <c r="Z270" s="231"/>
      <c r="AA270" s="231"/>
      <c r="AB270" s="231"/>
      <c r="AC270" s="231"/>
      <c r="AD270" s="231"/>
      <c r="AE270" s="231"/>
      <c r="AF270" s="231"/>
      <c r="AG270" s="231"/>
      <c r="AH270" s="231"/>
      <c r="AI270" s="231"/>
      <c r="AJ270" s="231"/>
      <c r="AK270" s="231"/>
      <c r="AL270" s="231"/>
      <c r="AM270" s="231"/>
    </row>
    <row r="271" spans="1:39" s="203" customFormat="1">
      <c r="A271" s="120">
        <v>5</v>
      </c>
      <c r="B271" s="47" t="s">
        <v>208</v>
      </c>
      <c r="C271" s="47"/>
      <c r="D271" s="47"/>
      <c r="E271" s="114">
        <v>-279</v>
      </c>
      <c r="F271" s="52">
        <v>107</v>
      </c>
      <c r="G271" s="118"/>
      <c r="H271" s="122">
        <v>230</v>
      </c>
      <c r="I271" s="21"/>
      <c r="J271" s="231"/>
      <c r="K271" s="231"/>
      <c r="L271" s="231"/>
      <c r="M271" s="231"/>
      <c r="N271" s="231"/>
      <c r="O271" s="231"/>
      <c r="P271" s="231"/>
      <c r="Q271" s="231"/>
      <c r="R271" s="231"/>
      <c r="S271" s="231"/>
      <c r="T271" s="231"/>
      <c r="U271" s="231"/>
      <c r="V271" s="231"/>
      <c r="W271" s="231"/>
      <c r="X271" s="231"/>
      <c r="Y271" s="231"/>
      <c r="Z271" s="231"/>
      <c r="AA271" s="231"/>
      <c r="AB271" s="231"/>
      <c r="AC271" s="231"/>
      <c r="AD271" s="231"/>
      <c r="AE271" s="231"/>
      <c r="AF271" s="231"/>
      <c r="AG271" s="231"/>
      <c r="AH271" s="231"/>
      <c r="AI271" s="231"/>
      <c r="AJ271" s="231"/>
      <c r="AK271" s="231"/>
      <c r="AL271" s="231"/>
      <c r="AM271" s="231"/>
    </row>
    <row r="272" spans="1:39" s="203" customFormat="1">
      <c r="A272" s="815">
        <v>6</v>
      </c>
      <c r="B272" s="47" t="s">
        <v>209</v>
      </c>
      <c r="C272" s="47"/>
      <c r="D272" s="47"/>
      <c r="E272" s="114">
        <v>225</v>
      </c>
      <c r="F272" s="52">
        <v>138</v>
      </c>
      <c r="G272" s="118"/>
      <c r="H272" s="122">
        <v>322</v>
      </c>
      <c r="I272" s="21"/>
      <c r="J272" s="231"/>
      <c r="K272" s="231"/>
      <c r="L272" s="231"/>
      <c r="M272" s="231"/>
      <c r="N272" s="231"/>
      <c r="O272" s="231"/>
      <c r="P272" s="231"/>
      <c r="Q272" s="231"/>
      <c r="R272" s="231"/>
      <c r="S272" s="231"/>
      <c r="T272" s="231"/>
      <c r="U272" s="231"/>
      <c r="V272" s="231"/>
      <c r="W272" s="231"/>
      <c r="X272" s="231"/>
      <c r="Y272" s="231"/>
      <c r="Z272" s="231"/>
      <c r="AA272" s="231"/>
      <c r="AB272" s="231"/>
      <c r="AC272" s="231"/>
      <c r="AD272" s="231"/>
      <c r="AE272" s="231"/>
      <c r="AF272" s="231"/>
      <c r="AG272" s="231"/>
      <c r="AH272" s="231"/>
      <c r="AI272" s="231"/>
      <c r="AJ272" s="231"/>
      <c r="AK272" s="231"/>
      <c r="AL272" s="231"/>
      <c r="AM272" s="231"/>
    </row>
    <row r="273" spans="1:39" s="203" customFormat="1">
      <c r="A273" s="120">
        <v>7</v>
      </c>
      <c r="B273" s="47" t="s">
        <v>210</v>
      </c>
      <c r="C273" s="47"/>
      <c r="D273" s="47"/>
      <c r="E273" s="114">
        <v>1220</v>
      </c>
      <c r="F273" s="52">
        <v>1421</v>
      </c>
      <c r="G273" s="118"/>
      <c r="H273" s="122">
        <v>1297</v>
      </c>
      <c r="I273" s="21"/>
      <c r="J273" s="231"/>
      <c r="K273" s="231"/>
      <c r="L273" s="231"/>
      <c r="M273" s="231"/>
      <c r="N273" s="231"/>
      <c r="O273" s="231"/>
      <c r="P273" s="231"/>
      <c r="Q273" s="231"/>
      <c r="R273" s="231"/>
      <c r="S273" s="231"/>
      <c r="T273" s="231"/>
      <c r="U273" s="231"/>
      <c r="V273" s="231"/>
      <c r="W273" s="231"/>
      <c r="X273" s="231"/>
      <c r="Y273" s="231"/>
      <c r="Z273" s="231"/>
      <c r="AA273" s="231"/>
      <c r="AB273" s="231"/>
      <c r="AC273" s="231"/>
      <c r="AD273" s="231"/>
      <c r="AE273" s="231"/>
      <c r="AF273" s="231"/>
      <c r="AG273" s="231"/>
      <c r="AH273" s="231"/>
      <c r="AI273" s="231"/>
      <c r="AJ273" s="231"/>
      <c r="AK273" s="231"/>
      <c r="AL273" s="231"/>
      <c r="AM273" s="231"/>
    </row>
    <row r="274" spans="1:39" s="203" customFormat="1">
      <c r="A274" s="815">
        <v>8</v>
      </c>
      <c r="B274" s="47" t="s">
        <v>211</v>
      </c>
      <c r="C274" s="47"/>
      <c r="D274" s="47"/>
      <c r="E274" s="114">
        <v>6052</v>
      </c>
      <c r="F274" s="52">
        <v>1196</v>
      </c>
      <c r="G274" s="118"/>
      <c r="H274" s="122">
        <v>1137</v>
      </c>
      <c r="I274" s="21"/>
      <c r="J274" s="231"/>
      <c r="K274" s="231"/>
      <c r="L274" s="231"/>
      <c r="M274" s="231"/>
      <c r="N274" s="231"/>
      <c r="O274" s="231"/>
      <c r="P274" s="231"/>
      <c r="Q274" s="231"/>
      <c r="R274" s="231"/>
      <c r="S274" s="231"/>
      <c r="T274" s="231"/>
      <c r="U274" s="231"/>
      <c r="V274" s="231"/>
      <c r="W274" s="231"/>
      <c r="X274" s="231"/>
      <c r="Y274" s="231"/>
      <c r="Z274" s="231"/>
      <c r="AA274" s="231"/>
      <c r="AB274" s="231"/>
      <c r="AC274" s="231"/>
      <c r="AD274" s="231"/>
      <c r="AE274" s="231"/>
      <c r="AF274" s="231"/>
      <c r="AG274" s="231"/>
      <c r="AH274" s="231"/>
      <c r="AI274" s="231"/>
      <c r="AJ274" s="231"/>
      <c r="AK274" s="231"/>
      <c r="AL274" s="231"/>
      <c r="AM274" s="231"/>
    </row>
    <row r="275" spans="1:39" s="203" customFormat="1">
      <c r="A275" s="120">
        <v>9</v>
      </c>
      <c r="B275" s="47" t="s">
        <v>212</v>
      </c>
      <c r="C275" s="47"/>
      <c r="D275" s="47"/>
      <c r="E275" s="114">
        <v>422</v>
      </c>
      <c r="F275" s="52">
        <v>0</v>
      </c>
      <c r="G275" s="118"/>
      <c r="H275" s="122">
        <v>0</v>
      </c>
      <c r="I275" s="21"/>
      <c r="J275" s="231"/>
      <c r="K275" s="231"/>
      <c r="L275" s="231"/>
      <c r="M275" s="231"/>
      <c r="N275" s="231"/>
      <c r="O275" s="231"/>
      <c r="P275" s="231"/>
      <c r="Q275" s="231"/>
      <c r="R275" s="231"/>
      <c r="S275" s="231"/>
      <c r="T275" s="231"/>
      <c r="U275" s="231"/>
      <c r="V275" s="231"/>
      <c r="W275" s="231"/>
      <c r="X275" s="231"/>
      <c r="Y275" s="231"/>
      <c r="Z275" s="231"/>
      <c r="AA275" s="231"/>
      <c r="AB275" s="231"/>
      <c r="AC275" s="231"/>
      <c r="AD275" s="231"/>
      <c r="AE275" s="231"/>
      <c r="AF275" s="231"/>
      <c r="AG275" s="231"/>
      <c r="AH275" s="231"/>
      <c r="AI275" s="231"/>
      <c r="AJ275" s="231"/>
      <c r="AK275" s="231"/>
      <c r="AL275" s="231"/>
      <c r="AM275" s="231"/>
    </row>
    <row r="276" spans="1:39" s="203" customFormat="1">
      <c r="A276" s="815">
        <v>10</v>
      </c>
      <c r="B276" s="47" t="s">
        <v>213</v>
      </c>
      <c r="C276" s="47"/>
      <c r="D276" s="47"/>
      <c r="E276" s="114">
        <v>1644</v>
      </c>
      <c r="F276" s="52">
        <v>1044</v>
      </c>
      <c r="G276" s="118"/>
      <c r="H276" s="99">
        <v>764</v>
      </c>
      <c r="I276" s="21"/>
      <c r="J276" s="231"/>
      <c r="K276" s="231"/>
      <c r="L276" s="231"/>
      <c r="M276" s="231"/>
      <c r="N276" s="231"/>
      <c r="O276" s="231"/>
      <c r="P276" s="231"/>
      <c r="Q276" s="231"/>
      <c r="R276" s="231"/>
      <c r="S276" s="231"/>
      <c r="T276" s="231"/>
      <c r="U276" s="231"/>
      <c r="V276" s="231"/>
      <c r="W276" s="231"/>
      <c r="X276" s="231"/>
      <c r="Y276" s="231"/>
      <c r="Z276" s="231"/>
      <c r="AA276" s="231"/>
      <c r="AB276" s="231"/>
      <c r="AC276" s="231"/>
      <c r="AD276" s="231"/>
      <c r="AE276" s="231"/>
      <c r="AF276" s="231"/>
      <c r="AG276" s="231"/>
      <c r="AH276" s="231"/>
      <c r="AI276" s="231"/>
      <c r="AJ276" s="231"/>
      <c r="AK276" s="231"/>
      <c r="AL276" s="231"/>
      <c r="AM276" s="231"/>
    </row>
    <row r="277" spans="1:39" s="203" customFormat="1">
      <c r="A277" s="124">
        <v>11</v>
      </c>
      <c r="B277" s="94" t="s">
        <v>214</v>
      </c>
      <c r="C277" s="94"/>
      <c r="D277" s="94"/>
      <c r="E277" s="159">
        <v>9430</v>
      </c>
      <c r="F277" s="61">
        <f>SUM(F267:F276)</f>
        <v>3992</v>
      </c>
      <c r="G277" s="118"/>
      <c r="H277" s="61">
        <f>SUM(H267:H276)</f>
        <v>3863</v>
      </c>
      <c r="I277" s="21"/>
      <c r="J277" s="231"/>
      <c r="K277" s="231"/>
      <c r="L277" s="231"/>
      <c r="M277" s="231"/>
      <c r="N277" s="231"/>
      <c r="O277" s="231"/>
      <c r="P277" s="231"/>
      <c r="Q277" s="231"/>
      <c r="R277" s="231"/>
      <c r="S277" s="231"/>
      <c r="T277" s="231"/>
      <c r="U277" s="231"/>
      <c r="V277" s="231"/>
      <c r="W277" s="231"/>
      <c r="X277" s="231"/>
      <c r="Y277" s="231"/>
      <c r="Z277" s="231"/>
      <c r="AA277" s="231"/>
      <c r="AB277" s="231"/>
      <c r="AC277" s="231"/>
      <c r="AD277" s="231"/>
      <c r="AE277" s="231"/>
      <c r="AF277" s="231"/>
      <c r="AG277" s="231"/>
      <c r="AH277" s="231"/>
      <c r="AI277" s="231"/>
      <c r="AJ277" s="231"/>
      <c r="AK277" s="231"/>
      <c r="AL277" s="231"/>
      <c r="AM277" s="231"/>
    </row>
    <row r="278" spans="1:39" s="203" customFormat="1">
      <c r="A278" s="207"/>
      <c r="B278" s="207"/>
      <c r="C278" s="207"/>
      <c r="D278" s="207"/>
      <c r="E278" s="207"/>
      <c r="F278" s="207"/>
      <c r="G278" s="207"/>
      <c r="H278" s="207"/>
      <c r="I278" s="21"/>
      <c r="J278" s="231"/>
      <c r="K278" s="231"/>
      <c r="L278" s="231"/>
      <c r="M278" s="231"/>
      <c r="N278" s="231"/>
      <c r="O278" s="231"/>
      <c r="P278" s="231"/>
      <c r="Q278" s="231"/>
      <c r="R278" s="231"/>
      <c r="S278" s="231"/>
      <c r="T278" s="231"/>
      <c r="U278" s="231"/>
      <c r="V278" s="231"/>
      <c r="W278" s="231"/>
      <c r="X278" s="231"/>
      <c r="Y278" s="231"/>
      <c r="Z278" s="231"/>
      <c r="AA278" s="231"/>
      <c r="AB278" s="231"/>
      <c r="AC278" s="231"/>
      <c r="AD278" s="231"/>
      <c r="AE278" s="231"/>
      <c r="AF278" s="231"/>
      <c r="AG278" s="231"/>
      <c r="AH278" s="231"/>
      <c r="AI278" s="231"/>
      <c r="AJ278" s="231"/>
      <c r="AK278" s="231"/>
      <c r="AL278" s="231"/>
      <c r="AM278" s="231"/>
    </row>
    <row r="279" spans="1:39" s="203" customFormat="1">
      <c r="A279" s="207"/>
      <c r="B279" s="207"/>
      <c r="C279" s="207"/>
      <c r="D279" s="207"/>
      <c r="E279" s="207"/>
      <c r="F279" s="207"/>
      <c r="G279" s="207"/>
      <c r="H279" s="131" t="s">
        <v>27</v>
      </c>
      <c r="I279" s="21"/>
      <c r="J279" s="231"/>
      <c r="K279" s="231"/>
      <c r="L279" s="231"/>
      <c r="M279" s="231"/>
      <c r="N279" s="231"/>
      <c r="O279" s="231"/>
      <c r="P279" s="231"/>
      <c r="Q279" s="231"/>
      <c r="R279" s="231"/>
      <c r="S279" s="231"/>
      <c r="T279" s="231"/>
      <c r="U279" s="231"/>
      <c r="V279" s="231"/>
      <c r="W279" s="231"/>
      <c r="X279" s="231"/>
      <c r="Y279" s="231"/>
      <c r="Z279" s="231"/>
      <c r="AA279" s="231"/>
      <c r="AB279" s="231"/>
      <c r="AC279" s="231"/>
      <c r="AD279" s="231"/>
      <c r="AE279" s="231"/>
      <c r="AF279" s="231"/>
      <c r="AG279" s="231"/>
      <c r="AH279" s="231"/>
      <c r="AI279" s="231"/>
      <c r="AJ279" s="231"/>
      <c r="AK279" s="231"/>
      <c r="AL279" s="231"/>
      <c r="AM279" s="231"/>
    </row>
    <row r="280" spans="1:39" s="203" customFormat="1" ht="12.75" customHeight="1">
      <c r="A280" s="106" t="s">
        <v>18</v>
      </c>
      <c r="B280" s="164"/>
      <c r="C280" s="164"/>
      <c r="D280" s="164"/>
      <c r="E280" s="856" t="s">
        <v>377</v>
      </c>
      <c r="F280" s="856" t="s">
        <v>402</v>
      </c>
      <c r="G280" s="130"/>
      <c r="H280" s="856" t="s">
        <v>403</v>
      </c>
      <c r="I280" s="21"/>
      <c r="J280" s="231"/>
      <c r="K280" s="231"/>
      <c r="L280" s="231"/>
      <c r="M280" s="231"/>
      <c r="N280" s="231"/>
      <c r="O280" s="231"/>
      <c r="P280" s="231"/>
      <c r="Q280" s="231"/>
      <c r="R280" s="231"/>
      <c r="S280" s="231"/>
      <c r="T280" s="231"/>
      <c r="U280" s="231"/>
      <c r="V280" s="231"/>
      <c r="W280" s="231"/>
      <c r="X280" s="231"/>
      <c r="Y280" s="231"/>
      <c r="Z280" s="231"/>
      <c r="AA280" s="231"/>
      <c r="AB280" s="231"/>
      <c r="AC280" s="231"/>
      <c r="AD280" s="231"/>
      <c r="AE280" s="231"/>
      <c r="AF280" s="231"/>
      <c r="AG280" s="231"/>
      <c r="AH280" s="231"/>
      <c r="AI280" s="231"/>
      <c r="AJ280" s="231"/>
      <c r="AK280" s="231"/>
      <c r="AL280" s="231"/>
      <c r="AM280" s="231"/>
    </row>
    <row r="281" spans="1:39" s="203" customFormat="1">
      <c r="A281" s="165"/>
      <c r="B281" s="47"/>
      <c r="C281" s="47"/>
      <c r="D281" s="47"/>
      <c r="E281" s="859"/>
      <c r="F281" s="859"/>
      <c r="G281" s="130"/>
      <c r="H281" s="859"/>
      <c r="I281" s="21"/>
      <c r="J281" s="231"/>
      <c r="K281" s="231"/>
      <c r="L281" s="231"/>
      <c r="M281" s="231"/>
      <c r="N281" s="231"/>
      <c r="O281" s="231"/>
      <c r="P281" s="231"/>
      <c r="Q281" s="231"/>
      <c r="R281" s="231"/>
      <c r="S281" s="231"/>
      <c r="T281" s="231"/>
      <c r="U281" s="231"/>
      <c r="V281" s="231"/>
      <c r="W281" s="231"/>
      <c r="X281" s="231"/>
      <c r="Y281" s="231"/>
      <c r="Z281" s="231"/>
      <c r="AA281" s="231"/>
      <c r="AB281" s="231"/>
      <c r="AC281" s="231"/>
      <c r="AD281" s="231"/>
      <c r="AE281" s="231"/>
      <c r="AF281" s="231"/>
      <c r="AG281" s="231"/>
      <c r="AH281" s="231"/>
      <c r="AI281" s="231"/>
      <c r="AJ281" s="231"/>
      <c r="AK281" s="231"/>
      <c r="AL281" s="231"/>
      <c r="AM281" s="231"/>
    </row>
    <row r="282" spans="1:39" s="203" customFormat="1" ht="21.75" customHeight="1">
      <c r="A282" s="109"/>
      <c r="B282" s="174"/>
      <c r="C282" s="174"/>
      <c r="D282" s="174"/>
      <c r="E282" s="859"/>
      <c r="F282" s="859"/>
      <c r="G282" s="130"/>
      <c r="H282" s="859"/>
      <c r="I282" s="21"/>
      <c r="J282" s="231"/>
      <c r="K282" s="231"/>
      <c r="L282" s="231"/>
      <c r="M282" s="231"/>
      <c r="N282" s="231"/>
      <c r="O282" s="231"/>
      <c r="P282" s="231"/>
      <c r="Q282" s="231"/>
      <c r="R282" s="231"/>
      <c r="S282" s="231"/>
      <c r="T282" s="231"/>
      <c r="U282" s="231"/>
      <c r="V282" s="231"/>
      <c r="W282" s="231"/>
      <c r="X282" s="231"/>
      <c r="Y282" s="231"/>
      <c r="Z282" s="231"/>
      <c r="AA282" s="231"/>
      <c r="AB282" s="231"/>
      <c r="AC282" s="231"/>
      <c r="AD282" s="231"/>
      <c r="AE282" s="231"/>
      <c r="AF282" s="231"/>
      <c r="AG282" s="231"/>
      <c r="AH282" s="231"/>
      <c r="AI282" s="231"/>
      <c r="AJ282" s="231"/>
      <c r="AK282" s="231"/>
      <c r="AL282" s="231"/>
      <c r="AM282" s="231"/>
    </row>
    <row r="283" spans="1:39" s="203" customFormat="1">
      <c r="A283" s="154" t="s">
        <v>215</v>
      </c>
      <c r="B283" s="47"/>
      <c r="C283" s="47"/>
      <c r="D283" s="47"/>
      <c r="E283" s="859"/>
      <c r="F283" s="859"/>
      <c r="G283" s="130"/>
      <c r="H283" s="859"/>
      <c r="I283" s="21"/>
      <c r="J283" s="231"/>
      <c r="K283" s="231"/>
      <c r="L283" s="231"/>
      <c r="M283" s="231"/>
      <c r="N283" s="231"/>
      <c r="O283" s="231"/>
      <c r="P283" s="231"/>
      <c r="Q283" s="231"/>
      <c r="R283" s="231"/>
      <c r="S283" s="231"/>
      <c r="T283" s="231"/>
      <c r="U283" s="231"/>
      <c r="V283" s="231"/>
      <c r="W283" s="231"/>
      <c r="X283" s="231"/>
      <c r="Y283" s="231"/>
      <c r="Z283" s="231"/>
      <c r="AA283" s="231"/>
      <c r="AB283" s="231"/>
      <c r="AC283" s="231"/>
      <c r="AD283" s="231"/>
      <c r="AE283" s="231"/>
      <c r="AF283" s="231"/>
      <c r="AG283" s="231"/>
      <c r="AH283" s="231"/>
      <c r="AI283" s="231"/>
      <c r="AJ283" s="231"/>
      <c r="AK283" s="231"/>
      <c r="AL283" s="231"/>
      <c r="AM283" s="231"/>
    </row>
    <row r="284" spans="1:39" s="203" customFormat="1">
      <c r="A284" s="109" t="s">
        <v>83</v>
      </c>
      <c r="B284" s="174"/>
      <c r="C284" s="174"/>
      <c r="D284" s="174"/>
      <c r="E284" s="860"/>
      <c r="F284" s="860"/>
      <c r="G284" s="130"/>
      <c r="H284" s="860"/>
      <c r="I284" s="21"/>
      <c r="J284" s="231"/>
      <c r="K284" s="231"/>
      <c r="L284" s="231"/>
      <c r="M284" s="231"/>
      <c r="N284" s="231"/>
      <c r="O284" s="231"/>
      <c r="P284" s="231"/>
      <c r="Q284" s="231"/>
      <c r="R284" s="231"/>
      <c r="S284" s="231"/>
      <c r="T284" s="231"/>
      <c r="U284" s="231"/>
      <c r="V284" s="231"/>
      <c r="W284" s="231"/>
      <c r="X284" s="231"/>
      <c r="Y284" s="231"/>
      <c r="Z284" s="231"/>
      <c r="AA284" s="231"/>
      <c r="AB284" s="231"/>
      <c r="AC284" s="231"/>
      <c r="AD284" s="231"/>
      <c r="AE284" s="231"/>
      <c r="AF284" s="231"/>
      <c r="AG284" s="231"/>
      <c r="AH284" s="231"/>
      <c r="AI284" s="231"/>
      <c r="AJ284" s="231"/>
      <c r="AK284" s="231"/>
      <c r="AL284" s="231"/>
      <c r="AM284" s="231"/>
    </row>
    <row r="285" spans="1:39" s="203" customFormat="1">
      <c r="A285" s="110" t="s">
        <v>84</v>
      </c>
      <c r="B285" s="116"/>
      <c r="C285" s="116"/>
      <c r="D285" s="116"/>
      <c r="E285" s="178"/>
      <c r="F285" s="146"/>
      <c r="G285" s="118"/>
      <c r="H285" s="146"/>
      <c r="I285" s="21"/>
      <c r="J285" s="231"/>
      <c r="K285" s="231"/>
      <c r="L285" s="231"/>
      <c r="M285" s="231"/>
      <c r="N285" s="231"/>
      <c r="O285" s="231"/>
      <c r="P285" s="231"/>
      <c r="Q285" s="231"/>
      <c r="R285" s="231"/>
      <c r="S285" s="231"/>
      <c r="T285" s="231"/>
      <c r="U285" s="231"/>
      <c r="V285" s="231"/>
      <c r="W285" s="231"/>
      <c r="X285" s="231"/>
      <c r="Y285" s="231"/>
      <c r="Z285" s="231"/>
      <c r="AA285" s="231"/>
      <c r="AB285" s="231"/>
      <c r="AC285" s="231"/>
      <c r="AD285" s="231"/>
      <c r="AE285" s="231"/>
      <c r="AF285" s="231"/>
      <c r="AG285" s="231"/>
      <c r="AH285" s="231"/>
      <c r="AI285" s="231"/>
      <c r="AJ285" s="231"/>
      <c r="AK285" s="231"/>
      <c r="AL285" s="231"/>
      <c r="AM285" s="231"/>
    </row>
    <row r="286" spans="1:39" s="203" customFormat="1">
      <c r="A286" s="120">
        <v>1</v>
      </c>
      <c r="B286" s="47" t="s">
        <v>216</v>
      </c>
      <c r="C286" s="47"/>
      <c r="D286" s="47"/>
      <c r="E286" s="74">
        <v>214</v>
      </c>
      <c r="F286" s="52">
        <v>260</v>
      </c>
      <c r="G286" s="118"/>
      <c r="H286" s="122">
        <v>244</v>
      </c>
      <c r="I286" s="21"/>
      <c r="J286" s="231"/>
      <c r="K286" s="231"/>
      <c r="L286" s="231"/>
      <c r="M286" s="231"/>
      <c r="N286" s="231"/>
      <c r="O286" s="231"/>
      <c r="P286" s="231"/>
      <c r="Q286" s="231"/>
      <c r="R286" s="231"/>
      <c r="S286" s="231"/>
      <c r="T286" s="231"/>
      <c r="U286" s="231"/>
      <c r="V286" s="231"/>
      <c r="W286" s="231"/>
      <c r="X286" s="231"/>
      <c r="Y286" s="231"/>
      <c r="Z286" s="231"/>
      <c r="AA286" s="231"/>
      <c r="AB286" s="231"/>
      <c r="AC286" s="231"/>
      <c r="AD286" s="231"/>
      <c r="AE286" s="231"/>
      <c r="AF286" s="231"/>
      <c r="AG286" s="231"/>
      <c r="AH286" s="231"/>
      <c r="AI286" s="231"/>
      <c r="AJ286" s="231"/>
      <c r="AK286" s="231"/>
      <c r="AL286" s="231"/>
      <c r="AM286" s="231"/>
    </row>
    <row r="287" spans="1:39" s="203" customFormat="1">
      <c r="A287" s="815">
        <v>2</v>
      </c>
      <c r="B287" s="47" t="s">
        <v>217</v>
      </c>
      <c r="C287" s="47"/>
      <c r="D287" s="47"/>
      <c r="E287" s="114">
        <v>76</v>
      </c>
      <c r="F287" s="52">
        <v>92</v>
      </c>
      <c r="G287" s="118"/>
      <c r="H287" s="122">
        <v>86</v>
      </c>
      <c r="I287" s="21"/>
      <c r="J287" s="231"/>
      <c r="K287" s="231"/>
      <c r="L287" s="231"/>
      <c r="M287" s="231"/>
      <c r="N287" s="231"/>
      <c r="O287" s="231"/>
      <c r="P287" s="231"/>
      <c r="Q287" s="231"/>
      <c r="R287" s="231"/>
      <c r="S287" s="231"/>
      <c r="T287" s="231"/>
      <c r="U287" s="231"/>
      <c r="V287" s="231"/>
      <c r="W287" s="231"/>
      <c r="X287" s="231"/>
      <c r="Y287" s="231"/>
      <c r="Z287" s="231"/>
      <c r="AA287" s="231"/>
      <c r="AB287" s="231"/>
      <c r="AC287" s="231"/>
      <c r="AD287" s="231"/>
      <c r="AE287" s="231"/>
      <c r="AF287" s="231"/>
      <c r="AG287" s="231"/>
      <c r="AH287" s="231"/>
      <c r="AI287" s="231"/>
      <c r="AJ287" s="231"/>
      <c r="AK287" s="231"/>
      <c r="AL287" s="231"/>
      <c r="AM287" s="231"/>
    </row>
    <row r="288" spans="1:39" s="203" customFormat="1">
      <c r="A288" s="120">
        <v>3</v>
      </c>
      <c r="B288" s="90" t="s">
        <v>218</v>
      </c>
      <c r="C288" s="166"/>
      <c r="D288" s="168"/>
      <c r="E288" s="114">
        <v>2049</v>
      </c>
      <c r="F288" s="52">
        <f>1577+510</f>
        <v>2087</v>
      </c>
      <c r="G288" s="118"/>
      <c r="H288" s="122">
        <f>1507+558</f>
        <v>2065</v>
      </c>
      <c r="I288" s="21"/>
      <c r="J288" s="231"/>
      <c r="K288" s="231"/>
      <c r="L288" s="231"/>
      <c r="M288" s="231"/>
      <c r="N288" s="231"/>
      <c r="O288" s="231"/>
      <c r="P288" s="231"/>
      <c r="Q288" s="231"/>
      <c r="R288" s="231"/>
      <c r="S288" s="231"/>
      <c r="T288" s="231"/>
      <c r="U288" s="231"/>
      <c r="V288" s="231"/>
      <c r="W288" s="231"/>
      <c r="X288" s="231"/>
      <c r="Y288" s="231"/>
      <c r="Z288" s="231"/>
      <c r="AA288" s="231"/>
      <c r="AB288" s="231"/>
      <c r="AC288" s="231"/>
      <c r="AD288" s="231"/>
      <c r="AE288" s="231"/>
      <c r="AF288" s="231"/>
      <c r="AG288" s="231"/>
      <c r="AH288" s="231"/>
      <c r="AI288" s="231"/>
      <c r="AJ288" s="231"/>
      <c r="AK288" s="231"/>
      <c r="AL288" s="231"/>
      <c r="AM288" s="231"/>
    </row>
    <row r="289" spans="1:39" s="203" customFormat="1">
      <c r="A289" s="815">
        <v>4</v>
      </c>
      <c r="B289" s="47" t="s">
        <v>219</v>
      </c>
      <c r="C289" s="47"/>
      <c r="D289" s="116"/>
      <c r="E289" s="114">
        <v>118</v>
      </c>
      <c r="F289" s="52">
        <v>147</v>
      </c>
      <c r="G289" s="118"/>
      <c r="H289" s="122">
        <v>134</v>
      </c>
      <c r="I289" s="21"/>
      <c r="J289" s="231"/>
      <c r="K289" s="231"/>
      <c r="L289" s="231"/>
      <c r="M289" s="231"/>
      <c r="N289" s="231"/>
      <c r="O289" s="231"/>
      <c r="P289" s="231"/>
      <c r="Q289" s="231"/>
      <c r="R289" s="231"/>
      <c r="S289" s="231"/>
      <c r="T289" s="231"/>
      <c r="U289" s="231"/>
      <c r="V289" s="231"/>
      <c r="W289" s="231"/>
      <c r="X289" s="231"/>
      <c r="Y289" s="231"/>
      <c r="Z289" s="231"/>
      <c r="AA289" s="231"/>
      <c r="AB289" s="231"/>
      <c r="AC289" s="231"/>
      <c r="AD289" s="231"/>
      <c r="AE289" s="231"/>
      <c r="AF289" s="231"/>
      <c r="AG289" s="231"/>
      <c r="AH289" s="231"/>
      <c r="AI289" s="231"/>
      <c r="AJ289" s="231"/>
      <c r="AK289" s="231"/>
      <c r="AL289" s="231"/>
      <c r="AM289" s="231"/>
    </row>
    <row r="290" spans="1:39" s="203" customFormat="1">
      <c r="A290" s="815">
        <v>5</v>
      </c>
      <c r="B290" s="47" t="s">
        <v>220</v>
      </c>
      <c r="C290" s="47"/>
      <c r="D290" s="47"/>
      <c r="E290" s="114">
        <v>-2</v>
      </c>
      <c r="F290" s="52">
        <v>66</v>
      </c>
      <c r="G290" s="118"/>
      <c r="H290" s="122">
        <v>1</v>
      </c>
      <c r="I290" s="21"/>
      <c r="J290" s="231"/>
      <c r="K290" s="231"/>
      <c r="L290" s="231"/>
      <c r="M290" s="231"/>
      <c r="N290" s="231"/>
      <c r="O290" s="231"/>
      <c r="P290" s="231"/>
      <c r="Q290" s="231"/>
      <c r="R290" s="231"/>
      <c r="S290" s="231"/>
      <c r="T290" s="231"/>
      <c r="U290" s="231"/>
      <c r="V290" s="231"/>
      <c r="W290" s="231"/>
      <c r="X290" s="231"/>
      <c r="Y290" s="231"/>
      <c r="Z290" s="231"/>
      <c r="AA290" s="231"/>
      <c r="AB290" s="231"/>
      <c r="AC290" s="231"/>
      <c r="AD290" s="231"/>
      <c r="AE290" s="231"/>
      <c r="AF290" s="231"/>
      <c r="AG290" s="231"/>
      <c r="AH290" s="231"/>
      <c r="AI290" s="231"/>
      <c r="AJ290" s="231"/>
      <c r="AK290" s="231"/>
      <c r="AL290" s="231"/>
      <c r="AM290" s="231"/>
    </row>
    <row r="291" spans="1:39" s="203" customFormat="1">
      <c r="A291" s="120">
        <v>6</v>
      </c>
      <c r="B291" s="47" t="s">
        <v>221</v>
      </c>
      <c r="C291" s="47"/>
      <c r="D291" s="47"/>
      <c r="E291" s="114">
        <v>62</v>
      </c>
      <c r="F291" s="52">
        <v>176</v>
      </c>
      <c r="G291" s="118"/>
      <c r="H291" s="122">
        <v>139</v>
      </c>
      <c r="I291" s="21"/>
      <c r="J291" s="231"/>
      <c r="K291" s="231"/>
      <c r="L291" s="231"/>
      <c r="M291" s="231"/>
      <c r="N291" s="231"/>
      <c r="O291" s="231"/>
      <c r="P291" s="231"/>
      <c r="Q291" s="231"/>
      <c r="R291" s="231"/>
      <c r="S291" s="231"/>
      <c r="T291" s="231"/>
      <c r="U291" s="231"/>
      <c r="V291" s="231"/>
      <c r="W291" s="231"/>
      <c r="X291" s="231"/>
      <c r="Y291" s="231"/>
      <c r="Z291" s="231"/>
      <c r="AA291" s="231"/>
      <c r="AB291" s="231"/>
      <c r="AC291" s="231"/>
      <c r="AD291" s="231"/>
      <c r="AE291" s="231"/>
      <c r="AF291" s="231"/>
      <c r="AG291" s="231"/>
      <c r="AH291" s="231"/>
      <c r="AI291" s="231"/>
      <c r="AJ291" s="231"/>
      <c r="AK291" s="231"/>
      <c r="AL291" s="231"/>
      <c r="AM291" s="231"/>
    </row>
    <row r="292" spans="1:39" s="203" customFormat="1">
      <c r="A292" s="815">
        <v>7</v>
      </c>
      <c r="B292" s="47" t="s">
        <v>222</v>
      </c>
      <c r="C292" s="47"/>
      <c r="D292" s="116"/>
      <c r="E292" s="114">
        <v>182</v>
      </c>
      <c r="F292" s="52">
        <v>182</v>
      </c>
      <c r="G292" s="118"/>
      <c r="H292" s="122">
        <v>182</v>
      </c>
      <c r="I292" s="21"/>
      <c r="J292" s="231"/>
      <c r="K292" s="231"/>
      <c r="L292" s="231"/>
      <c r="M292" s="231"/>
      <c r="N292" s="231"/>
      <c r="O292" s="231"/>
      <c r="P292" s="231"/>
      <c r="Q292" s="231"/>
      <c r="R292" s="231"/>
      <c r="S292" s="231"/>
      <c r="T292" s="231"/>
      <c r="U292" s="231"/>
      <c r="V292" s="231"/>
      <c r="W292" s="231"/>
      <c r="X292" s="231"/>
      <c r="Y292" s="231"/>
      <c r="Z292" s="231"/>
      <c r="AA292" s="231"/>
      <c r="AB292" s="231"/>
      <c r="AC292" s="231"/>
      <c r="AD292" s="231"/>
      <c r="AE292" s="231"/>
      <c r="AF292" s="231"/>
      <c r="AG292" s="231"/>
      <c r="AH292" s="231"/>
      <c r="AI292" s="231"/>
      <c r="AJ292" s="231"/>
      <c r="AK292" s="231"/>
      <c r="AL292" s="231"/>
      <c r="AM292" s="231"/>
    </row>
    <row r="293" spans="1:39" s="203" customFormat="1">
      <c r="A293" s="120">
        <v>8</v>
      </c>
      <c r="B293" s="47" t="s">
        <v>223</v>
      </c>
      <c r="C293" s="47"/>
      <c r="D293" s="116"/>
      <c r="E293" s="114">
        <v>432</v>
      </c>
      <c r="F293" s="52">
        <f>727*40%</f>
        <v>290.8</v>
      </c>
      <c r="G293" s="118"/>
      <c r="H293" s="122">
        <f>743*40%</f>
        <v>297.2</v>
      </c>
      <c r="I293" s="21"/>
      <c r="J293" s="231"/>
      <c r="K293" s="231"/>
      <c r="L293" s="231"/>
      <c r="M293" s="231"/>
      <c r="N293" s="231"/>
      <c r="O293" s="231"/>
      <c r="P293" s="231"/>
      <c r="Q293" s="231"/>
      <c r="R293" s="231"/>
      <c r="S293" s="231"/>
      <c r="T293" s="231"/>
      <c r="U293" s="231"/>
      <c r="V293" s="231"/>
      <c r="W293" s="231"/>
      <c r="X293" s="231"/>
      <c r="Y293" s="231"/>
      <c r="Z293" s="231"/>
      <c r="AA293" s="231"/>
      <c r="AB293" s="231"/>
      <c r="AC293" s="231"/>
      <c r="AD293" s="231"/>
      <c r="AE293" s="231"/>
      <c r="AF293" s="231"/>
      <c r="AG293" s="231"/>
      <c r="AH293" s="231"/>
      <c r="AI293" s="231"/>
      <c r="AJ293" s="231"/>
      <c r="AK293" s="231"/>
      <c r="AL293" s="231"/>
      <c r="AM293" s="231"/>
    </row>
    <row r="294" spans="1:39" s="203" customFormat="1">
      <c r="A294" s="815">
        <v>9</v>
      </c>
      <c r="B294" s="47" t="s">
        <v>224</v>
      </c>
      <c r="C294" s="47"/>
      <c r="D294" s="116"/>
      <c r="E294" s="114">
        <v>288</v>
      </c>
      <c r="F294" s="52">
        <f>727*60%</f>
        <v>436.2</v>
      </c>
      <c r="G294" s="118"/>
      <c r="H294" s="122">
        <f>SUM(743*60%)</f>
        <v>445.8</v>
      </c>
      <c r="I294" s="21"/>
      <c r="J294" s="231"/>
      <c r="K294" s="231"/>
      <c r="L294" s="231"/>
      <c r="M294" s="231"/>
      <c r="N294" s="231"/>
      <c r="O294" s="231"/>
      <c r="P294" s="231"/>
      <c r="Q294" s="231"/>
      <c r="R294" s="231"/>
      <c r="S294" s="231"/>
      <c r="T294" s="231"/>
      <c r="U294" s="231"/>
      <c r="V294" s="231"/>
      <c r="W294" s="231"/>
      <c r="X294" s="231"/>
      <c r="Y294" s="231"/>
      <c r="Z294" s="231"/>
      <c r="AA294" s="231"/>
      <c r="AB294" s="231"/>
      <c r="AC294" s="231"/>
      <c r="AD294" s="231"/>
      <c r="AE294" s="231"/>
      <c r="AF294" s="231"/>
      <c r="AG294" s="231"/>
      <c r="AH294" s="231"/>
      <c r="AI294" s="231"/>
      <c r="AJ294" s="231"/>
      <c r="AK294" s="231"/>
      <c r="AL294" s="231"/>
      <c r="AM294" s="231"/>
    </row>
    <row r="295" spans="1:39" s="203" customFormat="1">
      <c r="A295" s="120">
        <v>10</v>
      </c>
      <c r="B295" s="47" t="s">
        <v>225</v>
      </c>
      <c r="C295" s="47"/>
      <c r="D295" s="47"/>
      <c r="E295" s="114">
        <v>353</v>
      </c>
      <c r="F295" s="52">
        <f>195</f>
        <v>195</v>
      </c>
      <c r="G295" s="118"/>
      <c r="H295" s="122">
        <f>198</f>
        <v>198</v>
      </c>
      <c r="I295" s="21"/>
      <c r="J295" s="231"/>
      <c r="K295" s="231"/>
      <c r="L295" s="231"/>
      <c r="M295" s="231"/>
      <c r="N295" s="231"/>
      <c r="O295" s="231"/>
      <c r="P295" s="231"/>
      <c r="Q295" s="231"/>
      <c r="R295" s="231"/>
      <c r="S295" s="231"/>
      <c r="T295" s="231"/>
      <c r="U295" s="231"/>
      <c r="V295" s="231"/>
      <c r="W295" s="231"/>
      <c r="X295" s="231"/>
      <c r="Y295" s="231"/>
      <c r="Z295" s="231"/>
      <c r="AA295" s="231"/>
      <c r="AB295" s="231"/>
      <c r="AC295" s="231"/>
      <c r="AD295" s="231"/>
      <c r="AE295" s="231"/>
      <c r="AF295" s="231"/>
      <c r="AG295" s="231"/>
      <c r="AH295" s="231"/>
      <c r="AI295" s="231"/>
      <c r="AJ295" s="231"/>
      <c r="AK295" s="231"/>
      <c r="AL295" s="231"/>
      <c r="AM295" s="231"/>
    </row>
    <row r="296" spans="1:39" s="203" customFormat="1">
      <c r="A296" s="815">
        <v>11</v>
      </c>
      <c r="B296" s="47" t="s">
        <v>226</v>
      </c>
      <c r="C296" s="47"/>
      <c r="D296" s="47"/>
      <c r="E296" s="114">
        <v>0</v>
      </c>
      <c r="F296" s="52">
        <v>0</v>
      </c>
      <c r="G296" s="118"/>
      <c r="H296" s="122">
        <v>0</v>
      </c>
      <c r="I296" s="21"/>
      <c r="J296" s="231"/>
      <c r="K296" s="231"/>
      <c r="L296" s="231"/>
      <c r="M296" s="231"/>
      <c r="N296" s="231"/>
      <c r="O296" s="231"/>
      <c r="P296" s="231"/>
      <c r="Q296" s="231"/>
      <c r="R296" s="231"/>
      <c r="S296" s="231"/>
      <c r="T296" s="231"/>
      <c r="U296" s="231"/>
      <c r="V296" s="231"/>
      <c r="W296" s="231"/>
      <c r="X296" s="231"/>
      <c r="Y296" s="231"/>
      <c r="Z296" s="231"/>
      <c r="AA296" s="231"/>
      <c r="AB296" s="231"/>
      <c r="AC296" s="231"/>
      <c r="AD296" s="231"/>
      <c r="AE296" s="231"/>
      <c r="AF296" s="231"/>
      <c r="AG296" s="231"/>
      <c r="AH296" s="231"/>
      <c r="AI296" s="231"/>
      <c r="AJ296" s="231"/>
      <c r="AK296" s="231"/>
      <c r="AL296" s="231"/>
      <c r="AM296" s="231"/>
    </row>
    <row r="297" spans="1:39" s="203" customFormat="1">
      <c r="A297" s="120">
        <v>12</v>
      </c>
      <c r="B297" s="47" t="s">
        <v>227</v>
      </c>
      <c r="C297" s="47"/>
      <c r="D297" s="47"/>
      <c r="E297" s="114">
        <v>119</v>
      </c>
      <c r="F297" s="52">
        <v>157</v>
      </c>
      <c r="G297" s="118"/>
      <c r="H297" s="122">
        <v>118</v>
      </c>
      <c r="I297" s="21"/>
      <c r="J297" s="231"/>
      <c r="K297" s="231"/>
      <c r="L297" s="231"/>
      <c r="M297" s="231"/>
      <c r="N297" s="231"/>
      <c r="O297" s="231"/>
      <c r="P297" s="231"/>
      <c r="Q297" s="231"/>
      <c r="R297" s="231"/>
      <c r="S297" s="231"/>
      <c r="T297" s="231"/>
      <c r="U297" s="231"/>
      <c r="V297" s="231"/>
      <c r="W297" s="231"/>
      <c r="X297" s="231"/>
      <c r="Y297" s="231"/>
      <c r="Z297" s="231"/>
      <c r="AA297" s="231"/>
      <c r="AB297" s="231"/>
      <c r="AC297" s="231"/>
      <c r="AD297" s="231"/>
      <c r="AE297" s="231"/>
      <c r="AF297" s="231"/>
      <c r="AG297" s="231"/>
      <c r="AH297" s="231"/>
      <c r="AI297" s="231"/>
      <c r="AJ297" s="231"/>
      <c r="AK297" s="231"/>
      <c r="AL297" s="231"/>
      <c r="AM297" s="231"/>
    </row>
    <row r="298" spans="1:39" s="203" customFormat="1">
      <c r="A298" s="815">
        <v>13</v>
      </c>
      <c r="B298" s="47" t="s">
        <v>228</v>
      </c>
      <c r="C298" s="47"/>
      <c r="D298" s="47"/>
      <c r="E298" s="114">
        <v>3165</v>
      </c>
      <c r="F298" s="52">
        <f>2304+125+125+70+20+50+50</f>
        <v>2744</v>
      </c>
      <c r="G298" s="118"/>
      <c r="H298" s="122">
        <f>1843+310</f>
        <v>2153</v>
      </c>
      <c r="I298" s="21"/>
      <c r="J298" s="231"/>
      <c r="K298" s="231"/>
      <c r="L298" s="231"/>
      <c r="M298" s="231"/>
      <c r="N298" s="231"/>
      <c r="O298" s="231"/>
      <c r="P298" s="231"/>
      <c r="Q298" s="231"/>
      <c r="R298" s="231"/>
      <c r="S298" s="231"/>
      <c r="T298" s="231"/>
      <c r="U298" s="231"/>
      <c r="V298" s="231"/>
      <c r="W298" s="231"/>
      <c r="X298" s="231"/>
      <c r="Y298" s="231"/>
      <c r="Z298" s="231"/>
      <c r="AA298" s="231"/>
      <c r="AB298" s="231"/>
      <c r="AC298" s="231"/>
      <c r="AD298" s="231"/>
      <c r="AE298" s="231"/>
      <c r="AF298" s="231"/>
      <c r="AG298" s="231"/>
      <c r="AH298" s="231"/>
      <c r="AI298" s="231"/>
      <c r="AJ298" s="231"/>
      <c r="AK298" s="231"/>
      <c r="AL298" s="231"/>
      <c r="AM298" s="231"/>
    </row>
    <row r="299" spans="1:39" s="203" customFormat="1">
      <c r="A299" s="120">
        <v>14</v>
      </c>
      <c r="B299" s="47" t="s">
        <v>229</v>
      </c>
      <c r="C299" s="47"/>
      <c r="D299" s="116"/>
      <c r="E299" s="114">
        <v>0</v>
      </c>
      <c r="F299" s="52">
        <v>0</v>
      </c>
      <c r="G299" s="118"/>
      <c r="H299" s="122">
        <v>0</v>
      </c>
      <c r="I299" s="21"/>
      <c r="J299" s="231"/>
      <c r="K299" s="231"/>
      <c r="L299" s="231"/>
      <c r="M299" s="231"/>
      <c r="N299" s="231"/>
      <c r="O299" s="231"/>
      <c r="P299" s="231"/>
      <c r="Q299" s="231"/>
      <c r="R299" s="231"/>
      <c r="S299" s="231"/>
      <c r="T299" s="231"/>
      <c r="U299" s="231"/>
      <c r="V299" s="231"/>
      <c r="W299" s="231"/>
      <c r="X299" s="231"/>
      <c r="Y299" s="231"/>
      <c r="Z299" s="231"/>
      <c r="AA299" s="231"/>
      <c r="AB299" s="231"/>
      <c r="AC299" s="231"/>
      <c r="AD299" s="231"/>
      <c r="AE299" s="231"/>
      <c r="AF299" s="231"/>
      <c r="AG299" s="231"/>
      <c r="AH299" s="231"/>
      <c r="AI299" s="231"/>
      <c r="AJ299" s="231"/>
      <c r="AK299" s="231"/>
      <c r="AL299" s="231"/>
      <c r="AM299" s="231"/>
    </row>
    <row r="300" spans="1:39" s="203" customFormat="1">
      <c r="A300" s="815">
        <v>15</v>
      </c>
      <c r="B300" s="47" t="s">
        <v>230</v>
      </c>
      <c r="C300" s="47"/>
      <c r="D300" s="116"/>
      <c r="E300" s="114">
        <v>0</v>
      </c>
      <c r="F300" s="52">
        <v>0</v>
      </c>
      <c r="G300" s="118"/>
      <c r="H300" s="122">
        <v>0</v>
      </c>
      <c r="I300" s="21"/>
      <c r="J300" s="231"/>
      <c r="K300" s="231"/>
      <c r="L300" s="231"/>
      <c r="M300" s="231"/>
      <c r="N300" s="231"/>
      <c r="O300" s="231"/>
      <c r="P300" s="231"/>
      <c r="Q300" s="231"/>
      <c r="R300" s="231"/>
      <c r="S300" s="231"/>
      <c r="T300" s="231"/>
      <c r="U300" s="231"/>
      <c r="V300" s="231"/>
      <c r="W300" s="231"/>
      <c r="X300" s="231"/>
      <c r="Y300" s="231"/>
      <c r="Z300" s="231"/>
      <c r="AA300" s="231"/>
      <c r="AB300" s="231"/>
      <c r="AC300" s="231"/>
      <c r="AD300" s="231"/>
      <c r="AE300" s="231"/>
      <c r="AF300" s="231"/>
      <c r="AG300" s="231"/>
      <c r="AH300" s="231"/>
      <c r="AI300" s="231"/>
      <c r="AJ300" s="231"/>
      <c r="AK300" s="231"/>
      <c r="AL300" s="231"/>
      <c r="AM300" s="231"/>
    </row>
    <row r="301" spans="1:39" s="203" customFormat="1">
      <c r="A301" s="120">
        <v>17</v>
      </c>
      <c r="B301" s="47" t="s">
        <v>231</v>
      </c>
      <c r="C301" s="47"/>
      <c r="D301" s="47"/>
      <c r="E301" s="114">
        <v>7248</v>
      </c>
      <c r="F301" s="52">
        <f>1779+88+1624+1200</f>
        <v>4691</v>
      </c>
      <c r="G301" s="118"/>
      <c r="H301" s="99">
        <f>1365+23+1203-76</f>
        <v>2515</v>
      </c>
      <c r="I301" s="21"/>
      <c r="J301" s="231"/>
      <c r="K301" s="231"/>
      <c r="L301" s="231"/>
      <c r="M301" s="231"/>
      <c r="N301" s="231"/>
      <c r="O301" s="231"/>
      <c r="P301" s="231"/>
      <c r="Q301" s="231"/>
      <c r="R301" s="231"/>
      <c r="S301" s="231"/>
      <c r="T301" s="231"/>
      <c r="U301" s="231"/>
      <c r="V301" s="231"/>
      <c r="W301" s="231"/>
      <c r="X301" s="231"/>
      <c r="Y301" s="231"/>
      <c r="Z301" s="231"/>
      <c r="AA301" s="231"/>
      <c r="AB301" s="231"/>
      <c r="AC301" s="231"/>
      <c r="AD301" s="231"/>
      <c r="AE301" s="231"/>
      <c r="AF301" s="231"/>
      <c r="AG301" s="231"/>
      <c r="AH301" s="231"/>
      <c r="AI301" s="231"/>
      <c r="AJ301" s="231"/>
      <c r="AK301" s="231"/>
      <c r="AL301" s="231"/>
      <c r="AM301" s="231"/>
    </row>
    <row r="302" spans="1:39" s="203" customFormat="1">
      <c r="A302" s="816">
        <v>18</v>
      </c>
      <c r="B302" s="94" t="s">
        <v>232</v>
      </c>
      <c r="C302" s="94"/>
      <c r="D302" s="94"/>
      <c r="E302" s="159">
        <v>14304</v>
      </c>
      <c r="F302" s="61">
        <f>SUM(F286:F301)</f>
        <v>11524</v>
      </c>
      <c r="G302" s="118"/>
      <c r="H302" s="61">
        <f>SUM(H286:H301)</f>
        <v>8578</v>
      </c>
      <c r="I302" s="21"/>
      <c r="J302" s="231"/>
      <c r="K302" s="231"/>
      <c r="L302" s="231"/>
      <c r="M302" s="231"/>
      <c r="N302" s="231"/>
      <c r="O302" s="231"/>
      <c r="P302" s="231"/>
      <c r="Q302" s="231"/>
      <c r="R302" s="231"/>
      <c r="S302" s="231"/>
      <c r="T302" s="231"/>
      <c r="U302" s="231"/>
      <c r="V302" s="231"/>
      <c r="W302" s="231"/>
      <c r="X302" s="231"/>
      <c r="Y302" s="231"/>
      <c r="Z302" s="231"/>
      <c r="AA302" s="231"/>
      <c r="AB302" s="231"/>
      <c r="AC302" s="231"/>
      <c r="AD302" s="231"/>
      <c r="AE302" s="231"/>
      <c r="AF302" s="231"/>
      <c r="AG302" s="231"/>
      <c r="AH302" s="231"/>
      <c r="AI302" s="231"/>
      <c r="AJ302" s="231"/>
      <c r="AK302" s="231"/>
      <c r="AL302" s="231"/>
      <c r="AM302" s="231"/>
    </row>
    <row r="303" spans="1:39" s="203" customFormat="1">
      <c r="A303" s="179"/>
      <c r="B303" s="180"/>
      <c r="C303" s="180"/>
      <c r="D303" s="181"/>
      <c r="E303" s="182"/>
      <c r="F303" s="183"/>
      <c r="G303" s="21"/>
      <c r="H303" s="183"/>
      <c r="I303" s="21"/>
      <c r="J303" s="231"/>
      <c r="K303" s="231"/>
      <c r="L303" s="231"/>
      <c r="M303" s="231"/>
      <c r="N303" s="231"/>
      <c r="O303" s="231"/>
      <c r="P303" s="231"/>
      <c r="Q303" s="231"/>
      <c r="R303" s="231"/>
      <c r="S303" s="231"/>
      <c r="T303" s="231"/>
      <c r="U303" s="231"/>
      <c r="V303" s="231"/>
      <c r="W303" s="231"/>
      <c r="X303" s="231"/>
      <c r="Y303" s="231"/>
      <c r="Z303" s="231"/>
      <c r="AA303" s="231"/>
      <c r="AB303" s="231"/>
      <c r="AC303" s="231"/>
      <c r="AD303" s="231"/>
      <c r="AE303" s="231"/>
      <c r="AF303" s="231"/>
      <c r="AG303" s="231"/>
      <c r="AH303" s="231"/>
      <c r="AI303" s="231"/>
      <c r="AJ303" s="231"/>
      <c r="AK303" s="231"/>
      <c r="AL303" s="231"/>
      <c r="AM303" s="231"/>
    </row>
    <row r="304" spans="1:39" s="203" customFormat="1">
      <c r="A304" s="184"/>
      <c r="B304" s="207"/>
      <c r="C304" s="207"/>
      <c r="D304" s="209"/>
      <c r="E304" s="185"/>
      <c r="F304" s="207"/>
      <c r="G304" s="207"/>
      <c r="H304" s="131" t="s">
        <v>27</v>
      </c>
      <c r="I304" s="21"/>
      <c r="J304" s="231"/>
      <c r="K304" s="231"/>
      <c r="L304" s="231"/>
      <c r="M304" s="231"/>
      <c r="N304" s="231"/>
      <c r="O304" s="231"/>
      <c r="P304" s="231"/>
      <c r="Q304" s="231"/>
      <c r="R304" s="231"/>
      <c r="S304" s="231"/>
      <c r="T304" s="231"/>
      <c r="U304" s="231"/>
      <c r="V304" s="231"/>
      <c r="W304" s="231"/>
      <c r="X304" s="231"/>
      <c r="Y304" s="231"/>
      <c r="Z304" s="231"/>
      <c r="AA304" s="231"/>
      <c r="AB304" s="231"/>
      <c r="AC304" s="231"/>
      <c r="AD304" s="231"/>
      <c r="AE304" s="231"/>
      <c r="AF304" s="231"/>
      <c r="AG304" s="231"/>
      <c r="AH304" s="231"/>
      <c r="AI304" s="231"/>
      <c r="AJ304" s="231"/>
      <c r="AK304" s="231"/>
      <c r="AL304" s="231"/>
      <c r="AM304" s="231"/>
    </row>
    <row r="305" spans="1:39" s="203" customFormat="1" ht="12.75" customHeight="1">
      <c r="A305" s="106" t="s">
        <v>21</v>
      </c>
      <c r="B305" s="164"/>
      <c r="C305" s="164"/>
      <c r="D305" s="164"/>
      <c r="E305" s="856" t="s">
        <v>377</v>
      </c>
      <c r="F305" s="856" t="s">
        <v>402</v>
      </c>
      <c r="G305" s="130"/>
      <c r="H305" s="856" t="s">
        <v>403</v>
      </c>
      <c r="I305" s="21"/>
      <c r="J305" s="231"/>
      <c r="K305" s="231"/>
      <c r="L305" s="231"/>
      <c r="M305" s="231"/>
      <c r="N305" s="231"/>
      <c r="O305" s="231"/>
      <c r="P305" s="231"/>
      <c r="Q305" s="231"/>
      <c r="R305" s="231"/>
      <c r="S305" s="231"/>
      <c r="T305" s="231"/>
      <c r="U305" s="231"/>
      <c r="V305" s="231"/>
      <c r="W305" s="231"/>
      <c r="X305" s="231"/>
      <c r="Y305" s="231"/>
      <c r="Z305" s="231"/>
      <c r="AA305" s="231"/>
      <c r="AB305" s="231"/>
      <c r="AC305" s="231"/>
      <c r="AD305" s="231"/>
      <c r="AE305" s="231"/>
      <c r="AF305" s="231"/>
      <c r="AG305" s="231"/>
      <c r="AH305" s="231"/>
      <c r="AI305" s="231"/>
      <c r="AJ305" s="231"/>
      <c r="AK305" s="231"/>
      <c r="AL305" s="231"/>
      <c r="AM305" s="231"/>
    </row>
    <row r="306" spans="1:39" s="203" customFormat="1">
      <c r="A306" s="165"/>
      <c r="B306" s="47"/>
      <c r="C306" s="47"/>
      <c r="D306" s="47"/>
      <c r="E306" s="859"/>
      <c r="F306" s="859"/>
      <c r="G306" s="130"/>
      <c r="H306" s="859"/>
      <c r="I306" s="21"/>
      <c r="J306" s="231"/>
      <c r="K306" s="231"/>
      <c r="L306" s="231"/>
      <c r="M306" s="231"/>
      <c r="N306" s="231"/>
      <c r="O306" s="231"/>
      <c r="P306" s="231"/>
      <c r="Q306" s="231"/>
      <c r="R306" s="231"/>
      <c r="S306" s="231"/>
      <c r="T306" s="231"/>
      <c r="U306" s="231"/>
      <c r="V306" s="231"/>
      <c r="W306" s="231"/>
      <c r="X306" s="231"/>
      <c r="Y306" s="231"/>
      <c r="Z306" s="231"/>
      <c r="AA306" s="231"/>
      <c r="AB306" s="231"/>
      <c r="AC306" s="231"/>
      <c r="AD306" s="231"/>
      <c r="AE306" s="231"/>
      <c r="AF306" s="231"/>
      <c r="AG306" s="231"/>
      <c r="AH306" s="231"/>
      <c r="AI306" s="231"/>
      <c r="AJ306" s="231"/>
      <c r="AK306" s="231"/>
      <c r="AL306" s="231"/>
      <c r="AM306" s="231"/>
    </row>
    <row r="307" spans="1:39" s="203" customFormat="1" ht="12.75" customHeight="1">
      <c r="A307" s="109"/>
      <c r="B307" s="174"/>
      <c r="C307" s="174"/>
      <c r="D307" s="174"/>
      <c r="E307" s="859"/>
      <c r="F307" s="859"/>
      <c r="G307" s="130"/>
      <c r="H307" s="859"/>
      <c r="I307" s="21"/>
      <c r="J307" s="231"/>
      <c r="K307" s="231"/>
      <c r="L307" s="231"/>
      <c r="M307" s="231"/>
      <c r="N307" s="231"/>
      <c r="O307" s="231"/>
      <c r="P307" s="231"/>
      <c r="Q307" s="231"/>
      <c r="R307" s="231"/>
      <c r="S307" s="231"/>
      <c r="T307" s="231"/>
      <c r="U307" s="231"/>
      <c r="V307" s="231"/>
      <c r="W307" s="231"/>
      <c r="X307" s="231"/>
      <c r="Y307" s="231"/>
      <c r="Z307" s="231"/>
      <c r="AA307" s="231"/>
      <c r="AB307" s="231"/>
      <c r="AC307" s="231"/>
      <c r="AD307" s="231"/>
      <c r="AE307" s="231"/>
      <c r="AF307" s="231"/>
      <c r="AG307" s="231"/>
      <c r="AH307" s="231"/>
      <c r="AI307" s="231"/>
      <c r="AJ307" s="231"/>
      <c r="AK307" s="231"/>
      <c r="AL307" s="231"/>
      <c r="AM307" s="231"/>
    </row>
    <row r="308" spans="1:39" s="203" customFormat="1">
      <c r="A308" s="154" t="s">
        <v>233</v>
      </c>
      <c r="B308" s="47"/>
      <c r="C308" s="47"/>
      <c r="D308" s="47"/>
      <c r="E308" s="859"/>
      <c r="F308" s="859"/>
      <c r="G308" s="130"/>
      <c r="H308" s="859"/>
      <c r="I308" s="21"/>
      <c r="J308" s="231"/>
      <c r="K308" s="231"/>
      <c r="L308" s="231"/>
      <c r="M308" s="231"/>
      <c r="N308" s="231"/>
      <c r="O308" s="231"/>
      <c r="P308" s="231"/>
      <c r="Q308" s="231"/>
      <c r="R308" s="231"/>
      <c r="S308" s="231"/>
      <c r="T308" s="231"/>
      <c r="U308" s="231"/>
      <c r="V308" s="231"/>
      <c r="W308" s="231"/>
      <c r="X308" s="231"/>
      <c r="Y308" s="231"/>
      <c r="Z308" s="231"/>
      <c r="AA308" s="231"/>
      <c r="AB308" s="231"/>
      <c r="AC308" s="231"/>
      <c r="AD308" s="231"/>
      <c r="AE308" s="231"/>
      <c r="AF308" s="231"/>
      <c r="AG308" s="231"/>
      <c r="AH308" s="231"/>
      <c r="AI308" s="231"/>
      <c r="AJ308" s="231"/>
      <c r="AK308" s="231"/>
      <c r="AL308" s="231"/>
      <c r="AM308" s="231"/>
    </row>
    <row r="309" spans="1:39" s="203" customFormat="1">
      <c r="A309" s="109" t="s">
        <v>83</v>
      </c>
      <c r="B309" s="174"/>
      <c r="C309" s="174"/>
      <c r="D309" s="174"/>
      <c r="E309" s="860"/>
      <c r="F309" s="860"/>
      <c r="G309" s="130"/>
      <c r="H309" s="860"/>
      <c r="I309" s="21"/>
      <c r="J309" s="231"/>
      <c r="K309" s="231"/>
      <c r="L309" s="231"/>
      <c r="M309" s="231"/>
      <c r="N309" s="231"/>
      <c r="O309" s="231"/>
      <c r="P309" s="231"/>
      <c r="Q309" s="231"/>
      <c r="R309" s="231"/>
      <c r="S309" s="231"/>
      <c r="T309" s="231"/>
      <c r="U309" s="231"/>
      <c r="V309" s="231"/>
      <c r="W309" s="231"/>
      <c r="X309" s="231"/>
      <c r="Y309" s="231"/>
      <c r="Z309" s="231"/>
      <c r="AA309" s="231"/>
      <c r="AB309" s="231"/>
      <c r="AC309" s="231"/>
      <c r="AD309" s="231"/>
      <c r="AE309" s="231"/>
      <c r="AF309" s="231"/>
      <c r="AG309" s="231"/>
      <c r="AH309" s="231"/>
      <c r="AI309" s="231"/>
      <c r="AJ309" s="231"/>
      <c r="AK309" s="231"/>
      <c r="AL309" s="231"/>
      <c r="AM309" s="231"/>
    </row>
    <row r="310" spans="1:39" s="203" customFormat="1">
      <c r="A310" s="110" t="s">
        <v>84</v>
      </c>
      <c r="B310" s="116"/>
      <c r="C310" s="116"/>
      <c r="D310" s="116"/>
      <c r="E310" s="262"/>
      <c r="F310" s="146"/>
      <c r="G310" s="118"/>
      <c r="H310" s="146"/>
      <c r="I310" s="21"/>
      <c r="J310" s="231"/>
      <c r="K310" s="231"/>
      <c r="L310" s="231"/>
      <c r="M310" s="231"/>
      <c r="N310" s="231"/>
      <c r="O310" s="231"/>
      <c r="P310" s="231"/>
      <c r="Q310" s="231"/>
      <c r="R310" s="231"/>
      <c r="S310" s="231"/>
      <c r="T310" s="231"/>
      <c r="U310" s="231"/>
      <c r="V310" s="231"/>
      <c r="W310" s="231"/>
      <c r="X310" s="231"/>
      <c r="Y310" s="231"/>
      <c r="Z310" s="231"/>
      <c r="AA310" s="231"/>
      <c r="AB310" s="231"/>
      <c r="AC310" s="231"/>
      <c r="AD310" s="231"/>
      <c r="AE310" s="231"/>
      <c r="AF310" s="231"/>
      <c r="AG310" s="231"/>
      <c r="AH310" s="231"/>
      <c r="AI310" s="231"/>
      <c r="AJ310" s="231"/>
      <c r="AK310" s="231"/>
      <c r="AL310" s="231"/>
      <c r="AM310" s="231"/>
    </row>
    <row r="311" spans="1:39" s="203" customFormat="1">
      <c r="A311" s="120">
        <v>1</v>
      </c>
      <c r="B311" s="47" t="s">
        <v>258</v>
      </c>
      <c r="C311" s="47"/>
      <c r="D311" s="186"/>
      <c r="E311" s="74">
        <v>-300</v>
      </c>
      <c r="F311" s="52">
        <v>-460</v>
      </c>
      <c r="G311" s="43"/>
      <c r="H311" s="52">
        <v>-460</v>
      </c>
      <c r="I311" s="21"/>
      <c r="J311" s="231"/>
      <c r="K311" s="231"/>
      <c r="L311" s="231"/>
      <c r="M311" s="231"/>
      <c r="N311" s="231"/>
      <c r="O311" s="231"/>
      <c r="P311" s="231"/>
      <c r="Q311" s="231"/>
      <c r="R311" s="231"/>
      <c r="S311" s="231"/>
      <c r="T311" s="231"/>
      <c r="U311" s="231"/>
      <c r="V311" s="231"/>
      <c r="W311" s="231"/>
      <c r="X311" s="231"/>
      <c r="Y311" s="231"/>
      <c r="Z311" s="231"/>
      <c r="AA311" s="231"/>
      <c r="AB311" s="231"/>
      <c r="AC311" s="231"/>
      <c r="AD311" s="231"/>
      <c r="AE311" s="231"/>
      <c r="AF311" s="231"/>
      <c r="AG311" s="231"/>
      <c r="AH311" s="231"/>
      <c r="AI311" s="231"/>
      <c r="AJ311" s="231"/>
      <c r="AK311" s="231"/>
      <c r="AL311" s="231"/>
      <c r="AM311" s="231"/>
    </row>
    <row r="312" spans="1:39" s="203" customFormat="1">
      <c r="A312" s="120">
        <v>2</v>
      </c>
      <c r="B312" s="47" t="s">
        <v>234</v>
      </c>
      <c r="C312" s="47"/>
      <c r="D312" s="186"/>
      <c r="E312" s="114">
        <v>783</v>
      </c>
      <c r="F312" s="52">
        <v>791</v>
      </c>
      <c r="G312" s="43"/>
      <c r="H312" s="52">
        <v>1833</v>
      </c>
      <c r="I312" s="21"/>
      <c r="J312" s="231"/>
      <c r="K312" s="231"/>
      <c r="L312" s="231"/>
      <c r="M312" s="231"/>
      <c r="N312" s="231"/>
      <c r="O312" s="231"/>
      <c r="P312" s="231"/>
      <c r="Q312" s="231"/>
      <c r="R312" s="231"/>
      <c r="S312" s="231"/>
      <c r="T312" s="231"/>
      <c r="U312" s="231"/>
      <c r="V312" s="231"/>
      <c r="W312" s="231"/>
      <c r="X312" s="231"/>
      <c r="Y312" s="231"/>
      <c r="Z312" s="231"/>
      <c r="AA312" s="231"/>
      <c r="AB312" s="231"/>
      <c r="AC312" s="231"/>
      <c r="AD312" s="231"/>
      <c r="AE312" s="231"/>
      <c r="AF312" s="231"/>
      <c r="AG312" s="231"/>
      <c r="AH312" s="231"/>
      <c r="AI312" s="231"/>
      <c r="AJ312" s="231"/>
      <c r="AK312" s="231"/>
      <c r="AL312" s="231"/>
      <c r="AM312" s="231"/>
    </row>
    <row r="313" spans="1:39" s="203" customFormat="1">
      <c r="A313" s="120">
        <v>3</v>
      </c>
      <c r="B313" s="47" t="s">
        <v>259</v>
      </c>
      <c r="C313" s="47"/>
      <c r="D313" s="186"/>
      <c r="E313" s="114">
        <v>-350</v>
      </c>
      <c r="F313" s="52">
        <v>-400</v>
      </c>
      <c r="G313" s="43"/>
      <c r="H313" s="52">
        <v>-350</v>
      </c>
      <c r="I313" s="21"/>
      <c r="J313" s="231"/>
      <c r="K313" s="231"/>
      <c r="L313" s="231"/>
      <c r="M313" s="231"/>
      <c r="N313" s="231"/>
      <c r="O313" s="231"/>
      <c r="P313" s="231"/>
      <c r="Q313" s="231"/>
      <c r="R313" s="231"/>
      <c r="S313" s="231"/>
      <c r="T313" s="231"/>
      <c r="U313" s="231"/>
      <c r="V313" s="231"/>
      <c r="W313" s="231"/>
      <c r="X313" s="231"/>
      <c r="Y313" s="231"/>
      <c r="Z313" s="231"/>
      <c r="AA313" s="231"/>
      <c r="AB313" s="231"/>
      <c r="AC313" s="231"/>
      <c r="AD313" s="231"/>
      <c r="AE313" s="231"/>
      <c r="AF313" s="231"/>
      <c r="AG313" s="231"/>
      <c r="AH313" s="231"/>
      <c r="AI313" s="231"/>
      <c r="AJ313" s="231"/>
      <c r="AK313" s="231"/>
      <c r="AL313" s="231"/>
      <c r="AM313" s="231"/>
    </row>
    <row r="314" spans="1:39" s="203" customFormat="1">
      <c r="A314" s="120">
        <v>4</v>
      </c>
      <c r="B314" s="47" t="s">
        <v>235</v>
      </c>
      <c r="C314" s="47"/>
      <c r="D314" s="186"/>
      <c r="E314" s="114">
        <v>7775</v>
      </c>
      <c r="F314" s="52">
        <f>6672</f>
        <v>6672</v>
      </c>
      <c r="G314" s="43"/>
      <c r="H314" s="52">
        <v>7634</v>
      </c>
      <c r="I314" s="21"/>
      <c r="J314" s="231"/>
      <c r="K314" s="231"/>
      <c r="L314" s="231"/>
      <c r="M314" s="231"/>
      <c r="N314" s="231"/>
      <c r="O314" s="231"/>
      <c r="P314" s="231"/>
      <c r="Q314" s="231"/>
      <c r="R314" s="231"/>
      <c r="S314" s="231"/>
      <c r="T314" s="231"/>
      <c r="U314" s="231"/>
      <c r="V314" s="231"/>
      <c r="W314" s="231"/>
      <c r="X314" s="231"/>
      <c r="Y314" s="231"/>
      <c r="Z314" s="231"/>
      <c r="AA314" s="231"/>
      <c r="AB314" s="231"/>
      <c r="AC314" s="231"/>
      <c r="AD314" s="231"/>
      <c r="AE314" s="231"/>
      <c r="AF314" s="231"/>
      <c r="AG314" s="231"/>
      <c r="AH314" s="231"/>
      <c r="AI314" s="231"/>
      <c r="AJ314" s="231"/>
      <c r="AK314" s="231"/>
      <c r="AL314" s="231"/>
      <c r="AM314" s="231"/>
    </row>
    <row r="315" spans="1:39" s="203" customFormat="1">
      <c r="A315" s="120">
        <v>5</v>
      </c>
      <c r="B315" s="47" t="s">
        <v>236</v>
      </c>
      <c r="C315" s="47"/>
      <c r="D315" s="186"/>
      <c r="E315" s="114">
        <v>3070</v>
      </c>
      <c r="F315" s="52">
        <v>3159</v>
      </c>
      <c r="G315" s="187"/>
      <c r="H315" s="52">
        <v>2513</v>
      </c>
      <c r="I315" s="21"/>
      <c r="J315" s="231"/>
      <c r="K315" s="231"/>
      <c r="L315" s="231"/>
      <c r="M315" s="231"/>
      <c r="N315" s="231"/>
      <c r="O315" s="231"/>
      <c r="P315" s="231"/>
      <c r="Q315" s="231"/>
      <c r="R315" s="231"/>
      <c r="S315" s="231"/>
      <c r="T315" s="231"/>
      <c r="U315" s="231"/>
      <c r="V315" s="231"/>
      <c r="W315" s="231"/>
      <c r="X315" s="231"/>
      <c r="Y315" s="231"/>
      <c r="Z315" s="231"/>
      <c r="AA315" s="231"/>
      <c r="AB315" s="231"/>
      <c r="AC315" s="231"/>
      <c r="AD315" s="231"/>
      <c r="AE315" s="231"/>
      <c r="AF315" s="231"/>
      <c r="AG315" s="231"/>
      <c r="AH315" s="231"/>
      <c r="AI315" s="231"/>
      <c r="AJ315" s="231"/>
      <c r="AK315" s="231"/>
      <c r="AL315" s="231"/>
      <c r="AM315" s="231"/>
    </row>
    <row r="316" spans="1:39" s="203" customFormat="1">
      <c r="A316" s="120">
        <v>6</v>
      </c>
      <c r="B316" s="47" t="s">
        <v>237</v>
      </c>
      <c r="C316" s="47"/>
      <c r="D316" s="186"/>
      <c r="E316" s="114">
        <v>17184</v>
      </c>
      <c r="F316" s="52">
        <f>10216+5451+5+1086</f>
        <v>16758</v>
      </c>
      <c r="G316" s="43"/>
      <c r="H316" s="52">
        <f>10330+5464+1086</f>
        <v>16880</v>
      </c>
      <c r="I316" s="21"/>
      <c r="J316" s="231"/>
      <c r="K316" s="231"/>
      <c r="L316" s="231"/>
      <c r="M316" s="231"/>
      <c r="N316" s="231"/>
      <c r="O316" s="231"/>
      <c r="P316" s="231"/>
      <c r="Q316" s="231"/>
      <c r="R316" s="231"/>
      <c r="S316" s="231"/>
      <c r="T316" s="231"/>
      <c r="U316" s="231"/>
      <c r="V316" s="231"/>
      <c r="W316" s="231"/>
      <c r="X316" s="231"/>
      <c r="Y316" s="231"/>
      <c r="Z316" s="231"/>
      <c r="AA316" s="231"/>
      <c r="AB316" s="231"/>
      <c r="AC316" s="231"/>
      <c r="AD316" s="231"/>
      <c r="AE316" s="231"/>
      <c r="AF316" s="231"/>
      <c r="AG316" s="231"/>
      <c r="AH316" s="231"/>
      <c r="AI316" s="231"/>
      <c r="AJ316" s="231"/>
      <c r="AK316" s="231"/>
      <c r="AL316" s="231"/>
      <c r="AM316" s="231"/>
    </row>
    <row r="317" spans="1:39" s="203" customFormat="1">
      <c r="A317" s="120">
        <v>7</v>
      </c>
      <c r="B317" s="47" t="s">
        <v>238</v>
      </c>
      <c r="C317" s="47"/>
      <c r="D317" s="186"/>
      <c r="E317" s="114">
        <v>0</v>
      </c>
      <c r="F317" s="52">
        <v>0</v>
      </c>
      <c r="G317" s="43"/>
      <c r="H317" s="52">
        <v>0</v>
      </c>
      <c r="I317" s="21"/>
      <c r="J317" s="231"/>
      <c r="K317" s="231"/>
      <c r="L317" s="231"/>
      <c r="M317" s="231"/>
      <c r="N317" s="231"/>
      <c r="O317" s="231"/>
      <c r="P317" s="231"/>
      <c r="Q317" s="231"/>
      <c r="R317" s="231"/>
      <c r="S317" s="231"/>
      <c r="T317" s="231"/>
      <c r="U317" s="231"/>
      <c r="V317" s="231"/>
      <c r="W317" s="231"/>
      <c r="X317" s="231"/>
      <c r="Y317" s="231"/>
      <c r="Z317" s="231"/>
      <c r="AA317" s="231"/>
      <c r="AB317" s="231"/>
      <c r="AC317" s="231"/>
      <c r="AD317" s="231"/>
      <c r="AE317" s="231"/>
      <c r="AF317" s="231"/>
      <c r="AG317" s="231"/>
      <c r="AH317" s="231"/>
      <c r="AI317" s="231"/>
      <c r="AJ317" s="231"/>
      <c r="AK317" s="231"/>
      <c r="AL317" s="231"/>
      <c r="AM317" s="231"/>
    </row>
    <row r="318" spans="1:39" s="203" customFormat="1">
      <c r="A318" s="120">
        <v>8</v>
      </c>
      <c r="B318" s="47" t="s">
        <v>239</v>
      </c>
      <c r="C318" s="47"/>
      <c r="D318" s="186"/>
      <c r="E318" s="114">
        <v>101</v>
      </c>
      <c r="F318" s="52">
        <f>98</f>
        <v>98</v>
      </c>
      <c r="G318" s="43"/>
      <c r="H318" s="52">
        <f>99</f>
        <v>99</v>
      </c>
      <c r="I318" s="21"/>
      <c r="J318" s="231"/>
      <c r="K318" s="231"/>
      <c r="L318" s="231"/>
      <c r="M318" s="231"/>
      <c r="N318" s="231"/>
      <c r="O318" s="231"/>
      <c r="P318" s="231"/>
      <c r="Q318" s="231"/>
      <c r="R318" s="231"/>
      <c r="S318" s="231"/>
      <c r="T318" s="231"/>
      <c r="U318" s="231"/>
      <c r="V318" s="231"/>
      <c r="W318" s="231"/>
      <c r="X318" s="231"/>
      <c r="Y318" s="231"/>
      <c r="Z318" s="231"/>
      <c r="AA318" s="231"/>
      <c r="AB318" s="231"/>
      <c r="AC318" s="231"/>
      <c r="AD318" s="231"/>
      <c r="AE318" s="231"/>
      <c r="AF318" s="231"/>
      <c r="AG318" s="231"/>
      <c r="AH318" s="231"/>
      <c r="AI318" s="231"/>
      <c r="AJ318" s="231"/>
      <c r="AK318" s="231"/>
      <c r="AL318" s="231"/>
      <c r="AM318" s="231"/>
    </row>
    <row r="319" spans="1:39" s="203" customFormat="1">
      <c r="A319" s="815">
        <v>9</v>
      </c>
      <c r="B319" s="90" t="s">
        <v>260</v>
      </c>
      <c r="C319" s="47"/>
      <c r="D319" s="47"/>
      <c r="E319" s="114">
        <v>0</v>
      </c>
      <c r="F319" s="188"/>
      <c r="G319" s="43"/>
      <c r="H319" s="189">
        <v>0</v>
      </c>
      <c r="I319" s="21"/>
      <c r="J319" s="231"/>
      <c r="K319" s="231"/>
      <c r="L319" s="231"/>
      <c r="M319" s="231"/>
      <c r="N319" s="231"/>
      <c r="O319" s="231"/>
      <c r="P319" s="231"/>
      <c r="Q319" s="231"/>
      <c r="R319" s="231"/>
      <c r="S319" s="231"/>
      <c r="T319" s="231"/>
      <c r="U319" s="231"/>
      <c r="V319" s="231"/>
      <c r="W319" s="231"/>
      <c r="X319" s="231"/>
      <c r="Y319" s="231"/>
      <c r="Z319" s="231"/>
      <c r="AA319" s="231"/>
      <c r="AB319" s="231"/>
      <c r="AC319" s="231"/>
      <c r="AD319" s="231"/>
      <c r="AE319" s="231"/>
      <c r="AF319" s="231"/>
      <c r="AG319" s="231"/>
      <c r="AH319" s="231"/>
      <c r="AI319" s="231"/>
      <c r="AJ319" s="231"/>
      <c r="AK319" s="231"/>
      <c r="AL319" s="231"/>
      <c r="AM319" s="231"/>
    </row>
    <row r="320" spans="1:39" s="203" customFormat="1">
      <c r="A320" s="124">
        <v>10</v>
      </c>
      <c r="B320" s="94" t="s">
        <v>62</v>
      </c>
      <c r="C320" s="94"/>
      <c r="D320" s="94"/>
      <c r="E320" s="159">
        <v>28263</v>
      </c>
      <c r="F320" s="61">
        <f>F311+F312+F313+F314+F315+F316+F317+F318</f>
        <v>26618</v>
      </c>
      <c r="G320" s="118"/>
      <c r="H320" s="61">
        <f>H311+H312+H313+H314+H315+H316+H317+H318+H319</f>
        <v>28149</v>
      </c>
      <c r="I320" s="183"/>
      <c r="J320" s="231"/>
      <c r="K320" s="231"/>
      <c r="L320" s="231"/>
      <c r="M320" s="231"/>
      <c r="N320" s="231"/>
      <c r="O320" s="231"/>
      <c r="P320" s="231"/>
      <c r="Q320" s="231"/>
      <c r="R320" s="231"/>
      <c r="S320" s="231"/>
      <c r="T320" s="231"/>
      <c r="U320" s="231"/>
      <c r="V320" s="231"/>
      <c r="W320" s="231"/>
      <c r="X320" s="231"/>
      <c r="Y320" s="231"/>
      <c r="Z320" s="231"/>
      <c r="AA320" s="231"/>
      <c r="AB320" s="231"/>
      <c r="AC320" s="231"/>
      <c r="AD320" s="231"/>
      <c r="AE320" s="231"/>
      <c r="AF320" s="231"/>
      <c r="AG320" s="231"/>
      <c r="AH320" s="231"/>
      <c r="AI320" s="231"/>
      <c r="AJ320" s="231"/>
      <c r="AK320" s="231"/>
      <c r="AL320" s="231"/>
      <c r="AM320" s="231"/>
    </row>
    <row r="321" spans="1:39" s="203" customFormat="1">
      <c r="A321" s="179"/>
      <c r="B321" s="180"/>
      <c r="C321" s="180"/>
      <c r="D321" s="180"/>
      <c r="E321" s="180"/>
      <c r="F321" s="183"/>
      <c r="G321" s="21"/>
      <c r="H321" s="183"/>
      <c r="I321" s="183"/>
      <c r="J321" s="231"/>
      <c r="K321" s="231"/>
      <c r="L321" s="231"/>
      <c r="M321" s="231"/>
      <c r="N321" s="231"/>
      <c r="O321" s="231"/>
      <c r="P321" s="231"/>
      <c r="Q321" s="231"/>
      <c r="R321" s="231"/>
      <c r="S321" s="231"/>
      <c r="T321" s="231"/>
      <c r="U321" s="231"/>
      <c r="V321" s="231"/>
      <c r="W321" s="231"/>
      <c r="X321" s="231"/>
      <c r="Y321" s="231"/>
      <c r="Z321" s="231"/>
      <c r="AA321" s="231"/>
      <c r="AB321" s="231"/>
      <c r="AC321" s="231"/>
      <c r="AD321" s="231"/>
      <c r="AE321" s="231"/>
      <c r="AF321" s="231"/>
      <c r="AG321" s="231"/>
      <c r="AH321" s="231"/>
      <c r="AI321" s="231"/>
      <c r="AJ321" s="231"/>
      <c r="AK321" s="231"/>
      <c r="AL321" s="231"/>
      <c r="AM321" s="231"/>
    </row>
    <row r="322" spans="1:39" s="203" customFormat="1">
      <c r="A322" s="148"/>
      <c r="B322" s="207"/>
      <c r="C322" s="207"/>
      <c r="D322" s="29"/>
      <c r="E322" s="29"/>
      <c r="F322" s="29"/>
      <c r="G322" s="29"/>
      <c r="H322" s="31" t="s">
        <v>27</v>
      </c>
      <c r="I322" s="2"/>
      <c r="J322" s="231"/>
      <c r="K322" s="231"/>
      <c r="L322" s="231"/>
      <c r="M322" s="231"/>
      <c r="N322" s="231"/>
      <c r="O322" s="231"/>
      <c r="P322" s="231"/>
      <c r="Q322" s="231"/>
      <c r="R322" s="231"/>
      <c r="S322" s="231"/>
      <c r="T322" s="231"/>
      <c r="U322" s="231"/>
      <c r="V322" s="231"/>
      <c r="W322" s="231"/>
      <c r="X322" s="231"/>
      <c r="Y322" s="231"/>
      <c r="Z322" s="231"/>
      <c r="AA322" s="231"/>
      <c r="AB322" s="231"/>
      <c r="AC322" s="231"/>
      <c r="AD322" s="231"/>
      <c r="AE322" s="231"/>
      <c r="AF322" s="231"/>
      <c r="AG322" s="231"/>
      <c r="AH322" s="231"/>
      <c r="AI322" s="231"/>
      <c r="AJ322" s="231"/>
      <c r="AK322" s="231"/>
      <c r="AL322" s="231"/>
      <c r="AM322" s="231"/>
    </row>
    <row r="323" spans="1:39" s="203" customFormat="1">
      <c r="A323" s="190" t="s">
        <v>240</v>
      </c>
      <c r="B323" s="263"/>
      <c r="C323" s="861" t="s">
        <v>405</v>
      </c>
      <c r="D323" s="862"/>
      <c r="E323" s="862"/>
      <c r="F323" s="862"/>
      <c r="G323" s="862"/>
      <c r="H323" s="863"/>
      <c r="I323" s="210"/>
      <c r="J323" s="231"/>
      <c r="K323" s="231"/>
      <c r="L323" s="231"/>
      <c r="M323" s="231"/>
      <c r="N323" s="231"/>
      <c r="O323" s="231"/>
      <c r="P323" s="231"/>
      <c r="Q323" s="231"/>
      <c r="R323" s="231"/>
      <c r="S323" s="231"/>
      <c r="T323" s="231"/>
      <c r="U323" s="231"/>
      <c r="V323" s="231"/>
      <c r="W323" s="231"/>
      <c r="X323" s="231"/>
      <c r="Y323" s="231"/>
      <c r="Z323" s="231"/>
      <c r="AA323" s="231"/>
      <c r="AB323" s="231"/>
      <c r="AC323" s="231"/>
      <c r="AD323" s="231"/>
      <c r="AE323" s="231"/>
      <c r="AF323" s="231"/>
      <c r="AG323" s="231"/>
      <c r="AH323" s="231"/>
      <c r="AI323" s="231"/>
      <c r="AJ323" s="231"/>
      <c r="AK323" s="231"/>
      <c r="AL323" s="231"/>
      <c r="AM323" s="231"/>
    </row>
    <row r="324" spans="1:39" s="203" customFormat="1" ht="39" thickBot="1">
      <c r="A324" s="110" t="s">
        <v>84</v>
      </c>
      <c r="B324" s="116"/>
      <c r="C324" s="35" t="s">
        <v>52</v>
      </c>
      <c r="D324" s="35" t="s">
        <v>53</v>
      </c>
      <c r="E324" s="37" t="s">
        <v>54</v>
      </c>
      <c r="F324" s="37" t="s">
        <v>55</v>
      </c>
      <c r="G324" s="37" t="s">
        <v>241</v>
      </c>
      <c r="H324" s="35" t="s">
        <v>121</v>
      </c>
      <c r="I324" s="29"/>
      <c r="J324" s="231"/>
      <c r="K324" s="231"/>
      <c r="L324" s="231"/>
      <c r="M324" s="231"/>
      <c r="N324" s="231"/>
      <c r="O324" s="231"/>
      <c r="P324" s="231"/>
      <c r="Q324" s="231"/>
      <c r="R324" s="231"/>
      <c r="S324" s="231"/>
      <c r="T324" s="231"/>
      <c r="U324" s="231"/>
      <c r="V324" s="231"/>
      <c r="W324" s="231"/>
      <c r="X324" s="231"/>
      <c r="Y324" s="231"/>
      <c r="Z324" s="231"/>
      <c r="AA324" s="231"/>
      <c r="AB324" s="231"/>
      <c r="AC324" s="231"/>
      <c r="AD324" s="231"/>
      <c r="AE324" s="231"/>
      <c r="AF324" s="231"/>
      <c r="AG324" s="231"/>
      <c r="AH324" s="231"/>
      <c r="AI324" s="231"/>
      <c r="AJ324" s="231"/>
      <c r="AK324" s="231"/>
      <c r="AL324" s="231"/>
      <c r="AM324" s="231"/>
    </row>
    <row r="325" spans="1:39" s="203" customFormat="1" ht="13.5" thickBot="1">
      <c r="A325" s="815">
        <v>1</v>
      </c>
      <c r="B325" s="116" t="s">
        <v>242</v>
      </c>
      <c r="C325" s="193">
        <f t="shared" ref="C325:H325" si="0">SUM(C326:C329)</f>
        <v>9957</v>
      </c>
      <c r="D325" s="193">
        <f t="shared" si="0"/>
        <v>356</v>
      </c>
      <c r="E325" s="193">
        <v>7019</v>
      </c>
      <c r="F325" s="193">
        <f t="shared" si="0"/>
        <v>0</v>
      </c>
      <c r="G325" s="193">
        <f>SUM(G326:G329)</f>
        <v>0</v>
      </c>
      <c r="H325" s="193">
        <f t="shared" si="0"/>
        <v>0</v>
      </c>
      <c r="I325" s="207"/>
      <c r="J325" s="231"/>
      <c r="K325" s="231"/>
      <c r="L325" s="231"/>
      <c r="M325" s="231"/>
      <c r="N325" s="231"/>
      <c r="O325" s="231"/>
      <c r="P325" s="231"/>
      <c r="Q325" s="231"/>
      <c r="R325" s="231"/>
      <c r="S325" s="231"/>
      <c r="T325" s="231"/>
      <c r="U325" s="231"/>
      <c r="V325" s="231"/>
      <c r="W325" s="231"/>
      <c r="X325" s="231"/>
      <c r="Y325" s="231"/>
      <c r="Z325" s="231"/>
      <c r="AA325" s="231"/>
      <c r="AB325" s="231"/>
      <c r="AC325" s="231"/>
      <c r="AD325" s="231"/>
      <c r="AE325" s="231"/>
      <c r="AF325" s="231"/>
      <c r="AG325" s="231"/>
      <c r="AH325" s="231"/>
      <c r="AI325" s="231"/>
      <c r="AJ325" s="231"/>
      <c r="AK325" s="231"/>
      <c r="AL325" s="231"/>
      <c r="AM325" s="231"/>
    </row>
    <row r="326" spans="1:39" s="203" customFormat="1">
      <c r="A326" s="815">
        <v>2</v>
      </c>
      <c r="B326" s="47" t="s">
        <v>243</v>
      </c>
      <c r="C326" s="169">
        <f>(6237+3330+390)-C327-C328-C329</f>
        <v>2360</v>
      </c>
      <c r="D326" s="169">
        <f>356-D327-D328-D329</f>
        <v>40</v>
      </c>
      <c r="E326" s="169">
        <v>766</v>
      </c>
      <c r="F326" s="169">
        <v>0</v>
      </c>
      <c r="G326" s="169">
        <v>0</v>
      </c>
      <c r="H326" s="169">
        <v>0</v>
      </c>
      <c r="I326" s="207"/>
      <c r="J326" s="231"/>
      <c r="K326" s="231"/>
      <c r="L326" s="231"/>
      <c r="M326" s="231"/>
      <c r="N326" s="231"/>
      <c r="O326" s="231"/>
      <c r="P326" s="231"/>
      <c r="Q326" s="231"/>
      <c r="R326" s="231"/>
      <c r="S326" s="231"/>
      <c r="T326" s="231"/>
      <c r="U326" s="231"/>
      <c r="V326" s="231"/>
      <c r="W326" s="231"/>
      <c r="X326" s="231"/>
      <c r="Y326" s="231"/>
      <c r="Z326" s="231"/>
      <c r="AA326" s="231"/>
      <c r="AB326" s="231"/>
      <c r="AC326" s="231"/>
      <c r="AD326" s="231"/>
      <c r="AE326" s="231"/>
      <c r="AF326" s="231"/>
      <c r="AG326" s="231"/>
      <c r="AH326" s="231"/>
      <c r="AI326" s="231"/>
      <c r="AJ326" s="231"/>
      <c r="AK326" s="231"/>
      <c r="AL326" s="231"/>
      <c r="AM326" s="231"/>
    </row>
    <row r="327" spans="1:39" s="203" customFormat="1">
      <c r="A327" s="815">
        <v>3</v>
      </c>
      <c r="B327" s="47" t="s">
        <v>244</v>
      </c>
      <c r="C327" s="99">
        <f>(2850+144)+(2159+19)+(228+0)</f>
        <v>5400</v>
      </c>
      <c r="D327" s="99">
        <f>115+67</f>
        <v>182</v>
      </c>
      <c r="E327" s="99">
        <v>4634</v>
      </c>
      <c r="F327" s="99">
        <v>0</v>
      </c>
      <c r="G327" s="99">
        <v>0</v>
      </c>
      <c r="H327" s="99">
        <v>0</v>
      </c>
      <c r="I327" s="207"/>
      <c r="J327" s="231"/>
      <c r="K327" s="231"/>
      <c r="L327" s="231"/>
      <c r="M327" s="231"/>
      <c r="N327" s="231"/>
      <c r="O327" s="231"/>
      <c r="P327" s="231"/>
      <c r="Q327" s="231"/>
      <c r="R327" s="231"/>
      <c r="S327" s="231"/>
      <c r="T327" s="231"/>
      <c r="U327" s="231"/>
      <c r="V327" s="231"/>
      <c r="W327" s="231"/>
      <c r="X327" s="231"/>
      <c r="Y327" s="231"/>
      <c r="Z327" s="231"/>
      <c r="AA327" s="231"/>
      <c r="AB327" s="231"/>
      <c r="AC327" s="231"/>
      <c r="AD327" s="231"/>
      <c r="AE327" s="231"/>
      <c r="AF327" s="231"/>
      <c r="AG327" s="231"/>
      <c r="AH327" s="231"/>
      <c r="AI327" s="231"/>
      <c r="AJ327" s="231"/>
      <c r="AK327" s="231"/>
      <c r="AL327" s="231"/>
      <c r="AM327" s="231"/>
    </row>
    <row r="328" spans="1:39" s="203" customFormat="1">
      <c r="A328" s="815">
        <v>4</v>
      </c>
      <c r="B328" s="47" t="s">
        <v>245</v>
      </c>
      <c r="C328" s="99">
        <f>659+773+77</f>
        <v>1509</v>
      </c>
      <c r="D328" s="99">
        <v>31</v>
      </c>
      <c r="E328" s="99">
        <v>1619</v>
      </c>
      <c r="F328" s="99">
        <v>0</v>
      </c>
      <c r="G328" s="99">
        <v>0</v>
      </c>
      <c r="H328" s="99">
        <v>0</v>
      </c>
      <c r="I328" s="207"/>
      <c r="J328" s="231"/>
      <c r="K328" s="231"/>
      <c r="L328" s="231"/>
      <c r="M328" s="231"/>
      <c r="N328" s="231"/>
      <c r="O328" s="231"/>
      <c r="P328" s="231"/>
      <c r="Q328" s="231"/>
      <c r="R328" s="231"/>
      <c r="S328" s="231"/>
      <c r="T328" s="231"/>
      <c r="U328" s="231"/>
      <c r="V328" s="231"/>
      <c r="W328" s="231"/>
      <c r="X328" s="231"/>
      <c r="Y328" s="231"/>
      <c r="Z328" s="231"/>
      <c r="AA328" s="231"/>
      <c r="AB328" s="231"/>
      <c r="AC328" s="231"/>
      <c r="AD328" s="231"/>
      <c r="AE328" s="231"/>
      <c r="AF328" s="231"/>
      <c r="AG328" s="231"/>
      <c r="AH328" s="231"/>
      <c r="AI328" s="231"/>
      <c r="AJ328" s="231"/>
      <c r="AK328" s="231"/>
      <c r="AL328" s="231"/>
      <c r="AM328" s="231"/>
    </row>
    <row r="329" spans="1:39" s="203" customFormat="1">
      <c r="A329" s="816">
        <v>5</v>
      </c>
      <c r="B329" s="54" t="s">
        <v>246</v>
      </c>
      <c r="C329" s="100">
        <v>688</v>
      </c>
      <c r="D329" s="100">
        <v>103</v>
      </c>
      <c r="E329" s="100">
        <v>0</v>
      </c>
      <c r="F329" s="100">
        <v>0</v>
      </c>
      <c r="G329" s="100">
        <v>0</v>
      </c>
      <c r="H329" s="100">
        <v>0</v>
      </c>
      <c r="I329" s="207"/>
      <c r="J329" s="231"/>
      <c r="K329" s="231"/>
      <c r="L329" s="231"/>
      <c r="M329" s="231"/>
      <c r="N329" s="231"/>
      <c r="O329" s="231"/>
      <c r="P329" s="231"/>
      <c r="Q329" s="231"/>
      <c r="R329" s="231"/>
      <c r="S329" s="231"/>
      <c r="T329" s="231"/>
      <c r="U329" s="231"/>
      <c r="V329" s="231"/>
      <c r="W329" s="231"/>
      <c r="X329" s="231"/>
      <c r="Y329" s="231"/>
      <c r="Z329" s="231"/>
      <c r="AA329" s="231"/>
      <c r="AB329" s="231"/>
      <c r="AC329" s="231"/>
      <c r="AD329" s="231"/>
      <c r="AE329" s="231"/>
      <c r="AF329" s="231"/>
      <c r="AG329" s="231"/>
      <c r="AH329" s="231"/>
      <c r="AI329" s="231"/>
      <c r="AJ329" s="231"/>
      <c r="AK329" s="231"/>
      <c r="AL329" s="231"/>
      <c r="AM329" s="231"/>
    </row>
    <row r="330" spans="1:39" s="203" customFormat="1">
      <c r="A330" s="815"/>
      <c r="B330" s="47"/>
      <c r="C330" s="864" t="s">
        <v>404</v>
      </c>
      <c r="D330" s="865"/>
      <c r="E330" s="865"/>
      <c r="F330" s="865"/>
      <c r="G330" s="865"/>
      <c r="H330" s="866"/>
      <c r="I330" s="207"/>
      <c r="J330" s="231"/>
      <c r="K330" s="231"/>
      <c r="L330" s="231"/>
      <c r="M330" s="231"/>
      <c r="N330" s="231"/>
      <c r="O330" s="231"/>
      <c r="P330" s="231"/>
      <c r="Q330" s="231"/>
      <c r="R330" s="231"/>
      <c r="S330" s="231"/>
      <c r="T330" s="231"/>
      <c r="U330" s="231"/>
      <c r="V330" s="231"/>
      <c r="W330" s="231"/>
      <c r="X330" s="231"/>
      <c r="Y330" s="231"/>
      <c r="Z330" s="231"/>
      <c r="AA330" s="231"/>
      <c r="AB330" s="231"/>
      <c r="AC330" s="231"/>
      <c r="AD330" s="231"/>
      <c r="AE330" s="231"/>
      <c r="AF330" s="231"/>
      <c r="AG330" s="231"/>
      <c r="AH330" s="231"/>
      <c r="AI330" s="231"/>
      <c r="AJ330" s="231"/>
      <c r="AK330" s="231"/>
      <c r="AL330" s="231"/>
      <c r="AM330" s="231"/>
    </row>
    <row r="331" spans="1:39" s="203" customFormat="1" ht="39" thickBot="1">
      <c r="A331" s="110" t="s">
        <v>84</v>
      </c>
      <c r="B331" s="116"/>
      <c r="C331" s="35" t="s">
        <v>52</v>
      </c>
      <c r="D331" s="35" t="s">
        <v>53</v>
      </c>
      <c r="E331" s="37" t="s">
        <v>54</v>
      </c>
      <c r="F331" s="37" t="s">
        <v>55</v>
      </c>
      <c r="G331" s="37" t="s">
        <v>241</v>
      </c>
      <c r="H331" s="35" t="s">
        <v>121</v>
      </c>
      <c r="I331" s="207"/>
      <c r="J331" s="231"/>
      <c r="K331" s="231"/>
      <c r="L331" s="231"/>
      <c r="M331" s="231"/>
      <c r="N331" s="231"/>
      <c r="O331" s="231"/>
      <c r="P331" s="231"/>
      <c r="Q331" s="231"/>
      <c r="R331" s="231"/>
      <c r="S331" s="231"/>
      <c r="T331" s="231"/>
      <c r="U331" s="231"/>
      <c r="V331" s="231"/>
      <c r="W331" s="231"/>
      <c r="X331" s="231"/>
      <c r="Y331" s="231"/>
      <c r="Z331" s="231"/>
      <c r="AA331" s="231"/>
      <c r="AB331" s="231"/>
      <c r="AC331" s="231"/>
      <c r="AD331" s="231"/>
      <c r="AE331" s="231"/>
      <c r="AF331" s="231"/>
      <c r="AG331" s="231"/>
      <c r="AH331" s="231"/>
      <c r="AI331" s="231"/>
      <c r="AJ331" s="231"/>
      <c r="AK331" s="231"/>
      <c r="AL331" s="231"/>
      <c r="AM331" s="231"/>
    </row>
    <row r="332" spans="1:39" s="203" customFormat="1" ht="13.5" thickBot="1">
      <c r="A332" s="815">
        <v>1</v>
      </c>
      <c r="B332" s="116" t="s">
        <v>242</v>
      </c>
      <c r="C332" s="193">
        <f t="shared" ref="C332:H332" si="1">SUM(C333:C336)</f>
        <v>11065</v>
      </c>
      <c r="D332" s="193">
        <f t="shared" si="1"/>
        <v>362</v>
      </c>
      <c r="E332" s="193">
        <v>7179</v>
      </c>
      <c r="F332" s="193">
        <f t="shared" si="1"/>
        <v>0</v>
      </c>
      <c r="G332" s="193">
        <f>SUM(G333:G336)</f>
        <v>0</v>
      </c>
      <c r="H332" s="193">
        <f t="shared" si="1"/>
        <v>0</v>
      </c>
      <c r="I332" s="207"/>
      <c r="J332" s="231"/>
      <c r="K332" s="231"/>
      <c r="L332" s="231"/>
      <c r="M332" s="231"/>
      <c r="N332" s="231"/>
      <c r="O332" s="231"/>
      <c r="P332" s="231"/>
      <c r="Q332" s="231"/>
      <c r="R332" s="231"/>
      <c r="S332" s="231"/>
      <c r="T332" s="231"/>
      <c r="U332" s="231"/>
      <c r="V332" s="231"/>
      <c r="W332" s="231"/>
      <c r="X332" s="231"/>
      <c r="Y332" s="231"/>
      <c r="Z332" s="231"/>
      <c r="AA332" s="231"/>
      <c r="AB332" s="231"/>
      <c r="AC332" s="231"/>
      <c r="AD332" s="231"/>
      <c r="AE332" s="231"/>
      <c r="AF332" s="231"/>
      <c r="AG332" s="231"/>
      <c r="AH332" s="231"/>
      <c r="AI332" s="231"/>
      <c r="AJ332" s="231"/>
      <c r="AK332" s="231"/>
      <c r="AL332" s="231"/>
      <c r="AM332" s="231"/>
    </row>
    <row r="333" spans="1:39" s="203" customFormat="1">
      <c r="A333" s="815">
        <v>2</v>
      </c>
      <c r="B333" s="47" t="s">
        <v>243</v>
      </c>
      <c r="C333" s="169">
        <f>(6337+3345+1383)-C334-C335-C336</f>
        <v>3134</v>
      </c>
      <c r="D333" s="169">
        <f>362-D334-D335-D336</f>
        <v>38</v>
      </c>
      <c r="E333" s="169">
        <v>758</v>
      </c>
      <c r="F333" s="169">
        <v>0</v>
      </c>
      <c r="G333" s="169">
        <v>0</v>
      </c>
      <c r="H333" s="169">
        <v>0</v>
      </c>
      <c r="I333" s="207"/>
      <c r="J333" s="231"/>
      <c r="K333" s="231"/>
      <c r="L333" s="231"/>
      <c r="M333" s="231"/>
      <c r="N333" s="231"/>
      <c r="O333" s="231"/>
      <c r="P333" s="231"/>
      <c r="Q333" s="231"/>
      <c r="R333" s="231"/>
      <c r="S333" s="231"/>
      <c r="T333" s="231"/>
      <c r="U333" s="231"/>
      <c r="V333" s="231"/>
      <c r="W333" s="231"/>
      <c r="X333" s="231"/>
      <c r="Y333" s="231"/>
      <c r="Z333" s="231"/>
      <c r="AA333" s="231"/>
      <c r="AB333" s="231"/>
      <c r="AC333" s="231"/>
      <c r="AD333" s="231"/>
      <c r="AE333" s="231"/>
      <c r="AF333" s="231"/>
      <c r="AG333" s="231"/>
      <c r="AH333" s="231"/>
      <c r="AI333" s="231"/>
      <c r="AJ333" s="231"/>
      <c r="AK333" s="231"/>
      <c r="AL333" s="231"/>
      <c r="AM333" s="231"/>
    </row>
    <row r="334" spans="1:39" s="203" customFormat="1">
      <c r="A334" s="815">
        <v>3</v>
      </c>
      <c r="B334" s="47" t="s">
        <v>244</v>
      </c>
      <c r="C334" s="99">
        <f>(2798+155)+(2107+27)+(821+0)</f>
        <v>5908</v>
      </c>
      <c r="D334" s="99">
        <f>112+72</f>
        <v>184</v>
      </c>
      <c r="E334" s="99">
        <v>4238</v>
      </c>
      <c r="F334" s="99">
        <v>0</v>
      </c>
      <c r="G334" s="99">
        <v>0</v>
      </c>
      <c r="H334" s="99">
        <v>0</v>
      </c>
      <c r="I334" s="207"/>
      <c r="J334" s="231"/>
      <c r="K334" s="231"/>
      <c r="L334" s="231"/>
      <c r="M334" s="231"/>
      <c r="N334" s="231"/>
      <c r="O334" s="231"/>
      <c r="P334" s="231"/>
      <c r="Q334" s="231"/>
      <c r="R334" s="231"/>
      <c r="S334" s="231"/>
      <c r="T334" s="231"/>
      <c r="U334" s="231"/>
      <c r="V334" s="231"/>
      <c r="W334" s="231"/>
      <c r="X334" s="231"/>
      <c r="Y334" s="231"/>
      <c r="Z334" s="231"/>
      <c r="AA334" s="231"/>
      <c r="AB334" s="231"/>
      <c r="AC334" s="231"/>
      <c r="AD334" s="231"/>
      <c r="AE334" s="231"/>
      <c r="AF334" s="231"/>
      <c r="AG334" s="231"/>
      <c r="AH334" s="231"/>
      <c r="AI334" s="231"/>
      <c r="AJ334" s="231"/>
      <c r="AK334" s="231"/>
      <c r="AL334" s="231"/>
      <c r="AM334" s="231"/>
    </row>
    <row r="335" spans="1:39" s="203" customFormat="1">
      <c r="A335" s="815">
        <v>4</v>
      </c>
      <c r="B335" s="47" t="s">
        <v>245</v>
      </c>
      <c r="C335" s="99">
        <f>729+823+178</f>
        <v>1730</v>
      </c>
      <c r="D335" s="99">
        <v>34</v>
      </c>
      <c r="E335" s="99">
        <v>749</v>
      </c>
      <c r="F335" s="99">
        <v>0</v>
      </c>
      <c r="G335" s="99">
        <v>0</v>
      </c>
      <c r="H335" s="99">
        <v>0</v>
      </c>
      <c r="I335" s="207"/>
      <c r="J335" s="231"/>
      <c r="K335" s="231"/>
      <c r="L335" s="231"/>
      <c r="M335" s="231"/>
      <c r="N335" s="231"/>
      <c r="O335" s="231"/>
      <c r="P335" s="231"/>
      <c r="Q335" s="231"/>
      <c r="R335" s="231"/>
      <c r="S335" s="231"/>
      <c r="T335" s="231"/>
      <c r="U335" s="231"/>
      <c r="V335" s="231"/>
      <c r="W335" s="231"/>
      <c r="X335" s="231"/>
      <c r="Y335" s="231"/>
      <c r="Z335" s="231"/>
      <c r="AA335" s="231"/>
      <c r="AB335" s="231"/>
      <c r="AC335" s="231"/>
      <c r="AD335" s="231"/>
      <c r="AE335" s="231"/>
      <c r="AF335" s="231"/>
      <c r="AG335" s="231"/>
      <c r="AH335" s="231"/>
      <c r="AI335" s="231"/>
      <c r="AJ335" s="231"/>
      <c r="AK335" s="231"/>
      <c r="AL335" s="231"/>
      <c r="AM335" s="231"/>
    </row>
    <row r="336" spans="1:39" s="203" customFormat="1">
      <c r="A336" s="816">
        <v>5</v>
      </c>
      <c r="B336" s="54" t="s">
        <v>246</v>
      </c>
      <c r="C336" s="100">
        <v>293</v>
      </c>
      <c r="D336" s="100">
        <v>106</v>
      </c>
      <c r="E336" s="100">
        <v>1434</v>
      </c>
      <c r="F336" s="100">
        <v>0</v>
      </c>
      <c r="G336" s="100">
        <v>0</v>
      </c>
      <c r="H336" s="100">
        <v>0</v>
      </c>
      <c r="I336" s="207"/>
      <c r="J336" s="231"/>
      <c r="K336" s="231"/>
      <c r="L336" s="231"/>
      <c r="M336" s="231"/>
      <c r="N336" s="231"/>
      <c r="O336" s="231"/>
      <c r="P336" s="231"/>
      <c r="Q336" s="231"/>
      <c r="R336" s="231"/>
      <c r="S336" s="231"/>
      <c r="T336" s="231"/>
      <c r="U336" s="231"/>
      <c r="V336" s="231"/>
      <c r="W336" s="231"/>
      <c r="X336" s="231"/>
      <c r="Y336" s="231"/>
      <c r="Z336" s="231"/>
      <c r="AA336" s="231"/>
      <c r="AB336" s="231"/>
      <c r="AC336" s="231"/>
      <c r="AD336" s="231"/>
      <c r="AE336" s="231"/>
      <c r="AF336" s="231"/>
      <c r="AG336" s="231"/>
      <c r="AH336" s="231"/>
      <c r="AI336" s="231"/>
      <c r="AJ336" s="231"/>
      <c r="AK336" s="231"/>
      <c r="AL336" s="231"/>
      <c r="AM336" s="231"/>
    </row>
    <row r="337" spans="1:39" s="203" customFormat="1">
      <c r="A337" s="23"/>
      <c r="B337" s="207"/>
      <c r="C337" s="207"/>
      <c r="D337" s="207"/>
      <c r="E337" s="207"/>
      <c r="F337" s="207"/>
      <c r="G337" s="207"/>
      <c r="H337" s="21"/>
      <c r="I337" s="21"/>
      <c r="J337" s="231"/>
      <c r="K337" s="231"/>
      <c r="L337" s="231"/>
      <c r="M337" s="231"/>
      <c r="N337" s="231"/>
      <c r="O337" s="231"/>
      <c r="P337" s="231"/>
      <c r="Q337" s="231"/>
      <c r="R337" s="231"/>
      <c r="S337" s="231"/>
      <c r="T337" s="231"/>
      <c r="U337" s="231"/>
      <c r="V337" s="231"/>
      <c r="W337" s="231"/>
      <c r="X337" s="231"/>
      <c r="Y337" s="231"/>
      <c r="Z337" s="231"/>
      <c r="AA337" s="231"/>
      <c r="AB337" s="231"/>
      <c r="AC337" s="231"/>
      <c r="AD337" s="231"/>
      <c r="AE337" s="231"/>
      <c r="AF337" s="231"/>
      <c r="AG337" s="231"/>
      <c r="AH337" s="231"/>
      <c r="AI337" s="231"/>
      <c r="AJ337" s="231"/>
      <c r="AK337" s="231"/>
      <c r="AL337" s="231"/>
      <c r="AM337" s="231"/>
    </row>
    <row r="338" spans="1:39" s="203" customFormat="1" ht="12.75" customHeight="1">
      <c r="A338" s="23"/>
      <c r="B338" s="207"/>
      <c r="C338" s="207"/>
      <c r="D338" s="207"/>
      <c r="E338" s="207"/>
      <c r="F338" s="207"/>
      <c r="G338" s="207"/>
      <c r="H338" s="21"/>
      <c r="I338" s="21"/>
      <c r="J338" s="231"/>
      <c r="K338" s="231"/>
      <c r="L338" s="231"/>
      <c r="M338" s="231"/>
      <c r="N338" s="231"/>
      <c r="O338" s="231"/>
      <c r="P338" s="231"/>
      <c r="Q338" s="231"/>
      <c r="R338" s="231"/>
      <c r="S338" s="231"/>
      <c r="T338" s="231"/>
      <c r="U338" s="231"/>
      <c r="V338" s="231"/>
      <c r="W338" s="231"/>
      <c r="X338" s="231"/>
      <c r="Y338" s="231"/>
      <c r="Z338" s="231"/>
      <c r="AA338" s="231"/>
      <c r="AB338" s="231"/>
      <c r="AC338" s="231"/>
      <c r="AD338" s="231"/>
      <c r="AE338" s="231"/>
      <c r="AF338" s="231"/>
      <c r="AG338" s="231"/>
      <c r="AH338" s="231"/>
      <c r="AI338" s="231"/>
      <c r="AJ338" s="231"/>
      <c r="AK338" s="231"/>
      <c r="AL338" s="231"/>
      <c r="AM338" s="231"/>
    </row>
    <row r="339" spans="1:39" s="203" customFormat="1">
      <c r="A339" s="23"/>
      <c r="B339" s="207"/>
      <c r="C339" s="207"/>
      <c r="D339" s="207"/>
      <c r="E339" s="207"/>
      <c r="F339" s="207"/>
      <c r="G339" s="207"/>
      <c r="H339" s="21"/>
      <c r="I339" s="21"/>
      <c r="J339" s="231"/>
      <c r="K339" s="231"/>
      <c r="L339" s="231"/>
      <c r="M339" s="231"/>
      <c r="N339" s="231"/>
      <c r="O339" s="231"/>
      <c r="P339" s="231"/>
      <c r="Q339" s="231"/>
      <c r="R339" s="231"/>
      <c r="S339" s="231"/>
      <c r="T339" s="231"/>
      <c r="U339" s="231"/>
      <c r="V339" s="231"/>
      <c r="W339" s="231"/>
      <c r="X339" s="231"/>
      <c r="Y339" s="231"/>
      <c r="Z339" s="231"/>
      <c r="AA339" s="231"/>
      <c r="AB339" s="231"/>
      <c r="AC339" s="231"/>
      <c r="AD339" s="231"/>
      <c r="AE339" s="231"/>
      <c r="AF339" s="231"/>
      <c r="AG339" s="231"/>
      <c r="AH339" s="231"/>
      <c r="AI339" s="231"/>
      <c r="AJ339" s="231"/>
      <c r="AK339" s="231"/>
      <c r="AL339" s="231"/>
      <c r="AM339" s="231"/>
    </row>
    <row r="340" spans="1:39" s="203" customFormat="1">
      <c r="A340" s="23"/>
      <c r="B340" s="207"/>
      <c r="C340" s="207"/>
      <c r="D340" s="207"/>
      <c r="E340" s="207"/>
      <c r="F340" s="207"/>
      <c r="G340" s="207"/>
      <c r="H340" s="131" t="s">
        <v>27</v>
      </c>
      <c r="I340" s="21"/>
      <c r="J340" s="231"/>
      <c r="K340" s="231"/>
      <c r="L340" s="231"/>
      <c r="M340" s="231"/>
      <c r="N340" s="231"/>
      <c r="O340" s="231"/>
      <c r="P340" s="231"/>
      <c r="Q340" s="231"/>
      <c r="R340" s="231"/>
      <c r="S340" s="231"/>
      <c r="T340" s="231"/>
      <c r="U340" s="231"/>
      <c r="V340" s="231"/>
      <c r="W340" s="231"/>
      <c r="X340" s="231"/>
      <c r="Y340" s="231"/>
      <c r="Z340" s="231"/>
      <c r="AA340" s="231"/>
      <c r="AB340" s="231"/>
      <c r="AC340" s="231"/>
      <c r="AD340" s="231"/>
      <c r="AE340" s="231"/>
      <c r="AF340" s="231"/>
      <c r="AG340" s="231"/>
      <c r="AH340" s="231"/>
      <c r="AI340" s="231"/>
      <c r="AJ340" s="231"/>
      <c r="AK340" s="231"/>
      <c r="AL340" s="231"/>
      <c r="AM340" s="231"/>
    </row>
    <row r="341" spans="1:39" s="203" customFormat="1">
      <c r="A341" s="197"/>
      <c r="B341" s="69"/>
      <c r="C341" s="69"/>
      <c r="D341" s="69"/>
      <c r="E341" s="856" t="s">
        <v>377</v>
      </c>
      <c r="F341" s="853" t="s">
        <v>402</v>
      </c>
      <c r="G341" s="207"/>
      <c r="H341" s="856" t="s">
        <v>403</v>
      </c>
      <c r="I341" s="21"/>
      <c r="J341" s="231"/>
      <c r="K341" s="231"/>
      <c r="L341" s="231"/>
      <c r="M341" s="231"/>
      <c r="N341" s="231"/>
      <c r="O341" s="231"/>
      <c r="P341" s="231"/>
      <c r="Q341" s="231"/>
      <c r="R341" s="231"/>
      <c r="S341" s="231"/>
      <c r="T341" s="231"/>
      <c r="U341" s="231"/>
      <c r="V341" s="231"/>
      <c r="W341" s="231"/>
      <c r="X341" s="231"/>
      <c r="Y341" s="231"/>
      <c r="Z341" s="231"/>
      <c r="AA341" s="231"/>
      <c r="AB341" s="231"/>
      <c r="AC341" s="231"/>
      <c r="AD341" s="231"/>
      <c r="AE341" s="231"/>
      <c r="AF341" s="231"/>
      <c r="AG341" s="231"/>
      <c r="AH341" s="231"/>
      <c r="AI341" s="231"/>
      <c r="AJ341" s="231"/>
      <c r="AK341" s="231"/>
      <c r="AL341" s="231"/>
      <c r="AM341" s="231"/>
    </row>
    <row r="342" spans="1:39" s="203" customFormat="1">
      <c r="A342" s="144" t="s">
        <v>261</v>
      </c>
      <c r="B342" s="116"/>
      <c r="C342" s="116"/>
      <c r="D342" s="116"/>
      <c r="E342" s="859"/>
      <c r="F342" s="854"/>
      <c r="G342" s="207"/>
      <c r="H342" s="857"/>
      <c r="I342" s="21"/>
      <c r="J342" s="231"/>
      <c r="K342" s="231"/>
      <c r="L342" s="231"/>
      <c r="M342" s="231"/>
      <c r="N342" s="231"/>
      <c r="O342" s="231"/>
      <c r="P342" s="231"/>
      <c r="Q342" s="231"/>
      <c r="R342" s="231"/>
      <c r="S342" s="231"/>
      <c r="T342" s="231"/>
      <c r="U342" s="231"/>
      <c r="V342" s="231"/>
      <c r="W342" s="231"/>
      <c r="X342" s="231"/>
      <c r="Y342" s="231"/>
      <c r="Z342" s="231"/>
      <c r="AA342" s="231"/>
      <c r="AB342" s="231"/>
      <c r="AC342" s="231"/>
      <c r="AD342" s="231"/>
      <c r="AE342" s="231"/>
      <c r="AF342" s="231"/>
      <c r="AG342" s="231"/>
      <c r="AH342" s="231"/>
      <c r="AI342" s="231"/>
      <c r="AJ342" s="231"/>
      <c r="AK342" s="231"/>
      <c r="AL342" s="231"/>
      <c r="AM342" s="231"/>
    </row>
    <row r="343" spans="1:39" s="203" customFormat="1">
      <c r="A343" s="119"/>
      <c r="B343" s="116"/>
      <c r="C343" s="116"/>
      <c r="D343" s="116"/>
      <c r="E343" s="859"/>
      <c r="F343" s="854"/>
      <c r="G343" s="207"/>
      <c r="H343" s="857"/>
      <c r="I343" s="21"/>
      <c r="J343" s="231"/>
      <c r="K343" s="231"/>
      <c r="L343" s="231"/>
      <c r="M343" s="231"/>
      <c r="N343" s="231"/>
      <c r="O343" s="231"/>
      <c r="P343" s="231"/>
      <c r="Q343" s="231"/>
      <c r="R343" s="231"/>
      <c r="S343" s="231"/>
      <c r="T343" s="231"/>
      <c r="U343" s="231"/>
      <c r="V343" s="231"/>
      <c r="W343" s="231"/>
      <c r="X343" s="231"/>
      <c r="Y343" s="231"/>
      <c r="Z343" s="231"/>
      <c r="AA343" s="231"/>
      <c r="AB343" s="231"/>
      <c r="AC343" s="231"/>
      <c r="AD343" s="231"/>
      <c r="AE343" s="231"/>
      <c r="AF343" s="231"/>
      <c r="AG343" s="231"/>
      <c r="AH343" s="231"/>
      <c r="AI343" s="231"/>
      <c r="AJ343" s="231"/>
      <c r="AK343" s="231"/>
      <c r="AL343" s="231"/>
      <c r="AM343" s="231"/>
    </row>
    <row r="344" spans="1:39" s="203" customFormat="1">
      <c r="A344" s="198" t="s">
        <v>262</v>
      </c>
      <c r="B344" s="116"/>
      <c r="C344" s="116"/>
      <c r="D344" s="116"/>
      <c r="E344" s="859"/>
      <c r="F344" s="854"/>
      <c r="G344" s="207"/>
      <c r="H344" s="857"/>
      <c r="I344" s="21"/>
      <c r="J344" s="231"/>
      <c r="K344" s="231"/>
      <c r="L344" s="231"/>
      <c r="M344" s="231"/>
      <c r="N344" s="231"/>
      <c r="O344" s="231"/>
      <c r="P344" s="231"/>
      <c r="Q344" s="231"/>
      <c r="R344" s="231"/>
      <c r="S344" s="231"/>
      <c r="T344" s="231"/>
      <c r="U344" s="231"/>
      <c r="V344" s="231"/>
      <c r="W344" s="231"/>
      <c r="X344" s="231"/>
      <c r="Y344" s="231"/>
      <c r="Z344" s="231"/>
      <c r="AA344" s="231"/>
      <c r="AB344" s="231"/>
      <c r="AC344" s="231"/>
      <c r="AD344" s="231"/>
      <c r="AE344" s="231"/>
      <c r="AF344" s="231"/>
      <c r="AG344" s="231"/>
      <c r="AH344" s="231"/>
      <c r="AI344" s="231"/>
      <c r="AJ344" s="231"/>
      <c r="AK344" s="231"/>
      <c r="AL344" s="231"/>
      <c r="AM344" s="231"/>
    </row>
    <row r="345" spans="1:39" s="203" customFormat="1">
      <c r="A345" s="198" t="s">
        <v>330</v>
      </c>
      <c r="B345" s="116"/>
      <c r="C345" s="116"/>
      <c r="D345" s="116"/>
      <c r="E345" s="860"/>
      <c r="F345" s="855"/>
      <c r="G345" s="207"/>
      <c r="H345" s="858"/>
      <c r="I345" s="21"/>
      <c r="J345" s="231"/>
      <c r="K345" s="231"/>
      <c r="L345" s="231"/>
      <c r="M345" s="231"/>
      <c r="N345" s="231"/>
      <c r="O345" s="231"/>
      <c r="P345" s="231"/>
      <c r="Q345" s="231"/>
      <c r="R345" s="231"/>
      <c r="S345" s="231"/>
      <c r="T345" s="231"/>
      <c r="U345" s="231"/>
      <c r="V345" s="231"/>
      <c r="W345" s="231"/>
      <c r="X345" s="231"/>
      <c r="Y345" s="231"/>
      <c r="Z345" s="231"/>
      <c r="AA345" s="231"/>
      <c r="AB345" s="231"/>
      <c r="AC345" s="231"/>
      <c r="AD345" s="231"/>
      <c r="AE345" s="231"/>
      <c r="AF345" s="231"/>
      <c r="AG345" s="231"/>
      <c r="AH345" s="231"/>
      <c r="AI345" s="231"/>
      <c r="AJ345" s="231"/>
      <c r="AK345" s="231"/>
      <c r="AL345" s="231"/>
      <c r="AM345" s="231"/>
    </row>
    <row r="346" spans="1:39" s="203" customFormat="1">
      <c r="A346" s="119"/>
      <c r="B346" s="47"/>
      <c r="C346" s="116"/>
      <c r="D346" s="116"/>
      <c r="E346" s="178"/>
      <c r="F346" s="146"/>
      <c r="G346" s="23"/>
      <c r="H346" s="264"/>
      <c r="I346" s="21"/>
      <c r="J346" s="231"/>
      <c r="K346" s="231"/>
      <c r="L346" s="231"/>
      <c r="M346" s="231"/>
      <c r="N346" s="231"/>
      <c r="O346" s="231"/>
      <c r="P346" s="231"/>
      <c r="Q346" s="231"/>
      <c r="R346" s="231"/>
      <c r="S346" s="231"/>
      <c r="T346" s="231"/>
      <c r="U346" s="231"/>
      <c r="V346" s="231"/>
      <c r="W346" s="231"/>
      <c r="X346" s="231"/>
      <c r="Y346" s="231"/>
      <c r="Z346" s="231"/>
      <c r="AA346" s="231"/>
      <c r="AB346" s="231"/>
      <c r="AC346" s="231"/>
      <c r="AD346" s="231"/>
      <c r="AE346" s="231"/>
      <c r="AF346" s="231"/>
      <c r="AG346" s="231"/>
      <c r="AH346" s="231"/>
      <c r="AI346" s="231"/>
      <c r="AJ346" s="231"/>
      <c r="AK346" s="231"/>
      <c r="AL346" s="231"/>
      <c r="AM346" s="231"/>
    </row>
    <row r="347" spans="1:39" s="203" customFormat="1">
      <c r="A347" s="815">
        <v>1</v>
      </c>
      <c r="B347" s="47" t="s">
        <v>263</v>
      </c>
      <c r="C347" s="116"/>
      <c r="D347" s="116"/>
      <c r="E347" s="354">
        <v>5490</v>
      </c>
      <c r="F347" s="265">
        <v>5490</v>
      </c>
      <c r="G347" s="43"/>
      <c r="H347" s="126">
        <v>5490</v>
      </c>
      <c r="I347" s="86"/>
      <c r="J347" s="231"/>
      <c r="K347" s="231"/>
      <c r="L347" s="231"/>
      <c r="M347" s="231"/>
      <c r="N347" s="231"/>
      <c r="O347" s="231"/>
      <c r="P347" s="231"/>
      <c r="Q347" s="231"/>
      <c r="R347" s="231"/>
      <c r="S347" s="231"/>
      <c r="T347" s="231"/>
      <c r="U347" s="231"/>
      <c r="V347" s="231"/>
      <c r="W347" s="231"/>
      <c r="X347" s="231"/>
      <c r="Y347" s="231"/>
      <c r="Z347" s="231"/>
      <c r="AA347" s="231"/>
      <c r="AB347" s="231"/>
      <c r="AC347" s="231"/>
      <c r="AD347" s="231"/>
      <c r="AE347" s="231"/>
      <c r="AF347" s="231"/>
      <c r="AG347" s="231"/>
      <c r="AH347" s="231"/>
      <c r="AI347" s="231"/>
      <c r="AJ347" s="231"/>
      <c r="AK347" s="231"/>
      <c r="AL347" s="231"/>
      <c r="AM347" s="231"/>
    </row>
    <row r="348" spans="1:39" s="203" customFormat="1">
      <c r="A348" s="815"/>
      <c r="B348" s="47"/>
      <c r="C348" s="116"/>
      <c r="D348" s="116"/>
      <c r="E348" s="355"/>
      <c r="F348" s="188"/>
      <c r="G348" s="43"/>
      <c r="H348" s="188"/>
      <c r="I348" s="86"/>
      <c r="J348" s="231"/>
      <c r="K348" s="231"/>
      <c r="L348" s="231"/>
      <c r="M348" s="231"/>
      <c r="N348" s="231"/>
      <c r="O348" s="231"/>
      <c r="P348" s="231"/>
      <c r="Q348" s="231"/>
      <c r="R348" s="231"/>
      <c r="S348" s="231"/>
      <c r="T348" s="231"/>
      <c r="U348" s="231"/>
      <c r="V348" s="231"/>
      <c r="W348" s="231"/>
      <c r="X348" s="231"/>
      <c r="Y348" s="231"/>
      <c r="Z348" s="231"/>
      <c r="AA348" s="231"/>
      <c r="AB348" s="231"/>
      <c r="AC348" s="231"/>
      <c r="AD348" s="231"/>
      <c r="AE348" s="231"/>
      <c r="AF348" s="231"/>
      <c r="AG348" s="231"/>
      <c r="AH348" s="231"/>
      <c r="AI348" s="231"/>
      <c r="AJ348" s="231"/>
      <c r="AK348" s="231"/>
      <c r="AL348" s="231"/>
      <c r="AM348" s="231"/>
    </row>
    <row r="349" spans="1:39" s="203" customFormat="1">
      <c r="A349" s="108" t="s">
        <v>378</v>
      </c>
      <c r="B349" s="47"/>
      <c r="C349" s="116"/>
      <c r="D349" s="116"/>
      <c r="E349" s="355"/>
      <c r="F349" s="188"/>
      <c r="G349" s="43"/>
      <c r="H349" s="188"/>
      <c r="I349" s="86"/>
      <c r="J349" s="231"/>
      <c r="K349" s="231"/>
      <c r="L349" s="231"/>
      <c r="M349" s="231"/>
      <c r="N349" s="231"/>
      <c r="O349" s="231"/>
      <c r="P349" s="231"/>
      <c r="Q349" s="231"/>
      <c r="R349" s="231"/>
      <c r="S349" s="231"/>
      <c r="T349" s="231"/>
      <c r="U349" s="231"/>
      <c r="V349" s="231"/>
      <c r="W349" s="231"/>
      <c r="X349" s="231"/>
      <c r="Y349" s="231"/>
      <c r="Z349" s="231"/>
      <c r="AA349" s="231"/>
      <c r="AB349" s="231"/>
      <c r="AC349" s="231"/>
      <c r="AD349" s="231"/>
      <c r="AE349" s="231"/>
      <c r="AF349" s="231"/>
      <c r="AG349" s="231"/>
      <c r="AH349" s="231"/>
      <c r="AI349" s="231"/>
      <c r="AJ349" s="231"/>
      <c r="AK349" s="231"/>
      <c r="AL349" s="231"/>
      <c r="AM349" s="231"/>
    </row>
    <row r="350" spans="1:39" s="203" customFormat="1">
      <c r="A350" s="815"/>
      <c r="B350" s="47"/>
      <c r="C350" s="116"/>
      <c r="D350" s="116"/>
      <c r="E350" s="355"/>
      <c r="F350" s="188"/>
      <c r="G350" s="43"/>
      <c r="H350" s="188"/>
      <c r="I350" s="86"/>
      <c r="J350" s="231"/>
      <c r="K350" s="231"/>
      <c r="L350" s="231"/>
      <c r="M350" s="231"/>
      <c r="N350" s="231"/>
      <c r="O350" s="231"/>
      <c r="P350" s="231"/>
      <c r="Q350" s="231"/>
      <c r="R350" s="231"/>
      <c r="S350" s="231"/>
      <c r="T350" s="231"/>
      <c r="U350" s="231"/>
      <c r="V350" s="231"/>
      <c r="W350" s="231"/>
      <c r="X350" s="231"/>
      <c r="Y350" s="231"/>
      <c r="Z350" s="231"/>
      <c r="AA350" s="231"/>
      <c r="AB350" s="231"/>
      <c r="AC350" s="231"/>
      <c r="AD350" s="231"/>
      <c r="AE350" s="231"/>
      <c r="AF350" s="231"/>
      <c r="AG350" s="231"/>
      <c r="AH350" s="231"/>
      <c r="AI350" s="231"/>
      <c r="AJ350" s="231"/>
      <c r="AK350" s="231"/>
      <c r="AL350" s="231"/>
      <c r="AM350" s="231"/>
    </row>
    <row r="351" spans="1:39" s="203" customFormat="1">
      <c r="A351" s="198" t="s">
        <v>379</v>
      </c>
      <c r="B351" s="47"/>
      <c r="C351" s="116"/>
      <c r="D351" s="116"/>
      <c r="E351" s="355"/>
      <c r="F351" s="188"/>
      <c r="G351" s="43"/>
      <c r="H351" s="188"/>
      <c r="I351" s="86"/>
      <c r="J351" s="231"/>
      <c r="K351" s="231"/>
      <c r="L351" s="231"/>
      <c r="M351" s="231"/>
      <c r="N351" s="231"/>
      <c r="O351" s="231"/>
      <c r="P351" s="231"/>
      <c r="Q351" s="231"/>
      <c r="R351" s="231"/>
      <c r="S351" s="231"/>
      <c r="T351" s="231"/>
      <c r="U351" s="231"/>
      <c r="V351" s="231"/>
      <c r="W351" s="231"/>
      <c r="X351" s="231"/>
      <c r="Y351" s="231"/>
      <c r="Z351" s="231"/>
      <c r="AA351" s="231"/>
      <c r="AB351" s="231"/>
      <c r="AC351" s="231"/>
      <c r="AD351" s="231"/>
      <c r="AE351" s="231"/>
      <c r="AF351" s="231"/>
      <c r="AG351" s="231"/>
      <c r="AH351" s="231"/>
      <c r="AI351" s="231"/>
      <c r="AJ351" s="231"/>
      <c r="AK351" s="231"/>
      <c r="AL351" s="231"/>
      <c r="AM351" s="231"/>
    </row>
    <row r="352" spans="1:39" s="203" customFormat="1">
      <c r="A352" s="815"/>
      <c r="B352" s="47"/>
      <c r="C352" s="116"/>
      <c r="D352" s="116"/>
      <c r="E352" s="355"/>
      <c r="F352" s="188"/>
      <c r="G352" s="43"/>
      <c r="H352" s="188"/>
      <c r="I352" s="86"/>
      <c r="J352" s="231"/>
      <c r="K352" s="231"/>
      <c r="L352" s="231"/>
      <c r="M352" s="231"/>
      <c r="N352" s="231"/>
      <c r="O352" s="231"/>
      <c r="P352" s="231"/>
      <c r="Q352" s="231"/>
      <c r="R352" s="231"/>
      <c r="S352" s="231"/>
      <c r="T352" s="231"/>
      <c r="U352" s="231"/>
      <c r="V352" s="231"/>
      <c r="W352" s="231"/>
      <c r="X352" s="231"/>
      <c r="Y352" s="231"/>
      <c r="Z352" s="231"/>
      <c r="AA352" s="231"/>
      <c r="AB352" s="231"/>
      <c r="AC352" s="231"/>
      <c r="AD352" s="231"/>
      <c r="AE352" s="231"/>
      <c r="AF352" s="231"/>
      <c r="AG352" s="231"/>
      <c r="AH352" s="231"/>
      <c r="AI352" s="231"/>
      <c r="AJ352" s="231"/>
      <c r="AK352" s="231"/>
      <c r="AL352" s="231"/>
      <c r="AM352" s="231"/>
    </row>
    <row r="353" spans="1:39" s="203" customFormat="1">
      <c r="A353" s="815">
        <v>2</v>
      </c>
      <c r="B353" s="47" t="s">
        <v>52</v>
      </c>
      <c r="C353" s="116"/>
      <c r="D353" s="116"/>
      <c r="E353" s="74">
        <v>0</v>
      </c>
      <c r="F353" s="265">
        <f>9+100</f>
        <v>109</v>
      </c>
      <c r="G353" s="43"/>
      <c r="H353" s="126">
        <f>12+350+396</f>
        <v>758</v>
      </c>
      <c r="I353" s="86"/>
      <c r="J353" s="231"/>
      <c r="K353" s="231"/>
      <c r="L353" s="231"/>
      <c r="M353" s="231"/>
      <c r="N353" s="231"/>
      <c r="O353" s="231"/>
      <c r="P353" s="231"/>
      <c r="Q353" s="231"/>
      <c r="R353" s="231"/>
      <c r="S353" s="231"/>
      <c r="T353" s="231"/>
      <c r="U353" s="231"/>
      <c r="V353" s="231"/>
      <c r="W353" s="231"/>
      <c r="X353" s="231"/>
      <c r="Y353" s="231"/>
      <c r="Z353" s="231"/>
      <c r="AA353" s="231"/>
      <c r="AB353" s="231"/>
      <c r="AC353" s="231"/>
      <c r="AD353" s="231"/>
      <c r="AE353" s="231"/>
      <c r="AF353" s="231"/>
      <c r="AG353" s="231"/>
      <c r="AH353" s="231"/>
      <c r="AI353" s="231"/>
      <c r="AJ353" s="231"/>
      <c r="AK353" s="231"/>
      <c r="AL353" s="231"/>
      <c r="AM353" s="231"/>
    </row>
    <row r="354" spans="1:39" s="203" customFormat="1">
      <c r="A354" s="815">
        <v>3</v>
      </c>
      <c r="B354" s="47" t="s">
        <v>53</v>
      </c>
      <c r="C354" s="116"/>
      <c r="D354" s="116"/>
      <c r="E354" s="49">
        <v>0</v>
      </c>
      <c r="F354" s="265">
        <f>50</f>
        <v>50</v>
      </c>
      <c r="G354" s="43"/>
      <c r="H354" s="126">
        <v>0</v>
      </c>
      <c r="I354" s="86"/>
      <c r="J354" s="231"/>
      <c r="K354" s="231"/>
      <c r="L354" s="231"/>
      <c r="M354" s="231"/>
      <c r="N354" s="231"/>
      <c r="O354" s="231"/>
      <c r="P354" s="231"/>
      <c r="Q354" s="231"/>
      <c r="R354" s="231"/>
      <c r="S354" s="231"/>
      <c r="T354" s="231"/>
      <c r="U354" s="231"/>
      <c r="V354" s="231"/>
      <c r="W354" s="231"/>
      <c r="X354" s="231"/>
      <c r="Y354" s="231"/>
      <c r="Z354" s="231"/>
      <c r="AA354" s="231"/>
      <c r="AB354" s="231"/>
      <c r="AC354" s="231"/>
      <c r="AD354" s="231"/>
      <c r="AE354" s="231"/>
      <c r="AF354" s="231"/>
      <c r="AG354" s="231"/>
      <c r="AH354" s="231"/>
      <c r="AI354" s="231"/>
      <c r="AJ354" s="231"/>
      <c r="AK354" s="231"/>
      <c r="AL354" s="231"/>
      <c r="AM354" s="231"/>
    </row>
    <row r="355" spans="1:39" s="203" customFormat="1">
      <c r="A355" s="815">
        <v>4</v>
      </c>
      <c r="B355" s="47" t="s">
        <v>54</v>
      </c>
      <c r="C355" s="116"/>
      <c r="D355" s="116"/>
      <c r="E355" s="49">
        <v>0</v>
      </c>
      <c r="F355" s="265">
        <f>98</f>
        <v>98</v>
      </c>
      <c r="G355" s="43"/>
      <c r="H355" s="126">
        <v>0</v>
      </c>
      <c r="I355" s="86"/>
      <c r="J355" s="231"/>
      <c r="K355" s="231"/>
      <c r="L355" s="231"/>
      <c r="M355" s="231"/>
      <c r="N355" s="231"/>
      <c r="O355" s="231"/>
      <c r="P355" s="231"/>
      <c r="Q355" s="231"/>
      <c r="R355" s="231"/>
      <c r="S355" s="231"/>
      <c r="T355" s="231"/>
      <c r="U355" s="231"/>
      <c r="V355" s="231"/>
      <c r="W355" s="231"/>
      <c r="X355" s="231"/>
      <c r="Y355" s="231"/>
      <c r="Z355" s="231"/>
      <c r="AA355" s="231"/>
      <c r="AB355" s="231"/>
      <c r="AC355" s="231"/>
      <c r="AD355" s="231"/>
      <c r="AE355" s="231"/>
      <c r="AF355" s="231"/>
      <c r="AG355" s="231"/>
      <c r="AH355" s="231"/>
      <c r="AI355" s="231"/>
      <c r="AJ355" s="231"/>
      <c r="AK355" s="231"/>
      <c r="AL355" s="231"/>
      <c r="AM355" s="231"/>
    </row>
    <row r="356" spans="1:39" s="203" customFormat="1">
      <c r="A356" s="815">
        <v>5</v>
      </c>
      <c r="B356" s="47" t="s">
        <v>55</v>
      </c>
      <c r="C356" s="116"/>
      <c r="D356" s="116"/>
      <c r="E356" s="49">
        <v>846</v>
      </c>
      <c r="F356" s="265">
        <f>68+61+376+7+43</f>
        <v>555</v>
      </c>
      <c r="G356" s="43"/>
      <c r="H356" s="126">
        <f>726</f>
        <v>726</v>
      </c>
      <c r="I356" s="86"/>
      <c r="J356" s="231"/>
      <c r="K356" s="231"/>
      <c r="L356" s="231"/>
      <c r="M356" s="231"/>
      <c r="N356" s="231"/>
      <c r="O356" s="231"/>
      <c r="P356" s="231"/>
      <c r="Q356" s="231"/>
      <c r="R356" s="231"/>
      <c r="S356" s="231"/>
      <c r="T356" s="231"/>
      <c r="U356" s="231"/>
      <c r="V356" s="231"/>
      <c r="W356" s="231"/>
      <c r="X356" s="231"/>
      <c r="Y356" s="231"/>
      <c r="Z356" s="231"/>
      <c r="AA356" s="231"/>
      <c r="AB356" s="231"/>
      <c r="AC356" s="231"/>
      <c r="AD356" s="231"/>
      <c r="AE356" s="231"/>
      <c r="AF356" s="231"/>
      <c r="AG356" s="231"/>
      <c r="AH356" s="231"/>
      <c r="AI356" s="231"/>
      <c r="AJ356" s="231"/>
      <c r="AK356" s="231"/>
      <c r="AL356" s="231"/>
      <c r="AM356" s="231"/>
    </row>
    <row r="357" spans="1:39" s="203" customFormat="1">
      <c r="A357" s="815">
        <v>6</v>
      </c>
      <c r="B357" s="47" t="s">
        <v>56</v>
      </c>
      <c r="C357" s="116"/>
      <c r="D357" s="116"/>
      <c r="E357" s="49">
        <v>32</v>
      </c>
      <c r="F357" s="265">
        <f>15+5</f>
        <v>20</v>
      </c>
      <c r="G357" s="43"/>
      <c r="H357" s="126">
        <f>34</f>
        <v>34</v>
      </c>
      <c r="I357" s="86"/>
      <c r="J357" s="231"/>
      <c r="K357" s="231"/>
      <c r="L357" s="231"/>
      <c r="M357" s="231"/>
      <c r="N357" s="231"/>
      <c r="O357" s="231"/>
      <c r="P357" s="231"/>
      <c r="Q357" s="231"/>
      <c r="R357" s="231"/>
      <c r="S357" s="231"/>
      <c r="T357" s="231"/>
      <c r="U357" s="231"/>
      <c r="V357" s="231"/>
      <c r="W357" s="231"/>
      <c r="X357" s="231"/>
      <c r="Y357" s="231"/>
      <c r="Z357" s="231"/>
      <c r="AA357" s="231"/>
      <c r="AB357" s="231"/>
      <c r="AC357" s="231"/>
      <c r="AD357" s="231"/>
      <c r="AE357" s="231"/>
      <c r="AF357" s="231"/>
      <c r="AG357" s="231"/>
      <c r="AH357" s="231"/>
      <c r="AI357" s="231"/>
      <c r="AJ357" s="231"/>
      <c r="AK357" s="231"/>
      <c r="AL357" s="231"/>
      <c r="AM357" s="231"/>
    </row>
    <row r="358" spans="1:39" s="203" customFormat="1">
      <c r="A358" s="815">
        <v>7</v>
      </c>
      <c r="B358" s="47" t="s">
        <v>57</v>
      </c>
      <c r="C358" s="116"/>
      <c r="D358" s="116"/>
      <c r="E358" s="49">
        <v>0</v>
      </c>
      <c r="F358" s="265">
        <v>0</v>
      </c>
      <c r="G358" s="43"/>
      <c r="H358" s="126">
        <v>0</v>
      </c>
      <c r="I358" s="86"/>
      <c r="J358" s="231"/>
      <c r="K358" s="231"/>
      <c r="L358" s="231"/>
      <c r="M358" s="231"/>
      <c r="N358" s="231"/>
      <c r="O358" s="231"/>
      <c r="P358" s="231"/>
      <c r="Q358" s="231"/>
      <c r="R358" s="231"/>
      <c r="S358" s="231"/>
      <c r="T358" s="231"/>
      <c r="U358" s="231"/>
      <c r="V358" s="231"/>
      <c r="W358" s="231"/>
      <c r="X358" s="231"/>
      <c r="Y358" s="231"/>
      <c r="Z358" s="231"/>
      <c r="AA358" s="231"/>
      <c r="AB358" s="231"/>
      <c r="AC358" s="231"/>
      <c r="AD358" s="231"/>
      <c r="AE358" s="231"/>
      <c r="AF358" s="231"/>
      <c r="AG358" s="231"/>
      <c r="AH358" s="231"/>
      <c r="AI358" s="231"/>
      <c r="AJ358" s="231"/>
      <c r="AK358" s="231"/>
      <c r="AL358" s="231"/>
      <c r="AM358" s="231"/>
    </row>
    <row r="359" spans="1:39" s="203" customFormat="1">
      <c r="A359" s="815">
        <v>8</v>
      </c>
      <c r="B359" s="47" t="s">
        <v>58</v>
      </c>
      <c r="C359" s="116"/>
      <c r="D359" s="116"/>
      <c r="E359" s="49">
        <v>0</v>
      </c>
      <c r="F359" s="265">
        <v>0</v>
      </c>
      <c r="G359" s="43"/>
      <c r="H359" s="126">
        <v>0</v>
      </c>
      <c r="I359" s="86"/>
      <c r="J359" s="231"/>
      <c r="K359" s="231"/>
      <c r="L359" s="231"/>
      <c r="M359" s="231"/>
      <c r="N359" s="231"/>
      <c r="O359" s="231"/>
      <c r="P359" s="231"/>
      <c r="Q359" s="231"/>
      <c r="R359" s="231"/>
      <c r="S359" s="231"/>
      <c r="T359" s="231"/>
      <c r="U359" s="231"/>
      <c r="V359" s="231"/>
      <c r="W359" s="231"/>
      <c r="X359" s="231"/>
      <c r="Y359" s="231"/>
      <c r="Z359" s="231"/>
      <c r="AA359" s="231"/>
      <c r="AB359" s="231"/>
      <c r="AC359" s="231"/>
      <c r="AD359" s="231"/>
      <c r="AE359" s="231"/>
      <c r="AF359" s="231"/>
      <c r="AG359" s="231"/>
      <c r="AH359" s="231"/>
      <c r="AI359" s="231"/>
      <c r="AJ359" s="231"/>
      <c r="AK359" s="231"/>
      <c r="AL359" s="231"/>
      <c r="AM359" s="231"/>
    </row>
    <row r="360" spans="1:39" s="203" customFormat="1">
      <c r="A360" s="815">
        <v>9</v>
      </c>
      <c r="B360" s="47" t="s">
        <v>59</v>
      </c>
      <c r="C360" s="116"/>
      <c r="D360" s="116"/>
      <c r="E360" s="49">
        <v>0</v>
      </c>
      <c r="F360" s="265">
        <f>180+55+7+25</f>
        <v>267</v>
      </c>
      <c r="G360" s="43"/>
      <c r="H360" s="126">
        <f>467</f>
        <v>467</v>
      </c>
      <c r="I360" s="86"/>
      <c r="J360" s="231"/>
      <c r="K360" s="231"/>
      <c r="L360" s="231"/>
      <c r="M360" s="231"/>
      <c r="N360" s="231"/>
      <c r="O360" s="231"/>
      <c r="P360" s="231"/>
      <c r="Q360" s="231"/>
      <c r="R360" s="231"/>
      <c r="S360" s="231"/>
      <c r="T360" s="231"/>
      <c r="U360" s="231"/>
      <c r="V360" s="231"/>
      <c r="W360" s="231"/>
      <c r="X360" s="231"/>
      <c r="Y360" s="231"/>
      <c r="Z360" s="231"/>
      <c r="AA360" s="231"/>
      <c r="AB360" s="231"/>
      <c r="AC360" s="231"/>
      <c r="AD360" s="231"/>
      <c r="AE360" s="231"/>
      <c r="AF360" s="231"/>
      <c r="AG360" s="231"/>
      <c r="AH360" s="231"/>
      <c r="AI360" s="231"/>
      <c r="AJ360" s="231"/>
      <c r="AK360" s="231"/>
      <c r="AL360" s="231"/>
      <c r="AM360" s="231"/>
    </row>
    <row r="361" spans="1:39" s="203" customFormat="1">
      <c r="A361" s="815">
        <v>10</v>
      </c>
      <c r="B361" s="47" t="s">
        <v>60</v>
      </c>
      <c r="C361" s="116"/>
      <c r="D361" s="116"/>
      <c r="E361" s="49">
        <v>0</v>
      </c>
      <c r="F361" s="265">
        <v>0</v>
      </c>
      <c r="G361" s="43"/>
      <c r="H361" s="126">
        <f>32</f>
        <v>32</v>
      </c>
      <c r="I361" s="86"/>
      <c r="J361" s="231"/>
      <c r="K361" s="231"/>
      <c r="L361" s="231"/>
      <c r="M361" s="231"/>
      <c r="N361" s="231"/>
      <c r="O361" s="231"/>
      <c r="P361" s="231"/>
      <c r="Q361" s="231"/>
      <c r="R361" s="231"/>
      <c r="S361" s="231"/>
      <c r="T361" s="231"/>
      <c r="U361" s="231"/>
      <c r="V361" s="231"/>
      <c r="W361" s="231"/>
      <c r="X361" s="231"/>
      <c r="Y361" s="231"/>
      <c r="Z361" s="231"/>
      <c r="AA361" s="231"/>
      <c r="AB361" s="231"/>
      <c r="AC361" s="231"/>
      <c r="AD361" s="231"/>
      <c r="AE361" s="231"/>
      <c r="AF361" s="231"/>
      <c r="AG361" s="231"/>
      <c r="AH361" s="231"/>
      <c r="AI361" s="231"/>
      <c r="AJ361" s="231"/>
      <c r="AK361" s="231"/>
      <c r="AL361" s="231"/>
      <c r="AM361" s="231"/>
    </row>
    <row r="362" spans="1:39" s="203" customFormat="1">
      <c r="A362" s="815">
        <v>11</v>
      </c>
      <c r="B362" s="47" t="s">
        <v>61</v>
      </c>
      <c r="C362" s="116"/>
      <c r="D362" s="116"/>
      <c r="E362" s="49">
        <v>0</v>
      </c>
      <c r="F362" s="265">
        <v>0</v>
      </c>
      <c r="G362" s="43"/>
      <c r="H362" s="126">
        <v>0</v>
      </c>
      <c r="I362" s="86"/>
      <c r="J362" s="231"/>
      <c r="K362" s="231"/>
      <c r="L362" s="231"/>
      <c r="M362" s="231"/>
      <c r="N362" s="231"/>
      <c r="O362" s="231"/>
      <c r="P362" s="231"/>
      <c r="Q362" s="231"/>
      <c r="R362" s="231"/>
      <c r="S362" s="231"/>
      <c r="T362" s="231"/>
      <c r="U362" s="231"/>
      <c r="V362" s="231"/>
      <c r="W362" s="231"/>
      <c r="X362" s="231"/>
      <c r="Y362" s="231"/>
      <c r="Z362" s="231"/>
      <c r="AA362" s="231"/>
      <c r="AB362" s="231"/>
      <c r="AC362" s="231"/>
      <c r="AD362" s="231"/>
      <c r="AE362" s="231"/>
      <c r="AF362" s="231"/>
      <c r="AG362" s="231"/>
      <c r="AH362" s="231"/>
      <c r="AI362" s="231"/>
      <c r="AJ362" s="231"/>
      <c r="AK362" s="231"/>
      <c r="AL362" s="231"/>
      <c r="AM362" s="231"/>
    </row>
    <row r="363" spans="1:39" s="203" customFormat="1">
      <c r="A363" s="816">
        <v>12</v>
      </c>
      <c r="B363" s="54" t="s">
        <v>380</v>
      </c>
      <c r="C363" s="94"/>
      <c r="D363" s="94"/>
      <c r="E363" s="135">
        <v>878</v>
      </c>
      <c r="F363" s="61">
        <f>SUM(F353:F362)</f>
        <v>1099</v>
      </c>
      <c r="G363" s="43"/>
      <c r="H363" s="61">
        <f>SUM(H353:H362)</f>
        <v>2017</v>
      </c>
      <c r="I363" s="86"/>
      <c r="J363" s="231"/>
      <c r="K363" s="231"/>
      <c r="L363" s="231"/>
      <c r="M363" s="231"/>
      <c r="N363" s="231"/>
      <c r="O363" s="231"/>
      <c r="P363" s="231"/>
      <c r="Q363" s="231"/>
      <c r="R363" s="231"/>
      <c r="S363" s="231"/>
      <c r="T363" s="231"/>
      <c r="U363" s="231"/>
      <c r="V363" s="231"/>
      <c r="W363" s="231"/>
      <c r="X363" s="231"/>
      <c r="Y363" s="231"/>
      <c r="Z363" s="231"/>
      <c r="AA363" s="231"/>
      <c r="AB363" s="231"/>
      <c r="AC363" s="231"/>
      <c r="AD363" s="231"/>
      <c r="AE363" s="231"/>
      <c r="AF363" s="231"/>
      <c r="AG363" s="231"/>
      <c r="AH363" s="231"/>
      <c r="AI363" s="231"/>
      <c r="AJ363" s="231"/>
      <c r="AK363" s="231"/>
      <c r="AL363" s="231"/>
      <c r="AM363" s="231"/>
    </row>
    <row r="364" spans="1:39" s="203" customFormat="1">
      <c r="A364" s="199"/>
      <c r="B364" s="15"/>
      <c r="C364" s="15"/>
      <c r="D364" s="15"/>
      <c r="E364" s="15"/>
      <c r="F364" s="15"/>
      <c r="G364" s="15"/>
      <c r="H364" s="15"/>
      <c r="I364" s="86"/>
      <c r="J364" s="231"/>
      <c r="K364" s="231"/>
      <c r="L364" s="231"/>
      <c r="M364" s="231"/>
      <c r="N364" s="231"/>
      <c r="O364" s="231"/>
      <c r="P364" s="231"/>
      <c r="Q364" s="231"/>
      <c r="R364" s="231"/>
      <c r="S364" s="231"/>
      <c r="T364" s="231"/>
      <c r="U364" s="231"/>
      <c r="V364" s="231"/>
      <c r="W364" s="231"/>
      <c r="X364" s="231"/>
      <c r="Y364" s="231"/>
      <c r="Z364" s="231"/>
      <c r="AA364" s="231"/>
      <c r="AB364" s="231"/>
      <c r="AC364" s="231"/>
      <c r="AD364" s="231"/>
      <c r="AE364" s="231"/>
      <c r="AF364" s="231"/>
      <c r="AG364" s="231"/>
      <c r="AH364" s="231"/>
      <c r="AI364" s="231"/>
      <c r="AJ364" s="231"/>
      <c r="AK364" s="231"/>
      <c r="AL364" s="231"/>
      <c r="AM364" s="231"/>
    </row>
    <row r="365" spans="1:39" s="203" customFormat="1">
      <c r="A365" s="199"/>
      <c r="B365" s="15"/>
      <c r="C365" s="15"/>
      <c r="D365" s="15"/>
      <c r="E365" s="15"/>
      <c r="F365" s="15"/>
      <c r="G365" s="15"/>
      <c r="H365" s="86"/>
      <c r="I365" s="86"/>
      <c r="J365" s="231"/>
      <c r="K365" s="231"/>
      <c r="L365" s="231"/>
      <c r="M365" s="231"/>
      <c r="N365" s="231"/>
      <c r="O365" s="231"/>
      <c r="P365" s="231"/>
      <c r="Q365" s="231"/>
      <c r="R365" s="231"/>
      <c r="S365" s="231"/>
      <c r="T365" s="231"/>
      <c r="U365" s="231"/>
      <c r="V365" s="231"/>
      <c r="W365" s="231"/>
      <c r="X365" s="231"/>
      <c r="Y365" s="231"/>
      <c r="Z365" s="231"/>
      <c r="AA365" s="231"/>
      <c r="AB365" s="231"/>
      <c r="AC365" s="231"/>
      <c r="AD365" s="231"/>
      <c r="AE365" s="231"/>
      <c r="AF365" s="231"/>
      <c r="AG365" s="231"/>
      <c r="AH365" s="231"/>
      <c r="AI365" s="231"/>
      <c r="AJ365" s="231"/>
      <c r="AK365" s="231"/>
      <c r="AL365" s="231"/>
      <c r="AM365" s="231"/>
    </row>
    <row r="366" spans="1:39" s="8" customFormat="1"/>
    <row r="367" spans="1:39" s="8" customFormat="1"/>
    <row r="368" spans="1:39" s="8" customFormat="1"/>
    <row r="369" s="8" customFormat="1"/>
    <row r="370" s="8" customFormat="1"/>
    <row r="371" s="8" customFormat="1"/>
    <row r="372" s="8" customFormat="1"/>
    <row r="373" s="8" customFormat="1"/>
    <row r="374" s="8" customFormat="1"/>
    <row r="375" s="8" customFormat="1"/>
    <row r="376" s="8" customFormat="1"/>
    <row r="377" s="8" customFormat="1"/>
    <row r="378" s="8" customFormat="1"/>
    <row r="379" s="8" customFormat="1"/>
    <row r="380" s="8" customFormat="1"/>
    <row r="381" s="8" customFormat="1"/>
    <row r="382" s="8" customFormat="1"/>
    <row r="383" s="8" customFormat="1"/>
    <row r="384" s="8" customFormat="1"/>
    <row r="385" spans="1:9" s="8" customFormat="1"/>
    <row r="386" spans="1:9" s="8" customFormat="1"/>
    <row r="387" spans="1:9" s="8" customFormat="1"/>
    <row r="388" spans="1:9" s="8" customFormat="1"/>
    <row r="389" spans="1:9" s="8" customFormat="1"/>
    <row r="390" spans="1:9" s="8" customFormat="1"/>
    <row r="391" spans="1:9" s="8" customFormat="1"/>
    <row r="392" spans="1:9" s="8" customFormat="1"/>
    <row r="393" spans="1:9" s="8" customFormat="1"/>
    <row r="394" spans="1:9" s="8" customFormat="1"/>
    <row r="395" spans="1:9" s="8" customFormat="1"/>
    <row r="396" spans="1:9" s="8" customFormat="1"/>
    <row r="397" spans="1:9">
      <c r="A397" s="8"/>
      <c r="B397" s="8"/>
      <c r="C397" s="8"/>
      <c r="D397" s="8"/>
      <c r="E397" s="8"/>
      <c r="F397" s="8"/>
      <c r="G397" s="8"/>
      <c r="H397" s="8"/>
      <c r="I397" s="8"/>
    </row>
    <row r="398" spans="1:9">
      <c r="A398" s="8"/>
      <c r="B398" s="8"/>
      <c r="C398" s="8"/>
      <c r="D398" s="8"/>
      <c r="E398" s="8"/>
      <c r="F398" s="8"/>
      <c r="G398" s="8"/>
      <c r="H398" s="8"/>
      <c r="I398" s="8"/>
    </row>
    <row r="399" spans="1:9">
      <c r="A399" s="8"/>
      <c r="B399" s="8"/>
      <c r="C399" s="8"/>
      <c r="D399" s="8"/>
      <c r="E399" s="8"/>
      <c r="F399" s="8"/>
      <c r="G399" s="8"/>
      <c r="H399" s="8"/>
      <c r="I399" s="8"/>
    </row>
    <row r="400" spans="1:9">
      <c r="A400" s="8"/>
      <c r="B400" s="8"/>
      <c r="C400" s="8"/>
      <c r="D400" s="8"/>
      <c r="E400" s="8"/>
      <c r="F400" s="8"/>
      <c r="G400" s="8"/>
      <c r="H400" s="8"/>
      <c r="I400" s="8"/>
    </row>
    <row r="401" spans="1:9">
      <c r="A401" s="8"/>
      <c r="B401" s="8"/>
      <c r="C401" s="8"/>
      <c r="D401" s="8"/>
      <c r="E401" s="8"/>
      <c r="F401" s="8"/>
      <c r="G401" s="8"/>
      <c r="H401" s="8"/>
      <c r="I401" s="8"/>
    </row>
    <row r="402" spans="1:9">
      <c r="A402" s="8"/>
      <c r="B402" s="8"/>
      <c r="C402" s="8"/>
      <c r="D402" s="8"/>
      <c r="E402" s="8"/>
      <c r="F402" s="8"/>
      <c r="G402" s="8"/>
      <c r="H402" s="8"/>
      <c r="I402" s="8"/>
    </row>
    <row r="403" spans="1:9">
      <c r="A403" s="8"/>
      <c r="B403" s="8"/>
      <c r="C403" s="8"/>
      <c r="D403" s="8"/>
      <c r="E403" s="8"/>
      <c r="F403" s="8"/>
      <c r="G403" s="8"/>
      <c r="H403" s="8"/>
      <c r="I403" s="8"/>
    </row>
    <row r="404" spans="1:9">
      <c r="A404" s="8"/>
      <c r="B404" s="8"/>
      <c r="C404" s="8"/>
      <c r="D404" s="8"/>
      <c r="E404" s="8"/>
      <c r="F404" s="8"/>
      <c r="G404" s="8"/>
      <c r="H404" s="8"/>
      <c r="I404" s="8"/>
    </row>
    <row r="405" spans="1:9">
      <c r="A405" s="8"/>
      <c r="B405" s="8"/>
      <c r="C405" s="8"/>
      <c r="D405" s="8"/>
      <c r="E405" s="8"/>
      <c r="F405" s="8"/>
      <c r="G405" s="8"/>
      <c r="H405" s="8"/>
      <c r="I405" s="8"/>
    </row>
    <row r="406" spans="1:9">
      <c r="A406" s="8"/>
      <c r="B406" s="8"/>
      <c r="C406" s="8"/>
      <c r="D406" s="8"/>
      <c r="E406" s="8"/>
      <c r="F406" s="8"/>
      <c r="G406" s="8"/>
      <c r="H406" s="8"/>
      <c r="I406" s="8"/>
    </row>
    <row r="407" spans="1:9">
      <c r="A407" s="8"/>
      <c r="B407" s="8"/>
      <c r="C407" s="8"/>
      <c r="D407" s="8"/>
      <c r="E407" s="8"/>
      <c r="F407" s="8"/>
      <c r="G407" s="8"/>
      <c r="H407" s="8"/>
      <c r="I407" s="8"/>
    </row>
    <row r="408" spans="1:9">
      <c r="A408" s="8"/>
      <c r="B408" s="8"/>
      <c r="C408" s="8"/>
      <c r="D408" s="8"/>
      <c r="E408" s="8"/>
      <c r="F408" s="8"/>
      <c r="G408" s="8"/>
      <c r="H408" s="8"/>
      <c r="I408" s="8"/>
    </row>
    <row r="409" spans="1:9">
      <c r="A409" s="8"/>
      <c r="B409" s="8"/>
      <c r="C409" s="8"/>
      <c r="D409" s="8"/>
      <c r="E409" s="8"/>
      <c r="F409" s="8"/>
      <c r="G409" s="8"/>
      <c r="H409" s="8"/>
      <c r="I409" s="8"/>
    </row>
    <row r="410" spans="1:9">
      <c r="A410" s="8"/>
      <c r="B410" s="8"/>
      <c r="C410" s="8"/>
      <c r="D410" s="8"/>
      <c r="E410" s="8"/>
      <c r="F410" s="8"/>
      <c r="G410" s="8"/>
      <c r="H410" s="8"/>
      <c r="I410" s="8"/>
    </row>
    <row r="411" spans="1:9">
      <c r="A411" s="8"/>
      <c r="B411" s="8"/>
      <c r="C411" s="8"/>
      <c r="D411" s="8"/>
      <c r="E411" s="8"/>
      <c r="F411" s="8"/>
      <c r="G411" s="8"/>
      <c r="H411" s="8"/>
      <c r="I411" s="8"/>
    </row>
  </sheetData>
  <mergeCells count="59">
    <mergeCell ref="F341:F345"/>
    <mergeCell ref="H341:H345"/>
    <mergeCell ref="E261:E265"/>
    <mergeCell ref="F261:F265"/>
    <mergeCell ref="H261:H265"/>
    <mergeCell ref="E280:E284"/>
    <mergeCell ref="F280:F284"/>
    <mergeCell ref="H280:H284"/>
    <mergeCell ref="E305:E309"/>
    <mergeCell ref="F305:F309"/>
    <mergeCell ref="H305:H309"/>
    <mergeCell ref="C323:H323"/>
    <mergeCell ref="C330:H330"/>
    <mergeCell ref="E341:E345"/>
    <mergeCell ref="E221:E225"/>
    <mergeCell ref="F221:F225"/>
    <mergeCell ref="H221:H225"/>
    <mergeCell ref="E234:E238"/>
    <mergeCell ref="F234:F238"/>
    <mergeCell ref="H234:H238"/>
    <mergeCell ref="G66:G70"/>
    <mergeCell ref="H66:H70"/>
    <mergeCell ref="F91:F95"/>
    <mergeCell ref="H91:H95"/>
    <mergeCell ref="E193:E197"/>
    <mergeCell ref="F193:F197"/>
    <mergeCell ref="H193:H197"/>
    <mergeCell ref="E153:E157"/>
    <mergeCell ref="F153:F157"/>
    <mergeCell ref="H153:H157"/>
    <mergeCell ref="E91:E95"/>
    <mergeCell ref="I66:I70"/>
    <mergeCell ref="A23:D24"/>
    <mergeCell ref="E23:E24"/>
    <mergeCell ref="F23:F24"/>
    <mergeCell ref="H23:H24"/>
    <mergeCell ref="A25:A27"/>
    <mergeCell ref="B25:D27"/>
    <mergeCell ref="E25:E27"/>
    <mergeCell ref="F25:F27"/>
    <mergeCell ref="H25:H27"/>
    <mergeCell ref="A40:D41"/>
    <mergeCell ref="E40:E41"/>
    <mergeCell ref="F40:F41"/>
    <mergeCell ref="H40:H41"/>
    <mergeCell ref="E66:E70"/>
    <mergeCell ref="F66:F70"/>
    <mergeCell ref="C19:F19"/>
    <mergeCell ref="B3:B4"/>
    <mergeCell ref="C3:D4"/>
    <mergeCell ref="A5:B5"/>
    <mergeCell ref="D6:H6"/>
    <mergeCell ref="A9:I9"/>
    <mergeCell ref="D10:F10"/>
    <mergeCell ref="C14:F14"/>
    <mergeCell ref="C15:F15"/>
    <mergeCell ref="C16:F16"/>
    <mergeCell ref="C17:F17"/>
    <mergeCell ref="C18:F18"/>
  </mergeCells>
  <phoneticPr fontId="10" type="noConversion"/>
  <conditionalFormatting sqref="F71:F76 F286:F301 F311:F318 F80:F88 F96:F97 F103:F104 F106 F110:F114 F118:F124 F128:F134 F138:F142 F146:F149 F159:F162 F166:F168 F171:F172 F175:F177 F183:F190 F199:F200 F204:F206 F210:F213 F217:F218 F226:F230 F240:F241 F245:F246 F250:F253 F256 F267:F276 H250 H176:H177">
    <cfRule type="expression" dxfId="60" priority="249" stopIfTrue="1">
      <formula>ISBLANK(F71)</formula>
    </cfRule>
    <cfRule type="expression" dxfId="59" priority="250" stopIfTrue="1">
      <formula>IF(AND(OR(F71-E71&gt;500,F71-E71&lt;-500),OR(#REF!&gt;0.1,#REF!&lt;-0.1)),TRUE,FALSE)</formula>
    </cfRule>
  </conditionalFormatting>
  <dataValidations count="1">
    <dataValidation type="list" errorStyle="information" allowBlank="1" showInputMessage="1" showErrorMessage="1" errorTitle="POBE 2006" error="Please select from the drop-down menu..." prompt="Please select your Authority from the drop-down menu..." sqref="C3:D4">
      <formula1>#REF!</formula1>
    </dataValidation>
  </dataValidations>
  <hyperlinks>
    <hyperlink ref="F7" r:id="rId1" display="lgfstats@scotland.gsi.gov.uk"/>
    <hyperlink ref="D6" r:id="rId2"/>
    <hyperlink ref="D10" r:id="rId3" display="^lgfstats@gov.scot"/>
    <hyperlink ref="B14" location="'POBE 2017'!A28" display="PART 1 - Expenditure"/>
    <hyperlink ref="C19:F19" location="'POBE 2017'!A323" display="Sheet 10. - PUBLIC PRIVATE PARTNERSHIPS/PRIVATE FINANCE INITIATIVES"/>
    <hyperlink ref="B15" location="'POBE 2017'!A40" display="PART 2 - Income and Balances"/>
    <hyperlink ref="B16" location="'POBE 2017'!A66" display="Sheet 1. EDUCATION"/>
    <hyperlink ref="B17" location="'POBE 2017'!A91" display="Sheet 2. SOCIAL WORK"/>
    <hyperlink ref="B18" location="'POBE 2017'!A153" display="Sheet 3. ROADS AND TRANSPORT"/>
    <hyperlink ref="B19" location="'POBE 2017'!A193" display="Sheet 4. ENVIRONMENTAL SERVICES"/>
    <hyperlink ref="C14:F14" location="'POBE 2017'!A221" display="Sheet 5. PLANNING AND DEVELOPMENT SERVICES"/>
    <hyperlink ref="C15:F15" location="'POBE 2017'!A234" display="Sheet 6. CULTURAL AND RELATED SERVICES"/>
    <hyperlink ref="C16:F16" location="'POBE 2017'!A261" display="Sheet 7. HOUSING"/>
    <hyperlink ref="C17:F17" location="'POBE 2017'!A280" display="Sheet 8. CENTRAL SERVICES"/>
    <hyperlink ref="C18:F18" location="'POBE 2017'!A305" display="Sheet 9. OTHER EXPENDITURE"/>
  </hyperlinks>
  <pageMargins left="0.75" right="0.75" top="1" bottom="1" header="0.5" footer="0.5"/>
  <pageSetup paperSize="9" orientation="portrait" r:id="rId4"/>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M411"/>
  <sheetViews>
    <sheetView topLeftCell="A187" zoomScale="80" zoomScaleNormal="80" workbookViewId="0">
      <selection activeCell="E188" sqref="E188"/>
    </sheetView>
  </sheetViews>
  <sheetFormatPr defaultColWidth="9.140625" defaultRowHeight="12.75"/>
  <cols>
    <col min="1" max="1" width="10.5703125" style="1" customWidth="1"/>
    <col min="2" max="2" width="43" style="1" customWidth="1"/>
    <col min="3" max="3" width="24.5703125" style="1" customWidth="1"/>
    <col min="4" max="4" width="14.7109375" style="1" customWidth="1"/>
    <col min="5" max="5" width="21.5703125" style="1" customWidth="1"/>
    <col min="6" max="6" width="19.140625" style="1" customWidth="1"/>
    <col min="7" max="7" width="17.42578125" style="1" customWidth="1"/>
    <col min="8" max="8" width="19.28515625" style="1" customWidth="1"/>
    <col min="9" max="9" width="17.85546875" style="1" customWidth="1"/>
    <col min="10" max="21" width="9.140625" style="8" customWidth="1"/>
    <col min="22" max="32" width="9.140625" style="8"/>
    <col min="33" max="33" width="0" style="8" hidden="1" customWidth="1"/>
    <col min="34" max="39" width="9.140625" style="8"/>
    <col min="40" max="16384" width="9.140625" style="1"/>
  </cols>
  <sheetData>
    <row r="1" spans="1:39" s="203" customFormat="1" ht="51" customHeight="1">
      <c r="A1" s="3" t="s">
        <v>410</v>
      </c>
      <c r="B1" s="4"/>
      <c r="C1" s="224"/>
      <c r="D1" s="224"/>
      <c r="E1" s="224"/>
      <c r="F1" s="224"/>
      <c r="G1" s="225"/>
      <c r="H1" s="226"/>
      <c r="I1" s="227"/>
      <c r="J1" s="231"/>
      <c r="K1" s="231"/>
      <c r="L1" s="231"/>
      <c r="M1" s="231"/>
      <c r="N1" s="231"/>
      <c r="O1" s="231"/>
      <c r="P1" s="231"/>
      <c r="Q1" s="231"/>
      <c r="R1" s="231"/>
      <c r="S1" s="231"/>
      <c r="T1" s="231"/>
      <c r="U1" s="231"/>
      <c r="V1" s="231"/>
      <c r="W1" s="231"/>
      <c r="X1" s="231"/>
      <c r="Y1" s="231"/>
      <c r="Z1" s="231"/>
      <c r="AA1" s="231"/>
      <c r="AB1" s="231"/>
      <c r="AC1" s="231"/>
      <c r="AD1" s="231"/>
      <c r="AE1" s="231"/>
      <c r="AF1" s="231"/>
      <c r="AG1" s="231"/>
      <c r="AH1" s="231"/>
      <c r="AI1" s="231"/>
      <c r="AJ1" s="231"/>
      <c r="AK1" s="231"/>
      <c r="AL1" s="231"/>
      <c r="AM1" s="231"/>
    </row>
    <row r="2" spans="1:39" s="203" customFormat="1" ht="35.25">
      <c r="A2" s="9"/>
      <c r="B2" s="10"/>
      <c r="C2" s="232"/>
      <c r="D2" s="232"/>
      <c r="E2" s="232"/>
      <c r="F2" s="11"/>
      <c r="G2" s="11"/>
      <c r="H2" s="11"/>
      <c r="I2" s="11"/>
      <c r="J2" s="231"/>
      <c r="K2" s="231"/>
      <c r="L2" s="231"/>
      <c r="M2" s="231"/>
      <c r="N2" s="231"/>
      <c r="O2" s="231"/>
      <c r="P2" s="231"/>
      <c r="Q2" s="231"/>
      <c r="R2" s="231"/>
      <c r="S2" s="231"/>
      <c r="T2" s="231"/>
      <c r="U2" s="231"/>
      <c r="V2" s="231"/>
      <c r="W2" s="231"/>
      <c r="X2" s="231"/>
      <c r="Y2" s="231"/>
      <c r="Z2" s="231"/>
      <c r="AA2" s="231"/>
      <c r="AB2" s="231"/>
      <c r="AC2" s="231"/>
      <c r="AD2" s="231"/>
      <c r="AE2" s="231"/>
      <c r="AF2" s="231"/>
      <c r="AG2" s="231"/>
      <c r="AH2" s="231"/>
      <c r="AI2" s="231"/>
      <c r="AJ2" s="231"/>
      <c r="AK2" s="231"/>
      <c r="AL2" s="231"/>
      <c r="AM2" s="231"/>
    </row>
    <row r="3" spans="1:39" s="203" customFormat="1" ht="15">
      <c r="A3" s="12"/>
      <c r="B3" s="882" t="s">
        <v>0</v>
      </c>
      <c r="C3" s="884" t="s">
        <v>6</v>
      </c>
      <c r="D3" s="885"/>
      <c r="E3" s="13"/>
      <c r="F3" s="14"/>
      <c r="G3" s="14"/>
      <c r="H3" s="15"/>
      <c r="I3" s="14"/>
      <c r="J3" s="231"/>
      <c r="K3" s="231"/>
      <c r="L3" s="231"/>
      <c r="M3" s="231"/>
      <c r="N3" s="231"/>
      <c r="O3" s="231"/>
      <c r="P3" s="231"/>
      <c r="Q3" s="231"/>
      <c r="R3" s="231"/>
      <c r="S3" s="231"/>
      <c r="T3" s="231"/>
      <c r="U3" s="231"/>
      <c r="V3" s="231"/>
      <c r="W3" s="231"/>
      <c r="X3" s="231"/>
      <c r="Y3" s="231"/>
      <c r="Z3" s="231"/>
      <c r="AA3" s="231"/>
      <c r="AB3" s="231"/>
      <c r="AC3" s="231"/>
      <c r="AD3" s="231"/>
      <c r="AE3" s="231"/>
      <c r="AF3" s="231"/>
      <c r="AG3" s="231"/>
      <c r="AH3" s="231"/>
      <c r="AI3" s="231"/>
      <c r="AJ3" s="231"/>
      <c r="AK3" s="231"/>
      <c r="AL3" s="231"/>
      <c r="AM3" s="231"/>
    </row>
    <row r="4" spans="1:39" s="203" customFormat="1" ht="15">
      <c r="A4" s="17"/>
      <c r="B4" s="883"/>
      <c r="C4" s="886"/>
      <c r="D4" s="887"/>
      <c r="E4" s="13"/>
      <c r="F4" s="14"/>
      <c r="G4" s="14"/>
      <c r="H4" s="15"/>
      <c r="I4" s="14"/>
      <c r="J4" s="231"/>
      <c r="K4" s="231"/>
      <c r="L4" s="231"/>
      <c r="M4" s="231"/>
      <c r="N4" s="231"/>
      <c r="O4" s="231"/>
      <c r="P4" s="231"/>
      <c r="Q4" s="231"/>
      <c r="R4" s="231"/>
      <c r="S4" s="231"/>
      <c r="T4" s="231"/>
      <c r="U4" s="231"/>
      <c r="V4" s="231"/>
      <c r="W4" s="231"/>
      <c r="X4" s="231"/>
      <c r="Y4" s="231"/>
      <c r="Z4" s="231"/>
      <c r="AA4" s="231"/>
      <c r="AB4" s="231"/>
      <c r="AC4" s="231"/>
      <c r="AD4" s="231"/>
      <c r="AE4" s="231"/>
      <c r="AF4" s="231"/>
      <c r="AG4" s="231"/>
      <c r="AH4" s="231"/>
      <c r="AI4" s="231"/>
      <c r="AJ4" s="231"/>
      <c r="AK4" s="231"/>
      <c r="AL4" s="231"/>
      <c r="AM4" s="231"/>
    </row>
    <row r="5" spans="1:39" s="203" customFormat="1" ht="15">
      <c r="A5" s="888"/>
      <c r="B5" s="889"/>
      <c r="C5" s="18"/>
      <c r="D5" s="206"/>
      <c r="E5" s="206"/>
      <c r="F5" s="14"/>
      <c r="G5" s="14"/>
      <c r="H5" s="14"/>
      <c r="I5" s="234"/>
      <c r="J5" s="231"/>
      <c r="K5" s="231"/>
      <c r="L5" s="231"/>
      <c r="M5" s="231"/>
      <c r="N5" s="231"/>
      <c r="O5" s="231"/>
      <c r="P5" s="231"/>
      <c r="Q5" s="231"/>
      <c r="R5" s="231"/>
      <c r="S5" s="231"/>
      <c r="T5" s="231"/>
      <c r="U5" s="231"/>
      <c r="V5" s="231"/>
      <c r="W5" s="231"/>
      <c r="X5" s="231"/>
      <c r="Y5" s="231"/>
      <c r="Z5" s="231"/>
      <c r="AA5" s="231"/>
      <c r="AB5" s="231"/>
      <c r="AC5" s="231"/>
      <c r="AD5" s="231"/>
      <c r="AE5" s="231"/>
      <c r="AF5" s="231"/>
      <c r="AG5" s="231"/>
      <c r="AH5" s="231"/>
      <c r="AI5" s="231"/>
      <c r="AJ5" s="231"/>
      <c r="AK5" s="231"/>
      <c r="AL5" s="231"/>
      <c r="AM5" s="231"/>
    </row>
    <row r="6" spans="1:39" s="203" customFormat="1" ht="23.25" customHeight="1">
      <c r="A6" s="19" t="s">
        <v>1</v>
      </c>
      <c r="B6" s="207"/>
      <c r="C6" s="20"/>
      <c r="D6" s="890" t="s">
        <v>249</v>
      </c>
      <c r="E6" s="890"/>
      <c r="F6" s="890"/>
      <c r="G6" s="890"/>
      <c r="H6" s="890"/>
      <c r="I6" s="29"/>
      <c r="J6" s="231"/>
      <c r="K6" s="231"/>
      <c r="L6" s="231"/>
      <c r="M6" s="231"/>
      <c r="N6" s="231"/>
      <c r="O6" s="231"/>
      <c r="P6" s="231"/>
      <c r="Q6" s="231"/>
      <c r="R6" s="231"/>
      <c r="S6" s="231"/>
      <c r="T6" s="231"/>
      <c r="U6" s="231"/>
      <c r="V6" s="231"/>
      <c r="W6" s="231"/>
      <c r="X6" s="231"/>
      <c r="Y6" s="231"/>
      <c r="Z6" s="231"/>
      <c r="AA6" s="231"/>
      <c r="AB6" s="231"/>
      <c r="AC6" s="231"/>
      <c r="AD6" s="231"/>
      <c r="AE6" s="231"/>
      <c r="AF6" s="231"/>
      <c r="AG6" s="231"/>
      <c r="AH6" s="231"/>
      <c r="AI6" s="231"/>
      <c r="AJ6" s="231"/>
      <c r="AK6" s="231"/>
      <c r="AL6" s="231"/>
      <c r="AM6" s="231"/>
    </row>
    <row r="7" spans="1:39" s="203" customFormat="1" ht="18.75" customHeight="1">
      <c r="A7" s="19" t="s">
        <v>419</v>
      </c>
      <c r="B7" s="207"/>
      <c r="C7" s="207"/>
      <c r="D7" s="207"/>
      <c r="E7" s="207"/>
      <c r="F7" s="362" t="s">
        <v>250</v>
      </c>
      <c r="G7" s="1"/>
      <c r="H7" s="21"/>
      <c r="I7" s="29"/>
      <c r="J7" s="231"/>
      <c r="K7" s="231"/>
      <c r="L7" s="231"/>
      <c r="M7" s="231"/>
      <c r="N7" s="231"/>
      <c r="O7" s="231"/>
      <c r="P7" s="231"/>
      <c r="Q7" s="231"/>
      <c r="R7" s="231"/>
      <c r="S7" s="231"/>
      <c r="T7" s="231"/>
      <c r="U7" s="231"/>
      <c r="V7" s="231"/>
      <c r="W7" s="231"/>
      <c r="X7" s="231"/>
      <c r="Y7" s="231"/>
      <c r="Z7" s="231"/>
      <c r="AA7" s="231"/>
      <c r="AB7" s="231"/>
      <c r="AC7" s="231"/>
      <c r="AD7" s="231"/>
      <c r="AE7" s="231"/>
      <c r="AF7" s="231"/>
      <c r="AG7" s="231"/>
      <c r="AH7" s="231"/>
      <c r="AI7" s="231"/>
      <c r="AJ7" s="231"/>
      <c r="AK7" s="231"/>
      <c r="AL7" s="231"/>
      <c r="AM7" s="231"/>
    </row>
    <row r="8" spans="1:39" s="203" customFormat="1" ht="24" customHeight="1">
      <c r="A8" s="22" t="s">
        <v>408</v>
      </c>
      <c r="B8" s="207"/>
      <c r="C8" s="207"/>
      <c r="D8" s="207"/>
      <c r="E8" s="207"/>
      <c r="F8" s="207"/>
      <c r="G8" s="792"/>
      <c r="H8" s="21"/>
      <c r="I8" s="29"/>
      <c r="J8" s="231"/>
      <c r="K8" s="231"/>
      <c r="L8" s="231"/>
      <c r="M8" s="231"/>
      <c r="N8" s="231"/>
      <c r="O8" s="231"/>
      <c r="P8" s="231"/>
      <c r="Q8" s="231"/>
      <c r="R8" s="231"/>
      <c r="S8" s="231"/>
      <c r="T8" s="231"/>
      <c r="U8" s="231"/>
      <c r="V8" s="231"/>
      <c r="W8" s="231"/>
      <c r="X8" s="231"/>
      <c r="Y8" s="231"/>
      <c r="Z8" s="231"/>
      <c r="AA8" s="231"/>
      <c r="AB8" s="231"/>
      <c r="AC8" s="231"/>
      <c r="AD8" s="231"/>
      <c r="AE8" s="231"/>
      <c r="AF8" s="231"/>
      <c r="AG8" s="231"/>
      <c r="AH8" s="231"/>
      <c r="AI8" s="231"/>
      <c r="AJ8" s="231"/>
      <c r="AK8" s="231"/>
      <c r="AL8" s="231"/>
      <c r="AM8" s="231"/>
    </row>
    <row r="9" spans="1:39" s="203" customFormat="1" ht="30.75" customHeight="1">
      <c r="A9" s="891" t="s">
        <v>420</v>
      </c>
      <c r="B9" s="892"/>
      <c r="C9" s="892"/>
      <c r="D9" s="892"/>
      <c r="E9" s="892"/>
      <c r="F9" s="892"/>
      <c r="G9" s="892"/>
      <c r="H9" s="892"/>
      <c r="I9" s="892"/>
      <c r="J9" s="231"/>
      <c r="K9" s="231"/>
      <c r="L9" s="231"/>
      <c r="M9" s="231"/>
      <c r="N9" s="231"/>
      <c r="O9" s="231"/>
      <c r="P9" s="231"/>
      <c r="Q9" s="231"/>
      <c r="R9" s="231"/>
      <c r="S9" s="231"/>
      <c r="T9" s="231"/>
      <c r="U9" s="231"/>
      <c r="V9" s="231"/>
      <c r="W9" s="231"/>
      <c r="X9" s="231"/>
      <c r="Y9" s="231"/>
      <c r="Z9" s="231"/>
      <c r="AA9" s="231"/>
      <c r="AB9" s="231"/>
      <c r="AC9" s="231"/>
      <c r="AD9" s="231"/>
      <c r="AE9" s="231"/>
      <c r="AF9" s="231"/>
      <c r="AG9" s="231"/>
      <c r="AH9" s="231"/>
      <c r="AI9" s="231"/>
      <c r="AJ9" s="231"/>
      <c r="AK9" s="231"/>
      <c r="AL9" s="231"/>
      <c r="AM9" s="231"/>
    </row>
    <row r="10" spans="1:39" s="203" customFormat="1" ht="12.75" customHeight="1">
      <c r="A10" s="22" t="s">
        <v>409</v>
      </c>
      <c r="B10" s="19"/>
      <c r="C10" s="1"/>
      <c r="D10" s="880" t="s">
        <v>250</v>
      </c>
      <c r="E10" s="881"/>
      <c r="F10" s="881"/>
      <c r="G10" s="207"/>
      <c r="H10" s="207"/>
      <c r="I10" s="29"/>
      <c r="J10" s="231"/>
      <c r="K10" s="231"/>
      <c r="L10" s="231"/>
      <c r="M10" s="231"/>
      <c r="N10" s="231"/>
      <c r="O10" s="231"/>
      <c r="P10" s="231"/>
      <c r="Q10" s="231"/>
      <c r="R10" s="231"/>
      <c r="S10" s="231"/>
      <c r="T10" s="231"/>
      <c r="U10" s="231"/>
      <c r="V10" s="231"/>
      <c r="W10" s="231"/>
      <c r="X10" s="231"/>
      <c r="Y10" s="231"/>
      <c r="Z10" s="231"/>
      <c r="AA10" s="231"/>
      <c r="AB10" s="231"/>
      <c r="AC10" s="231"/>
      <c r="AD10" s="231"/>
      <c r="AE10" s="231"/>
      <c r="AF10" s="231"/>
      <c r="AG10" s="231"/>
      <c r="AH10" s="231"/>
      <c r="AI10" s="231"/>
      <c r="AJ10" s="231"/>
      <c r="AK10" s="231"/>
      <c r="AL10" s="231"/>
      <c r="AM10" s="231"/>
    </row>
    <row r="11" spans="1:39" s="203" customFormat="1">
      <c r="A11" s="23"/>
      <c r="B11" s="207"/>
      <c r="C11" s="207"/>
      <c r="D11" s="207"/>
      <c r="E11" s="207"/>
      <c r="F11" s="207"/>
      <c r="G11" s="21"/>
      <c r="H11" s="21"/>
      <c r="I11" s="29"/>
      <c r="J11" s="231"/>
      <c r="K11" s="231"/>
      <c r="L11" s="231"/>
      <c r="M11" s="231"/>
      <c r="N11" s="231"/>
      <c r="O11" s="231"/>
      <c r="P11" s="231"/>
      <c r="Q11" s="231"/>
      <c r="R11" s="231"/>
      <c r="S11" s="231"/>
      <c r="T11" s="231"/>
      <c r="U11" s="231"/>
      <c r="V11" s="231"/>
      <c r="W11" s="231"/>
      <c r="X11" s="231"/>
      <c r="Y11" s="231"/>
      <c r="Z11" s="231"/>
      <c r="AA11" s="231"/>
      <c r="AB11" s="231"/>
      <c r="AC11" s="231"/>
      <c r="AD11" s="231"/>
      <c r="AE11" s="231"/>
      <c r="AF11" s="231"/>
      <c r="AG11" s="231"/>
      <c r="AH11" s="231"/>
      <c r="AI11" s="231"/>
      <c r="AJ11" s="231"/>
      <c r="AK11" s="231"/>
      <c r="AL11" s="231"/>
      <c r="AM11" s="231"/>
    </row>
    <row r="12" spans="1:39" s="203" customFormat="1">
      <c r="A12" s="24"/>
      <c r="B12" s="25" t="s">
        <v>7</v>
      </c>
      <c r="C12" s="26"/>
      <c r="D12" s="356"/>
      <c r="E12" s="356"/>
      <c r="F12" s="357"/>
      <c r="G12" s="21"/>
      <c r="H12" s="21"/>
      <c r="I12" s="29"/>
      <c r="J12" s="231"/>
      <c r="K12" s="231"/>
      <c r="L12" s="231"/>
      <c r="M12" s="231"/>
      <c r="N12" s="231"/>
      <c r="O12" s="231"/>
      <c r="P12" s="231"/>
      <c r="Q12" s="231"/>
      <c r="R12" s="231"/>
      <c r="S12" s="231"/>
      <c r="T12" s="231"/>
      <c r="U12" s="231"/>
      <c r="V12" s="231"/>
      <c r="W12" s="231"/>
      <c r="X12" s="231"/>
      <c r="Y12" s="231"/>
      <c r="Z12" s="231"/>
      <c r="AA12" s="231"/>
      <c r="AB12" s="231"/>
      <c r="AC12" s="231"/>
      <c r="AD12" s="231"/>
      <c r="AE12" s="231"/>
      <c r="AF12" s="231"/>
      <c r="AG12" s="231"/>
      <c r="AH12" s="231"/>
      <c r="AI12" s="231"/>
      <c r="AJ12" s="231"/>
      <c r="AK12" s="231"/>
      <c r="AL12" s="231"/>
      <c r="AM12" s="231"/>
    </row>
    <row r="13" spans="1:39" s="203" customFormat="1">
      <c r="A13" s="23"/>
      <c r="B13" s="27"/>
      <c r="C13" s="358"/>
      <c r="D13" s="15"/>
      <c r="E13" s="15"/>
      <c r="F13" s="359"/>
      <c r="G13" s="207"/>
      <c r="H13" s="21"/>
      <c r="I13" s="29"/>
      <c r="J13" s="231"/>
      <c r="K13" s="231"/>
      <c r="L13" s="231"/>
      <c r="M13" s="231"/>
      <c r="N13" s="231"/>
      <c r="O13" s="231"/>
      <c r="P13" s="231"/>
      <c r="Q13" s="231"/>
      <c r="R13" s="231"/>
      <c r="S13" s="231"/>
      <c r="T13" s="231"/>
      <c r="U13" s="231"/>
      <c r="V13" s="231"/>
      <c r="W13" s="231"/>
      <c r="X13" s="231"/>
      <c r="Y13" s="231"/>
      <c r="Z13" s="231"/>
      <c r="AA13" s="231"/>
      <c r="AB13" s="231"/>
      <c r="AC13" s="231"/>
      <c r="AD13" s="231"/>
      <c r="AE13" s="231"/>
      <c r="AF13" s="231"/>
      <c r="AG13" s="231"/>
      <c r="AH13" s="231"/>
      <c r="AI13" s="231"/>
      <c r="AJ13" s="231"/>
      <c r="AK13" s="231"/>
      <c r="AL13" s="231"/>
      <c r="AM13" s="231"/>
    </row>
    <row r="14" spans="1:39" s="203" customFormat="1">
      <c r="A14" s="23"/>
      <c r="B14" s="363" t="s">
        <v>328</v>
      </c>
      <c r="C14" s="870" t="s">
        <v>10</v>
      </c>
      <c r="D14" s="870"/>
      <c r="E14" s="870"/>
      <c r="F14" s="871"/>
      <c r="G14" s="207"/>
      <c r="H14" s="21"/>
      <c r="I14" s="29"/>
      <c r="J14" s="231"/>
      <c r="K14" s="231"/>
      <c r="L14" s="231"/>
      <c r="M14" s="231"/>
      <c r="N14" s="231"/>
      <c r="O14" s="231"/>
      <c r="P14" s="231"/>
      <c r="Q14" s="231"/>
      <c r="R14" s="231"/>
      <c r="S14" s="231"/>
      <c r="T14" s="231"/>
      <c r="U14" s="231"/>
      <c r="V14" s="231"/>
      <c r="W14" s="231"/>
      <c r="X14" s="231"/>
      <c r="Y14" s="231"/>
      <c r="Z14" s="231"/>
      <c r="AA14" s="231"/>
      <c r="AB14" s="231"/>
      <c r="AC14" s="231"/>
      <c r="AD14" s="231"/>
      <c r="AE14" s="231"/>
      <c r="AF14" s="231"/>
      <c r="AG14" s="231"/>
      <c r="AH14" s="231"/>
      <c r="AI14" s="231"/>
      <c r="AJ14" s="231"/>
      <c r="AK14" s="231"/>
      <c r="AL14" s="231"/>
      <c r="AM14" s="231"/>
    </row>
    <row r="15" spans="1:39" s="203" customFormat="1">
      <c r="A15" s="23"/>
      <c r="B15" s="363" t="s">
        <v>329</v>
      </c>
      <c r="C15" s="870" t="s">
        <v>12</v>
      </c>
      <c r="D15" s="870"/>
      <c r="E15" s="870"/>
      <c r="F15" s="871"/>
      <c r="G15" s="207"/>
      <c r="H15" s="21"/>
      <c r="I15" s="29"/>
      <c r="J15" s="231"/>
      <c r="K15" s="231"/>
      <c r="L15" s="231"/>
      <c r="M15" s="231"/>
      <c r="N15" s="231"/>
      <c r="O15" s="231"/>
      <c r="P15" s="231"/>
      <c r="Q15" s="231"/>
      <c r="R15" s="231"/>
      <c r="S15" s="231"/>
      <c r="T15" s="231"/>
      <c r="U15" s="231"/>
      <c r="V15" s="231"/>
      <c r="W15" s="231"/>
      <c r="X15" s="231"/>
      <c r="Y15" s="231"/>
      <c r="Z15" s="231"/>
      <c r="AA15" s="231"/>
      <c r="AB15" s="231"/>
      <c r="AC15" s="231"/>
      <c r="AD15" s="231"/>
      <c r="AE15" s="231"/>
      <c r="AF15" s="231"/>
      <c r="AG15" s="231"/>
      <c r="AH15" s="231"/>
      <c r="AI15" s="231"/>
      <c r="AJ15" s="231"/>
      <c r="AK15" s="231"/>
      <c r="AL15" s="231"/>
      <c r="AM15" s="231"/>
    </row>
    <row r="16" spans="1:39" s="203" customFormat="1">
      <c r="A16" s="23"/>
      <c r="B16" s="360" t="s">
        <v>14</v>
      </c>
      <c r="C16" s="870" t="s">
        <v>15</v>
      </c>
      <c r="D16" s="870"/>
      <c r="E16" s="870"/>
      <c r="F16" s="871"/>
      <c r="G16" s="207"/>
      <c r="H16" s="21"/>
      <c r="I16" s="29"/>
      <c r="J16" s="231"/>
      <c r="K16" s="231"/>
      <c r="L16" s="231"/>
      <c r="M16" s="231"/>
      <c r="N16" s="231"/>
      <c r="O16" s="231"/>
      <c r="P16" s="231"/>
      <c r="Q16" s="231"/>
      <c r="R16" s="231"/>
      <c r="S16" s="231"/>
      <c r="T16" s="231"/>
      <c r="U16" s="231"/>
      <c r="V16" s="231"/>
      <c r="W16" s="231"/>
      <c r="X16" s="231"/>
      <c r="Y16" s="231"/>
      <c r="Z16" s="231"/>
      <c r="AA16" s="231"/>
      <c r="AB16" s="231"/>
      <c r="AC16" s="231"/>
      <c r="AD16" s="231"/>
      <c r="AE16" s="231"/>
      <c r="AF16" s="231"/>
      <c r="AG16" s="231"/>
      <c r="AH16" s="231"/>
      <c r="AI16" s="231"/>
      <c r="AJ16" s="231"/>
      <c r="AK16" s="231"/>
      <c r="AL16" s="231"/>
      <c r="AM16" s="231"/>
    </row>
    <row r="17" spans="1:39" s="203" customFormat="1">
      <c r="A17" s="23"/>
      <c r="B17" s="360" t="s">
        <v>17</v>
      </c>
      <c r="C17" s="870" t="s">
        <v>18</v>
      </c>
      <c r="D17" s="870"/>
      <c r="E17" s="870"/>
      <c r="F17" s="871"/>
      <c r="G17" s="207"/>
      <c r="H17" s="21"/>
      <c r="I17" s="29"/>
      <c r="J17" s="231"/>
      <c r="K17" s="231"/>
      <c r="L17" s="231"/>
      <c r="M17" s="231"/>
      <c r="N17" s="231"/>
      <c r="O17" s="231"/>
      <c r="P17" s="231"/>
      <c r="Q17" s="231"/>
      <c r="R17" s="231"/>
      <c r="S17" s="231"/>
      <c r="T17" s="231"/>
      <c r="U17" s="231"/>
      <c r="V17" s="231"/>
      <c r="W17" s="231"/>
      <c r="X17" s="231"/>
      <c r="Y17" s="231"/>
      <c r="Z17" s="231"/>
      <c r="AA17" s="231"/>
      <c r="AB17" s="231"/>
      <c r="AC17" s="231"/>
      <c r="AD17" s="231"/>
      <c r="AE17" s="231"/>
      <c r="AF17" s="231"/>
      <c r="AG17" s="231"/>
      <c r="AH17" s="231"/>
      <c r="AI17" s="231"/>
      <c r="AJ17" s="231"/>
      <c r="AK17" s="231"/>
      <c r="AL17" s="231"/>
      <c r="AM17" s="231"/>
    </row>
    <row r="18" spans="1:39" s="203" customFormat="1">
      <c r="A18" s="23"/>
      <c r="B18" s="360" t="s">
        <v>20</v>
      </c>
      <c r="C18" s="870" t="s">
        <v>21</v>
      </c>
      <c r="D18" s="870"/>
      <c r="E18" s="870"/>
      <c r="F18" s="871"/>
      <c r="G18" s="207"/>
      <c r="H18" s="21"/>
      <c r="I18" s="29"/>
      <c r="J18" s="231"/>
      <c r="K18" s="231"/>
      <c r="L18" s="231"/>
      <c r="M18" s="231"/>
      <c r="N18" s="231"/>
      <c r="O18" s="231"/>
      <c r="P18" s="231"/>
      <c r="Q18" s="231"/>
      <c r="R18" s="231"/>
      <c r="S18" s="231"/>
      <c r="T18" s="231"/>
      <c r="U18" s="231"/>
      <c r="V18" s="231"/>
      <c r="W18" s="231"/>
      <c r="X18" s="231"/>
      <c r="Y18" s="231"/>
      <c r="Z18" s="231"/>
      <c r="AA18" s="231"/>
      <c r="AB18" s="231"/>
      <c r="AC18" s="231"/>
      <c r="AD18" s="231"/>
      <c r="AE18" s="231"/>
      <c r="AF18" s="231"/>
      <c r="AG18" s="231"/>
      <c r="AH18" s="231"/>
      <c r="AI18" s="231"/>
      <c r="AJ18" s="231"/>
      <c r="AK18" s="231"/>
      <c r="AL18" s="231"/>
      <c r="AM18" s="231"/>
    </row>
    <row r="19" spans="1:39" s="203" customFormat="1">
      <c r="A19" s="23"/>
      <c r="B19" s="361" t="s">
        <v>23</v>
      </c>
      <c r="C19" s="872" t="s">
        <v>24</v>
      </c>
      <c r="D19" s="872"/>
      <c r="E19" s="872"/>
      <c r="F19" s="873"/>
      <c r="G19" s="21"/>
      <c r="H19" s="21"/>
      <c r="I19" s="29"/>
      <c r="J19" s="231"/>
      <c r="K19" s="231"/>
      <c r="L19" s="231"/>
      <c r="M19" s="231"/>
      <c r="N19" s="231"/>
      <c r="O19" s="231"/>
      <c r="P19" s="231"/>
      <c r="Q19" s="231"/>
      <c r="R19" s="231"/>
      <c r="S19" s="231"/>
      <c r="T19" s="231"/>
      <c r="U19" s="231"/>
      <c r="V19" s="231"/>
      <c r="W19" s="231"/>
      <c r="X19" s="231"/>
      <c r="Y19" s="231"/>
      <c r="Z19" s="231"/>
      <c r="AA19" s="231"/>
      <c r="AB19" s="231"/>
      <c r="AC19" s="231"/>
      <c r="AD19" s="231"/>
      <c r="AE19" s="231"/>
      <c r="AF19" s="231"/>
      <c r="AG19" s="231"/>
      <c r="AH19" s="231"/>
      <c r="AI19" s="231"/>
      <c r="AJ19" s="231"/>
      <c r="AK19" s="231"/>
      <c r="AL19" s="231"/>
      <c r="AM19" s="231"/>
    </row>
    <row r="20" spans="1:39" s="203" customFormat="1">
      <c r="A20" s="236"/>
      <c r="B20" s="206"/>
      <c r="C20" s="206"/>
      <c r="D20" s="206"/>
      <c r="E20" s="206"/>
      <c r="F20" s="206"/>
      <c r="G20" s="206"/>
      <c r="H20" s="206"/>
      <c r="I20" s="206"/>
      <c r="J20" s="231"/>
      <c r="K20" s="231"/>
      <c r="L20" s="231"/>
      <c r="M20" s="231"/>
      <c r="N20" s="231"/>
      <c r="O20" s="231"/>
      <c r="P20" s="231"/>
      <c r="Q20" s="231"/>
      <c r="R20" s="231"/>
      <c r="S20" s="231"/>
      <c r="T20" s="231"/>
      <c r="U20" s="231"/>
      <c r="V20" s="231"/>
      <c r="W20" s="231"/>
      <c r="X20" s="231"/>
      <c r="Y20" s="231"/>
      <c r="Z20" s="231"/>
      <c r="AA20" s="231"/>
      <c r="AB20" s="231"/>
      <c r="AC20" s="231"/>
      <c r="AD20" s="231"/>
      <c r="AE20" s="231"/>
      <c r="AF20" s="231"/>
      <c r="AG20" s="231"/>
      <c r="AH20" s="231"/>
      <c r="AI20" s="231"/>
      <c r="AJ20" s="231"/>
      <c r="AK20" s="231"/>
      <c r="AL20" s="231"/>
      <c r="AM20" s="231"/>
    </row>
    <row r="21" spans="1:39" s="203" customFormat="1" ht="19.5">
      <c r="A21" s="30"/>
      <c r="B21" s="13"/>
      <c r="C21" s="13"/>
      <c r="D21" s="13"/>
      <c r="E21" s="13"/>
      <c r="F21" s="13"/>
      <c r="G21" s="13"/>
      <c r="H21" s="31" t="s">
        <v>27</v>
      </c>
      <c r="I21" s="237"/>
      <c r="J21" s="231"/>
      <c r="K21" s="231"/>
      <c r="L21" s="231"/>
      <c r="M21" s="231"/>
      <c r="N21" s="231"/>
      <c r="O21" s="231"/>
      <c r="P21" s="231"/>
      <c r="Q21" s="231"/>
      <c r="R21" s="231"/>
      <c r="S21" s="231"/>
      <c r="T21" s="231"/>
      <c r="U21" s="231"/>
      <c r="V21" s="231"/>
      <c r="W21" s="231"/>
      <c r="X21" s="231"/>
      <c r="Y21" s="231"/>
      <c r="Z21" s="231"/>
      <c r="AA21" s="231"/>
      <c r="AB21" s="231"/>
      <c r="AC21" s="231"/>
      <c r="AD21" s="231"/>
      <c r="AE21" s="231"/>
      <c r="AF21" s="231"/>
      <c r="AG21" s="231"/>
      <c r="AH21" s="231"/>
      <c r="AI21" s="231"/>
      <c r="AJ21" s="231"/>
      <c r="AK21" s="231"/>
      <c r="AL21" s="231"/>
      <c r="AM21" s="231"/>
    </row>
    <row r="22" spans="1:39" s="203" customFormat="1" ht="18.75" customHeight="1">
      <c r="A22" s="32"/>
      <c r="B22" s="29"/>
      <c r="C22" s="29"/>
      <c r="D22" s="29"/>
      <c r="E22" s="29"/>
      <c r="F22" s="33">
        <v>1</v>
      </c>
      <c r="G22" s="34"/>
      <c r="H22" s="33">
        <v>2</v>
      </c>
      <c r="I22" s="34"/>
      <c r="J22" s="231"/>
      <c r="K22" s="231"/>
      <c r="L22" s="231"/>
      <c r="M22" s="231"/>
      <c r="N22" s="231"/>
      <c r="O22" s="231"/>
      <c r="P22" s="231"/>
      <c r="Q22" s="231"/>
      <c r="R22" s="231"/>
      <c r="S22" s="231"/>
      <c r="T22" s="231"/>
      <c r="U22" s="231"/>
      <c r="V22" s="231"/>
      <c r="W22" s="231"/>
      <c r="X22" s="231"/>
      <c r="Y22" s="231"/>
      <c r="Z22" s="231"/>
      <c r="AA22" s="231"/>
      <c r="AB22" s="231"/>
      <c r="AC22" s="231"/>
      <c r="AD22" s="231"/>
      <c r="AE22" s="231"/>
      <c r="AF22" s="231"/>
      <c r="AG22" s="231"/>
      <c r="AH22" s="231"/>
      <c r="AI22" s="231"/>
      <c r="AJ22" s="231"/>
      <c r="AK22" s="231"/>
      <c r="AL22" s="231"/>
      <c r="AM22" s="231"/>
    </row>
    <row r="23" spans="1:39" s="203" customFormat="1" ht="21.95" customHeight="1">
      <c r="A23" s="874" t="s">
        <v>30</v>
      </c>
      <c r="B23" s="875"/>
      <c r="C23" s="875"/>
      <c r="D23" s="875"/>
      <c r="E23" s="878" t="s">
        <v>376</v>
      </c>
      <c r="F23" s="856" t="s">
        <v>407</v>
      </c>
      <c r="G23" s="36"/>
      <c r="H23" s="878" t="s">
        <v>406</v>
      </c>
      <c r="I23" s="36"/>
      <c r="J23" s="231"/>
      <c r="K23" s="231"/>
      <c r="L23" s="231"/>
      <c r="M23" s="231"/>
      <c r="N23" s="231"/>
      <c r="O23" s="231"/>
      <c r="P23" s="231"/>
      <c r="Q23" s="231"/>
      <c r="R23" s="231"/>
      <c r="S23" s="231"/>
      <c r="T23" s="231"/>
      <c r="U23" s="231"/>
      <c r="V23" s="231"/>
      <c r="W23" s="231"/>
      <c r="X23" s="231"/>
      <c r="Y23" s="231"/>
      <c r="Z23" s="231"/>
      <c r="AA23" s="231"/>
      <c r="AB23" s="231"/>
      <c r="AC23" s="231"/>
      <c r="AD23" s="231"/>
      <c r="AE23" s="231"/>
      <c r="AF23" s="231"/>
      <c r="AG23" s="231"/>
      <c r="AH23" s="231"/>
      <c r="AI23" s="231"/>
      <c r="AJ23" s="231"/>
      <c r="AK23" s="231"/>
      <c r="AL23" s="231"/>
      <c r="AM23" s="231"/>
    </row>
    <row r="24" spans="1:39" s="203" customFormat="1" ht="21.95" customHeight="1">
      <c r="A24" s="876"/>
      <c r="B24" s="877"/>
      <c r="C24" s="877"/>
      <c r="D24" s="877"/>
      <c r="E24" s="879"/>
      <c r="F24" s="860"/>
      <c r="G24" s="23"/>
      <c r="H24" s="879"/>
      <c r="I24" s="36"/>
      <c r="J24" s="231"/>
      <c r="K24" s="231"/>
      <c r="L24" s="231"/>
      <c r="M24" s="231"/>
      <c r="N24" s="231"/>
      <c r="O24" s="231"/>
      <c r="P24" s="231"/>
      <c r="Q24" s="231"/>
      <c r="R24" s="231"/>
      <c r="S24" s="231"/>
      <c r="T24" s="231"/>
      <c r="U24" s="231"/>
      <c r="V24" s="231"/>
      <c r="W24" s="231"/>
      <c r="X24" s="231"/>
      <c r="Y24" s="231"/>
      <c r="Z24" s="231"/>
      <c r="AA24" s="231"/>
      <c r="AB24" s="231"/>
      <c r="AC24" s="231"/>
      <c r="AD24" s="231"/>
      <c r="AE24" s="231"/>
      <c r="AF24" s="231"/>
      <c r="AG24" s="231"/>
      <c r="AH24" s="231"/>
      <c r="AI24" s="231"/>
      <c r="AJ24" s="231"/>
      <c r="AK24" s="231"/>
      <c r="AL24" s="231"/>
      <c r="AM24" s="231"/>
    </row>
    <row r="25" spans="1:39" s="203" customFormat="1" ht="21.95" customHeight="1">
      <c r="A25" s="898" t="s">
        <v>48</v>
      </c>
      <c r="B25" s="901" t="s">
        <v>49</v>
      </c>
      <c r="C25" s="901"/>
      <c r="D25" s="902"/>
      <c r="E25" s="907" t="s">
        <v>50</v>
      </c>
      <c r="F25" s="909" t="s">
        <v>51</v>
      </c>
      <c r="G25" s="34"/>
      <c r="H25" s="907" t="s">
        <v>50</v>
      </c>
      <c r="I25" s="36"/>
      <c r="J25" s="231"/>
      <c r="K25" s="231"/>
      <c r="L25" s="231"/>
      <c r="M25" s="231"/>
      <c r="N25" s="231"/>
      <c r="O25" s="231"/>
      <c r="P25" s="231"/>
      <c r="Q25" s="231"/>
      <c r="R25" s="231"/>
      <c r="S25" s="231"/>
      <c r="T25" s="231"/>
      <c r="U25" s="231"/>
      <c r="V25" s="231"/>
      <c r="W25" s="231"/>
      <c r="X25" s="231"/>
      <c r="Y25" s="231"/>
      <c r="Z25" s="231"/>
      <c r="AA25" s="231"/>
      <c r="AB25" s="231"/>
      <c r="AC25" s="231"/>
      <c r="AD25" s="231"/>
      <c r="AE25" s="231"/>
      <c r="AF25" s="231"/>
      <c r="AG25" s="231"/>
      <c r="AH25" s="231"/>
      <c r="AI25" s="231"/>
      <c r="AJ25" s="231"/>
      <c r="AK25" s="231"/>
      <c r="AL25" s="231"/>
      <c r="AM25" s="231"/>
    </row>
    <row r="26" spans="1:39" s="203" customFormat="1" ht="21.95" customHeight="1">
      <c r="A26" s="899"/>
      <c r="B26" s="903"/>
      <c r="C26" s="903"/>
      <c r="D26" s="904"/>
      <c r="E26" s="908"/>
      <c r="F26" s="859"/>
      <c r="G26" s="34"/>
      <c r="H26" s="908"/>
      <c r="I26" s="36"/>
      <c r="J26" s="231"/>
      <c r="K26" s="231"/>
      <c r="L26" s="231"/>
      <c r="M26" s="231"/>
      <c r="N26" s="231"/>
      <c r="O26" s="231"/>
      <c r="P26" s="231"/>
      <c r="Q26" s="231"/>
      <c r="R26" s="231"/>
      <c r="S26" s="231"/>
      <c r="T26" s="231"/>
      <c r="U26" s="231"/>
      <c r="V26" s="231"/>
      <c r="W26" s="231"/>
      <c r="X26" s="231"/>
      <c r="Y26" s="231"/>
      <c r="Z26" s="231"/>
      <c r="AA26" s="231"/>
      <c r="AB26" s="231"/>
      <c r="AC26" s="231"/>
      <c r="AD26" s="231"/>
      <c r="AE26" s="231"/>
      <c r="AF26" s="231"/>
      <c r="AG26" s="231"/>
      <c r="AH26" s="231"/>
      <c r="AI26" s="231"/>
      <c r="AJ26" s="231"/>
      <c r="AK26" s="231"/>
      <c r="AL26" s="231"/>
      <c r="AM26" s="231"/>
    </row>
    <row r="27" spans="1:39" s="203" customFormat="1" ht="21.95" customHeight="1">
      <c r="A27" s="900"/>
      <c r="B27" s="905"/>
      <c r="C27" s="905"/>
      <c r="D27" s="906"/>
      <c r="E27" s="879"/>
      <c r="F27" s="860"/>
      <c r="G27" s="34"/>
      <c r="H27" s="879"/>
      <c r="I27" s="36"/>
      <c r="J27" s="231"/>
      <c r="K27" s="231"/>
      <c r="L27" s="231"/>
      <c r="M27" s="231"/>
      <c r="N27" s="231"/>
      <c r="O27" s="231"/>
      <c r="P27" s="231"/>
      <c r="Q27" s="231"/>
      <c r="R27" s="231"/>
      <c r="S27" s="231"/>
      <c r="T27" s="231"/>
      <c r="U27" s="231"/>
      <c r="V27" s="231"/>
      <c r="W27" s="231"/>
      <c r="X27" s="231"/>
      <c r="Y27" s="231"/>
      <c r="Z27" s="231"/>
      <c r="AA27" s="231"/>
      <c r="AB27" s="231"/>
      <c r="AC27" s="231"/>
      <c r="AD27" s="231"/>
      <c r="AE27" s="231"/>
      <c r="AF27" s="231"/>
      <c r="AG27" s="231"/>
      <c r="AH27" s="231"/>
      <c r="AI27" s="231"/>
      <c r="AJ27" s="231"/>
      <c r="AK27" s="231"/>
      <c r="AL27" s="231"/>
      <c r="AM27" s="231"/>
    </row>
    <row r="28" spans="1:39" s="203" customFormat="1">
      <c r="A28" s="38">
        <v>1</v>
      </c>
      <c r="B28" s="39" t="s">
        <v>52</v>
      </c>
      <c r="C28" s="39"/>
      <c r="D28" s="40"/>
      <c r="E28" s="41">
        <v>100201</v>
      </c>
      <c r="F28" s="42">
        <f>F77</f>
        <v>102920</v>
      </c>
      <c r="G28" s="43"/>
      <c r="H28" s="44">
        <f>H77</f>
        <v>109725</v>
      </c>
      <c r="I28" s="43"/>
      <c r="J28" s="231"/>
      <c r="K28" s="231"/>
      <c r="L28" s="231"/>
      <c r="M28" s="231"/>
      <c r="N28" s="231"/>
      <c r="O28" s="231"/>
      <c r="P28" s="231"/>
      <c r="Q28" s="231"/>
      <c r="R28" s="231"/>
      <c r="S28" s="231"/>
      <c r="T28" s="231"/>
      <c r="U28" s="231"/>
      <c r="V28" s="231"/>
      <c r="W28" s="231"/>
      <c r="X28" s="231"/>
      <c r="Y28" s="231"/>
      <c r="Z28" s="231"/>
      <c r="AA28" s="231"/>
      <c r="AB28" s="231"/>
      <c r="AC28" s="231"/>
      <c r="AD28" s="231"/>
      <c r="AE28" s="231"/>
      <c r="AF28" s="231"/>
      <c r="AG28" s="231"/>
      <c r="AH28" s="231"/>
      <c r="AI28" s="231"/>
      <c r="AJ28" s="231"/>
      <c r="AK28" s="231"/>
      <c r="AL28" s="231"/>
      <c r="AM28" s="231"/>
    </row>
    <row r="29" spans="1:39" s="203" customFormat="1">
      <c r="A29" s="46">
        <v>2</v>
      </c>
      <c r="B29" s="47" t="s">
        <v>53</v>
      </c>
      <c r="C29" s="47"/>
      <c r="D29" s="48"/>
      <c r="E29" s="49">
        <v>61066</v>
      </c>
      <c r="F29" s="50">
        <f>F105</f>
        <v>64603</v>
      </c>
      <c r="G29" s="43"/>
      <c r="H29" s="51">
        <f>H105</f>
        <v>63344</v>
      </c>
      <c r="I29" s="43"/>
      <c r="J29" s="231"/>
      <c r="K29" s="231"/>
      <c r="L29" s="231"/>
      <c r="M29" s="231"/>
      <c r="N29" s="231"/>
      <c r="O29" s="231"/>
      <c r="P29" s="231"/>
      <c r="Q29" s="231"/>
      <c r="R29" s="231"/>
      <c r="S29" s="231"/>
      <c r="T29" s="231"/>
      <c r="U29" s="231"/>
      <c r="V29" s="231"/>
      <c r="W29" s="231"/>
      <c r="X29" s="231"/>
      <c r="Y29" s="231"/>
      <c r="Z29" s="231"/>
      <c r="AA29" s="231"/>
      <c r="AB29" s="231"/>
      <c r="AC29" s="231"/>
      <c r="AD29" s="231"/>
      <c r="AE29" s="231"/>
      <c r="AF29" s="231"/>
      <c r="AG29" s="231"/>
      <c r="AH29" s="231"/>
      <c r="AI29" s="231"/>
      <c r="AJ29" s="231"/>
      <c r="AK29" s="231"/>
      <c r="AL29" s="231"/>
      <c r="AM29" s="231"/>
    </row>
    <row r="30" spans="1:39" s="203" customFormat="1">
      <c r="A30" s="46">
        <v>3</v>
      </c>
      <c r="B30" s="47" t="s">
        <v>54</v>
      </c>
      <c r="C30" s="47"/>
      <c r="D30" s="48"/>
      <c r="E30" s="49">
        <v>12211</v>
      </c>
      <c r="F30" s="50">
        <f>F180</f>
        <v>11962</v>
      </c>
      <c r="G30" s="43"/>
      <c r="H30" s="51">
        <f>H180</f>
        <v>12331</v>
      </c>
      <c r="I30" s="43"/>
      <c r="J30" s="231"/>
      <c r="K30" s="231"/>
      <c r="L30" s="231"/>
      <c r="M30" s="231"/>
      <c r="N30" s="231"/>
      <c r="O30" s="231"/>
      <c r="P30" s="231"/>
      <c r="Q30" s="231"/>
      <c r="R30" s="231"/>
      <c r="S30" s="231"/>
      <c r="T30" s="231"/>
      <c r="U30" s="231"/>
      <c r="V30" s="231"/>
      <c r="W30" s="231"/>
      <c r="X30" s="231"/>
      <c r="Y30" s="231"/>
      <c r="Z30" s="231"/>
      <c r="AA30" s="231"/>
      <c r="AB30" s="231"/>
      <c r="AC30" s="231"/>
      <c r="AD30" s="231"/>
      <c r="AE30" s="231"/>
      <c r="AF30" s="231"/>
      <c r="AG30" s="231"/>
      <c r="AH30" s="231"/>
      <c r="AI30" s="231"/>
      <c r="AJ30" s="231"/>
      <c r="AK30" s="231"/>
      <c r="AL30" s="231"/>
      <c r="AM30" s="231"/>
    </row>
    <row r="31" spans="1:39" s="203" customFormat="1">
      <c r="A31" s="46">
        <v>4</v>
      </c>
      <c r="B31" s="47" t="s">
        <v>55</v>
      </c>
      <c r="C31" s="47"/>
      <c r="D31" s="48"/>
      <c r="E31" s="49">
        <v>18018</v>
      </c>
      <c r="F31" s="50">
        <f>F214</f>
        <v>17567</v>
      </c>
      <c r="G31" s="43"/>
      <c r="H31" s="51">
        <f>H214</f>
        <v>17448</v>
      </c>
      <c r="I31" s="43"/>
      <c r="J31" s="231"/>
      <c r="K31" s="231"/>
      <c r="L31" s="231"/>
      <c r="M31" s="231"/>
      <c r="N31" s="231"/>
      <c r="O31" s="231"/>
      <c r="P31" s="231"/>
      <c r="Q31" s="231"/>
      <c r="R31" s="231"/>
      <c r="S31" s="231"/>
      <c r="T31" s="231"/>
      <c r="U31" s="231"/>
      <c r="V31" s="231"/>
      <c r="W31" s="231"/>
      <c r="X31" s="231"/>
      <c r="Y31" s="231"/>
      <c r="Z31" s="231"/>
      <c r="AA31" s="231"/>
      <c r="AB31" s="231"/>
      <c r="AC31" s="231"/>
      <c r="AD31" s="231"/>
      <c r="AE31" s="231"/>
      <c r="AF31" s="231"/>
      <c r="AG31" s="231"/>
      <c r="AH31" s="231"/>
      <c r="AI31" s="231"/>
      <c r="AJ31" s="231"/>
      <c r="AK31" s="231"/>
      <c r="AL31" s="231"/>
      <c r="AM31" s="231"/>
    </row>
    <row r="32" spans="1:39" s="203" customFormat="1">
      <c r="A32" s="46">
        <v>5</v>
      </c>
      <c r="B32" s="47" t="s">
        <v>56</v>
      </c>
      <c r="C32" s="47"/>
      <c r="D32" s="48"/>
      <c r="E32" s="49">
        <v>3605</v>
      </c>
      <c r="F32" s="50">
        <f>F231</f>
        <v>3865</v>
      </c>
      <c r="G32" s="43"/>
      <c r="H32" s="51">
        <f>H231</f>
        <v>3479</v>
      </c>
      <c r="I32" s="43"/>
      <c r="J32" s="231"/>
      <c r="K32" s="231"/>
      <c r="L32" s="231"/>
      <c r="M32" s="231"/>
      <c r="N32" s="231"/>
      <c r="O32" s="231"/>
      <c r="P32" s="231"/>
      <c r="Q32" s="231"/>
      <c r="R32" s="231"/>
      <c r="S32" s="231"/>
      <c r="T32" s="231"/>
      <c r="U32" s="231"/>
      <c r="V32" s="231"/>
      <c r="W32" s="231"/>
      <c r="X32" s="231"/>
      <c r="Y32" s="231"/>
      <c r="Z32" s="231"/>
      <c r="AA32" s="231"/>
      <c r="AB32" s="231"/>
      <c r="AC32" s="231"/>
      <c r="AD32" s="231"/>
      <c r="AE32" s="231"/>
      <c r="AF32" s="231"/>
      <c r="AG32" s="231"/>
      <c r="AH32" s="231"/>
      <c r="AI32" s="231"/>
      <c r="AJ32" s="231"/>
      <c r="AK32" s="231"/>
      <c r="AL32" s="231"/>
      <c r="AM32" s="231"/>
    </row>
    <row r="33" spans="1:39" s="203" customFormat="1">
      <c r="A33" s="46">
        <v>6</v>
      </c>
      <c r="B33" s="47" t="s">
        <v>57</v>
      </c>
      <c r="C33" s="47"/>
      <c r="D33" s="48"/>
      <c r="E33" s="49">
        <v>6982</v>
      </c>
      <c r="F33" s="50">
        <f>F257</f>
        <v>6891</v>
      </c>
      <c r="G33" s="43"/>
      <c r="H33" s="51">
        <f>H257</f>
        <v>7036</v>
      </c>
      <c r="I33" s="43"/>
      <c r="J33" s="231"/>
      <c r="K33" s="231"/>
      <c r="L33" s="231"/>
      <c r="M33" s="231"/>
      <c r="N33" s="231"/>
      <c r="O33" s="231"/>
      <c r="P33" s="231"/>
      <c r="Q33" s="231"/>
      <c r="R33" s="231"/>
      <c r="S33" s="231"/>
      <c r="T33" s="231"/>
      <c r="U33" s="231"/>
      <c r="V33" s="231"/>
      <c r="W33" s="231"/>
      <c r="X33" s="231"/>
      <c r="Y33" s="231"/>
      <c r="Z33" s="231"/>
      <c r="AA33" s="231"/>
      <c r="AB33" s="231"/>
      <c r="AC33" s="231"/>
      <c r="AD33" s="231"/>
      <c r="AE33" s="231"/>
      <c r="AF33" s="231"/>
      <c r="AG33" s="231"/>
      <c r="AH33" s="231"/>
      <c r="AI33" s="231"/>
      <c r="AJ33" s="231"/>
      <c r="AK33" s="231"/>
      <c r="AL33" s="231"/>
      <c r="AM33" s="231"/>
    </row>
    <row r="34" spans="1:39" s="203" customFormat="1">
      <c r="A34" s="46">
        <v>7</v>
      </c>
      <c r="B34" s="47" t="s">
        <v>58</v>
      </c>
      <c r="C34" s="47"/>
      <c r="D34" s="48"/>
      <c r="E34" s="49">
        <v>6011</v>
      </c>
      <c r="F34" s="50">
        <f>F277</f>
        <v>7580</v>
      </c>
      <c r="G34" s="43"/>
      <c r="H34" s="50">
        <f>H277</f>
        <v>5893</v>
      </c>
      <c r="I34" s="43"/>
      <c r="J34" s="231"/>
      <c r="K34" s="231"/>
      <c r="L34" s="231"/>
      <c r="M34" s="231"/>
      <c r="N34" s="231"/>
      <c r="O34" s="231"/>
      <c r="P34" s="231"/>
      <c r="Q34" s="231"/>
      <c r="R34" s="231"/>
      <c r="S34" s="231"/>
      <c r="T34" s="231"/>
      <c r="U34" s="231"/>
      <c r="V34" s="231"/>
      <c r="W34" s="231"/>
      <c r="X34" s="231"/>
      <c r="Y34" s="231"/>
      <c r="Z34" s="231"/>
      <c r="AA34" s="231"/>
      <c r="AB34" s="231"/>
      <c r="AC34" s="231"/>
      <c r="AD34" s="231"/>
      <c r="AE34" s="231"/>
      <c r="AF34" s="231"/>
      <c r="AG34" s="231"/>
      <c r="AH34" s="231"/>
      <c r="AI34" s="231"/>
      <c r="AJ34" s="231"/>
      <c r="AK34" s="231"/>
      <c r="AL34" s="231"/>
      <c r="AM34" s="231"/>
    </row>
    <row r="35" spans="1:39" s="203" customFormat="1">
      <c r="A35" s="46">
        <v>8</v>
      </c>
      <c r="B35" s="47" t="s">
        <v>59</v>
      </c>
      <c r="C35" s="47"/>
      <c r="D35" s="48"/>
      <c r="E35" s="49">
        <v>10198</v>
      </c>
      <c r="F35" s="50">
        <f>F302</f>
        <v>9983</v>
      </c>
      <c r="G35" s="43"/>
      <c r="H35" s="50">
        <f>H302</f>
        <v>9745</v>
      </c>
      <c r="I35" s="21"/>
      <c r="J35" s="231"/>
      <c r="K35" s="231"/>
      <c r="L35" s="231"/>
      <c r="M35" s="231"/>
      <c r="N35" s="231"/>
      <c r="O35" s="231"/>
      <c r="P35" s="231"/>
      <c r="Q35" s="231"/>
      <c r="R35" s="231"/>
      <c r="S35" s="231"/>
      <c r="T35" s="231"/>
      <c r="U35" s="231"/>
      <c r="V35" s="231"/>
      <c r="W35" s="231"/>
      <c r="X35" s="231"/>
      <c r="Y35" s="231"/>
      <c r="Z35" s="231"/>
      <c r="AA35" s="231"/>
      <c r="AB35" s="231"/>
      <c r="AC35" s="231"/>
      <c r="AD35" s="231"/>
      <c r="AE35" s="231"/>
      <c r="AF35" s="231"/>
      <c r="AG35" s="231"/>
      <c r="AH35" s="231"/>
      <c r="AI35" s="231"/>
      <c r="AJ35" s="231"/>
      <c r="AK35" s="231"/>
      <c r="AL35" s="231"/>
      <c r="AM35" s="231"/>
    </row>
    <row r="36" spans="1:39" s="203" customFormat="1">
      <c r="A36" s="46">
        <v>9</v>
      </c>
      <c r="B36" s="47" t="s">
        <v>60</v>
      </c>
      <c r="C36" s="47"/>
      <c r="D36" s="48"/>
      <c r="E36" s="49">
        <v>69</v>
      </c>
      <c r="F36" s="52">
        <f>839-722</f>
        <v>117</v>
      </c>
      <c r="G36" s="43"/>
      <c r="H36" s="52">
        <f>293-549</f>
        <v>-256</v>
      </c>
      <c r="I36" s="21"/>
      <c r="J36" s="231"/>
      <c r="K36" s="231"/>
      <c r="L36" s="231"/>
      <c r="M36" s="231"/>
      <c r="N36" s="231"/>
      <c r="O36" s="231"/>
      <c r="P36" s="231"/>
      <c r="Q36" s="231"/>
      <c r="R36" s="231"/>
      <c r="S36" s="231"/>
      <c r="T36" s="231"/>
      <c r="U36" s="231"/>
      <c r="V36" s="231"/>
      <c r="W36" s="231"/>
      <c r="X36" s="231"/>
      <c r="Y36" s="231"/>
      <c r="Z36" s="231"/>
      <c r="AA36" s="231"/>
      <c r="AB36" s="231"/>
      <c r="AC36" s="231"/>
      <c r="AD36" s="231"/>
      <c r="AE36" s="231"/>
      <c r="AF36" s="231"/>
      <c r="AG36" s="231"/>
      <c r="AH36" s="231"/>
      <c r="AI36" s="231"/>
      <c r="AJ36" s="231"/>
      <c r="AK36" s="231"/>
      <c r="AL36" s="231"/>
      <c r="AM36" s="231"/>
    </row>
    <row r="37" spans="1:39" s="203" customFormat="1">
      <c r="A37" s="53">
        <v>10</v>
      </c>
      <c r="B37" s="54" t="s">
        <v>61</v>
      </c>
      <c r="C37" s="54"/>
      <c r="D37" s="55"/>
      <c r="E37" s="56">
        <v>24373</v>
      </c>
      <c r="F37" s="57">
        <f>F320</f>
        <v>24780</v>
      </c>
      <c r="G37" s="43"/>
      <c r="H37" s="57">
        <f>H320</f>
        <v>24228</v>
      </c>
      <c r="I37" s="21"/>
      <c r="J37" s="231"/>
      <c r="K37" s="231"/>
      <c r="L37" s="231"/>
      <c r="M37" s="231"/>
      <c r="N37" s="231"/>
      <c r="O37" s="231"/>
      <c r="P37" s="231"/>
      <c r="Q37" s="231"/>
      <c r="R37" s="231"/>
      <c r="S37" s="231"/>
      <c r="T37" s="231"/>
      <c r="U37" s="231"/>
      <c r="V37" s="231"/>
      <c r="W37" s="231"/>
      <c r="X37" s="231"/>
      <c r="Y37" s="231"/>
      <c r="Z37" s="231"/>
      <c r="AA37" s="231"/>
      <c r="AB37" s="231"/>
      <c r="AC37" s="231"/>
      <c r="AD37" s="231"/>
      <c r="AE37" s="231"/>
      <c r="AF37" s="231"/>
      <c r="AG37" s="231"/>
      <c r="AH37" s="231"/>
      <c r="AI37" s="231"/>
      <c r="AJ37" s="231"/>
      <c r="AK37" s="231"/>
      <c r="AL37" s="231"/>
      <c r="AM37" s="231"/>
    </row>
    <row r="38" spans="1:39" s="203" customFormat="1">
      <c r="A38" s="33">
        <v>11</v>
      </c>
      <c r="B38" s="58" t="s">
        <v>62</v>
      </c>
      <c r="C38" s="58"/>
      <c r="D38" s="59"/>
      <c r="E38" s="60">
        <v>242734</v>
      </c>
      <c r="F38" s="61">
        <f>SUM(F28:F37)</f>
        <v>250268</v>
      </c>
      <c r="G38" s="43"/>
      <c r="H38" s="61">
        <f>SUM(H28:H37)</f>
        <v>252973</v>
      </c>
      <c r="I38" s="68"/>
      <c r="J38" s="231"/>
      <c r="K38" s="231"/>
      <c r="L38" s="231"/>
      <c r="M38" s="231"/>
      <c r="N38" s="231"/>
      <c r="O38" s="231"/>
      <c r="P38" s="231"/>
      <c r="Q38" s="231"/>
      <c r="R38" s="231"/>
      <c r="S38" s="231"/>
      <c r="T38" s="231"/>
      <c r="U38" s="231"/>
      <c r="V38" s="231"/>
      <c r="W38" s="231"/>
      <c r="X38" s="231"/>
      <c r="Y38" s="231"/>
      <c r="Z38" s="231"/>
      <c r="AA38" s="231"/>
      <c r="AB38" s="231"/>
      <c r="AC38" s="231"/>
      <c r="AD38" s="231"/>
      <c r="AE38" s="231"/>
      <c r="AF38" s="231"/>
      <c r="AG38" s="231"/>
      <c r="AH38" s="231"/>
      <c r="AI38" s="231"/>
      <c r="AJ38" s="231"/>
      <c r="AK38" s="231"/>
      <c r="AL38" s="231"/>
      <c r="AM38" s="231"/>
    </row>
    <row r="39" spans="1:39" s="203" customFormat="1" ht="12.75" customHeight="1">
      <c r="A39" s="63"/>
      <c r="B39" s="64"/>
      <c r="C39" s="64"/>
      <c r="D39" s="65"/>
      <c r="E39" s="66"/>
      <c r="F39" s="67"/>
      <c r="G39" s="21"/>
      <c r="H39" s="67"/>
      <c r="I39" s="68"/>
      <c r="J39" s="231"/>
      <c r="K39" s="231"/>
      <c r="L39" s="231"/>
      <c r="M39" s="231"/>
      <c r="N39" s="231"/>
      <c r="O39" s="231"/>
      <c r="P39" s="231"/>
      <c r="Q39" s="231"/>
      <c r="R39" s="231"/>
      <c r="S39" s="231"/>
      <c r="T39" s="231"/>
      <c r="U39" s="231"/>
      <c r="V39" s="231"/>
      <c r="W39" s="231"/>
      <c r="X39" s="231"/>
      <c r="Y39" s="231"/>
      <c r="Z39" s="231"/>
      <c r="AA39" s="231"/>
      <c r="AB39" s="231"/>
      <c r="AC39" s="231"/>
      <c r="AD39" s="231"/>
      <c r="AE39" s="231"/>
      <c r="AF39" s="231"/>
      <c r="AG39" s="231"/>
      <c r="AH39" s="231"/>
      <c r="AI39" s="231"/>
      <c r="AJ39" s="231"/>
      <c r="AK39" s="231"/>
      <c r="AL39" s="231"/>
      <c r="AM39" s="231"/>
    </row>
    <row r="40" spans="1:39" s="203" customFormat="1" ht="12.75" customHeight="1">
      <c r="A40" s="893" t="s">
        <v>63</v>
      </c>
      <c r="B40" s="894"/>
      <c r="C40" s="894"/>
      <c r="D40" s="895"/>
      <c r="E40" s="878" t="s">
        <v>376</v>
      </c>
      <c r="F40" s="856" t="s">
        <v>407</v>
      </c>
      <c r="G40" s="36"/>
      <c r="H40" s="878" t="s">
        <v>406</v>
      </c>
      <c r="I40" s="43"/>
      <c r="J40" s="231"/>
      <c r="K40" s="231"/>
      <c r="L40" s="231"/>
      <c r="M40" s="231"/>
      <c r="N40" s="231"/>
      <c r="O40" s="231"/>
      <c r="P40" s="231"/>
      <c r="Q40" s="231"/>
      <c r="R40" s="231"/>
      <c r="S40" s="231"/>
      <c r="T40" s="231"/>
      <c r="U40" s="231"/>
      <c r="V40" s="231"/>
      <c r="W40" s="231"/>
      <c r="X40" s="231"/>
      <c r="Y40" s="231"/>
      <c r="Z40" s="231"/>
      <c r="AA40" s="231"/>
      <c r="AB40" s="231"/>
      <c r="AC40" s="231"/>
      <c r="AD40" s="231"/>
      <c r="AE40" s="231"/>
      <c r="AF40" s="231"/>
      <c r="AG40" s="231"/>
      <c r="AH40" s="231"/>
      <c r="AI40" s="231"/>
      <c r="AJ40" s="231"/>
      <c r="AK40" s="231"/>
      <c r="AL40" s="231"/>
      <c r="AM40" s="231"/>
    </row>
    <row r="41" spans="1:39" s="203" customFormat="1" ht="27.75" customHeight="1">
      <c r="A41" s="876"/>
      <c r="B41" s="877"/>
      <c r="C41" s="877"/>
      <c r="D41" s="896"/>
      <c r="E41" s="879"/>
      <c r="F41" s="860"/>
      <c r="G41" s="23"/>
      <c r="H41" s="879"/>
      <c r="I41" s="43"/>
      <c r="J41" s="231"/>
      <c r="K41" s="231"/>
      <c r="L41" s="231"/>
      <c r="M41" s="231"/>
      <c r="N41" s="231"/>
      <c r="O41" s="231"/>
      <c r="P41" s="231"/>
      <c r="Q41" s="231"/>
      <c r="R41" s="231"/>
      <c r="S41" s="231"/>
      <c r="T41" s="231"/>
      <c r="U41" s="231"/>
      <c r="V41" s="231"/>
      <c r="W41" s="231"/>
      <c r="X41" s="231"/>
      <c r="Y41" s="231"/>
      <c r="Z41" s="231"/>
      <c r="AA41" s="231"/>
      <c r="AB41" s="231"/>
      <c r="AC41" s="231"/>
      <c r="AD41" s="231"/>
      <c r="AE41" s="231"/>
      <c r="AF41" s="231"/>
      <c r="AG41" s="231"/>
      <c r="AH41" s="231"/>
      <c r="AI41" s="231"/>
      <c r="AJ41" s="231"/>
      <c r="AK41" s="231"/>
      <c r="AL41" s="231"/>
      <c r="AM41" s="231"/>
    </row>
    <row r="42" spans="1:39" s="203" customFormat="1">
      <c r="A42" s="793" t="s">
        <v>64</v>
      </c>
      <c r="B42" s="69" t="s">
        <v>65</v>
      </c>
      <c r="C42" s="69"/>
      <c r="D42" s="70"/>
      <c r="E42" s="71"/>
      <c r="F42" s="72" t="str">
        <f>IF(OR(F43&lt;0,F44&lt;0,F47&lt;0,F48&lt;0,H43&lt;0,H44&lt;0,H47&lt;0,H48&lt;0),"Funding should be recorded as positive figures",".")</f>
        <v>.</v>
      </c>
      <c r="G42" s="45"/>
      <c r="H42" s="73"/>
      <c r="I42" s="43"/>
      <c r="J42" s="231"/>
      <c r="K42" s="231"/>
      <c r="L42" s="231"/>
      <c r="M42" s="231"/>
      <c r="N42" s="231"/>
      <c r="O42" s="231"/>
      <c r="P42" s="231"/>
      <c r="Q42" s="231"/>
      <c r="R42" s="231"/>
      <c r="S42" s="231"/>
      <c r="T42" s="231"/>
      <c r="U42" s="231"/>
      <c r="V42" s="231"/>
      <c r="W42" s="231"/>
      <c r="X42" s="231"/>
      <c r="Y42" s="231"/>
      <c r="Z42" s="231"/>
      <c r="AA42" s="231"/>
      <c r="AB42" s="231"/>
      <c r="AC42" s="231"/>
      <c r="AD42" s="231"/>
      <c r="AE42" s="231"/>
      <c r="AF42" s="231"/>
      <c r="AG42" s="231"/>
      <c r="AH42" s="231"/>
      <c r="AI42" s="231"/>
      <c r="AJ42" s="231"/>
      <c r="AK42" s="231"/>
      <c r="AL42" s="231"/>
      <c r="AM42" s="231"/>
    </row>
    <row r="43" spans="1:39" s="203" customFormat="1">
      <c r="A43" s="46">
        <v>1</v>
      </c>
      <c r="B43" s="47" t="s">
        <v>66</v>
      </c>
      <c r="C43" s="47"/>
      <c r="D43" s="48"/>
      <c r="E43" s="74">
        <v>158627</v>
      </c>
      <c r="F43" s="241">
        <v>159108.99999999997</v>
      </c>
      <c r="G43" s="45"/>
      <c r="H43" s="75">
        <f>191673-H44+1130</f>
        <v>157169</v>
      </c>
      <c r="I43" s="43"/>
      <c r="J43" s="231"/>
      <c r="K43" s="231"/>
      <c r="L43" s="231"/>
      <c r="M43" s="231"/>
      <c r="N43" s="231"/>
      <c r="O43" s="231"/>
      <c r="P43" s="231"/>
      <c r="Q43" s="231"/>
      <c r="R43" s="231"/>
      <c r="S43" s="231"/>
      <c r="T43" s="231"/>
      <c r="U43" s="231"/>
      <c r="V43" s="231"/>
      <c r="W43" s="231"/>
      <c r="X43" s="231"/>
      <c r="Y43" s="231"/>
      <c r="Z43" s="231"/>
      <c r="AA43" s="231"/>
      <c r="AB43" s="231"/>
      <c r="AC43" s="231"/>
      <c r="AD43" s="231"/>
      <c r="AE43" s="231"/>
      <c r="AF43" s="231"/>
      <c r="AG43" s="231"/>
      <c r="AH43" s="231"/>
      <c r="AI43" s="231"/>
      <c r="AJ43" s="231"/>
      <c r="AK43" s="231"/>
      <c r="AL43" s="231"/>
      <c r="AM43" s="231"/>
    </row>
    <row r="44" spans="1:39" s="203" customFormat="1">
      <c r="A44" s="46">
        <v>2</v>
      </c>
      <c r="B44" s="47" t="s">
        <v>67</v>
      </c>
      <c r="C44" s="47"/>
      <c r="D44" s="48"/>
      <c r="E44" s="49">
        <v>33035</v>
      </c>
      <c r="F44" s="241">
        <v>33035</v>
      </c>
      <c r="G44" s="45"/>
      <c r="H44" s="75">
        <v>35634</v>
      </c>
      <c r="I44" s="43"/>
      <c r="J44" s="231"/>
      <c r="K44" s="231"/>
      <c r="L44" s="231"/>
      <c r="M44" s="231"/>
      <c r="N44" s="231"/>
      <c r="O44" s="231"/>
      <c r="P44" s="231"/>
      <c r="Q44" s="231"/>
      <c r="R44" s="231"/>
      <c r="S44" s="231"/>
      <c r="T44" s="231"/>
      <c r="U44" s="231"/>
      <c r="V44" s="231"/>
      <c r="W44" s="231"/>
      <c r="X44" s="231"/>
      <c r="Y44" s="231"/>
      <c r="Z44" s="231"/>
      <c r="AA44" s="231"/>
      <c r="AB44" s="231"/>
      <c r="AC44" s="231"/>
      <c r="AD44" s="231"/>
      <c r="AE44" s="231"/>
      <c r="AF44" s="231"/>
      <c r="AG44" s="231"/>
      <c r="AH44" s="231"/>
      <c r="AI44" s="231"/>
      <c r="AJ44" s="231"/>
      <c r="AK44" s="231"/>
      <c r="AL44" s="231"/>
      <c r="AM44" s="231"/>
    </row>
    <row r="45" spans="1:39" s="203" customFormat="1">
      <c r="A45" s="46">
        <v>3</v>
      </c>
      <c r="B45" s="47" t="s">
        <v>68</v>
      </c>
      <c r="C45" s="47"/>
      <c r="D45" s="48"/>
      <c r="E45" s="49">
        <v>39</v>
      </c>
      <c r="F45" s="52">
        <v>0</v>
      </c>
      <c r="G45" s="45"/>
      <c r="H45" s="75">
        <v>0</v>
      </c>
      <c r="I45" s="43"/>
      <c r="J45" s="231"/>
      <c r="K45" s="231"/>
      <c r="L45" s="231"/>
      <c r="M45" s="231"/>
      <c r="N45" s="231"/>
      <c r="O45" s="231"/>
      <c r="P45" s="231"/>
      <c r="Q45" s="231"/>
      <c r="R45" s="231"/>
      <c r="S45" s="231"/>
      <c r="T45" s="231"/>
      <c r="U45" s="231"/>
      <c r="V45" s="231"/>
      <c r="W45" s="231"/>
      <c r="X45" s="231"/>
      <c r="Y45" s="231"/>
      <c r="Z45" s="231"/>
      <c r="AA45" s="231"/>
      <c r="AB45" s="231"/>
      <c r="AC45" s="231"/>
      <c r="AD45" s="231"/>
      <c r="AE45" s="231"/>
      <c r="AF45" s="231"/>
      <c r="AG45" s="231"/>
      <c r="AH45" s="231"/>
      <c r="AI45" s="231"/>
      <c r="AJ45" s="231"/>
      <c r="AK45" s="231"/>
      <c r="AL45" s="231"/>
      <c r="AM45" s="231"/>
    </row>
    <row r="46" spans="1:39" s="203" customFormat="1">
      <c r="A46" s="46">
        <v>4</v>
      </c>
      <c r="B46" s="47" t="s">
        <v>70</v>
      </c>
      <c r="C46" s="47"/>
      <c r="D46" s="48"/>
      <c r="E46" s="49">
        <v>192</v>
      </c>
      <c r="F46" s="52">
        <v>193</v>
      </c>
      <c r="G46" s="45"/>
      <c r="H46" s="75">
        <v>193</v>
      </c>
      <c r="I46" s="43"/>
      <c r="J46" s="231"/>
      <c r="K46" s="231"/>
      <c r="L46" s="231"/>
      <c r="M46" s="231"/>
      <c r="N46" s="231"/>
      <c r="O46" s="231"/>
      <c r="P46" s="231"/>
      <c r="Q46" s="231"/>
      <c r="R46" s="231"/>
      <c r="S46" s="231"/>
      <c r="T46" s="231"/>
      <c r="U46" s="231"/>
      <c r="V46" s="231"/>
      <c r="W46" s="231"/>
      <c r="X46" s="231"/>
      <c r="Y46" s="231"/>
      <c r="Z46" s="231"/>
      <c r="AA46" s="231"/>
      <c r="AB46" s="231"/>
      <c r="AC46" s="231"/>
      <c r="AD46" s="231"/>
      <c r="AE46" s="231"/>
      <c r="AF46" s="231"/>
      <c r="AG46" s="231"/>
      <c r="AH46" s="231"/>
      <c r="AI46" s="231"/>
      <c r="AJ46" s="231"/>
      <c r="AK46" s="231"/>
      <c r="AL46" s="231"/>
      <c r="AM46" s="231"/>
    </row>
    <row r="47" spans="1:39" s="203" customFormat="1">
      <c r="A47" s="46">
        <v>5</v>
      </c>
      <c r="B47" s="47" t="s">
        <v>69</v>
      </c>
      <c r="C47" s="47"/>
      <c r="D47" s="48"/>
      <c r="E47" s="49">
        <v>3383</v>
      </c>
      <c r="F47" s="52">
        <v>4021</v>
      </c>
      <c r="G47" s="45"/>
      <c r="H47" s="76">
        <v>7585</v>
      </c>
      <c r="I47" s="43"/>
      <c r="J47" s="231"/>
      <c r="K47" s="231"/>
      <c r="L47" s="231"/>
      <c r="M47" s="231"/>
      <c r="N47" s="231"/>
      <c r="O47" s="231"/>
      <c r="P47" s="231"/>
      <c r="Q47" s="231"/>
      <c r="R47" s="231"/>
      <c r="S47" s="231"/>
      <c r="T47" s="231"/>
      <c r="U47" s="231"/>
      <c r="V47" s="231"/>
      <c r="W47" s="231"/>
      <c r="X47" s="231"/>
      <c r="Y47" s="231"/>
      <c r="Z47" s="231"/>
      <c r="AA47" s="231"/>
      <c r="AB47" s="231"/>
      <c r="AC47" s="231"/>
      <c r="AD47" s="231"/>
      <c r="AE47" s="231"/>
      <c r="AF47" s="231"/>
      <c r="AG47" s="231"/>
      <c r="AH47" s="231"/>
      <c r="AI47" s="231"/>
      <c r="AJ47" s="231"/>
      <c r="AK47" s="231"/>
      <c r="AL47" s="231"/>
      <c r="AM47" s="231"/>
    </row>
    <row r="48" spans="1:39" s="203" customFormat="1">
      <c r="A48" s="46">
        <v>6</v>
      </c>
      <c r="B48" s="90" t="s">
        <v>253</v>
      </c>
      <c r="C48" s="47"/>
      <c r="D48" s="195"/>
      <c r="E48" s="49">
        <v>49866</v>
      </c>
      <c r="F48" s="52">
        <f>47674+2049</f>
        <v>49723</v>
      </c>
      <c r="G48" s="45"/>
      <c r="H48" s="52">
        <f>50457+2147</f>
        <v>52604</v>
      </c>
      <c r="I48" s="43"/>
      <c r="J48" s="231"/>
      <c r="K48" s="231"/>
      <c r="L48" s="231"/>
      <c r="M48" s="231"/>
      <c r="N48" s="231"/>
      <c r="O48" s="231"/>
      <c r="P48" s="231"/>
      <c r="Q48" s="231"/>
      <c r="R48" s="231"/>
      <c r="S48" s="231"/>
      <c r="T48" s="231"/>
      <c r="U48" s="231"/>
      <c r="V48" s="231"/>
      <c r="W48" s="231"/>
      <c r="X48" s="231"/>
      <c r="Y48" s="231"/>
      <c r="Z48" s="231"/>
      <c r="AA48" s="231"/>
      <c r="AB48" s="231"/>
      <c r="AC48" s="231"/>
      <c r="AD48" s="231"/>
      <c r="AE48" s="231"/>
      <c r="AF48" s="231"/>
      <c r="AG48" s="231"/>
      <c r="AH48" s="231"/>
      <c r="AI48" s="231"/>
      <c r="AJ48" s="231"/>
      <c r="AK48" s="231"/>
      <c r="AL48" s="231"/>
      <c r="AM48" s="231"/>
    </row>
    <row r="49" spans="1:39" s="203" customFormat="1">
      <c r="A49" s="77">
        <v>7</v>
      </c>
      <c r="B49" s="78" t="s">
        <v>71</v>
      </c>
      <c r="C49" s="58"/>
      <c r="D49" s="79"/>
      <c r="E49" s="80">
        <v>245142</v>
      </c>
      <c r="F49" s="81">
        <f>SUM(F43:F48)</f>
        <v>246080.99999999997</v>
      </c>
      <c r="G49" s="82"/>
      <c r="H49" s="62">
        <f>SUM(H43:H48)</f>
        <v>253185</v>
      </c>
      <c r="I49" s="242"/>
      <c r="J49" s="231"/>
      <c r="K49" s="231"/>
      <c r="L49" s="231"/>
      <c r="M49" s="231"/>
      <c r="N49" s="231"/>
      <c r="O49" s="231"/>
      <c r="P49" s="231"/>
      <c r="Q49" s="231"/>
      <c r="R49" s="231"/>
      <c r="S49" s="231"/>
      <c r="T49" s="231"/>
      <c r="U49" s="231"/>
      <c r="V49" s="231"/>
      <c r="W49" s="231"/>
      <c r="X49" s="231"/>
      <c r="Y49" s="231"/>
      <c r="Z49" s="231"/>
      <c r="AA49" s="231"/>
      <c r="AB49" s="231"/>
      <c r="AC49" s="231"/>
      <c r="AD49" s="231"/>
      <c r="AE49" s="231"/>
      <c r="AF49" s="231"/>
      <c r="AG49" s="231"/>
      <c r="AH49" s="231"/>
      <c r="AI49" s="231"/>
      <c r="AJ49" s="231"/>
      <c r="AK49" s="231"/>
      <c r="AL49" s="231"/>
      <c r="AM49" s="231"/>
    </row>
    <row r="50" spans="1:39" s="203" customFormat="1">
      <c r="A50" s="83"/>
      <c r="B50" s="244"/>
      <c r="C50" s="244"/>
      <c r="D50" s="244"/>
      <c r="E50" s="85"/>
      <c r="F50" s="244"/>
      <c r="G50" s="86"/>
      <c r="H50" s="86"/>
      <c r="I50" s="21"/>
      <c r="J50" s="231"/>
      <c r="K50" s="231"/>
      <c r="L50" s="231"/>
      <c r="M50" s="231"/>
      <c r="N50" s="231"/>
      <c r="O50" s="231"/>
      <c r="P50" s="231"/>
      <c r="Q50" s="231"/>
      <c r="R50" s="231"/>
      <c r="S50" s="231"/>
      <c r="T50" s="231"/>
      <c r="U50" s="231"/>
      <c r="V50" s="231"/>
      <c r="W50" s="231"/>
      <c r="X50" s="231"/>
      <c r="Y50" s="231"/>
      <c r="Z50" s="231"/>
      <c r="AA50" s="231"/>
      <c r="AB50" s="231"/>
      <c r="AC50" s="231"/>
      <c r="AD50" s="231"/>
      <c r="AE50" s="231"/>
      <c r="AF50" s="231"/>
      <c r="AG50" s="231"/>
      <c r="AH50" s="231"/>
      <c r="AI50" s="231"/>
      <c r="AJ50" s="231"/>
      <c r="AK50" s="231"/>
      <c r="AL50" s="231"/>
      <c r="AM50" s="231"/>
    </row>
    <row r="51" spans="1:39" s="203" customFormat="1">
      <c r="A51" s="793" t="s">
        <v>72</v>
      </c>
      <c r="B51" s="196" t="s">
        <v>254</v>
      </c>
      <c r="C51" s="69"/>
      <c r="D51" s="70"/>
      <c r="E51" s="87"/>
      <c r="F51" s="88"/>
      <c r="G51" s="45"/>
      <c r="H51" s="89"/>
      <c r="I51" s="43"/>
      <c r="J51" s="231"/>
      <c r="K51" s="231"/>
      <c r="L51" s="231"/>
      <c r="M51" s="231"/>
      <c r="N51" s="231"/>
      <c r="O51" s="231"/>
      <c r="P51" s="231"/>
      <c r="Q51" s="231"/>
      <c r="R51" s="231"/>
      <c r="S51" s="231"/>
      <c r="T51" s="231"/>
      <c r="U51" s="231"/>
      <c r="V51" s="231"/>
      <c r="W51" s="231"/>
      <c r="X51" s="231"/>
      <c r="Y51" s="231"/>
      <c r="Z51" s="231"/>
      <c r="AA51" s="231"/>
      <c r="AB51" s="231"/>
      <c r="AC51" s="231"/>
      <c r="AD51" s="231"/>
      <c r="AE51" s="231"/>
      <c r="AF51" s="231"/>
      <c r="AG51" s="231"/>
      <c r="AH51" s="231"/>
      <c r="AI51" s="231"/>
      <c r="AJ51" s="231"/>
      <c r="AK51" s="231"/>
      <c r="AL51" s="231"/>
      <c r="AM51" s="231"/>
    </row>
    <row r="52" spans="1:39" s="203" customFormat="1">
      <c r="A52" s="46">
        <v>8</v>
      </c>
      <c r="B52" s="90" t="s">
        <v>73</v>
      </c>
      <c r="C52" s="47"/>
      <c r="D52" s="48"/>
      <c r="E52" s="74">
        <v>242734</v>
      </c>
      <c r="F52" s="50">
        <f>F38</f>
        <v>250268</v>
      </c>
      <c r="G52" s="45"/>
      <c r="H52" s="91">
        <f>H38</f>
        <v>252973</v>
      </c>
      <c r="I52" s="43"/>
      <c r="J52" s="231"/>
      <c r="K52" s="231"/>
      <c r="L52" s="231"/>
      <c r="M52" s="231"/>
      <c r="N52" s="231"/>
      <c r="O52" s="231"/>
      <c r="P52" s="231"/>
      <c r="Q52" s="231"/>
      <c r="R52" s="231"/>
      <c r="S52" s="231"/>
      <c r="T52" s="231"/>
      <c r="U52" s="231"/>
      <c r="V52" s="231"/>
      <c r="W52" s="231"/>
      <c r="X52" s="231"/>
      <c r="Y52" s="231"/>
      <c r="Z52" s="231"/>
      <c r="AA52" s="231"/>
      <c r="AB52" s="231"/>
      <c r="AC52" s="231"/>
      <c r="AD52" s="231"/>
      <c r="AE52" s="231"/>
      <c r="AF52" s="231"/>
      <c r="AG52" s="231"/>
      <c r="AH52" s="231"/>
      <c r="AI52" s="231"/>
      <c r="AJ52" s="231"/>
      <c r="AK52" s="231"/>
      <c r="AL52" s="231"/>
      <c r="AM52" s="231"/>
    </row>
    <row r="53" spans="1:39" s="203" customFormat="1">
      <c r="A53" s="46">
        <v>9</v>
      </c>
      <c r="B53" s="90" t="s">
        <v>74</v>
      </c>
      <c r="C53" s="47"/>
      <c r="D53" s="48"/>
      <c r="E53" s="49">
        <v>245142</v>
      </c>
      <c r="F53" s="92">
        <f>F49</f>
        <v>246080.99999999997</v>
      </c>
      <c r="G53" s="45"/>
      <c r="H53" s="91">
        <f>H49</f>
        <v>253185</v>
      </c>
      <c r="I53" s="43"/>
      <c r="J53" s="231"/>
      <c r="K53" s="231"/>
      <c r="L53" s="231"/>
      <c r="M53" s="231"/>
      <c r="N53" s="231"/>
      <c r="O53" s="231"/>
      <c r="P53" s="231"/>
      <c r="Q53" s="231"/>
      <c r="R53" s="231"/>
      <c r="S53" s="231"/>
      <c r="T53" s="231"/>
      <c r="U53" s="231"/>
      <c r="V53" s="231"/>
      <c r="W53" s="231"/>
      <c r="X53" s="231"/>
      <c r="Y53" s="231"/>
      <c r="Z53" s="231"/>
      <c r="AA53" s="231"/>
      <c r="AB53" s="231"/>
      <c r="AC53" s="231"/>
      <c r="AD53" s="231"/>
      <c r="AE53" s="231"/>
      <c r="AF53" s="231"/>
      <c r="AG53" s="231"/>
      <c r="AH53" s="231"/>
      <c r="AI53" s="231"/>
      <c r="AJ53" s="231"/>
      <c r="AK53" s="231"/>
      <c r="AL53" s="231"/>
      <c r="AM53" s="231"/>
    </row>
    <row r="54" spans="1:39" s="203" customFormat="1">
      <c r="A54" s="795">
        <v>10</v>
      </c>
      <c r="B54" s="93" t="s">
        <v>255</v>
      </c>
      <c r="C54" s="94"/>
      <c r="D54" s="55"/>
      <c r="E54" s="95">
        <v>2408</v>
      </c>
      <c r="F54" s="96">
        <f>F53-F52</f>
        <v>-4187.0000000000291</v>
      </c>
      <c r="G54" s="45"/>
      <c r="H54" s="97">
        <f>H53-H52</f>
        <v>212</v>
      </c>
      <c r="I54" s="43"/>
      <c r="J54" s="231"/>
      <c r="K54" s="231"/>
      <c r="L54" s="231"/>
      <c r="M54" s="231"/>
      <c r="N54" s="231"/>
      <c r="O54" s="231"/>
      <c r="P54" s="231"/>
      <c r="Q54" s="231"/>
      <c r="R54" s="231"/>
      <c r="S54" s="231"/>
      <c r="T54" s="231"/>
      <c r="U54" s="231"/>
      <c r="V54" s="231"/>
      <c r="W54" s="231"/>
      <c r="X54" s="231"/>
      <c r="Y54" s="231"/>
      <c r="Z54" s="231"/>
      <c r="AA54" s="231"/>
      <c r="AB54" s="231"/>
      <c r="AC54" s="231"/>
      <c r="AD54" s="231"/>
      <c r="AE54" s="231"/>
      <c r="AF54" s="231"/>
      <c r="AG54" s="231"/>
      <c r="AH54" s="231"/>
      <c r="AI54" s="231"/>
      <c r="AJ54" s="231"/>
      <c r="AK54" s="231"/>
      <c r="AL54" s="231"/>
      <c r="AM54" s="231"/>
    </row>
    <row r="55" spans="1:39" s="203" customFormat="1">
      <c r="A55" s="83"/>
      <c r="B55" s="244"/>
      <c r="C55" s="244"/>
      <c r="D55" s="244"/>
      <c r="E55" s="85"/>
      <c r="F55" s="244"/>
      <c r="G55" s="86"/>
      <c r="H55" s="86"/>
      <c r="I55" s="21"/>
      <c r="J55" s="231"/>
      <c r="K55" s="231"/>
      <c r="L55" s="231"/>
      <c r="M55" s="231"/>
      <c r="N55" s="231"/>
      <c r="O55" s="231"/>
      <c r="P55" s="231"/>
      <c r="Q55" s="231"/>
      <c r="R55" s="231"/>
      <c r="S55" s="231"/>
      <c r="T55" s="231"/>
      <c r="U55" s="231"/>
      <c r="V55" s="231"/>
      <c r="W55" s="231"/>
      <c r="X55" s="231"/>
      <c r="Y55" s="231"/>
      <c r="Z55" s="231"/>
      <c r="AA55" s="231"/>
      <c r="AB55" s="231"/>
      <c r="AC55" s="231"/>
      <c r="AD55" s="231"/>
      <c r="AE55" s="231"/>
      <c r="AF55" s="231"/>
      <c r="AG55" s="231"/>
      <c r="AH55" s="231"/>
      <c r="AI55" s="231"/>
      <c r="AJ55" s="231"/>
      <c r="AK55" s="231"/>
      <c r="AL55" s="231"/>
      <c r="AM55" s="231"/>
    </row>
    <row r="56" spans="1:39" s="203" customFormat="1">
      <c r="A56" s="793" t="s">
        <v>75</v>
      </c>
      <c r="B56" s="69" t="s">
        <v>256</v>
      </c>
      <c r="C56" s="69"/>
      <c r="D56" s="70"/>
      <c r="E56" s="87"/>
      <c r="F56" s="88"/>
      <c r="G56" s="45"/>
      <c r="H56" s="89"/>
      <c r="I56" s="43"/>
      <c r="J56" s="231"/>
      <c r="K56" s="231"/>
      <c r="L56" s="231"/>
      <c r="M56" s="231"/>
      <c r="N56" s="231"/>
      <c r="O56" s="231"/>
      <c r="P56" s="231"/>
      <c r="Q56" s="231"/>
      <c r="R56" s="231"/>
      <c r="S56" s="231"/>
      <c r="T56" s="231"/>
      <c r="U56" s="231"/>
      <c r="V56" s="231"/>
      <c r="W56" s="231"/>
      <c r="X56" s="231"/>
      <c r="Y56" s="231"/>
      <c r="Z56" s="231"/>
      <c r="AA56" s="231"/>
      <c r="AB56" s="231"/>
      <c r="AC56" s="231"/>
      <c r="AD56" s="231"/>
      <c r="AE56" s="231"/>
      <c r="AF56" s="231"/>
      <c r="AG56" s="231"/>
      <c r="AH56" s="231"/>
      <c r="AI56" s="231"/>
      <c r="AJ56" s="231"/>
      <c r="AK56" s="231"/>
      <c r="AL56" s="231"/>
      <c r="AM56" s="231"/>
    </row>
    <row r="57" spans="1:39" s="203" customFormat="1">
      <c r="A57" s="46">
        <v>11</v>
      </c>
      <c r="B57" s="47" t="s">
        <v>76</v>
      </c>
      <c r="C57" s="47"/>
      <c r="D57" s="48"/>
      <c r="E57" s="74">
        <v>51496</v>
      </c>
      <c r="F57" s="52">
        <v>50342</v>
      </c>
      <c r="G57" s="45"/>
      <c r="H57" s="91">
        <f>F61</f>
        <v>46154.999999999971</v>
      </c>
      <c r="I57" s="43"/>
      <c r="J57" s="231"/>
      <c r="K57" s="231"/>
      <c r="L57" s="231"/>
      <c r="M57" s="231"/>
      <c r="N57" s="231"/>
      <c r="O57" s="231"/>
      <c r="P57" s="231"/>
      <c r="Q57" s="231"/>
      <c r="R57" s="231"/>
      <c r="S57" s="231"/>
      <c r="T57" s="231"/>
      <c r="U57" s="231"/>
      <c r="V57" s="231"/>
      <c r="W57" s="231"/>
      <c r="X57" s="231"/>
      <c r="Y57" s="231"/>
      <c r="Z57" s="231"/>
      <c r="AA57" s="231"/>
      <c r="AB57" s="231"/>
      <c r="AC57" s="231"/>
      <c r="AD57" s="231"/>
      <c r="AE57" s="231"/>
      <c r="AF57" s="231"/>
      <c r="AG57" s="231"/>
      <c r="AH57" s="231"/>
      <c r="AI57" s="231"/>
      <c r="AJ57" s="231"/>
      <c r="AK57" s="231"/>
      <c r="AL57" s="231"/>
      <c r="AM57" s="231"/>
    </row>
    <row r="58" spans="1:39" s="203" customFormat="1">
      <c r="A58" s="46">
        <v>12</v>
      </c>
      <c r="B58" s="90" t="s">
        <v>257</v>
      </c>
      <c r="C58" s="47"/>
      <c r="D58" s="48"/>
      <c r="E58" s="49">
        <v>2408</v>
      </c>
      <c r="F58" s="92">
        <f>F54</f>
        <v>-4187.0000000000291</v>
      </c>
      <c r="G58" s="45"/>
      <c r="H58" s="98">
        <f>H54</f>
        <v>212</v>
      </c>
      <c r="I58" s="43"/>
      <c r="J58" s="231"/>
      <c r="K58" s="231"/>
      <c r="L58" s="231"/>
      <c r="M58" s="231"/>
      <c r="N58" s="231"/>
      <c r="O58" s="231"/>
      <c r="P58" s="231"/>
      <c r="Q58" s="231"/>
      <c r="R58" s="231"/>
      <c r="S58" s="231"/>
      <c r="T58" s="231"/>
      <c r="U58" s="231"/>
      <c r="V58" s="231"/>
      <c r="W58" s="231"/>
      <c r="X58" s="231"/>
      <c r="Y58" s="231"/>
      <c r="Z58" s="231"/>
      <c r="AA58" s="231"/>
      <c r="AB58" s="231"/>
      <c r="AC58" s="231"/>
      <c r="AD58" s="231"/>
      <c r="AE58" s="231"/>
      <c r="AF58" s="231"/>
      <c r="AG58" s="231"/>
      <c r="AH58" s="231"/>
      <c r="AI58" s="231"/>
      <c r="AJ58" s="231"/>
      <c r="AK58" s="231"/>
      <c r="AL58" s="231"/>
      <c r="AM58" s="231"/>
    </row>
    <row r="59" spans="1:39" s="203" customFormat="1">
      <c r="A59" s="46">
        <v>13</v>
      </c>
      <c r="B59" s="47" t="s">
        <v>77</v>
      </c>
      <c r="C59" s="47"/>
      <c r="D59" s="48"/>
      <c r="E59" s="49">
        <v>0</v>
      </c>
      <c r="F59" s="52">
        <v>0</v>
      </c>
      <c r="G59" s="45"/>
      <c r="H59" s="99">
        <v>0</v>
      </c>
      <c r="I59" s="43"/>
      <c r="J59" s="231"/>
      <c r="K59" s="231"/>
      <c r="L59" s="231"/>
      <c r="M59" s="231"/>
      <c r="N59" s="231"/>
      <c r="O59" s="231"/>
      <c r="P59" s="231"/>
      <c r="Q59" s="231"/>
      <c r="R59" s="231"/>
      <c r="S59" s="231"/>
      <c r="T59" s="231"/>
      <c r="U59" s="231"/>
      <c r="V59" s="231"/>
      <c r="W59" s="231"/>
      <c r="X59" s="231"/>
      <c r="Y59" s="231"/>
      <c r="Z59" s="231"/>
      <c r="AA59" s="231"/>
      <c r="AB59" s="231"/>
      <c r="AC59" s="231"/>
      <c r="AD59" s="231"/>
      <c r="AE59" s="231"/>
      <c r="AF59" s="231"/>
      <c r="AG59" s="231"/>
      <c r="AH59" s="231"/>
      <c r="AI59" s="231"/>
      <c r="AJ59" s="231"/>
      <c r="AK59" s="231"/>
      <c r="AL59" s="231"/>
      <c r="AM59" s="231"/>
    </row>
    <row r="60" spans="1:39" s="203" customFormat="1">
      <c r="A60" s="46">
        <v>14</v>
      </c>
      <c r="B60" s="47" t="s">
        <v>78</v>
      </c>
      <c r="C60" s="47"/>
      <c r="D60" s="48"/>
      <c r="E60" s="49">
        <v>0</v>
      </c>
      <c r="F60" s="52">
        <v>0</v>
      </c>
      <c r="G60" s="45"/>
      <c r="H60" s="100">
        <v>0</v>
      </c>
      <c r="I60" s="43"/>
      <c r="J60" s="231"/>
      <c r="K60" s="231"/>
      <c r="L60" s="231"/>
      <c r="M60" s="231"/>
      <c r="N60" s="231"/>
      <c r="O60" s="231"/>
      <c r="P60" s="231"/>
      <c r="Q60" s="231"/>
      <c r="R60" s="231"/>
      <c r="S60" s="231"/>
      <c r="T60" s="231"/>
      <c r="U60" s="231"/>
      <c r="V60" s="231"/>
      <c r="W60" s="231"/>
      <c r="X60" s="231"/>
      <c r="Y60" s="231"/>
      <c r="Z60" s="231"/>
      <c r="AA60" s="231"/>
      <c r="AB60" s="231"/>
      <c r="AC60" s="231"/>
      <c r="AD60" s="231"/>
      <c r="AE60" s="231"/>
      <c r="AF60" s="231"/>
      <c r="AG60" s="231"/>
      <c r="AH60" s="231"/>
      <c r="AI60" s="231"/>
      <c r="AJ60" s="231"/>
      <c r="AK60" s="231"/>
      <c r="AL60" s="231"/>
      <c r="AM60" s="231"/>
    </row>
    <row r="61" spans="1:39" s="203" customFormat="1">
      <c r="A61" s="53">
        <v>15</v>
      </c>
      <c r="B61" s="54" t="s">
        <v>79</v>
      </c>
      <c r="C61" s="54"/>
      <c r="D61" s="55"/>
      <c r="E61" s="56">
        <v>53904</v>
      </c>
      <c r="F61" s="96">
        <f>F57+F58+F59+F60</f>
        <v>46154.999999999971</v>
      </c>
      <c r="G61" s="45"/>
      <c r="H61" s="101">
        <f>H57+H58+H59+H60</f>
        <v>46366.999999999971</v>
      </c>
      <c r="I61" s="43"/>
      <c r="J61" s="231"/>
      <c r="K61" s="231"/>
      <c r="L61" s="231"/>
      <c r="M61" s="231"/>
      <c r="N61" s="231"/>
      <c r="O61" s="231"/>
      <c r="P61" s="231"/>
      <c r="Q61" s="231"/>
      <c r="R61" s="231"/>
      <c r="S61" s="231"/>
      <c r="T61" s="231"/>
      <c r="U61" s="231"/>
      <c r="V61" s="231"/>
      <c r="W61" s="231"/>
      <c r="X61" s="231"/>
      <c r="Y61" s="231"/>
      <c r="Z61" s="231"/>
      <c r="AA61" s="231"/>
      <c r="AB61" s="231"/>
      <c r="AC61" s="231"/>
      <c r="AD61" s="231"/>
      <c r="AE61" s="231"/>
      <c r="AF61" s="231"/>
      <c r="AG61" s="231"/>
      <c r="AH61" s="231"/>
      <c r="AI61" s="231"/>
      <c r="AJ61" s="231"/>
      <c r="AK61" s="231"/>
      <c r="AL61" s="231"/>
      <c r="AM61" s="231"/>
    </row>
    <row r="62" spans="1:39" s="203" customFormat="1">
      <c r="A62" s="102"/>
      <c r="B62" s="207"/>
      <c r="C62" s="207"/>
      <c r="D62" s="207"/>
      <c r="E62" s="103"/>
      <c r="F62" s="21"/>
      <c r="G62" s="21"/>
      <c r="H62" s="21"/>
      <c r="I62" s="21"/>
      <c r="J62" s="231"/>
      <c r="K62" s="231"/>
      <c r="L62" s="231"/>
      <c r="M62" s="231"/>
      <c r="N62" s="231"/>
      <c r="O62" s="231"/>
      <c r="P62" s="231"/>
      <c r="Q62" s="231"/>
      <c r="R62" s="231"/>
      <c r="S62" s="231"/>
      <c r="T62" s="231"/>
      <c r="U62" s="231"/>
      <c r="V62" s="231"/>
      <c r="W62" s="231"/>
      <c r="X62" s="231"/>
      <c r="Y62" s="231"/>
      <c r="Z62" s="231"/>
      <c r="AA62" s="231"/>
      <c r="AB62" s="231"/>
      <c r="AC62" s="231"/>
      <c r="AD62" s="231"/>
      <c r="AE62" s="231"/>
      <c r="AF62" s="231"/>
      <c r="AG62" s="231"/>
      <c r="AH62" s="231"/>
      <c r="AI62" s="231"/>
      <c r="AJ62" s="231"/>
      <c r="AK62" s="231"/>
      <c r="AL62" s="231"/>
      <c r="AM62" s="231"/>
    </row>
    <row r="63" spans="1:39" s="203" customFormat="1" ht="12.75" customHeight="1">
      <c r="A63" s="23"/>
      <c r="B63" s="207"/>
      <c r="C63" s="207"/>
      <c r="D63" s="207"/>
      <c r="E63" s="15"/>
      <c r="F63" s="207"/>
      <c r="G63" s="207"/>
      <c r="H63" s="21"/>
      <c r="I63" s="21"/>
      <c r="J63" s="231"/>
      <c r="K63" s="231"/>
      <c r="L63" s="231"/>
      <c r="M63" s="231"/>
      <c r="N63" s="231"/>
      <c r="O63" s="231"/>
      <c r="P63" s="231"/>
      <c r="Q63" s="231"/>
      <c r="R63" s="231"/>
      <c r="S63" s="231"/>
      <c r="T63" s="231"/>
      <c r="U63" s="231"/>
      <c r="V63" s="231"/>
      <c r="W63" s="231"/>
      <c r="X63" s="231"/>
      <c r="Y63" s="231"/>
      <c r="Z63" s="231"/>
      <c r="AA63" s="231"/>
      <c r="AB63" s="231"/>
      <c r="AC63" s="231"/>
      <c r="AD63" s="231"/>
      <c r="AE63" s="231"/>
      <c r="AF63" s="231"/>
      <c r="AG63" s="231"/>
      <c r="AH63" s="231"/>
      <c r="AI63" s="231"/>
      <c r="AJ63" s="231"/>
      <c r="AK63" s="231"/>
      <c r="AL63" s="231"/>
      <c r="AM63" s="231"/>
    </row>
    <row r="64" spans="1:39" s="203" customFormat="1" ht="15">
      <c r="A64" s="104" t="s">
        <v>80</v>
      </c>
      <c r="B64" s="29"/>
      <c r="C64" s="29"/>
      <c r="D64" s="29"/>
      <c r="E64" s="15"/>
      <c r="F64" s="29"/>
      <c r="G64" s="29"/>
      <c r="H64" s="29"/>
      <c r="I64" s="29"/>
      <c r="J64" s="231"/>
      <c r="K64" s="231"/>
      <c r="L64" s="231"/>
      <c r="M64" s="231"/>
      <c r="N64" s="231"/>
      <c r="O64" s="231"/>
      <c r="P64" s="231"/>
      <c r="Q64" s="231"/>
      <c r="R64" s="231"/>
      <c r="S64" s="231"/>
      <c r="T64" s="231"/>
      <c r="U64" s="231"/>
      <c r="V64" s="231"/>
      <c r="W64" s="231"/>
      <c r="X64" s="231"/>
      <c r="Y64" s="231"/>
      <c r="Z64" s="231"/>
      <c r="AA64" s="231"/>
      <c r="AB64" s="231"/>
      <c r="AC64" s="231"/>
      <c r="AD64" s="231"/>
      <c r="AE64" s="231"/>
      <c r="AF64" s="231"/>
      <c r="AG64" s="231"/>
      <c r="AH64" s="231"/>
      <c r="AI64" s="231"/>
      <c r="AJ64" s="231"/>
      <c r="AK64" s="231"/>
      <c r="AL64" s="231"/>
      <c r="AM64" s="231"/>
    </row>
    <row r="65" spans="1:39" s="203" customFormat="1">
      <c r="A65" s="32"/>
      <c r="B65" s="29"/>
      <c r="C65" s="29"/>
      <c r="D65" s="29"/>
      <c r="E65" s="105"/>
      <c r="F65" s="29"/>
      <c r="G65" s="29"/>
      <c r="H65" s="29"/>
      <c r="I65" s="131" t="s">
        <v>27</v>
      </c>
      <c r="J65" s="231"/>
      <c r="K65" s="231"/>
      <c r="L65" s="231"/>
      <c r="M65" s="231"/>
      <c r="N65" s="231"/>
      <c r="O65" s="231"/>
      <c r="P65" s="231"/>
      <c r="Q65" s="231"/>
      <c r="R65" s="231"/>
      <c r="S65" s="231"/>
      <c r="T65" s="231"/>
      <c r="U65" s="231"/>
      <c r="V65" s="231"/>
      <c r="W65" s="231"/>
      <c r="X65" s="231"/>
      <c r="Y65" s="231"/>
      <c r="Z65" s="231"/>
      <c r="AA65" s="231"/>
      <c r="AB65" s="231"/>
      <c r="AC65" s="231"/>
      <c r="AD65" s="231"/>
      <c r="AE65" s="231"/>
      <c r="AF65" s="231"/>
      <c r="AG65" s="231"/>
      <c r="AH65" s="231"/>
      <c r="AI65" s="231"/>
      <c r="AJ65" s="231"/>
      <c r="AK65" s="231"/>
      <c r="AL65" s="231"/>
      <c r="AM65" s="231"/>
    </row>
    <row r="66" spans="1:39" s="203" customFormat="1">
      <c r="A66" s="106" t="s">
        <v>14</v>
      </c>
      <c r="B66" s="107"/>
      <c r="C66" s="107"/>
      <c r="D66" s="107"/>
      <c r="E66" s="856" t="s">
        <v>377</v>
      </c>
      <c r="F66" s="962" t="s">
        <v>402</v>
      </c>
      <c r="G66" s="867" t="s">
        <v>81</v>
      </c>
      <c r="H66" s="962" t="s">
        <v>403</v>
      </c>
      <c r="I66" s="867" t="s">
        <v>81</v>
      </c>
      <c r="J66" s="231"/>
      <c r="K66" s="231"/>
      <c r="L66" s="231"/>
      <c r="M66" s="231"/>
      <c r="N66" s="231"/>
      <c r="O66" s="231"/>
      <c r="P66" s="231"/>
      <c r="Q66" s="231"/>
      <c r="R66" s="231"/>
      <c r="S66" s="231"/>
      <c r="T66" s="231"/>
      <c r="U66" s="231"/>
      <c r="V66" s="231"/>
      <c r="W66" s="231"/>
      <c r="X66" s="231"/>
      <c r="Y66" s="231"/>
      <c r="Z66" s="231"/>
      <c r="AA66" s="231"/>
      <c r="AB66" s="231"/>
      <c r="AC66" s="231"/>
      <c r="AD66" s="231"/>
      <c r="AE66" s="231"/>
      <c r="AF66" s="231"/>
      <c r="AG66" s="231"/>
      <c r="AH66" s="231"/>
      <c r="AI66" s="231"/>
      <c r="AJ66" s="231"/>
      <c r="AK66" s="231"/>
      <c r="AL66" s="231"/>
      <c r="AM66" s="231"/>
    </row>
    <row r="67" spans="1:39" s="203" customFormat="1" ht="21" customHeight="1">
      <c r="A67" s="108"/>
      <c r="B67" s="47"/>
      <c r="C67" s="47"/>
      <c r="D67" s="47"/>
      <c r="E67" s="859"/>
      <c r="F67" s="963"/>
      <c r="G67" s="868"/>
      <c r="H67" s="963"/>
      <c r="I67" s="868"/>
      <c r="J67" s="231"/>
      <c r="K67" s="231"/>
      <c r="L67" s="231"/>
      <c r="M67" s="231"/>
      <c r="N67" s="231"/>
      <c r="O67" s="231"/>
      <c r="P67" s="231"/>
      <c r="Q67" s="231"/>
      <c r="R67" s="231"/>
      <c r="S67" s="231"/>
      <c r="T67" s="231"/>
      <c r="U67" s="231"/>
      <c r="V67" s="231"/>
      <c r="W67" s="231"/>
      <c r="X67" s="231"/>
      <c r="Y67" s="231"/>
      <c r="Z67" s="231"/>
      <c r="AA67" s="231"/>
      <c r="AB67" s="231"/>
      <c r="AC67" s="231"/>
      <c r="AD67" s="231"/>
      <c r="AE67" s="231"/>
      <c r="AF67" s="231"/>
      <c r="AG67" s="231"/>
      <c r="AH67" s="231"/>
      <c r="AI67" s="231"/>
      <c r="AJ67" s="231"/>
      <c r="AK67" s="231"/>
      <c r="AL67" s="231"/>
      <c r="AM67" s="231"/>
    </row>
    <row r="68" spans="1:39" s="203" customFormat="1">
      <c r="A68" s="109" t="s">
        <v>82</v>
      </c>
      <c r="B68" s="47"/>
      <c r="C68" s="47"/>
      <c r="D68" s="47"/>
      <c r="E68" s="859"/>
      <c r="F68" s="963"/>
      <c r="G68" s="868"/>
      <c r="H68" s="963"/>
      <c r="I68" s="868"/>
      <c r="J68" s="231"/>
      <c r="K68" s="231"/>
      <c r="L68" s="231"/>
      <c r="M68" s="231"/>
      <c r="N68" s="231"/>
      <c r="O68" s="231"/>
      <c r="P68" s="231"/>
      <c r="Q68" s="231"/>
      <c r="R68" s="231"/>
      <c r="S68" s="231"/>
      <c r="T68" s="231"/>
      <c r="U68" s="231"/>
      <c r="V68" s="231"/>
      <c r="W68" s="231"/>
      <c r="X68" s="231"/>
      <c r="Y68" s="231"/>
      <c r="Z68" s="231"/>
      <c r="AA68" s="231"/>
      <c r="AB68" s="231"/>
      <c r="AC68" s="231"/>
      <c r="AD68" s="231"/>
      <c r="AE68" s="231"/>
      <c r="AF68" s="231"/>
      <c r="AG68" s="231"/>
      <c r="AH68" s="231"/>
      <c r="AI68" s="231"/>
      <c r="AJ68" s="231"/>
      <c r="AK68" s="231"/>
      <c r="AL68" s="231"/>
      <c r="AM68" s="231"/>
    </row>
    <row r="69" spans="1:39" s="203" customFormat="1">
      <c r="A69" s="109" t="s">
        <v>83</v>
      </c>
      <c r="B69" s="47"/>
      <c r="C69" s="47"/>
      <c r="D69" s="47"/>
      <c r="E69" s="859"/>
      <c r="F69" s="963"/>
      <c r="G69" s="868"/>
      <c r="H69" s="963"/>
      <c r="I69" s="868"/>
      <c r="J69" s="231"/>
      <c r="K69" s="231"/>
      <c r="L69" s="231"/>
      <c r="M69" s="231"/>
      <c r="N69" s="231"/>
      <c r="O69" s="231"/>
      <c r="P69" s="231"/>
      <c r="Q69" s="231"/>
      <c r="R69" s="231"/>
      <c r="S69" s="231"/>
      <c r="T69" s="231"/>
      <c r="U69" s="231"/>
      <c r="V69" s="231"/>
      <c r="W69" s="231"/>
      <c r="X69" s="231"/>
      <c r="Y69" s="231"/>
      <c r="Z69" s="231"/>
      <c r="AA69" s="231"/>
      <c r="AB69" s="231"/>
      <c r="AC69" s="231"/>
      <c r="AD69" s="231"/>
      <c r="AE69" s="231"/>
      <c r="AF69" s="231"/>
      <c r="AG69" s="231"/>
      <c r="AH69" s="231"/>
      <c r="AI69" s="231"/>
      <c r="AJ69" s="231"/>
      <c r="AK69" s="231"/>
      <c r="AL69" s="231"/>
      <c r="AM69" s="231"/>
    </row>
    <row r="70" spans="1:39" s="203" customFormat="1">
      <c r="A70" s="110" t="s">
        <v>84</v>
      </c>
      <c r="B70" s="47"/>
      <c r="C70" s="47"/>
      <c r="D70" s="47"/>
      <c r="E70" s="860"/>
      <c r="F70" s="964"/>
      <c r="G70" s="869"/>
      <c r="H70" s="964"/>
      <c r="I70" s="869"/>
      <c r="J70" s="231"/>
      <c r="K70" s="231"/>
      <c r="L70" s="231"/>
      <c r="M70" s="231"/>
      <c r="N70" s="231"/>
      <c r="O70" s="231"/>
      <c r="P70" s="231"/>
      <c r="Q70" s="231"/>
      <c r="R70" s="231"/>
      <c r="S70" s="231"/>
      <c r="T70" s="231"/>
      <c r="U70" s="231"/>
      <c r="V70" s="231"/>
      <c r="W70" s="231"/>
      <c r="X70" s="231"/>
      <c r="Y70" s="231"/>
      <c r="Z70" s="231"/>
      <c r="AA70" s="231"/>
      <c r="AB70" s="231"/>
      <c r="AC70" s="231"/>
      <c r="AD70" s="231"/>
      <c r="AE70" s="231"/>
      <c r="AF70" s="231"/>
      <c r="AG70" s="231"/>
      <c r="AH70" s="231"/>
      <c r="AI70" s="231"/>
      <c r="AJ70" s="231"/>
      <c r="AK70" s="231"/>
      <c r="AL70" s="231"/>
      <c r="AM70" s="231"/>
    </row>
    <row r="71" spans="1:39" s="203" customFormat="1">
      <c r="A71" s="111">
        <v>1</v>
      </c>
      <c r="B71" s="47" t="s">
        <v>85</v>
      </c>
      <c r="C71" s="47"/>
      <c r="D71" s="47"/>
      <c r="E71" s="41">
        <v>9200</v>
      </c>
      <c r="F71" s="247">
        <v>9843</v>
      </c>
      <c r="G71" s="112">
        <v>3976</v>
      </c>
      <c r="H71" s="248">
        <v>13241</v>
      </c>
      <c r="I71" s="112">
        <v>4287</v>
      </c>
      <c r="J71" s="231"/>
      <c r="K71" s="231"/>
      <c r="L71" s="231"/>
      <c r="M71" s="231"/>
      <c r="N71" s="231"/>
      <c r="O71" s="231"/>
      <c r="P71" s="231"/>
      <c r="Q71" s="231"/>
      <c r="R71" s="231"/>
      <c r="S71" s="231"/>
      <c r="T71" s="231"/>
      <c r="U71" s="231"/>
      <c r="V71" s="231"/>
      <c r="W71" s="231"/>
      <c r="X71" s="231"/>
      <c r="Y71" s="231"/>
      <c r="Z71" s="231"/>
      <c r="AA71" s="231"/>
      <c r="AB71" s="231"/>
      <c r="AC71" s="231"/>
      <c r="AD71" s="231"/>
      <c r="AE71" s="231"/>
      <c r="AF71" s="231"/>
      <c r="AG71" s="231"/>
      <c r="AH71" s="231"/>
      <c r="AI71" s="231"/>
      <c r="AJ71" s="231"/>
      <c r="AK71" s="231"/>
      <c r="AL71" s="231"/>
      <c r="AM71" s="231"/>
    </row>
    <row r="72" spans="1:39" s="203" customFormat="1">
      <c r="A72" s="111">
        <v>2</v>
      </c>
      <c r="B72" s="47" t="s">
        <v>86</v>
      </c>
      <c r="C72" s="47"/>
      <c r="D72" s="47"/>
      <c r="E72" s="49">
        <v>38698</v>
      </c>
      <c r="F72" s="247">
        <v>38565</v>
      </c>
      <c r="G72" s="113">
        <v>32303</v>
      </c>
      <c r="H72" s="123">
        <v>39617</v>
      </c>
      <c r="I72" s="113">
        <v>33216</v>
      </c>
      <c r="J72" s="231"/>
      <c r="K72" s="231"/>
      <c r="L72" s="231"/>
      <c r="M72" s="231"/>
      <c r="N72" s="231"/>
      <c r="O72" s="231"/>
      <c r="P72" s="231"/>
      <c r="Q72" s="231"/>
      <c r="R72" s="231"/>
      <c r="S72" s="231"/>
      <c r="T72" s="231"/>
      <c r="U72" s="231"/>
      <c r="V72" s="231"/>
      <c r="W72" s="231"/>
      <c r="X72" s="231"/>
      <c r="Y72" s="231"/>
      <c r="Z72" s="231"/>
      <c r="AA72" s="231"/>
      <c r="AB72" s="231"/>
      <c r="AC72" s="231"/>
      <c r="AD72" s="231"/>
      <c r="AE72" s="231"/>
      <c r="AF72" s="231"/>
      <c r="AG72" s="231"/>
      <c r="AH72" s="231"/>
      <c r="AI72" s="231"/>
      <c r="AJ72" s="231"/>
      <c r="AK72" s="231"/>
      <c r="AL72" s="231"/>
      <c r="AM72" s="231"/>
    </row>
    <row r="73" spans="1:39" s="203" customFormat="1">
      <c r="A73" s="111">
        <v>3</v>
      </c>
      <c r="B73" s="47" t="s">
        <v>87</v>
      </c>
      <c r="C73" s="47"/>
      <c r="D73" s="47"/>
      <c r="E73" s="114">
        <v>39161</v>
      </c>
      <c r="F73" s="247">
        <v>41186</v>
      </c>
      <c r="G73" s="113">
        <v>30549</v>
      </c>
      <c r="H73" s="123">
        <v>42831</v>
      </c>
      <c r="I73" s="113">
        <v>31326</v>
      </c>
      <c r="J73" s="231"/>
      <c r="K73" s="231"/>
      <c r="L73" s="231"/>
      <c r="M73" s="231"/>
      <c r="N73" s="231"/>
      <c r="O73" s="231"/>
      <c r="P73" s="231"/>
      <c r="Q73" s="231"/>
      <c r="R73" s="231"/>
      <c r="S73" s="231"/>
      <c r="T73" s="231"/>
      <c r="U73" s="231"/>
      <c r="V73" s="231"/>
      <c r="W73" s="231"/>
      <c r="X73" s="231"/>
      <c r="Y73" s="231"/>
      <c r="Z73" s="231"/>
      <c r="AA73" s="231"/>
      <c r="AB73" s="231"/>
      <c r="AC73" s="231"/>
      <c r="AD73" s="231"/>
      <c r="AE73" s="231"/>
      <c r="AF73" s="231"/>
      <c r="AG73" s="231"/>
      <c r="AH73" s="231"/>
      <c r="AI73" s="231"/>
      <c r="AJ73" s="231"/>
      <c r="AK73" s="231"/>
      <c r="AL73" s="231"/>
      <c r="AM73" s="231"/>
    </row>
    <row r="74" spans="1:39" s="203" customFormat="1">
      <c r="A74" s="111">
        <v>4</v>
      </c>
      <c r="B74" s="47" t="s">
        <v>88</v>
      </c>
      <c r="C74" s="47"/>
      <c r="D74" s="47"/>
      <c r="E74" s="114">
        <v>11195</v>
      </c>
      <c r="F74" s="247">
        <v>11390</v>
      </c>
      <c r="G74" s="113">
        <v>1325</v>
      </c>
      <c r="H74" s="123">
        <v>12264</v>
      </c>
      <c r="I74" s="113">
        <v>1400</v>
      </c>
      <c r="J74" s="231"/>
      <c r="K74" s="231"/>
      <c r="L74" s="231"/>
      <c r="M74" s="231"/>
      <c r="N74" s="231"/>
      <c r="O74" s="231"/>
      <c r="P74" s="231"/>
      <c r="Q74" s="231"/>
      <c r="R74" s="231"/>
      <c r="S74" s="231"/>
      <c r="T74" s="231"/>
      <c r="U74" s="231"/>
      <c r="V74" s="231"/>
      <c r="W74" s="231"/>
      <c r="X74" s="231"/>
      <c r="Y74" s="231"/>
      <c r="Z74" s="231"/>
      <c r="AA74" s="231"/>
      <c r="AB74" s="231"/>
      <c r="AC74" s="231"/>
      <c r="AD74" s="231"/>
      <c r="AE74" s="231"/>
      <c r="AF74" s="231"/>
      <c r="AG74" s="231"/>
      <c r="AH74" s="231"/>
      <c r="AI74" s="231"/>
      <c r="AJ74" s="231"/>
      <c r="AK74" s="231"/>
      <c r="AL74" s="231"/>
      <c r="AM74" s="231"/>
    </row>
    <row r="75" spans="1:39" s="203" customFormat="1">
      <c r="A75" s="111">
        <v>5</v>
      </c>
      <c r="B75" s="47" t="s">
        <v>89</v>
      </c>
      <c r="C75" s="47" t="s">
        <v>90</v>
      </c>
      <c r="D75" s="47"/>
      <c r="E75" s="114">
        <v>1947</v>
      </c>
      <c r="F75" s="247">
        <v>1936</v>
      </c>
      <c r="G75" s="113">
        <v>0</v>
      </c>
      <c r="H75" s="123">
        <v>1772</v>
      </c>
      <c r="I75" s="113">
        <v>0</v>
      </c>
      <c r="J75" s="231"/>
      <c r="K75" s="231"/>
      <c r="L75" s="231"/>
      <c r="M75" s="231"/>
      <c r="N75" s="231"/>
      <c r="O75" s="231"/>
      <c r="P75" s="231"/>
      <c r="Q75" s="231"/>
      <c r="R75" s="231"/>
      <c r="S75" s="231"/>
      <c r="T75" s="231"/>
      <c r="U75" s="231"/>
      <c r="V75" s="231"/>
      <c r="W75" s="231"/>
      <c r="X75" s="231"/>
      <c r="Y75" s="231"/>
      <c r="Z75" s="231"/>
      <c r="AA75" s="231"/>
      <c r="AB75" s="231"/>
      <c r="AC75" s="231"/>
      <c r="AD75" s="231"/>
      <c r="AE75" s="231"/>
      <c r="AF75" s="231"/>
      <c r="AG75" s="231"/>
      <c r="AH75" s="231"/>
      <c r="AI75" s="231"/>
      <c r="AJ75" s="231"/>
      <c r="AK75" s="231"/>
      <c r="AL75" s="231"/>
      <c r="AM75" s="231"/>
    </row>
    <row r="76" spans="1:39" s="203" customFormat="1">
      <c r="A76" s="794"/>
      <c r="B76" s="796"/>
      <c r="C76" s="47" t="s">
        <v>91</v>
      </c>
      <c r="D76" s="47"/>
      <c r="E76" s="114">
        <v>0</v>
      </c>
      <c r="F76" s="247">
        <v>0</v>
      </c>
      <c r="G76" s="115">
        <v>0</v>
      </c>
      <c r="H76" s="249">
        <v>0</v>
      </c>
      <c r="I76" s="115">
        <v>0</v>
      </c>
      <c r="J76" s="231"/>
      <c r="K76" s="231"/>
      <c r="L76" s="231"/>
      <c r="M76" s="231"/>
      <c r="N76" s="231"/>
      <c r="O76" s="231"/>
      <c r="P76" s="231"/>
      <c r="Q76" s="231"/>
      <c r="R76" s="231"/>
      <c r="S76" s="231"/>
      <c r="T76" s="231"/>
      <c r="U76" s="231"/>
      <c r="V76" s="231"/>
      <c r="W76" s="231"/>
      <c r="X76" s="231"/>
      <c r="Y76" s="231"/>
      <c r="Z76" s="231"/>
      <c r="AA76" s="231"/>
      <c r="AB76" s="231"/>
      <c r="AC76" s="231"/>
      <c r="AD76" s="231"/>
      <c r="AE76" s="231"/>
      <c r="AF76" s="231"/>
      <c r="AG76" s="231"/>
      <c r="AH76" s="231"/>
      <c r="AI76" s="231"/>
      <c r="AJ76" s="231"/>
      <c r="AK76" s="231"/>
      <c r="AL76" s="231"/>
      <c r="AM76" s="231"/>
    </row>
    <row r="77" spans="1:39" s="203" customFormat="1">
      <c r="A77" s="111">
        <v>6</v>
      </c>
      <c r="B77" s="116" t="s">
        <v>92</v>
      </c>
      <c r="C77" s="116"/>
      <c r="D77" s="47"/>
      <c r="E77" s="80">
        <v>100201</v>
      </c>
      <c r="F77" s="250">
        <f>SUM(F71:F76)</f>
        <v>102920</v>
      </c>
      <c r="G77" s="251">
        <f>SUM(G71:G76)</f>
        <v>68153</v>
      </c>
      <c r="H77" s="252">
        <f>SUM(H71:H76)</f>
        <v>109725</v>
      </c>
      <c r="I77" s="251">
        <f>SUM(I71:I76)</f>
        <v>70229</v>
      </c>
      <c r="J77" s="231"/>
      <c r="K77" s="231"/>
      <c r="L77" s="231"/>
      <c r="M77" s="231"/>
      <c r="N77" s="231"/>
      <c r="O77" s="231"/>
      <c r="P77" s="231"/>
      <c r="Q77" s="231"/>
      <c r="R77" s="231"/>
      <c r="S77" s="231"/>
      <c r="T77" s="231"/>
      <c r="U77" s="231"/>
      <c r="V77" s="231"/>
      <c r="W77" s="231"/>
      <c r="X77" s="231"/>
      <c r="Y77" s="231"/>
      <c r="Z77" s="231"/>
      <c r="AA77" s="231"/>
      <c r="AB77" s="231"/>
      <c r="AC77" s="231"/>
      <c r="AD77" s="231"/>
      <c r="AE77" s="231"/>
      <c r="AF77" s="231"/>
      <c r="AG77" s="231"/>
      <c r="AH77" s="231"/>
      <c r="AI77" s="231"/>
      <c r="AJ77" s="231"/>
      <c r="AK77" s="231"/>
      <c r="AL77" s="231"/>
      <c r="AM77" s="231"/>
    </row>
    <row r="78" spans="1:39" s="203" customFormat="1">
      <c r="A78" s="794"/>
      <c r="B78" s="47"/>
      <c r="C78" s="47"/>
      <c r="D78" s="47"/>
      <c r="E78" s="117"/>
      <c r="F78" s="118"/>
      <c r="G78" s="118"/>
      <c r="H78" s="118"/>
      <c r="I78" s="118"/>
      <c r="J78" s="231"/>
      <c r="K78" s="231"/>
      <c r="L78" s="231"/>
      <c r="M78" s="231"/>
      <c r="N78" s="231"/>
      <c r="O78" s="231"/>
      <c r="P78" s="231"/>
      <c r="Q78" s="231"/>
      <c r="R78" s="231"/>
      <c r="S78" s="231"/>
      <c r="T78" s="231"/>
      <c r="U78" s="231"/>
      <c r="V78" s="231"/>
      <c r="W78" s="231"/>
      <c r="X78" s="231"/>
      <c r="Y78" s="231"/>
      <c r="Z78" s="231"/>
      <c r="AA78" s="231"/>
      <c r="AB78" s="231"/>
      <c r="AC78" s="231"/>
      <c r="AD78" s="231"/>
      <c r="AE78" s="231"/>
      <c r="AF78" s="231"/>
      <c r="AG78" s="231"/>
      <c r="AH78" s="231"/>
      <c r="AI78" s="231"/>
      <c r="AJ78" s="231"/>
      <c r="AK78" s="231"/>
      <c r="AL78" s="231"/>
      <c r="AM78" s="231"/>
    </row>
    <row r="79" spans="1:39" s="203" customFormat="1">
      <c r="A79" s="119" t="s">
        <v>93</v>
      </c>
      <c r="B79" s="116"/>
      <c r="C79" s="116"/>
      <c r="D79" s="116"/>
      <c r="E79" s="117"/>
      <c r="F79" s="118"/>
      <c r="G79" s="118"/>
      <c r="H79" s="118"/>
      <c r="I79" s="118"/>
      <c r="J79" s="231"/>
      <c r="K79" s="231"/>
      <c r="L79" s="231"/>
      <c r="M79" s="231"/>
      <c r="N79" s="231"/>
      <c r="O79" s="231"/>
      <c r="P79" s="231"/>
      <c r="Q79" s="231"/>
      <c r="R79" s="231"/>
      <c r="S79" s="231"/>
      <c r="T79" s="231"/>
      <c r="U79" s="231"/>
      <c r="V79" s="231"/>
      <c r="W79" s="231"/>
      <c r="X79" s="231"/>
      <c r="Y79" s="231"/>
      <c r="Z79" s="231"/>
      <c r="AA79" s="231"/>
      <c r="AB79" s="231"/>
      <c r="AC79" s="231"/>
      <c r="AD79" s="231"/>
      <c r="AE79" s="231"/>
      <c r="AF79" s="231"/>
      <c r="AG79" s="231"/>
      <c r="AH79" s="231"/>
      <c r="AI79" s="231"/>
      <c r="AJ79" s="231"/>
      <c r="AK79" s="231"/>
      <c r="AL79" s="231"/>
      <c r="AM79" s="231"/>
    </row>
    <row r="80" spans="1:39" s="203" customFormat="1">
      <c r="A80" s="120">
        <v>7</v>
      </c>
      <c r="B80" s="47" t="s">
        <v>94</v>
      </c>
      <c r="C80" s="47"/>
      <c r="D80" s="47"/>
      <c r="E80" s="41">
        <v>839.92100000000005</v>
      </c>
      <c r="F80" s="253">
        <v>1083</v>
      </c>
      <c r="G80" s="112">
        <v>616</v>
      </c>
      <c r="H80" s="248">
        <v>1176</v>
      </c>
      <c r="I80" s="112">
        <v>675</v>
      </c>
      <c r="J80" s="231"/>
      <c r="K80" s="231"/>
      <c r="L80" s="231"/>
      <c r="M80" s="231"/>
      <c r="N80" s="231"/>
      <c r="O80" s="231"/>
      <c r="P80" s="231"/>
      <c r="Q80" s="231"/>
      <c r="R80" s="231"/>
      <c r="S80" s="231"/>
      <c r="T80" s="231"/>
      <c r="U80" s="231"/>
      <c r="V80" s="231"/>
      <c r="W80" s="231"/>
      <c r="X80" s="231"/>
      <c r="Y80" s="231"/>
      <c r="Z80" s="231"/>
      <c r="AA80" s="231"/>
      <c r="AB80" s="231"/>
      <c r="AC80" s="231"/>
      <c r="AD80" s="231"/>
      <c r="AE80" s="231"/>
      <c r="AF80" s="231"/>
      <c r="AG80" s="231"/>
      <c r="AH80" s="231"/>
      <c r="AI80" s="231"/>
      <c r="AJ80" s="231"/>
      <c r="AK80" s="231"/>
      <c r="AL80" s="231"/>
      <c r="AM80" s="231"/>
    </row>
    <row r="81" spans="1:39" s="203" customFormat="1">
      <c r="A81" s="120">
        <v>8</v>
      </c>
      <c r="B81" s="47" t="s">
        <v>95</v>
      </c>
      <c r="C81" s="47"/>
      <c r="D81" s="47"/>
      <c r="E81" s="49">
        <v>20122.54</v>
      </c>
      <c r="F81" s="247">
        <v>20043</v>
      </c>
      <c r="G81" s="113">
        <v>19461</v>
      </c>
      <c r="H81" s="123">
        <v>21485</v>
      </c>
      <c r="I81" s="113">
        <v>20989</v>
      </c>
      <c r="J81" s="231"/>
      <c r="K81" s="231"/>
      <c r="L81" s="231"/>
      <c r="M81" s="231"/>
      <c r="N81" s="231"/>
      <c r="O81" s="231"/>
      <c r="P81" s="231"/>
      <c r="Q81" s="231"/>
      <c r="R81" s="231"/>
      <c r="S81" s="231"/>
      <c r="T81" s="231"/>
      <c r="U81" s="231"/>
      <c r="V81" s="231"/>
      <c r="W81" s="231"/>
      <c r="X81" s="231"/>
      <c r="Y81" s="231"/>
      <c r="Z81" s="231"/>
      <c r="AA81" s="231"/>
      <c r="AB81" s="231"/>
      <c r="AC81" s="231"/>
      <c r="AD81" s="231"/>
      <c r="AE81" s="231"/>
      <c r="AF81" s="231"/>
      <c r="AG81" s="231"/>
      <c r="AH81" s="231"/>
      <c r="AI81" s="231"/>
      <c r="AJ81" s="231"/>
      <c r="AK81" s="231"/>
      <c r="AL81" s="231"/>
      <c r="AM81" s="231"/>
    </row>
    <row r="82" spans="1:39" s="203" customFormat="1">
      <c r="A82" s="120">
        <v>9</v>
      </c>
      <c r="B82" s="47" t="s">
        <v>96</v>
      </c>
      <c r="C82" s="47"/>
      <c r="D82" s="47"/>
      <c r="E82" s="49">
        <v>20956.165000000001</v>
      </c>
      <c r="F82" s="247">
        <v>20881</v>
      </c>
      <c r="G82" s="113">
        <v>20203</v>
      </c>
      <c r="H82" s="123">
        <v>22034</v>
      </c>
      <c r="I82" s="113">
        <v>21059</v>
      </c>
      <c r="J82" s="231"/>
      <c r="K82" s="231"/>
      <c r="L82" s="231"/>
      <c r="M82" s="231"/>
      <c r="N82" s="231"/>
      <c r="O82" s="231"/>
      <c r="P82" s="231"/>
      <c r="Q82" s="231"/>
      <c r="R82" s="231"/>
      <c r="S82" s="231"/>
      <c r="T82" s="231"/>
      <c r="U82" s="231"/>
      <c r="V82" s="231"/>
      <c r="W82" s="231"/>
      <c r="X82" s="231"/>
      <c r="Y82" s="231"/>
      <c r="Z82" s="231"/>
      <c r="AA82" s="231"/>
      <c r="AB82" s="231"/>
      <c r="AC82" s="231"/>
      <c r="AD82" s="231"/>
      <c r="AE82" s="231"/>
      <c r="AF82" s="231"/>
      <c r="AG82" s="231"/>
      <c r="AH82" s="231"/>
      <c r="AI82" s="231"/>
      <c r="AJ82" s="231"/>
      <c r="AK82" s="231"/>
      <c r="AL82" s="231"/>
      <c r="AM82" s="231"/>
    </row>
    <row r="83" spans="1:39" s="203" customFormat="1">
      <c r="A83" s="120">
        <v>10</v>
      </c>
      <c r="B83" s="90" t="s">
        <v>97</v>
      </c>
      <c r="C83" s="47"/>
      <c r="D83" s="47"/>
      <c r="E83" s="49">
        <v>11190</v>
      </c>
      <c r="F83" s="247">
        <v>11390</v>
      </c>
      <c r="G83" s="113">
        <v>1325</v>
      </c>
      <c r="H83" s="123">
        <v>12264</v>
      </c>
      <c r="I83" s="113">
        <v>1400</v>
      </c>
      <c r="J83" s="231"/>
      <c r="K83" s="231"/>
      <c r="L83" s="231"/>
      <c r="M83" s="231"/>
      <c r="N83" s="231"/>
      <c r="O83" s="231"/>
      <c r="P83" s="231"/>
      <c r="Q83" s="231"/>
      <c r="R83" s="231"/>
      <c r="S83" s="231"/>
      <c r="T83" s="231"/>
      <c r="U83" s="231"/>
      <c r="V83" s="231"/>
      <c r="W83" s="231"/>
      <c r="X83" s="231"/>
      <c r="Y83" s="231"/>
      <c r="Z83" s="231"/>
      <c r="AA83" s="231"/>
      <c r="AB83" s="231"/>
      <c r="AC83" s="231"/>
      <c r="AD83" s="231"/>
      <c r="AE83" s="231"/>
      <c r="AF83" s="231"/>
      <c r="AG83" s="231"/>
      <c r="AH83" s="231"/>
      <c r="AI83" s="231"/>
      <c r="AJ83" s="231"/>
      <c r="AK83" s="231"/>
      <c r="AL83" s="231"/>
      <c r="AM83" s="231"/>
    </row>
    <row r="84" spans="1:39" s="203" customFormat="1">
      <c r="A84" s="120">
        <v>11</v>
      </c>
      <c r="B84" s="90" t="s">
        <v>98</v>
      </c>
      <c r="C84" s="47"/>
      <c r="D84" s="47"/>
      <c r="E84" s="49">
        <v>6675.4570000000003</v>
      </c>
      <c r="F84" s="247">
        <v>6422</v>
      </c>
      <c r="G84" s="113">
        <v>0</v>
      </c>
      <c r="H84" s="123">
        <v>6335</v>
      </c>
      <c r="I84" s="113">
        <v>0</v>
      </c>
      <c r="J84" s="231"/>
      <c r="K84" s="231"/>
      <c r="L84" s="231"/>
      <c r="M84" s="231"/>
      <c r="N84" s="231"/>
      <c r="O84" s="231"/>
      <c r="P84" s="231"/>
      <c r="Q84" s="231"/>
      <c r="R84" s="231"/>
      <c r="S84" s="231"/>
      <c r="T84" s="231"/>
      <c r="U84" s="231"/>
      <c r="V84" s="231"/>
      <c r="W84" s="231"/>
      <c r="X84" s="231"/>
      <c r="Y84" s="231"/>
      <c r="Z84" s="231"/>
      <c r="AA84" s="231"/>
      <c r="AB84" s="231"/>
      <c r="AC84" s="231"/>
      <c r="AD84" s="231"/>
      <c r="AE84" s="231"/>
      <c r="AF84" s="231"/>
      <c r="AG84" s="231"/>
      <c r="AH84" s="231"/>
      <c r="AI84" s="231"/>
      <c r="AJ84" s="231"/>
      <c r="AK84" s="231"/>
      <c r="AL84" s="231"/>
      <c r="AM84" s="231"/>
    </row>
    <row r="85" spans="1:39" s="203" customFormat="1">
      <c r="A85" s="120">
        <v>12</v>
      </c>
      <c r="B85" s="47" t="s">
        <v>99</v>
      </c>
      <c r="C85" s="47"/>
      <c r="D85" s="47"/>
      <c r="E85" s="49">
        <v>2809.1948999999995</v>
      </c>
      <c r="F85" s="247">
        <v>2927</v>
      </c>
      <c r="G85" s="113">
        <v>0</v>
      </c>
      <c r="H85" s="123">
        <v>2924</v>
      </c>
      <c r="I85" s="113">
        <v>0</v>
      </c>
      <c r="J85" s="231"/>
      <c r="K85" s="231"/>
      <c r="L85" s="231"/>
      <c r="M85" s="231"/>
      <c r="N85" s="231"/>
      <c r="O85" s="231"/>
      <c r="P85" s="231"/>
      <c r="Q85" s="231"/>
      <c r="R85" s="231"/>
      <c r="S85" s="231"/>
      <c r="T85" s="231"/>
      <c r="U85" s="231"/>
      <c r="V85" s="231"/>
      <c r="W85" s="231"/>
      <c r="X85" s="231"/>
      <c r="Y85" s="231"/>
      <c r="Z85" s="231"/>
      <c r="AA85" s="231"/>
      <c r="AB85" s="231"/>
      <c r="AC85" s="231"/>
      <c r="AD85" s="231"/>
      <c r="AE85" s="231"/>
      <c r="AF85" s="231"/>
      <c r="AG85" s="231"/>
      <c r="AH85" s="231"/>
      <c r="AI85" s="231"/>
      <c r="AJ85" s="231"/>
      <c r="AK85" s="231"/>
      <c r="AL85" s="231"/>
      <c r="AM85" s="231"/>
    </row>
    <row r="86" spans="1:39" s="203" customFormat="1">
      <c r="A86" s="120">
        <v>13</v>
      </c>
      <c r="B86" s="47" t="s">
        <v>100</v>
      </c>
      <c r="C86" s="47"/>
      <c r="D86" s="47"/>
      <c r="E86" s="49">
        <v>17362.326000000001</v>
      </c>
      <c r="F86" s="247">
        <v>18134</v>
      </c>
      <c r="G86" s="113">
        <v>9214</v>
      </c>
      <c r="H86" s="123">
        <v>19733</v>
      </c>
      <c r="I86" s="113">
        <v>9529</v>
      </c>
      <c r="J86" s="231"/>
      <c r="K86" s="231"/>
      <c r="L86" s="231"/>
      <c r="M86" s="231"/>
      <c r="N86" s="231"/>
      <c r="O86" s="231"/>
      <c r="P86" s="231"/>
      <c r="Q86" s="231"/>
      <c r="R86" s="231"/>
      <c r="S86" s="231"/>
      <c r="T86" s="231"/>
      <c r="U86" s="231"/>
      <c r="V86" s="231"/>
      <c r="W86" s="231"/>
      <c r="X86" s="231"/>
      <c r="Y86" s="231"/>
      <c r="Z86" s="231"/>
      <c r="AA86" s="231"/>
      <c r="AB86" s="231"/>
      <c r="AC86" s="231"/>
      <c r="AD86" s="231"/>
      <c r="AE86" s="231"/>
      <c r="AF86" s="231"/>
      <c r="AG86" s="231"/>
      <c r="AH86" s="231"/>
      <c r="AI86" s="231"/>
      <c r="AJ86" s="231"/>
      <c r="AK86" s="231"/>
      <c r="AL86" s="231"/>
      <c r="AM86" s="231"/>
    </row>
    <row r="87" spans="1:39" s="203" customFormat="1">
      <c r="A87" s="120">
        <v>14</v>
      </c>
      <c r="B87" s="47" t="s">
        <v>101</v>
      </c>
      <c r="C87" s="47"/>
      <c r="D87" s="47"/>
      <c r="E87" s="49">
        <v>1676</v>
      </c>
      <c r="F87" s="247">
        <v>1563</v>
      </c>
      <c r="G87" s="113">
        <v>0</v>
      </c>
      <c r="H87" s="123">
        <v>1685</v>
      </c>
      <c r="I87" s="113">
        <v>0</v>
      </c>
      <c r="J87" s="231"/>
      <c r="K87" s="231"/>
      <c r="L87" s="231"/>
      <c r="M87" s="231"/>
      <c r="N87" s="231"/>
      <c r="O87" s="231"/>
      <c r="P87" s="231"/>
      <c r="Q87" s="231"/>
      <c r="R87" s="231"/>
      <c r="S87" s="231"/>
      <c r="T87" s="231"/>
      <c r="U87" s="231"/>
      <c r="V87" s="231"/>
      <c r="W87" s="231"/>
      <c r="X87" s="231"/>
      <c r="Y87" s="231"/>
      <c r="Z87" s="231"/>
      <c r="AA87" s="231"/>
      <c r="AB87" s="231"/>
      <c r="AC87" s="231"/>
      <c r="AD87" s="231"/>
      <c r="AE87" s="231"/>
      <c r="AF87" s="231"/>
      <c r="AG87" s="231"/>
      <c r="AH87" s="231"/>
      <c r="AI87" s="231"/>
      <c r="AJ87" s="231"/>
      <c r="AK87" s="231"/>
      <c r="AL87" s="231"/>
      <c r="AM87" s="231"/>
    </row>
    <row r="88" spans="1:39" s="203" customFormat="1">
      <c r="A88" s="124">
        <v>15</v>
      </c>
      <c r="B88" s="125" t="s">
        <v>102</v>
      </c>
      <c r="C88" s="54"/>
      <c r="D88" s="54"/>
      <c r="E88" s="56">
        <v>0</v>
      </c>
      <c r="F88" s="254">
        <v>0</v>
      </c>
      <c r="G88" s="127">
        <v>0</v>
      </c>
      <c r="H88" s="255">
        <v>0</v>
      </c>
      <c r="I88" s="127">
        <v>0</v>
      </c>
      <c r="J88" s="231"/>
      <c r="K88" s="231"/>
      <c r="L88" s="231"/>
      <c r="M88" s="231"/>
      <c r="N88" s="231"/>
      <c r="O88" s="231"/>
      <c r="P88" s="231"/>
      <c r="Q88" s="231"/>
      <c r="R88" s="231"/>
      <c r="S88" s="231"/>
      <c r="T88" s="231"/>
      <c r="U88" s="231"/>
      <c r="V88" s="231"/>
      <c r="W88" s="231"/>
      <c r="X88" s="231"/>
      <c r="Y88" s="231"/>
      <c r="Z88" s="231"/>
      <c r="AA88" s="231"/>
      <c r="AB88" s="231"/>
      <c r="AC88" s="231"/>
      <c r="AD88" s="231"/>
      <c r="AE88" s="231"/>
      <c r="AF88" s="231"/>
      <c r="AG88" s="231"/>
      <c r="AH88" s="231"/>
      <c r="AI88" s="231"/>
      <c r="AJ88" s="231"/>
      <c r="AK88" s="231"/>
      <c r="AL88" s="231"/>
      <c r="AM88" s="231"/>
    </row>
    <row r="89" spans="1:39" s="203" customFormat="1">
      <c r="A89" s="128"/>
      <c r="B89" s="129"/>
      <c r="C89" s="129"/>
      <c r="D89" s="129"/>
      <c r="E89" s="15"/>
      <c r="F89" s="130"/>
      <c r="G89" s="29"/>
      <c r="H89" s="207"/>
      <c r="I89" s="29"/>
      <c r="J89" s="231"/>
      <c r="K89" s="231"/>
      <c r="L89" s="231"/>
      <c r="M89" s="231"/>
      <c r="N89" s="231"/>
      <c r="O89" s="231"/>
      <c r="P89" s="231"/>
      <c r="Q89" s="231"/>
      <c r="R89" s="231"/>
      <c r="S89" s="231"/>
      <c r="T89" s="231"/>
      <c r="U89" s="231"/>
      <c r="V89" s="231"/>
      <c r="W89" s="231"/>
      <c r="X89" s="231"/>
      <c r="Y89" s="231"/>
      <c r="Z89" s="231"/>
      <c r="AA89" s="231"/>
      <c r="AB89" s="231"/>
      <c r="AC89" s="231"/>
      <c r="AD89" s="231"/>
      <c r="AE89" s="231"/>
      <c r="AF89" s="231"/>
      <c r="AG89" s="231"/>
      <c r="AH89" s="231"/>
      <c r="AI89" s="231"/>
      <c r="AJ89" s="231"/>
      <c r="AK89" s="231"/>
      <c r="AL89" s="231"/>
      <c r="AM89" s="231"/>
    </row>
    <row r="90" spans="1:39" s="203" customFormat="1">
      <c r="A90" s="128"/>
      <c r="B90" s="129"/>
      <c r="C90" s="129"/>
      <c r="D90" s="129"/>
      <c r="E90" s="105"/>
      <c r="F90" s="130"/>
      <c r="G90" s="29"/>
      <c r="H90" s="131" t="s">
        <v>27</v>
      </c>
      <c r="I90" s="29"/>
      <c r="J90" s="231"/>
      <c r="K90" s="231"/>
      <c r="L90" s="231"/>
      <c r="M90" s="231"/>
      <c r="N90" s="231"/>
      <c r="O90" s="231"/>
      <c r="P90" s="231"/>
      <c r="Q90" s="231"/>
      <c r="R90" s="231"/>
      <c r="S90" s="231"/>
      <c r="T90" s="231"/>
      <c r="U90" s="231"/>
      <c r="V90" s="231"/>
      <c r="W90" s="231"/>
      <c r="X90" s="231"/>
      <c r="Y90" s="231"/>
      <c r="Z90" s="231"/>
      <c r="AA90" s="231"/>
      <c r="AB90" s="231"/>
      <c r="AC90" s="231"/>
      <c r="AD90" s="231"/>
      <c r="AE90" s="231"/>
      <c r="AF90" s="231"/>
      <c r="AG90" s="231"/>
      <c r="AH90" s="231"/>
      <c r="AI90" s="231"/>
      <c r="AJ90" s="231"/>
      <c r="AK90" s="231"/>
      <c r="AL90" s="231"/>
      <c r="AM90" s="231"/>
    </row>
    <row r="91" spans="1:39" s="203" customFormat="1">
      <c r="A91" s="106" t="s">
        <v>17</v>
      </c>
      <c r="B91" s="107"/>
      <c r="C91" s="107"/>
      <c r="D91" s="107"/>
      <c r="E91" s="856" t="s">
        <v>421</v>
      </c>
      <c r="F91" s="856" t="s">
        <v>402</v>
      </c>
      <c r="G91" s="257"/>
      <c r="H91" s="856" t="s">
        <v>403</v>
      </c>
      <c r="I91" s="29"/>
      <c r="J91" s="231"/>
      <c r="K91" s="231"/>
      <c r="L91" s="231"/>
      <c r="M91" s="231"/>
      <c r="N91" s="231"/>
      <c r="O91" s="231"/>
      <c r="P91" s="231"/>
      <c r="Q91" s="231"/>
      <c r="R91" s="231"/>
      <c r="S91" s="231"/>
      <c r="T91" s="231"/>
      <c r="U91" s="231"/>
      <c r="V91" s="231"/>
      <c r="W91" s="231"/>
      <c r="X91" s="231"/>
      <c r="Y91" s="231"/>
      <c r="Z91" s="231"/>
      <c r="AA91" s="231"/>
      <c r="AB91" s="231"/>
      <c r="AC91" s="231"/>
      <c r="AD91" s="231"/>
      <c r="AE91" s="231"/>
      <c r="AF91" s="231"/>
      <c r="AG91" s="231"/>
      <c r="AH91" s="231"/>
      <c r="AI91" s="231"/>
      <c r="AJ91" s="231"/>
      <c r="AK91" s="231"/>
      <c r="AL91" s="231"/>
      <c r="AM91" s="231"/>
    </row>
    <row r="92" spans="1:39" s="203" customFormat="1" ht="12.75" customHeight="1">
      <c r="A92" s="109"/>
      <c r="B92" s="132"/>
      <c r="C92" s="132"/>
      <c r="D92" s="132"/>
      <c r="E92" s="859"/>
      <c r="F92" s="859"/>
      <c r="G92" s="29"/>
      <c r="H92" s="859"/>
      <c r="I92" s="29"/>
      <c r="J92" s="231"/>
      <c r="K92" s="231"/>
      <c r="L92" s="231"/>
      <c r="M92" s="231"/>
      <c r="N92" s="231"/>
      <c r="O92" s="231"/>
      <c r="P92" s="231"/>
      <c r="Q92" s="231"/>
      <c r="R92" s="231"/>
      <c r="S92" s="231"/>
      <c r="T92" s="231"/>
      <c r="U92" s="231"/>
      <c r="V92" s="231"/>
      <c r="W92" s="231"/>
      <c r="X92" s="231"/>
      <c r="Y92" s="231"/>
      <c r="Z92" s="231"/>
      <c r="AA92" s="231"/>
      <c r="AB92" s="231"/>
      <c r="AC92" s="231"/>
      <c r="AD92" s="231"/>
      <c r="AE92" s="231"/>
      <c r="AF92" s="231"/>
      <c r="AG92" s="231"/>
      <c r="AH92" s="231"/>
      <c r="AI92" s="231"/>
      <c r="AJ92" s="231"/>
      <c r="AK92" s="231"/>
      <c r="AL92" s="231"/>
      <c r="AM92" s="231"/>
    </row>
    <row r="93" spans="1:39" s="203" customFormat="1">
      <c r="A93" s="109" t="s">
        <v>103</v>
      </c>
      <c r="B93" s="132"/>
      <c r="C93" s="132"/>
      <c r="D93" s="132"/>
      <c r="E93" s="859"/>
      <c r="F93" s="859"/>
      <c r="G93" s="29"/>
      <c r="H93" s="859"/>
      <c r="I93" s="29"/>
      <c r="J93" s="231"/>
      <c r="K93" s="231"/>
      <c r="L93" s="231"/>
      <c r="M93" s="231"/>
      <c r="N93" s="231"/>
      <c r="O93" s="231"/>
      <c r="P93" s="231"/>
      <c r="Q93" s="231"/>
      <c r="R93" s="231"/>
      <c r="S93" s="231"/>
      <c r="T93" s="231"/>
      <c r="U93" s="231"/>
      <c r="V93" s="231"/>
      <c r="W93" s="231"/>
      <c r="X93" s="231"/>
      <c r="Y93" s="231"/>
      <c r="Z93" s="231"/>
      <c r="AA93" s="231"/>
      <c r="AB93" s="231"/>
      <c r="AC93" s="231"/>
      <c r="AD93" s="231"/>
      <c r="AE93" s="231"/>
      <c r="AF93" s="231"/>
      <c r="AG93" s="231"/>
      <c r="AH93" s="231"/>
      <c r="AI93" s="231"/>
      <c r="AJ93" s="231"/>
      <c r="AK93" s="231"/>
      <c r="AL93" s="231"/>
      <c r="AM93" s="231"/>
    </row>
    <row r="94" spans="1:39" s="203" customFormat="1">
      <c r="A94" s="109" t="s">
        <v>83</v>
      </c>
      <c r="B94" s="132"/>
      <c r="C94" s="132"/>
      <c r="D94" s="132"/>
      <c r="E94" s="859"/>
      <c r="F94" s="859"/>
      <c r="G94" s="130"/>
      <c r="H94" s="859"/>
      <c r="I94" s="29"/>
      <c r="J94" s="231"/>
      <c r="K94" s="231"/>
      <c r="L94" s="231"/>
      <c r="M94" s="231"/>
      <c r="N94" s="231"/>
      <c r="O94" s="231"/>
      <c r="P94" s="231"/>
      <c r="Q94" s="231"/>
      <c r="R94" s="231"/>
      <c r="S94" s="231"/>
      <c r="T94" s="231"/>
      <c r="U94" s="231"/>
      <c r="V94" s="231"/>
      <c r="W94" s="231"/>
      <c r="X94" s="231"/>
      <c r="Y94" s="231"/>
      <c r="Z94" s="231"/>
      <c r="AA94" s="231"/>
      <c r="AB94" s="231"/>
      <c r="AC94" s="231"/>
      <c r="AD94" s="231"/>
      <c r="AE94" s="231"/>
      <c r="AF94" s="231"/>
      <c r="AG94" s="231"/>
      <c r="AH94" s="231"/>
      <c r="AI94" s="231"/>
      <c r="AJ94" s="231"/>
      <c r="AK94" s="231"/>
      <c r="AL94" s="231"/>
      <c r="AM94" s="231"/>
    </row>
    <row r="95" spans="1:39" s="203" customFormat="1">
      <c r="A95" s="110" t="s">
        <v>84</v>
      </c>
      <c r="B95" s="132"/>
      <c r="C95" s="132"/>
      <c r="D95" s="132"/>
      <c r="E95" s="860"/>
      <c r="F95" s="860"/>
      <c r="G95" s="130"/>
      <c r="H95" s="860"/>
      <c r="I95" s="130"/>
      <c r="J95" s="231"/>
      <c r="K95" s="231"/>
      <c r="L95" s="231"/>
      <c r="M95" s="231"/>
      <c r="N95" s="231"/>
      <c r="O95" s="231"/>
      <c r="P95" s="231"/>
      <c r="Q95" s="231"/>
      <c r="R95" s="231"/>
      <c r="S95" s="231"/>
      <c r="T95" s="231"/>
      <c r="U95" s="231"/>
      <c r="V95" s="231"/>
      <c r="W95" s="231"/>
      <c r="X95" s="231"/>
      <c r="Y95" s="231"/>
      <c r="Z95" s="231"/>
      <c r="AA95" s="231"/>
      <c r="AB95" s="231"/>
      <c r="AC95" s="231"/>
      <c r="AD95" s="231"/>
      <c r="AE95" s="231"/>
      <c r="AF95" s="231"/>
      <c r="AG95" s="231"/>
      <c r="AH95" s="231"/>
      <c r="AI95" s="231"/>
      <c r="AJ95" s="231"/>
      <c r="AK95" s="231"/>
      <c r="AL95" s="231"/>
      <c r="AM95" s="231"/>
    </row>
    <row r="96" spans="1:39" s="203" customFormat="1">
      <c r="A96" s="120">
        <v>1</v>
      </c>
      <c r="B96" s="47" t="s">
        <v>104</v>
      </c>
      <c r="C96" s="47"/>
      <c r="D96" s="47"/>
      <c r="E96" s="41">
        <v>-11768</v>
      </c>
      <c r="F96" s="52">
        <v>1367</v>
      </c>
      <c r="G96" s="118"/>
      <c r="H96" s="133">
        <v>825</v>
      </c>
      <c r="I96" s="139"/>
      <c r="J96" s="231"/>
      <c r="K96" s="231"/>
      <c r="L96" s="231"/>
      <c r="M96" s="231"/>
      <c r="N96" s="231"/>
      <c r="O96" s="231"/>
      <c r="P96" s="231"/>
      <c r="Q96" s="231"/>
      <c r="R96" s="231"/>
      <c r="S96" s="231"/>
      <c r="T96" s="231"/>
      <c r="U96" s="231"/>
      <c r="V96" s="231"/>
      <c r="W96" s="231"/>
      <c r="X96" s="231"/>
      <c r="Y96" s="231"/>
      <c r="Z96" s="231"/>
      <c r="AA96" s="231"/>
      <c r="AB96" s="231"/>
      <c r="AC96" s="231"/>
      <c r="AD96" s="231"/>
      <c r="AE96" s="231"/>
      <c r="AF96" s="231"/>
      <c r="AG96" s="231"/>
      <c r="AH96" s="231"/>
      <c r="AI96" s="231"/>
      <c r="AJ96" s="231"/>
      <c r="AK96" s="231"/>
      <c r="AL96" s="231"/>
      <c r="AM96" s="231"/>
    </row>
    <row r="97" spans="1:39" s="203" customFormat="1">
      <c r="A97" s="120">
        <v>2</v>
      </c>
      <c r="B97" s="47" t="s">
        <v>105</v>
      </c>
      <c r="C97" s="47"/>
      <c r="D97" s="47"/>
      <c r="E97" s="49">
        <v>37</v>
      </c>
      <c r="F97" s="52">
        <v>35</v>
      </c>
      <c r="G97" s="118"/>
      <c r="H97" s="122">
        <v>37</v>
      </c>
      <c r="I97" s="139"/>
      <c r="J97" s="231"/>
      <c r="K97" s="231"/>
      <c r="L97" s="231"/>
      <c r="M97" s="231"/>
      <c r="N97" s="231"/>
      <c r="O97" s="231"/>
      <c r="P97" s="231"/>
      <c r="Q97" s="231"/>
      <c r="R97" s="231"/>
      <c r="S97" s="231"/>
      <c r="T97" s="231"/>
      <c r="U97" s="231"/>
      <c r="V97" s="231"/>
      <c r="W97" s="231"/>
      <c r="X97" s="231"/>
      <c r="Y97" s="231"/>
      <c r="Z97" s="231"/>
      <c r="AA97" s="231"/>
      <c r="AB97" s="231"/>
      <c r="AC97" s="231"/>
      <c r="AD97" s="231"/>
      <c r="AE97" s="231"/>
      <c r="AF97" s="231"/>
      <c r="AG97" s="231"/>
      <c r="AH97" s="231"/>
      <c r="AI97" s="231"/>
      <c r="AJ97" s="231"/>
      <c r="AK97" s="231"/>
      <c r="AL97" s="231"/>
      <c r="AM97" s="231"/>
    </row>
    <row r="98" spans="1:39" s="203" customFormat="1">
      <c r="A98" s="120">
        <v>3</v>
      </c>
      <c r="B98" s="47" t="s">
        <v>106</v>
      </c>
      <c r="C98" s="47"/>
      <c r="D98" s="47"/>
      <c r="E98" s="114">
        <v>12207</v>
      </c>
      <c r="F98" s="50">
        <f>F115</f>
        <v>12648</v>
      </c>
      <c r="G98" s="118"/>
      <c r="H98" s="50">
        <f>H115</f>
        <v>12007</v>
      </c>
      <c r="I98" s="139"/>
      <c r="J98" s="231"/>
      <c r="K98" s="231"/>
      <c r="L98" s="231"/>
      <c r="M98" s="231"/>
      <c r="N98" s="231"/>
      <c r="O98" s="231"/>
      <c r="P98" s="231"/>
      <c r="Q98" s="231"/>
      <c r="R98" s="231"/>
      <c r="S98" s="231"/>
      <c r="T98" s="231"/>
      <c r="U98" s="231"/>
      <c r="V98" s="231"/>
      <c r="W98" s="231"/>
      <c r="X98" s="231"/>
      <c r="Y98" s="231"/>
      <c r="Z98" s="231"/>
      <c r="AA98" s="231"/>
      <c r="AB98" s="231"/>
      <c r="AC98" s="231"/>
      <c r="AD98" s="231"/>
      <c r="AE98" s="231"/>
      <c r="AF98" s="231"/>
      <c r="AG98" s="231"/>
      <c r="AH98" s="231"/>
      <c r="AI98" s="231"/>
      <c r="AJ98" s="231"/>
      <c r="AK98" s="231"/>
      <c r="AL98" s="231"/>
      <c r="AM98" s="231"/>
    </row>
    <row r="99" spans="1:39" s="203" customFormat="1">
      <c r="A99" s="120">
        <v>4</v>
      </c>
      <c r="B99" s="47" t="s">
        <v>107</v>
      </c>
      <c r="C99" s="47"/>
      <c r="D99" s="47"/>
      <c r="E99" s="114">
        <v>38286</v>
      </c>
      <c r="F99" s="50">
        <f>F125</f>
        <v>32213</v>
      </c>
      <c r="G99" s="118"/>
      <c r="H99" s="50">
        <f>H125</f>
        <v>33282</v>
      </c>
      <c r="I99" s="139"/>
      <c r="J99" s="231"/>
      <c r="K99" s="231"/>
      <c r="L99" s="231"/>
      <c r="M99" s="231"/>
      <c r="N99" s="231"/>
      <c r="O99" s="231"/>
      <c r="P99" s="231"/>
      <c r="Q99" s="231"/>
      <c r="R99" s="231"/>
      <c r="S99" s="231"/>
      <c r="T99" s="231"/>
      <c r="U99" s="231"/>
      <c r="V99" s="231"/>
      <c r="W99" s="231"/>
      <c r="X99" s="231"/>
      <c r="Y99" s="231"/>
      <c r="Z99" s="231"/>
      <c r="AA99" s="231"/>
      <c r="AB99" s="231"/>
      <c r="AC99" s="231"/>
      <c r="AD99" s="231"/>
      <c r="AE99" s="231"/>
      <c r="AF99" s="231"/>
      <c r="AG99" s="231"/>
      <c r="AH99" s="231"/>
      <c r="AI99" s="231"/>
      <c r="AJ99" s="231"/>
      <c r="AK99" s="231"/>
      <c r="AL99" s="231"/>
      <c r="AM99" s="231"/>
    </row>
    <row r="100" spans="1:39" s="203" customFormat="1">
      <c r="A100" s="120">
        <v>5</v>
      </c>
      <c r="B100" s="47" t="s">
        <v>108</v>
      </c>
      <c r="C100" s="47"/>
      <c r="D100" s="47"/>
      <c r="E100" s="114">
        <v>2228</v>
      </c>
      <c r="F100" s="50">
        <f>F135</f>
        <v>2432</v>
      </c>
      <c r="G100" s="118"/>
      <c r="H100" s="50">
        <f>H135</f>
        <v>2092</v>
      </c>
      <c r="I100" s="139"/>
      <c r="J100" s="231"/>
      <c r="K100" s="231"/>
      <c r="L100" s="231"/>
      <c r="M100" s="231"/>
      <c r="N100" s="231"/>
      <c r="O100" s="231"/>
      <c r="P100" s="231"/>
      <c r="Q100" s="231"/>
      <c r="R100" s="231"/>
      <c r="S100" s="231"/>
      <c r="T100" s="231"/>
      <c r="U100" s="231"/>
      <c r="V100" s="231"/>
      <c r="W100" s="231"/>
      <c r="X100" s="231"/>
      <c r="Y100" s="231"/>
      <c r="Z100" s="231"/>
      <c r="AA100" s="231"/>
      <c r="AB100" s="231"/>
      <c r="AC100" s="231"/>
      <c r="AD100" s="231"/>
      <c r="AE100" s="231"/>
      <c r="AF100" s="231"/>
      <c r="AG100" s="231"/>
      <c r="AH100" s="231"/>
      <c r="AI100" s="231"/>
      <c r="AJ100" s="231"/>
      <c r="AK100" s="231"/>
      <c r="AL100" s="231"/>
      <c r="AM100" s="231"/>
    </row>
    <row r="101" spans="1:39" s="203" customFormat="1">
      <c r="A101" s="120">
        <v>6</v>
      </c>
      <c r="B101" s="47" t="s">
        <v>109</v>
      </c>
      <c r="C101" s="47"/>
      <c r="D101" s="47"/>
      <c r="E101" s="114">
        <v>15467</v>
      </c>
      <c r="F101" s="50">
        <f>F143</f>
        <v>12601</v>
      </c>
      <c r="G101" s="118"/>
      <c r="H101" s="50">
        <f>H143</f>
        <v>11371</v>
      </c>
      <c r="I101" s="139"/>
      <c r="J101" s="231"/>
      <c r="K101" s="231"/>
      <c r="L101" s="231"/>
      <c r="M101" s="231"/>
      <c r="N101" s="231"/>
      <c r="O101" s="231"/>
      <c r="P101" s="231"/>
      <c r="Q101" s="231"/>
      <c r="R101" s="231"/>
      <c r="S101" s="231"/>
      <c r="T101" s="231"/>
      <c r="U101" s="231"/>
      <c r="V101" s="231"/>
      <c r="W101" s="231"/>
      <c r="X101" s="231"/>
      <c r="Y101" s="231"/>
      <c r="Z101" s="231"/>
      <c r="AA101" s="231"/>
      <c r="AB101" s="231"/>
      <c r="AC101" s="231"/>
      <c r="AD101" s="231"/>
      <c r="AE101" s="231"/>
      <c r="AF101" s="231"/>
      <c r="AG101" s="231"/>
      <c r="AH101" s="231"/>
      <c r="AI101" s="231"/>
      <c r="AJ101" s="231"/>
      <c r="AK101" s="231"/>
      <c r="AL101" s="231"/>
      <c r="AM101" s="231"/>
    </row>
    <row r="102" spans="1:39" s="203" customFormat="1">
      <c r="A102" s="120">
        <v>7</v>
      </c>
      <c r="B102" s="47" t="s">
        <v>110</v>
      </c>
      <c r="C102" s="47"/>
      <c r="D102" s="47"/>
      <c r="E102" s="114">
        <v>2815</v>
      </c>
      <c r="F102" s="50">
        <f>F150</f>
        <v>1713</v>
      </c>
      <c r="G102" s="118"/>
      <c r="H102" s="50">
        <f>H150</f>
        <v>1928</v>
      </c>
      <c r="I102" s="139"/>
      <c r="J102" s="231"/>
      <c r="K102" s="231"/>
      <c r="L102" s="231"/>
      <c r="M102" s="231"/>
      <c r="N102" s="231"/>
      <c r="O102" s="231"/>
      <c r="P102" s="231"/>
      <c r="Q102" s="231"/>
      <c r="R102" s="231"/>
      <c r="S102" s="231"/>
      <c r="T102" s="231"/>
      <c r="U102" s="231"/>
      <c r="V102" s="231"/>
      <c r="W102" s="231"/>
      <c r="X102" s="231"/>
      <c r="Y102" s="231"/>
      <c r="Z102" s="231"/>
      <c r="AA102" s="231"/>
      <c r="AB102" s="231"/>
      <c r="AC102" s="231"/>
      <c r="AD102" s="231"/>
      <c r="AE102" s="231"/>
      <c r="AF102" s="231"/>
      <c r="AG102" s="231"/>
      <c r="AH102" s="231"/>
      <c r="AI102" s="231"/>
      <c r="AJ102" s="231"/>
      <c r="AK102" s="231"/>
      <c r="AL102" s="231"/>
      <c r="AM102" s="231"/>
    </row>
    <row r="103" spans="1:39" s="203" customFormat="1">
      <c r="A103" s="120">
        <v>8</v>
      </c>
      <c r="B103" s="47" t="s">
        <v>111</v>
      </c>
      <c r="C103" s="47"/>
      <c r="D103" s="47"/>
      <c r="E103" s="114">
        <v>542</v>
      </c>
      <c r="F103" s="52">
        <v>407</v>
      </c>
      <c r="G103" s="118"/>
      <c r="H103" s="122">
        <v>462</v>
      </c>
      <c r="I103" s="139"/>
      <c r="J103" s="231"/>
      <c r="K103" s="231"/>
      <c r="L103" s="231"/>
      <c r="M103" s="231"/>
      <c r="N103" s="231"/>
      <c r="O103" s="231"/>
      <c r="P103" s="231"/>
      <c r="Q103" s="231"/>
      <c r="R103" s="231"/>
      <c r="S103" s="231"/>
      <c r="T103" s="231"/>
      <c r="U103" s="231"/>
      <c r="V103" s="231"/>
      <c r="W103" s="231"/>
      <c r="X103" s="231"/>
      <c r="Y103" s="231"/>
      <c r="Z103" s="231"/>
      <c r="AA103" s="231"/>
      <c r="AB103" s="231"/>
      <c r="AC103" s="231"/>
      <c r="AD103" s="231"/>
      <c r="AE103" s="231"/>
      <c r="AF103" s="231"/>
      <c r="AG103" s="231"/>
      <c r="AH103" s="231"/>
      <c r="AI103" s="231"/>
      <c r="AJ103" s="231"/>
      <c r="AK103" s="231"/>
      <c r="AL103" s="231"/>
      <c r="AM103" s="231"/>
    </row>
    <row r="104" spans="1:39" s="203" customFormat="1">
      <c r="A104" s="120">
        <v>9</v>
      </c>
      <c r="B104" s="47" t="s">
        <v>112</v>
      </c>
      <c r="C104" s="47"/>
      <c r="D104" s="47"/>
      <c r="E104" s="114">
        <v>1252</v>
      </c>
      <c r="F104" s="52">
        <v>1187</v>
      </c>
      <c r="G104" s="118"/>
      <c r="H104" s="122">
        <v>1340</v>
      </c>
      <c r="I104" s="139"/>
      <c r="J104" s="231"/>
      <c r="K104" s="231"/>
      <c r="L104" s="231"/>
      <c r="M104" s="231"/>
      <c r="N104" s="231"/>
      <c r="O104" s="231"/>
      <c r="P104" s="231"/>
      <c r="Q104" s="231"/>
      <c r="R104" s="231"/>
      <c r="S104" s="231"/>
      <c r="T104" s="231"/>
      <c r="U104" s="231"/>
      <c r="V104" s="231"/>
      <c r="W104" s="231"/>
      <c r="X104" s="231"/>
      <c r="Y104" s="231"/>
      <c r="Z104" s="231"/>
      <c r="AA104" s="231"/>
      <c r="AB104" s="231"/>
      <c r="AC104" s="231"/>
      <c r="AD104" s="231"/>
      <c r="AE104" s="231"/>
      <c r="AF104" s="231"/>
      <c r="AG104" s="231"/>
      <c r="AH104" s="231"/>
      <c r="AI104" s="231"/>
      <c r="AJ104" s="231"/>
      <c r="AK104" s="231"/>
      <c r="AL104" s="231"/>
      <c r="AM104" s="231"/>
    </row>
    <row r="105" spans="1:39" s="203" customFormat="1">
      <c r="A105" s="111" t="s">
        <v>113</v>
      </c>
      <c r="B105" s="116" t="s">
        <v>114</v>
      </c>
      <c r="C105" s="116"/>
      <c r="D105" s="47"/>
      <c r="E105" s="134">
        <v>61066</v>
      </c>
      <c r="F105" s="61">
        <f>SUM(F96:F104)</f>
        <v>64603</v>
      </c>
      <c r="G105" s="118"/>
      <c r="H105" s="61">
        <f>SUM(H96:H104)</f>
        <v>63344</v>
      </c>
      <c r="I105" s="139"/>
      <c r="J105" s="231"/>
      <c r="K105" s="231"/>
      <c r="L105" s="231"/>
      <c r="M105" s="231"/>
      <c r="N105" s="231"/>
      <c r="O105" s="231"/>
      <c r="P105" s="231"/>
      <c r="Q105" s="231"/>
      <c r="R105" s="231"/>
      <c r="S105" s="231"/>
      <c r="T105" s="231"/>
      <c r="U105" s="231"/>
      <c r="V105" s="231"/>
      <c r="W105" s="231"/>
      <c r="X105" s="231"/>
      <c r="Y105" s="231"/>
      <c r="Z105" s="231"/>
      <c r="AA105" s="231"/>
      <c r="AB105" s="231"/>
      <c r="AC105" s="231"/>
      <c r="AD105" s="231"/>
      <c r="AE105" s="231"/>
      <c r="AF105" s="231"/>
      <c r="AG105" s="231"/>
      <c r="AH105" s="231"/>
      <c r="AI105" s="231"/>
      <c r="AJ105" s="231"/>
      <c r="AK105" s="231"/>
      <c r="AL105" s="231"/>
      <c r="AM105" s="231"/>
    </row>
    <row r="106" spans="1:39" s="203" customFormat="1">
      <c r="A106" s="120">
        <v>11</v>
      </c>
      <c r="B106" s="90" t="s">
        <v>115</v>
      </c>
      <c r="C106" s="47"/>
      <c r="D106" s="47"/>
      <c r="E106" s="135">
        <v>0</v>
      </c>
      <c r="F106" s="136"/>
      <c r="G106" s="118"/>
      <c r="H106" s="137"/>
      <c r="I106" s="139"/>
      <c r="J106" s="231"/>
      <c r="K106" s="231"/>
      <c r="L106" s="231"/>
      <c r="M106" s="231"/>
      <c r="N106" s="231"/>
      <c r="O106" s="231"/>
      <c r="P106" s="231"/>
      <c r="Q106" s="231"/>
      <c r="R106" s="231"/>
      <c r="S106" s="231"/>
      <c r="T106" s="231"/>
      <c r="U106" s="231"/>
      <c r="V106" s="231"/>
      <c r="W106" s="231"/>
      <c r="X106" s="231"/>
      <c r="Y106" s="231"/>
      <c r="Z106" s="231"/>
      <c r="AA106" s="231"/>
      <c r="AB106" s="231"/>
      <c r="AC106" s="231"/>
      <c r="AD106" s="231"/>
      <c r="AE106" s="231"/>
      <c r="AF106" s="231"/>
      <c r="AG106" s="231"/>
      <c r="AH106" s="231"/>
      <c r="AI106" s="231"/>
      <c r="AJ106" s="231"/>
      <c r="AK106" s="231"/>
      <c r="AL106" s="231"/>
      <c r="AM106" s="231"/>
    </row>
    <row r="107" spans="1:39" s="203" customFormat="1">
      <c r="A107" s="111"/>
      <c r="B107" s="47"/>
      <c r="C107" s="47"/>
      <c r="D107" s="138"/>
      <c r="E107" s="117"/>
      <c r="F107" s="139"/>
      <c r="G107" s="139"/>
      <c r="H107" s="139"/>
      <c r="I107" s="139"/>
      <c r="J107" s="231"/>
      <c r="K107" s="231"/>
      <c r="L107" s="231"/>
      <c r="M107" s="231"/>
      <c r="N107" s="231"/>
      <c r="O107" s="231"/>
      <c r="P107" s="231"/>
      <c r="Q107" s="231"/>
      <c r="R107" s="231"/>
      <c r="S107" s="231"/>
      <c r="T107" s="231"/>
      <c r="U107" s="231"/>
      <c r="V107" s="231"/>
      <c r="W107" s="231"/>
      <c r="X107" s="231"/>
      <c r="Y107" s="231"/>
      <c r="Z107" s="231"/>
      <c r="AA107" s="231"/>
      <c r="AB107" s="231"/>
      <c r="AC107" s="231"/>
      <c r="AD107" s="231"/>
      <c r="AE107" s="231"/>
      <c r="AF107" s="231"/>
      <c r="AG107" s="231"/>
      <c r="AH107" s="231"/>
      <c r="AI107" s="231"/>
      <c r="AJ107" s="231"/>
      <c r="AK107" s="231"/>
      <c r="AL107" s="231"/>
      <c r="AM107" s="231"/>
    </row>
    <row r="108" spans="1:39" s="203" customFormat="1">
      <c r="A108" s="119" t="s">
        <v>116</v>
      </c>
      <c r="B108" s="47"/>
      <c r="C108" s="47"/>
      <c r="D108" s="47"/>
      <c r="E108" s="117"/>
      <c r="F108" s="139"/>
      <c r="G108" s="139"/>
      <c r="H108" s="139"/>
      <c r="I108" s="139"/>
      <c r="J108" s="231"/>
      <c r="K108" s="231"/>
      <c r="L108" s="231"/>
      <c r="M108" s="231"/>
      <c r="N108" s="231"/>
      <c r="O108" s="231"/>
      <c r="P108" s="231"/>
      <c r="Q108" s="231"/>
      <c r="R108" s="231"/>
      <c r="S108" s="231"/>
      <c r="T108" s="231"/>
      <c r="U108" s="231"/>
      <c r="V108" s="231"/>
      <c r="W108" s="231"/>
      <c r="X108" s="231"/>
      <c r="Y108" s="231"/>
      <c r="Z108" s="231"/>
      <c r="AA108" s="231"/>
      <c r="AB108" s="231"/>
      <c r="AC108" s="231"/>
      <c r="AD108" s="231"/>
      <c r="AE108" s="231"/>
      <c r="AF108" s="231"/>
      <c r="AG108" s="231"/>
      <c r="AH108" s="231"/>
      <c r="AI108" s="231"/>
      <c r="AJ108" s="231"/>
      <c r="AK108" s="231"/>
      <c r="AL108" s="231"/>
      <c r="AM108" s="231"/>
    </row>
    <row r="109" spans="1:39" s="203" customFormat="1">
      <c r="A109" s="119" t="s">
        <v>106</v>
      </c>
      <c r="B109" s="47"/>
      <c r="C109" s="47"/>
      <c r="D109" s="47"/>
      <c r="E109" s="140"/>
      <c r="F109" s="141"/>
      <c r="G109" s="139"/>
      <c r="H109" s="141"/>
      <c r="I109" s="139"/>
      <c r="J109" s="231"/>
      <c r="K109" s="231"/>
      <c r="L109" s="231"/>
      <c r="M109" s="231"/>
      <c r="N109" s="231"/>
      <c r="O109" s="231"/>
      <c r="P109" s="231"/>
      <c r="Q109" s="231"/>
      <c r="R109" s="231"/>
      <c r="S109" s="231"/>
      <c r="T109" s="231"/>
      <c r="U109" s="231"/>
      <c r="V109" s="231"/>
      <c r="W109" s="231"/>
      <c r="X109" s="231"/>
      <c r="Y109" s="231"/>
      <c r="Z109" s="231"/>
      <c r="AA109" s="231"/>
      <c r="AB109" s="231"/>
      <c r="AC109" s="231"/>
      <c r="AD109" s="231"/>
      <c r="AE109" s="231"/>
      <c r="AF109" s="231"/>
      <c r="AG109" s="231"/>
      <c r="AH109" s="231"/>
      <c r="AI109" s="231"/>
      <c r="AJ109" s="231"/>
      <c r="AK109" s="231"/>
      <c r="AL109" s="231"/>
      <c r="AM109" s="231"/>
    </row>
    <row r="110" spans="1:39" s="203" customFormat="1">
      <c r="A110" s="120">
        <v>12</v>
      </c>
      <c r="B110" s="47" t="s">
        <v>117</v>
      </c>
      <c r="C110" s="47"/>
      <c r="D110" s="47"/>
      <c r="E110" s="49">
        <v>4276</v>
      </c>
      <c r="F110" s="52">
        <v>4194</v>
      </c>
      <c r="G110" s="118"/>
      <c r="H110" s="122">
        <v>4338</v>
      </c>
      <c r="I110" s="139"/>
      <c r="J110" s="231"/>
      <c r="K110" s="231"/>
      <c r="L110" s="231"/>
      <c r="M110" s="231"/>
      <c r="N110" s="231"/>
      <c r="O110" s="231"/>
      <c r="P110" s="231"/>
      <c r="Q110" s="231"/>
      <c r="R110" s="231"/>
      <c r="S110" s="231"/>
      <c r="T110" s="231"/>
      <c r="U110" s="231"/>
      <c r="V110" s="231"/>
      <c r="W110" s="231"/>
      <c r="X110" s="231"/>
      <c r="Y110" s="231"/>
      <c r="Z110" s="231"/>
      <c r="AA110" s="231"/>
      <c r="AB110" s="231"/>
      <c r="AC110" s="231"/>
      <c r="AD110" s="231"/>
      <c r="AE110" s="231"/>
      <c r="AF110" s="231"/>
      <c r="AG110" s="231"/>
      <c r="AH110" s="231"/>
      <c r="AI110" s="231"/>
      <c r="AJ110" s="231"/>
      <c r="AK110" s="231"/>
      <c r="AL110" s="231"/>
      <c r="AM110" s="231"/>
    </row>
    <row r="111" spans="1:39" s="203" customFormat="1">
      <c r="A111" s="120">
        <v>13</v>
      </c>
      <c r="B111" s="47" t="s">
        <v>118</v>
      </c>
      <c r="C111" s="47"/>
      <c r="D111" s="47"/>
      <c r="E111" s="49">
        <v>2497</v>
      </c>
      <c r="F111" s="52">
        <v>2182</v>
      </c>
      <c r="G111" s="118"/>
      <c r="H111" s="122">
        <v>2247</v>
      </c>
      <c r="I111" s="139"/>
      <c r="J111" s="231"/>
      <c r="K111" s="231"/>
      <c r="L111" s="231"/>
      <c r="M111" s="231"/>
      <c r="N111" s="231"/>
      <c r="O111" s="231"/>
      <c r="P111" s="231"/>
      <c r="Q111" s="231"/>
      <c r="R111" s="231"/>
      <c r="S111" s="231"/>
      <c r="T111" s="231"/>
      <c r="U111" s="231"/>
      <c r="V111" s="231"/>
      <c r="W111" s="231"/>
      <c r="X111" s="231"/>
      <c r="Y111" s="231"/>
      <c r="Z111" s="231"/>
      <c r="AA111" s="231"/>
      <c r="AB111" s="231"/>
      <c r="AC111" s="231"/>
      <c r="AD111" s="231"/>
      <c r="AE111" s="231"/>
      <c r="AF111" s="231"/>
      <c r="AG111" s="231"/>
      <c r="AH111" s="231"/>
      <c r="AI111" s="231"/>
      <c r="AJ111" s="231"/>
      <c r="AK111" s="231"/>
      <c r="AL111" s="231"/>
      <c r="AM111" s="231"/>
    </row>
    <row r="112" spans="1:39" s="203" customFormat="1">
      <c r="A112" s="120">
        <v>14</v>
      </c>
      <c r="B112" s="47" t="s">
        <v>119</v>
      </c>
      <c r="C112" s="47"/>
      <c r="D112" s="47"/>
      <c r="E112" s="49">
        <v>3190</v>
      </c>
      <c r="F112" s="52">
        <v>3838</v>
      </c>
      <c r="G112" s="118"/>
      <c r="H112" s="122">
        <v>3040</v>
      </c>
      <c r="I112" s="139"/>
      <c r="J112" s="231"/>
      <c r="K112" s="231"/>
      <c r="L112" s="231"/>
      <c r="M112" s="231"/>
      <c r="N112" s="231"/>
      <c r="O112" s="231"/>
      <c r="P112" s="231"/>
      <c r="Q112" s="231"/>
      <c r="R112" s="231"/>
      <c r="S112" s="231"/>
      <c r="T112" s="231"/>
      <c r="U112" s="231"/>
      <c r="V112" s="231"/>
      <c r="W112" s="231"/>
      <c r="X112" s="231"/>
      <c r="Y112" s="231"/>
      <c r="Z112" s="231"/>
      <c r="AA112" s="231"/>
      <c r="AB112" s="231"/>
      <c r="AC112" s="231"/>
      <c r="AD112" s="231"/>
      <c r="AE112" s="231"/>
      <c r="AF112" s="231"/>
      <c r="AG112" s="231"/>
      <c r="AH112" s="231"/>
      <c r="AI112" s="231"/>
      <c r="AJ112" s="231"/>
      <c r="AK112" s="231"/>
      <c r="AL112" s="231"/>
      <c r="AM112" s="231"/>
    </row>
    <row r="113" spans="1:39" s="203" customFormat="1">
      <c r="A113" s="120">
        <v>15</v>
      </c>
      <c r="B113" s="47" t="s">
        <v>120</v>
      </c>
      <c r="C113" s="47"/>
      <c r="D113" s="47"/>
      <c r="E113" s="49">
        <v>534</v>
      </c>
      <c r="F113" s="52">
        <v>543</v>
      </c>
      <c r="G113" s="118"/>
      <c r="H113" s="122">
        <v>451</v>
      </c>
      <c r="I113" s="139"/>
      <c r="J113" s="231"/>
      <c r="K113" s="231"/>
      <c r="L113" s="231"/>
      <c r="M113" s="231"/>
      <c r="N113" s="231"/>
      <c r="O113" s="231"/>
      <c r="P113" s="231"/>
      <c r="Q113" s="231"/>
      <c r="R113" s="231"/>
      <c r="S113" s="231"/>
      <c r="T113" s="231"/>
      <c r="U113" s="231"/>
      <c r="V113" s="231"/>
      <c r="W113" s="231"/>
      <c r="X113" s="231"/>
      <c r="Y113" s="231"/>
      <c r="Z113" s="231"/>
      <c r="AA113" s="231"/>
      <c r="AB113" s="231"/>
      <c r="AC113" s="231"/>
      <c r="AD113" s="231"/>
      <c r="AE113" s="231"/>
      <c r="AF113" s="231"/>
      <c r="AG113" s="231"/>
      <c r="AH113" s="231"/>
      <c r="AI113" s="231"/>
      <c r="AJ113" s="231"/>
      <c r="AK113" s="231"/>
      <c r="AL113" s="231"/>
      <c r="AM113" s="231"/>
    </row>
    <row r="114" spans="1:39" s="203" customFormat="1">
      <c r="A114" s="120">
        <v>16</v>
      </c>
      <c r="B114" s="47" t="s">
        <v>121</v>
      </c>
      <c r="C114" s="47"/>
      <c r="D114" s="47"/>
      <c r="E114" s="49">
        <v>1710</v>
      </c>
      <c r="F114" s="52">
        <v>1891</v>
      </c>
      <c r="G114" s="118"/>
      <c r="H114" s="100">
        <v>1931</v>
      </c>
      <c r="I114" s="139"/>
      <c r="J114" s="231"/>
      <c r="K114" s="231"/>
      <c r="L114" s="231"/>
      <c r="M114" s="231"/>
      <c r="N114" s="231"/>
      <c r="O114" s="231"/>
      <c r="P114" s="231"/>
      <c r="Q114" s="231"/>
      <c r="R114" s="231"/>
      <c r="S114" s="231"/>
      <c r="T114" s="231"/>
      <c r="U114" s="231"/>
      <c r="V114" s="231"/>
      <c r="W114" s="231"/>
      <c r="X114" s="231"/>
      <c r="Y114" s="231"/>
      <c r="Z114" s="231"/>
      <c r="AA114" s="231"/>
      <c r="AB114" s="231"/>
      <c r="AC114" s="231"/>
      <c r="AD114" s="231"/>
      <c r="AE114" s="231"/>
      <c r="AF114" s="231"/>
      <c r="AG114" s="231"/>
      <c r="AH114" s="231"/>
      <c r="AI114" s="231"/>
      <c r="AJ114" s="231"/>
      <c r="AK114" s="231"/>
      <c r="AL114" s="231"/>
      <c r="AM114" s="231"/>
    </row>
    <row r="115" spans="1:39" s="203" customFormat="1">
      <c r="A115" s="120">
        <v>17</v>
      </c>
      <c r="B115" s="116" t="s">
        <v>122</v>
      </c>
      <c r="C115" s="116"/>
      <c r="D115" s="116"/>
      <c r="E115" s="80">
        <v>12207</v>
      </c>
      <c r="F115" s="142">
        <f>SUM(F110:F114)</f>
        <v>12648</v>
      </c>
      <c r="G115" s="118"/>
      <c r="H115" s="142">
        <f>SUM(H110:H114)</f>
        <v>12007</v>
      </c>
      <c r="I115" s="139"/>
      <c r="J115" s="231"/>
      <c r="K115" s="231"/>
      <c r="L115" s="231"/>
      <c r="M115" s="231"/>
      <c r="N115" s="231"/>
      <c r="O115" s="231"/>
      <c r="P115" s="231"/>
      <c r="Q115" s="231"/>
      <c r="R115" s="231"/>
      <c r="S115" s="231"/>
      <c r="T115" s="231"/>
      <c r="U115" s="231"/>
      <c r="V115" s="231"/>
      <c r="W115" s="231"/>
      <c r="X115" s="231"/>
      <c r="Y115" s="231"/>
      <c r="Z115" s="231"/>
      <c r="AA115" s="231"/>
      <c r="AB115" s="231"/>
      <c r="AC115" s="231"/>
      <c r="AD115" s="231"/>
      <c r="AE115" s="231"/>
      <c r="AF115" s="231"/>
      <c r="AG115" s="231"/>
      <c r="AH115" s="231"/>
      <c r="AI115" s="231"/>
      <c r="AJ115" s="231"/>
      <c r="AK115" s="231"/>
      <c r="AL115" s="231"/>
      <c r="AM115" s="231"/>
    </row>
    <row r="116" spans="1:39" s="203" customFormat="1">
      <c r="A116" s="111"/>
      <c r="B116" s="116"/>
      <c r="C116" s="116"/>
      <c r="D116" s="116"/>
      <c r="E116" s="143"/>
      <c r="F116" s="118"/>
      <c r="G116" s="118"/>
      <c r="H116" s="118"/>
      <c r="I116" s="139"/>
      <c r="J116" s="231"/>
      <c r="K116" s="231"/>
      <c r="L116" s="231"/>
      <c r="M116" s="231"/>
      <c r="N116" s="231"/>
      <c r="O116" s="231"/>
      <c r="P116" s="231"/>
      <c r="Q116" s="231"/>
      <c r="R116" s="231"/>
      <c r="S116" s="231"/>
      <c r="T116" s="231"/>
      <c r="U116" s="231"/>
      <c r="V116" s="231"/>
      <c r="W116" s="231"/>
      <c r="X116" s="231"/>
      <c r="Y116" s="231"/>
      <c r="Z116" s="231"/>
      <c r="AA116" s="231"/>
      <c r="AB116" s="231"/>
      <c r="AC116" s="231"/>
      <c r="AD116" s="231"/>
      <c r="AE116" s="231"/>
      <c r="AF116" s="231"/>
      <c r="AG116" s="231"/>
      <c r="AH116" s="231"/>
      <c r="AI116" s="231"/>
      <c r="AJ116" s="231"/>
      <c r="AK116" s="231"/>
      <c r="AL116" s="231"/>
      <c r="AM116" s="231"/>
    </row>
    <row r="117" spans="1:39" s="203" customFormat="1">
      <c r="A117" s="144" t="s">
        <v>107</v>
      </c>
      <c r="B117" s="116"/>
      <c r="C117" s="116"/>
      <c r="D117" s="116"/>
      <c r="E117" s="145"/>
      <c r="F117" s="146"/>
      <c r="G117" s="118"/>
      <c r="H117" s="146"/>
      <c r="I117" s="139"/>
      <c r="J117" s="231"/>
      <c r="K117" s="231"/>
      <c r="L117" s="231"/>
      <c r="M117" s="231"/>
      <c r="N117" s="231"/>
      <c r="O117" s="231"/>
      <c r="P117" s="231"/>
      <c r="Q117" s="231"/>
      <c r="R117" s="231"/>
      <c r="S117" s="231"/>
      <c r="T117" s="231"/>
      <c r="U117" s="231"/>
      <c r="V117" s="231"/>
      <c r="W117" s="231"/>
      <c r="X117" s="231"/>
      <c r="Y117" s="231"/>
      <c r="Z117" s="231"/>
      <c r="AA117" s="231"/>
      <c r="AB117" s="231"/>
      <c r="AC117" s="231"/>
      <c r="AD117" s="231"/>
      <c r="AE117" s="231"/>
      <c r="AF117" s="231"/>
      <c r="AG117" s="231"/>
      <c r="AH117" s="231"/>
      <c r="AI117" s="231"/>
      <c r="AJ117" s="231"/>
      <c r="AK117" s="231"/>
      <c r="AL117" s="231"/>
      <c r="AM117" s="231"/>
    </row>
    <row r="118" spans="1:39" s="203" customFormat="1">
      <c r="A118" s="120">
        <v>18</v>
      </c>
      <c r="B118" s="47" t="s">
        <v>123</v>
      </c>
      <c r="C118" s="47"/>
      <c r="D118" s="47"/>
      <c r="E118" s="49">
        <v>3390</v>
      </c>
      <c r="F118" s="52">
        <v>3151</v>
      </c>
      <c r="G118" s="118"/>
      <c r="H118" s="122">
        <v>3518</v>
      </c>
      <c r="I118" s="139"/>
      <c r="J118" s="231"/>
      <c r="K118" s="231"/>
      <c r="L118" s="231"/>
      <c r="M118" s="231"/>
      <c r="N118" s="231"/>
      <c r="O118" s="231"/>
      <c r="P118" s="231"/>
      <c r="Q118" s="231"/>
      <c r="R118" s="231"/>
      <c r="S118" s="231"/>
      <c r="T118" s="231"/>
      <c r="U118" s="231"/>
      <c r="V118" s="231"/>
      <c r="W118" s="231"/>
      <c r="X118" s="231"/>
      <c r="Y118" s="231"/>
      <c r="Z118" s="231"/>
      <c r="AA118" s="231"/>
      <c r="AB118" s="231"/>
      <c r="AC118" s="231"/>
      <c r="AD118" s="231"/>
      <c r="AE118" s="231"/>
      <c r="AF118" s="231"/>
      <c r="AG118" s="231"/>
      <c r="AH118" s="231"/>
      <c r="AI118" s="231"/>
      <c r="AJ118" s="231"/>
      <c r="AK118" s="231"/>
      <c r="AL118" s="231"/>
      <c r="AM118" s="231"/>
    </row>
    <row r="119" spans="1:39" s="203" customFormat="1">
      <c r="A119" s="120">
        <v>19</v>
      </c>
      <c r="B119" s="47" t="s">
        <v>124</v>
      </c>
      <c r="C119" s="47"/>
      <c r="D119" s="47"/>
      <c r="E119" s="49">
        <v>15744</v>
      </c>
      <c r="F119" s="52">
        <v>12641</v>
      </c>
      <c r="G119" s="118"/>
      <c r="H119" s="122">
        <v>12987</v>
      </c>
      <c r="I119" s="139"/>
      <c r="J119" s="231"/>
      <c r="K119" s="231"/>
      <c r="L119" s="231"/>
      <c r="M119" s="231"/>
      <c r="N119" s="231"/>
      <c r="O119" s="231"/>
      <c r="P119" s="231"/>
      <c r="Q119" s="231"/>
      <c r="R119" s="231"/>
      <c r="S119" s="231"/>
      <c r="T119" s="231"/>
      <c r="U119" s="231"/>
      <c r="V119" s="231"/>
      <c r="W119" s="231"/>
      <c r="X119" s="231"/>
      <c r="Y119" s="231"/>
      <c r="Z119" s="231"/>
      <c r="AA119" s="231"/>
      <c r="AB119" s="231"/>
      <c r="AC119" s="231"/>
      <c r="AD119" s="231"/>
      <c r="AE119" s="231"/>
      <c r="AF119" s="231"/>
      <c r="AG119" s="231"/>
      <c r="AH119" s="231"/>
      <c r="AI119" s="231"/>
      <c r="AJ119" s="231"/>
      <c r="AK119" s="231"/>
      <c r="AL119" s="231"/>
      <c r="AM119" s="231"/>
    </row>
    <row r="120" spans="1:39" s="203" customFormat="1">
      <c r="A120" s="120">
        <v>20</v>
      </c>
      <c r="B120" s="47" t="s">
        <v>119</v>
      </c>
      <c r="C120" s="47"/>
      <c r="D120" s="47"/>
      <c r="E120" s="49">
        <v>16558</v>
      </c>
      <c r="F120" s="52">
        <v>14292</v>
      </c>
      <c r="G120" s="118"/>
      <c r="H120" s="122">
        <v>13748</v>
      </c>
      <c r="I120" s="139"/>
      <c r="J120" s="231"/>
      <c r="K120" s="231"/>
      <c r="L120" s="231"/>
      <c r="M120" s="231"/>
      <c r="N120" s="231"/>
      <c r="O120" s="231"/>
      <c r="P120" s="231"/>
      <c r="Q120" s="231"/>
      <c r="R120" s="231"/>
      <c r="S120" s="231"/>
      <c r="T120" s="231"/>
      <c r="U120" s="231"/>
      <c r="V120" s="231"/>
      <c r="W120" s="231"/>
      <c r="X120" s="231"/>
      <c r="Y120" s="231"/>
      <c r="Z120" s="231"/>
      <c r="AA120" s="231"/>
      <c r="AB120" s="231"/>
      <c r="AC120" s="231"/>
      <c r="AD120" s="231"/>
      <c r="AE120" s="231"/>
      <c r="AF120" s="231"/>
      <c r="AG120" s="231"/>
      <c r="AH120" s="231"/>
      <c r="AI120" s="231"/>
      <c r="AJ120" s="231"/>
      <c r="AK120" s="231"/>
      <c r="AL120" s="231"/>
      <c r="AM120" s="231"/>
    </row>
    <row r="121" spans="1:39" s="203" customFormat="1">
      <c r="A121" s="120">
        <v>21</v>
      </c>
      <c r="B121" s="47" t="s">
        <v>120</v>
      </c>
      <c r="C121" s="47"/>
      <c r="D121" s="47"/>
      <c r="E121" s="49">
        <v>803</v>
      </c>
      <c r="F121" s="52">
        <v>429</v>
      </c>
      <c r="G121" s="118"/>
      <c r="H121" s="122">
        <v>537</v>
      </c>
      <c r="I121" s="139"/>
      <c r="J121" s="231"/>
      <c r="K121" s="231"/>
      <c r="L121" s="231"/>
      <c r="M121" s="231"/>
      <c r="N121" s="231"/>
      <c r="O121" s="231"/>
      <c r="P121" s="231"/>
      <c r="Q121" s="231"/>
      <c r="R121" s="231"/>
      <c r="S121" s="231"/>
      <c r="T121" s="231"/>
      <c r="U121" s="231"/>
      <c r="V121" s="231"/>
      <c r="W121" s="231"/>
      <c r="X121" s="231"/>
      <c r="Y121" s="231"/>
      <c r="Z121" s="231"/>
      <c r="AA121" s="231"/>
      <c r="AB121" s="231"/>
      <c r="AC121" s="231"/>
      <c r="AD121" s="231"/>
      <c r="AE121" s="231"/>
      <c r="AF121" s="231"/>
      <c r="AG121" s="231"/>
      <c r="AH121" s="231"/>
      <c r="AI121" s="231"/>
      <c r="AJ121" s="231"/>
      <c r="AK121" s="231"/>
      <c r="AL121" s="231"/>
      <c r="AM121" s="231"/>
    </row>
    <row r="122" spans="1:39" s="203" customFormat="1">
      <c r="A122" s="120">
        <v>22</v>
      </c>
      <c r="B122" s="47" t="s">
        <v>125</v>
      </c>
      <c r="C122" s="47"/>
      <c r="D122" s="47"/>
      <c r="E122" s="49">
        <v>84</v>
      </c>
      <c r="F122" s="52">
        <v>40</v>
      </c>
      <c r="G122" s="118"/>
      <c r="H122" s="122">
        <v>140</v>
      </c>
      <c r="I122" s="139"/>
      <c r="J122" s="231"/>
      <c r="K122" s="231"/>
      <c r="L122" s="231"/>
      <c r="M122" s="231"/>
      <c r="N122" s="231"/>
      <c r="O122" s="231"/>
      <c r="P122" s="231"/>
      <c r="Q122" s="231"/>
      <c r="R122" s="231"/>
      <c r="S122" s="231"/>
      <c r="T122" s="231"/>
      <c r="U122" s="231"/>
      <c r="V122" s="231"/>
      <c r="W122" s="231"/>
      <c r="X122" s="231"/>
      <c r="Y122" s="231"/>
      <c r="Z122" s="231"/>
      <c r="AA122" s="231"/>
      <c r="AB122" s="231"/>
      <c r="AC122" s="231"/>
      <c r="AD122" s="231"/>
      <c r="AE122" s="231"/>
      <c r="AF122" s="231"/>
      <c r="AG122" s="231"/>
      <c r="AH122" s="231"/>
      <c r="AI122" s="231"/>
      <c r="AJ122" s="231"/>
      <c r="AK122" s="231"/>
      <c r="AL122" s="231"/>
      <c r="AM122" s="231"/>
    </row>
    <row r="123" spans="1:39" s="203" customFormat="1">
      <c r="A123" s="120">
        <v>23</v>
      </c>
      <c r="B123" s="90" t="s">
        <v>126</v>
      </c>
      <c r="C123" s="47"/>
      <c r="D123" s="47"/>
      <c r="E123" s="49">
        <v>1101</v>
      </c>
      <c r="F123" s="52">
        <v>1142</v>
      </c>
      <c r="G123" s="118"/>
      <c r="H123" s="99">
        <v>1119</v>
      </c>
      <c r="I123" s="139"/>
      <c r="J123" s="231"/>
      <c r="K123" s="231"/>
      <c r="L123" s="231"/>
      <c r="M123" s="231"/>
      <c r="N123" s="231"/>
      <c r="O123" s="231"/>
      <c r="P123" s="231"/>
      <c r="Q123" s="231"/>
      <c r="R123" s="231"/>
      <c r="S123" s="231"/>
      <c r="T123" s="231"/>
      <c r="U123" s="231"/>
      <c r="V123" s="231"/>
      <c r="W123" s="231"/>
      <c r="X123" s="231"/>
      <c r="Y123" s="231"/>
      <c r="Z123" s="231"/>
      <c r="AA123" s="231"/>
      <c r="AB123" s="231"/>
      <c r="AC123" s="231"/>
      <c r="AD123" s="231"/>
      <c r="AE123" s="231"/>
      <c r="AF123" s="231"/>
      <c r="AG123" s="231"/>
      <c r="AH123" s="231"/>
      <c r="AI123" s="231"/>
      <c r="AJ123" s="231"/>
      <c r="AK123" s="231"/>
      <c r="AL123" s="231"/>
      <c r="AM123" s="231"/>
    </row>
    <row r="124" spans="1:39" s="203" customFormat="1">
      <c r="A124" s="120">
        <v>24</v>
      </c>
      <c r="B124" s="47" t="s">
        <v>121</v>
      </c>
      <c r="C124" s="47"/>
      <c r="D124" s="47"/>
      <c r="E124" s="49">
        <v>606</v>
      </c>
      <c r="F124" s="52">
        <v>518</v>
      </c>
      <c r="G124" s="118"/>
      <c r="H124" s="100">
        <v>1233</v>
      </c>
      <c r="I124" s="139"/>
      <c r="J124" s="231"/>
      <c r="K124" s="231"/>
      <c r="L124" s="231"/>
      <c r="M124" s="231"/>
      <c r="N124" s="231"/>
      <c r="O124" s="231"/>
      <c r="P124" s="231"/>
      <c r="Q124" s="231"/>
      <c r="R124" s="231"/>
      <c r="S124" s="231"/>
      <c r="T124" s="231"/>
      <c r="U124" s="231"/>
      <c r="V124" s="231"/>
      <c r="W124" s="231"/>
      <c r="X124" s="231"/>
      <c r="Y124" s="231"/>
      <c r="Z124" s="231"/>
      <c r="AA124" s="231"/>
      <c r="AB124" s="231"/>
      <c r="AC124" s="231"/>
      <c r="AD124" s="231"/>
      <c r="AE124" s="231"/>
      <c r="AF124" s="231"/>
      <c r="AG124" s="231"/>
      <c r="AH124" s="231"/>
      <c r="AI124" s="231"/>
      <c r="AJ124" s="231"/>
      <c r="AK124" s="231"/>
      <c r="AL124" s="231"/>
      <c r="AM124" s="231"/>
    </row>
    <row r="125" spans="1:39" s="203" customFormat="1">
      <c r="A125" s="120">
        <v>25</v>
      </c>
      <c r="B125" s="147" t="s">
        <v>127</v>
      </c>
      <c r="C125" s="147"/>
      <c r="D125" s="147"/>
      <c r="E125" s="80">
        <v>38286</v>
      </c>
      <c r="F125" s="142">
        <f>SUM(F118:F124)</f>
        <v>32213</v>
      </c>
      <c r="G125" s="118"/>
      <c r="H125" s="142">
        <f>SUM(H118:H124)</f>
        <v>33282</v>
      </c>
      <c r="I125" s="139"/>
      <c r="J125" s="231"/>
      <c r="K125" s="231"/>
      <c r="L125" s="231"/>
      <c r="M125" s="231"/>
      <c r="N125" s="231"/>
      <c r="O125" s="231"/>
      <c r="P125" s="231"/>
      <c r="Q125" s="231"/>
      <c r="R125" s="231"/>
      <c r="S125" s="231"/>
      <c r="T125" s="231"/>
      <c r="U125" s="231"/>
      <c r="V125" s="231"/>
      <c r="W125" s="231"/>
      <c r="X125" s="231"/>
      <c r="Y125" s="231"/>
      <c r="Z125" s="231"/>
      <c r="AA125" s="231"/>
      <c r="AB125" s="231"/>
      <c r="AC125" s="231"/>
      <c r="AD125" s="231"/>
      <c r="AE125" s="231"/>
      <c r="AF125" s="231"/>
      <c r="AG125" s="231"/>
      <c r="AH125" s="231"/>
      <c r="AI125" s="231"/>
      <c r="AJ125" s="231"/>
      <c r="AK125" s="231"/>
      <c r="AL125" s="231"/>
      <c r="AM125" s="231"/>
    </row>
    <row r="126" spans="1:39" s="203" customFormat="1">
      <c r="A126" s="111"/>
      <c r="B126" s="47"/>
      <c r="C126" s="47"/>
      <c r="D126" s="47"/>
      <c r="E126" s="117"/>
      <c r="F126" s="118"/>
      <c r="G126" s="118"/>
      <c r="H126" s="118"/>
      <c r="I126" s="139"/>
      <c r="J126" s="231"/>
      <c r="K126" s="231"/>
      <c r="L126" s="231"/>
      <c r="M126" s="231"/>
      <c r="N126" s="231"/>
      <c r="O126" s="231"/>
      <c r="P126" s="231"/>
      <c r="Q126" s="231"/>
      <c r="R126" s="231"/>
      <c r="S126" s="231"/>
      <c r="T126" s="231"/>
      <c r="U126" s="231"/>
      <c r="V126" s="231"/>
      <c r="W126" s="231"/>
      <c r="X126" s="231"/>
      <c r="Y126" s="231"/>
      <c r="Z126" s="231"/>
      <c r="AA126" s="231"/>
      <c r="AB126" s="231"/>
      <c r="AC126" s="231"/>
      <c r="AD126" s="231"/>
      <c r="AE126" s="231"/>
      <c r="AF126" s="231"/>
      <c r="AG126" s="231"/>
      <c r="AH126" s="231"/>
      <c r="AI126" s="231"/>
      <c r="AJ126" s="231"/>
      <c r="AK126" s="231"/>
      <c r="AL126" s="231"/>
      <c r="AM126" s="231"/>
    </row>
    <row r="127" spans="1:39" s="203" customFormat="1">
      <c r="A127" s="119" t="s">
        <v>108</v>
      </c>
      <c r="B127" s="147"/>
      <c r="C127" s="147"/>
      <c r="D127" s="147"/>
      <c r="E127" s="140"/>
      <c r="F127" s="146"/>
      <c r="G127" s="118"/>
      <c r="H127" s="146"/>
      <c r="I127" s="139"/>
      <c r="J127" s="231"/>
      <c r="K127" s="231"/>
      <c r="L127" s="231"/>
      <c r="M127" s="231"/>
      <c r="N127" s="231"/>
      <c r="O127" s="231"/>
      <c r="P127" s="231"/>
      <c r="Q127" s="231"/>
      <c r="R127" s="231"/>
      <c r="S127" s="231"/>
      <c r="T127" s="231"/>
      <c r="U127" s="231"/>
      <c r="V127" s="231"/>
      <c r="W127" s="231"/>
      <c r="X127" s="231"/>
      <c r="Y127" s="231"/>
      <c r="Z127" s="231"/>
      <c r="AA127" s="231"/>
      <c r="AB127" s="231"/>
      <c r="AC127" s="231"/>
      <c r="AD127" s="231"/>
      <c r="AE127" s="231"/>
      <c r="AF127" s="231"/>
      <c r="AG127" s="231"/>
      <c r="AH127" s="231"/>
      <c r="AI127" s="231"/>
      <c r="AJ127" s="231"/>
      <c r="AK127" s="231"/>
      <c r="AL127" s="231"/>
      <c r="AM127" s="231"/>
    </row>
    <row r="128" spans="1:39" s="203" customFormat="1">
      <c r="A128" s="120">
        <v>26</v>
      </c>
      <c r="B128" s="47" t="s">
        <v>123</v>
      </c>
      <c r="C128" s="47"/>
      <c r="D128" s="47"/>
      <c r="E128" s="74">
        <v>111</v>
      </c>
      <c r="F128" s="52">
        <v>98</v>
      </c>
      <c r="G128" s="118"/>
      <c r="H128" s="122">
        <v>132</v>
      </c>
      <c r="I128" s="139"/>
      <c r="J128" s="231"/>
      <c r="K128" s="231"/>
      <c r="L128" s="231"/>
      <c r="M128" s="231"/>
      <c r="N128" s="231"/>
      <c r="O128" s="231"/>
      <c r="P128" s="231"/>
      <c r="Q128" s="231"/>
      <c r="R128" s="231"/>
      <c r="S128" s="231"/>
      <c r="T128" s="231"/>
      <c r="U128" s="231"/>
      <c r="V128" s="231"/>
      <c r="W128" s="231"/>
      <c r="X128" s="231"/>
      <c r="Y128" s="231"/>
      <c r="Z128" s="231"/>
      <c r="AA128" s="231"/>
      <c r="AB128" s="231"/>
      <c r="AC128" s="231"/>
      <c r="AD128" s="231"/>
      <c r="AE128" s="231"/>
      <c r="AF128" s="231"/>
      <c r="AG128" s="231"/>
      <c r="AH128" s="231"/>
      <c r="AI128" s="231"/>
      <c r="AJ128" s="231"/>
      <c r="AK128" s="231"/>
      <c r="AL128" s="231"/>
      <c r="AM128" s="231"/>
    </row>
    <row r="129" spans="1:39" s="203" customFormat="1">
      <c r="A129" s="120">
        <v>27</v>
      </c>
      <c r="B129" s="47" t="s">
        <v>124</v>
      </c>
      <c r="C129" s="47"/>
      <c r="D129" s="47"/>
      <c r="E129" s="49">
        <v>1028</v>
      </c>
      <c r="F129" s="52">
        <v>1235</v>
      </c>
      <c r="G129" s="118"/>
      <c r="H129" s="122">
        <v>1074</v>
      </c>
      <c r="I129" s="139"/>
      <c r="J129" s="231"/>
      <c r="K129" s="231"/>
      <c r="L129" s="231"/>
      <c r="M129" s="231"/>
      <c r="N129" s="231"/>
      <c r="O129" s="231"/>
      <c r="P129" s="231"/>
      <c r="Q129" s="231"/>
      <c r="R129" s="231"/>
      <c r="S129" s="231"/>
      <c r="T129" s="231"/>
      <c r="U129" s="231"/>
      <c r="V129" s="231"/>
      <c r="W129" s="231"/>
      <c r="X129" s="231"/>
      <c r="Y129" s="231"/>
      <c r="Z129" s="231"/>
      <c r="AA129" s="231"/>
      <c r="AB129" s="231"/>
      <c r="AC129" s="231"/>
      <c r="AD129" s="231"/>
      <c r="AE129" s="231"/>
      <c r="AF129" s="231"/>
      <c r="AG129" s="231"/>
      <c r="AH129" s="231"/>
      <c r="AI129" s="231"/>
      <c r="AJ129" s="231"/>
      <c r="AK129" s="231"/>
      <c r="AL129" s="231"/>
      <c r="AM129" s="231"/>
    </row>
    <row r="130" spans="1:39" s="203" customFormat="1">
      <c r="A130" s="120">
        <v>28</v>
      </c>
      <c r="B130" s="47" t="s">
        <v>119</v>
      </c>
      <c r="C130" s="47"/>
      <c r="D130" s="47"/>
      <c r="E130" s="49">
        <v>66</v>
      </c>
      <c r="F130" s="52">
        <v>121</v>
      </c>
      <c r="G130" s="118"/>
      <c r="H130" s="122">
        <v>35</v>
      </c>
      <c r="I130" s="139"/>
      <c r="J130" s="231"/>
      <c r="K130" s="231"/>
      <c r="L130" s="231"/>
      <c r="M130" s="231"/>
      <c r="N130" s="231"/>
      <c r="O130" s="231"/>
      <c r="P130" s="231"/>
      <c r="Q130" s="231"/>
      <c r="R130" s="231"/>
      <c r="S130" s="231"/>
      <c r="T130" s="231"/>
      <c r="U130" s="231"/>
      <c r="V130" s="231"/>
      <c r="W130" s="231"/>
      <c r="X130" s="231"/>
      <c r="Y130" s="231"/>
      <c r="Z130" s="231"/>
      <c r="AA130" s="231"/>
      <c r="AB130" s="231"/>
      <c r="AC130" s="231"/>
      <c r="AD130" s="231"/>
      <c r="AE130" s="231"/>
      <c r="AF130" s="231"/>
      <c r="AG130" s="231"/>
      <c r="AH130" s="231"/>
      <c r="AI130" s="231"/>
      <c r="AJ130" s="231"/>
      <c r="AK130" s="231"/>
      <c r="AL130" s="231"/>
      <c r="AM130" s="231"/>
    </row>
    <row r="131" spans="1:39" s="203" customFormat="1">
      <c r="A131" s="120">
        <v>29</v>
      </c>
      <c r="B131" s="47" t="s">
        <v>120</v>
      </c>
      <c r="C131" s="47"/>
      <c r="D131" s="47"/>
      <c r="E131" s="49">
        <v>0</v>
      </c>
      <c r="F131" s="52">
        <v>0</v>
      </c>
      <c r="G131" s="118"/>
      <c r="H131" s="122">
        <v>0</v>
      </c>
      <c r="I131" s="139"/>
      <c r="J131" s="231"/>
      <c r="K131" s="231"/>
      <c r="L131" s="231"/>
      <c r="M131" s="231"/>
      <c r="N131" s="231"/>
      <c r="O131" s="231"/>
      <c r="P131" s="231"/>
      <c r="Q131" s="231"/>
      <c r="R131" s="231"/>
      <c r="S131" s="231"/>
      <c r="T131" s="231"/>
      <c r="U131" s="231"/>
      <c r="V131" s="231"/>
      <c r="W131" s="231"/>
      <c r="X131" s="231"/>
      <c r="Y131" s="231"/>
      <c r="Z131" s="231"/>
      <c r="AA131" s="231"/>
      <c r="AB131" s="231"/>
      <c r="AC131" s="231"/>
      <c r="AD131" s="231"/>
      <c r="AE131" s="231"/>
      <c r="AF131" s="231"/>
      <c r="AG131" s="231"/>
      <c r="AH131" s="231"/>
      <c r="AI131" s="231"/>
      <c r="AJ131" s="231"/>
      <c r="AK131" s="231"/>
      <c r="AL131" s="231"/>
      <c r="AM131" s="231"/>
    </row>
    <row r="132" spans="1:39" s="203" customFormat="1">
      <c r="A132" s="120">
        <v>30</v>
      </c>
      <c r="B132" s="47" t="s">
        <v>125</v>
      </c>
      <c r="C132" s="47"/>
      <c r="D132" s="47"/>
      <c r="E132" s="49">
        <v>573</v>
      </c>
      <c r="F132" s="52">
        <v>512</v>
      </c>
      <c r="G132" s="118"/>
      <c r="H132" s="122">
        <v>345</v>
      </c>
      <c r="I132" s="139"/>
      <c r="J132" s="231"/>
      <c r="K132" s="231"/>
      <c r="L132" s="231"/>
      <c r="M132" s="231"/>
      <c r="N132" s="231"/>
      <c r="O132" s="231"/>
      <c r="P132" s="231"/>
      <c r="Q132" s="231"/>
      <c r="R132" s="231"/>
      <c r="S132" s="231"/>
      <c r="T132" s="231"/>
      <c r="U132" s="231"/>
      <c r="V132" s="231"/>
      <c r="W132" s="231"/>
      <c r="X132" s="231"/>
      <c r="Y132" s="231"/>
      <c r="Z132" s="231"/>
      <c r="AA132" s="231"/>
      <c r="AB132" s="231"/>
      <c r="AC132" s="231"/>
      <c r="AD132" s="231"/>
      <c r="AE132" s="231"/>
      <c r="AF132" s="231"/>
      <c r="AG132" s="231"/>
      <c r="AH132" s="231"/>
      <c r="AI132" s="231"/>
      <c r="AJ132" s="231"/>
      <c r="AK132" s="231"/>
      <c r="AL132" s="231"/>
      <c r="AM132" s="231"/>
    </row>
    <row r="133" spans="1:39" s="203" customFormat="1">
      <c r="A133" s="120">
        <v>31</v>
      </c>
      <c r="B133" s="90" t="s">
        <v>126</v>
      </c>
      <c r="C133" s="47"/>
      <c r="D133" s="47"/>
      <c r="E133" s="49">
        <v>405</v>
      </c>
      <c r="F133" s="52">
        <v>437</v>
      </c>
      <c r="G133" s="118"/>
      <c r="H133" s="122">
        <v>452</v>
      </c>
      <c r="I133" s="139"/>
      <c r="J133" s="231"/>
      <c r="K133" s="231"/>
      <c r="L133" s="231"/>
      <c r="M133" s="231"/>
      <c r="N133" s="231"/>
      <c r="O133" s="231"/>
      <c r="P133" s="231"/>
      <c r="Q133" s="231"/>
      <c r="R133" s="231"/>
      <c r="S133" s="231"/>
      <c r="T133" s="231"/>
      <c r="U133" s="231"/>
      <c r="V133" s="231"/>
      <c r="W133" s="231"/>
      <c r="X133" s="231"/>
      <c r="Y133" s="231"/>
      <c r="Z133" s="231"/>
      <c r="AA133" s="231"/>
      <c r="AB133" s="231"/>
      <c r="AC133" s="231"/>
      <c r="AD133" s="231"/>
      <c r="AE133" s="231"/>
      <c r="AF133" s="231"/>
      <c r="AG133" s="231"/>
      <c r="AH133" s="231"/>
      <c r="AI133" s="231"/>
      <c r="AJ133" s="231"/>
      <c r="AK133" s="231"/>
      <c r="AL133" s="231"/>
      <c r="AM133" s="231"/>
    </row>
    <row r="134" spans="1:39" s="203" customFormat="1">
      <c r="A134" s="120">
        <v>32</v>
      </c>
      <c r="B134" s="47" t="s">
        <v>121</v>
      </c>
      <c r="C134" s="47"/>
      <c r="D134" s="47"/>
      <c r="E134" s="49">
        <v>45</v>
      </c>
      <c r="F134" s="52">
        <v>29</v>
      </c>
      <c r="G134" s="118"/>
      <c r="H134" s="100">
        <v>54</v>
      </c>
      <c r="I134" s="139"/>
      <c r="J134" s="231"/>
      <c r="K134" s="231"/>
      <c r="L134" s="231"/>
      <c r="M134" s="231"/>
      <c r="N134" s="231"/>
      <c r="O134" s="231"/>
      <c r="P134" s="231"/>
      <c r="Q134" s="231"/>
      <c r="R134" s="231"/>
      <c r="S134" s="231"/>
      <c r="T134" s="231"/>
      <c r="U134" s="231"/>
      <c r="V134" s="231"/>
      <c r="W134" s="231"/>
      <c r="X134" s="231"/>
      <c r="Y134" s="231"/>
      <c r="Z134" s="231"/>
      <c r="AA134" s="231"/>
      <c r="AB134" s="231"/>
      <c r="AC134" s="231"/>
      <c r="AD134" s="231"/>
      <c r="AE134" s="231"/>
      <c r="AF134" s="231"/>
      <c r="AG134" s="231"/>
      <c r="AH134" s="231"/>
      <c r="AI134" s="231"/>
      <c r="AJ134" s="231"/>
      <c r="AK134" s="231"/>
      <c r="AL134" s="231"/>
      <c r="AM134" s="231"/>
    </row>
    <row r="135" spans="1:39" s="203" customFormat="1">
      <c r="A135" s="120">
        <v>33</v>
      </c>
      <c r="B135" s="116" t="s">
        <v>128</v>
      </c>
      <c r="C135" s="116"/>
      <c r="D135" s="116"/>
      <c r="E135" s="80">
        <v>2228</v>
      </c>
      <c r="F135" s="142">
        <f>SUM(F128:F134)</f>
        <v>2432</v>
      </c>
      <c r="G135" s="118"/>
      <c r="H135" s="142">
        <f>SUM(H128:H134)</f>
        <v>2092</v>
      </c>
      <c r="I135" s="139"/>
      <c r="J135" s="231"/>
      <c r="K135" s="231"/>
      <c r="L135" s="231"/>
      <c r="M135" s="231"/>
      <c r="N135" s="231"/>
      <c r="O135" s="231"/>
      <c r="P135" s="231"/>
      <c r="Q135" s="231"/>
      <c r="R135" s="231"/>
      <c r="S135" s="231"/>
      <c r="T135" s="231"/>
      <c r="U135" s="231"/>
      <c r="V135" s="231"/>
      <c r="W135" s="231"/>
      <c r="X135" s="231"/>
      <c r="Y135" s="231"/>
      <c r="Z135" s="231"/>
      <c r="AA135" s="231"/>
      <c r="AB135" s="231"/>
      <c r="AC135" s="231"/>
      <c r="AD135" s="231"/>
      <c r="AE135" s="231"/>
      <c r="AF135" s="231"/>
      <c r="AG135" s="231"/>
      <c r="AH135" s="231"/>
      <c r="AI135" s="231"/>
      <c r="AJ135" s="231"/>
      <c r="AK135" s="231"/>
      <c r="AL135" s="231"/>
      <c r="AM135" s="231"/>
    </row>
    <row r="136" spans="1:39" s="203" customFormat="1">
      <c r="A136" s="111"/>
      <c r="B136" s="47"/>
      <c r="C136" s="47"/>
      <c r="D136" s="138"/>
      <c r="E136" s="117"/>
      <c r="F136" s="118"/>
      <c r="G136" s="118"/>
      <c r="H136" s="118"/>
      <c r="I136" s="139"/>
      <c r="J136" s="231"/>
      <c r="K136" s="231"/>
      <c r="L136" s="231"/>
      <c r="M136" s="231"/>
      <c r="N136" s="231"/>
      <c r="O136" s="231"/>
      <c r="P136" s="231"/>
      <c r="Q136" s="231"/>
      <c r="R136" s="231"/>
      <c r="S136" s="231"/>
      <c r="T136" s="231"/>
      <c r="U136" s="231"/>
      <c r="V136" s="231"/>
      <c r="W136" s="231"/>
      <c r="X136" s="231"/>
      <c r="Y136" s="231"/>
      <c r="Z136" s="231"/>
      <c r="AA136" s="231"/>
      <c r="AB136" s="231"/>
      <c r="AC136" s="231"/>
      <c r="AD136" s="231"/>
      <c r="AE136" s="231"/>
      <c r="AF136" s="231"/>
      <c r="AG136" s="231"/>
      <c r="AH136" s="231"/>
      <c r="AI136" s="231"/>
      <c r="AJ136" s="231"/>
      <c r="AK136" s="231"/>
      <c r="AL136" s="231"/>
      <c r="AM136" s="231"/>
    </row>
    <row r="137" spans="1:39" s="203" customFormat="1">
      <c r="A137" s="119" t="s">
        <v>109</v>
      </c>
      <c r="B137" s="116"/>
      <c r="C137" s="116"/>
      <c r="D137" s="116"/>
      <c r="E137" s="140"/>
      <c r="F137" s="146"/>
      <c r="G137" s="118"/>
      <c r="H137" s="146"/>
      <c r="I137" s="139"/>
      <c r="J137" s="231"/>
      <c r="K137" s="231"/>
      <c r="L137" s="231"/>
      <c r="M137" s="231"/>
      <c r="N137" s="231"/>
      <c r="O137" s="231"/>
      <c r="P137" s="231"/>
      <c r="Q137" s="231"/>
      <c r="R137" s="231"/>
      <c r="S137" s="231"/>
      <c r="T137" s="231"/>
      <c r="U137" s="231"/>
      <c r="V137" s="231"/>
      <c r="W137" s="231"/>
      <c r="X137" s="231"/>
      <c r="Y137" s="231"/>
      <c r="Z137" s="231"/>
      <c r="AA137" s="231"/>
      <c r="AB137" s="231"/>
      <c r="AC137" s="231"/>
      <c r="AD137" s="231"/>
      <c r="AE137" s="231"/>
      <c r="AF137" s="231"/>
      <c r="AG137" s="231"/>
      <c r="AH137" s="231"/>
      <c r="AI137" s="231"/>
      <c r="AJ137" s="231"/>
      <c r="AK137" s="231"/>
      <c r="AL137" s="231"/>
      <c r="AM137" s="231"/>
    </row>
    <row r="138" spans="1:39" s="203" customFormat="1">
      <c r="A138" s="120">
        <v>34</v>
      </c>
      <c r="B138" s="47" t="s">
        <v>123</v>
      </c>
      <c r="C138" s="47"/>
      <c r="D138" s="47"/>
      <c r="E138" s="49">
        <v>763</v>
      </c>
      <c r="F138" s="52">
        <v>668</v>
      </c>
      <c r="G138" s="118"/>
      <c r="H138" s="122">
        <v>712</v>
      </c>
      <c r="I138" s="139"/>
      <c r="J138" s="231"/>
      <c r="K138" s="231"/>
      <c r="L138" s="231"/>
      <c r="M138" s="231"/>
      <c r="N138" s="231"/>
      <c r="O138" s="231"/>
      <c r="P138" s="231"/>
      <c r="Q138" s="231"/>
      <c r="R138" s="231"/>
      <c r="S138" s="231"/>
      <c r="T138" s="231"/>
      <c r="U138" s="231"/>
      <c r="V138" s="231"/>
      <c r="W138" s="231"/>
      <c r="X138" s="231"/>
      <c r="Y138" s="231"/>
      <c r="Z138" s="231"/>
      <c r="AA138" s="231"/>
      <c r="AB138" s="231"/>
      <c r="AC138" s="231"/>
      <c r="AD138" s="231"/>
      <c r="AE138" s="231"/>
      <c r="AF138" s="231"/>
      <c r="AG138" s="231"/>
      <c r="AH138" s="231"/>
      <c r="AI138" s="231"/>
      <c r="AJ138" s="231"/>
      <c r="AK138" s="231"/>
      <c r="AL138" s="231"/>
      <c r="AM138" s="231"/>
    </row>
    <row r="139" spans="1:39" s="203" customFormat="1">
      <c r="A139" s="120">
        <v>35</v>
      </c>
      <c r="B139" s="47" t="s">
        <v>119</v>
      </c>
      <c r="C139" s="47"/>
      <c r="D139" s="47"/>
      <c r="E139" s="49">
        <v>3828</v>
      </c>
      <c r="F139" s="52">
        <v>2886</v>
      </c>
      <c r="G139" s="118"/>
      <c r="H139" s="122">
        <v>2003</v>
      </c>
      <c r="I139" s="139"/>
      <c r="J139" s="231"/>
      <c r="K139" s="231"/>
      <c r="L139" s="231"/>
      <c r="M139" s="231"/>
      <c r="N139" s="231"/>
      <c r="O139" s="231"/>
      <c r="P139" s="231"/>
      <c r="Q139" s="231"/>
      <c r="R139" s="231"/>
      <c r="S139" s="231"/>
      <c r="T139" s="231"/>
      <c r="U139" s="231"/>
      <c r="V139" s="231"/>
      <c r="W139" s="231"/>
      <c r="X139" s="231"/>
      <c r="Y139" s="231"/>
      <c r="Z139" s="231"/>
      <c r="AA139" s="231"/>
      <c r="AB139" s="231"/>
      <c r="AC139" s="231"/>
      <c r="AD139" s="231"/>
      <c r="AE139" s="231"/>
      <c r="AF139" s="231"/>
      <c r="AG139" s="231"/>
      <c r="AH139" s="231"/>
      <c r="AI139" s="231"/>
      <c r="AJ139" s="231"/>
      <c r="AK139" s="231"/>
      <c r="AL139" s="231"/>
      <c r="AM139" s="231"/>
    </row>
    <row r="140" spans="1:39" s="203" customFormat="1">
      <c r="A140" s="120">
        <v>36</v>
      </c>
      <c r="B140" s="47" t="s">
        <v>120</v>
      </c>
      <c r="C140" s="47"/>
      <c r="D140" s="47"/>
      <c r="E140" s="49">
        <v>2706</v>
      </c>
      <c r="F140" s="52">
        <v>2338</v>
      </c>
      <c r="G140" s="118"/>
      <c r="H140" s="122">
        <v>2484</v>
      </c>
      <c r="I140" s="139"/>
      <c r="J140" s="231"/>
      <c r="K140" s="231"/>
      <c r="L140" s="231"/>
      <c r="M140" s="231"/>
      <c r="N140" s="231"/>
      <c r="O140" s="231"/>
      <c r="P140" s="231"/>
      <c r="Q140" s="231"/>
      <c r="R140" s="231"/>
      <c r="S140" s="231"/>
      <c r="T140" s="231"/>
      <c r="U140" s="231"/>
      <c r="V140" s="231"/>
      <c r="W140" s="231"/>
      <c r="X140" s="231"/>
      <c r="Y140" s="231"/>
      <c r="Z140" s="231"/>
      <c r="AA140" s="231"/>
      <c r="AB140" s="231"/>
      <c r="AC140" s="231"/>
      <c r="AD140" s="231"/>
      <c r="AE140" s="231"/>
      <c r="AF140" s="231"/>
      <c r="AG140" s="231"/>
      <c r="AH140" s="231"/>
      <c r="AI140" s="231"/>
      <c r="AJ140" s="231"/>
      <c r="AK140" s="231"/>
      <c r="AL140" s="231"/>
      <c r="AM140" s="231"/>
    </row>
    <row r="141" spans="1:39" s="203" customFormat="1">
      <c r="A141" s="120">
        <v>37</v>
      </c>
      <c r="B141" s="90" t="s">
        <v>126</v>
      </c>
      <c r="C141" s="47"/>
      <c r="D141" s="47"/>
      <c r="E141" s="49">
        <v>612</v>
      </c>
      <c r="F141" s="52">
        <v>662</v>
      </c>
      <c r="G141" s="118"/>
      <c r="H141" s="99">
        <v>656</v>
      </c>
      <c r="I141" s="139"/>
      <c r="J141" s="231"/>
      <c r="K141" s="231"/>
      <c r="L141" s="231"/>
      <c r="M141" s="231"/>
      <c r="N141" s="231"/>
      <c r="O141" s="231"/>
      <c r="P141" s="231"/>
      <c r="Q141" s="231"/>
      <c r="R141" s="231"/>
      <c r="S141" s="231"/>
      <c r="T141" s="231"/>
      <c r="U141" s="231"/>
      <c r="V141" s="231"/>
      <c r="W141" s="231"/>
      <c r="X141" s="231"/>
      <c r="Y141" s="231"/>
      <c r="Z141" s="231"/>
      <c r="AA141" s="231"/>
      <c r="AB141" s="231"/>
      <c r="AC141" s="231"/>
      <c r="AD141" s="231"/>
      <c r="AE141" s="231"/>
      <c r="AF141" s="231"/>
      <c r="AG141" s="231"/>
      <c r="AH141" s="231"/>
      <c r="AI141" s="231"/>
      <c r="AJ141" s="231"/>
      <c r="AK141" s="231"/>
      <c r="AL141" s="231"/>
      <c r="AM141" s="231"/>
    </row>
    <row r="142" spans="1:39" s="203" customFormat="1">
      <c r="A142" s="120">
        <v>38</v>
      </c>
      <c r="B142" s="47" t="s">
        <v>121</v>
      </c>
      <c r="C142" s="47"/>
      <c r="D142" s="47"/>
      <c r="E142" s="49">
        <v>7558</v>
      </c>
      <c r="F142" s="52">
        <v>6047</v>
      </c>
      <c r="G142" s="118"/>
      <c r="H142" s="100">
        <v>5516</v>
      </c>
      <c r="I142" s="139"/>
      <c r="J142" s="231"/>
      <c r="K142" s="231"/>
      <c r="L142" s="231"/>
      <c r="M142" s="231"/>
      <c r="N142" s="231"/>
      <c r="O142" s="231"/>
      <c r="P142" s="231"/>
      <c r="Q142" s="231"/>
      <c r="R142" s="231"/>
      <c r="S142" s="231"/>
      <c r="T142" s="231"/>
      <c r="U142" s="231"/>
      <c r="V142" s="231"/>
      <c r="W142" s="231"/>
      <c r="X142" s="231"/>
      <c r="Y142" s="231"/>
      <c r="Z142" s="231"/>
      <c r="AA142" s="231"/>
      <c r="AB142" s="231"/>
      <c r="AC142" s="231"/>
      <c r="AD142" s="231"/>
      <c r="AE142" s="231"/>
      <c r="AF142" s="231"/>
      <c r="AG142" s="231"/>
      <c r="AH142" s="231"/>
      <c r="AI142" s="231"/>
      <c r="AJ142" s="231"/>
      <c r="AK142" s="231"/>
      <c r="AL142" s="231"/>
      <c r="AM142" s="231"/>
    </row>
    <row r="143" spans="1:39" s="203" customFormat="1">
      <c r="A143" s="120">
        <v>39</v>
      </c>
      <c r="B143" s="116" t="s">
        <v>129</v>
      </c>
      <c r="C143" s="116"/>
      <c r="D143" s="116"/>
      <c r="E143" s="80">
        <v>15467</v>
      </c>
      <c r="F143" s="142">
        <f>SUM(F138:F142)</f>
        <v>12601</v>
      </c>
      <c r="G143" s="118"/>
      <c r="H143" s="142">
        <f>SUM(H138:H142)</f>
        <v>11371</v>
      </c>
      <c r="I143" s="139"/>
      <c r="J143" s="231"/>
      <c r="K143" s="231"/>
      <c r="L143" s="231"/>
      <c r="M143" s="231"/>
      <c r="N143" s="231"/>
      <c r="O143" s="231"/>
      <c r="P143" s="231"/>
      <c r="Q143" s="231"/>
      <c r="R143" s="231"/>
      <c r="S143" s="231"/>
      <c r="T143" s="231"/>
      <c r="U143" s="231"/>
      <c r="V143" s="231"/>
      <c r="W143" s="231"/>
      <c r="X143" s="231"/>
      <c r="Y143" s="231"/>
      <c r="Z143" s="231"/>
      <c r="AA143" s="231"/>
      <c r="AB143" s="231"/>
      <c r="AC143" s="231"/>
      <c r="AD143" s="231"/>
      <c r="AE143" s="231"/>
      <c r="AF143" s="231"/>
      <c r="AG143" s="231"/>
      <c r="AH143" s="231"/>
      <c r="AI143" s="231"/>
      <c r="AJ143" s="231"/>
      <c r="AK143" s="231"/>
      <c r="AL143" s="231"/>
      <c r="AM143" s="231"/>
    </row>
    <row r="144" spans="1:39" s="203" customFormat="1">
      <c r="A144" s="111"/>
      <c r="B144" s="47"/>
      <c r="C144" s="47"/>
      <c r="D144" s="47"/>
      <c r="E144" s="117"/>
      <c r="F144" s="118"/>
      <c r="G144" s="118"/>
      <c r="H144" s="118"/>
      <c r="I144" s="139"/>
      <c r="J144" s="231"/>
      <c r="K144" s="231"/>
      <c r="L144" s="231"/>
      <c r="M144" s="231"/>
      <c r="N144" s="231"/>
      <c r="O144" s="231"/>
      <c r="P144" s="231"/>
      <c r="Q144" s="231"/>
      <c r="R144" s="231"/>
      <c r="S144" s="231"/>
      <c r="T144" s="231"/>
      <c r="U144" s="231"/>
      <c r="V144" s="231"/>
      <c r="W144" s="231"/>
      <c r="X144" s="231"/>
      <c r="Y144" s="231"/>
      <c r="Z144" s="231"/>
      <c r="AA144" s="231"/>
      <c r="AB144" s="231"/>
      <c r="AC144" s="231"/>
      <c r="AD144" s="231"/>
      <c r="AE144" s="231"/>
      <c r="AF144" s="231"/>
      <c r="AG144" s="231"/>
      <c r="AH144" s="231"/>
      <c r="AI144" s="231"/>
      <c r="AJ144" s="231"/>
      <c r="AK144" s="231"/>
      <c r="AL144" s="231"/>
      <c r="AM144" s="231"/>
    </row>
    <row r="145" spans="1:39" s="203" customFormat="1">
      <c r="A145" s="119" t="s">
        <v>110</v>
      </c>
      <c r="B145" s="116"/>
      <c r="C145" s="116"/>
      <c r="D145" s="116"/>
      <c r="E145" s="140"/>
      <c r="F145" s="146"/>
      <c r="G145" s="118"/>
      <c r="H145" s="146"/>
      <c r="I145" s="139"/>
      <c r="J145" s="231"/>
      <c r="K145" s="231"/>
      <c r="L145" s="231"/>
      <c r="M145" s="231"/>
      <c r="N145" s="231"/>
      <c r="O145" s="231"/>
      <c r="P145" s="231"/>
      <c r="Q145" s="231"/>
      <c r="R145" s="231"/>
      <c r="S145" s="231"/>
      <c r="T145" s="231"/>
      <c r="U145" s="231"/>
      <c r="V145" s="231"/>
      <c r="W145" s="231"/>
      <c r="X145" s="231"/>
      <c r="Y145" s="231"/>
      <c r="Z145" s="231"/>
      <c r="AA145" s="231"/>
      <c r="AB145" s="231"/>
      <c r="AC145" s="231"/>
      <c r="AD145" s="231"/>
      <c r="AE145" s="231"/>
      <c r="AF145" s="231"/>
      <c r="AG145" s="231"/>
      <c r="AH145" s="231"/>
      <c r="AI145" s="231"/>
      <c r="AJ145" s="231"/>
      <c r="AK145" s="231"/>
      <c r="AL145" s="231"/>
      <c r="AM145" s="231"/>
    </row>
    <row r="146" spans="1:39" s="203" customFormat="1">
      <c r="A146" s="120">
        <v>40</v>
      </c>
      <c r="B146" s="47" t="s">
        <v>123</v>
      </c>
      <c r="C146" s="47"/>
      <c r="D146" s="47"/>
      <c r="E146" s="49">
        <v>883</v>
      </c>
      <c r="F146" s="52">
        <v>786</v>
      </c>
      <c r="G146" s="118"/>
      <c r="H146" s="122">
        <v>901</v>
      </c>
      <c r="I146" s="139"/>
      <c r="J146" s="231"/>
      <c r="K146" s="231"/>
      <c r="L146" s="231"/>
      <c r="M146" s="231"/>
      <c r="N146" s="231"/>
      <c r="O146" s="231"/>
      <c r="P146" s="231"/>
      <c r="Q146" s="231"/>
      <c r="R146" s="231"/>
      <c r="S146" s="231"/>
      <c r="T146" s="231"/>
      <c r="U146" s="231"/>
      <c r="V146" s="231"/>
      <c r="W146" s="231"/>
      <c r="X146" s="231"/>
      <c r="Y146" s="231"/>
      <c r="Z146" s="231"/>
      <c r="AA146" s="231"/>
      <c r="AB146" s="231"/>
      <c r="AC146" s="231"/>
      <c r="AD146" s="231"/>
      <c r="AE146" s="231"/>
      <c r="AF146" s="231"/>
      <c r="AG146" s="231"/>
      <c r="AH146" s="231"/>
      <c r="AI146" s="231"/>
      <c r="AJ146" s="231"/>
      <c r="AK146" s="231"/>
      <c r="AL146" s="231"/>
      <c r="AM146" s="231"/>
    </row>
    <row r="147" spans="1:39" s="203" customFormat="1">
      <c r="A147" s="120">
        <v>41</v>
      </c>
      <c r="B147" s="47" t="s">
        <v>119</v>
      </c>
      <c r="C147" s="47"/>
      <c r="D147" s="47"/>
      <c r="E147" s="49">
        <v>267</v>
      </c>
      <c r="F147" s="52">
        <v>85</v>
      </c>
      <c r="G147" s="118"/>
      <c r="H147" s="122">
        <v>-51</v>
      </c>
      <c r="I147" s="139"/>
      <c r="J147" s="231"/>
      <c r="K147" s="231"/>
      <c r="L147" s="231"/>
      <c r="M147" s="231"/>
      <c r="N147" s="231"/>
      <c r="O147" s="231"/>
      <c r="P147" s="231"/>
      <c r="Q147" s="231"/>
      <c r="R147" s="231"/>
      <c r="S147" s="231"/>
      <c r="T147" s="231"/>
      <c r="U147" s="231"/>
      <c r="V147" s="231"/>
      <c r="W147" s="231"/>
      <c r="X147" s="231"/>
      <c r="Y147" s="231"/>
      <c r="Z147" s="231"/>
      <c r="AA147" s="231"/>
      <c r="AB147" s="231"/>
      <c r="AC147" s="231"/>
      <c r="AD147" s="231"/>
      <c r="AE147" s="231"/>
      <c r="AF147" s="231"/>
      <c r="AG147" s="231"/>
      <c r="AH147" s="231"/>
      <c r="AI147" s="231"/>
      <c r="AJ147" s="231"/>
      <c r="AK147" s="231"/>
      <c r="AL147" s="231"/>
      <c r="AM147" s="231"/>
    </row>
    <row r="148" spans="1:39" s="203" customFormat="1">
      <c r="A148" s="120">
        <v>42</v>
      </c>
      <c r="B148" s="47" t="s">
        <v>120</v>
      </c>
      <c r="C148" s="47"/>
      <c r="D148" s="47"/>
      <c r="E148" s="49">
        <v>0</v>
      </c>
      <c r="F148" s="52">
        <v>4</v>
      </c>
      <c r="G148" s="118"/>
      <c r="H148" s="122">
        <v>0</v>
      </c>
      <c r="I148" s="139"/>
      <c r="J148" s="231"/>
      <c r="K148" s="231"/>
      <c r="L148" s="231"/>
      <c r="M148" s="231"/>
      <c r="N148" s="231"/>
      <c r="O148" s="231"/>
      <c r="P148" s="231"/>
      <c r="Q148" s="231"/>
      <c r="R148" s="231"/>
      <c r="S148" s="231"/>
      <c r="T148" s="231"/>
      <c r="U148" s="231"/>
      <c r="V148" s="231"/>
      <c r="W148" s="231"/>
      <c r="X148" s="231"/>
      <c r="Y148" s="231"/>
      <c r="Z148" s="231"/>
      <c r="AA148" s="231"/>
      <c r="AB148" s="231"/>
      <c r="AC148" s="231"/>
      <c r="AD148" s="231"/>
      <c r="AE148" s="231"/>
      <c r="AF148" s="231"/>
      <c r="AG148" s="231"/>
      <c r="AH148" s="231"/>
      <c r="AI148" s="231"/>
      <c r="AJ148" s="231"/>
      <c r="AK148" s="231"/>
      <c r="AL148" s="231"/>
      <c r="AM148" s="231"/>
    </row>
    <row r="149" spans="1:39" s="203" customFormat="1">
      <c r="A149" s="120">
        <v>43</v>
      </c>
      <c r="B149" s="47" t="s">
        <v>121</v>
      </c>
      <c r="C149" s="47"/>
      <c r="D149" s="47"/>
      <c r="E149" s="49">
        <v>1665</v>
      </c>
      <c r="F149" s="52">
        <v>838</v>
      </c>
      <c r="G149" s="118"/>
      <c r="H149" s="100">
        <v>1078</v>
      </c>
      <c r="I149" s="139"/>
      <c r="J149" s="231"/>
      <c r="K149" s="231"/>
      <c r="L149" s="231"/>
      <c r="M149" s="231"/>
      <c r="N149" s="231"/>
      <c r="O149" s="231"/>
      <c r="P149" s="231"/>
      <c r="Q149" s="231"/>
      <c r="R149" s="231"/>
      <c r="S149" s="231"/>
      <c r="T149" s="231"/>
      <c r="U149" s="231"/>
      <c r="V149" s="231"/>
      <c r="W149" s="231"/>
      <c r="X149" s="231"/>
      <c r="Y149" s="231"/>
      <c r="Z149" s="231"/>
      <c r="AA149" s="231"/>
      <c r="AB149" s="231"/>
      <c r="AC149" s="231"/>
      <c r="AD149" s="231"/>
      <c r="AE149" s="231"/>
      <c r="AF149" s="231"/>
      <c r="AG149" s="231"/>
      <c r="AH149" s="231"/>
      <c r="AI149" s="231"/>
      <c r="AJ149" s="231"/>
      <c r="AK149" s="231"/>
      <c r="AL149" s="231"/>
      <c r="AM149" s="231"/>
    </row>
    <row r="150" spans="1:39" s="203" customFormat="1">
      <c r="A150" s="124">
        <v>44</v>
      </c>
      <c r="B150" s="94" t="s">
        <v>130</v>
      </c>
      <c r="C150" s="94"/>
      <c r="D150" s="94"/>
      <c r="E150" s="80">
        <v>2815</v>
      </c>
      <c r="F150" s="142">
        <f>SUM(F146:F149)</f>
        <v>1713</v>
      </c>
      <c r="G150" s="259"/>
      <c r="H150" s="142">
        <f>SUM(H146:H149)</f>
        <v>1928</v>
      </c>
      <c r="I150" s="139"/>
      <c r="J150" s="231"/>
      <c r="K150" s="231"/>
      <c r="L150" s="231"/>
      <c r="M150" s="231"/>
      <c r="N150" s="231"/>
      <c r="O150" s="231"/>
      <c r="P150" s="231"/>
      <c r="Q150" s="231"/>
      <c r="R150" s="231"/>
      <c r="S150" s="231"/>
      <c r="T150" s="231"/>
      <c r="U150" s="231"/>
      <c r="V150" s="231"/>
      <c r="W150" s="231"/>
      <c r="X150" s="231"/>
      <c r="Y150" s="231"/>
      <c r="Z150" s="231"/>
      <c r="AA150" s="231"/>
      <c r="AB150" s="231"/>
      <c r="AC150" s="231"/>
      <c r="AD150" s="231"/>
      <c r="AE150" s="231"/>
      <c r="AF150" s="231"/>
      <c r="AG150" s="231"/>
      <c r="AH150" s="231"/>
      <c r="AI150" s="231"/>
      <c r="AJ150" s="231"/>
      <c r="AK150" s="231"/>
      <c r="AL150" s="231"/>
      <c r="AM150" s="231"/>
    </row>
    <row r="151" spans="1:39" s="203" customFormat="1">
      <c r="A151" s="148"/>
      <c r="B151" s="129"/>
      <c r="C151" s="129"/>
      <c r="D151" s="149"/>
      <c r="E151" s="150"/>
      <c r="F151" s="29"/>
      <c r="G151" s="29"/>
      <c r="H151" s="207"/>
      <c r="I151" s="29"/>
      <c r="J151" s="231"/>
      <c r="K151" s="231"/>
      <c r="L151" s="231"/>
      <c r="M151" s="231"/>
      <c r="N151" s="231"/>
      <c r="O151" s="231"/>
      <c r="P151" s="231"/>
      <c r="Q151" s="231"/>
      <c r="R151" s="231"/>
      <c r="S151" s="231"/>
      <c r="T151" s="231"/>
      <c r="U151" s="231"/>
      <c r="V151" s="231"/>
      <c r="W151" s="231"/>
      <c r="X151" s="231"/>
      <c r="Y151" s="231"/>
      <c r="Z151" s="231"/>
      <c r="AA151" s="231"/>
      <c r="AB151" s="231"/>
      <c r="AC151" s="231"/>
      <c r="AD151" s="231"/>
      <c r="AE151" s="231"/>
      <c r="AF151" s="231"/>
      <c r="AG151" s="231"/>
      <c r="AH151" s="231"/>
      <c r="AI151" s="231"/>
      <c r="AJ151" s="231"/>
      <c r="AK151" s="231"/>
      <c r="AL151" s="231"/>
      <c r="AM151" s="231"/>
    </row>
    <row r="152" spans="1:39" s="203" customFormat="1">
      <c r="A152" s="148"/>
      <c r="B152" s="129"/>
      <c r="C152" s="129"/>
      <c r="D152" s="151"/>
      <c r="E152" s="152"/>
      <c r="F152" s="29"/>
      <c r="G152" s="29"/>
      <c r="H152" s="131" t="s">
        <v>27</v>
      </c>
      <c r="I152" s="29"/>
      <c r="J152" s="231"/>
      <c r="K152" s="231"/>
      <c r="L152" s="231"/>
      <c r="M152" s="231"/>
      <c r="N152" s="231"/>
      <c r="O152" s="231"/>
      <c r="P152" s="231"/>
      <c r="Q152" s="231"/>
      <c r="R152" s="231"/>
      <c r="S152" s="231"/>
      <c r="T152" s="231"/>
      <c r="U152" s="231"/>
      <c r="V152" s="231"/>
      <c r="W152" s="231"/>
      <c r="X152" s="231"/>
      <c r="Y152" s="231"/>
      <c r="Z152" s="231"/>
      <c r="AA152" s="231"/>
      <c r="AB152" s="231"/>
      <c r="AC152" s="231"/>
      <c r="AD152" s="231"/>
      <c r="AE152" s="231"/>
      <c r="AF152" s="231"/>
      <c r="AG152" s="231"/>
      <c r="AH152" s="231"/>
      <c r="AI152" s="231"/>
      <c r="AJ152" s="231"/>
      <c r="AK152" s="231"/>
      <c r="AL152" s="231"/>
      <c r="AM152" s="231"/>
    </row>
    <row r="153" spans="1:39" s="203" customFormat="1">
      <c r="A153" s="106" t="s">
        <v>20</v>
      </c>
      <c r="B153" s="107"/>
      <c r="C153" s="107"/>
      <c r="D153" s="107"/>
      <c r="E153" s="856" t="s">
        <v>377</v>
      </c>
      <c r="F153" s="856" t="s">
        <v>402</v>
      </c>
      <c r="G153" s="130"/>
      <c r="H153" s="856" t="s">
        <v>403</v>
      </c>
      <c r="I153" s="130"/>
      <c r="J153" s="231"/>
      <c r="K153" s="231"/>
      <c r="L153" s="231"/>
      <c r="M153" s="231"/>
      <c r="N153" s="231"/>
      <c r="O153" s="231"/>
      <c r="P153" s="231"/>
      <c r="Q153" s="231"/>
      <c r="R153" s="231"/>
      <c r="S153" s="231"/>
      <c r="T153" s="231"/>
      <c r="U153" s="231"/>
      <c r="V153" s="231"/>
      <c r="W153" s="231"/>
      <c r="X153" s="231"/>
      <c r="Y153" s="231"/>
      <c r="Z153" s="231"/>
      <c r="AA153" s="231"/>
      <c r="AB153" s="231"/>
      <c r="AC153" s="231"/>
      <c r="AD153" s="231"/>
      <c r="AE153" s="231"/>
      <c r="AF153" s="231"/>
      <c r="AG153" s="231"/>
      <c r="AH153" s="231"/>
      <c r="AI153" s="231"/>
      <c r="AJ153" s="231"/>
      <c r="AK153" s="231"/>
      <c r="AL153" s="231"/>
      <c r="AM153" s="231"/>
    </row>
    <row r="154" spans="1:39" s="203" customFormat="1">
      <c r="A154" s="153"/>
      <c r="B154" s="132"/>
      <c r="C154" s="132"/>
      <c r="D154" s="132"/>
      <c r="E154" s="859"/>
      <c r="F154" s="859"/>
      <c r="G154" s="130"/>
      <c r="H154" s="859"/>
      <c r="I154" s="130"/>
      <c r="J154" s="231"/>
      <c r="K154" s="231"/>
      <c r="L154" s="231"/>
      <c r="M154" s="231"/>
      <c r="N154" s="231"/>
      <c r="O154" s="231"/>
      <c r="P154" s="231"/>
      <c r="Q154" s="231"/>
      <c r="R154" s="231"/>
      <c r="S154" s="231"/>
      <c r="T154" s="231"/>
      <c r="U154" s="231"/>
      <c r="V154" s="231"/>
      <c r="W154" s="231"/>
      <c r="X154" s="231"/>
      <c r="Y154" s="231"/>
      <c r="Z154" s="231"/>
      <c r="AA154" s="231"/>
      <c r="AB154" s="231"/>
      <c r="AC154" s="231"/>
      <c r="AD154" s="231"/>
      <c r="AE154" s="231"/>
      <c r="AF154" s="231"/>
      <c r="AG154" s="231"/>
      <c r="AH154" s="231"/>
      <c r="AI154" s="231"/>
      <c r="AJ154" s="231"/>
      <c r="AK154" s="231"/>
      <c r="AL154" s="231"/>
      <c r="AM154" s="231"/>
    </row>
    <row r="155" spans="1:39" s="203" customFormat="1">
      <c r="A155" s="154" t="s">
        <v>131</v>
      </c>
      <c r="B155" s="116"/>
      <c r="C155" s="116"/>
      <c r="D155" s="116"/>
      <c r="E155" s="859"/>
      <c r="F155" s="859"/>
      <c r="G155" s="130"/>
      <c r="H155" s="859"/>
      <c r="I155" s="130"/>
      <c r="J155" s="231"/>
      <c r="K155" s="231"/>
      <c r="L155" s="231"/>
      <c r="M155" s="231"/>
      <c r="N155" s="231"/>
      <c r="O155" s="231"/>
      <c r="P155" s="231"/>
      <c r="Q155" s="231"/>
      <c r="R155" s="231"/>
      <c r="S155" s="231"/>
      <c r="T155" s="231"/>
      <c r="U155" s="231"/>
      <c r="V155" s="231"/>
      <c r="W155" s="231"/>
      <c r="X155" s="231"/>
      <c r="Y155" s="231"/>
      <c r="Z155" s="231"/>
      <c r="AA155" s="231"/>
      <c r="AB155" s="231"/>
      <c r="AC155" s="231"/>
      <c r="AD155" s="231"/>
      <c r="AE155" s="231"/>
      <c r="AF155" s="231"/>
      <c r="AG155" s="231"/>
      <c r="AH155" s="231"/>
      <c r="AI155" s="231"/>
      <c r="AJ155" s="231"/>
      <c r="AK155" s="231"/>
      <c r="AL155" s="231"/>
      <c r="AM155" s="231"/>
    </row>
    <row r="156" spans="1:39" s="203" customFormat="1" ht="12.75" customHeight="1">
      <c r="A156" s="109" t="s">
        <v>83</v>
      </c>
      <c r="B156" s="47"/>
      <c r="C156" s="47"/>
      <c r="D156" s="47"/>
      <c r="E156" s="859"/>
      <c r="F156" s="859"/>
      <c r="G156" s="130"/>
      <c r="H156" s="859"/>
      <c r="I156" s="130"/>
      <c r="J156" s="231"/>
      <c r="K156" s="231"/>
      <c r="L156" s="231"/>
      <c r="M156" s="231"/>
      <c r="N156" s="231"/>
      <c r="O156" s="231"/>
      <c r="P156" s="231"/>
      <c r="Q156" s="231"/>
      <c r="R156" s="231"/>
      <c r="S156" s="231"/>
      <c r="T156" s="231"/>
      <c r="U156" s="231"/>
      <c r="V156" s="231"/>
      <c r="W156" s="231"/>
      <c r="X156" s="231"/>
      <c r="Y156" s="231"/>
      <c r="Z156" s="231"/>
      <c r="AA156" s="231"/>
      <c r="AB156" s="231"/>
      <c r="AC156" s="231"/>
      <c r="AD156" s="231"/>
      <c r="AE156" s="231"/>
      <c r="AF156" s="231"/>
      <c r="AG156" s="231"/>
      <c r="AH156" s="231"/>
      <c r="AI156" s="231"/>
      <c r="AJ156" s="231"/>
      <c r="AK156" s="231"/>
      <c r="AL156" s="231"/>
      <c r="AM156" s="231"/>
    </row>
    <row r="157" spans="1:39" s="203" customFormat="1">
      <c r="A157" s="110" t="s">
        <v>84</v>
      </c>
      <c r="B157" s="132"/>
      <c r="C157" s="132"/>
      <c r="D157" s="132"/>
      <c r="E157" s="860"/>
      <c r="F157" s="860"/>
      <c r="G157" s="130"/>
      <c r="H157" s="860"/>
      <c r="I157" s="130"/>
      <c r="J157" s="231"/>
      <c r="K157" s="231"/>
      <c r="L157" s="231"/>
      <c r="M157" s="231"/>
      <c r="N157" s="231"/>
      <c r="O157" s="231"/>
      <c r="P157" s="231"/>
      <c r="Q157" s="231"/>
      <c r="R157" s="231"/>
      <c r="S157" s="231"/>
      <c r="T157" s="231"/>
      <c r="U157" s="231"/>
      <c r="V157" s="231"/>
      <c r="W157" s="231"/>
      <c r="X157" s="231"/>
      <c r="Y157" s="231"/>
      <c r="Z157" s="231"/>
      <c r="AA157" s="231"/>
      <c r="AB157" s="231"/>
      <c r="AC157" s="231"/>
      <c r="AD157" s="231"/>
      <c r="AE157" s="231"/>
      <c r="AF157" s="231"/>
      <c r="AG157" s="231"/>
      <c r="AH157" s="231"/>
      <c r="AI157" s="231"/>
      <c r="AJ157" s="231"/>
      <c r="AK157" s="231"/>
      <c r="AL157" s="231"/>
      <c r="AM157" s="231"/>
    </row>
    <row r="158" spans="1:39" s="203" customFormat="1">
      <c r="A158" s="119" t="s">
        <v>132</v>
      </c>
      <c r="B158" s="47"/>
      <c r="C158" s="47"/>
      <c r="D158" s="47"/>
      <c r="E158" s="155"/>
      <c r="F158" s="146" t="s">
        <v>133</v>
      </c>
      <c r="G158" s="118"/>
      <c r="H158" s="146"/>
      <c r="I158" s="29"/>
      <c r="J158" s="231"/>
      <c r="K158" s="231"/>
      <c r="L158" s="231"/>
      <c r="M158" s="231"/>
      <c r="N158" s="231"/>
      <c r="O158" s="231"/>
      <c r="P158" s="231"/>
      <c r="Q158" s="231"/>
      <c r="R158" s="231"/>
      <c r="S158" s="231"/>
      <c r="T158" s="231"/>
      <c r="U158" s="231"/>
      <c r="V158" s="231"/>
      <c r="W158" s="231"/>
      <c r="X158" s="231"/>
      <c r="Y158" s="231"/>
      <c r="Z158" s="231"/>
      <c r="AA158" s="231"/>
      <c r="AB158" s="231"/>
      <c r="AC158" s="231"/>
      <c r="AD158" s="231"/>
      <c r="AE158" s="231"/>
      <c r="AF158" s="231"/>
      <c r="AG158" s="231"/>
      <c r="AH158" s="231"/>
      <c r="AI158" s="231"/>
      <c r="AJ158" s="231"/>
      <c r="AK158" s="231"/>
      <c r="AL158" s="231"/>
      <c r="AM158" s="231"/>
    </row>
    <row r="159" spans="1:39" s="203" customFormat="1">
      <c r="A159" s="120">
        <v>1</v>
      </c>
      <c r="B159" s="47" t="s">
        <v>134</v>
      </c>
      <c r="C159" s="47"/>
      <c r="D159" s="47"/>
      <c r="E159" s="74">
        <v>63</v>
      </c>
      <c r="F159" s="52">
        <v>66</v>
      </c>
      <c r="G159" s="118"/>
      <c r="H159" s="122">
        <v>64</v>
      </c>
      <c r="I159" s="29"/>
      <c r="J159" s="231"/>
      <c r="K159" s="231"/>
      <c r="L159" s="231"/>
      <c r="M159" s="231"/>
      <c r="N159" s="231"/>
      <c r="O159" s="231"/>
      <c r="P159" s="231"/>
      <c r="Q159" s="231"/>
      <c r="R159" s="231"/>
      <c r="S159" s="231"/>
      <c r="T159" s="231"/>
      <c r="U159" s="231"/>
      <c r="V159" s="231"/>
      <c r="W159" s="231"/>
      <c r="X159" s="231"/>
      <c r="Y159" s="231"/>
      <c r="Z159" s="231"/>
      <c r="AA159" s="231"/>
      <c r="AB159" s="231"/>
      <c r="AC159" s="231"/>
      <c r="AD159" s="231"/>
      <c r="AE159" s="231"/>
      <c r="AF159" s="231"/>
      <c r="AG159" s="231"/>
      <c r="AH159" s="231"/>
      <c r="AI159" s="231"/>
      <c r="AJ159" s="231"/>
      <c r="AK159" s="231"/>
      <c r="AL159" s="231"/>
      <c r="AM159" s="231"/>
    </row>
    <row r="160" spans="1:39" s="203" customFormat="1">
      <c r="A160" s="120">
        <v>2</v>
      </c>
      <c r="B160" s="47" t="s">
        <v>135</v>
      </c>
      <c r="C160" s="47"/>
      <c r="D160" s="47"/>
      <c r="E160" s="49">
        <v>1600</v>
      </c>
      <c r="F160" s="52">
        <v>1981</v>
      </c>
      <c r="G160" s="118"/>
      <c r="H160" s="122">
        <v>2207</v>
      </c>
      <c r="I160" s="29"/>
      <c r="J160" s="231"/>
      <c r="K160" s="231"/>
      <c r="L160" s="231"/>
      <c r="M160" s="231"/>
      <c r="N160" s="231"/>
      <c r="O160" s="231"/>
      <c r="P160" s="231"/>
      <c r="Q160" s="231"/>
      <c r="R160" s="231"/>
      <c r="S160" s="231"/>
      <c r="T160" s="231"/>
      <c r="U160" s="231"/>
      <c r="V160" s="231"/>
      <c r="W160" s="231"/>
      <c r="X160" s="231"/>
      <c r="Y160" s="231"/>
      <c r="Z160" s="231"/>
      <c r="AA160" s="231"/>
      <c r="AB160" s="231"/>
      <c r="AC160" s="231"/>
      <c r="AD160" s="231"/>
      <c r="AE160" s="231"/>
      <c r="AF160" s="231"/>
      <c r="AG160" s="231"/>
      <c r="AH160" s="231"/>
      <c r="AI160" s="231"/>
      <c r="AJ160" s="231"/>
      <c r="AK160" s="231"/>
      <c r="AL160" s="231"/>
      <c r="AM160" s="231"/>
    </row>
    <row r="161" spans="1:39" s="203" customFormat="1">
      <c r="A161" s="120">
        <v>3</v>
      </c>
      <c r="B161" s="47" t="s">
        <v>136</v>
      </c>
      <c r="C161" s="47"/>
      <c r="D161" s="47"/>
      <c r="E161" s="114">
        <v>5076</v>
      </c>
      <c r="F161" s="52">
        <v>4308</v>
      </c>
      <c r="G161" s="118"/>
      <c r="H161" s="122">
        <v>4728</v>
      </c>
      <c r="I161" s="29"/>
      <c r="J161" s="231"/>
      <c r="K161" s="231"/>
      <c r="L161" s="231"/>
      <c r="M161" s="231"/>
      <c r="N161" s="231"/>
      <c r="O161" s="231"/>
      <c r="P161" s="231"/>
      <c r="Q161" s="231"/>
      <c r="R161" s="231"/>
      <c r="S161" s="231"/>
      <c r="T161" s="231"/>
      <c r="U161" s="231"/>
      <c r="V161" s="231"/>
      <c r="W161" s="231"/>
      <c r="X161" s="231"/>
      <c r="Y161" s="231"/>
      <c r="Z161" s="231"/>
      <c r="AA161" s="231"/>
      <c r="AB161" s="231"/>
      <c r="AC161" s="231"/>
      <c r="AD161" s="231"/>
      <c r="AE161" s="231"/>
      <c r="AF161" s="231"/>
      <c r="AG161" s="231"/>
      <c r="AH161" s="231"/>
      <c r="AI161" s="231"/>
      <c r="AJ161" s="231"/>
      <c r="AK161" s="231"/>
      <c r="AL161" s="231"/>
      <c r="AM161" s="231"/>
    </row>
    <row r="162" spans="1:39" s="203" customFormat="1">
      <c r="A162" s="120">
        <v>4</v>
      </c>
      <c r="B162" s="47" t="s">
        <v>137</v>
      </c>
      <c r="C162" s="47"/>
      <c r="D162" s="47"/>
      <c r="E162" s="114">
        <v>1161</v>
      </c>
      <c r="F162" s="52">
        <v>1430</v>
      </c>
      <c r="G162" s="118"/>
      <c r="H162" s="100">
        <v>1232</v>
      </c>
      <c r="I162" s="29"/>
      <c r="J162" s="231"/>
      <c r="K162" s="231"/>
      <c r="L162" s="231"/>
      <c r="M162" s="231"/>
      <c r="N162" s="231"/>
      <c r="O162" s="231"/>
      <c r="P162" s="231"/>
      <c r="Q162" s="231"/>
      <c r="R162" s="231"/>
      <c r="S162" s="231"/>
      <c r="T162" s="231"/>
      <c r="U162" s="231"/>
      <c r="V162" s="231"/>
      <c r="W162" s="231"/>
      <c r="X162" s="231"/>
      <c r="Y162" s="231"/>
      <c r="Z162" s="231"/>
      <c r="AA162" s="231"/>
      <c r="AB162" s="231"/>
      <c r="AC162" s="231"/>
      <c r="AD162" s="231"/>
      <c r="AE162" s="231"/>
      <c r="AF162" s="231"/>
      <c r="AG162" s="231"/>
      <c r="AH162" s="231"/>
      <c r="AI162" s="231"/>
      <c r="AJ162" s="231"/>
      <c r="AK162" s="231"/>
      <c r="AL162" s="231"/>
      <c r="AM162" s="231"/>
    </row>
    <row r="163" spans="1:39" s="203" customFormat="1">
      <c r="A163" s="120">
        <v>5</v>
      </c>
      <c r="B163" s="116" t="s">
        <v>138</v>
      </c>
      <c r="C163" s="116"/>
      <c r="D163" s="116"/>
      <c r="E163" s="80">
        <v>7900</v>
      </c>
      <c r="F163" s="142">
        <f>SUM(F159:F162)</f>
        <v>7785</v>
      </c>
      <c r="G163" s="118"/>
      <c r="H163" s="142">
        <f>SUM(H159:H162)</f>
        <v>8231</v>
      </c>
      <c r="I163" s="29"/>
      <c r="J163" s="231"/>
      <c r="K163" s="231"/>
      <c r="L163" s="231"/>
      <c r="M163" s="231"/>
      <c r="N163" s="231"/>
      <c r="O163" s="231"/>
      <c r="P163" s="231"/>
      <c r="Q163" s="231"/>
      <c r="R163" s="231"/>
      <c r="S163" s="231"/>
      <c r="T163" s="231"/>
      <c r="U163" s="231"/>
      <c r="V163" s="231"/>
      <c r="W163" s="231"/>
      <c r="X163" s="231"/>
      <c r="Y163" s="231"/>
      <c r="Z163" s="231"/>
      <c r="AA163" s="231"/>
      <c r="AB163" s="231"/>
      <c r="AC163" s="231"/>
      <c r="AD163" s="231"/>
      <c r="AE163" s="231"/>
      <c r="AF163" s="231"/>
      <c r="AG163" s="231"/>
      <c r="AH163" s="231"/>
      <c r="AI163" s="231"/>
      <c r="AJ163" s="231"/>
      <c r="AK163" s="231"/>
      <c r="AL163" s="231"/>
      <c r="AM163" s="231"/>
    </row>
    <row r="164" spans="1:39" s="203" customFormat="1">
      <c r="A164" s="46"/>
      <c r="B164" s="132"/>
      <c r="C164" s="132"/>
      <c r="D164" s="132"/>
      <c r="E164" s="156"/>
      <c r="F164" s="139"/>
      <c r="G164" s="139"/>
      <c r="H164" s="139"/>
      <c r="I164" s="29"/>
      <c r="J164" s="231"/>
      <c r="K164" s="231"/>
      <c r="L164" s="231"/>
      <c r="M164" s="231"/>
      <c r="N164" s="231"/>
      <c r="O164" s="231"/>
      <c r="P164" s="231"/>
      <c r="Q164" s="231"/>
      <c r="R164" s="231"/>
      <c r="S164" s="231"/>
      <c r="T164" s="231"/>
      <c r="U164" s="231"/>
      <c r="V164" s="231"/>
      <c r="W164" s="231"/>
      <c r="X164" s="231"/>
      <c r="Y164" s="231"/>
      <c r="Z164" s="231"/>
      <c r="AA164" s="231"/>
      <c r="AB164" s="231"/>
      <c r="AC164" s="231"/>
      <c r="AD164" s="231"/>
      <c r="AE164" s="231"/>
      <c r="AF164" s="231"/>
      <c r="AG164" s="231"/>
      <c r="AH164" s="231"/>
      <c r="AI164" s="231"/>
      <c r="AJ164" s="231"/>
      <c r="AK164" s="231"/>
      <c r="AL164" s="231"/>
      <c r="AM164" s="231"/>
    </row>
    <row r="165" spans="1:39" s="203" customFormat="1">
      <c r="A165" s="119" t="s">
        <v>139</v>
      </c>
      <c r="B165" s="47"/>
      <c r="C165" s="47"/>
      <c r="D165" s="47"/>
      <c r="E165" s="140"/>
      <c r="F165" s="146"/>
      <c r="G165" s="118"/>
      <c r="H165" s="146"/>
      <c r="I165" s="29"/>
      <c r="J165" s="231"/>
      <c r="K165" s="231"/>
      <c r="L165" s="231"/>
      <c r="M165" s="231"/>
      <c r="N165" s="231"/>
      <c r="O165" s="231"/>
      <c r="P165" s="231"/>
      <c r="Q165" s="231"/>
      <c r="R165" s="231"/>
      <c r="S165" s="231"/>
      <c r="T165" s="231"/>
      <c r="U165" s="231"/>
      <c r="V165" s="231"/>
      <c r="W165" s="231"/>
      <c r="X165" s="231"/>
      <c r="Y165" s="231"/>
      <c r="Z165" s="231"/>
      <c r="AA165" s="231"/>
      <c r="AB165" s="231"/>
      <c r="AC165" s="231"/>
      <c r="AD165" s="231"/>
      <c r="AE165" s="231"/>
      <c r="AF165" s="231"/>
      <c r="AG165" s="231"/>
      <c r="AH165" s="231"/>
      <c r="AI165" s="231"/>
      <c r="AJ165" s="231"/>
      <c r="AK165" s="231"/>
      <c r="AL165" s="231"/>
      <c r="AM165" s="231"/>
    </row>
    <row r="166" spans="1:39" s="203" customFormat="1">
      <c r="A166" s="120">
        <v>6</v>
      </c>
      <c r="B166" s="47" t="s">
        <v>140</v>
      </c>
      <c r="C166" s="47"/>
      <c r="D166" s="47"/>
      <c r="E166" s="74">
        <v>209</v>
      </c>
      <c r="F166" s="52">
        <v>173</v>
      </c>
      <c r="G166" s="118"/>
      <c r="H166" s="122">
        <v>239</v>
      </c>
      <c r="I166" s="29"/>
      <c r="J166" s="231"/>
      <c r="K166" s="231"/>
      <c r="L166" s="231"/>
      <c r="M166" s="231"/>
      <c r="N166" s="231"/>
      <c r="O166" s="231"/>
      <c r="P166" s="231"/>
      <c r="Q166" s="231"/>
      <c r="R166" s="231"/>
      <c r="S166" s="231"/>
      <c r="T166" s="231"/>
      <c r="U166" s="231"/>
      <c r="V166" s="231"/>
      <c r="W166" s="231"/>
      <c r="X166" s="231"/>
      <c r="Y166" s="231"/>
      <c r="Z166" s="231"/>
      <c r="AA166" s="231"/>
      <c r="AB166" s="231"/>
      <c r="AC166" s="231"/>
      <c r="AD166" s="231"/>
      <c r="AE166" s="231"/>
      <c r="AF166" s="231"/>
      <c r="AG166" s="231"/>
      <c r="AH166" s="231"/>
      <c r="AI166" s="231"/>
      <c r="AJ166" s="231"/>
      <c r="AK166" s="231"/>
      <c r="AL166" s="231"/>
      <c r="AM166" s="231"/>
    </row>
    <row r="167" spans="1:39" s="203" customFormat="1">
      <c r="A167" s="120">
        <v>7</v>
      </c>
      <c r="B167" s="47" t="s">
        <v>141</v>
      </c>
      <c r="C167" s="47"/>
      <c r="D167" s="47"/>
      <c r="E167" s="49">
        <v>123</v>
      </c>
      <c r="F167" s="52">
        <v>123</v>
      </c>
      <c r="G167" s="118"/>
      <c r="H167" s="122">
        <v>35</v>
      </c>
      <c r="I167" s="29"/>
      <c r="J167" s="231"/>
      <c r="K167" s="231"/>
      <c r="L167" s="231"/>
      <c r="M167" s="231"/>
      <c r="N167" s="231"/>
      <c r="O167" s="231"/>
      <c r="P167" s="231"/>
      <c r="Q167" s="231"/>
      <c r="R167" s="231"/>
      <c r="S167" s="231"/>
      <c r="T167" s="231"/>
      <c r="U167" s="231"/>
      <c r="V167" s="231"/>
      <c r="W167" s="231"/>
      <c r="X167" s="231"/>
      <c r="Y167" s="231"/>
      <c r="Z167" s="231"/>
      <c r="AA167" s="231"/>
      <c r="AB167" s="231"/>
      <c r="AC167" s="231"/>
      <c r="AD167" s="231"/>
      <c r="AE167" s="231"/>
      <c r="AF167" s="231"/>
      <c r="AG167" s="231"/>
      <c r="AH167" s="231"/>
      <c r="AI167" s="231"/>
      <c r="AJ167" s="231"/>
      <c r="AK167" s="231"/>
      <c r="AL167" s="231"/>
      <c r="AM167" s="231"/>
    </row>
    <row r="168" spans="1:39" s="203" customFormat="1">
      <c r="A168" s="120">
        <v>8</v>
      </c>
      <c r="B168" s="47" t="s">
        <v>121</v>
      </c>
      <c r="C168" s="47"/>
      <c r="D168" s="47"/>
      <c r="E168" s="49">
        <v>641</v>
      </c>
      <c r="F168" s="52">
        <v>591</v>
      </c>
      <c r="G168" s="118"/>
      <c r="H168" s="100">
        <v>714</v>
      </c>
      <c r="I168" s="29"/>
      <c r="J168" s="231"/>
      <c r="K168" s="231"/>
      <c r="L168" s="231"/>
      <c r="M168" s="231"/>
      <c r="N168" s="231"/>
      <c r="O168" s="231"/>
      <c r="P168" s="231"/>
      <c r="Q168" s="231"/>
      <c r="R168" s="231"/>
      <c r="S168" s="231"/>
      <c r="T168" s="231"/>
      <c r="U168" s="231"/>
      <c r="V168" s="231"/>
      <c r="W168" s="231"/>
      <c r="X168" s="231"/>
      <c r="Y168" s="231"/>
      <c r="Z168" s="231"/>
      <c r="AA168" s="231"/>
      <c r="AB168" s="231"/>
      <c r="AC168" s="231"/>
      <c r="AD168" s="231"/>
      <c r="AE168" s="231"/>
      <c r="AF168" s="231"/>
      <c r="AG168" s="231"/>
      <c r="AH168" s="231"/>
      <c r="AI168" s="231"/>
      <c r="AJ168" s="231"/>
      <c r="AK168" s="231"/>
      <c r="AL168" s="231"/>
      <c r="AM168" s="231"/>
    </row>
    <row r="169" spans="1:39" s="203" customFormat="1">
      <c r="A169" s="120">
        <v>9</v>
      </c>
      <c r="B169" s="116" t="s">
        <v>142</v>
      </c>
      <c r="C169" s="116"/>
      <c r="D169" s="116"/>
      <c r="E169" s="80">
        <v>973</v>
      </c>
      <c r="F169" s="142">
        <f>SUM(F166:F168)</f>
        <v>887</v>
      </c>
      <c r="G169" s="118"/>
      <c r="H169" s="142">
        <f>SUM(H166:H168)</f>
        <v>988</v>
      </c>
      <c r="I169" s="29"/>
      <c r="J169" s="231"/>
      <c r="K169" s="231"/>
      <c r="L169" s="231"/>
      <c r="M169" s="231"/>
      <c r="N169" s="231"/>
      <c r="O169" s="231"/>
      <c r="P169" s="231"/>
      <c r="Q169" s="231"/>
      <c r="R169" s="231"/>
      <c r="S169" s="231"/>
      <c r="T169" s="231"/>
      <c r="U169" s="231"/>
      <c r="V169" s="231"/>
      <c r="W169" s="231"/>
      <c r="X169" s="231"/>
      <c r="Y169" s="231"/>
      <c r="Z169" s="231"/>
      <c r="AA169" s="231"/>
      <c r="AB169" s="231"/>
      <c r="AC169" s="231"/>
      <c r="AD169" s="231"/>
      <c r="AE169" s="231"/>
      <c r="AF169" s="231"/>
      <c r="AG169" s="231"/>
      <c r="AH169" s="231"/>
      <c r="AI169" s="231"/>
      <c r="AJ169" s="231"/>
      <c r="AK169" s="231"/>
      <c r="AL169" s="231"/>
      <c r="AM169" s="231"/>
    </row>
    <row r="170" spans="1:39" s="203" customFormat="1">
      <c r="A170" s="46"/>
      <c r="B170" s="132"/>
      <c r="C170" s="132"/>
      <c r="D170" s="132"/>
      <c r="E170" s="156"/>
      <c r="F170" s="139"/>
      <c r="G170" s="139"/>
      <c r="H170" s="139"/>
      <c r="I170" s="29"/>
      <c r="J170" s="231"/>
      <c r="K170" s="231"/>
      <c r="L170" s="231"/>
      <c r="M170" s="231"/>
      <c r="N170" s="231"/>
      <c r="O170" s="231"/>
      <c r="P170" s="231"/>
      <c r="Q170" s="231"/>
      <c r="R170" s="231"/>
      <c r="S170" s="231"/>
      <c r="T170" s="231"/>
      <c r="U170" s="231"/>
      <c r="V170" s="231"/>
      <c r="W170" s="231"/>
      <c r="X170" s="231"/>
      <c r="Y170" s="231"/>
      <c r="Z170" s="231"/>
      <c r="AA170" s="231"/>
      <c r="AB170" s="231"/>
      <c r="AC170" s="231"/>
      <c r="AD170" s="231"/>
      <c r="AE170" s="231"/>
      <c r="AF170" s="231"/>
      <c r="AG170" s="231"/>
      <c r="AH170" s="231"/>
      <c r="AI170" s="231"/>
      <c r="AJ170" s="231"/>
      <c r="AK170" s="231"/>
      <c r="AL170" s="231"/>
      <c r="AM170" s="231"/>
    </row>
    <row r="171" spans="1:39" s="203" customFormat="1">
      <c r="A171" s="120">
        <v>10</v>
      </c>
      <c r="B171" s="47" t="s">
        <v>143</v>
      </c>
      <c r="C171" s="47"/>
      <c r="D171" s="47"/>
      <c r="E171" s="41">
        <v>-443</v>
      </c>
      <c r="F171" s="121">
        <v>-392</v>
      </c>
      <c r="G171" s="118"/>
      <c r="H171" s="133">
        <v>-542</v>
      </c>
      <c r="I171" s="29"/>
      <c r="J171" s="231"/>
      <c r="K171" s="231"/>
      <c r="L171" s="231"/>
      <c r="M171" s="231"/>
      <c r="N171" s="231"/>
      <c r="O171" s="231"/>
      <c r="P171" s="231"/>
      <c r="Q171" s="231"/>
      <c r="R171" s="231"/>
      <c r="S171" s="231"/>
      <c r="T171" s="231"/>
      <c r="U171" s="231"/>
      <c r="V171" s="231"/>
      <c r="W171" s="231"/>
      <c r="X171" s="231"/>
      <c r="Y171" s="231"/>
      <c r="Z171" s="231"/>
      <c r="AA171" s="231"/>
      <c r="AB171" s="231"/>
      <c r="AC171" s="231"/>
      <c r="AD171" s="231"/>
      <c r="AE171" s="231"/>
      <c r="AF171" s="231"/>
      <c r="AG171" s="231"/>
      <c r="AH171" s="231"/>
      <c r="AI171" s="231"/>
      <c r="AJ171" s="231"/>
      <c r="AK171" s="231"/>
      <c r="AL171" s="231"/>
      <c r="AM171" s="231"/>
    </row>
    <row r="172" spans="1:39" s="203" customFormat="1">
      <c r="A172" s="120">
        <v>11</v>
      </c>
      <c r="B172" s="47" t="s">
        <v>144</v>
      </c>
      <c r="C172" s="47"/>
      <c r="D172" s="47"/>
      <c r="E172" s="56">
        <v>607</v>
      </c>
      <c r="F172" s="126">
        <v>198</v>
      </c>
      <c r="G172" s="118"/>
      <c r="H172" s="100">
        <v>608</v>
      </c>
      <c r="I172" s="29"/>
      <c r="J172" s="231"/>
      <c r="K172" s="231"/>
      <c r="L172" s="231"/>
      <c r="M172" s="231"/>
      <c r="N172" s="231"/>
      <c r="O172" s="231"/>
      <c r="P172" s="231"/>
      <c r="Q172" s="231"/>
      <c r="R172" s="231"/>
      <c r="S172" s="231"/>
      <c r="T172" s="231"/>
      <c r="U172" s="231"/>
      <c r="V172" s="231"/>
      <c r="W172" s="231"/>
      <c r="X172" s="231"/>
      <c r="Y172" s="231"/>
      <c r="Z172" s="231"/>
      <c r="AA172" s="231"/>
      <c r="AB172" s="231"/>
      <c r="AC172" s="231"/>
      <c r="AD172" s="231"/>
      <c r="AE172" s="231"/>
      <c r="AF172" s="231"/>
      <c r="AG172" s="231"/>
      <c r="AH172" s="231"/>
      <c r="AI172" s="231"/>
      <c r="AJ172" s="231"/>
      <c r="AK172" s="231"/>
      <c r="AL172" s="231"/>
      <c r="AM172" s="231"/>
    </row>
    <row r="173" spans="1:39" s="203" customFormat="1">
      <c r="A173" s="46"/>
      <c r="B173" s="132"/>
      <c r="C173" s="132"/>
      <c r="D173" s="132"/>
      <c r="E173" s="156"/>
      <c r="F173" s="139"/>
      <c r="G173" s="139"/>
      <c r="H173" s="139"/>
      <c r="I173" s="29"/>
      <c r="J173" s="231"/>
      <c r="K173" s="231"/>
      <c r="L173" s="231"/>
      <c r="M173" s="231"/>
      <c r="N173" s="231"/>
      <c r="O173" s="231"/>
      <c r="P173" s="231"/>
      <c r="Q173" s="231"/>
      <c r="R173" s="231"/>
      <c r="S173" s="231"/>
      <c r="T173" s="231"/>
      <c r="U173" s="231"/>
      <c r="V173" s="231"/>
      <c r="W173" s="231"/>
      <c r="X173" s="231"/>
      <c r="Y173" s="231"/>
      <c r="Z173" s="231"/>
      <c r="AA173" s="231"/>
      <c r="AB173" s="231"/>
      <c r="AC173" s="231"/>
      <c r="AD173" s="231"/>
      <c r="AE173" s="231"/>
      <c r="AF173" s="231"/>
      <c r="AG173" s="231"/>
      <c r="AH173" s="231"/>
      <c r="AI173" s="231"/>
      <c r="AJ173" s="231"/>
      <c r="AK173" s="231"/>
      <c r="AL173" s="231"/>
      <c r="AM173" s="231"/>
    </row>
    <row r="174" spans="1:39" s="203" customFormat="1">
      <c r="A174" s="119" t="s">
        <v>145</v>
      </c>
      <c r="B174" s="47"/>
      <c r="C174" s="47"/>
      <c r="D174" s="47"/>
      <c r="E174" s="157"/>
      <c r="F174" s="146"/>
      <c r="G174" s="118"/>
      <c r="H174" s="146"/>
      <c r="I174" s="29"/>
      <c r="J174" s="231"/>
      <c r="K174" s="231"/>
      <c r="L174" s="231"/>
      <c r="M174" s="231"/>
      <c r="N174" s="231"/>
      <c r="O174" s="231"/>
      <c r="P174" s="231"/>
      <c r="Q174" s="231"/>
      <c r="R174" s="231"/>
      <c r="S174" s="231"/>
      <c r="T174" s="231"/>
      <c r="U174" s="231"/>
      <c r="V174" s="231"/>
      <c r="W174" s="231"/>
      <c r="X174" s="231"/>
      <c r="Y174" s="231"/>
      <c r="Z174" s="231"/>
      <c r="AA174" s="231"/>
      <c r="AB174" s="231"/>
      <c r="AC174" s="231"/>
      <c r="AD174" s="231"/>
      <c r="AE174" s="231"/>
      <c r="AF174" s="231"/>
      <c r="AG174" s="231"/>
      <c r="AH174" s="231"/>
      <c r="AI174" s="231"/>
      <c r="AJ174" s="231"/>
      <c r="AK174" s="231"/>
      <c r="AL174" s="231"/>
      <c r="AM174" s="231"/>
    </row>
    <row r="175" spans="1:39" s="203" customFormat="1">
      <c r="A175" s="120">
        <v>12</v>
      </c>
      <c r="B175" s="47" t="s">
        <v>146</v>
      </c>
      <c r="C175" s="47"/>
      <c r="D175" s="47"/>
      <c r="E175" s="74">
        <v>177</v>
      </c>
      <c r="F175" s="52">
        <v>177</v>
      </c>
      <c r="G175" s="118"/>
      <c r="H175" s="122">
        <v>177</v>
      </c>
      <c r="I175" s="29"/>
      <c r="J175" s="231"/>
      <c r="K175" s="231"/>
      <c r="L175" s="231"/>
      <c r="M175" s="231"/>
      <c r="N175" s="231"/>
      <c r="O175" s="231"/>
      <c r="P175" s="231"/>
      <c r="Q175" s="231"/>
      <c r="R175" s="231"/>
      <c r="S175" s="231"/>
      <c r="T175" s="231"/>
      <c r="U175" s="231"/>
      <c r="V175" s="231"/>
      <c r="W175" s="231"/>
      <c r="X175" s="231"/>
      <c r="Y175" s="231"/>
      <c r="Z175" s="231"/>
      <c r="AA175" s="231"/>
      <c r="AB175" s="231"/>
      <c r="AC175" s="231"/>
      <c r="AD175" s="231"/>
      <c r="AE175" s="231"/>
      <c r="AF175" s="231"/>
      <c r="AG175" s="231"/>
      <c r="AH175" s="231"/>
      <c r="AI175" s="231"/>
      <c r="AJ175" s="231"/>
      <c r="AK175" s="231"/>
      <c r="AL175" s="231"/>
      <c r="AM175" s="231"/>
    </row>
    <row r="176" spans="1:39" s="203" customFormat="1">
      <c r="A176" s="120">
        <v>13</v>
      </c>
      <c r="B176" s="47" t="s">
        <v>147</v>
      </c>
      <c r="C176" s="47"/>
      <c r="D176" s="47"/>
      <c r="E176" s="49">
        <v>2997</v>
      </c>
      <c r="F176" s="52">
        <f>2585+F188</f>
        <v>3307</v>
      </c>
      <c r="G176" s="118"/>
      <c r="H176" s="122">
        <f>2320+H188</f>
        <v>2869</v>
      </c>
      <c r="I176" s="29"/>
      <c r="J176" s="231"/>
      <c r="K176" s="231"/>
      <c r="L176" s="231"/>
      <c r="M176" s="231"/>
      <c r="N176" s="231"/>
      <c r="O176" s="231"/>
      <c r="P176" s="231"/>
      <c r="Q176" s="231"/>
      <c r="R176" s="231"/>
      <c r="S176" s="231"/>
      <c r="T176" s="231"/>
      <c r="U176" s="231"/>
      <c r="V176" s="231"/>
      <c r="W176" s="231"/>
      <c r="X176" s="231"/>
      <c r="Y176" s="231"/>
      <c r="Z176" s="231"/>
      <c r="AA176" s="231"/>
      <c r="AB176" s="231"/>
      <c r="AC176" s="231"/>
      <c r="AD176" s="231"/>
      <c r="AE176" s="231"/>
      <c r="AF176" s="231"/>
      <c r="AG176" s="231"/>
      <c r="AH176" s="231"/>
      <c r="AI176" s="231"/>
      <c r="AJ176" s="231"/>
      <c r="AK176" s="231"/>
      <c r="AL176" s="231"/>
      <c r="AM176" s="231"/>
    </row>
    <row r="177" spans="1:39" s="203" customFormat="1">
      <c r="A177" s="120">
        <v>14</v>
      </c>
      <c r="B177" s="47" t="s">
        <v>148</v>
      </c>
      <c r="C177" s="47"/>
      <c r="D177" s="47"/>
      <c r="E177" s="56">
        <v>0</v>
      </c>
      <c r="F177" s="52">
        <v>0</v>
      </c>
      <c r="G177" s="118"/>
      <c r="H177" s="100">
        <v>0</v>
      </c>
      <c r="I177" s="29"/>
      <c r="J177" s="231"/>
      <c r="K177" s="231"/>
      <c r="L177" s="231"/>
      <c r="M177" s="231"/>
      <c r="N177" s="231"/>
      <c r="O177" s="231"/>
      <c r="P177" s="231"/>
      <c r="Q177" s="231"/>
      <c r="R177" s="231"/>
      <c r="S177" s="231"/>
      <c r="T177" s="231"/>
      <c r="U177" s="231"/>
      <c r="V177" s="231"/>
      <c r="W177" s="231"/>
      <c r="X177" s="231"/>
      <c r="Y177" s="231"/>
      <c r="Z177" s="231"/>
      <c r="AA177" s="231"/>
      <c r="AB177" s="231"/>
      <c r="AC177" s="231"/>
      <c r="AD177" s="231"/>
      <c r="AE177" s="231"/>
      <c r="AF177" s="231"/>
      <c r="AG177" s="231"/>
      <c r="AH177" s="231"/>
      <c r="AI177" s="231"/>
      <c r="AJ177" s="231"/>
      <c r="AK177" s="231"/>
      <c r="AL177" s="231"/>
      <c r="AM177" s="231"/>
    </row>
    <row r="178" spans="1:39" s="203" customFormat="1">
      <c r="A178" s="120">
        <v>15</v>
      </c>
      <c r="B178" s="116" t="s">
        <v>149</v>
      </c>
      <c r="C178" s="116"/>
      <c r="D178" s="116"/>
      <c r="E178" s="80">
        <v>3174</v>
      </c>
      <c r="F178" s="142">
        <f>SUM(F175:F177)</f>
        <v>3484</v>
      </c>
      <c r="G178" s="118"/>
      <c r="H178" s="142">
        <f>SUM(H175:H177)</f>
        <v>3046</v>
      </c>
      <c r="I178" s="29"/>
      <c r="J178" s="231"/>
      <c r="K178" s="231"/>
      <c r="L178" s="231"/>
      <c r="M178" s="231"/>
      <c r="N178" s="231"/>
      <c r="O178" s="231"/>
      <c r="P178" s="231"/>
      <c r="Q178" s="231"/>
      <c r="R178" s="231"/>
      <c r="S178" s="231"/>
      <c r="T178" s="231"/>
      <c r="U178" s="231"/>
      <c r="V178" s="231"/>
      <c r="W178" s="231"/>
      <c r="X178" s="231"/>
      <c r="Y178" s="231"/>
      <c r="Z178" s="231"/>
      <c r="AA178" s="231"/>
      <c r="AB178" s="231"/>
      <c r="AC178" s="231"/>
      <c r="AD178" s="231"/>
      <c r="AE178" s="231"/>
      <c r="AF178" s="231"/>
      <c r="AG178" s="231"/>
      <c r="AH178" s="231"/>
      <c r="AI178" s="231"/>
      <c r="AJ178" s="231"/>
      <c r="AK178" s="231"/>
      <c r="AL178" s="231"/>
      <c r="AM178" s="231"/>
    </row>
    <row r="179" spans="1:39" s="203" customFormat="1">
      <c r="A179" s="120">
        <v>16</v>
      </c>
      <c r="B179" s="116" t="s">
        <v>150</v>
      </c>
      <c r="C179" s="116"/>
      <c r="D179" s="116"/>
      <c r="E179" s="80">
        <v>3781</v>
      </c>
      <c r="F179" s="158">
        <f>F172+F178</f>
        <v>3682</v>
      </c>
      <c r="G179" s="118"/>
      <c r="H179" s="158">
        <f>H172+H178</f>
        <v>3654</v>
      </c>
      <c r="I179" s="29"/>
      <c r="J179" s="231"/>
      <c r="K179" s="231"/>
      <c r="L179" s="231"/>
      <c r="M179" s="231"/>
      <c r="N179" s="231"/>
      <c r="O179" s="231"/>
      <c r="P179" s="231"/>
      <c r="Q179" s="231"/>
      <c r="R179" s="231"/>
      <c r="S179" s="231"/>
      <c r="T179" s="231"/>
      <c r="U179" s="231"/>
      <c r="V179" s="231"/>
      <c r="W179" s="231"/>
      <c r="X179" s="231"/>
      <c r="Y179" s="231"/>
      <c r="Z179" s="231"/>
      <c r="AA179" s="231"/>
      <c r="AB179" s="231"/>
      <c r="AC179" s="231"/>
      <c r="AD179" s="231"/>
      <c r="AE179" s="231"/>
      <c r="AF179" s="231"/>
      <c r="AG179" s="231"/>
      <c r="AH179" s="231"/>
      <c r="AI179" s="231"/>
      <c r="AJ179" s="231"/>
      <c r="AK179" s="231"/>
      <c r="AL179" s="231"/>
      <c r="AM179" s="231"/>
    </row>
    <row r="180" spans="1:39" s="203" customFormat="1">
      <c r="A180" s="120">
        <v>17</v>
      </c>
      <c r="B180" s="116" t="s">
        <v>151</v>
      </c>
      <c r="C180" s="116"/>
      <c r="D180" s="116"/>
      <c r="E180" s="159">
        <v>12211</v>
      </c>
      <c r="F180" s="61">
        <f>SUM(F163+F169+F171+F179)</f>
        <v>11962</v>
      </c>
      <c r="G180" s="118"/>
      <c r="H180" s="61">
        <f>SUM(H163+H169+H171+H179)</f>
        <v>12331</v>
      </c>
      <c r="I180" s="29"/>
      <c r="J180" s="231"/>
      <c r="K180" s="231"/>
      <c r="L180" s="231"/>
      <c r="M180" s="231"/>
      <c r="N180" s="231"/>
      <c r="O180" s="231"/>
      <c r="P180" s="231"/>
      <c r="Q180" s="231"/>
      <c r="R180" s="231"/>
      <c r="S180" s="231"/>
      <c r="T180" s="231"/>
      <c r="U180" s="231"/>
      <c r="V180" s="231"/>
      <c r="W180" s="231"/>
      <c r="X180" s="231"/>
      <c r="Y180" s="231"/>
      <c r="Z180" s="231"/>
      <c r="AA180" s="231"/>
      <c r="AB180" s="231"/>
      <c r="AC180" s="231"/>
      <c r="AD180" s="231"/>
      <c r="AE180" s="231"/>
      <c r="AF180" s="231"/>
      <c r="AG180" s="231"/>
      <c r="AH180" s="231"/>
      <c r="AI180" s="231"/>
      <c r="AJ180" s="231"/>
      <c r="AK180" s="231"/>
      <c r="AL180" s="231"/>
      <c r="AM180" s="231"/>
    </row>
    <row r="181" spans="1:39" s="203" customFormat="1">
      <c r="A181" s="46"/>
      <c r="B181" s="132"/>
      <c r="C181" s="132"/>
      <c r="D181" s="132"/>
      <c r="E181" s="156"/>
      <c r="F181" s="139"/>
      <c r="G181" s="139"/>
      <c r="H181" s="139"/>
      <c r="I181" s="29"/>
      <c r="J181" s="231"/>
      <c r="K181" s="231"/>
      <c r="L181" s="231"/>
      <c r="M181" s="231"/>
      <c r="N181" s="231"/>
      <c r="O181" s="231"/>
      <c r="P181" s="231"/>
      <c r="Q181" s="231"/>
      <c r="R181" s="231"/>
      <c r="S181" s="231"/>
      <c r="T181" s="231"/>
      <c r="U181" s="231"/>
      <c r="V181" s="231"/>
      <c r="W181" s="231"/>
      <c r="X181" s="231"/>
      <c r="Y181" s="231"/>
      <c r="Z181" s="231"/>
      <c r="AA181" s="231"/>
      <c r="AB181" s="231"/>
      <c r="AC181" s="231"/>
      <c r="AD181" s="231"/>
      <c r="AE181" s="231"/>
      <c r="AF181" s="231"/>
      <c r="AG181" s="231"/>
      <c r="AH181" s="231"/>
      <c r="AI181" s="231"/>
      <c r="AJ181" s="231"/>
      <c r="AK181" s="231"/>
      <c r="AL181" s="231"/>
      <c r="AM181" s="231"/>
    </row>
    <row r="182" spans="1:39" s="203" customFormat="1">
      <c r="A182" s="119" t="s">
        <v>152</v>
      </c>
      <c r="B182" s="47"/>
      <c r="C182" s="47"/>
      <c r="D182" s="116"/>
      <c r="E182" s="117"/>
      <c r="F182" s="118"/>
      <c r="G182" s="118"/>
      <c r="H182" s="118"/>
      <c r="I182" s="29"/>
      <c r="J182" s="231"/>
      <c r="K182" s="231"/>
      <c r="L182" s="231"/>
      <c r="M182" s="231"/>
      <c r="N182" s="231"/>
      <c r="O182" s="231"/>
      <c r="P182" s="231"/>
      <c r="Q182" s="231"/>
      <c r="R182" s="231"/>
      <c r="S182" s="231"/>
      <c r="T182" s="231"/>
      <c r="U182" s="231"/>
      <c r="V182" s="231"/>
      <c r="W182" s="231"/>
      <c r="X182" s="231"/>
      <c r="Y182" s="231"/>
      <c r="Z182" s="231"/>
      <c r="AA182" s="231"/>
      <c r="AB182" s="231"/>
      <c r="AC182" s="231"/>
      <c r="AD182" s="231"/>
      <c r="AE182" s="231"/>
      <c r="AF182" s="231"/>
      <c r="AG182" s="231"/>
      <c r="AH182" s="231"/>
      <c r="AI182" s="231"/>
      <c r="AJ182" s="231"/>
      <c r="AK182" s="231"/>
      <c r="AL182" s="231"/>
      <c r="AM182" s="231"/>
    </row>
    <row r="183" spans="1:39" s="203" customFormat="1">
      <c r="A183" s="120">
        <v>18</v>
      </c>
      <c r="B183" s="47" t="s">
        <v>153</v>
      </c>
      <c r="C183" s="47"/>
      <c r="D183" s="47"/>
      <c r="E183" s="41">
        <v>1464</v>
      </c>
      <c r="F183" s="121">
        <v>1461</v>
      </c>
      <c r="G183" s="118"/>
      <c r="H183" s="133">
        <v>1482</v>
      </c>
      <c r="I183" s="29"/>
      <c r="J183" s="231"/>
      <c r="K183" s="231"/>
      <c r="L183" s="231"/>
      <c r="M183" s="231"/>
      <c r="N183" s="231"/>
      <c r="O183" s="231"/>
      <c r="P183" s="231"/>
      <c r="Q183" s="231"/>
      <c r="R183" s="231"/>
      <c r="S183" s="231"/>
      <c r="T183" s="231"/>
      <c r="U183" s="231"/>
      <c r="V183" s="231"/>
      <c r="W183" s="231"/>
      <c r="X183" s="231"/>
      <c r="Y183" s="231"/>
      <c r="Z183" s="231"/>
      <c r="AA183" s="231"/>
      <c r="AB183" s="231"/>
      <c r="AC183" s="231"/>
      <c r="AD183" s="231"/>
      <c r="AE183" s="231"/>
      <c r="AF183" s="231"/>
      <c r="AG183" s="231"/>
      <c r="AH183" s="231"/>
      <c r="AI183" s="231"/>
      <c r="AJ183" s="231"/>
      <c r="AK183" s="231"/>
      <c r="AL183" s="231"/>
      <c r="AM183" s="231"/>
    </row>
    <row r="184" spans="1:39" s="203" customFormat="1">
      <c r="A184" s="120">
        <v>19</v>
      </c>
      <c r="B184" s="47" t="s">
        <v>154</v>
      </c>
      <c r="C184" s="47"/>
      <c r="D184" s="47"/>
      <c r="E184" s="49">
        <v>117</v>
      </c>
      <c r="F184" s="52">
        <v>123</v>
      </c>
      <c r="G184" s="118"/>
      <c r="H184" s="122">
        <v>144</v>
      </c>
      <c r="I184" s="29"/>
      <c r="J184" s="231"/>
      <c r="K184" s="231"/>
      <c r="L184" s="231"/>
      <c r="M184" s="231"/>
      <c r="N184" s="231"/>
      <c r="O184" s="231"/>
      <c r="P184" s="231"/>
      <c r="Q184" s="231"/>
      <c r="R184" s="231"/>
      <c r="S184" s="231"/>
      <c r="T184" s="231"/>
      <c r="U184" s="231"/>
      <c r="V184" s="231"/>
      <c r="W184" s="231"/>
      <c r="X184" s="231"/>
      <c r="Y184" s="231"/>
      <c r="Z184" s="231"/>
      <c r="AA184" s="231"/>
      <c r="AB184" s="231"/>
      <c r="AC184" s="231"/>
      <c r="AD184" s="231"/>
      <c r="AE184" s="231"/>
      <c r="AF184" s="231"/>
      <c r="AG184" s="231"/>
      <c r="AH184" s="231"/>
      <c r="AI184" s="231"/>
      <c r="AJ184" s="231"/>
      <c r="AK184" s="231"/>
      <c r="AL184" s="231"/>
      <c r="AM184" s="231"/>
    </row>
    <row r="185" spans="1:39" s="203" customFormat="1">
      <c r="A185" s="120">
        <v>20</v>
      </c>
      <c r="B185" s="47" t="s">
        <v>155</v>
      </c>
      <c r="C185" s="47"/>
      <c r="D185" s="47"/>
      <c r="E185" s="49">
        <v>0</v>
      </c>
      <c r="F185" s="52">
        <v>0</v>
      </c>
      <c r="G185" s="118"/>
      <c r="H185" s="122">
        <v>0</v>
      </c>
      <c r="I185" s="29"/>
      <c r="J185" s="231"/>
      <c r="K185" s="231"/>
      <c r="L185" s="231"/>
      <c r="M185" s="231"/>
      <c r="N185" s="231"/>
      <c r="O185" s="231"/>
      <c r="P185" s="231"/>
      <c r="Q185" s="231"/>
      <c r="R185" s="231"/>
      <c r="S185" s="231"/>
      <c r="T185" s="231"/>
      <c r="U185" s="231"/>
      <c r="V185" s="231"/>
      <c r="W185" s="231"/>
      <c r="X185" s="231"/>
      <c r="Y185" s="231"/>
      <c r="Z185" s="231"/>
      <c r="AA185" s="231"/>
      <c r="AB185" s="231"/>
      <c r="AC185" s="231"/>
      <c r="AD185" s="231"/>
      <c r="AE185" s="231"/>
      <c r="AF185" s="231"/>
      <c r="AG185" s="231"/>
      <c r="AH185" s="231"/>
      <c r="AI185" s="231"/>
      <c r="AJ185" s="231"/>
      <c r="AK185" s="231"/>
      <c r="AL185" s="231"/>
      <c r="AM185" s="231"/>
    </row>
    <row r="186" spans="1:39" s="203" customFormat="1">
      <c r="A186" s="120">
        <v>21</v>
      </c>
      <c r="B186" s="47" t="s">
        <v>156</v>
      </c>
      <c r="C186" s="47"/>
      <c r="D186" s="47"/>
      <c r="E186" s="49">
        <v>11</v>
      </c>
      <c r="F186" s="52">
        <v>11</v>
      </c>
      <c r="G186" s="118"/>
      <c r="H186" s="122">
        <v>11</v>
      </c>
      <c r="I186" s="29"/>
      <c r="J186" s="231"/>
      <c r="K186" s="231"/>
      <c r="L186" s="231"/>
      <c r="M186" s="231"/>
      <c r="N186" s="231"/>
      <c r="O186" s="231"/>
      <c r="P186" s="231"/>
      <c r="Q186" s="231"/>
      <c r="R186" s="231"/>
      <c r="S186" s="231"/>
      <c r="T186" s="231"/>
      <c r="U186" s="231"/>
      <c r="V186" s="231"/>
      <c r="W186" s="231"/>
      <c r="X186" s="231"/>
      <c r="Y186" s="231"/>
      <c r="Z186" s="231"/>
      <c r="AA186" s="231"/>
      <c r="AB186" s="231"/>
      <c r="AC186" s="231"/>
      <c r="AD186" s="231"/>
      <c r="AE186" s="231"/>
      <c r="AF186" s="231"/>
      <c r="AG186" s="231"/>
      <c r="AH186" s="231"/>
      <c r="AI186" s="231"/>
      <c r="AJ186" s="231"/>
      <c r="AK186" s="231"/>
      <c r="AL186" s="231"/>
      <c r="AM186" s="231"/>
    </row>
    <row r="187" spans="1:39" s="203" customFormat="1">
      <c r="A187" s="120">
        <v>22</v>
      </c>
      <c r="B187" s="47" t="s">
        <v>157</v>
      </c>
      <c r="C187" s="47"/>
      <c r="D187" s="47"/>
      <c r="E187" s="49">
        <v>0</v>
      </c>
      <c r="F187" s="52">
        <v>0</v>
      </c>
      <c r="G187" s="118"/>
      <c r="H187" s="122">
        <v>0</v>
      </c>
      <c r="I187" s="29"/>
      <c r="J187" s="231"/>
      <c r="K187" s="231"/>
      <c r="L187" s="231"/>
      <c r="M187" s="231"/>
      <c r="N187" s="231"/>
      <c r="O187" s="231"/>
      <c r="P187" s="231"/>
      <c r="Q187" s="231"/>
      <c r="R187" s="231"/>
      <c r="S187" s="231"/>
      <c r="T187" s="231"/>
      <c r="U187" s="231"/>
      <c r="V187" s="231"/>
      <c r="W187" s="231"/>
      <c r="X187" s="231"/>
      <c r="Y187" s="231"/>
      <c r="Z187" s="231"/>
      <c r="AA187" s="231"/>
      <c r="AB187" s="231"/>
      <c r="AC187" s="231"/>
      <c r="AD187" s="231"/>
      <c r="AE187" s="231"/>
      <c r="AF187" s="231"/>
      <c r="AG187" s="231"/>
      <c r="AH187" s="231"/>
      <c r="AI187" s="231"/>
      <c r="AJ187" s="231"/>
      <c r="AK187" s="231"/>
      <c r="AL187" s="231"/>
      <c r="AM187" s="231"/>
    </row>
    <row r="188" spans="1:39" s="203" customFormat="1">
      <c r="A188" s="120">
        <v>23</v>
      </c>
      <c r="B188" s="47" t="s">
        <v>158</v>
      </c>
      <c r="C188" s="47"/>
      <c r="D188" s="47"/>
      <c r="E188" s="49">
        <v>775</v>
      </c>
      <c r="F188" s="52">
        <v>722</v>
      </c>
      <c r="G188" s="118"/>
      <c r="H188" s="122">
        <v>549</v>
      </c>
      <c r="I188" s="29"/>
      <c r="J188" s="231"/>
      <c r="K188" s="231"/>
      <c r="L188" s="231"/>
      <c r="M188" s="231"/>
      <c r="N188" s="231"/>
      <c r="O188" s="231"/>
      <c r="P188" s="231"/>
      <c r="Q188" s="231"/>
      <c r="R188" s="231"/>
      <c r="S188" s="231"/>
      <c r="T188" s="231"/>
      <c r="U188" s="231"/>
      <c r="V188" s="231"/>
      <c r="W188" s="231"/>
      <c r="X188" s="231"/>
      <c r="Y188" s="231"/>
      <c r="Z188" s="231"/>
      <c r="AA188" s="231"/>
      <c r="AB188" s="231"/>
      <c r="AC188" s="231"/>
      <c r="AD188" s="231"/>
      <c r="AE188" s="231"/>
      <c r="AF188" s="231"/>
      <c r="AG188" s="231"/>
      <c r="AH188" s="231"/>
      <c r="AI188" s="231"/>
      <c r="AJ188" s="231"/>
      <c r="AK188" s="231"/>
      <c r="AL188" s="231"/>
      <c r="AM188" s="231"/>
    </row>
    <row r="189" spans="1:39" s="203" customFormat="1">
      <c r="A189" s="120">
        <v>24</v>
      </c>
      <c r="B189" s="47" t="s">
        <v>159</v>
      </c>
      <c r="C189" s="47"/>
      <c r="D189" s="47"/>
      <c r="E189" s="49">
        <v>0</v>
      </c>
      <c r="F189" s="52">
        <v>0</v>
      </c>
      <c r="G189" s="118"/>
      <c r="H189" s="122">
        <v>0</v>
      </c>
      <c r="I189" s="29"/>
      <c r="J189" s="231"/>
      <c r="K189" s="231"/>
      <c r="L189" s="231"/>
      <c r="M189" s="231"/>
      <c r="N189" s="231"/>
      <c r="O189" s="231"/>
      <c r="P189" s="231"/>
      <c r="Q189" s="231"/>
      <c r="R189" s="231"/>
      <c r="S189" s="231"/>
      <c r="T189" s="231"/>
      <c r="U189" s="231"/>
      <c r="V189" s="231"/>
      <c r="W189" s="231"/>
      <c r="X189" s="231"/>
      <c r="Y189" s="231"/>
      <c r="Z189" s="231"/>
      <c r="AA189" s="231"/>
      <c r="AB189" s="231"/>
      <c r="AC189" s="231"/>
      <c r="AD189" s="231"/>
      <c r="AE189" s="231"/>
      <c r="AF189" s="231"/>
      <c r="AG189" s="231"/>
      <c r="AH189" s="231"/>
      <c r="AI189" s="231"/>
      <c r="AJ189" s="231"/>
      <c r="AK189" s="231"/>
      <c r="AL189" s="231"/>
      <c r="AM189" s="231"/>
    </row>
    <row r="190" spans="1:39" s="203" customFormat="1">
      <c r="A190" s="124">
        <v>25</v>
      </c>
      <c r="B190" s="54" t="s">
        <v>160</v>
      </c>
      <c r="C190" s="54"/>
      <c r="D190" s="54"/>
      <c r="E190" s="56">
        <v>0</v>
      </c>
      <c r="F190" s="126">
        <v>0</v>
      </c>
      <c r="G190" s="118"/>
      <c r="H190" s="100">
        <v>0</v>
      </c>
      <c r="I190" s="24"/>
      <c r="J190" s="231"/>
      <c r="K190" s="231"/>
      <c r="L190" s="231"/>
      <c r="M190" s="231"/>
      <c r="N190" s="231"/>
      <c r="O190" s="231"/>
      <c r="P190" s="231"/>
      <c r="Q190" s="231"/>
      <c r="R190" s="231"/>
      <c r="S190" s="231"/>
      <c r="T190" s="231"/>
      <c r="U190" s="231"/>
      <c r="V190" s="231"/>
      <c r="W190" s="231"/>
      <c r="X190" s="231"/>
      <c r="Y190" s="231"/>
      <c r="Z190" s="231"/>
      <c r="AA190" s="231"/>
      <c r="AB190" s="231"/>
      <c r="AC190" s="231"/>
      <c r="AD190" s="231"/>
      <c r="AE190" s="231"/>
      <c r="AF190" s="231"/>
      <c r="AG190" s="231"/>
      <c r="AH190" s="231"/>
      <c r="AI190" s="231"/>
      <c r="AJ190" s="231"/>
      <c r="AK190" s="231"/>
      <c r="AL190" s="231"/>
      <c r="AM190" s="231"/>
    </row>
    <row r="191" spans="1:39" s="203" customFormat="1">
      <c r="A191" s="161"/>
      <c r="B191" s="129"/>
      <c r="C191" s="129"/>
      <c r="D191" s="149"/>
      <c r="E191" s="162"/>
      <c r="F191" s="29"/>
      <c r="G191" s="29"/>
      <c r="H191" s="207"/>
      <c r="I191" s="29"/>
      <c r="J191" s="231"/>
      <c r="K191" s="231"/>
      <c r="L191" s="231"/>
      <c r="M191" s="231"/>
      <c r="N191" s="231"/>
      <c r="O191" s="231"/>
      <c r="P191" s="231"/>
      <c r="Q191" s="231"/>
      <c r="R191" s="231"/>
      <c r="S191" s="231"/>
      <c r="T191" s="231"/>
      <c r="U191" s="231"/>
      <c r="V191" s="231"/>
      <c r="W191" s="231"/>
      <c r="X191" s="231"/>
      <c r="Y191" s="231"/>
      <c r="Z191" s="231"/>
      <c r="AA191" s="231"/>
      <c r="AB191" s="231"/>
      <c r="AC191" s="231"/>
      <c r="AD191" s="231"/>
      <c r="AE191" s="231"/>
      <c r="AF191" s="231"/>
      <c r="AG191" s="231"/>
      <c r="AH191" s="231"/>
      <c r="AI191" s="231"/>
      <c r="AJ191" s="231"/>
      <c r="AK191" s="231"/>
      <c r="AL191" s="231"/>
      <c r="AM191" s="231"/>
    </row>
    <row r="192" spans="1:39" s="203" customFormat="1">
      <c r="A192" s="161"/>
      <c r="B192" s="129"/>
      <c r="C192" s="129"/>
      <c r="D192" s="151"/>
      <c r="E192" s="163"/>
      <c r="F192" s="29"/>
      <c r="G192" s="29"/>
      <c r="H192" s="131" t="s">
        <v>27</v>
      </c>
      <c r="I192" s="29"/>
      <c r="J192" s="231"/>
      <c r="K192" s="231"/>
      <c r="L192" s="231"/>
      <c r="M192" s="231"/>
      <c r="N192" s="231"/>
      <c r="O192" s="231"/>
      <c r="P192" s="231"/>
      <c r="Q192" s="231"/>
      <c r="R192" s="231"/>
      <c r="S192" s="231"/>
      <c r="T192" s="231"/>
      <c r="U192" s="231"/>
      <c r="V192" s="231"/>
      <c r="W192" s="231"/>
      <c r="X192" s="231"/>
      <c r="Y192" s="231"/>
      <c r="Z192" s="231"/>
      <c r="AA192" s="231"/>
      <c r="AB192" s="231"/>
      <c r="AC192" s="231"/>
      <c r="AD192" s="231"/>
      <c r="AE192" s="231"/>
      <c r="AF192" s="231"/>
      <c r="AG192" s="231"/>
      <c r="AH192" s="231"/>
      <c r="AI192" s="231"/>
      <c r="AJ192" s="231"/>
      <c r="AK192" s="231"/>
      <c r="AL192" s="231"/>
      <c r="AM192" s="231"/>
    </row>
    <row r="193" spans="1:39" s="203" customFormat="1" ht="12.75" customHeight="1">
      <c r="A193" s="106" t="s">
        <v>23</v>
      </c>
      <c r="B193" s="164"/>
      <c r="C193" s="164"/>
      <c r="D193" s="164"/>
      <c r="E193" s="856" t="s">
        <v>377</v>
      </c>
      <c r="F193" s="856" t="s">
        <v>402</v>
      </c>
      <c r="G193" s="130"/>
      <c r="H193" s="856" t="s">
        <v>403</v>
      </c>
      <c r="I193" s="130"/>
      <c r="J193" s="231"/>
      <c r="K193" s="231"/>
      <c r="L193" s="231"/>
      <c r="M193" s="231"/>
      <c r="N193" s="231"/>
      <c r="O193" s="231"/>
      <c r="P193" s="231"/>
      <c r="Q193" s="231"/>
      <c r="R193" s="231"/>
      <c r="S193" s="231"/>
      <c r="T193" s="231"/>
      <c r="U193" s="231"/>
      <c r="V193" s="231"/>
      <c r="W193" s="231"/>
      <c r="X193" s="231"/>
      <c r="Y193" s="231"/>
      <c r="Z193" s="231"/>
      <c r="AA193" s="231"/>
      <c r="AB193" s="231"/>
      <c r="AC193" s="231"/>
      <c r="AD193" s="231"/>
      <c r="AE193" s="231"/>
      <c r="AF193" s="231"/>
      <c r="AG193" s="231"/>
      <c r="AH193" s="231"/>
      <c r="AI193" s="231"/>
      <c r="AJ193" s="231"/>
      <c r="AK193" s="231"/>
      <c r="AL193" s="231"/>
      <c r="AM193" s="231"/>
    </row>
    <row r="194" spans="1:39" s="203" customFormat="1" ht="23.25" customHeight="1">
      <c r="A194" s="165"/>
      <c r="B194" s="132"/>
      <c r="C194" s="132"/>
      <c r="D194" s="132"/>
      <c r="E194" s="859"/>
      <c r="F194" s="859"/>
      <c r="G194" s="130"/>
      <c r="H194" s="859"/>
      <c r="I194" s="130"/>
      <c r="J194" s="231"/>
      <c r="K194" s="231"/>
      <c r="L194" s="231"/>
      <c r="M194" s="231"/>
      <c r="N194" s="231"/>
      <c r="O194" s="231"/>
      <c r="P194" s="231"/>
      <c r="Q194" s="231"/>
      <c r="R194" s="231"/>
      <c r="S194" s="231"/>
      <c r="T194" s="231"/>
      <c r="U194" s="231"/>
      <c r="V194" s="231"/>
      <c r="W194" s="231"/>
      <c r="X194" s="231"/>
      <c r="Y194" s="231"/>
      <c r="Z194" s="231"/>
      <c r="AA194" s="231"/>
      <c r="AB194" s="231"/>
      <c r="AC194" s="231"/>
      <c r="AD194" s="231"/>
      <c r="AE194" s="231"/>
      <c r="AF194" s="231"/>
      <c r="AG194" s="231"/>
      <c r="AH194" s="231"/>
      <c r="AI194" s="231"/>
      <c r="AJ194" s="231"/>
      <c r="AK194" s="231"/>
      <c r="AL194" s="231"/>
      <c r="AM194" s="231"/>
    </row>
    <row r="195" spans="1:39" s="203" customFormat="1">
      <c r="A195" s="154" t="s">
        <v>161</v>
      </c>
      <c r="B195" s="116"/>
      <c r="C195" s="116"/>
      <c r="D195" s="116"/>
      <c r="E195" s="859"/>
      <c r="F195" s="859"/>
      <c r="G195" s="130"/>
      <c r="H195" s="859"/>
      <c r="I195" s="130"/>
      <c r="J195" s="231"/>
      <c r="K195" s="231"/>
      <c r="L195" s="231"/>
      <c r="M195" s="231"/>
      <c r="N195" s="231"/>
      <c r="O195" s="231"/>
      <c r="P195" s="231"/>
      <c r="Q195" s="231"/>
      <c r="R195" s="231"/>
      <c r="S195" s="231"/>
      <c r="T195" s="231"/>
      <c r="U195" s="231"/>
      <c r="V195" s="231"/>
      <c r="W195" s="231"/>
      <c r="X195" s="231"/>
      <c r="Y195" s="231"/>
      <c r="Z195" s="231"/>
      <c r="AA195" s="231"/>
      <c r="AB195" s="231"/>
      <c r="AC195" s="231"/>
      <c r="AD195" s="231"/>
      <c r="AE195" s="231"/>
      <c r="AF195" s="231"/>
      <c r="AG195" s="231"/>
      <c r="AH195" s="231"/>
      <c r="AI195" s="231"/>
      <c r="AJ195" s="231"/>
      <c r="AK195" s="231"/>
      <c r="AL195" s="231"/>
      <c r="AM195" s="231"/>
    </row>
    <row r="196" spans="1:39" s="203" customFormat="1">
      <c r="A196" s="109" t="s">
        <v>83</v>
      </c>
      <c r="B196" s="47"/>
      <c r="C196" s="47"/>
      <c r="D196" s="47"/>
      <c r="E196" s="859"/>
      <c r="F196" s="859"/>
      <c r="G196" s="130"/>
      <c r="H196" s="859"/>
      <c r="I196" s="130"/>
      <c r="J196" s="231"/>
      <c r="K196" s="231"/>
      <c r="L196" s="231"/>
      <c r="M196" s="231"/>
      <c r="N196" s="231"/>
      <c r="O196" s="231"/>
      <c r="P196" s="231"/>
      <c r="Q196" s="231"/>
      <c r="R196" s="231"/>
      <c r="S196" s="231"/>
      <c r="T196" s="231"/>
      <c r="U196" s="231"/>
      <c r="V196" s="231"/>
      <c r="W196" s="231"/>
      <c r="X196" s="231"/>
      <c r="Y196" s="231"/>
      <c r="Z196" s="231"/>
      <c r="AA196" s="231"/>
      <c r="AB196" s="231"/>
      <c r="AC196" s="231"/>
      <c r="AD196" s="231"/>
      <c r="AE196" s="231"/>
      <c r="AF196" s="231"/>
      <c r="AG196" s="231"/>
      <c r="AH196" s="231"/>
      <c r="AI196" s="231"/>
      <c r="AJ196" s="231"/>
      <c r="AK196" s="231"/>
      <c r="AL196" s="231"/>
      <c r="AM196" s="231"/>
    </row>
    <row r="197" spans="1:39" s="203" customFormat="1">
      <c r="A197" s="110" t="s">
        <v>84</v>
      </c>
      <c r="B197" s="132"/>
      <c r="C197" s="132"/>
      <c r="D197" s="132"/>
      <c r="E197" s="860"/>
      <c r="F197" s="860"/>
      <c r="G197" s="130"/>
      <c r="H197" s="860"/>
      <c r="I197" s="130"/>
      <c r="J197" s="231"/>
      <c r="K197" s="231"/>
      <c r="L197" s="231"/>
      <c r="M197" s="231"/>
      <c r="N197" s="231"/>
      <c r="O197" s="231"/>
      <c r="P197" s="231"/>
      <c r="Q197" s="231"/>
      <c r="R197" s="231"/>
      <c r="S197" s="231"/>
      <c r="T197" s="231"/>
      <c r="U197" s="231"/>
      <c r="V197" s="231"/>
      <c r="W197" s="231"/>
      <c r="X197" s="231"/>
      <c r="Y197" s="231"/>
      <c r="Z197" s="231"/>
      <c r="AA197" s="231"/>
      <c r="AB197" s="231"/>
      <c r="AC197" s="231"/>
      <c r="AD197" s="231"/>
      <c r="AE197" s="231"/>
      <c r="AF197" s="231"/>
      <c r="AG197" s="231"/>
      <c r="AH197" s="231"/>
      <c r="AI197" s="231"/>
      <c r="AJ197" s="231"/>
      <c r="AK197" s="231"/>
      <c r="AL197" s="231"/>
      <c r="AM197" s="231"/>
    </row>
    <row r="198" spans="1:39" s="203" customFormat="1">
      <c r="A198" s="153" t="s">
        <v>162</v>
      </c>
      <c r="B198" s="166"/>
      <c r="C198" s="166"/>
      <c r="D198" s="166"/>
      <c r="E198" s="167"/>
      <c r="F198" s="146"/>
      <c r="G198" s="118"/>
      <c r="H198" s="146"/>
      <c r="I198" s="29"/>
      <c r="J198" s="231"/>
      <c r="K198" s="231"/>
      <c r="L198" s="231"/>
      <c r="M198" s="231"/>
      <c r="N198" s="231"/>
      <c r="O198" s="231"/>
      <c r="P198" s="231"/>
      <c r="Q198" s="231"/>
      <c r="R198" s="231"/>
      <c r="S198" s="231"/>
      <c r="T198" s="231"/>
      <c r="U198" s="231"/>
      <c r="V198" s="231"/>
      <c r="W198" s="231"/>
      <c r="X198" s="231"/>
      <c r="Y198" s="231"/>
      <c r="Z198" s="231"/>
      <c r="AA198" s="231"/>
      <c r="AB198" s="231"/>
      <c r="AC198" s="231"/>
      <c r="AD198" s="231"/>
      <c r="AE198" s="231"/>
      <c r="AF198" s="231"/>
      <c r="AG198" s="231"/>
      <c r="AH198" s="231"/>
      <c r="AI198" s="231"/>
      <c r="AJ198" s="231"/>
      <c r="AK198" s="231"/>
      <c r="AL198" s="231"/>
      <c r="AM198" s="231"/>
    </row>
    <row r="199" spans="1:39" s="203" customFormat="1">
      <c r="A199" s="120">
        <v>1</v>
      </c>
      <c r="B199" s="47" t="s">
        <v>163</v>
      </c>
      <c r="C199" s="47"/>
      <c r="D199" s="47"/>
      <c r="E199" s="74">
        <v>145</v>
      </c>
      <c r="F199" s="52">
        <v>173</v>
      </c>
      <c r="G199" s="118"/>
      <c r="H199" s="122">
        <v>93</v>
      </c>
      <c r="I199" s="29"/>
      <c r="J199" s="231"/>
      <c r="K199" s="231"/>
      <c r="L199" s="231"/>
      <c r="M199" s="231"/>
      <c r="N199" s="231"/>
      <c r="O199" s="231"/>
      <c r="P199" s="231"/>
      <c r="Q199" s="231"/>
      <c r="R199" s="231"/>
      <c r="S199" s="231"/>
      <c r="T199" s="231"/>
      <c r="U199" s="231"/>
      <c r="V199" s="231"/>
      <c r="W199" s="231"/>
      <c r="X199" s="231"/>
      <c r="Y199" s="231"/>
      <c r="Z199" s="231"/>
      <c r="AA199" s="231"/>
      <c r="AB199" s="231"/>
      <c r="AC199" s="231"/>
      <c r="AD199" s="231"/>
      <c r="AE199" s="231"/>
      <c r="AF199" s="231"/>
      <c r="AG199" s="231"/>
      <c r="AH199" s="231"/>
      <c r="AI199" s="231"/>
      <c r="AJ199" s="231"/>
      <c r="AK199" s="231"/>
      <c r="AL199" s="231"/>
      <c r="AM199" s="231"/>
    </row>
    <row r="200" spans="1:39" s="203" customFormat="1">
      <c r="A200" s="120">
        <v>2</v>
      </c>
      <c r="B200" s="47" t="s">
        <v>164</v>
      </c>
      <c r="C200" s="47"/>
      <c r="D200" s="47"/>
      <c r="E200" s="56">
        <v>457</v>
      </c>
      <c r="F200" s="52">
        <v>458</v>
      </c>
      <c r="G200" s="118"/>
      <c r="H200" s="100">
        <v>364</v>
      </c>
      <c r="I200" s="29"/>
      <c r="J200" s="231"/>
      <c r="K200" s="231"/>
      <c r="L200" s="231"/>
      <c r="M200" s="231"/>
      <c r="N200" s="231"/>
      <c r="O200" s="231"/>
      <c r="P200" s="231"/>
      <c r="Q200" s="231"/>
      <c r="R200" s="231"/>
      <c r="S200" s="231"/>
      <c r="T200" s="231"/>
      <c r="U200" s="231"/>
      <c r="V200" s="231"/>
      <c r="W200" s="231"/>
      <c r="X200" s="231"/>
      <c r="Y200" s="231"/>
      <c r="Z200" s="231"/>
      <c r="AA200" s="231"/>
      <c r="AB200" s="231"/>
      <c r="AC200" s="231"/>
      <c r="AD200" s="231"/>
      <c r="AE200" s="231"/>
      <c r="AF200" s="231"/>
      <c r="AG200" s="231"/>
      <c r="AH200" s="231"/>
      <c r="AI200" s="231"/>
      <c r="AJ200" s="231"/>
      <c r="AK200" s="231"/>
      <c r="AL200" s="231"/>
      <c r="AM200" s="231"/>
    </row>
    <row r="201" spans="1:39" s="203" customFormat="1">
      <c r="A201" s="120">
        <v>3</v>
      </c>
      <c r="B201" s="116" t="s">
        <v>165</v>
      </c>
      <c r="C201" s="116"/>
      <c r="D201" s="116"/>
      <c r="E201" s="80">
        <v>602</v>
      </c>
      <c r="F201" s="142">
        <f>SUM(F199:F200)</f>
        <v>631</v>
      </c>
      <c r="G201" s="118"/>
      <c r="H201" s="142">
        <f>SUM(H199:H200)</f>
        <v>457</v>
      </c>
      <c r="I201" s="29"/>
      <c r="J201" s="231"/>
      <c r="K201" s="231"/>
      <c r="L201" s="231"/>
      <c r="M201" s="231"/>
      <c r="N201" s="231"/>
      <c r="O201" s="231"/>
      <c r="P201" s="231"/>
      <c r="Q201" s="231"/>
      <c r="R201" s="231"/>
      <c r="S201" s="231"/>
      <c r="T201" s="231"/>
      <c r="U201" s="231"/>
      <c r="V201" s="231"/>
      <c r="W201" s="231"/>
      <c r="X201" s="231"/>
      <c r="Y201" s="231"/>
      <c r="Z201" s="231"/>
      <c r="AA201" s="231"/>
      <c r="AB201" s="231"/>
      <c r="AC201" s="231"/>
      <c r="AD201" s="231"/>
      <c r="AE201" s="231"/>
      <c r="AF201" s="231"/>
      <c r="AG201" s="231"/>
      <c r="AH201" s="231"/>
      <c r="AI201" s="231"/>
      <c r="AJ201" s="231"/>
      <c r="AK201" s="231"/>
      <c r="AL201" s="231"/>
      <c r="AM201" s="231"/>
    </row>
    <row r="202" spans="1:39" s="203" customFormat="1">
      <c r="A202" s="46"/>
      <c r="B202" s="132"/>
      <c r="C202" s="132"/>
      <c r="D202" s="132"/>
      <c r="E202" s="156"/>
      <c r="F202" s="139"/>
      <c r="G202" s="139"/>
      <c r="H202" s="139"/>
      <c r="I202" s="29"/>
      <c r="J202" s="231"/>
      <c r="K202" s="231"/>
      <c r="L202" s="231"/>
      <c r="M202" s="231"/>
      <c r="N202" s="231"/>
      <c r="O202" s="231"/>
      <c r="P202" s="231"/>
      <c r="Q202" s="231"/>
      <c r="R202" s="231"/>
      <c r="S202" s="231"/>
      <c r="T202" s="231"/>
      <c r="U202" s="231"/>
      <c r="V202" s="231"/>
      <c r="W202" s="231"/>
      <c r="X202" s="231"/>
      <c r="Y202" s="231"/>
      <c r="Z202" s="231"/>
      <c r="AA202" s="231"/>
      <c r="AB202" s="231"/>
      <c r="AC202" s="231"/>
      <c r="AD202" s="231"/>
      <c r="AE202" s="231"/>
      <c r="AF202" s="231"/>
      <c r="AG202" s="231"/>
      <c r="AH202" s="231"/>
      <c r="AI202" s="231"/>
      <c r="AJ202" s="231"/>
      <c r="AK202" s="231"/>
      <c r="AL202" s="231"/>
      <c r="AM202" s="231"/>
    </row>
    <row r="203" spans="1:39" s="203" customFormat="1">
      <c r="A203" s="153" t="s">
        <v>166</v>
      </c>
      <c r="B203" s="116"/>
      <c r="C203" s="116"/>
      <c r="D203" s="116"/>
      <c r="E203" s="140"/>
      <c r="F203" s="146"/>
      <c r="G203" s="118"/>
      <c r="H203" s="146"/>
      <c r="I203" s="29"/>
      <c r="J203" s="231"/>
      <c r="K203" s="231"/>
      <c r="L203" s="231"/>
      <c r="M203" s="231"/>
      <c r="N203" s="231"/>
      <c r="O203" s="231"/>
      <c r="P203" s="231"/>
      <c r="Q203" s="231"/>
      <c r="R203" s="231"/>
      <c r="S203" s="231"/>
      <c r="T203" s="231"/>
      <c r="U203" s="231"/>
      <c r="V203" s="231"/>
      <c r="W203" s="231"/>
      <c r="X203" s="231"/>
      <c r="Y203" s="231"/>
      <c r="Z203" s="231"/>
      <c r="AA203" s="231"/>
      <c r="AB203" s="231"/>
      <c r="AC203" s="231"/>
      <c r="AD203" s="231"/>
      <c r="AE203" s="231"/>
      <c r="AF203" s="231"/>
      <c r="AG203" s="231"/>
      <c r="AH203" s="231"/>
      <c r="AI203" s="231"/>
      <c r="AJ203" s="231"/>
      <c r="AK203" s="231"/>
      <c r="AL203" s="231"/>
      <c r="AM203" s="231"/>
    </row>
    <row r="204" spans="1:39" s="203" customFormat="1">
      <c r="A204" s="120">
        <v>4</v>
      </c>
      <c r="B204" s="47" t="s">
        <v>167</v>
      </c>
      <c r="C204" s="47"/>
      <c r="D204" s="47"/>
      <c r="E204" s="74">
        <v>2714</v>
      </c>
      <c r="F204" s="52">
        <v>2362</v>
      </c>
      <c r="G204" s="118"/>
      <c r="H204" s="122">
        <v>2215</v>
      </c>
      <c r="I204" s="29"/>
      <c r="J204" s="231"/>
      <c r="K204" s="231"/>
      <c r="L204" s="231"/>
      <c r="M204" s="231"/>
      <c r="N204" s="231"/>
      <c r="O204" s="231"/>
      <c r="P204" s="231"/>
      <c r="Q204" s="231"/>
      <c r="R204" s="231"/>
      <c r="S204" s="231"/>
      <c r="T204" s="231"/>
      <c r="U204" s="231"/>
      <c r="V204" s="231"/>
      <c r="W204" s="231"/>
      <c r="X204" s="231"/>
      <c r="Y204" s="231"/>
      <c r="Z204" s="231"/>
      <c r="AA204" s="231"/>
      <c r="AB204" s="231"/>
      <c r="AC204" s="231"/>
      <c r="AD204" s="231"/>
      <c r="AE204" s="231"/>
      <c r="AF204" s="231"/>
      <c r="AG204" s="231"/>
      <c r="AH204" s="231"/>
      <c r="AI204" s="231"/>
      <c r="AJ204" s="231"/>
      <c r="AK204" s="231"/>
      <c r="AL204" s="231"/>
      <c r="AM204" s="231"/>
    </row>
    <row r="205" spans="1:39" s="203" customFormat="1">
      <c r="A205" s="120">
        <v>5</v>
      </c>
      <c r="B205" s="47" t="s">
        <v>168</v>
      </c>
      <c r="C205" s="47"/>
      <c r="D205" s="47"/>
      <c r="E205" s="49">
        <v>10311</v>
      </c>
      <c r="F205" s="52">
        <v>10190</v>
      </c>
      <c r="G205" s="118"/>
      <c r="H205" s="122">
        <v>10662</v>
      </c>
      <c r="I205" s="29"/>
      <c r="J205" s="231"/>
      <c r="K205" s="231"/>
      <c r="L205" s="231"/>
      <c r="M205" s="231"/>
      <c r="N205" s="231"/>
      <c r="O205" s="231"/>
      <c r="P205" s="231"/>
      <c r="Q205" s="231"/>
      <c r="R205" s="231"/>
      <c r="S205" s="231"/>
      <c r="T205" s="231"/>
      <c r="U205" s="231"/>
      <c r="V205" s="231"/>
      <c r="W205" s="231"/>
      <c r="X205" s="231"/>
      <c r="Y205" s="231"/>
      <c r="Z205" s="231"/>
      <c r="AA205" s="231"/>
      <c r="AB205" s="231"/>
      <c r="AC205" s="231"/>
      <c r="AD205" s="231"/>
      <c r="AE205" s="231"/>
      <c r="AF205" s="231"/>
      <c r="AG205" s="231"/>
      <c r="AH205" s="231"/>
      <c r="AI205" s="231"/>
      <c r="AJ205" s="231"/>
      <c r="AK205" s="231"/>
      <c r="AL205" s="231"/>
      <c r="AM205" s="231"/>
    </row>
    <row r="206" spans="1:39" s="203" customFormat="1">
      <c r="A206" s="120">
        <v>6</v>
      </c>
      <c r="B206" s="47" t="s">
        <v>169</v>
      </c>
      <c r="C206" s="47"/>
      <c r="D206" s="47"/>
      <c r="E206" s="49">
        <v>1449</v>
      </c>
      <c r="F206" s="52">
        <v>1427</v>
      </c>
      <c r="G206" s="118"/>
      <c r="H206" s="100">
        <v>1275</v>
      </c>
      <c r="I206" s="29"/>
      <c r="J206" s="231"/>
      <c r="K206" s="231"/>
      <c r="L206" s="231"/>
      <c r="M206" s="231"/>
      <c r="N206" s="231"/>
      <c r="O206" s="231"/>
      <c r="P206" s="231"/>
      <c r="Q206" s="231"/>
      <c r="R206" s="231"/>
      <c r="S206" s="231"/>
      <c r="T206" s="231"/>
      <c r="U206" s="231"/>
      <c r="V206" s="231"/>
      <c r="W206" s="231"/>
      <c r="X206" s="231"/>
      <c r="Y206" s="231"/>
      <c r="Z206" s="231"/>
      <c r="AA206" s="231"/>
      <c r="AB206" s="231"/>
      <c r="AC206" s="231"/>
      <c r="AD206" s="231"/>
      <c r="AE206" s="231"/>
      <c r="AF206" s="231"/>
      <c r="AG206" s="231"/>
      <c r="AH206" s="231"/>
      <c r="AI206" s="231"/>
      <c r="AJ206" s="231"/>
      <c r="AK206" s="231"/>
      <c r="AL206" s="231"/>
      <c r="AM206" s="231"/>
    </row>
    <row r="207" spans="1:39" s="203" customFormat="1">
      <c r="A207" s="120">
        <v>7</v>
      </c>
      <c r="B207" s="116" t="s">
        <v>170</v>
      </c>
      <c r="C207" s="116"/>
      <c r="D207" s="116"/>
      <c r="E207" s="80">
        <v>14474</v>
      </c>
      <c r="F207" s="142">
        <f>SUM(F204:F206)</f>
        <v>13979</v>
      </c>
      <c r="G207" s="118"/>
      <c r="H207" s="142">
        <f>SUM(H204:H206)</f>
        <v>14152</v>
      </c>
      <c r="I207" s="29"/>
      <c r="J207" s="231"/>
      <c r="K207" s="231"/>
      <c r="L207" s="231"/>
      <c r="M207" s="231"/>
      <c r="N207" s="231"/>
      <c r="O207" s="231"/>
      <c r="P207" s="231"/>
      <c r="Q207" s="231"/>
      <c r="R207" s="231"/>
      <c r="S207" s="231"/>
      <c r="T207" s="231"/>
      <c r="U207" s="231"/>
      <c r="V207" s="231"/>
      <c r="W207" s="231"/>
      <c r="X207" s="231"/>
      <c r="Y207" s="231"/>
      <c r="Z207" s="231"/>
      <c r="AA207" s="231"/>
      <c r="AB207" s="231"/>
      <c r="AC207" s="231"/>
      <c r="AD207" s="231"/>
      <c r="AE207" s="231"/>
      <c r="AF207" s="231"/>
      <c r="AG207" s="231"/>
      <c r="AH207" s="231"/>
      <c r="AI207" s="231"/>
      <c r="AJ207" s="231"/>
      <c r="AK207" s="231"/>
      <c r="AL207" s="231"/>
      <c r="AM207" s="231"/>
    </row>
    <row r="208" spans="1:39" s="203" customFormat="1">
      <c r="A208" s="46"/>
      <c r="B208" s="132"/>
      <c r="C208" s="132"/>
      <c r="D208" s="132"/>
      <c r="E208" s="156"/>
      <c r="F208" s="139"/>
      <c r="G208" s="139"/>
      <c r="H208" s="139"/>
      <c r="I208" s="29"/>
      <c r="J208" s="231"/>
      <c r="K208" s="231"/>
      <c r="L208" s="231"/>
      <c r="M208" s="231"/>
      <c r="N208" s="231"/>
      <c r="O208" s="231"/>
      <c r="P208" s="231"/>
      <c r="Q208" s="231"/>
      <c r="R208" s="231"/>
      <c r="S208" s="231"/>
      <c r="T208" s="231"/>
      <c r="U208" s="231"/>
      <c r="V208" s="231"/>
      <c r="W208" s="231"/>
      <c r="X208" s="231"/>
      <c r="Y208" s="231"/>
      <c r="Z208" s="231"/>
      <c r="AA208" s="231"/>
      <c r="AB208" s="231"/>
      <c r="AC208" s="231"/>
      <c r="AD208" s="231"/>
      <c r="AE208" s="231"/>
      <c r="AF208" s="231"/>
      <c r="AG208" s="231"/>
      <c r="AH208" s="231"/>
      <c r="AI208" s="231"/>
      <c r="AJ208" s="231"/>
      <c r="AK208" s="231"/>
      <c r="AL208" s="231"/>
      <c r="AM208" s="231"/>
    </row>
    <row r="209" spans="1:39" s="203" customFormat="1">
      <c r="A209" s="153" t="s">
        <v>121</v>
      </c>
      <c r="B209" s="168"/>
      <c r="C209" s="168"/>
      <c r="D209" s="168"/>
      <c r="E209" s="140"/>
      <c r="F209" s="146"/>
      <c r="G209" s="118"/>
      <c r="H209" s="146"/>
      <c r="I209" s="29"/>
      <c r="J209" s="231"/>
      <c r="K209" s="231"/>
      <c r="L209" s="231"/>
      <c r="M209" s="231"/>
      <c r="N209" s="231"/>
      <c r="O209" s="231"/>
      <c r="P209" s="231"/>
      <c r="Q209" s="231"/>
      <c r="R209" s="231"/>
      <c r="S209" s="231"/>
      <c r="T209" s="231"/>
      <c r="U209" s="231"/>
      <c r="V209" s="231"/>
      <c r="W209" s="231"/>
      <c r="X209" s="231"/>
      <c r="Y209" s="231"/>
      <c r="Z209" s="231"/>
      <c r="AA209" s="231"/>
      <c r="AB209" s="231"/>
      <c r="AC209" s="231"/>
      <c r="AD209" s="231"/>
      <c r="AE209" s="231"/>
      <c r="AF209" s="231"/>
      <c r="AG209" s="231"/>
      <c r="AH209" s="231"/>
      <c r="AI209" s="231"/>
      <c r="AJ209" s="231"/>
      <c r="AK209" s="231"/>
      <c r="AL209" s="231"/>
      <c r="AM209" s="231"/>
    </row>
    <row r="210" spans="1:39" s="203" customFormat="1">
      <c r="A210" s="120">
        <v>8</v>
      </c>
      <c r="B210" s="47" t="s">
        <v>171</v>
      </c>
      <c r="C210" s="47"/>
      <c r="D210" s="47"/>
      <c r="E210" s="74">
        <v>496</v>
      </c>
      <c r="F210" s="52">
        <v>368</v>
      </c>
      <c r="G210" s="118"/>
      <c r="H210" s="122">
        <v>380</v>
      </c>
      <c r="I210" s="29"/>
      <c r="J210" s="231"/>
      <c r="K210" s="231"/>
      <c r="L210" s="231"/>
      <c r="M210" s="231"/>
      <c r="N210" s="231"/>
      <c r="O210" s="231"/>
      <c r="P210" s="231"/>
      <c r="Q210" s="231"/>
      <c r="R210" s="231"/>
      <c r="S210" s="231"/>
      <c r="T210" s="231"/>
      <c r="U210" s="231"/>
      <c r="V210" s="231"/>
      <c r="W210" s="231"/>
      <c r="X210" s="231"/>
      <c r="Y210" s="231"/>
      <c r="Z210" s="231"/>
      <c r="AA210" s="231"/>
      <c r="AB210" s="231"/>
      <c r="AC210" s="231"/>
      <c r="AD210" s="231"/>
      <c r="AE210" s="231"/>
      <c r="AF210" s="231"/>
      <c r="AG210" s="231"/>
      <c r="AH210" s="231"/>
      <c r="AI210" s="231"/>
      <c r="AJ210" s="231"/>
      <c r="AK210" s="231"/>
      <c r="AL210" s="231"/>
      <c r="AM210" s="231"/>
    </row>
    <row r="211" spans="1:39" s="203" customFormat="1">
      <c r="A211" s="120">
        <v>9</v>
      </c>
      <c r="B211" s="47" t="s">
        <v>172</v>
      </c>
      <c r="C211" s="47"/>
      <c r="D211" s="47"/>
      <c r="E211" s="49">
        <v>186</v>
      </c>
      <c r="F211" s="52">
        <v>185</v>
      </c>
      <c r="G211" s="118"/>
      <c r="H211" s="122">
        <v>185</v>
      </c>
      <c r="I211" s="29"/>
      <c r="J211" s="231"/>
      <c r="K211" s="231"/>
      <c r="L211" s="231"/>
      <c r="M211" s="231"/>
      <c r="N211" s="231"/>
      <c r="O211" s="231"/>
      <c r="P211" s="231"/>
      <c r="Q211" s="231"/>
      <c r="R211" s="231"/>
      <c r="S211" s="231"/>
      <c r="T211" s="231"/>
      <c r="U211" s="231"/>
      <c r="V211" s="231"/>
      <c r="W211" s="231"/>
      <c r="X211" s="231"/>
      <c r="Y211" s="231"/>
      <c r="Z211" s="231"/>
      <c r="AA211" s="231"/>
      <c r="AB211" s="231"/>
      <c r="AC211" s="231"/>
      <c r="AD211" s="231"/>
      <c r="AE211" s="231"/>
      <c r="AF211" s="231"/>
      <c r="AG211" s="231"/>
      <c r="AH211" s="231"/>
      <c r="AI211" s="231"/>
      <c r="AJ211" s="231"/>
      <c r="AK211" s="231"/>
      <c r="AL211" s="231"/>
      <c r="AM211" s="231"/>
    </row>
    <row r="212" spans="1:39" s="203" customFormat="1">
      <c r="A212" s="120">
        <v>10</v>
      </c>
      <c r="B212" s="47" t="s">
        <v>173</v>
      </c>
      <c r="C212" s="47"/>
      <c r="D212" s="47"/>
      <c r="E212" s="49">
        <v>333</v>
      </c>
      <c r="F212" s="52">
        <v>552</v>
      </c>
      <c r="G212" s="118"/>
      <c r="H212" s="122">
        <v>332</v>
      </c>
      <c r="I212" s="29"/>
      <c r="J212" s="231"/>
      <c r="K212" s="231"/>
      <c r="L212" s="231"/>
      <c r="M212" s="231"/>
      <c r="N212" s="231"/>
      <c r="O212" s="231"/>
      <c r="P212" s="231"/>
      <c r="Q212" s="231"/>
      <c r="R212" s="231"/>
      <c r="S212" s="231"/>
      <c r="T212" s="231"/>
      <c r="U212" s="231"/>
      <c r="V212" s="231"/>
      <c r="W212" s="231"/>
      <c r="X212" s="231"/>
      <c r="Y212" s="231"/>
      <c r="Z212" s="231"/>
      <c r="AA212" s="231"/>
      <c r="AB212" s="231"/>
      <c r="AC212" s="231"/>
      <c r="AD212" s="231"/>
      <c r="AE212" s="231"/>
      <c r="AF212" s="231"/>
      <c r="AG212" s="231"/>
      <c r="AH212" s="231"/>
      <c r="AI212" s="231"/>
      <c r="AJ212" s="231"/>
      <c r="AK212" s="231"/>
      <c r="AL212" s="231"/>
      <c r="AM212" s="231"/>
    </row>
    <row r="213" spans="1:39" s="203" customFormat="1">
      <c r="A213" s="120">
        <v>11</v>
      </c>
      <c r="B213" s="47" t="s">
        <v>174</v>
      </c>
      <c r="C213" s="47"/>
      <c r="D213" s="47"/>
      <c r="E213" s="49">
        <v>1927</v>
      </c>
      <c r="F213" s="52">
        <v>1852</v>
      </c>
      <c r="G213" s="118"/>
      <c r="H213" s="99">
        <v>1942</v>
      </c>
      <c r="I213" s="29"/>
      <c r="J213" s="231"/>
      <c r="K213" s="231"/>
      <c r="L213" s="231"/>
      <c r="M213" s="231"/>
      <c r="N213" s="231"/>
      <c r="O213" s="231"/>
      <c r="P213" s="231"/>
      <c r="Q213" s="231"/>
      <c r="R213" s="231"/>
      <c r="S213" s="231"/>
      <c r="T213" s="231"/>
      <c r="U213" s="231"/>
      <c r="V213" s="231"/>
      <c r="W213" s="231"/>
      <c r="X213" s="231"/>
      <c r="Y213" s="231"/>
      <c r="Z213" s="231"/>
      <c r="AA213" s="231"/>
      <c r="AB213" s="231"/>
      <c r="AC213" s="231"/>
      <c r="AD213" s="231"/>
      <c r="AE213" s="231"/>
      <c r="AF213" s="231"/>
      <c r="AG213" s="231"/>
      <c r="AH213" s="231"/>
      <c r="AI213" s="231"/>
      <c r="AJ213" s="231"/>
      <c r="AK213" s="231"/>
      <c r="AL213" s="231"/>
      <c r="AM213" s="231"/>
    </row>
    <row r="214" spans="1:39" s="203" customFormat="1">
      <c r="A214" s="120">
        <v>12</v>
      </c>
      <c r="B214" s="116" t="s">
        <v>175</v>
      </c>
      <c r="C214" s="116"/>
      <c r="D214" s="116"/>
      <c r="E214" s="159">
        <v>18018</v>
      </c>
      <c r="F214" s="61">
        <f>F201+F207+SUM(F210:F213)</f>
        <v>17567</v>
      </c>
      <c r="G214" s="118"/>
      <c r="H214" s="61">
        <f>H201+H207+SUM(H210:H213)</f>
        <v>17448</v>
      </c>
      <c r="I214" s="29"/>
      <c r="J214" s="231"/>
      <c r="K214" s="231"/>
      <c r="L214" s="231"/>
      <c r="M214" s="231"/>
      <c r="N214" s="231"/>
      <c r="O214" s="231"/>
      <c r="P214" s="231"/>
      <c r="Q214" s="231"/>
      <c r="R214" s="231"/>
      <c r="S214" s="231"/>
      <c r="T214" s="231"/>
      <c r="U214" s="231"/>
      <c r="V214" s="231"/>
      <c r="W214" s="231"/>
      <c r="X214" s="231"/>
      <c r="Y214" s="231"/>
      <c r="Z214" s="231"/>
      <c r="AA214" s="231"/>
      <c r="AB214" s="231"/>
      <c r="AC214" s="231"/>
      <c r="AD214" s="231"/>
      <c r="AE214" s="231"/>
      <c r="AF214" s="231"/>
      <c r="AG214" s="231"/>
      <c r="AH214" s="231"/>
      <c r="AI214" s="231"/>
      <c r="AJ214" s="231"/>
      <c r="AK214" s="231"/>
      <c r="AL214" s="231"/>
      <c r="AM214" s="231"/>
    </row>
    <row r="215" spans="1:39" s="203" customFormat="1">
      <c r="A215" s="111"/>
      <c r="B215" s="47"/>
      <c r="C215" s="47"/>
      <c r="D215" s="47"/>
      <c r="E215" s="117"/>
      <c r="F215" s="118"/>
      <c r="G215" s="118"/>
      <c r="H215" s="118"/>
      <c r="I215" s="29"/>
      <c r="J215" s="231"/>
      <c r="K215" s="231"/>
      <c r="L215" s="231"/>
      <c r="M215" s="231"/>
      <c r="N215" s="231"/>
      <c r="O215" s="231"/>
      <c r="P215" s="231"/>
      <c r="Q215" s="231"/>
      <c r="R215" s="231"/>
      <c r="S215" s="231"/>
      <c r="T215" s="231"/>
      <c r="U215" s="231"/>
      <c r="V215" s="231"/>
      <c r="W215" s="231"/>
      <c r="X215" s="231"/>
      <c r="Y215" s="231"/>
      <c r="Z215" s="231"/>
      <c r="AA215" s="231"/>
      <c r="AB215" s="231"/>
      <c r="AC215" s="231"/>
      <c r="AD215" s="231"/>
      <c r="AE215" s="231"/>
      <c r="AF215" s="231"/>
      <c r="AG215" s="231"/>
      <c r="AH215" s="231"/>
      <c r="AI215" s="231"/>
      <c r="AJ215" s="231"/>
      <c r="AK215" s="231"/>
      <c r="AL215" s="231"/>
      <c r="AM215" s="231"/>
    </row>
    <row r="216" spans="1:39" s="203" customFormat="1">
      <c r="A216" s="119" t="s">
        <v>176</v>
      </c>
      <c r="B216" s="116"/>
      <c r="C216" s="116"/>
      <c r="D216" s="116"/>
      <c r="E216" s="117"/>
      <c r="F216" s="160"/>
      <c r="G216" s="118"/>
      <c r="H216" s="160"/>
      <c r="I216" s="29"/>
      <c r="J216" s="231"/>
      <c r="K216" s="231"/>
      <c r="L216" s="231"/>
      <c r="M216" s="231"/>
      <c r="N216" s="231"/>
      <c r="O216" s="231"/>
      <c r="P216" s="231"/>
      <c r="Q216" s="231"/>
      <c r="R216" s="231"/>
      <c r="S216" s="231"/>
      <c r="T216" s="231"/>
      <c r="U216" s="231"/>
      <c r="V216" s="231"/>
      <c r="W216" s="231"/>
      <c r="X216" s="231"/>
      <c r="Y216" s="231"/>
      <c r="Z216" s="231"/>
      <c r="AA216" s="231"/>
      <c r="AB216" s="231"/>
      <c r="AC216" s="231"/>
      <c r="AD216" s="231"/>
      <c r="AE216" s="231"/>
      <c r="AF216" s="231"/>
      <c r="AG216" s="231"/>
      <c r="AH216" s="231"/>
      <c r="AI216" s="231"/>
      <c r="AJ216" s="231"/>
      <c r="AK216" s="231"/>
      <c r="AL216" s="231"/>
      <c r="AM216" s="231"/>
    </row>
    <row r="217" spans="1:39" s="203" customFormat="1">
      <c r="A217" s="120">
        <v>13</v>
      </c>
      <c r="B217" s="47" t="s">
        <v>177</v>
      </c>
      <c r="C217" s="47"/>
      <c r="D217" s="47"/>
      <c r="E217" s="41">
        <v>448</v>
      </c>
      <c r="F217" s="121">
        <v>478</v>
      </c>
      <c r="G217" s="118"/>
      <c r="H217" s="169">
        <v>428</v>
      </c>
      <c r="I217" s="29"/>
      <c r="J217" s="231"/>
      <c r="K217" s="231"/>
      <c r="L217" s="231"/>
      <c r="M217" s="231"/>
      <c r="N217" s="231"/>
      <c r="O217" s="231"/>
      <c r="P217" s="231"/>
      <c r="Q217" s="231"/>
      <c r="R217" s="231"/>
      <c r="S217" s="231"/>
      <c r="T217" s="231"/>
      <c r="U217" s="231"/>
      <c r="V217" s="231"/>
      <c r="W217" s="231"/>
      <c r="X217" s="231"/>
      <c r="Y217" s="231"/>
      <c r="Z217" s="231"/>
      <c r="AA217" s="231"/>
      <c r="AB217" s="231"/>
      <c r="AC217" s="231"/>
      <c r="AD217" s="231"/>
      <c r="AE217" s="231"/>
      <c r="AF217" s="231"/>
      <c r="AG217" s="231"/>
      <c r="AH217" s="231"/>
      <c r="AI217" s="231"/>
      <c r="AJ217" s="231"/>
      <c r="AK217" s="231"/>
      <c r="AL217" s="231"/>
      <c r="AM217" s="231"/>
    </row>
    <row r="218" spans="1:39" s="203" customFormat="1">
      <c r="A218" s="124">
        <v>14</v>
      </c>
      <c r="B218" s="54" t="s">
        <v>178</v>
      </c>
      <c r="C218" s="54"/>
      <c r="D218" s="54"/>
      <c r="E218" s="56">
        <v>1449</v>
      </c>
      <c r="F218" s="126">
        <v>1427</v>
      </c>
      <c r="G218" s="118"/>
      <c r="H218" s="100">
        <v>1275</v>
      </c>
      <c r="I218" s="29"/>
      <c r="J218" s="231"/>
      <c r="K218" s="231"/>
      <c r="L218" s="231"/>
      <c r="M218" s="231"/>
      <c r="N218" s="231"/>
      <c r="O218" s="231"/>
      <c r="P218" s="231"/>
      <c r="Q218" s="231"/>
      <c r="R218" s="231"/>
      <c r="S218" s="231"/>
      <c r="T218" s="231"/>
      <c r="U218" s="231"/>
      <c r="V218" s="231"/>
      <c r="W218" s="231"/>
      <c r="X218" s="231"/>
      <c r="Y218" s="231"/>
      <c r="Z218" s="231"/>
      <c r="AA218" s="231"/>
      <c r="AB218" s="231"/>
      <c r="AC218" s="231"/>
      <c r="AD218" s="231"/>
      <c r="AE218" s="231"/>
      <c r="AF218" s="231"/>
      <c r="AG218" s="231"/>
      <c r="AH218" s="231"/>
      <c r="AI218" s="231"/>
      <c r="AJ218" s="231"/>
      <c r="AK218" s="231"/>
      <c r="AL218" s="231"/>
      <c r="AM218" s="231"/>
    </row>
    <row r="219" spans="1:39" s="203" customFormat="1">
      <c r="A219" s="148"/>
      <c r="B219" s="29"/>
      <c r="C219" s="29"/>
      <c r="D219" s="170"/>
      <c r="E219" s="171"/>
      <c r="F219" s="29"/>
      <c r="G219" s="29"/>
      <c r="H219" s="207"/>
      <c r="I219" s="29"/>
      <c r="J219" s="231"/>
      <c r="K219" s="231"/>
      <c r="L219" s="231"/>
      <c r="M219" s="231"/>
      <c r="N219" s="231"/>
      <c r="O219" s="231"/>
      <c r="P219" s="231"/>
      <c r="Q219" s="231"/>
      <c r="R219" s="231"/>
      <c r="S219" s="231"/>
      <c r="T219" s="231"/>
      <c r="U219" s="231"/>
      <c r="V219" s="231"/>
      <c r="W219" s="231"/>
      <c r="X219" s="231"/>
      <c r="Y219" s="231"/>
      <c r="Z219" s="231"/>
      <c r="AA219" s="231"/>
      <c r="AB219" s="231"/>
      <c r="AC219" s="231"/>
      <c r="AD219" s="231"/>
      <c r="AE219" s="231"/>
      <c r="AF219" s="231"/>
      <c r="AG219" s="231"/>
      <c r="AH219" s="231"/>
      <c r="AI219" s="231"/>
      <c r="AJ219" s="231"/>
      <c r="AK219" s="231"/>
      <c r="AL219" s="231"/>
      <c r="AM219" s="231"/>
    </row>
    <row r="220" spans="1:39" s="203" customFormat="1">
      <c r="A220" s="148"/>
      <c r="B220" s="29"/>
      <c r="C220" s="29"/>
      <c r="D220" s="172"/>
      <c r="E220" s="152"/>
      <c r="F220" s="29"/>
      <c r="G220" s="29"/>
      <c r="H220" s="131" t="s">
        <v>27</v>
      </c>
      <c r="I220" s="29"/>
      <c r="J220" s="231"/>
      <c r="K220" s="231"/>
      <c r="L220" s="231"/>
      <c r="M220" s="231"/>
      <c r="N220" s="231"/>
      <c r="O220" s="231"/>
      <c r="P220" s="231"/>
      <c r="Q220" s="231"/>
      <c r="R220" s="231"/>
      <c r="S220" s="231"/>
      <c r="T220" s="231"/>
      <c r="U220" s="231"/>
      <c r="V220" s="231"/>
      <c r="W220" s="231"/>
      <c r="X220" s="231"/>
      <c r="Y220" s="231"/>
      <c r="Z220" s="231"/>
      <c r="AA220" s="231"/>
      <c r="AB220" s="231"/>
      <c r="AC220" s="231"/>
      <c r="AD220" s="231"/>
      <c r="AE220" s="231"/>
      <c r="AF220" s="231"/>
      <c r="AG220" s="231"/>
      <c r="AH220" s="231"/>
      <c r="AI220" s="231"/>
      <c r="AJ220" s="231"/>
      <c r="AK220" s="231"/>
      <c r="AL220" s="231"/>
      <c r="AM220" s="231"/>
    </row>
    <row r="221" spans="1:39" s="203" customFormat="1" ht="12.75" customHeight="1">
      <c r="A221" s="106" t="s">
        <v>10</v>
      </c>
      <c r="B221" s="164"/>
      <c r="C221" s="164"/>
      <c r="D221" s="164"/>
      <c r="E221" s="856" t="s">
        <v>377</v>
      </c>
      <c r="F221" s="856" t="s">
        <v>402</v>
      </c>
      <c r="G221" s="130"/>
      <c r="H221" s="856" t="s">
        <v>403</v>
      </c>
      <c r="I221" s="130"/>
      <c r="J221" s="231"/>
      <c r="K221" s="231"/>
      <c r="L221" s="231"/>
      <c r="M221" s="231"/>
      <c r="N221" s="231"/>
      <c r="O221" s="231"/>
      <c r="P221" s="231"/>
      <c r="Q221" s="231"/>
      <c r="R221" s="231"/>
      <c r="S221" s="231"/>
      <c r="T221" s="231"/>
      <c r="U221" s="231"/>
      <c r="V221" s="231"/>
      <c r="W221" s="231"/>
      <c r="X221" s="231"/>
      <c r="Y221" s="231"/>
      <c r="Z221" s="231"/>
      <c r="AA221" s="231"/>
      <c r="AB221" s="231"/>
      <c r="AC221" s="231"/>
      <c r="AD221" s="231"/>
      <c r="AE221" s="231"/>
      <c r="AF221" s="231"/>
      <c r="AG221" s="231"/>
      <c r="AH221" s="231"/>
      <c r="AI221" s="231"/>
      <c r="AJ221" s="231"/>
      <c r="AK221" s="231"/>
      <c r="AL221" s="231"/>
      <c r="AM221" s="231"/>
    </row>
    <row r="222" spans="1:39" s="203" customFormat="1">
      <c r="A222" s="109"/>
      <c r="B222" s="132"/>
      <c r="C222" s="132"/>
      <c r="D222" s="132"/>
      <c r="E222" s="859"/>
      <c r="F222" s="859"/>
      <c r="G222" s="130"/>
      <c r="H222" s="859"/>
      <c r="I222" s="130"/>
      <c r="J222" s="231"/>
      <c r="K222" s="231"/>
      <c r="L222" s="231"/>
      <c r="M222" s="231"/>
      <c r="N222" s="231"/>
      <c r="O222" s="231"/>
      <c r="P222" s="231"/>
      <c r="Q222" s="231"/>
      <c r="R222" s="231"/>
      <c r="S222" s="231"/>
      <c r="T222" s="231"/>
      <c r="U222" s="231"/>
      <c r="V222" s="231"/>
      <c r="W222" s="231"/>
      <c r="X222" s="231"/>
      <c r="Y222" s="231"/>
      <c r="Z222" s="231"/>
      <c r="AA222" s="231"/>
      <c r="AB222" s="231"/>
      <c r="AC222" s="231"/>
      <c r="AD222" s="231"/>
      <c r="AE222" s="231"/>
      <c r="AF222" s="231"/>
      <c r="AG222" s="231"/>
      <c r="AH222" s="231"/>
      <c r="AI222" s="231"/>
      <c r="AJ222" s="231"/>
      <c r="AK222" s="231"/>
      <c r="AL222" s="231"/>
      <c r="AM222" s="231"/>
    </row>
    <row r="223" spans="1:39" s="203" customFormat="1">
      <c r="A223" s="154" t="s">
        <v>179</v>
      </c>
      <c r="B223" s="116"/>
      <c r="C223" s="116"/>
      <c r="D223" s="116"/>
      <c r="E223" s="859"/>
      <c r="F223" s="859"/>
      <c r="G223" s="130"/>
      <c r="H223" s="859"/>
      <c r="I223" s="130"/>
      <c r="J223" s="231"/>
      <c r="K223" s="231"/>
      <c r="L223" s="231"/>
      <c r="M223" s="231"/>
      <c r="N223" s="231"/>
      <c r="O223" s="231"/>
      <c r="P223" s="231"/>
      <c r="Q223" s="231"/>
      <c r="R223" s="231"/>
      <c r="S223" s="231"/>
      <c r="T223" s="231"/>
      <c r="U223" s="231"/>
      <c r="V223" s="231"/>
      <c r="W223" s="231"/>
      <c r="X223" s="231"/>
      <c r="Y223" s="231"/>
      <c r="Z223" s="231"/>
      <c r="AA223" s="231"/>
      <c r="AB223" s="231"/>
      <c r="AC223" s="231"/>
      <c r="AD223" s="231"/>
      <c r="AE223" s="231"/>
      <c r="AF223" s="231"/>
      <c r="AG223" s="231"/>
      <c r="AH223" s="231"/>
      <c r="AI223" s="231"/>
      <c r="AJ223" s="231"/>
      <c r="AK223" s="231"/>
      <c r="AL223" s="231"/>
      <c r="AM223" s="231"/>
    </row>
    <row r="224" spans="1:39" s="203" customFormat="1">
      <c r="A224" s="109" t="s">
        <v>83</v>
      </c>
      <c r="B224" s="47"/>
      <c r="C224" s="47"/>
      <c r="D224" s="47"/>
      <c r="E224" s="859"/>
      <c r="F224" s="859"/>
      <c r="G224" s="130"/>
      <c r="H224" s="859"/>
      <c r="I224" s="130"/>
      <c r="J224" s="231"/>
      <c r="K224" s="231"/>
      <c r="L224" s="231"/>
      <c r="M224" s="231"/>
      <c r="N224" s="231"/>
      <c r="O224" s="231"/>
      <c r="P224" s="231"/>
      <c r="Q224" s="231"/>
      <c r="R224" s="231"/>
      <c r="S224" s="231"/>
      <c r="T224" s="231"/>
      <c r="U224" s="231"/>
      <c r="V224" s="231"/>
      <c r="W224" s="231"/>
      <c r="X224" s="231"/>
      <c r="Y224" s="231"/>
      <c r="Z224" s="231"/>
      <c r="AA224" s="231"/>
      <c r="AB224" s="231"/>
      <c r="AC224" s="231"/>
      <c r="AD224" s="231"/>
      <c r="AE224" s="231"/>
      <c r="AF224" s="231"/>
      <c r="AG224" s="231"/>
      <c r="AH224" s="231"/>
      <c r="AI224" s="231"/>
      <c r="AJ224" s="231"/>
      <c r="AK224" s="231"/>
      <c r="AL224" s="231"/>
      <c r="AM224" s="231"/>
    </row>
    <row r="225" spans="1:39" s="203" customFormat="1">
      <c r="A225" s="110" t="s">
        <v>84</v>
      </c>
      <c r="B225" s="132"/>
      <c r="C225" s="132"/>
      <c r="D225" s="132"/>
      <c r="E225" s="860"/>
      <c r="F225" s="860"/>
      <c r="G225" s="130"/>
      <c r="H225" s="860"/>
      <c r="I225" s="130"/>
      <c r="J225" s="231"/>
      <c r="K225" s="231"/>
      <c r="L225" s="231"/>
      <c r="M225" s="231"/>
      <c r="N225" s="231"/>
      <c r="O225" s="231"/>
      <c r="P225" s="231"/>
      <c r="Q225" s="231"/>
      <c r="R225" s="231"/>
      <c r="S225" s="231"/>
      <c r="T225" s="231"/>
      <c r="U225" s="231"/>
      <c r="V225" s="231"/>
      <c r="W225" s="231"/>
      <c r="X225" s="231"/>
      <c r="Y225" s="231"/>
      <c r="Z225" s="231"/>
      <c r="AA225" s="231"/>
      <c r="AB225" s="231"/>
      <c r="AC225" s="231"/>
      <c r="AD225" s="231"/>
      <c r="AE225" s="231"/>
      <c r="AF225" s="231"/>
      <c r="AG225" s="231"/>
      <c r="AH225" s="231"/>
      <c r="AI225" s="231"/>
      <c r="AJ225" s="231"/>
      <c r="AK225" s="231"/>
      <c r="AL225" s="231"/>
      <c r="AM225" s="231"/>
    </row>
    <row r="226" spans="1:39" s="203" customFormat="1">
      <c r="A226" s="120">
        <v>1</v>
      </c>
      <c r="B226" s="47" t="s">
        <v>180</v>
      </c>
      <c r="C226" s="47"/>
      <c r="D226" s="47"/>
      <c r="E226" s="41">
        <v>211</v>
      </c>
      <c r="F226" s="52">
        <v>37</v>
      </c>
      <c r="G226" s="118"/>
      <c r="H226" s="133">
        <v>206</v>
      </c>
      <c r="I226" s="29"/>
      <c r="J226" s="231"/>
      <c r="K226" s="231"/>
      <c r="L226" s="231"/>
      <c r="M226" s="231"/>
      <c r="N226" s="231"/>
      <c r="O226" s="231"/>
      <c r="P226" s="231"/>
      <c r="Q226" s="231"/>
      <c r="R226" s="231"/>
      <c r="S226" s="231"/>
      <c r="T226" s="231"/>
      <c r="U226" s="231"/>
      <c r="V226" s="231"/>
      <c r="W226" s="231"/>
      <c r="X226" s="231"/>
      <c r="Y226" s="231"/>
      <c r="Z226" s="231"/>
      <c r="AA226" s="231"/>
      <c r="AB226" s="231"/>
      <c r="AC226" s="231"/>
      <c r="AD226" s="231"/>
      <c r="AE226" s="231"/>
      <c r="AF226" s="231"/>
      <c r="AG226" s="231"/>
      <c r="AH226" s="231"/>
      <c r="AI226" s="231"/>
      <c r="AJ226" s="231"/>
      <c r="AK226" s="231"/>
      <c r="AL226" s="231"/>
      <c r="AM226" s="231"/>
    </row>
    <row r="227" spans="1:39" s="203" customFormat="1">
      <c r="A227" s="120">
        <v>2</v>
      </c>
      <c r="B227" s="47" t="s">
        <v>181</v>
      </c>
      <c r="C227" s="47"/>
      <c r="D227" s="47"/>
      <c r="E227" s="49">
        <v>555</v>
      </c>
      <c r="F227" s="52">
        <v>472</v>
      </c>
      <c r="G227" s="118"/>
      <c r="H227" s="122">
        <v>531</v>
      </c>
      <c r="I227" s="29"/>
      <c r="J227" s="231"/>
      <c r="K227" s="231"/>
      <c r="L227" s="231"/>
      <c r="M227" s="231"/>
      <c r="N227" s="231"/>
      <c r="O227" s="231"/>
      <c r="P227" s="231"/>
      <c r="Q227" s="231"/>
      <c r="R227" s="231"/>
      <c r="S227" s="231"/>
      <c r="T227" s="231"/>
      <c r="U227" s="231"/>
      <c r="V227" s="231"/>
      <c r="W227" s="231"/>
      <c r="X227" s="231"/>
      <c r="Y227" s="231"/>
      <c r="Z227" s="231"/>
      <c r="AA227" s="231"/>
      <c r="AB227" s="231"/>
      <c r="AC227" s="231"/>
      <c r="AD227" s="231"/>
      <c r="AE227" s="231"/>
      <c r="AF227" s="231"/>
      <c r="AG227" s="231"/>
      <c r="AH227" s="231"/>
      <c r="AI227" s="231"/>
      <c r="AJ227" s="231"/>
      <c r="AK227" s="231"/>
      <c r="AL227" s="231"/>
      <c r="AM227" s="231"/>
    </row>
    <row r="228" spans="1:39" s="203" customFormat="1">
      <c r="A228" s="120">
        <v>3</v>
      </c>
      <c r="B228" s="47" t="s">
        <v>182</v>
      </c>
      <c r="C228" s="47"/>
      <c r="D228" s="47"/>
      <c r="E228" s="114">
        <v>536</v>
      </c>
      <c r="F228" s="52">
        <v>590</v>
      </c>
      <c r="G228" s="118"/>
      <c r="H228" s="122">
        <v>622</v>
      </c>
      <c r="I228" s="29"/>
      <c r="J228" s="231"/>
      <c r="K228" s="231"/>
      <c r="L228" s="231"/>
      <c r="M228" s="231"/>
      <c r="N228" s="231"/>
      <c r="O228" s="231"/>
      <c r="P228" s="231"/>
      <c r="Q228" s="231"/>
      <c r="R228" s="231"/>
      <c r="S228" s="231"/>
      <c r="T228" s="231"/>
      <c r="U228" s="231"/>
      <c r="V228" s="231"/>
      <c r="W228" s="231"/>
      <c r="X228" s="231"/>
      <c r="Y228" s="231"/>
      <c r="Z228" s="231"/>
      <c r="AA228" s="231"/>
      <c r="AB228" s="231"/>
      <c r="AC228" s="231"/>
      <c r="AD228" s="231"/>
      <c r="AE228" s="231"/>
      <c r="AF228" s="231"/>
      <c r="AG228" s="231"/>
      <c r="AH228" s="231"/>
      <c r="AI228" s="231"/>
      <c r="AJ228" s="231"/>
      <c r="AK228" s="231"/>
      <c r="AL228" s="231"/>
      <c r="AM228" s="231"/>
    </row>
    <row r="229" spans="1:39" s="203" customFormat="1">
      <c r="A229" s="120">
        <v>4</v>
      </c>
      <c r="B229" s="47" t="s">
        <v>183</v>
      </c>
      <c r="C229" s="47"/>
      <c r="D229" s="47"/>
      <c r="E229" s="114">
        <v>114</v>
      </c>
      <c r="F229" s="52">
        <v>116</v>
      </c>
      <c r="G229" s="118"/>
      <c r="H229" s="122">
        <v>120</v>
      </c>
      <c r="I229" s="29"/>
      <c r="J229" s="231"/>
      <c r="K229" s="231"/>
      <c r="L229" s="231"/>
      <c r="M229" s="231"/>
      <c r="N229" s="231"/>
      <c r="O229" s="231"/>
      <c r="P229" s="231"/>
      <c r="Q229" s="231"/>
      <c r="R229" s="231"/>
      <c r="S229" s="231"/>
      <c r="T229" s="231"/>
      <c r="U229" s="231"/>
      <c r="V229" s="231"/>
      <c r="W229" s="231"/>
      <c r="X229" s="231"/>
      <c r="Y229" s="231"/>
      <c r="Z229" s="231"/>
      <c r="AA229" s="231"/>
      <c r="AB229" s="231"/>
      <c r="AC229" s="231"/>
      <c r="AD229" s="231"/>
      <c r="AE229" s="231"/>
      <c r="AF229" s="231"/>
      <c r="AG229" s="231"/>
      <c r="AH229" s="231"/>
      <c r="AI229" s="231"/>
      <c r="AJ229" s="231"/>
      <c r="AK229" s="231"/>
      <c r="AL229" s="231"/>
      <c r="AM229" s="231"/>
    </row>
    <row r="230" spans="1:39" s="203" customFormat="1">
      <c r="A230" s="120">
        <v>5</v>
      </c>
      <c r="B230" s="47" t="s">
        <v>184</v>
      </c>
      <c r="C230" s="47"/>
      <c r="D230" s="47"/>
      <c r="E230" s="114">
        <v>2189</v>
      </c>
      <c r="F230" s="52">
        <v>2650</v>
      </c>
      <c r="G230" s="118"/>
      <c r="H230" s="99">
        <v>2000</v>
      </c>
      <c r="I230" s="29"/>
      <c r="J230" s="231"/>
      <c r="K230" s="231"/>
      <c r="L230" s="231"/>
      <c r="M230" s="231"/>
      <c r="N230" s="231"/>
      <c r="O230" s="231"/>
      <c r="P230" s="231"/>
      <c r="Q230" s="231"/>
      <c r="R230" s="231"/>
      <c r="S230" s="231"/>
      <c r="T230" s="231"/>
      <c r="U230" s="231"/>
      <c r="V230" s="231"/>
      <c r="W230" s="231"/>
      <c r="X230" s="231"/>
      <c r="Y230" s="231"/>
      <c r="Z230" s="231"/>
      <c r="AA230" s="231"/>
      <c r="AB230" s="231"/>
      <c r="AC230" s="231"/>
      <c r="AD230" s="231"/>
      <c r="AE230" s="231"/>
      <c r="AF230" s="231"/>
      <c r="AG230" s="231"/>
      <c r="AH230" s="231"/>
      <c r="AI230" s="231"/>
      <c r="AJ230" s="231"/>
      <c r="AK230" s="231"/>
      <c r="AL230" s="231"/>
      <c r="AM230" s="231"/>
    </row>
    <row r="231" spans="1:39" s="203" customFormat="1">
      <c r="A231" s="124">
        <v>6</v>
      </c>
      <c r="B231" s="173" t="s">
        <v>185</v>
      </c>
      <c r="C231" s="173"/>
      <c r="D231" s="173"/>
      <c r="E231" s="159">
        <v>3605</v>
      </c>
      <c r="F231" s="61">
        <f>SUM(F226:F230)</f>
        <v>3865</v>
      </c>
      <c r="G231" s="118"/>
      <c r="H231" s="61">
        <f>SUM(H226:H230)</f>
        <v>3479</v>
      </c>
      <c r="I231" s="29"/>
      <c r="J231" s="231"/>
      <c r="K231" s="231"/>
      <c r="L231" s="231"/>
      <c r="M231" s="231"/>
      <c r="N231" s="231"/>
      <c r="O231" s="231"/>
      <c r="P231" s="231"/>
      <c r="Q231" s="231"/>
      <c r="R231" s="231"/>
      <c r="S231" s="231"/>
      <c r="T231" s="231"/>
      <c r="U231" s="231"/>
      <c r="V231" s="231"/>
      <c r="W231" s="231"/>
      <c r="X231" s="231"/>
      <c r="Y231" s="231"/>
      <c r="Z231" s="231"/>
      <c r="AA231" s="231"/>
      <c r="AB231" s="231"/>
      <c r="AC231" s="231"/>
      <c r="AD231" s="231"/>
      <c r="AE231" s="231"/>
      <c r="AF231" s="231"/>
      <c r="AG231" s="231"/>
      <c r="AH231" s="231"/>
      <c r="AI231" s="231"/>
      <c r="AJ231" s="231"/>
      <c r="AK231" s="231"/>
      <c r="AL231" s="231"/>
      <c r="AM231" s="231"/>
    </row>
    <row r="232" spans="1:39" s="203" customFormat="1">
      <c r="A232" s="148"/>
      <c r="B232" s="29"/>
      <c r="C232" s="29"/>
      <c r="D232" s="170"/>
      <c r="E232" s="150"/>
      <c r="F232" s="29"/>
      <c r="G232" s="29"/>
      <c r="H232" s="207"/>
      <c r="I232" s="29"/>
      <c r="J232" s="231"/>
      <c r="K232" s="231"/>
      <c r="L232" s="231"/>
      <c r="M232" s="231"/>
      <c r="N232" s="231"/>
      <c r="O232" s="231"/>
      <c r="P232" s="231"/>
      <c r="Q232" s="231"/>
      <c r="R232" s="231"/>
      <c r="S232" s="231"/>
      <c r="T232" s="231"/>
      <c r="U232" s="231"/>
      <c r="V232" s="231"/>
      <c r="W232" s="231"/>
      <c r="X232" s="231"/>
      <c r="Y232" s="231"/>
      <c r="Z232" s="231"/>
      <c r="AA232" s="231"/>
      <c r="AB232" s="231"/>
      <c r="AC232" s="231"/>
      <c r="AD232" s="231"/>
      <c r="AE232" s="231"/>
      <c r="AF232" s="231"/>
      <c r="AG232" s="231"/>
      <c r="AH232" s="231"/>
      <c r="AI232" s="231"/>
      <c r="AJ232" s="231"/>
      <c r="AK232" s="231"/>
      <c r="AL232" s="231"/>
      <c r="AM232" s="231"/>
    </row>
    <row r="233" spans="1:39" s="203" customFormat="1">
      <c r="A233" s="148"/>
      <c r="B233" s="29"/>
      <c r="C233" s="29"/>
      <c r="D233" s="172"/>
      <c r="E233" s="152"/>
      <c r="F233" s="29"/>
      <c r="G233" s="29"/>
      <c r="H233" s="131" t="s">
        <v>27</v>
      </c>
      <c r="I233" s="29"/>
      <c r="J233" s="231"/>
      <c r="K233" s="231"/>
      <c r="L233" s="231"/>
      <c r="M233" s="231"/>
      <c r="N233" s="231"/>
      <c r="O233" s="231"/>
      <c r="P233" s="231"/>
      <c r="Q233" s="231"/>
      <c r="R233" s="231"/>
      <c r="S233" s="231"/>
      <c r="T233" s="231"/>
      <c r="U233" s="231"/>
      <c r="V233" s="231"/>
      <c r="W233" s="231"/>
      <c r="X233" s="231"/>
      <c r="Y233" s="231"/>
      <c r="Z233" s="231"/>
      <c r="AA233" s="231"/>
      <c r="AB233" s="231"/>
      <c r="AC233" s="231"/>
      <c r="AD233" s="231"/>
      <c r="AE233" s="231"/>
      <c r="AF233" s="231"/>
      <c r="AG233" s="231"/>
      <c r="AH233" s="231"/>
      <c r="AI233" s="231"/>
      <c r="AJ233" s="231"/>
      <c r="AK233" s="231"/>
      <c r="AL233" s="231"/>
      <c r="AM233" s="231"/>
    </row>
    <row r="234" spans="1:39" s="203" customFormat="1" ht="12.75" customHeight="1">
      <c r="A234" s="106" t="s">
        <v>12</v>
      </c>
      <c r="B234" s="164"/>
      <c r="C234" s="164"/>
      <c r="D234" s="164"/>
      <c r="E234" s="856" t="s">
        <v>377</v>
      </c>
      <c r="F234" s="856" t="s">
        <v>402</v>
      </c>
      <c r="G234" s="130"/>
      <c r="H234" s="856" t="s">
        <v>403</v>
      </c>
      <c r="I234" s="130"/>
      <c r="J234" s="231"/>
      <c r="K234" s="231"/>
      <c r="L234" s="231"/>
      <c r="M234" s="231"/>
      <c r="N234" s="231"/>
      <c r="O234" s="231"/>
      <c r="P234" s="231"/>
      <c r="Q234" s="231"/>
      <c r="R234" s="231"/>
      <c r="S234" s="231"/>
      <c r="T234" s="231"/>
      <c r="U234" s="231"/>
      <c r="V234" s="231"/>
      <c r="W234" s="231"/>
      <c r="X234" s="231"/>
      <c r="Y234" s="231"/>
      <c r="Z234" s="231"/>
      <c r="AA234" s="231"/>
      <c r="AB234" s="231"/>
      <c r="AC234" s="231"/>
      <c r="AD234" s="231"/>
      <c r="AE234" s="231"/>
      <c r="AF234" s="231"/>
      <c r="AG234" s="231"/>
      <c r="AH234" s="231"/>
      <c r="AI234" s="231"/>
      <c r="AJ234" s="231"/>
      <c r="AK234" s="231"/>
      <c r="AL234" s="231"/>
      <c r="AM234" s="231"/>
    </row>
    <row r="235" spans="1:39" s="203" customFormat="1">
      <c r="A235" s="165"/>
      <c r="B235" s="47"/>
      <c r="C235" s="47"/>
      <c r="D235" s="47"/>
      <c r="E235" s="859"/>
      <c r="F235" s="859"/>
      <c r="G235" s="130"/>
      <c r="H235" s="859"/>
      <c r="I235" s="130"/>
      <c r="J235" s="231"/>
      <c r="K235" s="231"/>
      <c r="L235" s="231"/>
      <c r="M235" s="231"/>
      <c r="N235" s="231"/>
      <c r="O235" s="231"/>
      <c r="P235" s="231"/>
      <c r="Q235" s="231"/>
      <c r="R235" s="231"/>
      <c r="S235" s="231"/>
      <c r="T235" s="231"/>
      <c r="U235" s="231"/>
      <c r="V235" s="231"/>
      <c r="W235" s="231"/>
      <c r="X235" s="231"/>
      <c r="Y235" s="231"/>
      <c r="Z235" s="231"/>
      <c r="AA235" s="231"/>
      <c r="AB235" s="231"/>
      <c r="AC235" s="231"/>
      <c r="AD235" s="231"/>
      <c r="AE235" s="231"/>
      <c r="AF235" s="231"/>
      <c r="AG235" s="231"/>
      <c r="AH235" s="231"/>
      <c r="AI235" s="231"/>
      <c r="AJ235" s="231"/>
      <c r="AK235" s="231"/>
      <c r="AL235" s="231"/>
      <c r="AM235" s="231"/>
    </row>
    <row r="236" spans="1:39" s="203" customFormat="1">
      <c r="A236" s="154" t="s">
        <v>186</v>
      </c>
      <c r="B236" s="174"/>
      <c r="C236" s="174"/>
      <c r="D236" s="174"/>
      <c r="E236" s="859"/>
      <c r="F236" s="859"/>
      <c r="G236" s="130"/>
      <c r="H236" s="859"/>
      <c r="I236" s="130"/>
      <c r="J236" s="231"/>
      <c r="K236" s="231"/>
      <c r="L236" s="231"/>
      <c r="M236" s="231"/>
      <c r="N236" s="231"/>
      <c r="O236" s="231"/>
      <c r="P236" s="231"/>
      <c r="Q236" s="231"/>
      <c r="R236" s="231"/>
      <c r="S236" s="231"/>
      <c r="T236" s="231"/>
      <c r="U236" s="231"/>
      <c r="V236" s="231"/>
      <c r="W236" s="231"/>
      <c r="X236" s="231"/>
      <c r="Y236" s="231"/>
      <c r="Z236" s="231"/>
      <c r="AA236" s="231"/>
      <c r="AB236" s="231"/>
      <c r="AC236" s="231"/>
      <c r="AD236" s="231"/>
      <c r="AE236" s="231"/>
      <c r="AF236" s="231"/>
      <c r="AG236" s="231"/>
      <c r="AH236" s="231"/>
      <c r="AI236" s="231"/>
      <c r="AJ236" s="231"/>
      <c r="AK236" s="231"/>
      <c r="AL236" s="231"/>
      <c r="AM236" s="231"/>
    </row>
    <row r="237" spans="1:39" s="203" customFormat="1">
      <c r="A237" s="109" t="s">
        <v>83</v>
      </c>
      <c r="B237" s="47"/>
      <c r="C237" s="47"/>
      <c r="D237" s="47"/>
      <c r="E237" s="859"/>
      <c r="F237" s="859"/>
      <c r="G237" s="130"/>
      <c r="H237" s="859"/>
      <c r="I237" s="130"/>
      <c r="J237" s="231"/>
      <c r="K237" s="231"/>
      <c r="L237" s="231"/>
      <c r="M237" s="231"/>
      <c r="N237" s="231"/>
      <c r="O237" s="231"/>
      <c r="P237" s="231"/>
      <c r="Q237" s="231"/>
      <c r="R237" s="231"/>
      <c r="S237" s="231"/>
      <c r="T237" s="231"/>
      <c r="U237" s="231"/>
      <c r="V237" s="231"/>
      <c r="W237" s="231"/>
      <c r="X237" s="231"/>
      <c r="Y237" s="231"/>
      <c r="Z237" s="231"/>
      <c r="AA237" s="231"/>
      <c r="AB237" s="231"/>
      <c r="AC237" s="231"/>
      <c r="AD237" s="231"/>
      <c r="AE237" s="231"/>
      <c r="AF237" s="231"/>
      <c r="AG237" s="231"/>
      <c r="AH237" s="231"/>
      <c r="AI237" s="231"/>
      <c r="AJ237" s="231"/>
      <c r="AK237" s="231"/>
      <c r="AL237" s="231"/>
      <c r="AM237" s="231"/>
    </row>
    <row r="238" spans="1:39" s="203" customFormat="1">
      <c r="A238" s="110" t="s">
        <v>84</v>
      </c>
      <c r="B238" s="174"/>
      <c r="C238" s="174"/>
      <c r="D238" s="174"/>
      <c r="E238" s="860"/>
      <c r="F238" s="860"/>
      <c r="G238" s="130"/>
      <c r="H238" s="860"/>
      <c r="I238" s="130"/>
      <c r="J238" s="231"/>
      <c r="K238" s="231"/>
      <c r="L238" s="231"/>
      <c r="M238" s="231"/>
      <c r="N238" s="231"/>
      <c r="O238" s="231"/>
      <c r="P238" s="231"/>
      <c r="Q238" s="231"/>
      <c r="R238" s="231"/>
      <c r="S238" s="231"/>
      <c r="T238" s="231"/>
      <c r="U238" s="231"/>
      <c r="V238" s="231"/>
      <c r="W238" s="231"/>
      <c r="X238" s="231"/>
      <c r="Y238" s="231"/>
      <c r="Z238" s="231"/>
      <c r="AA238" s="231"/>
      <c r="AB238" s="231"/>
      <c r="AC238" s="231"/>
      <c r="AD238" s="231"/>
      <c r="AE238" s="231"/>
      <c r="AF238" s="231"/>
      <c r="AG238" s="231"/>
      <c r="AH238" s="231"/>
      <c r="AI238" s="231"/>
      <c r="AJ238" s="231"/>
      <c r="AK238" s="231"/>
      <c r="AL238" s="231"/>
      <c r="AM238" s="231"/>
    </row>
    <row r="239" spans="1:39" s="203" customFormat="1">
      <c r="A239" s="153" t="s">
        <v>187</v>
      </c>
      <c r="B239" s="116"/>
      <c r="C239" s="116"/>
      <c r="D239" s="116"/>
      <c r="E239" s="167"/>
      <c r="F239" s="146"/>
      <c r="G239" s="118"/>
      <c r="H239" s="146"/>
      <c r="I239" s="29"/>
      <c r="J239" s="231"/>
      <c r="K239" s="231"/>
      <c r="L239" s="231"/>
      <c r="M239" s="231"/>
      <c r="N239" s="231"/>
      <c r="O239" s="231"/>
      <c r="P239" s="231"/>
      <c r="Q239" s="231"/>
      <c r="R239" s="231"/>
      <c r="S239" s="231"/>
      <c r="T239" s="231"/>
      <c r="U239" s="231"/>
      <c r="V239" s="231"/>
      <c r="W239" s="231"/>
      <c r="X239" s="231"/>
      <c r="Y239" s="231"/>
      <c r="Z239" s="231"/>
      <c r="AA239" s="231"/>
      <c r="AB239" s="231"/>
      <c r="AC239" s="231"/>
      <c r="AD239" s="231"/>
      <c r="AE239" s="231"/>
      <c r="AF239" s="231"/>
      <c r="AG239" s="231"/>
      <c r="AH239" s="231"/>
      <c r="AI239" s="231"/>
      <c r="AJ239" s="231"/>
      <c r="AK239" s="231"/>
      <c r="AL239" s="231"/>
      <c r="AM239" s="231"/>
    </row>
    <row r="240" spans="1:39" s="203" customFormat="1">
      <c r="A240" s="120">
        <v>1</v>
      </c>
      <c r="B240" s="47" t="s">
        <v>188</v>
      </c>
      <c r="C240" s="47"/>
      <c r="D240" s="47"/>
      <c r="E240" s="74">
        <v>23</v>
      </c>
      <c r="F240" s="52">
        <v>22</v>
      </c>
      <c r="G240" s="118"/>
      <c r="H240" s="122">
        <v>22</v>
      </c>
      <c r="I240" s="29"/>
      <c r="J240" s="231"/>
      <c r="K240" s="231"/>
      <c r="L240" s="231"/>
      <c r="M240" s="231"/>
      <c r="N240" s="231"/>
      <c r="O240" s="231"/>
      <c r="P240" s="231"/>
      <c r="Q240" s="231"/>
      <c r="R240" s="231"/>
      <c r="S240" s="231"/>
      <c r="T240" s="231"/>
      <c r="U240" s="231"/>
      <c r="V240" s="231"/>
      <c r="W240" s="231"/>
      <c r="X240" s="231"/>
      <c r="Y240" s="231"/>
      <c r="Z240" s="231"/>
      <c r="AA240" s="231"/>
      <c r="AB240" s="231"/>
      <c r="AC240" s="231"/>
      <c r="AD240" s="231"/>
      <c r="AE240" s="231"/>
      <c r="AF240" s="231"/>
      <c r="AG240" s="231"/>
      <c r="AH240" s="231"/>
      <c r="AI240" s="231"/>
      <c r="AJ240" s="231"/>
      <c r="AK240" s="231"/>
      <c r="AL240" s="231"/>
      <c r="AM240" s="231"/>
    </row>
    <row r="241" spans="1:39" s="203" customFormat="1">
      <c r="A241" s="794">
        <v>2</v>
      </c>
      <c r="B241" s="47" t="s">
        <v>189</v>
      </c>
      <c r="C241" s="47"/>
      <c r="D241" s="47"/>
      <c r="E241" s="114">
        <v>1889</v>
      </c>
      <c r="F241" s="52">
        <v>1687</v>
      </c>
      <c r="G241" s="118"/>
      <c r="H241" s="100">
        <v>1716</v>
      </c>
      <c r="I241" s="29"/>
      <c r="J241" s="231"/>
      <c r="K241" s="231"/>
      <c r="L241" s="231"/>
      <c r="M241" s="231"/>
      <c r="N241" s="231"/>
      <c r="O241" s="231"/>
      <c r="P241" s="231"/>
      <c r="Q241" s="231"/>
      <c r="R241" s="231"/>
      <c r="S241" s="231"/>
      <c r="T241" s="231"/>
      <c r="U241" s="231"/>
      <c r="V241" s="231"/>
      <c r="W241" s="231"/>
      <c r="X241" s="231"/>
      <c r="Y241" s="231"/>
      <c r="Z241" s="231"/>
      <c r="AA241" s="231"/>
      <c r="AB241" s="231"/>
      <c r="AC241" s="231"/>
      <c r="AD241" s="231"/>
      <c r="AE241" s="231"/>
      <c r="AF241" s="231"/>
      <c r="AG241" s="231"/>
      <c r="AH241" s="231"/>
      <c r="AI241" s="231"/>
      <c r="AJ241" s="231"/>
      <c r="AK241" s="231"/>
      <c r="AL241" s="231"/>
      <c r="AM241" s="231"/>
    </row>
    <row r="242" spans="1:39" s="203" customFormat="1">
      <c r="A242" s="794">
        <v>3</v>
      </c>
      <c r="B242" s="168" t="s">
        <v>190</v>
      </c>
      <c r="C242" s="168"/>
      <c r="D242" s="168"/>
      <c r="E242" s="80">
        <v>1912</v>
      </c>
      <c r="F242" s="142">
        <f>SUM(F240:F241)</f>
        <v>1709</v>
      </c>
      <c r="G242" s="118"/>
      <c r="H242" s="142">
        <f>SUM(H240:H241)</f>
        <v>1738</v>
      </c>
      <c r="I242" s="29"/>
      <c r="J242" s="231"/>
      <c r="K242" s="231"/>
      <c r="L242" s="231"/>
      <c r="M242" s="231"/>
      <c r="N242" s="231"/>
      <c r="O242" s="231"/>
      <c r="P242" s="231"/>
      <c r="Q242" s="231"/>
      <c r="R242" s="231"/>
      <c r="S242" s="231"/>
      <c r="T242" s="231"/>
      <c r="U242" s="231"/>
      <c r="V242" s="231"/>
      <c r="W242" s="231"/>
      <c r="X242" s="231"/>
      <c r="Y242" s="231"/>
      <c r="Z242" s="231"/>
      <c r="AA242" s="231"/>
      <c r="AB242" s="231"/>
      <c r="AC242" s="231"/>
      <c r="AD242" s="231"/>
      <c r="AE242" s="231"/>
      <c r="AF242" s="231"/>
      <c r="AG242" s="231"/>
      <c r="AH242" s="231"/>
      <c r="AI242" s="231"/>
      <c r="AJ242" s="231"/>
      <c r="AK242" s="231"/>
      <c r="AL242" s="231"/>
      <c r="AM242" s="231"/>
    </row>
    <row r="243" spans="1:39" s="203" customFormat="1">
      <c r="A243" s="794"/>
      <c r="B243" s="116"/>
      <c r="C243" s="116"/>
      <c r="D243" s="116"/>
      <c r="E243" s="117"/>
      <c r="F243" s="118"/>
      <c r="G243" s="118"/>
      <c r="H243" s="118"/>
      <c r="I243" s="29"/>
      <c r="J243" s="231"/>
      <c r="K243" s="231"/>
      <c r="L243" s="231"/>
      <c r="M243" s="231"/>
      <c r="N243" s="231"/>
      <c r="O243" s="231"/>
      <c r="P243" s="231"/>
      <c r="Q243" s="231"/>
      <c r="R243" s="231"/>
      <c r="S243" s="231"/>
      <c r="T243" s="231"/>
      <c r="U243" s="231"/>
      <c r="V243" s="231"/>
      <c r="W243" s="231"/>
      <c r="X243" s="231"/>
      <c r="Y243" s="231"/>
      <c r="Z243" s="231"/>
      <c r="AA243" s="231"/>
      <c r="AB243" s="231"/>
      <c r="AC243" s="231"/>
      <c r="AD243" s="231"/>
      <c r="AE243" s="231"/>
      <c r="AF243" s="231"/>
      <c r="AG243" s="231"/>
      <c r="AH243" s="231"/>
      <c r="AI243" s="231"/>
      <c r="AJ243" s="231"/>
      <c r="AK243" s="231"/>
      <c r="AL243" s="231"/>
      <c r="AM243" s="231"/>
    </row>
    <row r="244" spans="1:39" s="203" customFormat="1">
      <c r="A244" s="108" t="s">
        <v>191</v>
      </c>
      <c r="B244" s="47"/>
      <c r="C244" s="47"/>
      <c r="D244" s="47"/>
      <c r="E244" s="140"/>
      <c r="F244" s="146"/>
      <c r="G244" s="118"/>
      <c r="H244" s="146"/>
      <c r="I244" s="29"/>
      <c r="J244" s="231"/>
      <c r="K244" s="231"/>
      <c r="L244" s="231"/>
      <c r="M244" s="231"/>
      <c r="N244" s="231"/>
      <c r="O244" s="231"/>
      <c r="P244" s="231"/>
      <c r="Q244" s="231"/>
      <c r="R244" s="231"/>
      <c r="S244" s="231"/>
      <c r="T244" s="231"/>
      <c r="U244" s="231"/>
      <c r="V244" s="231"/>
      <c r="W244" s="231"/>
      <c r="X244" s="231"/>
      <c r="Y244" s="231"/>
      <c r="Z244" s="231"/>
      <c r="AA244" s="231"/>
      <c r="AB244" s="231"/>
      <c r="AC244" s="231"/>
      <c r="AD244" s="231"/>
      <c r="AE244" s="231"/>
      <c r="AF244" s="231"/>
      <c r="AG244" s="231"/>
      <c r="AH244" s="231"/>
      <c r="AI244" s="231"/>
      <c r="AJ244" s="231"/>
      <c r="AK244" s="231"/>
      <c r="AL244" s="231"/>
      <c r="AM244" s="231"/>
    </row>
    <row r="245" spans="1:39" s="203" customFormat="1">
      <c r="A245" s="794">
        <v>4</v>
      </c>
      <c r="B245" s="47" t="s">
        <v>192</v>
      </c>
      <c r="C245" s="47"/>
      <c r="D245" s="47"/>
      <c r="E245" s="74">
        <v>0</v>
      </c>
      <c r="F245" s="52">
        <v>0</v>
      </c>
      <c r="G245" s="118"/>
      <c r="H245" s="122">
        <v>0</v>
      </c>
      <c r="I245" s="29"/>
      <c r="J245" s="231"/>
      <c r="K245" s="231"/>
      <c r="L245" s="231"/>
      <c r="M245" s="231"/>
      <c r="N245" s="231"/>
      <c r="O245" s="231"/>
      <c r="P245" s="231"/>
      <c r="Q245" s="231"/>
      <c r="R245" s="231"/>
      <c r="S245" s="231"/>
      <c r="T245" s="231"/>
      <c r="U245" s="231"/>
      <c r="V245" s="231"/>
      <c r="W245" s="231"/>
      <c r="X245" s="231"/>
      <c r="Y245" s="231"/>
      <c r="Z245" s="231"/>
      <c r="AA245" s="231"/>
      <c r="AB245" s="231"/>
      <c r="AC245" s="231"/>
      <c r="AD245" s="231"/>
      <c r="AE245" s="231"/>
      <c r="AF245" s="231"/>
      <c r="AG245" s="231"/>
      <c r="AH245" s="231"/>
      <c r="AI245" s="231"/>
      <c r="AJ245" s="231"/>
      <c r="AK245" s="231"/>
      <c r="AL245" s="231"/>
      <c r="AM245" s="231"/>
    </row>
    <row r="246" spans="1:39" s="203" customFormat="1">
      <c r="A246" s="794">
        <v>5</v>
      </c>
      <c r="B246" s="47" t="s">
        <v>193</v>
      </c>
      <c r="C246" s="47"/>
      <c r="D246" s="47"/>
      <c r="E246" s="49">
        <v>55</v>
      </c>
      <c r="F246" s="52">
        <v>42</v>
      </c>
      <c r="G246" s="118"/>
      <c r="H246" s="100">
        <v>32</v>
      </c>
      <c r="I246" s="29"/>
      <c r="J246" s="231"/>
      <c r="K246" s="231"/>
      <c r="L246" s="231"/>
      <c r="M246" s="231"/>
      <c r="N246" s="231"/>
      <c r="O246" s="231"/>
      <c r="P246" s="231"/>
      <c r="Q246" s="231"/>
      <c r="R246" s="231"/>
      <c r="S246" s="231"/>
      <c r="T246" s="231"/>
      <c r="U246" s="231"/>
      <c r="V246" s="231"/>
      <c r="W246" s="231"/>
      <c r="X246" s="231"/>
      <c r="Y246" s="231"/>
      <c r="Z246" s="231"/>
      <c r="AA246" s="231"/>
      <c r="AB246" s="231"/>
      <c r="AC246" s="231"/>
      <c r="AD246" s="231"/>
      <c r="AE246" s="231"/>
      <c r="AF246" s="231"/>
      <c r="AG246" s="231"/>
      <c r="AH246" s="231"/>
      <c r="AI246" s="231"/>
      <c r="AJ246" s="231"/>
      <c r="AK246" s="231"/>
      <c r="AL246" s="231"/>
      <c r="AM246" s="231"/>
    </row>
    <row r="247" spans="1:39" s="203" customFormat="1">
      <c r="A247" s="794">
        <v>6</v>
      </c>
      <c r="B247" s="116" t="s">
        <v>194</v>
      </c>
      <c r="C247" s="116"/>
      <c r="D247" s="116"/>
      <c r="E247" s="80">
        <v>55</v>
      </c>
      <c r="F247" s="142">
        <f>SUM(F245:F246)</f>
        <v>42</v>
      </c>
      <c r="G247" s="118"/>
      <c r="H247" s="142">
        <f>SUM(H245:H246)</f>
        <v>32</v>
      </c>
      <c r="I247" s="29"/>
      <c r="J247" s="231"/>
      <c r="K247" s="231"/>
      <c r="L247" s="231"/>
      <c r="M247" s="231"/>
      <c r="N247" s="231"/>
      <c r="O247" s="231"/>
      <c r="P247" s="231"/>
      <c r="Q247" s="231"/>
      <c r="R247" s="231"/>
      <c r="S247" s="231"/>
      <c r="T247" s="231"/>
      <c r="U247" s="231"/>
      <c r="V247" s="231"/>
      <c r="W247" s="231"/>
      <c r="X247" s="231"/>
      <c r="Y247" s="231"/>
      <c r="Z247" s="231"/>
      <c r="AA247" s="231"/>
      <c r="AB247" s="231"/>
      <c r="AC247" s="231"/>
      <c r="AD247" s="231"/>
      <c r="AE247" s="231"/>
      <c r="AF247" s="231"/>
      <c r="AG247" s="231"/>
      <c r="AH247" s="231"/>
      <c r="AI247" s="231"/>
      <c r="AJ247" s="231"/>
      <c r="AK247" s="231"/>
      <c r="AL247" s="231"/>
      <c r="AM247" s="231"/>
    </row>
    <row r="248" spans="1:39" s="203" customFormat="1">
      <c r="A248" s="794"/>
      <c r="B248" s="116"/>
      <c r="C248" s="116"/>
      <c r="D248" s="116"/>
      <c r="E248" s="117"/>
      <c r="F248" s="118"/>
      <c r="G248" s="118"/>
      <c r="H248" s="118"/>
      <c r="I248" s="29"/>
      <c r="J248" s="231"/>
      <c r="K248" s="231"/>
      <c r="L248" s="231"/>
      <c r="M248" s="231"/>
      <c r="N248" s="231"/>
      <c r="O248" s="231"/>
      <c r="P248" s="231"/>
      <c r="Q248" s="231"/>
      <c r="R248" s="231"/>
      <c r="S248" s="231"/>
      <c r="T248" s="231"/>
      <c r="U248" s="231"/>
      <c r="V248" s="231"/>
      <c r="W248" s="231"/>
      <c r="X248" s="231"/>
      <c r="Y248" s="231"/>
      <c r="Z248" s="231"/>
      <c r="AA248" s="231"/>
      <c r="AB248" s="231"/>
      <c r="AC248" s="231"/>
      <c r="AD248" s="231"/>
      <c r="AE248" s="231"/>
      <c r="AF248" s="231"/>
      <c r="AG248" s="231"/>
      <c r="AH248" s="231"/>
      <c r="AI248" s="231"/>
      <c r="AJ248" s="231"/>
      <c r="AK248" s="231"/>
      <c r="AL248" s="231"/>
      <c r="AM248" s="231"/>
    </row>
    <row r="249" spans="1:39" s="203" customFormat="1">
      <c r="A249" s="108" t="s">
        <v>195</v>
      </c>
      <c r="B249" s="116"/>
      <c r="C249" s="116"/>
      <c r="D249" s="116"/>
      <c r="E249" s="140"/>
      <c r="F249" s="146"/>
      <c r="G249" s="118"/>
      <c r="H249" s="146"/>
      <c r="I249" s="29"/>
      <c r="J249" s="231"/>
      <c r="K249" s="231"/>
      <c r="L249" s="231"/>
      <c r="M249" s="231"/>
      <c r="N249" s="231"/>
      <c r="O249" s="231"/>
      <c r="P249" s="231"/>
      <c r="Q249" s="231"/>
      <c r="R249" s="231"/>
      <c r="S249" s="231"/>
      <c r="T249" s="231"/>
      <c r="U249" s="231"/>
      <c r="V249" s="231"/>
      <c r="W249" s="231"/>
      <c r="X249" s="231"/>
      <c r="Y249" s="231"/>
      <c r="Z249" s="231"/>
      <c r="AA249" s="231"/>
      <c r="AB249" s="231"/>
      <c r="AC249" s="231"/>
      <c r="AD249" s="231"/>
      <c r="AE249" s="231"/>
      <c r="AF249" s="231"/>
      <c r="AG249" s="231"/>
      <c r="AH249" s="231"/>
      <c r="AI249" s="231"/>
      <c r="AJ249" s="231"/>
      <c r="AK249" s="231"/>
      <c r="AL249" s="231"/>
      <c r="AM249" s="231"/>
    </row>
    <row r="250" spans="1:39" s="203" customFormat="1">
      <c r="A250" s="794">
        <v>7</v>
      </c>
      <c r="B250" s="47" t="s">
        <v>196</v>
      </c>
      <c r="C250" s="47"/>
      <c r="D250" s="47"/>
      <c r="E250" s="74">
        <v>0</v>
      </c>
      <c r="F250" s="52">
        <v>0</v>
      </c>
      <c r="G250" s="118"/>
      <c r="H250" s="52">
        <v>0</v>
      </c>
      <c r="I250" s="29"/>
      <c r="J250" s="231"/>
      <c r="K250" s="231"/>
      <c r="L250" s="231"/>
      <c r="M250" s="231"/>
      <c r="N250" s="231"/>
      <c r="O250" s="231"/>
      <c r="P250" s="231"/>
      <c r="Q250" s="231"/>
      <c r="R250" s="231"/>
      <c r="S250" s="231"/>
      <c r="T250" s="231"/>
      <c r="U250" s="231"/>
      <c r="V250" s="231"/>
      <c r="W250" s="231"/>
      <c r="X250" s="231"/>
      <c r="Y250" s="231"/>
      <c r="Z250" s="231"/>
      <c r="AA250" s="231"/>
      <c r="AB250" s="231"/>
      <c r="AC250" s="231"/>
      <c r="AD250" s="231"/>
      <c r="AE250" s="231"/>
      <c r="AF250" s="231"/>
      <c r="AG250" s="231"/>
      <c r="AH250" s="231"/>
      <c r="AI250" s="231"/>
      <c r="AJ250" s="231"/>
      <c r="AK250" s="231"/>
      <c r="AL250" s="231"/>
      <c r="AM250" s="231"/>
    </row>
    <row r="251" spans="1:39" s="203" customFormat="1">
      <c r="A251" s="794">
        <v>8</v>
      </c>
      <c r="B251" s="47" t="s">
        <v>197</v>
      </c>
      <c r="C251" s="47"/>
      <c r="D251" s="47"/>
      <c r="E251" s="49">
        <v>1321</v>
      </c>
      <c r="F251" s="52">
        <v>1562</v>
      </c>
      <c r="G251" s="118"/>
      <c r="H251" s="122">
        <v>1581</v>
      </c>
      <c r="I251" s="29"/>
      <c r="J251" s="231"/>
      <c r="K251" s="231"/>
      <c r="L251" s="231"/>
      <c r="M251" s="231"/>
      <c r="N251" s="231"/>
      <c r="O251" s="231"/>
      <c r="P251" s="231"/>
      <c r="Q251" s="231"/>
      <c r="R251" s="231"/>
      <c r="S251" s="231"/>
      <c r="T251" s="231"/>
      <c r="U251" s="231"/>
      <c r="V251" s="231"/>
      <c r="W251" s="231"/>
      <c r="X251" s="231"/>
      <c r="Y251" s="231"/>
      <c r="Z251" s="231"/>
      <c r="AA251" s="231"/>
      <c r="AB251" s="231"/>
      <c r="AC251" s="231"/>
      <c r="AD251" s="231"/>
      <c r="AE251" s="231"/>
      <c r="AF251" s="231"/>
      <c r="AG251" s="231"/>
      <c r="AH251" s="231"/>
      <c r="AI251" s="231"/>
      <c r="AJ251" s="231"/>
      <c r="AK251" s="231"/>
      <c r="AL251" s="231"/>
      <c r="AM251" s="231"/>
    </row>
    <row r="252" spans="1:39" s="203" customFormat="1">
      <c r="A252" s="794">
        <v>9</v>
      </c>
      <c r="B252" s="47" t="s">
        <v>198</v>
      </c>
      <c r="C252" s="47"/>
      <c r="D252" s="47"/>
      <c r="E252" s="49">
        <v>1788</v>
      </c>
      <c r="F252" s="52">
        <v>1656</v>
      </c>
      <c r="G252" s="118"/>
      <c r="H252" s="122">
        <v>1699</v>
      </c>
      <c r="I252" s="29"/>
      <c r="J252" s="231"/>
      <c r="K252" s="231"/>
      <c r="L252" s="231"/>
      <c r="M252" s="231"/>
      <c r="N252" s="231"/>
      <c r="O252" s="231"/>
      <c r="P252" s="231"/>
      <c r="Q252" s="231"/>
      <c r="R252" s="231"/>
      <c r="S252" s="231"/>
      <c r="T252" s="231"/>
      <c r="U252" s="231"/>
      <c r="V252" s="231"/>
      <c r="W252" s="231"/>
      <c r="X252" s="231"/>
      <c r="Y252" s="231"/>
      <c r="Z252" s="231"/>
      <c r="AA252" s="231"/>
      <c r="AB252" s="231"/>
      <c r="AC252" s="231"/>
      <c r="AD252" s="231"/>
      <c r="AE252" s="231"/>
      <c r="AF252" s="231"/>
      <c r="AG252" s="231"/>
      <c r="AH252" s="231"/>
      <c r="AI252" s="231"/>
      <c r="AJ252" s="231"/>
      <c r="AK252" s="231"/>
      <c r="AL252" s="231"/>
      <c r="AM252" s="231"/>
    </row>
    <row r="253" spans="1:39" s="203" customFormat="1">
      <c r="A253" s="794">
        <v>10</v>
      </c>
      <c r="B253" s="47" t="s">
        <v>199</v>
      </c>
      <c r="C253" s="47"/>
      <c r="D253" s="47"/>
      <c r="E253" s="49">
        <v>647</v>
      </c>
      <c r="F253" s="52">
        <v>651</v>
      </c>
      <c r="G253" s="118"/>
      <c r="H253" s="100">
        <v>665</v>
      </c>
      <c r="I253" s="29"/>
      <c r="J253" s="231"/>
      <c r="K253" s="231"/>
      <c r="L253" s="231"/>
      <c r="M253" s="231"/>
      <c r="N253" s="231"/>
      <c r="O253" s="231"/>
      <c r="P253" s="231"/>
      <c r="Q253" s="231"/>
      <c r="R253" s="231"/>
      <c r="S253" s="231"/>
      <c r="T253" s="231"/>
      <c r="U253" s="231"/>
      <c r="V253" s="231"/>
      <c r="W253" s="231"/>
      <c r="X253" s="231"/>
      <c r="Y253" s="231"/>
      <c r="Z253" s="231"/>
      <c r="AA253" s="231"/>
      <c r="AB253" s="231"/>
      <c r="AC253" s="231"/>
      <c r="AD253" s="231"/>
      <c r="AE253" s="231"/>
      <c r="AF253" s="231"/>
      <c r="AG253" s="231"/>
      <c r="AH253" s="231"/>
      <c r="AI253" s="231"/>
      <c r="AJ253" s="231"/>
      <c r="AK253" s="231"/>
      <c r="AL253" s="231"/>
      <c r="AM253" s="231"/>
    </row>
    <row r="254" spans="1:39" s="203" customFormat="1">
      <c r="A254" s="794">
        <v>11</v>
      </c>
      <c r="B254" s="116" t="s">
        <v>200</v>
      </c>
      <c r="C254" s="116"/>
      <c r="D254" s="116"/>
      <c r="E254" s="80">
        <v>3756</v>
      </c>
      <c r="F254" s="142">
        <f>SUM(F250:F253)</f>
        <v>3869</v>
      </c>
      <c r="G254" s="118"/>
      <c r="H254" s="142">
        <f>SUM(H250:H253)</f>
        <v>3945</v>
      </c>
      <c r="I254" s="260"/>
      <c r="J254" s="231"/>
      <c r="K254" s="231"/>
      <c r="L254" s="231"/>
      <c r="M254" s="231"/>
      <c r="N254" s="231"/>
      <c r="O254" s="231"/>
      <c r="P254" s="231"/>
      <c r="Q254" s="231"/>
      <c r="R254" s="231"/>
      <c r="S254" s="231"/>
      <c r="T254" s="231"/>
      <c r="U254" s="231"/>
      <c r="V254" s="231"/>
      <c r="W254" s="231"/>
      <c r="X254" s="231"/>
      <c r="Y254" s="231"/>
      <c r="Z254" s="231"/>
      <c r="AA254" s="231"/>
      <c r="AB254" s="231"/>
      <c r="AC254" s="231"/>
      <c r="AD254" s="231"/>
      <c r="AE254" s="231"/>
      <c r="AF254" s="231"/>
      <c r="AG254" s="231"/>
      <c r="AH254" s="231"/>
      <c r="AI254" s="231"/>
      <c r="AJ254" s="231"/>
      <c r="AK254" s="231"/>
      <c r="AL254" s="231"/>
      <c r="AM254" s="231"/>
    </row>
    <row r="255" spans="1:39" s="203" customFormat="1">
      <c r="A255" s="794"/>
      <c r="B255" s="116"/>
      <c r="C255" s="116"/>
      <c r="D255" s="116"/>
      <c r="E255" s="117"/>
      <c r="F255" s="118"/>
      <c r="G255" s="118"/>
      <c r="H255" s="118"/>
      <c r="I255" s="29"/>
      <c r="J255" s="231"/>
      <c r="K255" s="231"/>
      <c r="L255" s="231"/>
      <c r="M255" s="231"/>
      <c r="N255" s="231"/>
      <c r="O255" s="231"/>
      <c r="P255" s="231"/>
      <c r="Q255" s="231"/>
      <c r="R255" s="231"/>
      <c r="S255" s="231"/>
      <c r="T255" s="231"/>
      <c r="U255" s="231"/>
      <c r="V255" s="231"/>
      <c r="W255" s="231"/>
      <c r="X255" s="231"/>
      <c r="Y255" s="231"/>
      <c r="Z255" s="231"/>
      <c r="AA255" s="231"/>
      <c r="AB255" s="231"/>
      <c r="AC255" s="231"/>
      <c r="AD255" s="231"/>
      <c r="AE255" s="231"/>
      <c r="AF255" s="231"/>
      <c r="AG255" s="231"/>
      <c r="AH255" s="231"/>
      <c r="AI255" s="231"/>
      <c r="AJ255" s="231"/>
      <c r="AK255" s="231"/>
      <c r="AL255" s="231"/>
      <c r="AM255" s="231"/>
    </row>
    <row r="256" spans="1:39" s="203" customFormat="1">
      <c r="A256" s="794">
        <v>12</v>
      </c>
      <c r="B256" s="47" t="s">
        <v>201</v>
      </c>
      <c r="C256" s="47"/>
      <c r="D256" s="47"/>
      <c r="E256" s="176">
        <v>1259</v>
      </c>
      <c r="F256" s="136">
        <v>1271</v>
      </c>
      <c r="G256" s="118"/>
      <c r="H256" s="177">
        <v>1321</v>
      </c>
      <c r="I256" s="260"/>
      <c r="J256" s="231"/>
      <c r="K256" s="231"/>
      <c r="L256" s="231"/>
      <c r="M256" s="231"/>
      <c r="N256" s="231"/>
      <c r="O256" s="231"/>
      <c r="P256" s="231"/>
      <c r="Q256" s="231"/>
      <c r="R256" s="231"/>
      <c r="S256" s="231"/>
      <c r="T256" s="231"/>
      <c r="U256" s="231"/>
      <c r="V256" s="231"/>
      <c r="W256" s="231"/>
      <c r="X256" s="231"/>
      <c r="Y256" s="231"/>
      <c r="Z256" s="231"/>
      <c r="AA256" s="231"/>
      <c r="AB256" s="231"/>
      <c r="AC256" s="231"/>
      <c r="AD256" s="231"/>
      <c r="AE256" s="231"/>
      <c r="AF256" s="231"/>
      <c r="AG256" s="231"/>
      <c r="AH256" s="231"/>
      <c r="AI256" s="231"/>
      <c r="AJ256" s="231"/>
      <c r="AK256" s="231"/>
      <c r="AL256" s="231"/>
      <c r="AM256" s="231"/>
    </row>
    <row r="257" spans="1:39" s="203" customFormat="1">
      <c r="A257" s="124">
        <v>13</v>
      </c>
      <c r="B257" s="94" t="s">
        <v>202</v>
      </c>
      <c r="C257" s="94"/>
      <c r="D257" s="94"/>
      <c r="E257" s="159">
        <v>6982</v>
      </c>
      <c r="F257" s="61">
        <f>F242+F247+F254+F256</f>
        <v>6891</v>
      </c>
      <c r="G257" s="118"/>
      <c r="H257" s="61">
        <f>H242+H247+H254+H256</f>
        <v>7036</v>
      </c>
      <c r="I257" s="21"/>
      <c r="J257" s="231"/>
      <c r="K257" s="231"/>
      <c r="L257" s="231"/>
      <c r="M257" s="231"/>
      <c r="N257" s="231"/>
      <c r="O257" s="231"/>
      <c r="P257" s="231"/>
      <c r="Q257" s="231"/>
      <c r="R257" s="231"/>
      <c r="S257" s="231"/>
      <c r="T257" s="231"/>
      <c r="U257" s="231"/>
      <c r="V257" s="231"/>
      <c r="W257" s="231"/>
      <c r="X257" s="231"/>
      <c r="Y257" s="231"/>
      <c r="Z257" s="231"/>
      <c r="AA257" s="231"/>
      <c r="AB257" s="231"/>
      <c r="AC257" s="231"/>
      <c r="AD257" s="231"/>
      <c r="AE257" s="231"/>
      <c r="AF257" s="231"/>
      <c r="AG257" s="231"/>
      <c r="AH257" s="231"/>
      <c r="AI257" s="231"/>
      <c r="AJ257" s="231"/>
      <c r="AK257" s="231"/>
      <c r="AL257" s="231"/>
      <c r="AM257" s="231"/>
    </row>
    <row r="258" spans="1:39" s="203" customFormat="1">
      <c r="A258" s="207"/>
      <c r="B258" s="207"/>
      <c r="C258" s="207"/>
      <c r="D258" s="208"/>
      <c r="E258" s="208"/>
      <c r="F258" s="207"/>
      <c r="G258" s="207"/>
      <c r="H258" s="207"/>
      <c r="I258" s="21"/>
      <c r="J258" s="231"/>
      <c r="K258" s="231"/>
      <c r="L258" s="231"/>
      <c r="M258" s="231"/>
      <c r="N258" s="231"/>
      <c r="O258" s="231"/>
      <c r="P258" s="231"/>
      <c r="Q258" s="231"/>
      <c r="R258" s="231"/>
      <c r="S258" s="231"/>
      <c r="T258" s="231"/>
      <c r="U258" s="231"/>
      <c r="V258" s="231"/>
      <c r="W258" s="231"/>
      <c r="X258" s="231"/>
      <c r="Y258" s="231"/>
      <c r="Z258" s="231"/>
      <c r="AA258" s="231"/>
      <c r="AB258" s="231"/>
      <c r="AC258" s="231"/>
      <c r="AD258" s="231"/>
      <c r="AE258" s="231"/>
      <c r="AF258" s="231"/>
      <c r="AG258" s="231"/>
      <c r="AH258" s="231"/>
      <c r="AI258" s="231"/>
      <c r="AJ258" s="231"/>
      <c r="AK258" s="231"/>
      <c r="AL258" s="231"/>
      <c r="AM258" s="231"/>
    </row>
    <row r="259" spans="1:39" s="203" customFormat="1">
      <c r="A259" s="23"/>
      <c r="B259" s="207"/>
      <c r="C259" s="207"/>
      <c r="D259" s="207"/>
      <c r="E259" s="207"/>
      <c r="F259" s="207"/>
      <c r="G259" s="207"/>
      <c r="H259" s="21"/>
      <c r="I259" s="21"/>
      <c r="J259" s="231"/>
      <c r="K259" s="231"/>
      <c r="L259" s="231"/>
      <c r="M259" s="231"/>
      <c r="N259" s="231"/>
      <c r="O259" s="231"/>
      <c r="P259" s="231"/>
      <c r="Q259" s="231"/>
      <c r="R259" s="231"/>
      <c r="S259" s="231"/>
      <c r="T259" s="231"/>
      <c r="U259" s="231"/>
      <c r="V259" s="231"/>
      <c r="W259" s="231"/>
      <c r="X259" s="231"/>
      <c r="Y259" s="231"/>
      <c r="Z259" s="231"/>
      <c r="AA259" s="231"/>
      <c r="AB259" s="231"/>
      <c r="AC259" s="231"/>
      <c r="AD259" s="231"/>
      <c r="AE259" s="231"/>
      <c r="AF259" s="231"/>
      <c r="AG259" s="231"/>
      <c r="AH259" s="231"/>
      <c r="AI259" s="231"/>
      <c r="AJ259" s="231"/>
      <c r="AK259" s="231"/>
      <c r="AL259" s="231"/>
      <c r="AM259" s="231"/>
    </row>
    <row r="260" spans="1:39" s="203" customFormat="1">
      <c r="A260" s="148"/>
      <c r="B260" s="29"/>
      <c r="C260" s="29"/>
      <c r="D260" s="172"/>
      <c r="E260" s="152"/>
      <c r="F260" s="29"/>
      <c r="G260" s="29"/>
      <c r="H260" s="131" t="s">
        <v>27</v>
      </c>
      <c r="I260" s="21"/>
      <c r="J260" s="231"/>
      <c r="K260" s="231"/>
      <c r="L260" s="231"/>
      <c r="M260" s="231"/>
      <c r="N260" s="231"/>
      <c r="O260" s="231"/>
      <c r="P260" s="231"/>
      <c r="Q260" s="231"/>
      <c r="R260" s="231"/>
      <c r="S260" s="231"/>
      <c r="T260" s="231"/>
      <c r="U260" s="231"/>
      <c r="V260" s="231"/>
      <c r="W260" s="231"/>
      <c r="X260" s="231"/>
      <c r="Y260" s="231"/>
      <c r="Z260" s="231"/>
      <c r="AA260" s="231"/>
      <c r="AB260" s="231"/>
      <c r="AC260" s="231"/>
      <c r="AD260" s="231"/>
      <c r="AE260" s="231"/>
      <c r="AF260" s="231"/>
      <c r="AG260" s="231"/>
      <c r="AH260" s="231"/>
      <c r="AI260" s="231"/>
      <c r="AJ260" s="231"/>
      <c r="AK260" s="231"/>
      <c r="AL260" s="231"/>
      <c r="AM260" s="231"/>
    </row>
    <row r="261" spans="1:39" s="203" customFormat="1" ht="12.75" customHeight="1">
      <c r="A261" s="106" t="s">
        <v>15</v>
      </c>
      <c r="B261" s="164"/>
      <c r="C261" s="164"/>
      <c r="D261" s="164"/>
      <c r="E261" s="856" t="s">
        <v>377</v>
      </c>
      <c r="F261" s="856" t="s">
        <v>402</v>
      </c>
      <c r="G261" s="130"/>
      <c r="H261" s="856" t="s">
        <v>403</v>
      </c>
      <c r="I261" s="21"/>
      <c r="J261" s="231"/>
      <c r="K261" s="231"/>
      <c r="L261" s="231"/>
      <c r="M261" s="231"/>
      <c r="N261" s="231"/>
      <c r="O261" s="231"/>
      <c r="P261" s="231"/>
      <c r="Q261" s="231"/>
      <c r="R261" s="231"/>
      <c r="S261" s="231"/>
      <c r="T261" s="231"/>
      <c r="U261" s="231"/>
      <c r="V261" s="231"/>
      <c r="W261" s="231"/>
      <c r="X261" s="231"/>
      <c r="Y261" s="231"/>
      <c r="Z261" s="231"/>
      <c r="AA261" s="231"/>
      <c r="AB261" s="231"/>
      <c r="AC261" s="231"/>
      <c r="AD261" s="231"/>
      <c r="AE261" s="231"/>
      <c r="AF261" s="231"/>
      <c r="AG261" s="231"/>
      <c r="AH261" s="231"/>
      <c r="AI261" s="231"/>
      <c r="AJ261" s="231"/>
      <c r="AK261" s="231"/>
      <c r="AL261" s="231"/>
      <c r="AM261" s="231"/>
    </row>
    <row r="262" spans="1:39" s="203" customFormat="1">
      <c r="A262" s="165"/>
      <c r="B262" s="47"/>
      <c r="C262" s="47"/>
      <c r="D262" s="47"/>
      <c r="E262" s="859"/>
      <c r="F262" s="859"/>
      <c r="G262" s="130"/>
      <c r="H262" s="859"/>
      <c r="I262" s="21"/>
      <c r="J262" s="231"/>
      <c r="K262" s="231"/>
      <c r="L262" s="231"/>
      <c r="M262" s="231"/>
      <c r="N262" s="231"/>
      <c r="O262" s="231"/>
      <c r="P262" s="231"/>
      <c r="Q262" s="231"/>
      <c r="R262" s="231"/>
      <c r="S262" s="231"/>
      <c r="T262" s="231"/>
      <c r="U262" s="231"/>
      <c r="V262" s="231"/>
      <c r="W262" s="231"/>
      <c r="X262" s="231"/>
      <c r="Y262" s="231"/>
      <c r="Z262" s="231"/>
      <c r="AA262" s="231"/>
      <c r="AB262" s="231"/>
      <c r="AC262" s="231"/>
      <c r="AD262" s="231"/>
      <c r="AE262" s="231"/>
      <c r="AF262" s="231"/>
      <c r="AG262" s="231"/>
      <c r="AH262" s="231"/>
      <c r="AI262" s="231"/>
      <c r="AJ262" s="231"/>
      <c r="AK262" s="231"/>
      <c r="AL262" s="231"/>
      <c r="AM262" s="231"/>
    </row>
    <row r="263" spans="1:39" s="203" customFormat="1">
      <c r="A263" s="109"/>
      <c r="B263" s="174"/>
      <c r="C263" s="174"/>
      <c r="D263" s="174"/>
      <c r="E263" s="859"/>
      <c r="F263" s="859"/>
      <c r="G263" s="130"/>
      <c r="H263" s="859"/>
      <c r="I263" s="21"/>
      <c r="J263" s="231"/>
      <c r="K263" s="231"/>
      <c r="L263" s="231"/>
      <c r="M263" s="231"/>
      <c r="N263" s="231"/>
      <c r="O263" s="231"/>
      <c r="P263" s="231"/>
      <c r="Q263" s="231"/>
      <c r="R263" s="231"/>
      <c r="S263" s="231"/>
      <c r="T263" s="231"/>
      <c r="U263" s="231"/>
      <c r="V263" s="231"/>
      <c r="W263" s="231"/>
      <c r="X263" s="231"/>
      <c r="Y263" s="231"/>
      <c r="Z263" s="231"/>
      <c r="AA263" s="231"/>
      <c r="AB263" s="231"/>
      <c r="AC263" s="231"/>
      <c r="AD263" s="231"/>
      <c r="AE263" s="231"/>
      <c r="AF263" s="231"/>
      <c r="AG263" s="231"/>
      <c r="AH263" s="231"/>
      <c r="AI263" s="231"/>
      <c r="AJ263" s="231"/>
      <c r="AK263" s="231"/>
      <c r="AL263" s="231"/>
      <c r="AM263" s="231"/>
    </row>
    <row r="264" spans="1:39" s="203" customFormat="1">
      <c r="A264" s="154" t="s">
        <v>203</v>
      </c>
      <c r="B264" s="47"/>
      <c r="C264" s="47"/>
      <c r="D264" s="47"/>
      <c r="E264" s="859"/>
      <c r="F264" s="859"/>
      <c r="G264" s="130"/>
      <c r="H264" s="859"/>
      <c r="I264" s="21"/>
      <c r="J264" s="231"/>
      <c r="K264" s="231"/>
      <c r="L264" s="231"/>
      <c r="M264" s="231"/>
      <c r="N264" s="231"/>
      <c r="O264" s="231"/>
      <c r="P264" s="231"/>
      <c r="Q264" s="231"/>
      <c r="R264" s="231"/>
      <c r="S264" s="231"/>
      <c r="T264" s="231"/>
      <c r="U264" s="231"/>
      <c r="V264" s="231"/>
      <c r="W264" s="231"/>
      <c r="X264" s="231"/>
      <c r="Y264" s="231"/>
      <c r="Z264" s="231"/>
      <c r="AA264" s="231"/>
      <c r="AB264" s="231"/>
      <c r="AC264" s="231"/>
      <c r="AD264" s="231"/>
      <c r="AE264" s="231"/>
      <c r="AF264" s="231"/>
      <c r="AG264" s="231"/>
      <c r="AH264" s="231"/>
      <c r="AI264" s="231"/>
      <c r="AJ264" s="231"/>
      <c r="AK264" s="231"/>
      <c r="AL264" s="231"/>
      <c r="AM264" s="231"/>
    </row>
    <row r="265" spans="1:39" s="203" customFormat="1">
      <c r="A265" s="109" t="s">
        <v>83</v>
      </c>
      <c r="B265" s="174"/>
      <c r="C265" s="174"/>
      <c r="D265" s="174"/>
      <c r="E265" s="860"/>
      <c r="F265" s="860"/>
      <c r="G265" s="130"/>
      <c r="H265" s="860"/>
      <c r="I265" s="21"/>
      <c r="J265" s="231"/>
      <c r="K265" s="231"/>
      <c r="L265" s="231"/>
      <c r="M265" s="231"/>
      <c r="N265" s="231"/>
      <c r="O265" s="231"/>
      <c r="P265" s="231"/>
      <c r="Q265" s="231"/>
      <c r="R265" s="231"/>
      <c r="S265" s="231"/>
      <c r="T265" s="231"/>
      <c r="U265" s="231"/>
      <c r="V265" s="231"/>
      <c r="W265" s="231"/>
      <c r="X265" s="231"/>
      <c r="Y265" s="231"/>
      <c r="Z265" s="231"/>
      <c r="AA265" s="231"/>
      <c r="AB265" s="231"/>
      <c r="AC265" s="231"/>
      <c r="AD265" s="231"/>
      <c r="AE265" s="231"/>
      <c r="AF265" s="231"/>
      <c r="AG265" s="231"/>
      <c r="AH265" s="231"/>
      <c r="AI265" s="231"/>
      <c r="AJ265" s="231"/>
      <c r="AK265" s="231"/>
      <c r="AL265" s="231"/>
      <c r="AM265" s="231"/>
    </row>
    <row r="266" spans="1:39" s="203" customFormat="1">
      <c r="A266" s="110" t="s">
        <v>84</v>
      </c>
      <c r="B266" s="116"/>
      <c r="C266" s="116"/>
      <c r="D266" s="116"/>
      <c r="E266" s="178"/>
      <c r="F266" s="146"/>
      <c r="G266" s="118"/>
      <c r="H266" s="146"/>
      <c r="I266" s="21"/>
      <c r="J266" s="231"/>
      <c r="K266" s="231"/>
      <c r="L266" s="231"/>
      <c r="M266" s="231"/>
      <c r="N266" s="231"/>
      <c r="O266" s="231"/>
      <c r="P266" s="231"/>
      <c r="Q266" s="231"/>
      <c r="R266" s="231"/>
      <c r="S266" s="231"/>
      <c r="T266" s="231"/>
      <c r="U266" s="231"/>
      <c r="V266" s="231"/>
      <c r="W266" s="231"/>
      <c r="X266" s="231"/>
      <c r="Y266" s="231"/>
      <c r="Z266" s="231"/>
      <c r="AA266" s="231"/>
      <c r="AB266" s="231"/>
      <c r="AC266" s="231"/>
      <c r="AD266" s="231"/>
      <c r="AE266" s="231"/>
      <c r="AF266" s="231"/>
      <c r="AG266" s="231"/>
      <c r="AH266" s="231"/>
      <c r="AI266" s="231"/>
      <c r="AJ266" s="231"/>
      <c r="AK266" s="231"/>
      <c r="AL266" s="231"/>
      <c r="AM266" s="231"/>
    </row>
    <row r="267" spans="1:39" s="203" customFormat="1">
      <c r="A267" s="120">
        <v>1</v>
      </c>
      <c r="B267" s="47" t="s">
        <v>204</v>
      </c>
      <c r="C267" s="47"/>
      <c r="D267" s="47"/>
      <c r="E267" s="74">
        <v>-19</v>
      </c>
      <c r="F267" s="52">
        <v>-19</v>
      </c>
      <c r="G267" s="118"/>
      <c r="H267" s="122">
        <v>-19</v>
      </c>
      <c r="I267" s="21"/>
      <c r="J267" s="231"/>
      <c r="K267" s="231"/>
      <c r="L267" s="231"/>
      <c r="M267" s="231"/>
      <c r="N267" s="231"/>
      <c r="O267" s="231"/>
      <c r="P267" s="231"/>
      <c r="Q267" s="231"/>
      <c r="R267" s="231"/>
      <c r="S267" s="231"/>
      <c r="T267" s="231"/>
      <c r="U267" s="231"/>
      <c r="V267" s="231"/>
      <c r="W267" s="231"/>
      <c r="X267" s="231"/>
      <c r="Y267" s="231"/>
      <c r="Z267" s="231"/>
      <c r="AA267" s="231"/>
      <c r="AB267" s="231"/>
      <c r="AC267" s="231"/>
      <c r="AD267" s="231"/>
      <c r="AE267" s="231"/>
      <c r="AF267" s="231"/>
      <c r="AG267" s="231"/>
      <c r="AH267" s="231"/>
      <c r="AI267" s="231"/>
      <c r="AJ267" s="231"/>
      <c r="AK267" s="231"/>
      <c r="AL267" s="231"/>
      <c r="AM267" s="231"/>
    </row>
    <row r="268" spans="1:39" s="203" customFormat="1">
      <c r="A268" s="794">
        <v>2</v>
      </c>
      <c r="B268" s="166" t="s">
        <v>205</v>
      </c>
      <c r="C268" s="166"/>
      <c r="D268" s="47"/>
      <c r="E268" s="114">
        <v>27</v>
      </c>
      <c r="F268" s="52">
        <v>279</v>
      </c>
      <c r="G268" s="118"/>
      <c r="H268" s="122">
        <v>6</v>
      </c>
      <c r="I268" s="21"/>
      <c r="J268" s="231"/>
      <c r="K268" s="231"/>
      <c r="L268" s="231"/>
      <c r="M268" s="231"/>
      <c r="N268" s="231"/>
      <c r="O268" s="231"/>
      <c r="P268" s="231"/>
      <c r="Q268" s="231"/>
      <c r="R268" s="231"/>
      <c r="S268" s="231"/>
      <c r="T268" s="231"/>
      <c r="U268" s="231"/>
      <c r="V268" s="231"/>
      <c r="W268" s="231"/>
      <c r="X268" s="231"/>
      <c r="Y268" s="231"/>
      <c r="Z268" s="231"/>
      <c r="AA268" s="231"/>
      <c r="AB268" s="231"/>
      <c r="AC268" s="231"/>
      <c r="AD268" s="231"/>
      <c r="AE268" s="231"/>
      <c r="AF268" s="231"/>
      <c r="AG268" s="231"/>
      <c r="AH268" s="231"/>
      <c r="AI268" s="231"/>
      <c r="AJ268" s="231"/>
      <c r="AK268" s="231"/>
      <c r="AL268" s="231"/>
      <c r="AM268" s="231"/>
    </row>
    <row r="269" spans="1:39" s="203" customFormat="1">
      <c r="A269" s="120">
        <v>3</v>
      </c>
      <c r="B269" s="47" t="s">
        <v>206</v>
      </c>
      <c r="C269" s="47"/>
      <c r="D269" s="168"/>
      <c r="E269" s="114">
        <v>237</v>
      </c>
      <c r="F269" s="52">
        <v>238</v>
      </c>
      <c r="G269" s="118"/>
      <c r="H269" s="122">
        <v>238</v>
      </c>
      <c r="I269" s="21"/>
      <c r="J269" s="231"/>
      <c r="K269" s="231"/>
      <c r="L269" s="231"/>
      <c r="M269" s="231"/>
      <c r="N269" s="231"/>
      <c r="O269" s="231"/>
      <c r="P269" s="231"/>
      <c r="Q269" s="231"/>
      <c r="R269" s="231"/>
      <c r="S269" s="231"/>
      <c r="T269" s="231"/>
      <c r="U269" s="231"/>
      <c r="V269" s="231"/>
      <c r="W269" s="231"/>
      <c r="X269" s="231"/>
      <c r="Y269" s="231"/>
      <c r="Z269" s="231"/>
      <c r="AA269" s="231"/>
      <c r="AB269" s="231"/>
      <c r="AC269" s="231"/>
      <c r="AD269" s="231"/>
      <c r="AE269" s="231"/>
      <c r="AF269" s="231"/>
      <c r="AG269" s="231"/>
      <c r="AH269" s="231"/>
      <c r="AI269" s="231"/>
      <c r="AJ269" s="231"/>
      <c r="AK269" s="231"/>
      <c r="AL269" s="231"/>
      <c r="AM269" s="231"/>
    </row>
    <row r="270" spans="1:39" s="203" customFormat="1">
      <c r="A270" s="794">
        <v>4</v>
      </c>
      <c r="B270" s="47" t="s">
        <v>207</v>
      </c>
      <c r="C270" s="47"/>
      <c r="D270" s="116"/>
      <c r="E270" s="114">
        <v>188</v>
      </c>
      <c r="F270" s="52">
        <v>24</v>
      </c>
      <c r="G270" s="118"/>
      <c r="H270" s="122">
        <v>229</v>
      </c>
      <c r="I270" s="21"/>
      <c r="J270" s="231"/>
      <c r="K270" s="231"/>
      <c r="L270" s="231"/>
      <c r="M270" s="231"/>
      <c r="N270" s="231"/>
      <c r="O270" s="231"/>
      <c r="P270" s="231"/>
      <c r="Q270" s="231"/>
      <c r="R270" s="231"/>
      <c r="S270" s="231"/>
      <c r="T270" s="231"/>
      <c r="U270" s="231"/>
      <c r="V270" s="231"/>
      <c r="W270" s="231"/>
      <c r="X270" s="231"/>
      <c r="Y270" s="231"/>
      <c r="Z270" s="231"/>
      <c r="AA270" s="231"/>
      <c r="AB270" s="231"/>
      <c r="AC270" s="231"/>
      <c r="AD270" s="231"/>
      <c r="AE270" s="231"/>
      <c r="AF270" s="231"/>
      <c r="AG270" s="231"/>
      <c r="AH270" s="231"/>
      <c r="AI270" s="231"/>
      <c r="AJ270" s="231"/>
      <c r="AK270" s="231"/>
      <c r="AL270" s="231"/>
      <c r="AM270" s="231"/>
    </row>
    <row r="271" spans="1:39" s="203" customFormat="1">
      <c r="A271" s="120">
        <v>5</v>
      </c>
      <c r="B271" s="47" t="s">
        <v>208</v>
      </c>
      <c r="C271" s="47"/>
      <c r="D271" s="47"/>
      <c r="E271" s="114">
        <v>523</v>
      </c>
      <c r="F271" s="52">
        <v>504</v>
      </c>
      <c r="G271" s="118"/>
      <c r="H271" s="122">
        <v>501</v>
      </c>
      <c r="I271" s="21"/>
      <c r="J271" s="231"/>
      <c r="K271" s="231"/>
      <c r="L271" s="231"/>
      <c r="M271" s="231"/>
      <c r="N271" s="231"/>
      <c r="O271" s="231"/>
      <c r="P271" s="231"/>
      <c r="Q271" s="231"/>
      <c r="R271" s="231"/>
      <c r="S271" s="231"/>
      <c r="T271" s="231"/>
      <c r="U271" s="231"/>
      <c r="V271" s="231"/>
      <c r="W271" s="231"/>
      <c r="X271" s="231"/>
      <c r="Y271" s="231"/>
      <c r="Z271" s="231"/>
      <c r="AA271" s="231"/>
      <c r="AB271" s="231"/>
      <c r="AC271" s="231"/>
      <c r="AD271" s="231"/>
      <c r="AE271" s="231"/>
      <c r="AF271" s="231"/>
      <c r="AG271" s="231"/>
      <c r="AH271" s="231"/>
      <c r="AI271" s="231"/>
      <c r="AJ271" s="231"/>
      <c r="AK271" s="231"/>
      <c r="AL271" s="231"/>
      <c r="AM271" s="231"/>
    </row>
    <row r="272" spans="1:39" s="203" customFormat="1">
      <c r="A272" s="794">
        <v>6</v>
      </c>
      <c r="B272" s="47" t="s">
        <v>209</v>
      </c>
      <c r="C272" s="47"/>
      <c r="D272" s="47"/>
      <c r="E272" s="114">
        <v>0</v>
      </c>
      <c r="F272" s="52">
        <v>0</v>
      </c>
      <c r="G272" s="118"/>
      <c r="H272" s="122">
        <v>0</v>
      </c>
      <c r="I272" s="21"/>
      <c r="J272" s="231"/>
      <c r="K272" s="231"/>
      <c r="L272" s="231"/>
      <c r="M272" s="231"/>
      <c r="N272" s="231"/>
      <c r="O272" s="231"/>
      <c r="P272" s="231"/>
      <c r="Q272" s="231"/>
      <c r="R272" s="231"/>
      <c r="S272" s="231"/>
      <c r="T272" s="231"/>
      <c r="U272" s="231"/>
      <c r="V272" s="231"/>
      <c r="W272" s="231"/>
      <c r="X272" s="231"/>
      <c r="Y272" s="231"/>
      <c r="Z272" s="231"/>
      <c r="AA272" s="231"/>
      <c r="AB272" s="231"/>
      <c r="AC272" s="231"/>
      <c r="AD272" s="231"/>
      <c r="AE272" s="231"/>
      <c r="AF272" s="231"/>
      <c r="AG272" s="231"/>
      <c r="AH272" s="231"/>
      <c r="AI272" s="231"/>
      <c r="AJ272" s="231"/>
      <c r="AK272" s="231"/>
      <c r="AL272" s="231"/>
      <c r="AM272" s="231"/>
    </row>
    <row r="273" spans="1:39" s="203" customFormat="1">
      <c r="A273" s="120">
        <v>7</v>
      </c>
      <c r="B273" s="47" t="s">
        <v>210</v>
      </c>
      <c r="C273" s="47"/>
      <c r="D273" s="47"/>
      <c r="E273" s="114">
        <v>1513</v>
      </c>
      <c r="F273" s="52">
        <v>1583</v>
      </c>
      <c r="G273" s="118"/>
      <c r="H273" s="122">
        <v>1441</v>
      </c>
      <c r="I273" s="21"/>
      <c r="J273" s="231"/>
      <c r="K273" s="231"/>
      <c r="L273" s="231"/>
      <c r="M273" s="231"/>
      <c r="N273" s="231"/>
      <c r="O273" s="231"/>
      <c r="P273" s="231"/>
      <c r="Q273" s="231"/>
      <c r="R273" s="231"/>
      <c r="S273" s="231"/>
      <c r="T273" s="231"/>
      <c r="U273" s="231"/>
      <c r="V273" s="231"/>
      <c r="W273" s="231"/>
      <c r="X273" s="231"/>
      <c r="Y273" s="231"/>
      <c r="Z273" s="231"/>
      <c r="AA273" s="231"/>
      <c r="AB273" s="231"/>
      <c r="AC273" s="231"/>
      <c r="AD273" s="231"/>
      <c r="AE273" s="231"/>
      <c r="AF273" s="231"/>
      <c r="AG273" s="231"/>
      <c r="AH273" s="231"/>
      <c r="AI273" s="231"/>
      <c r="AJ273" s="231"/>
      <c r="AK273" s="231"/>
      <c r="AL273" s="231"/>
      <c r="AM273" s="231"/>
    </row>
    <row r="274" spans="1:39" s="203" customFormat="1">
      <c r="A274" s="794">
        <v>8</v>
      </c>
      <c r="B274" s="47" t="s">
        <v>211</v>
      </c>
      <c r="C274" s="47"/>
      <c r="D274" s="47"/>
      <c r="E274" s="114">
        <v>1089</v>
      </c>
      <c r="F274" s="52">
        <v>1055</v>
      </c>
      <c r="G274" s="118"/>
      <c r="H274" s="122">
        <v>1059</v>
      </c>
      <c r="I274" s="21"/>
      <c r="J274" s="231"/>
      <c r="K274" s="231"/>
      <c r="L274" s="231"/>
      <c r="M274" s="231"/>
      <c r="N274" s="231"/>
      <c r="O274" s="231"/>
      <c r="P274" s="231"/>
      <c r="Q274" s="231"/>
      <c r="R274" s="231"/>
      <c r="S274" s="231"/>
      <c r="T274" s="231"/>
      <c r="U274" s="231"/>
      <c r="V274" s="231"/>
      <c r="W274" s="231"/>
      <c r="X274" s="231"/>
      <c r="Y274" s="231"/>
      <c r="Z274" s="231"/>
      <c r="AA274" s="231"/>
      <c r="AB274" s="231"/>
      <c r="AC274" s="231"/>
      <c r="AD274" s="231"/>
      <c r="AE274" s="231"/>
      <c r="AF274" s="231"/>
      <c r="AG274" s="231"/>
      <c r="AH274" s="231"/>
      <c r="AI274" s="231"/>
      <c r="AJ274" s="231"/>
      <c r="AK274" s="231"/>
      <c r="AL274" s="231"/>
      <c r="AM274" s="231"/>
    </row>
    <row r="275" spans="1:39" s="203" customFormat="1">
      <c r="A275" s="120">
        <v>9</v>
      </c>
      <c r="B275" s="47" t="s">
        <v>212</v>
      </c>
      <c r="C275" s="47"/>
      <c r="D275" s="47"/>
      <c r="E275" s="114">
        <v>276</v>
      </c>
      <c r="F275" s="52">
        <v>292</v>
      </c>
      <c r="G275" s="118"/>
      <c r="H275" s="122">
        <v>289</v>
      </c>
      <c r="I275" s="21"/>
      <c r="J275" s="231"/>
      <c r="K275" s="231"/>
      <c r="L275" s="231"/>
      <c r="M275" s="231"/>
      <c r="N275" s="231"/>
      <c r="O275" s="231"/>
      <c r="P275" s="231"/>
      <c r="Q275" s="231"/>
      <c r="R275" s="231"/>
      <c r="S275" s="231"/>
      <c r="T275" s="231"/>
      <c r="U275" s="231"/>
      <c r="V275" s="231"/>
      <c r="W275" s="231"/>
      <c r="X275" s="231"/>
      <c r="Y275" s="231"/>
      <c r="Z275" s="231"/>
      <c r="AA275" s="231"/>
      <c r="AB275" s="231"/>
      <c r="AC275" s="231"/>
      <c r="AD275" s="231"/>
      <c r="AE275" s="231"/>
      <c r="AF275" s="231"/>
      <c r="AG275" s="231"/>
      <c r="AH275" s="231"/>
      <c r="AI275" s="231"/>
      <c r="AJ275" s="231"/>
      <c r="AK275" s="231"/>
      <c r="AL275" s="231"/>
      <c r="AM275" s="231"/>
    </row>
    <row r="276" spans="1:39" s="203" customFormat="1">
      <c r="A276" s="794">
        <v>10</v>
      </c>
      <c r="B276" s="47" t="s">
        <v>213</v>
      </c>
      <c r="C276" s="47"/>
      <c r="D276" s="47"/>
      <c r="E276" s="114">
        <v>2177</v>
      </c>
      <c r="F276" s="52">
        <f>1575+2049</f>
        <v>3624</v>
      </c>
      <c r="G276" s="118"/>
      <c r="H276" s="99">
        <f>2+2147</f>
        <v>2149</v>
      </c>
      <c r="I276" s="21"/>
      <c r="J276" s="231"/>
      <c r="K276" s="231"/>
      <c r="L276" s="231"/>
      <c r="M276" s="231"/>
      <c r="N276" s="231"/>
      <c r="O276" s="231"/>
      <c r="P276" s="231"/>
      <c r="Q276" s="231"/>
      <c r="R276" s="231"/>
      <c r="S276" s="231"/>
      <c r="T276" s="231"/>
      <c r="U276" s="231"/>
      <c r="V276" s="231"/>
      <c r="W276" s="231"/>
      <c r="X276" s="231"/>
      <c r="Y276" s="231"/>
      <c r="Z276" s="231"/>
      <c r="AA276" s="231"/>
      <c r="AB276" s="231"/>
      <c r="AC276" s="231"/>
      <c r="AD276" s="231"/>
      <c r="AE276" s="231"/>
      <c r="AF276" s="231"/>
      <c r="AG276" s="231"/>
      <c r="AH276" s="231"/>
      <c r="AI276" s="231"/>
      <c r="AJ276" s="231"/>
      <c r="AK276" s="231"/>
      <c r="AL276" s="231"/>
      <c r="AM276" s="231"/>
    </row>
    <row r="277" spans="1:39" s="203" customFormat="1">
      <c r="A277" s="124">
        <v>11</v>
      </c>
      <c r="B277" s="94" t="s">
        <v>214</v>
      </c>
      <c r="C277" s="94"/>
      <c r="D277" s="94"/>
      <c r="E277" s="159">
        <v>6011</v>
      </c>
      <c r="F277" s="61">
        <f>SUM(F267:F276)</f>
        <v>7580</v>
      </c>
      <c r="G277" s="118"/>
      <c r="H277" s="61">
        <f>SUM(H267:H276)</f>
        <v>5893</v>
      </c>
      <c r="I277" s="21"/>
      <c r="J277" s="231"/>
      <c r="K277" s="231"/>
      <c r="L277" s="231"/>
      <c r="M277" s="231"/>
      <c r="N277" s="231"/>
      <c r="O277" s="231"/>
      <c r="P277" s="231"/>
      <c r="Q277" s="231"/>
      <c r="R277" s="231"/>
      <c r="S277" s="231"/>
      <c r="T277" s="231"/>
      <c r="U277" s="231"/>
      <c r="V277" s="231"/>
      <c r="W277" s="231"/>
      <c r="X277" s="231"/>
      <c r="Y277" s="231"/>
      <c r="Z277" s="231"/>
      <c r="AA277" s="231"/>
      <c r="AB277" s="231"/>
      <c r="AC277" s="231"/>
      <c r="AD277" s="231"/>
      <c r="AE277" s="231"/>
      <c r="AF277" s="231"/>
      <c r="AG277" s="231"/>
      <c r="AH277" s="231"/>
      <c r="AI277" s="231"/>
      <c r="AJ277" s="231"/>
      <c r="AK277" s="231"/>
      <c r="AL277" s="231"/>
      <c r="AM277" s="231"/>
    </row>
    <row r="278" spans="1:39" s="203" customFormat="1">
      <c r="A278" s="207"/>
      <c r="B278" s="207"/>
      <c r="C278" s="207"/>
      <c r="D278" s="207"/>
      <c r="E278" s="207"/>
      <c r="F278" s="207"/>
      <c r="G278" s="207"/>
      <c r="H278" s="207"/>
      <c r="I278" s="21"/>
      <c r="J278" s="231"/>
      <c r="K278" s="231"/>
      <c r="L278" s="231"/>
      <c r="M278" s="231"/>
      <c r="N278" s="231"/>
      <c r="O278" s="231"/>
      <c r="P278" s="231"/>
      <c r="Q278" s="231"/>
      <c r="R278" s="231"/>
      <c r="S278" s="231"/>
      <c r="T278" s="231"/>
      <c r="U278" s="231"/>
      <c r="V278" s="231"/>
      <c r="W278" s="231"/>
      <c r="X278" s="231"/>
      <c r="Y278" s="231"/>
      <c r="Z278" s="231"/>
      <c r="AA278" s="231"/>
      <c r="AB278" s="231"/>
      <c r="AC278" s="231"/>
      <c r="AD278" s="231"/>
      <c r="AE278" s="231"/>
      <c r="AF278" s="231"/>
      <c r="AG278" s="231"/>
      <c r="AH278" s="231"/>
      <c r="AI278" s="231"/>
      <c r="AJ278" s="231"/>
      <c r="AK278" s="231"/>
      <c r="AL278" s="231"/>
      <c r="AM278" s="231"/>
    </row>
    <row r="279" spans="1:39" s="203" customFormat="1">
      <c r="A279" s="207"/>
      <c r="B279" s="207"/>
      <c r="C279" s="207"/>
      <c r="D279" s="207"/>
      <c r="E279" s="207"/>
      <c r="F279" s="207"/>
      <c r="G279" s="207"/>
      <c r="H279" s="131" t="s">
        <v>27</v>
      </c>
      <c r="I279" s="21"/>
      <c r="J279" s="231"/>
      <c r="K279" s="231"/>
      <c r="L279" s="231"/>
      <c r="M279" s="231"/>
      <c r="N279" s="231"/>
      <c r="O279" s="231"/>
      <c r="P279" s="231"/>
      <c r="Q279" s="231"/>
      <c r="R279" s="231"/>
      <c r="S279" s="231"/>
      <c r="T279" s="231"/>
      <c r="U279" s="231"/>
      <c r="V279" s="231"/>
      <c r="W279" s="231"/>
      <c r="X279" s="231"/>
      <c r="Y279" s="231"/>
      <c r="Z279" s="231"/>
      <c r="AA279" s="231"/>
      <c r="AB279" s="231"/>
      <c r="AC279" s="231"/>
      <c r="AD279" s="231"/>
      <c r="AE279" s="231"/>
      <c r="AF279" s="231"/>
      <c r="AG279" s="231"/>
      <c r="AH279" s="231"/>
      <c r="AI279" s="231"/>
      <c r="AJ279" s="231"/>
      <c r="AK279" s="231"/>
      <c r="AL279" s="231"/>
      <c r="AM279" s="231"/>
    </row>
    <row r="280" spans="1:39" s="203" customFormat="1" ht="12.75" customHeight="1">
      <c r="A280" s="106" t="s">
        <v>18</v>
      </c>
      <c r="B280" s="164"/>
      <c r="C280" s="164"/>
      <c r="D280" s="164"/>
      <c r="E280" s="856" t="s">
        <v>377</v>
      </c>
      <c r="F280" s="856" t="s">
        <v>402</v>
      </c>
      <c r="G280" s="130"/>
      <c r="H280" s="856" t="s">
        <v>403</v>
      </c>
      <c r="I280" s="21"/>
      <c r="J280" s="231"/>
      <c r="K280" s="231"/>
      <c r="L280" s="231"/>
      <c r="M280" s="231"/>
      <c r="N280" s="231"/>
      <c r="O280" s="231"/>
      <c r="P280" s="231"/>
      <c r="Q280" s="231"/>
      <c r="R280" s="231"/>
      <c r="S280" s="231"/>
      <c r="T280" s="231"/>
      <c r="U280" s="231"/>
      <c r="V280" s="231"/>
      <c r="W280" s="231"/>
      <c r="X280" s="231"/>
      <c r="Y280" s="231"/>
      <c r="Z280" s="231"/>
      <c r="AA280" s="231"/>
      <c r="AB280" s="231"/>
      <c r="AC280" s="231"/>
      <c r="AD280" s="231"/>
      <c r="AE280" s="231"/>
      <c r="AF280" s="231"/>
      <c r="AG280" s="231"/>
      <c r="AH280" s="231"/>
      <c r="AI280" s="231"/>
      <c r="AJ280" s="231"/>
      <c r="AK280" s="231"/>
      <c r="AL280" s="231"/>
      <c r="AM280" s="231"/>
    </row>
    <row r="281" spans="1:39" s="203" customFormat="1">
      <c r="A281" s="165"/>
      <c r="B281" s="47"/>
      <c r="C281" s="47"/>
      <c r="D281" s="47"/>
      <c r="E281" s="859"/>
      <c r="F281" s="859"/>
      <c r="G281" s="130"/>
      <c r="H281" s="859"/>
      <c r="I281" s="21"/>
      <c r="J281" s="231"/>
      <c r="K281" s="231"/>
      <c r="L281" s="231"/>
      <c r="M281" s="231"/>
      <c r="N281" s="231"/>
      <c r="O281" s="231"/>
      <c r="P281" s="231"/>
      <c r="Q281" s="231"/>
      <c r="R281" s="231"/>
      <c r="S281" s="231"/>
      <c r="T281" s="231"/>
      <c r="U281" s="231"/>
      <c r="V281" s="231"/>
      <c r="W281" s="231"/>
      <c r="X281" s="231"/>
      <c r="Y281" s="231"/>
      <c r="Z281" s="231"/>
      <c r="AA281" s="231"/>
      <c r="AB281" s="231"/>
      <c r="AC281" s="231"/>
      <c r="AD281" s="231"/>
      <c r="AE281" s="231"/>
      <c r="AF281" s="231"/>
      <c r="AG281" s="231"/>
      <c r="AH281" s="231"/>
      <c r="AI281" s="231"/>
      <c r="AJ281" s="231"/>
      <c r="AK281" s="231"/>
      <c r="AL281" s="231"/>
      <c r="AM281" s="231"/>
    </row>
    <row r="282" spans="1:39" s="203" customFormat="1" ht="21.75" customHeight="1">
      <c r="A282" s="109"/>
      <c r="B282" s="174"/>
      <c r="C282" s="174"/>
      <c r="D282" s="174"/>
      <c r="E282" s="859"/>
      <c r="F282" s="859"/>
      <c r="G282" s="130"/>
      <c r="H282" s="859"/>
      <c r="I282" s="21"/>
      <c r="J282" s="231"/>
      <c r="K282" s="231"/>
      <c r="L282" s="231"/>
      <c r="M282" s="231"/>
      <c r="N282" s="231"/>
      <c r="O282" s="231"/>
      <c r="P282" s="231"/>
      <c r="Q282" s="231"/>
      <c r="R282" s="231"/>
      <c r="S282" s="231"/>
      <c r="T282" s="231"/>
      <c r="U282" s="231"/>
      <c r="V282" s="231"/>
      <c r="W282" s="231"/>
      <c r="X282" s="231"/>
      <c r="Y282" s="231"/>
      <c r="Z282" s="231"/>
      <c r="AA282" s="231"/>
      <c r="AB282" s="231"/>
      <c r="AC282" s="231"/>
      <c r="AD282" s="231"/>
      <c r="AE282" s="231"/>
      <c r="AF282" s="231"/>
      <c r="AG282" s="231"/>
      <c r="AH282" s="231"/>
      <c r="AI282" s="231"/>
      <c r="AJ282" s="231"/>
      <c r="AK282" s="231"/>
      <c r="AL282" s="231"/>
      <c r="AM282" s="231"/>
    </row>
    <row r="283" spans="1:39" s="203" customFormat="1">
      <c r="A283" s="154" t="s">
        <v>215</v>
      </c>
      <c r="B283" s="47"/>
      <c r="C283" s="47"/>
      <c r="D283" s="47"/>
      <c r="E283" s="859"/>
      <c r="F283" s="859"/>
      <c r="G283" s="130"/>
      <c r="H283" s="859"/>
      <c r="I283" s="21"/>
      <c r="J283" s="231"/>
      <c r="K283" s="231"/>
      <c r="L283" s="231"/>
      <c r="M283" s="231"/>
      <c r="N283" s="231"/>
      <c r="O283" s="231"/>
      <c r="P283" s="231"/>
      <c r="Q283" s="231"/>
      <c r="R283" s="231"/>
      <c r="S283" s="231"/>
      <c r="T283" s="231"/>
      <c r="U283" s="231"/>
      <c r="V283" s="231"/>
      <c r="W283" s="231"/>
      <c r="X283" s="231"/>
      <c r="Y283" s="231"/>
      <c r="Z283" s="231"/>
      <c r="AA283" s="231"/>
      <c r="AB283" s="231"/>
      <c r="AC283" s="231"/>
      <c r="AD283" s="231"/>
      <c r="AE283" s="231"/>
      <c r="AF283" s="231"/>
      <c r="AG283" s="231"/>
      <c r="AH283" s="231"/>
      <c r="AI283" s="231"/>
      <c r="AJ283" s="231"/>
      <c r="AK283" s="231"/>
      <c r="AL283" s="231"/>
      <c r="AM283" s="231"/>
    </row>
    <row r="284" spans="1:39" s="203" customFormat="1">
      <c r="A284" s="109" t="s">
        <v>83</v>
      </c>
      <c r="B284" s="174"/>
      <c r="C284" s="174"/>
      <c r="D284" s="174"/>
      <c r="E284" s="860"/>
      <c r="F284" s="860"/>
      <c r="G284" s="130"/>
      <c r="H284" s="860"/>
      <c r="I284" s="21"/>
      <c r="J284" s="231"/>
      <c r="K284" s="231"/>
      <c r="L284" s="231"/>
      <c r="M284" s="231"/>
      <c r="N284" s="231"/>
      <c r="O284" s="231"/>
      <c r="P284" s="231"/>
      <c r="Q284" s="231"/>
      <c r="R284" s="231"/>
      <c r="S284" s="231"/>
      <c r="T284" s="231"/>
      <c r="U284" s="231"/>
      <c r="V284" s="231"/>
      <c r="W284" s="231"/>
      <c r="X284" s="231"/>
      <c r="Y284" s="231"/>
      <c r="Z284" s="231"/>
      <c r="AA284" s="231"/>
      <c r="AB284" s="231"/>
      <c r="AC284" s="231"/>
      <c r="AD284" s="231"/>
      <c r="AE284" s="231"/>
      <c r="AF284" s="231"/>
      <c r="AG284" s="231"/>
      <c r="AH284" s="231"/>
      <c r="AI284" s="231"/>
      <c r="AJ284" s="231"/>
      <c r="AK284" s="231"/>
      <c r="AL284" s="231"/>
      <c r="AM284" s="231"/>
    </row>
    <row r="285" spans="1:39" s="203" customFormat="1">
      <c r="A285" s="110" t="s">
        <v>84</v>
      </c>
      <c r="B285" s="116"/>
      <c r="C285" s="116"/>
      <c r="D285" s="116"/>
      <c r="E285" s="178"/>
      <c r="F285" s="146"/>
      <c r="G285" s="118"/>
      <c r="H285" s="146"/>
      <c r="I285" s="21"/>
      <c r="J285" s="231"/>
      <c r="K285" s="231"/>
      <c r="L285" s="231"/>
      <c r="M285" s="231"/>
      <c r="N285" s="231"/>
      <c r="O285" s="231"/>
      <c r="P285" s="231"/>
      <c r="Q285" s="231"/>
      <c r="R285" s="231"/>
      <c r="S285" s="231"/>
      <c r="T285" s="231"/>
      <c r="U285" s="231"/>
      <c r="V285" s="231"/>
      <c r="W285" s="231"/>
      <c r="X285" s="231"/>
      <c r="Y285" s="231"/>
      <c r="Z285" s="231"/>
      <c r="AA285" s="231"/>
      <c r="AB285" s="231"/>
      <c r="AC285" s="231"/>
      <c r="AD285" s="231"/>
      <c r="AE285" s="231"/>
      <c r="AF285" s="231"/>
      <c r="AG285" s="231"/>
      <c r="AH285" s="231"/>
      <c r="AI285" s="231"/>
      <c r="AJ285" s="231"/>
      <c r="AK285" s="231"/>
      <c r="AL285" s="231"/>
      <c r="AM285" s="231"/>
    </row>
    <row r="286" spans="1:39" s="203" customFormat="1">
      <c r="A286" s="120">
        <v>1</v>
      </c>
      <c r="B286" s="47" t="s">
        <v>216</v>
      </c>
      <c r="C286" s="47"/>
      <c r="D286" s="47"/>
      <c r="E286" s="74">
        <v>407</v>
      </c>
      <c r="F286" s="52">
        <v>467</v>
      </c>
      <c r="G286" s="118"/>
      <c r="H286" s="122">
        <v>424</v>
      </c>
      <c r="I286" s="21"/>
      <c r="J286" s="231"/>
      <c r="K286" s="231"/>
      <c r="L286" s="231"/>
      <c r="M286" s="231"/>
      <c r="N286" s="231"/>
      <c r="O286" s="231"/>
      <c r="P286" s="231"/>
      <c r="Q286" s="231"/>
      <c r="R286" s="231"/>
      <c r="S286" s="231"/>
      <c r="T286" s="231"/>
      <c r="U286" s="231"/>
      <c r="V286" s="231"/>
      <c r="W286" s="231"/>
      <c r="X286" s="231"/>
      <c r="Y286" s="231"/>
      <c r="Z286" s="231"/>
      <c r="AA286" s="231"/>
      <c r="AB286" s="231"/>
      <c r="AC286" s="231"/>
      <c r="AD286" s="231"/>
      <c r="AE286" s="231"/>
      <c r="AF286" s="231"/>
      <c r="AG286" s="231"/>
      <c r="AH286" s="231"/>
      <c r="AI286" s="231"/>
      <c r="AJ286" s="231"/>
      <c r="AK286" s="231"/>
      <c r="AL286" s="231"/>
      <c r="AM286" s="231"/>
    </row>
    <row r="287" spans="1:39" s="203" customFormat="1">
      <c r="A287" s="794">
        <v>2</v>
      </c>
      <c r="B287" s="47" t="s">
        <v>217</v>
      </c>
      <c r="C287" s="47"/>
      <c r="D287" s="47"/>
      <c r="E287" s="114">
        <v>195</v>
      </c>
      <c r="F287" s="52">
        <v>216</v>
      </c>
      <c r="G287" s="118"/>
      <c r="H287" s="122">
        <v>203</v>
      </c>
      <c r="I287" s="21"/>
      <c r="J287" s="231"/>
      <c r="K287" s="231"/>
      <c r="L287" s="231"/>
      <c r="M287" s="231"/>
      <c r="N287" s="231"/>
      <c r="O287" s="231"/>
      <c r="P287" s="231"/>
      <c r="Q287" s="231"/>
      <c r="R287" s="231"/>
      <c r="S287" s="231"/>
      <c r="T287" s="231"/>
      <c r="U287" s="231"/>
      <c r="V287" s="231"/>
      <c r="W287" s="231"/>
      <c r="X287" s="231"/>
      <c r="Y287" s="231"/>
      <c r="Z287" s="231"/>
      <c r="AA287" s="231"/>
      <c r="AB287" s="231"/>
      <c r="AC287" s="231"/>
      <c r="AD287" s="231"/>
      <c r="AE287" s="231"/>
      <c r="AF287" s="231"/>
      <c r="AG287" s="231"/>
      <c r="AH287" s="231"/>
      <c r="AI287" s="231"/>
      <c r="AJ287" s="231"/>
      <c r="AK287" s="231"/>
      <c r="AL287" s="231"/>
      <c r="AM287" s="231"/>
    </row>
    <row r="288" spans="1:39" s="203" customFormat="1">
      <c r="A288" s="120">
        <v>3</v>
      </c>
      <c r="B288" s="90" t="s">
        <v>218</v>
      </c>
      <c r="C288" s="166"/>
      <c r="D288" s="168"/>
      <c r="E288" s="114">
        <v>802</v>
      </c>
      <c r="F288" s="52">
        <v>750</v>
      </c>
      <c r="G288" s="118"/>
      <c r="H288" s="122">
        <v>687</v>
      </c>
      <c r="I288" s="21"/>
      <c r="J288" s="231"/>
      <c r="K288" s="231"/>
      <c r="L288" s="231"/>
      <c r="M288" s="231"/>
      <c r="N288" s="231"/>
      <c r="O288" s="231"/>
      <c r="P288" s="231"/>
      <c r="Q288" s="231"/>
      <c r="R288" s="231"/>
      <c r="S288" s="231"/>
      <c r="T288" s="231"/>
      <c r="U288" s="231"/>
      <c r="V288" s="231"/>
      <c r="W288" s="231"/>
      <c r="X288" s="231"/>
      <c r="Y288" s="231"/>
      <c r="Z288" s="231"/>
      <c r="AA288" s="231"/>
      <c r="AB288" s="231"/>
      <c r="AC288" s="231"/>
      <c r="AD288" s="231"/>
      <c r="AE288" s="231"/>
      <c r="AF288" s="231"/>
      <c r="AG288" s="231"/>
      <c r="AH288" s="231"/>
      <c r="AI288" s="231"/>
      <c r="AJ288" s="231"/>
      <c r="AK288" s="231"/>
      <c r="AL288" s="231"/>
      <c r="AM288" s="231"/>
    </row>
    <row r="289" spans="1:39" s="203" customFormat="1">
      <c r="A289" s="794">
        <v>4</v>
      </c>
      <c r="B289" s="47" t="s">
        <v>219</v>
      </c>
      <c r="C289" s="47"/>
      <c r="D289" s="116"/>
      <c r="E289" s="114">
        <v>111</v>
      </c>
      <c r="F289" s="52">
        <v>103</v>
      </c>
      <c r="G289" s="118"/>
      <c r="H289" s="122">
        <v>104</v>
      </c>
      <c r="I289" s="21"/>
      <c r="J289" s="231"/>
      <c r="K289" s="231"/>
      <c r="L289" s="231"/>
      <c r="M289" s="231"/>
      <c r="N289" s="231"/>
      <c r="O289" s="231"/>
      <c r="P289" s="231"/>
      <c r="Q289" s="231"/>
      <c r="R289" s="231"/>
      <c r="S289" s="231"/>
      <c r="T289" s="231"/>
      <c r="U289" s="231"/>
      <c r="V289" s="231"/>
      <c r="W289" s="231"/>
      <c r="X289" s="231"/>
      <c r="Y289" s="231"/>
      <c r="Z289" s="231"/>
      <c r="AA289" s="231"/>
      <c r="AB289" s="231"/>
      <c r="AC289" s="231"/>
      <c r="AD289" s="231"/>
      <c r="AE289" s="231"/>
      <c r="AF289" s="231"/>
      <c r="AG289" s="231"/>
      <c r="AH289" s="231"/>
      <c r="AI289" s="231"/>
      <c r="AJ289" s="231"/>
      <c r="AK289" s="231"/>
      <c r="AL289" s="231"/>
      <c r="AM289" s="231"/>
    </row>
    <row r="290" spans="1:39" s="203" customFormat="1">
      <c r="A290" s="794">
        <v>5</v>
      </c>
      <c r="B290" s="47" t="s">
        <v>220</v>
      </c>
      <c r="C290" s="47"/>
      <c r="D290" s="47"/>
      <c r="E290" s="114">
        <v>52</v>
      </c>
      <c r="F290" s="52">
        <v>50</v>
      </c>
      <c r="G290" s="118"/>
      <c r="H290" s="122">
        <v>55</v>
      </c>
      <c r="I290" s="21"/>
      <c r="J290" s="231"/>
      <c r="K290" s="231"/>
      <c r="L290" s="231"/>
      <c r="M290" s="231"/>
      <c r="N290" s="231"/>
      <c r="O290" s="231"/>
      <c r="P290" s="231"/>
      <c r="Q290" s="231"/>
      <c r="R290" s="231"/>
      <c r="S290" s="231"/>
      <c r="T290" s="231"/>
      <c r="U290" s="231"/>
      <c r="V290" s="231"/>
      <c r="W290" s="231"/>
      <c r="X290" s="231"/>
      <c r="Y290" s="231"/>
      <c r="Z290" s="231"/>
      <c r="AA290" s="231"/>
      <c r="AB290" s="231"/>
      <c r="AC290" s="231"/>
      <c r="AD290" s="231"/>
      <c r="AE290" s="231"/>
      <c r="AF290" s="231"/>
      <c r="AG290" s="231"/>
      <c r="AH290" s="231"/>
      <c r="AI290" s="231"/>
      <c r="AJ290" s="231"/>
      <c r="AK290" s="231"/>
      <c r="AL290" s="231"/>
      <c r="AM290" s="231"/>
    </row>
    <row r="291" spans="1:39" s="203" customFormat="1">
      <c r="A291" s="120">
        <v>6</v>
      </c>
      <c r="B291" s="47" t="s">
        <v>221</v>
      </c>
      <c r="C291" s="47"/>
      <c r="D291" s="47"/>
      <c r="E291" s="114">
        <v>83</v>
      </c>
      <c r="F291" s="52">
        <v>68</v>
      </c>
      <c r="G291" s="118"/>
      <c r="H291" s="122">
        <v>76</v>
      </c>
      <c r="I291" s="21"/>
      <c r="J291" s="231"/>
      <c r="K291" s="231"/>
      <c r="L291" s="231"/>
      <c r="M291" s="231"/>
      <c r="N291" s="231"/>
      <c r="O291" s="231"/>
      <c r="P291" s="231"/>
      <c r="Q291" s="231"/>
      <c r="R291" s="231"/>
      <c r="S291" s="231"/>
      <c r="T291" s="231"/>
      <c r="U291" s="231"/>
      <c r="V291" s="231"/>
      <c r="W291" s="231"/>
      <c r="X291" s="231"/>
      <c r="Y291" s="231"/>
      <c r="Z291" s="231"/>
      <c r="AA291" s="231"/>
      <c r="AB291" s="231"/>
      <c r="AC291" s="231"/>
      <c r="AD291" s="231"/>
      <c r="AE291" s="231"/>
      <c r="AF291" s="231"/>
      <c r="AG291" s="231"/>
      <c r="AH291" s="231"/>
      <c r="AI291" s="231"/>
      <c r="AJ291" s="231"/>
      <c r="AK291" s="231"/>
      <c r="AL291" s="231"/>
      <c r="AM291" s="231"/>
    </row>
    <row r="292" spans="1:39" s="203" customFormat="1">
      <c r="A292" s="794">
        <v>7</v>
      </c>
      <c r="B292" s="47" t="s">
        <v>222</v>
      </c>
      <c r="C292" s="47"/>
      <c r="D292" s="116"/>
      <c r="E292" s="114">
        <v>130</v>
      </c>
      <c r="F292" s="52">
        <v>361</v>
      </c>
      <c r="G292" s="118"/>
      <c r="H292" s="122">
        <v>384</v>
      </c>
      <c r="I292" s="21"/>
      <c r="J292" s="231"/>
      <c r="K292" s="231"/>
      <c r="L292" s="231"/>
      <c r="M292" s="231"/>
      <c r="N292" s="231"/>
      <c r="O292" s="231"/>
      <c r="P292" s="231"/>
      <c r="Q292" s="231"/>
      <c r="R292" s="231"/>
      <c r="S292" s="231"/>
      <c r="T292" s="231"/>
      <c r="U292" s="231"/>
      <c r="V292" s="231"/>
      <c r="W292" s="231"/>
      <c r="X292" s="231"/>
      <c r="Y292" s="231"/>
      <c r="Z292" s="231"/>
      <c r="AA292" s="231"/>
      <c r="AB292" s="231"/>
      <c r="AC292" s="231"/>
      <c r="AD292" s="231"/>
      <c r="AE292" s="231"/>
      <c r="AF292" s="231"/>
      <c r="AG292" s="231"/>
      <c r="AH292" s="231"/>
      <c r="AI292" s="231"/>
      <c r="AJ292" s="231"/>
      <c r="AK292" s="231"/>
      <c r="AL292" s="231"/>
      <c r="AM292" s="231"/>
    </row>
    <row r="293" spans="1:39" s="203" customFormat="1">
      <c r="A293" s="120">
        <v>8</v>
      </c>
      <c r="B293" s="47" t="s">
        <v>223</v>
      </c>
      <c r="C293" s="47"/>
      <c r="D293" s="116"/>
      <c r="E293" s="114">
        <v>885</v>
      </c>
      <c r="F293" s="52">
        <v>595</v>
      </c>
      <c r="G293" s="118"/>
      <c r="H293" s="122">
        <v>633</v>
      </c>
      <c r="I293" s="21"/>
      <c r="J293" s="231"/>
      <c r="K293" s="231"/>
      <c r="L293" s="231"/>
      <c r="M293" s="231"/>
      <c r="N293" s="231"/>
      <c r="O293" s="231"/>
      <c r="P293" s="231"/>
      <c r="Q293" s="231"/>
      <c r="R293" s="231"/>
      <c r="S293" s="231"/>
      <c r="T293" s="231"/>
      <c r="U293" s="231"/>
      <c r="V293" s="231"/>
      <c r="W293" s="231"/>
      <c r="X293" s="231"/>
      <c r="Y293" s="231"/>
      <c r="Z293" s="231"/>
      <c r="AA293" s="231"/>
      <c r="AB293" s="231"/>
      <c r="AC293" s="231"/>
      <c r="AD293" s="231"/>
      <c r="AE293" s="231"/>
      <c r="AF293" s="231"/>
      <c r="AG293" s="231"/>
      <c r="AH293" s="231"/>
      <c r="AI293" s="231"/>
      <c r="AJ293" s="231"/>
      <c r="AK293" s="231"/>
      <c r="AL293" s="231"/>
      <c r="AM293" s="231"/>
    </row>
    <row r="294" spans="1:39" s="203" customFormat="1">
      <c r="A294" s="794">
        <v>9</v>
      </c>
      <c r="B294" s="47" t="s">
        <v>224</v>
      </c>
      <c r="C294" s="47"/>
      <c r="D294" s="116"/>
      <c r="E294" s="114">
        <v>287</v>
      </c>
      <c r="F294" s="52">
        <v>326</v>
      </c>
      <c r="G294" s="118"/>
      <c r="H294" s="122">
        <v>347</v>
      </c>
      <c r="I294" s="21"/>
      <c r="J294" s="231"/>
      <c r="K294" s="231"/>
      <c r="L294" s="231"/>
      <c r="M294" s="231"/>
      <c r="N294" s="231"/>
      <c r="O294" s="231"/>
      <c r="P294" s="231"/>
      <c r="Q294" s="231"/>
      <c r="R294" s="231"/>
      <c r="S294" s="231"/>
      <c r="T294" s="231"/>
      <c r="U294" s="231"/>
      <c r="V294" s="231"/>
      <c r="W294" s="231"/>
      <c r="X294" s="231"/>
      <c r="Y294" s="231"/>
      <c r="Z294" s="231"/>
      <c r="AA294" s="231"/>
      <c r="AB294" s="231"/>
      <c r="AC294" s="231"/>
      <c r="AD294" s="231"/>
      <c r="AE294" s="231"/>
      <c r="AF294" s="231"/>
      <c r="AG294" s="231"/>
      <c r="AH294" s="231"/>
      <c r="AI294" s="231"/>
      <c r="AJ294" s="231"/>
      <c r="AK294" s="231"/>
      <c r="AL294" s="231"/>
      <c r="AM294" s="231"/>
    </row>
    <row r="295" spans="1:39" s="203" customFormat="1">
      <c r="A295" s="120">
        <v>10</v>
      </c>
      <c r="B295" s="47" t="s">
        <v>225</v>
      </c>
      <c r="C295" s="47"/>
      <c r="D295" s="47"/>
      <c r="E295" s="114">
        <v>0</v>
      </c>
      <c r="F295" s="52">
        <v>0</v>
      </c>
      <c r="G295" s="118"/>
      <c r="H295" s="122">
        <v>0</v>
      </c>
      <c r="I295" s="21"/>
      <c r="J295" s="231"/>
      <c r="K295" s="231"/>
      <c r="L295" s="231"/>
      <c r="M295" s="231"/>
      <c r="N295" s="231"/>
      <c r="O295" s="231"/>
      <c r="P295" s="231"/>
      <c r="Q295" s="231"/>
      <c r="R295" s="231"/>
      <c r="S295" s="231"/>
      <c r="T295" s="231"/>
      <c r="U295" s="231"/>
      <c r="V295" s="231"/>
      <c r="W295" s="231"/>
      <c r="X295" s="231"/>
      <c r="Y295" s="231"/>
      <c r="Z295" s="231"/>
      <c r="AA295" s="231"/>
      <c r="AB295" s="231"/>
      <c r="AC295" s="231"/>
      <c r="AD295" s="231"/>
      <c r="AE295" s="231"/>
      <c r="AF295" s="231"/>
      <c r="AG295" s="231"/>
      <c r="AH295" s="231"/>
      <c r="AI295" s="231"/>
      <c r="AJ295" s="231"/>
      <c r="AK295" s="231"/>
      <c r="AL295" s="231"/>
      <c r="AM295" s="231"/>
    </row>
    <row r="296" spans="1:39" s="203" customFormat="1">
      <c r="A296" s="794">
        <v>11</v>
      </c>
      <c r="B296" s="47" t="s">
        <v>226</v>
      </c>
      <c r="C296" s="47"/>
      <c r="D296" s="47"/>
      <c r="E296" s="114">
        <v>44</v>
      </c>
      <c r="F296" s="52">
        <v>40</v>
      </c>
      <c r="G296" s="118"/>
      <c r="H296" s="122">
        <v>45</v>
      </c>
      <c r="I296" s="21"/>
      <c r="J296" s="231"/>
      <c r="K296" s="231"/>
      <c r="L296" s="231"/>
      <c r="M296" s="231"/>
      <c r="N296" s="231"/>
      <c r="O296" s="231"/>
      <c r="P296" s="231"/>
      <c r="Q296" s="231"/>
      <c r="R296" s="231"/>
      <c r="S296" s="231"/>
      <c r="T296" s="231"/>
      <c r="U296" s="231"/>
      <c r="V296" s="231"/>
      <c r="W296" s="231"/>
      <c r="X296" s="231"/>
      <c r="Y296" s="231"/>
      <c r="Z296" s="231"/>
      <c r="AA296" s="231"/>
      <c r="AB296" s="231"/>
      <c r="AC296" s="231"/>
      <c r="AD296" s="231"/>
      <c r="AE296" s="231"/>
      <c r="AF296" s="231"/>
      <c r="AG296" s="231"/>
      <c r="AH296" s="231"/>
      <c r="AI296" s="231"/>
      <c r="AJ296" s="231"/>
      <c r="AK296" s="231"/>
      <c r="AL296" s="231"/>
      <c r="AM296" s="231"/>
    </row>
    <row r="297" spans="1:39" s="203" customFormat="1">
      <c r="A297" s="120">
        <v>12</v>
      </c>
      <c r="B297" s="47" t="s">
        <v>227</v>
      </c>
      <c r="C297" s="47"/>
      <c r="D297" s="47"/>
      <c r="E297" s="114">
        <v>222</v>
      </c>
      <c r="F297" s="52">
        <v>229</v>
      </c>
      <c r="G297" s="118"/>
      <c r="H297" s="122">
        <v>185</v>
      </c>
      <c r="I297" s="21"/>
      <c r="J297" s="231"/>
      <c r="K297" s="231"/>
      <c r="L297" s="231"/>
      <c r="M297" s="231"/>
      <c r="N297" s="231"/>
      <c r="O297" s="231"/>
      <c r="P297" s="231"/>
      <c r="Q297" s="231"/>
      <c r="R297" s="231"/>
      <c r="S297" s="231"/>
      <c r="T297" s="231"/>
      <c r="U297" s="231"/>
      <c r="V297" s="231"/>
      <c r="W297" s="231"/>
      <c r="X297" s="231"/>
      <c r="Y297" s="231"/>
      <c r="Z297" s="231"/>
      <c r="AA297" s="231"/>
      <c r="AB297" s="231"/>
      <c r="AC297" s="231"/>
      <c r="AD297" s="231"/>
      <c r="AE297" s="231"/>
      <c r="AF297" s="231"/>
      <c r="AG297" s="231"/>
      <c r="AH297" s="231"/>
      <c r="AI297" s="231"/>
      <c r="AJ297" s="231"/>
      <c r="AK297" s="231"/>
      <c r="AL297" s="231"/>
      <c r="AM297" s="231"/>
    </row>
    <row r="298" spans="1:39" s="203" customFormat="1">
      <c r="A298" s="794">
        <v>13</v>
      </c>
      <c r="B298" s="47" t="s">
        <v>228</v>
      </c>
      <c r="C298" s="47"/>
      <c r="D298" s="47"/>
      <c r="E298" s="114">
        <v>3746</v>
      </c>
      <c r="F298" s="52">
        <v>3728</v>
      </c>
      <c r="G298" s="118"/>
      <c r="H298" s="122">
        <v>3746</v>
      </c>
      <c r="I298" s="21"/>
      <c r="J298" s="231"/>
      <c r="K298" s="231"/>
      <c r="L298" s="231"/>
      <c r="M298" s="231"/>
      <c r="N298" s="231"/>
      <c r="O298" s="231"/>
      <c r="P298" s="231"/>
      <c r="Q298" s="231"/>
      <c r="R298" s="231"/>
      <c r="S298" s="231"/>
      <c r="T298" s="231"/>
      <c r="U298" s="231"/>
      <c r="V298" s="231"/>
      <c r="W298" s="231"/>
      <c r="X298" s="231"/>
      <c r="Y298" s="231"/>
      <c r="Z298" s="231"/>
      <c r="AA298" s="231"/>
      <c r="AB298" s="231"/>
      <c r="AC298" s="231"/>
      <c r="AD298" s="231"/>
      <c r="AE298" s="231"/>
      <c r="AF298" s="231"/>
      <c r="AG298" s="231"/>
      <c r="AH298" s="231"/>
      <c r="AI298" s="231"/>
      <c r="AJ298" s="231"/>
      <c r="AK298" s="231"/>
      <c r="AL298" s="231"/>
      <c r="AM298" s="231"/>
    </row>
    <row r="299" spans="1:39" s="203" customFormat="1">
      <c r="A299" s="120">
        <v>14</v>
      </c>
      <c r="B299" s="47" t="s">
        <v>229</v>
      </c>
      <c r="C299" s="47"/>
      <c r="D299" s="116"/>
      <c r="E299" s="114">
        <v>0</v>
      </c>
      <c r="F299" s="52">
        <v>0</v>
      </c>
      <c r="G299" s="118"/>
      <c r="H299" s="122">
        <v>0</v>
      </c>
      <c r="I299" s="21"/>
      <c r="J299" s="231"/>
      <c r="K299" s="231"/>
      <c r="L299" s="231"/>
      <c r="M299" s="231"/>
      <c r="N299" s="231"/>
      <c r="O299" s="231"/>
      <c r="P299" s="231"/>
      <c r="Q299" s="231"/>
      <c r="R299" s="231"/>
      <c r="S299" s="231"/>
      <c r="T299" s="231"/>
      <c r="U299" s="231"/>
      <c r="V299" s="231"/>
      <c r="W299" s="231"/>
      <c r="X299" s="231"/>
      <c r="Y299" s="231"/>
      <c r="Z299" s="231"/>
      <c r="AA299" s="231"/>
      <c r="AB299" s="231"/>
      <c r="AC299" s="231"/>
      <c r="AD299" s="231"/>
      <c r="AE299" s="231"/>
      <c r="AF299" s="231"/>
      <c r="AG299" s="231"/>
      <c r="AH299" s="231"/>
      <c r="AI299" s="231"/>
      <c r="AJ299" s="231"/>
      <c r="AK299" s="231"/>
      <c r="AL299" s="231"/>
      <c r="AM299" s="231"/>
    </row>
    <row r="300" spans="1:39" s="203" customFormat="1">
      <c r="A300" s="794">
        <v>15</v>
      </c>
      <c r="B300" s="47" t="s">
        <v>230</v>
      </c>
      <c r="C300" s="47"/>
      <c r="D300" s="116"/>
      <c r="E300" s="114">
        <v>1873</v>
      </c>
      <c r="F300" s="52">
        <v>1863</v>
      </c>
      <c r="G300" s="118"/>
      <c r="H300" s="122">
        <v>1864</v>
      </c>
      <c r="I300" s="21"/>
      <c r="J300" s="231"/>
      <c r="K300" s="231"/>
      <c r="L300" s="231"/>
      <c r="M300" s="231"/>
      <c r="N300" s="231"/>
      <c r="O300" s="231"/>
      <c r="P300" s="231"/>
      <c r="Q300" s="231"/>
      <c r="R300" s="231"/>
      <c r="S300" s="231"/>
      <c r="T300" s="231"/>
      <c r="U300" s="231"/>
      <c r="V300" s="231"/>
      <c r="W300" s="231"/>
      <c r="X300" s="231"/>
      <c r="Y300" s="231"/>
      <c r="Z300" s="231"/>
      <c r="AA300" s="231"/>
      <c r="AB300" s="231"/>
      <c r="AC300" s="231"/>
      <c r="AD300" s="231"/>
      <c r="AE300" s="231"/>
      <c r="AF300" s="231"/>
      <c r="AG300" s="231"/>
      <c r="AH300" s="231"/>
      <c r="AI300" s="231"/>
      <c r="AJ300" s="231"/>
      <c r="AK300" s="231"/>
      <c r="AL300" s="231"/>
      <c r="AM300" s="231"/>
    </row>
    <row r="301" spans="1:39" s="203" customFormat="1">
      <c r="A301" s="120">
        <v>17</v>
      </c>
      <c r="B301" s="47" t="s">
        <v>231</v>
      </c>
      <c r="C301" s="47"/>
      <c r="D301" s="47"/>
      <c r="E301" s="114">
        <v>1361</v>
      </c>
      <c r="F301" s="52">
        <f>764+371+52</f>
        <v>1187</v>
      </c>
      <c r="G301" s="118"/>
      <c r="H301" s="99">
        <v>992</v>
      </c>
      <c r="I301" s="21"/>
      <c r="J301" s="231"/>
      <c r="K301" s="231"/>
      <c r="L301" s="231"/>
      <c r="M301" s="231"/>
      <c r="N301" s="231"/>
      <c r="O301" s="231"/>
      <c r="P301" s="231"/>
      <c r="Q301" s="231"/>
      <c r="R301" s="231"/>
      <c r="S301" s="231"/>
      <c r="T301" s="231"/>
      <c r="U301" s="231"/>
      <c r="V301" s="231"/>
      <c r="W301" s="231"/>
      <c r="X301" s="231"/>
      <c r="Y301" s="231"/>
      <c r="Z301" s="231"/>
      <c r="AA301" s="231"/>
      <c r="AB301" s="231"/>
      <c r="AC301" s="231"/>
      <c r="AD301" s="231"/>
      <c r="AE301" s="231"/>
      <c r="AF301" s="231"/>
      <c r="AG301" s="231"/>
      <c r="AH301" s="231"/>
      <c r="AI301" s="231"/>
      <c r="AJ301" s="231"/>
      <c r="AK301" s="231"/>
      <c r="AL301" s="231"/>
      <c r="AM301" s="231"/>
    </row>
    <row r="302" spans="1:39" s="203" customFormat="1">
      <c r="A302" s="795">
        <v>18</v>
      </c>
      <c r="B302" s="94" t="s">
        <v>232</v>
      </c>
      <c r="C302" s="94"/>
      <c r="D302" s="94"/>
      <c r="E302" s="159">
        <v>10198</v>
      </c>
      <c r="F302" s="61">
        <f>SUM(F286:F301)</f>
        <v>9983</v>
      </c>
      <c r="G302" s="118"/>
      <c r="H302" s="61">
        <f>SUM(H286:H301)</f>
        <v>9745</v>
      </c>
      <c r="I302" s="21"/>
      <c r="J302" s="231"/>
      <c r="K302" s="231"/>
      <c r="L302" s="231"/>
      <c r="M302" s="231"/>
      <c r="N302" s="231"/>
      <c r="O302" s="231"/>
      <c r="P302" s="231"/>
      <c r="Q302" s="231"/>
      <c r="R302" s="231"/>
      <c r="S302" s="231"/>
      <c r="T302" s="231"/>
      <c r="U302" s="231"/>
      <c r="V302" s="231"/>
      <c r="W302" s="231"/>
      <c r="X302" s="231"/>
      <c r="Y302" s="231"/>
      <c r="Z302" s="231"/>
      <c r="AA302" s="231"/>
      <c r="AB302" s="231"/>
      <c r="AC302" s="231"/>
      <c r="AD302" s="231"/>
      <c r="AE302" s="231"/>
      <c r="AF302" s="231"/>
      <c r="AG302" s="231"/>
      <c r="AH302" s="231"/>
      <c r="AI302" s="231"/>
      <c r="AJ302" s="231"/>
      <c r="AK302" s="231"/>
      <c r="AL302" s="231"/>
      <c r="AM302" s="231"/>
    </row>
    <row r="303" spans="1:39" s="203" customFormat="1">
      <c r="A303" s="179"/>
      <c r="B303" s="180"/>
      <c r="C303" s="180"/>
      <c r="D303" s="181"/>
      <c r="E303" s="182"/>
      <c r="F303" s="183"/>
      <c r="G303" s="21"/>
      <c r="H303" s="183"/>
      <c r="I303" s="21"/>
      <c r="J303" s="231"/>
      <c r="K303" s="231"/>
      <c r="L303" s="231"/>
      <c r="M303" s="231"/>
      <c r="N303" s="231"/>
      <c r="O303" s="231"/>
      <c r="P303" s="231"/>
      <c r="Q303" s="231"/>
      <c r="R303" s="231"/>
      <c r="S303" s="231"/>
      <c r="T303" s="231"/>
      <c r="U303" s="231"/>
      <c r="V303" s="231"/>
      <c r="W303" s="231"/>
      <c r="X303" s="231"/>
      <c r="Y303" s="231"/>
      <c r="Z303" s="231"/>
      <c r="AA303" s="231"/>
      <c r="AB303" s="231"/>
      <c r="AC303" s="231"/>
      <c r="AD303" s="231"/>
      <c r="AE303" s="231"/>
      <c r="AF303" s="231"/>
      <c r="AG303" s="231"/>
      <c r="AH303" s="231"/>
      <c r="AI303" s="231"/>
      <c r="AJ303" s="231"/>
      <c r="AK303" s="231"/>
      <c r="AL303" s="231"/>
      <c r="AM303" s="231"/>
    </row>
    <row r="304" spans="1:39" s="203" customFormat="1">
      <c r="A304" s="184"/>
      <c r="B304" s="207"/>
      <c r="C304" s="207"/>
      <c r="D304" s="209"/>
      <c r="E304" s="185"/>
      <c r="F304" s="207"/>
      <c r="G304" s="207"/>
      <c r="H304" s="131" t="s">
        <v>27</v>
      </c>
      <c r="I304" s="21"/>
      <c r="J304" s="231"/>
      <c r="K304" s="231"/>
      <c r="L304" s="231"/>
      <c r="M304" s="231"/>
      <c r="N304" s="231"/>
      <c r="O304" s="231"/>
      <c r="P304" s="231"/>
      <c r="Q304" s="231"/>
      <c r="R304" s="231"/>
      <c r="S304" s="231"/>
      <c r="T304" s="231"/>
      <c r="U304" s="231"/>
      <c r="V304" s="231"/>
      <c r="W304" s="231"/>
      <c r="X304" s="231"/>
      <c r="Y304" s="231"/>
      <c r="Z304" s="231"/>
      <c r="AA304" s="231"/>
      <c r="AB304" s="231"/>
      <c r="AC304" s="231"/>
      <c r="AD304" s="231"/>
      <c r="AE304" s="231"/>
      <c r="AF304" s="231"/>
      <c r="AG304" s="231"/>
      <c r="AH304" s="231"/>
      <c r="AI304" s="231"/>
      <c r="AJ304" s="231"/>
      <c r="AK304" s="231"/>
      <c r="AL304" s="231"/>
      <c r="AM304" s="231"/>
    </row>
    <row r="305" spans="1:39" s="203" customFormat="1" ht="12.75" customHeight="1">
      <c r="A305" s="106" t="s">
        <v>21</v>
      </c>
      <c r="B305" s="164"/>
      <c r="C305" s="164"/>
      <c r="D305" s="164"/>
      <c r="E305" s="856" t="s">
        <v>377</v>
      </c>
      <c r="F305" s="856" t="s">
        <v>402</v>
      </c>
      <c r="G305" s="130"/>
      <c r="H305" s="856" t="s">
        <v>403</v>
      </c>
      <c r="I305" s="21"/>
      <c r="J305" s="231"/>
      <c r="K305" s="231"/>
      <c r="L305" s="231"/>
      <c r="M305" s="231"/>
      <c r="N305" s="231"/>
      <c r="O305" s="231"/>
      <c r="P305" s="231"/>
      <c r="Q305" s="231"/>
      <c r="R305" s="231"/>
      <c r="S305" s="231"/>
      <c r="T305" s="231"/>
      <c r="U305" s="231"/>
      <c r="V305" s="231"/>
      <c r="W305" s="231"/>
      <c r="X305" s="231"/>
      <c r="Y305" s="231"/>
      <c r="Z305" s="231"/>
      <c r="AA305" s="231"/>
      <c r="AB305" s="231"/>
      <c r="AC305" s="231"/>
      <c r="AD305" s="231"/>
      <c r="AE305" s="231"/>
      <c r="AF305" s="231"/>
      <c r="AG305" s="231"/>
      <c r="AH305" s="231"/>
      <c r="AI305" s="231"/>
      <c r="AJ305" s="231"/>
      <c r="AK305" s="231"/>
      <c r="AL305" s="231"/>
      <c r="AM305" s="231"/>
    </row>
    <row r="306" spans="1:39" s="203" customFormat="1">
      <c r="A306" s="165"/>
      <c r="B306" s="47"/>
      <c r="C306" s="47"/>
      <c r="D306" s="47"/>
      <c r="E306" s="859"/>
      <c r="F306" s="859"/>
      <c r="G306" s="130"/>
      <c r="H306" s="859"/>
      <c r="I306" s="21"/>
      <c r="J306" s="231"/>
      <c r="K306" s="231"/>
      <c r="L306" s="231"/>
      <c r="M306" s="231"/>
      <c r="N306" s="231"/>
      <c r="O306" s="231"/>
      <c r="P306" s="231"/>
      <c r="Q306" s="231"/>
      <c r="R306" s="231"/>
      <c r="S306" s="231"/>
      <c r="T306" s="231"/>
      <c r="U306" s="231"/>
      <c r="V306" s="231"/>
      <c r="W306" s="231"/>
      <c r="X306" s="231"/>
      <c r="Y306" s="231"/>
      <c r="Z306" s="231"/>
      <c r="AA306" s="231"/>
      <c r="AB306" s="231"/>
      <c r="AC306" s="231"/>
      <c r="AD306" s="231"/>
      <c r="AE306" s="231"/>
      <c r="AF306" s="231"/>
      <c r="AG306" s="231"/>
      <c r="AH306" s="231"/>
      <c r="AI306" s="231"/>
      <c r="AJ306" s="231"/>
      <c r="AK306" s="231"/>
      <c r="AL306" s="231"/>
      <c r="AM306" s="231"/>
    </row>
    <row r="307" spans="1:39" s="203" customFormat="1" ht="12.75" customHeight="1">
      <c r="A307" s="109"/>
      <c r="B307" s="174"/>
      <c r="C307" s="174"/>
      <c r="D307" s="174"/>
      <c r="E307" s="859"/>
      <c r="F307" s="859"/>
      <c r="G307" s="130"/>
      <c r="H307" s="859"/>
      <c r="I307" s="21"/>
      <c r="J307" s="231"/>
      <c r="K307" s="231"/>
      <c r="L307" s="231"/>
      <c r="M307" s="231"/>
      <c r="N307" s="231"/>
      <c r="O307" s="231"/>
      <c r="P307" s="231"/>
      <c r="Q307" s="231"/>
      <c r="R307" s="231"/>
      <c r="S307" s="231"/>
      <c r="T307" s="231"/>
      <c r="U307" s="231"/>
      <c r="V307" s="231"/>
      <c r="W307" s="231"/>
      <c r="X307" s="231"/>
      <c r="Y307" s="231"/>
      <c r="Z307" s="231"/>
      <c r="AA307" s="231"/>
      <c r="AB307" s="231"/>
      <c r="AC307" s="231"/>
      <c r="AD307" s="231"/>
      <c r="AE307" s="231"/>
      <c r="AF307" s="231"/>
      <c r="AG307" s="231"/>
      <c r="AH307" s="231"/>
      <c r="AI307" s="231"/>
      <c r="AJ307" s="231"/>
      <c r="AK307" s="231"/>
      <c r="AL307" s="231"/>
      <c r="AM307" s="231"/>
    </row>
    <row r="308" spans="1:39" s="203" customFormat="1">
      <c r="A308" s="154" t="s">
        <v>233</v>
      </c>
      <c r="B308" s="47"/>
      <c r="C308" s="47"/>
      <c r="D308" s="47"/>
      <c r="E308" s="859"/>
      <c r="F308" s="859"/>
      <c r="G308" s="130"/>
      <c r="H308" s="859"/>
      <c r="I308" s="21"/>
      <c r="J308" s="231"/>
      <c r="K308" s="231"/>
      <c r="L308" s="231"/>
      <c r="M308" s="231"/>
      <c r="N308" s="231"/>
      <c r="O308" s="231"/>
      <c r="P308" s="231"/>
      <c r="Q308" s="231"/>
      <c r="R308" s="231"/>
      <c r="S308" s="231"/>
      <c r="T308" s="231"/>
      <c r="U308" s="231"/>
      <c r="V308" s="231"/>
      <c r="W308" s="231"/>
      <c r="X308" s="231"/>
      <c r="Y308" s="231"/>
      <c r="Z308" s="231"/>
      <c r="AA308" s="231"/>
      <c r="AB308" s="231"/>
      <c r="AC308" s="231"/>
      <c r="AD308" s="231"/>
      <c r="AE308" s="231"/>
      <c r="AF308" s="231"/>
      <c r="AG308" s="231"/>
      <c r="AH308" s="231"/>
      <c r="AI308" s="231"/>
      <c r="AJ308" s="231"/>
      <c r="AK308" s="231"/>
      <c r="AL308" s="231"/>
      <c r="AM308" s="231"/>
    </row>
    <row r="309" spans="1:39" s="203" customFormat="1">
      <c r="A309" s="109" t="s">
        <v>83</v>
      </c>
      <c r="B309" s="174"/>
      <c r="C309" s="174"/>
      <c r="D309" s="174"/>
      <c r="E309" s="860"/>
      <c r="F309" s="860"/>
      <c r="G309" s="130"/>
      <c r="H309" s="860"/>
      <c r="I309" s="21"/>
      <c r="J309" s="231"/>
      <c r="K309" s="231"/>
      <c r="L309" s="231"/>
      <c r="M309" s="231"/>
      <c r="N309" s="231"/>
      <c r="O309" s="231"/>
      <c r="P309" s="231"/>
      <c r="Q309" s="231"/>
      <c r="R309" s="231"/>
      <c r="S309" s="231"/>
      <c r="T309" s="231"/>
      <c r="U309" s="231"/>
      <c r="V309" s="231"/>
      <c r="W309" s="231"/>
      <c r="X309" s="231"/>
      <c r="Y309" s="231"/>
      <c r="Z309" s="231"/>
      <c r="AA309" s="231"/>
      <c r="AB309" s="231"/>
      <c r="AC309" s="231"/>
      <c r="AD309" s="231"/>
      <c r="AE309" s="231"/>
      <c r="AF309" s="231"/>
      <c r="AG309" s="231"/>
      <c r="AH309" s="231"/>
      <c r="AI309" s="231"/>
      <c r="AJ309" s="231"/>
      <c r="AK309" s="231"/>
      <c r="AL309" s="231"/>
      <c r="AM309" s="231"/>
    </row>
    <row r="310" spans="1:39" s="203" customFormat="1">
      <c r="A310" s="110" t="s">
        <v>84</v>
      </c>
      <c r="B310" s="116"/>
      <c r="C310" s="116"/>
      <c r="D310" s="116"/>
      <c r="E310" s="262"/>
      <c r="F310" s="146"/>
      <c r="G310" s="118"/>
      <c r="H310" s="146"/>
      <c r="I310" s="21"/>
      <c r="J310" s="231"/>
      <c r="K310" s="231"/>
      <c r="L310" s="231"/>
      <c r="M310" s="231"/>
      <c r="N310" s="231"/>
      <c r="O310" s="231"/>
      <c r="P310" s="231"/>
      <c r="Q310" s="231"/>
      <c r="R310" s="231"/>
      <c r="S310" s="231"/>
      <c r="T310" s="231"/>
      <c r="U310" s="231"/>
      <c r="V310" s="231"/>
      <c r="W310" s="231"/>
      <c r="X310" s="231"/>
      <c r="Y310" s="231"/>
      <c r="Z310" s="231"/>
      <c r="AA310" s="231"/>
      <c r="AB310" s="231"/>
      <c r="AC310" s="231"/>
      <c r="AD310" s="231"/>
      <c r="AE310" s="231"/>
      <c r="AF310" s="231"/>
      <c r="AG310" s="231"/>
      <c r="AH310" s="231"/>
      <c r="AI310" s="231"/>
      <c r="AJ310" s="231"/>
      <c r="AK310" s="231"/>
      <c r="AL310" s="231"/>
      <c r="AM310" s="231"/>
    </row>
    <row r="311" spans="1:39" s="203" customFormat="1">
      <c r="A311" s="120">
        <v>1</v>
      </c>
      <c r="B311" s="47" t="s">
        <v>258</v>
      </c>
      <c r="C311" s="47"/>
      <c r="D311" s="186"/>
      <c r="E311" s="74">
        <v>0</v>
      </c>
      <c r="F311" s="52">
        <v>0</v>
      </c>
      <c r="G311" s="43"/>
      <c r="H311" s="52">
        <v>0</v>
      </c>
      <c r="I311" s="21"/>
      <c r="J311" s="231"/>
      <c r="K311" s="231"/>
      <c r="L311" s="231"/>
      <c r="M311" s="231"/>
      <c r="N311" s="231"/>
      <c r="O311" s="231"/>
      <c r="P311" s="231"/>
      <c r="Q311" s="231"/>
      <c r="R311" s="231"/>
      <c r="S311" s="231"/>
      <c r="T311" s="231"/>
      <c r="U311" s="231"/>
      <c r="V311" s="231"/>
      <c r="W311" s="231"/>
      <c r="X311" s="231"/>
      <c r="Y311" s="231"/>
      <c r="Z311" s="231"/>
      <c r="AA311" s="231"/>
      <c r="AB311" s="231"/>
      <c r="AC311" s="231"/>
      <c r="AD311" s="231"/>
      <c r="AE311" s="231"/>
      <c r="AF311" s="231"/>
      <c r="AG311" s="231"/>
      <c r="AH311" s="231"/>
      <c r="AI311" s="231"/>
      <c r="AJ311" s="231"/>
      <c r="AK311" s="231"/>
      <c r="AL311" s="231"/>
      <c r="AM311" s="231"/>
    </row>
    <row r="312" spans="1:39" s="203" customFormat="1">
      <c r="A312" s="120">
        <v>2</v>
      </c>
      <c r="B312" s="47" t="s">
        <v>234</v>
      </c>
      <c r="C312" s="47"/>
      <c r="D312" s="186"/>
      <c r="E312" s="114">
        <v>0</v>
      </c>
      <c r="F312" s="52">
        <v>0</v>
      </c>
      <c r="G312" s="43"/>
      <c r="H312" s="52">
        <v>0</v>
      </c>
      <c r="I312" s="21"/>
      <c r="J312" s="231"/>
      <c r="K312" s="231"/>
      <c r="L312" s="231"/>
      <c r="M312" s="231"/>
      <c r="N312" s="231"/>
      <c r="O312" s="231"/>
      <c r="P312" s="231"/>
      <c r="Q312" s="231"/>
      <c r="R312" s="231"/>
      <c r="S312" s="231"/>
      <c r="T312" s="231"/>
      <c r="U312" s="231"/>
      <c r="V312" s="231"/>
      <c r="W312" s="231"/>
      <c r="X312" s="231"/>
      <c r="Y312" s="231"/>
      <c r="Z312" s="231"/>
      <c r="AA312" s="231"/>
      <c r="AB312" s="231"/>
      <c r="AC312" s="231"/>
      <c r="AD312" s="231"/>
      <c r="AE312" s="231"/>
      <c r="AF312" s="231"/>
      <c r="AG312" s="231"/>
      <c r="AH312" s="231"/>
      <c r="AI312" s="231"/>
      <c r="AJ312" s="231"/>
      <c r="AK312" s="231"/>
      <c r="AL312" s="231"/>
      <c r="AM312" s="231"/>
    </row>
    <row r="313" spans="1:39" s="203" customFormat="1">
      <c r="A313" s="120">
        <v>3</v>
      </c>
      <c r="B313" s="47" t="s">
        <v>259</v>
      </c>
      <c r="C313" s="47"/>
      <c r="D313" s="186"/>
      <c r="E313" s="114">
        <v>-119</v>
      </c>
      <c r="F313" s="52">
        <v>-162</v>
      </c>
      <c r="G313" s="43"/>
      <c r="H313" s="52">
        <v>-161</v>
      </c>
      <c r="I313" s="21"/>
      <c r="J313" s="231"/>
      <c r="K313" s="231"/>
      <c r="L313" s="231"/>
      <c r="M313" s="231"/>
      <c r="N313" s="231"/>
      <c r="O313" s="231"/>
      <c r="P313" s="231"/>
      <c r="Q313" s="231"/>
      <c r="R313" s="231"/>
      <c r="S313" s="231"/>
      <c r="T313" s="231"/>
      <c r="U313" s="231"/>
      <c r="V313" s="231"/>
      <c r="W313" s="231"/>
      <c r="X313" s="231"/>
      <c r="Y313" s="231"/>
      <c r="Z313" s="231"/>
      <c r="AA313" s="231"/>
      <c r="AB313" s="231"/>
      <c r="AC313" s="231"/>
      <c r="AD313" s="231"/>
      <c r="AE313" s="231"/>
      <c r="AF313" s="231"/>
      <c r="AG313" s="231"/>
      <c r="AH313" s="231"/>
      <c r="AI313" s="231"/>
      <c r="AJ313" s="231"/>
      <c r="AK313" s="231"/>
      <c r="AL313" s="231"/>
      <c r="AM313" s="231"/>
    </row>
    <row r="314" spans="1:39" s="203" customFormat="1">
      <c r="A314" s="120">
        <v>4</v>
      </c>
      <c r="B314" s="47" t="s">
        <v>235</v>
      </c>
      <c r="C314" s="47"/>
      <c r="D314" s="186"/>
      <c r="E314" s="114">
        <v>7692</v>
      </c>
      <c r="F314" s="52">
        <f>7949+193</f>
        <v>8142</v>
      </c>
      <c r="G314" s="43"/>
      <c r="H314" s="52">
        <f>7597+193</f>
        <v>7790</v>
      </c>
      <c r="I314" s="21"/>
      <c r="J314" s="231"/>
      <c r="K314" s="231"/>
      <c r="L314" s="231"/>
      <c r="M314" s="231"/>
      <c r="N314" s="231"/>
      <c r="O314" s="231"/>
      <c r="P314" s="231"/>
      <c r="Q314" s="231"/>
      <c r="R314" s="231"/>
      <c r="S314" s="231"/>
      <c r="T314" s="231"/>
      <c r="U314" s="231"/>
      <c r="V314" s="231"/>
      <c r="W314" s="231"/>
      <c r="X314" s="231"/>
      <c r="Y314" s="231"/>
      <c r="Z314" s="231"/>
      <c r="AA314" s="231"/>
      <c r="AB314" s="231"/>
      <c r="AC314" s="231"/>
      <c r="AD314" s="231"/>
      <c r="AE314" s="231"/>
      <c r="AF314" s="231"/>
      <c r="AG314" s="231"/>
      <c r="AH314" s="231"/>
      <c r="AI314" s="231"/>
      <c r="AJ314" s="231"/>
      <c r="AK314" s="231"/>
      <c r="AL314" s="231"/>
      <c r="AM314" s="231"/>
    </row>
    <row r="315" spans="1:39" s="203" customFormat="1">
      <c r="A315" s="120">
        <v>5</v>
      </c>
      <c r="B315" s="47" t="s">
        <v>236</v>
      </c>
      <c r="C315" s="47"/>
      <c r="D315" s="186"/>
      <c r="E315" s="114">
        <v>2130</v>
      </c>
      <c r="F315" s="52">
        <v>2039</v>
      </c>
      <c r="G315" s="187"/>
      <c r="H315" s="52">
        <v>2376</v>
      </c>
      <c r="I315" s="21"/>
      <c r="J315" s="231"/>
      <c r="K315" s="231"/>
      <c r="L315" s="231"/>
      <c r="M315" s="231"/>
      <c r="N315" s="231"/>
      <c r="O315" s="231"/>
      <c r="P315" s="231"/>
      <c r="Q315" s="231"/>
      <c r="R315" s="231"/>
      <c r="S315" s="231"/>
      <c r="T315" s="231"/>
      <c r="U315" s="231"/>
      <c r="V315" s="231"/>
      <c r="W315" s="231"/>
      <c r="X315" s="231"/>
      <c r="Y315" s="231"/>
      <c r="Z315" s="231"/>
      <c r="AA315" s="231"/>
      <c r="AB315" s="231"/>
      <c r="AC315" s="231"/>
      <c r="AD315" s="231"/>
      <c r="AE315" s="231"/>
      <c r="AF315" s="231"/>
      <c r="AG315" s="231"/>
      <c r="AH315" s="231"/>
      <c r="AI315" s="231"/>
      <c r="AJ315" s="231"/>
      <c r="AK315" s="231"/>
      <c r="AL315" s="231"/>
      <c r="AM315" s="231"/>
    </row>
    <row r="316" spans="1:39" s="203" customFormat="1">
      <c r="A316" s="120">
        <v>6</v>
      </c>
      <c r="B316" s="47" t="s">
        <v>237</v>
      </c>
      <c r="C316" s="47"/>
      <c r="D316" s="186"/>
      <c r="E316" s="114">
        <v>14582</v>
      </c>
      <c r="F316" s="52">
        <v>14668</v>
      </c>
      <c r="G316" s="43"/>
      <c r="H316" s="52">
        <v>14134</v>
      </c>
      <c r="I316" s="21"/>
      <c r="J316" s="231"/>
      <c r="K316" s="231"/>
      <c r="L316" s="231"/>
      <c r="M316" s="231"/>
      <c r="N316" s="231"/>
      <c r="O316" s="231"/>
      <c r="P316" s="231"/>
      <c r="Q316" s="231"/>
      <c r="R316" s="231"/>
      <c r="S316" s="231"/>
      <c r="T316" s="231"/>
      <c r="U316" s="231"/>
      <c r="V316" s="231"/>
      <c r="W316" s="231"/>
      <c r="X316" s="231"/>
      <c r="Y316" s="231"/>
      <c r="Z316" s="231"/>
      <c r="AA316" s="231"/>
      <c r="AB316" s="231"/>
      <c r="AC316" s="231"/>
      <c r="AD316" s="231"/>
      <c r="AE316" s="231"/>
      <c r="AF316" s="231"/>
      <c r="AG316" s="231"/>
      <c r="AH316" s="231"/>
      <c r="AI316" s="231"/>
      <c r="AJ316" s="231"/>
      <c r="AK316" s="231"/>
      <c r="AL316" s="231"/>
      <c r="AM316" s="231"/>
    </row>
    <row r="317" spans="1:39" s="203" customFormat="1">
      <c r="A317" s="120">
        <v>7</v>
      </c>
      <c r="B317" s="47" t="s">
        <v>238</v>
      </c>
      <c r="C317" s="47"/>
      <c r="D317" s="186"/>
      <c r="E317" s="114">
        <v>0</v>
      </c>
      <c r="F317" s="52">
        <v>0</v>
      </c>
      <c r="G317" s="43"/>
      <c r="H317" s="52">
        <v>0</v>
      </c>
      <c r="I317" s="21"/>
      <c r="J317" s="231"/>
      <c r="K317" s="231"/>
      <c r="L317" s="231"/>
      <c r="M317" s="231"/>
      <c r="N317" s="231"/>
      <c r="O317" s="231"/>
      <c r="P317" s="231"/>
      <c r="Q317" s="231"/>
      <c r="R317" s="231"/>
      <c r="S317" s="231"/>
      <c r="T317" s="231"/>
      <c r="U317" s="231"/>
      <c r="V317" s="231"/>
      <c r="W317" s="231"/>
      <c r="X317" s="231"/>
      <c r="Y317" s="231"/>
      <c r="Z317" s="231"/>
      <c r="AA317" s="231"/>
      <c r="AB317" s="231"/>
      <c r="AC317" s="231"/>
      <c r="AD317" s="231"/>
      <c r="AE317" s="231"/>
      <c r="AF317" s="231"/>
      <c r="AG317" s="231"/>
      <c r="AH317" s="231"/>
      <c r="AI317" s="231"/>
      <c r="AJ317" s="231"/>
      <c r="AK317" s="231"/>
      <c r="AL317" s="231"/>
      <c r="AM317" s="231"/>
    </row>
    <row r="318" spans="1:39" s="203" customFormat="1">
      <c r="A318" s="120">
        <v>8</v>
      </c>
      <c r="B318" s="47" t="s">
        <v>239</v>
      </c>
      <c r="C318" s="47"/>
      <c r="D318" s="186"/>
      <c r="E318" s="114">
        <v>88</v>
      </c>
      <c r="F318" s="52">
        <v>93</v>
      </c>
      <c r="G318" s="43"/>
      <c r="H318" s="52">
        <v>89</v>
      </c>
      <c r="I318" s="21"/>
      <c r="J318" s="231"/>
      <c r="K318" s="231"/>
      <c r="L318" s="231"/>
      <c r="M318" s="231"/>
      <c r="N318" s="231"/>
      <c r="O318" s="231"/>
      <c r="P318" s="231"/>
      <c r="Q318" s="231"/>
      <c r="R318" s="231"/>
      <c r="S318" s="231"/>
      <c r="T318" s="231"/>
      <c r="U318" s="231"/>
      <c r="V318" s="231"/>
      <c r="W318" s="231"/>
      <c r="X318" s="231"/>
      <c r="Y318" s="231"/>
      <c r="Z318" s="231"/>
      <c r="AA318" s="231"/>
      <c r="AB318" s="231"/>
      <c r="AC318" s="231"/>
      <c r="AD318" s="231"/>
      <c r="AE318" s="231"/>
      <c r="AF318" s="231"/>
      <c r="AG318" s="231"/>
      <c r="AH318" s="231"/>
      <c r="AI318" s="231"/>
      <c r="AJ318" s="231"/>
      <c r="AK318" s="231"/>
      <c r="AL318" s="231"/>
      <c r="AM318" s="231"/>
    </row>
    <row r="319" spans="1:39" s="203" customFormat="1">
      <c r="A319" s="794">
        <v>9</v>
      </c>
      <c r="B319" s="90" t="s">
        <v>260</v>
      </c>
      <c r="C319" s="47"/>
      <c r="D319" s="47"/>
      <c r="E319" s="114">
        <v>0</v>
      </c>
      <c r="F319" s="188"/>
      <c r="G319" s="43"/>
      <c r="H319" s="189">
        <v>0</v>
      </c>
      <c r="I319" s="21"/>
      <c r="J319" s="231"/>
      <c r="K319" s="231"/>
      <c r="L319" s="231"/>
      <c r="M319" s="231"/>
      <c r="N319" s="231"/>
      <c r="O319" s="231"/>
      <c r="P319" s="231"/>
      <c r="Q319" s="231"/>
      <c r="R319" s="231"/>
      <c r="S319" s="231"/>
      <c r="T319" s="231"/>
      <c r="U319" s="231"/>
      <c r="V319" s="231"/>
      <c r="W319" s="231"/>
      <c r="X319" s="231"/>
      <c r="Y319" s="231"/>
      <c r="Z319" s="231"/>
      <c r="AA319" s="231"/>
      <c r="AB319" s="231"/>
      <c r="AC319" s="231"/>
      <c r="AD319" s="231"/>
      <c r="AE319" s="231"/>
      <c r="AF319" s="231"/>
      <c r="AG319" s="231"/>
      <c r="AH319" s="231"/>
      <c r="AI319" s="231"/>
      <c r="AJ319" s="231"/>
      <c r="AK319" s="231"/>
      <c r="AL319" s="231"/>
      <c r="AM319" s="231"/>
    </row>
    <row r="320" spans="1:39" s="203" customFormat="1">
      <c r="A320" s="124">
        <v>10</v>
      </c>
      <c r="B320" s="94" t="s">
        <v>62</v>
      </c>
      <c r="C320" s="94"/>
      <c r="D320" s="94"/>
      <c r="E320" s="159">
        <v>24373</v>
      </c>
      <c r="F320" s="61">
        <f>F311+F312+F313+F314+F315+F316+F317+F318</f>
        <v>24780</v>
      </c>
      <c r="G320" s="118"/>
      <c r="H320" s="61">
        <f>H311+H312+H313+H314+H315+H316+H317+H318+H319</f>
        <v>24228</v>
      </c>
      <c r="I320" s="183"/>
      <c r="J320" s="231"/>
      <c r="K320" s="231"/>
      <c r="L320" s="231"/>
      <c r="M320" s="231"/>
      <c r="N320" s="231"/>
      <c r="O320" s="231"/>
      <c r="P320" s="231"/>
      <c r="Q320" s="231"/>
      <c r="R320" s="231"/>
      <c r="S320" s="231"/>
      <c r="T320" s="231"/>
      <c r="U320" s="231"/>
      <c r="V320" s="231"/>
      <c r="W320" s="231"/>
      <c r="X320" s="231"/>
      <c r="Y320" s="231"/>
      <c r="Z320" s="231"/>
      <c r="AA320" s="231"/>
      <c r="AB320" s="231"/>
      <c r="AC320" s="231"/>
      <c r="AD320" s="231"/>
      <c r="AE320" s="231"/>
      <c r="AF320" s="231"/>
      <c r="AG320" s="231"/>
      <c r="AH320" s="231"/>
      <c r="AI320" s="231"/>
      <c r="AJ320" s="231"/>
      <c r="AK320" s="231"/>
      <c r="AL320" s="231"/>
      <c r="AM320" s="231"/>
    </row>
    <row r="321" spans="1:39" s="203" customFormat="1">
      <c r="A321" s="179"/>
      <c r="B321" s="180"/>
      <c r="C321" s="180"/>
      <c r="D321" s="180"/>
      <c r="E321" s="180"/>
      <c r="F321" s="183"/>
      <c r="G321" s="21"/>
      <c r="H321" s="183"/>
      <c r="I321" s="183"/>
      <c r="J321" s="231"/>
      <c r="K321" s="231"/>
      <c r="L321" s="231"/>
      <c r="M321" s="231"/>
      <c r="N321" s="231"/>
      <c r="O321" s="231"/>
      <c r="P321" s="231"/>
      <c r="Q321" s="231"/>
      <c r="R321" s="231"/>
      <c r="S321" s="231"/>
      <c r="T321" s="231"/>
      <c r="U321" s="231"/>
      <c r="V321" s="231"/>
      <c r="W321" s="231"/>
      <c r="X321" s="231"/>
      <c r="Y321" s="231"/>
      <c r="Z321" s="231"/>
      <c r="AA321" s="231"/>
      <c r="AB321" s="231"/>
      <c r="AC321" s="231"/>
      <c r="AD321" s="231"/>
      <c r="AE321" s="231"/>
      <c r="AF321" s="231"/>
      <c r="AG321" s="231"/>
      <c r="AH321" s="231"/>
      <c r="AI321" s="231"/>
      <c r="AJ321" s="231"/>
      <c r="AK321" s="231"/>
      <c r="AL321" s="231"/>
      <c r="AM321" s="231"/>
    </row>
    <row r="322" spans="1:39" s="203" customFormat="1">
      <c r="A322" s="148"/>
      <c r="B322" s="207"/>
      <c r="C322" s="207"/>
      <c r="D322" s="29"/>
      <c r="E322" s="29"/>
      <c r="F322" s="29"/>
      <c r="G322" s="29"/>
      <c r="H322" s="31" t="s">
        <v>27</v>
      </c>
      <c r="I322" s="2"/>
      <c r="J322" s="231"/>
      <c r="K322" s="231"/>
      <c r="L322" s="231"/>
      <c r="M322" s="231"/>
      <c r="N322" s="231"/>
      <c r="O322" s="231"/>
      <c r="P322" s="231"/>
      <c r="Q322" s="231"/>
      <c r="R322" s="231"/>
      <c r="S322" s="231"/>
      <c r="T322" s="231"/>
      <c r="U322" s="231"/>
      <c r="V322" s="231"/>
      <c r="W322" s="231"/>
      <c r="X322" s="231"/>
      <c r="Y322" s="231"/>
      <c r="Z322" s="231"/>
      <c r="AA322" s="231"/>
      <c r="AB322" s="231"/>
      <c r="AC322" s="231"/>
      <c r="AD322" s="231"/>
      <c r="AE322" s="231"/>
      <c r="AF322" s="231"/>
      <c r="AG322" s="231"/>
      <c r="AH322" s="231"/>
      <c r="AI322" s="231"/>
      <c r="AJ322" s="231"/>
      <c r="AK322" s="231"/>
      <c r="AL322" s="231"/>
      <c r="AM322" s="231"/>
    </row>
    <row r="323" spans="1:39" s="203" customFormat="1">
      <c r="A323" s="190" t="s">
        <v>240</v>
      </c>
      <c r="B323" s="263"/>
      <c r="C323" s="861" t="s">
        <v>405</v>
      </c>
      <c r="D323" s="862"/>
      <c r="E323" s="862"/>
      <c r="F323" s="862"/>
      <c r="G323" s="862"/>
      <c r="H323" s="863"/>
      <c r="I323" s="210"/>
      <c r="J323" s="231"/>
      <c r="K323" s="231"/>
      <c r="L323" s="231"/>
      <c r="M323" s="231"/>
      <c r="N323" s="231"/>
      <c r="O323" s="231"/>
      <c r="P323" s="231"/>
      <c r="Q323" s="231"/>
      <c r="R323" s="231"/>
      <c r="S323" s="231"/>
      <c r="T323" s="231"/>
      <c r="U323" s="231"/>
      <c r="V323" s="231"/>
      <c r="W323" s="231"/>
      <c r="X323" s="231"/>
      <c r="Y323" s="231"/>
      <c r="Z323" s="231"/>
      <c r="AA323" s="231"/>
      <c r="AB323" s="231"/>
      <c r="AC323" s="231"/>
      <c r="AD323" s="231"/>
      <c r="AE323" s="231"/>
      <c r="AF323" s="231"/>
      <c r="AG323" s="231"/>
      <c r="AH323" s="231"/>
      <c r="AI323" s="231"/>
      <c r="AJ323" s="231"/>
      <c r="AK323" s="231"/>
      <c r="AL323" s="231"/>
      <c r="AM323" s="231"/>
    </row>
    <row r="324" spans="1:39" s="203" customFormat="1" ht="39" thickBot="1">
      <c r="A324" s="110" t="s">
        <v>84</v>
      </c>
      <c r="B324" s="116"/>
      <c r="C324" s="35" t="s">
        <v>52</v>
      </c>
      <c r="D324" s="35" t="s">
        <v>53</v>
      </c>
      <c r="E324" s="37" t="s">
        <v>54</v>
      </c>
      <c r="F324" s="37" t="s">
        <v>55</v>
      </c>
      <c r="G324" s="37" t="s">
        <v>241</v>
      </c>
      <c r="H324" s="35" t="s">
        <v>121</v>
      </c>
      <c r="I324" s="29"/>
      <c r="J324" s="231"/>
      <c r="K324" s="231"/>
      <c r="L324" s="231"/>
      <c r="M324" s="231"/>
      <c r="N324" s="231"/>
      <c r="O324" s="231"/>
      <c r="P324" s="231"/>
      <c r="Q324" s="231"/>
      <c r="R324" s="231"/>
      <c r="S324" s="231"/>
      <c r="T324" s="231"/>
      <c r="U324" s="231"/>
      <c r="V324" s="231"/>
      <c r="W324" s="231"/>
      <c r="X324" s="231"/>
      <c r="Y324" s="231"/>
      <c r="Z324" s="231"/>
      <c r="AA324" s="231"/>
      <c r="AB324" s="231"/>
      <c r="AC324" s="231"/>
      <c r="AD324" s="231"/>
      <c r="AE324" s="231"/>
      <c r="AF324" s="231"/>
      <c r="AG324" s="231"/>
      <c r="AH324" s="231"/>
      <c r="AI324" s="231"/>
      <c r="AJ324" s="231"/>
      <c r="AK324" s="231"/>
      <c r="AL324" s="231"/>
      <c r="AM324" s="231"/>
    </row>
    <row r="325" spans="1:39" s="203" customFormat="1" ht="13.5" thickBot="1">
      <c r="A325" s="794">
        <v>1</v>
      </c>
      <c r="B325" s="116" t="s">
        <v>242</v>
      </c>
      <c r="C325" s="193">
        <f t="shared" ref="C325:H325" si="0">SUM(C326:C329)</f>
        <v>14500</v>
      </c>
      <c r="D325" s="193">
        <f t="shared" si="0"/>
        <v>0</v>
      </c>
      <c r="E325" s="193">
        <v>0</v>
      </c>
      <c r="F325" s="193">
        <f t="shared" si="0"/>
        <v>0</v>
      </c>
      <c r="G325" s="193">
        <f>SUM(G326:G329)</f>
        <v>0</v>
      </c>
      <c r="H325" s="193">
        <f t="shared" si="0"/>
        <v>0</v>
      </c>
      <c r="I325" s="207"/>
      <c r="J325" s="231"/>
      <c r="K325" s="231"/>
      <c r="L325" s="231"/>
      <c r="M325" s="231"/>
      <c r="N325" s="231"/>
      <c r="O325" s="231"/>
      <c r="P325" s="231"/>
      <c r="Q325" s="231"/>
      <c r="R325" s="231"/>
      <c r="S325" s="231"/>
      <c r="T325" s="231"/>
      <c r="U325" s="231"/>
      <c r="V325" s="231"/>
      <c r="W325" s="231"/>
      <c r="X325" s="231"/>
      <c r="Y325" s="231"/>
      <c r="Z325" s="231"/>
      <c r="AA325" s="231"/>
      <c r="AB325" s="231"/>
      <c r="AC325" s="231"/>
      <c r="AD325" s="231"/>
      <c r="AE325" s="231"/>
      <c r="AF325" s="231"/>
      <c r="AG325" s="231"/>
      <c r="AH325" s="231"/>
      <c r="AI325" s="231"/>
      <c r="AJ325" s="231"/>
      <c r="AK325" s="231"/>
      <c r="AL325" s="231"/>
      <c r="AM325" s="231"/>
    </row>
    <row r="326" spans="1:39" s="203" customFormat="1">
      <c r="A326" s="794">
        <v>2</v>
      </c>
      <c r="B326" s="47" t="s">
        <v>243</v>
      </c>
      <c r="C326" s="169">
        <v>5074</v>
      </c>
      <c r="D326" s="169"/>
      <c r="E326" s="169"/>
      <c r="F326" s="169"/>
      <c r="G326" s="169"/>
      <c r="H326" s="169"/>
      <c r="I326" s="207"/>
      <c r="J326" s="231"/>
      <c r="K326" s="231"/>
      <c r="L326" s="231"/>
      <c r="M326" s="231"/>
      <c r="N326" s="231"/>
      <c r="O326" s="231"/>
      <c r="P326" s="231"/>
      <c r="Q326" s="231"/>
      <c r="R326" s="231"/>
      <c r="S326" s="231"/>
      <c r="T326" s="231"/>
      <c r="U326" s="231"/>
      <c r="V326" s="231"/>
      <c r="W326" s="231"/>
      <c r="X326" s="231"/>
      <c r="Y326" s="231"/>
      <c r="Z326" s="231"/>
      <c r="AA326" s="231"/>
      <c r="AB326" s="231"/>
      <c r="AC326" s="231"/>
      <c r="AD326" s="231"/>
      <c r="AE326" s="231"/>
      <c r="AF326" s="231"/>
      <c r="AG326" s="231"/>
      <c r="AH326" s="231"/>
      <c r="AI326" s="231"/>
      <c r="AJ326" s="231"/>
      <c r="AK326" s="231"/>
      <c r="AL326" s="231"/>
      <c r="AM326" s="231"/>
    </row>
    <row r="327" spans="1:39" s="203" customFormat="1">
      <c r="A327" s="794">
        <v>3</v>
      </c>
      <c r="B327" s="47" t="s">
        <v>244</v>
      </c>
      <c r="C327" s="99">
        <f>6947+362</f>
        <v>7309</v>
      </c>
      <c r="D327" s="99"/>
      <c r="E327" s="99"/>
      <c r="F327" s="99"/>
      <c r="G327" s="99"/>
      <c r="H327" s="99"/>
      <c r="I327" s="207"/>
      <c r="J327" s="231"/>
      <c r="K327" s="231"/>
      <c r="L327" s="231"/>
      <c r="M327" s="231"/>
      <c r="N327" s="231"/>
      <c r="O327" s="231"/>
      <c r="P327" s="231"/>
      <c r="Q327" s="231"/>
      <c r="R327" s="231"/>
      <c r="S327" s="231"/>
      <c r="T327" s="231"/>
      <c r="U327" s="231"/>
      <c r="V327" s="231"/>
      <c r="W327" s="231"/>
      <c r="X327" s="231"/>
      <c r="Y327" s="231"/>
      <c r="Z327" s="231"/>
      <c r="AA327" s="231"/>
      <c r="AB327" s="231"/>
      <c r="AC327" s="231"/>
      <c r="AD327" s="231"/>
      <c r="AE327" s="231"/>
      <c r="AF327" s="231"/>
      <c r="AG327" s="231"/>
      <c r="AH327" s="231"/>
      <c r="AI327" s="231"/>
      <c r="AJ327" s="231"/>
      <c r="AK327" s="231"/>
      <c r="AL327" s="231"/>
      <c r="AM327" s="231"/>
    </row>
    <row r="328" spans="1:39" s="203" customFormat="1">
      <c r="A328" s="794">
        <v>4</v>
      </c>
      <c r="B328" s="47" t="s">
        <v>245</v>
      </c>
      <c r="C328" s="99">
        <v>2117</v>
      </c>
      <c r="D328" s="99"/>
      <c r="E328" s="99"/>
      <c r="F328" s="99"/>
      <c r="G328" s="99"/>
      <c r="H328" s="99"/>
      <c r="I328" s="207"/>
      <c r="J328" s="231"/>
      <c r="K328" s="231"/>
      <c r="L328" s="231"/>
      <c r="M328" s="231"/>
      <c r="N328" s="231"/>
      <c r="O328" s="231"/>
      <c r="P328" s="231"/>
      <c r="Q328" s="231"/>
      <c r="R328" s="231"/>
      <c r="S328" s="231"/>
      <c r="T328" s="231"/>
      <c r="U328" s="231"/>
      <c r="V328" s="231"/>
      <c r="W328" s="231"/>
      <c r="X328" s="231"/>
      <c r="Y328" s="231"/>
      <c r="Z328" s="231"/>
      <c r="AA328" s="231"/>
      <c r="AB328" s="231"/>
      <c r="AC328" s="231"/>
      <c r="AD328" s="231"/>
      <c r="AE328" s="231"/>
      <c r="AF328" s="231"/>
      <c r="AG328" s="231"/>
      <c r="AH328" s="231"/>
      <c r="AI328" s="231"/>
      <c r="AJ328" s="231"/>
      <c r="AK328" s="231"/>
      <c r="AL328" s="231"/>
      <c r="AM328" s="231"/>
    </row>
    <row r="329" spans="1:39" s="203" customFormat="1">
      <c r="A329" s="795">
        <v>5</v>
      </c>
      <c r="B329" s="54" t="s">
        <v>246</v>
      </c>
      <c r="C329" s="100"/>
      <c r="D329" s="100"/>
      <c r="E329" s="100"/>
      <c r="F329" s="100"/>
      <c r="G329" s="100"/>
      <c r="H329" s="100"/>
      <c r="I329" s="207"/>
      <c r="J329" s="231"/>
      <c r="K329" s="231"/>
      <c r="L329" s="231"/>
      <c r="M329" s="231"/>
      <c r="N329" s="231"/>
      <c r="O329" s="231"/>
      <c r="P329" s="231"/>
      <c r="Q329" s="231"/>
      <c r="R329" s="231"/>
      <c r="S329" s="231"/>
      <c r="T329" s="231"/>
      <c r="U329" s="231"/>
      <c r="V329" s="231"/>
      <c r="W329" s="231"/>
      <c r="X329" s="231"/>
      <c r="Y329" s="231"/>
      <c r="Z329" s="231"/>
      <c r="AA329" s="231"/>
      <c r="AB329" s="231"/>
      <c r="AC329" s="231"/>
      <c r="AD329" s="231"/>
      <c r="AE329" s="231"/>
      <c r="AF329" s="231"/>
      <c r="AG329" s="231"/>
      <c r="AH329" s="231"/>
      <c r="AI329" s="231"/>
      <c r="AJ329" s="231"/>
      <c r="AK329" s="231"/>
      <c r="AL329" s="231"/>
      <c r="AM329" s="231"/>
    </row>
    <row r="330" spans="1:39" s="203" customFormat="1">
      <c r="A330" s="794"/>
      <c r="B330" s="47"/>
      <c r="C330" s="864" t="s">
        <v>404</v>
      </c>
      <c r="D330" s="865"/>
      <c r="E330" s="865"/>
      <c r="F330" s="865"/>
      <c r="G330" s="865"/>
      <c r="H330" s="866"/>
      <c r="I330" s="207"/>
      <c r="J330" s="231"/>
      <c r="K330" s="231"/>
      <c r="L330" s="231"/>
      <c r="M330" s="231"/>
      <c r="N330" s="231"/>
      <c r="O330" s="231"/>
      <c r="P330" s="231"/>
      <c r="Q330" s="231"/>
      <c r="R330" s="231"/>
      <c r="S330" s="231"/>
      <c r="T330" s="231"/>
      <c r="U330" s="231"/>
      <c r="V330" s="231"/>
      <c r="W330" s="231"/>
      <c r="X330" s="231"/>
      <c r="Y330" s="231"/>
      <c r="Z330" s="231"/>
      <c r="AA330" s="231"/>
      <c r="AB330" s="231"/>
      <c r="AC330" s="231"/>
      <c r="AD330" s="231"/>
      <c r="AE330" s="231"/>
      <c r="AF330" s="231"/>
      <c r="AG330" s="231"/>
      <c r="AH330" s="231"/>
      <c r="AI330" s="231"/>
      <c r="AJ330" s="231"/>
      <c r="AK330" s="231"/>
      <c r="AL330" s="231"/>
      <c r="AM330" s="231"/>
    </row>
    <row r="331" spans="1:39" s="203" customFormat="1" ht="39" thickBot="1">
      <c r="A331" s="110" t="s">
        <v>84</v>
      </c>
      <c r="B331" s="116"/>
      <c r="C331" s="35" t="s">
        <v>52</v>
      </c>
      <c r="D331" s="35" t="s">
        <v>53</v>
      </c>
      <c r="E331" s="37" t="s">
        <v>54</v>
      </c>
      <c r="F331" s="37" t="s">
        <v>55</v>
      </c>
      <c r="G331" s="37" t="s">
        <v>241</v>
      </c>
      <c r="H331" s="35" t="s">
        <v>121</v>
      </c>
      <c r="I331" s="207"/>
      <c r="J331" s="231"/>
      <c r="K331" s="231"/>
      <c r="L331" s="231"/>
      <c r="M331" s="231"/>
      <c r="N331" s="231"/>
      <c r="O331" s="231"/>
      <c r="P331" s="231"/>
      <c r="Q331" s="231"/>
      <c r="R331" s="231"/>
      <c r="S331" s="231"/>
      <c r="T331" s="231"/>
      <c r="U331" s="231"/>
      <c r="V331" s="231"/>
      <c r="W331" s="231"/>
      <c r="X331" s="231"/>
      <c r="Y331" s="231"/>
      <c r="Z331" s="231"/>
      <c r="AA331" s="231"/>
      <c r="AB331" s="231"/>
      <c r="AC331" s="231"/>
      <c r="AD331" s="231"/>
      <c r="AE331" s="231"/>
      <c r="AF331" s="231"/>
      <c r="AG331" s="231"/>
      <c r="AH331" s="231"/>
      <c r="AI331" s="231"/>
      <c r="AJ331" s="231"/>
      <c r="AK331" s="231"/>
      <c r="AL331" s="231"/>
      <c r="AM331" s="231"/>
    </row>
    <row r="332" spans="1:39" s="203" customFormat="1" ht="13.5" thickBot="1">
      <c r="A332" s="794">
        <v>1</v>
      </c>
      <c r="B332" s="116" t="s">
        <v>242</v>
      </c>
      <c r="C332" s="193">
        <f t="shared" ref="C332:H332" si="1">SUM(C333:C336)</f>
        <v>14658</v>
      </c>
      <c r="D332" s="193">
        <f t="shared" si="1"/>
        <v>0</v>
      </c>
      <c r="E332" s="193">
        <v>0</v>
      </c>
      <c r="F332" s="193">
        <f t="shared" si="1"/>
        <v>0</v>
      </c>
      <c r="G332" s="193">
        <f>SUM(G333:G336)</f>
        <v>0</v>
      </c>
      <c r="H332" s="193">
        <f t="shared" si="1"/>
        <v>0</v>
      </c>
      <c r="I332" s="207"/>
      <c r="J332" s="231"/>
      <c r="K332" s="231"/>
      <c r="L332" s="231"/>
      <c r="M332" s="231"/>
      <c r="N332" s="231"/>
      <c r="O332" s="231"/>
      <c r="P332" s="231"/>
      <c r="Q332" s="231"/>
      <c r="R332" s="231"/>
      <c r="S332" s="231"/>
      <c r="T332" s="231"/>
      <c r="U332" s="231"/>
      <c r="V332" s="231"/>
      <c r="W332" s="231"/>
      <c r="X332" s="231"/>
      <c r="Y332" s="231"/>
      <c r="Z332" s="231"/>
      <c r="AA332" s="231"/>
      <c r="AB332" s="231"/>
      <c r="AC332" s="231"/>
      <c r="AD332" s="231"/>
      <c r="AE332" s="231"/>
      <c r="AF332" s="231"/>
      <c r="AG332" s="231"/>
      <c r="AH332" s="231"/>
      <c r="AI332" s="231"/>
      <c r="AJ332" s="231"/>
      <c r="AK332" s="231"/>
      <c r="AL332" s="231"/>
      <c r="AM332" s="231"/>
    </row>
    <row r="333" spans="1:39" s="203" customFormat="1">
      <c r="A333" s="794">
        <v>2</v>
      </c>
      <c r="B333" s="47" t="s">
        <v>243</v>
      </c>
      <c r="C333" s="169">
        <v>5286</v>
      </c>
      <c r="D333" s="169"/>
      <c r="E333" s="169"/>
      <c r="F333" s="169"/>
      <c r="G333" s="169"/>
      <c r="H333" s="169"/>
      <c r="I333" s="207"/>
      <c r="J333" s="231"/>
      <c r="K333" s="231"/>
      <c r="L333" s="231"/>
      <c r="M333" s="231"/>
      <c r="N333" s="231"/>
      <c r="O333" s="231"/>
      <c r="P333" s="231"/>
      <c r="Q333" s="231"/>
      <c r="R333" s="231"/>
      <c r="S333" s="231"/>
      <c r="T333" s="231"/>
      <c r="U333" s="231"/>
      <c r="V333" s="231"/>
      <c r="W333" s="231"/>
      <c r="X333" s="231"/>
      <c r="Y333" s="231"/>
      <c r="Z333" s="231"/>
      <c r="AA333" s="231"/>
      <c r="AB333" s="231"/>
      <c r="AC333" s="231"/>
      <c r="AD333" s="231"/>
      <c r="AE333" s="231"/>
      <c r="AF333" s="231"/>
      <c r="AG333" s="231"/>
      <c r="AH333" s="231"/>
      <c r="AI333" s="231"/>
      <c r="AJ333" s="231"/>
      <c r="AK333" s="231"/>
      <c r="AL333" s="231"/>
      <c r="AM333" s="231"/>
    </row>
    <row r="334" spans="1:39" s="203" customFormat="1">
      <c r="A334" s="794">
        <v>3</v>
      </c>
      <c r="B334" s="47" t="s">
        <v>244</v>
      </c>
      <c r="C334" s="99">
        <f>6738+366</f>
        <v>7104</v>
      </c>
      <c r="D334" s="99"/>
      <c r="E334" s="99"/>
      <c r="F334" s="99"/>
      <c r="G334" s="99"/>
      <c r="H334" s="99"/>
      <c r="I334" s="207"/>
      <c r="J334" s="231"/>
      <c r="K334" s="231"/>
      <c r="L334" s="231"/>
      <c r="M334" s="231"/>
      <c r="N334" s="231"/>
      <c r="O334" s="231"/>
      <c r="P334" s="231"/>
      <c r="Q334" s="231"/>
      <c r="R334" s="231"/>
      <c r="S334" s="231"/>
      <c r="T334" s="231"/>
      <c r="U334" s="231"/>
      <c r="V334" s="231"/>
      <c r="W334" s="231"/>
      <c r="X334" s="231"/>
      <c r="Y334" s="231"/>
      <c r="Z334" s="231"/>
      <c r="AA334" s="231"/>
      <c r="AB334" s="231"/>
      <c r="AC334" s="231"/>
      <c r="AD334" s="231"/>
      <c r="AE334" s="231"/>
      <c r="AF334" s="231"/>
      <c r="AG334" s="231"/>
      <c r="AH334" s="231"/>
      <c r="AI334" s="231"/>
      <c r="AJ334" s="231"/>
      <c r="AK334" s="231"/>
      <c r="AL334" s="231"/>
      <c r="AM334" s="231"/>
    </row>
    <row r="335" spans="1:39" s="203" customFormat="1">
      <c r="A335" s="794">
        <v>4</v>
      </c>
      <c r="B335" s="47" t="s">
        <v>245</v>
      </c>
      <c r="C335" s="99">
        <v>2268</v>
      </c>
      <c r="D335" s="99"/>
      <c r="E335" s="99"/>
      <c r="F335" s="99"/>
      <c r="G335" s="99"/>
      <c r="H335" s="99"/>
      <c r="I335" s="207"/>
      <c r="J335" s="231"/>
      <c r="K335" s="231"/>
      <c r="L335" s="231"/>
      <c r="M335" s="231"/>
      <c r="N335" s="231"/>
      <c r="O335" s="231"/>
      <c r="P335" s="231"/>
      <c r="Q335" s="231"/>
      <c r="R335" s="231"/>
      <c r="S335" s="231"/>
      <c r="T335" s="231"/>
      <c r="U335" s="231"/>
      <c r="V335" s="231"/>
      <c r="W335" s="231"/>
      <c r="X335" s="231"/>
      <c r="Y335" s="231"/>
      <c r="Z335" s="231"/>
      <c r="AA335" s="231"/>
      <c r="AB335" s="231"/>
      <c r="AC335" s="231"/>
      <c r="AD335" s="231"/>
      <c r="AE335" s="231"/>
      <c r="AF335" s="231"/>
      <c r="AG335" s="231"/>
      <c r="AH335" s="231"/>
      <c r="AI335" s="231"/>
      <c r="AJ335" s="231"/>
      <c r="AK335" s="231"/>
      <c r="AL335" s="231"/>
      <c r="AM335" s="231"/>
    </row>
    <row r="336" spans="1:39" s="203" customFormat="1">
      <c r="A336" s="795">
        <v>5</v>
      </c>
      <c r="B336" s="54" t="s">
        <v>246</v>
      </c>
      <c r="C336" s="100"/>
      <c r="D336" s="100"/>
      <c r="E336" s="100"/>
      <c r="F336" s="100"/>
      <c r="G336" s="100"/>
      <c r="H336" s="100"/>
      <c r="I336" s="207"/>
      <c r="J336" s="231"/>
      <c r="K336" s="231"/>
      <c r="L336" s="231"/>
      <c r="M336" s="231"/>
      <c r="N336" s="231"/>
      <c r="O336" s="231"/>
      <c r="P336" s="231"/>
      <c r="Q336" s="231"/>
      <c r="R336" s="231"/>
      <c r="S336" s="231"/>
      <c r="T336" s="231"/>
      <c r="U336" s="231"/>
      <c r="V336" s="231"/>
      <c r="W336" s="231"/>
      <c r="X336" s="231"/>
      <c r="Y336" s="231"/>
      <c r="Z336" s="231"/>
      <c r="AA336" s="231"/>
      <c r="AB336" s="231"/>
      <c r="AC336" s="231"/>
      <c r="AD336" s="231"/>
      <c r="AE336" s="231"/>
      <c r="AF336" s="231"/>
      <c r="AG336" s="231"/>
      <c r="AH336" s="231"/>
      <c r="AI336" s="231"/>
      <c r="AJ336" s="231"/>
      <c r="AK336" s="231"/>
      <c r="AL336" s="231"/>
      <c r="AM336" s="231"/>
    </row>
    <row r="337" spans="1:39" s="203" customFormat="1">
      <c r="A337" s="23"/>
      <c r="B337" s="207"/>
      <c r="C337" s="207"/>
      <c r="D337" s="207"/>
      <c r="E337" s="207"/>
      <c r="F337" s="207"/>
      <c r="G337" s="207"/>
      <c r="H337" s="21"/>
      <c r="I337" s="21"/>
      <c r="J337" s="231"/>
      <c r="K337" s="231"/>
      <c r="L337" s="231"/>
      <c r="M337" s="231"/>
      <c r="N337" s="231"/>
      <c r="O337" s="231"/>
      <c r="P337" s="231"/>
      <c r="Q337" s="231"/>
      <c r="R337" s="231"/>
      <c r="S337" s="231"/>
      <c r="T337" s="231"/>
      <c r="U337" s="231"/>
      <c r="V337" s="231"/>
      <c r="W337" s="231"/>
      <c r="X337" s="231"/>
      <c r="Y337" s="231"/>
      <c r="Z337" s="231"/>
      <c r="AA337" s="231"/>
      <c r="AB337" s="231"/>
      <c r="AC337" s="231"/>
      <c r="AD337" s="231"/>
      <c r="AE337" s="231"/>
      <c r="AF337" s="231"/>
      <c r="AG337" s="231"/>
      <c r="AH337" s="231"/>
      <c r="AI337" s="231"/>
      <c r="AJ337" s="231"/>
      <c r="AK337" s="231"/>
      <c r="AL337" s="231"/>
      <c r="AM337" s="231"/>
    </row>
    <row r="338" spans="1:39" s="203" customFormat="1" ht="12.75" customHeight="1">
      <c r="A338" s="23"/>
      <c r="B338" s="207"/>
      <c r="C338" s="207"/>
      <c r="D338" s="207"/>
      <c r="E338" s="207"/>
      <c r="F338" s="207"/>
      <c r="G338" s="207"/>
      <c r="H338" s="21"/>
      <c r="I338" s="21"/>
      <c r="J338" s="231"/>
      <c r="K338" s="231"/>
      <c r="L338" s="231"/>
      <c r="M338" s="231"/>
      <c r="N338" s="231"/>
      <c r="O338" s="231"/>
      <c r="P338" s="231"/>
      <c r="Q338" s="231"/>
      <c r="R338" s="231"/>
      <c r="S338" s="231"/>
      <c r="T338" s="231"/>
      <c r="U338" s="231"/>
      <c r="V338" s="231"/>
      <c r="W338" s="231"/>
      <c r="X338" s="231"/>
      <c r="Y338" s="231"/>
      <c r="Z338" s="231"/>
      <c r="AA338" s="231"/>
      <c r="AB338" s="231"/>
      <c r="AC338" s="231"/>
      <c r="AD338" s="231"/>
      <c r="AE338" s="231"/>
      <c r="AF338" s="231"/>
      <c r="AG338" s="231"/>
      <c r="AH338" s="231"/>
      <c r="AI338" s="231"/>
      <c r="AJ338" s="231"/>
      <c r="AK338" s="231"/>
      <c r="AL338" s="231"/>
      <c r="AM338" s="231"/>
    </row>
    <row r="339" spans="1:39" s="203" customFormat="1">
      <c r="A339" s="23"/>
      <c r="B339" s="207"/>
      <c r="C339" s="207"/>
      <c r="D339" s="207"/>
      <c r="E339" s="207"/>
      <c r="F339" s="207"/>
      <c r="G339" s="207"/>
      <c r="H339" s="21"/>
      <c r="I339" s="21"/>
      <c r="J339" s="231"/>
      <c r="K339" s="231"/>
      <c r="L339" s="231"/>
      <c r="M339" s="231"/>
      <c r="N339" s="231"/>
      <c r="O339" s="231"/>
      <c r="P339" s="231"/>
      <c r="Q339" s="231"/>
      <c r="R339" s="231"/>
      <c r="S339" s="231"/>
      <c r="T339" s="231"/>
      <c r="U339" s="231"/>
      <c r="V339" s="231"/>
      <c r="W339" s="231"/>
      <c r="X339" s="231"/>
      <c r="Y339" s="231"/>
      <c r="Z339" s="231"/>
      <c r="AA339" s="231"/>
      <c r="AB339" s="231"/>
      <c r="AC339" s="231"/>
      <c r="AD339" s="231"/>
      <c r="AE339" s="231"/>
      <c r="AF339" s="231"/>
      <c r="AG339" s="231"/>
      <c r="AH339" s="231"/>
      <c r="AI339" s="231"/>
      <c r="AJ339" s="231"/>
      <c r="AK339" s="231"/>
      <c r="AL339" s="231"/>
      <c r="AM339" s="231"/>
    </row>
    <row r="340" spans="1:39" s="203" customFormat="1">
      <c r="A340" s="23"/>
      <c r="B340" s="207"/>
      <c r="C340" s="207"/>
      <c r="D340" s="207"/>
      <c r="E340" s="207"/>
      <c r="F340" s="207"/>
      <c r="G340" s="207"/>
      <c r="H340" s="131" t="s">
        <v>27</v>
      </c>
      <c r="I340" s="21"/>
      <c r="J340" s="231"/>
      <c r="K340" s="231"/>
      <c r="L340" s="231"/>
      <c r="M340" s="231"/>
      <c r="N340" s="231"/>
      <c r="O340" s="231"/>
      <c r="P340" s="231"/>
      <c r="Q340" s="231"/>
      <c r="R340" s="231"/>
      <c r="S340" s="231"/>
      <c r="T340" s="231"/>
      <c r="U340" s="231"/>
      <c r="V340" s="231"/>
      <c r="W340" s="231"/>
      <c r="X340" s="231"/>
      <c r="Y340" s="231"/>
      <c r="Z340" s="231"/>
      <c r="AA340" s="231"/>
      <c r="AB340" s="231"/>
      <c r="AC340" s="231"/>
      <c r="AD340" s="231"/>
      <c r="AE340" s="231"/>
      <c r="AF340" s="231"/>
      <c r="AG340" s="231"/>
      <c r="AH340" s="231"/>
      <c r="AI340" s="231"/>
      <c r="AJ340" s="231"/>
      <c r="AK340" s="231"/>
      <c r="AL340" s="231"/>
      <c r="AM340" s="231"/>
    </row>
    <row r="341" spans="1:39" s="203" customFormat="1">
      <c r="A341" s="197"/>
      <c r="B341" s="69"/>
      <c r="C341" s="69"/>
      <c r="D341" s="69"/>
      <c r="E341" s="856" t="s">
        <v>377</v>
      </c>
      <c r="F341" s="853" t="s">
        <v>402</v>
      </c>
      <c r="G341" s="207"/>
      <c r="H341" s="856" t="s">
        <v>403</v>
      </c>
      <c r="I341" s="21"/>
      <c r="J341" s="231"/>
      <c r="K341" s="231"/>
      <c r="L341" s="231"/>
      <c r="M341" s="231"/>
      <c r="N341" s="231"/>
      <c r="O341" s="231"/>
      <c r="P341" s="231"/>
      <c r="Q341" s="231"/>
      <c r="R341" s="231"/>
      <c r="S341" s="231"/>
      <c r="T341" s="231"/>
      <c r="U341" s="231"/>
      <c r="V341" s="231"/>
      <c r="W341" s="231"/>
      <c r="X341" s="231"/>
      <c r="Y341" s="231"/>
      <c r="Z341" s="231"/>
      <c r="AA341" s="231"/>
      <c r="AB341" s="231"/>
      <c r="AC341" s="231"/>
      <c r="AD341" s="231"/>
      <c r="AE341" s="231"/>
      <c r="AF341" s="231"/>
      <c r="AG341" s="231"/>
      <c r="AH341" s="231"/>
      <c r="AI341" s="231"/>
      <c r="AJ341" s="231"/>
      <c r="AK341" s="231"/>
      <c r="AL341" s="231"/>
      <c r="AM341" s="231"/>
    </row>
    <row r="342" spans="1:39" s="203" customFormat="1">
      <c r="A342" s="144" t="s">
        <v>261</v>
      </c>
      <c r="B342" s="116"/>
      <c r="C342" s="116"/>
      <c r="D342" s="116"/>
      <c r="E342" s="859"/>
      <c r="F342" s="854"/>
      <c r="G342" s="207"/>
      <c r="H342" s="857"/>
      <c r="I342" s="21"/>
      <c r="J342" s="231"/>
      <c r="K342" s="231"/>
      <c r="L342" s="231"/>
      <c r="M342" s="231"/>
      <c r="N342" s="231"/>
      <c r="O342" s="231"/>
      <c r="P342" s="231"/>
      <c r="Q342" s="231"/>
      <c r="R342" s="231"/>
      <c r="S342" s="231"/>
      <c r="T342" s="231"/>
      <c r="U342" s="231"/>
      <c r="V342" s="231"/>
      <c r="W342" s="231"/>
      <c r="X342" s="231"/>
      <c r="Y342" s="231"/>
      <c r="Z342" s="231"/>
      <c r="AA342" s="231"/>
      <c r="AB342" s="231"/>
      <c r="AC342" s="231"/>
      <c r="AD342" s="231"/>
      <c r="AE342" s="231"/>
      <c r="AF342" s="231"/>
      <c r="AG342" s="231"/>
      <c r="AH342" s="231"/>
      <c r="AI342" s="231"/>
      <c r="AJ342" s="231"/>
      <c r="AK342" s="231"/>
      <c r="AL342" s="231"/>
      <c r="AM342" s="231"/>
    </row>
    <row r="343" spans="1:39" s="203" customFormat="1">
      <c r="A343" s="119"/>
      <c r="B343" s="116"/>
      <c r="C343" s="116"/>
      <c r="D343" s="116"/>
      <c r="E343" s="859"/>
      <c r="F343" s="854"/>
      <c r="G343" s="207"/>
      <c r="H343" s="857"/>
      <c r="I343" s="21"/>
      <c r="J343" s="231"/>
      <c r="K343" s="231"/>
      <c r="L343" s="231"/>
      <c r="M343" s="231"/>
      <c r="N343" s="231"/>
      <c r="O343" s="231"/>
      <c r="P343" s="231"/>
      <c r="Q343" s="231"/>
      <c r="R343" s="231"/>
      <c r="S343" s="231"/>
      <c r="T343" s="231"/>
      <c r="U343" s="231"/>
      <c r="V343" s="231"/>
      <c r="W343" s="231"/>
      <c r="X343" s="231"/>
      <c r="Y343" s="231"/>
      <c r="Z343" s="231"/>
      <c r="AA343" s="231"/>
      <c r="AB343" s="231"/>
      <c r="AC343" s="231"/>
      <c r="AD343" s="231"/>
      <c r="AE343" s="231"/>
      <c r="AF343" s="231"/>
      <c r="AG343" s="231"/>
      <c r="AH343" s="231"/>
      <c r="AI343" s="231"/>
      <c r="AJ343" s="231"/>
      <c r="AK343" s="231"/>
      <c r="AL343" s="231"/>
      <c r="AM343" s="231"/>
    </row>
    <row r="344" spans="1:39" s="203" customFormat="1">
      <c r="A344" s="198" t="s">
        <v>262</v>
      </c>
      <c r="B344" s="116"/>
      <c r="C344" s="116"/>
      <c r="D344" s="116"/>
      <c r="E344" s="859"/>
      <c r="F344" s="854"/>
      <c r="G344" s="207"/>
      <c r="H344" s="857"/>
      <c r="I344" s="21"/>
      <c r="J344" s="231"/>
      <c r="K344" s="231"/>
      <c r="L344" s="231"/>
      <c r="M344" s="231"/>
      <c r="N344" s="231"/>
      <c r="O344" s="231"/>
      <c r="P344" s="231"/>
      <c r="Q344" s="231"/>
      <c r="R344" s="231"/>
      <c r="S344" s="231"/>
      <c r="T344" s="231"/>
      <c r="U344" s="231"/>
      <c r="V344" s="231"/>
      <c r="W344" s="231"/>
      <c r="X344" s="231"/>
      <c r="Y344" s="231"/>
      <c r="Z344" s="231"/>
      <c r="AA344" s="231"/>
      <c r="AB344" s="231"/>
      <c r="AC344" s="231"/>
      <c r="AD344" s="231"/>
      <c r="AE344" s="231"/>
      <c r="AF344" s="231"/>
      <c r="AG344" s="231"/>
      <c r="AH344" s="231"/>
      <c r="AI344" s="231"/>
      <c r="AJ344" s="231"/>
      <c r="AK344" s="231"/>
      <c r="AL344" s="231"/>
      <c r="AM344" s="231"/>
    </row>
    <row r="345" spans="1:39" s="203" customFormat="1">
      <c r="A345" s="198" t="s">
        <v>330</v>
      </c>
      <c r="B345" s="116"/>
      <c r="C345" s="116"/>
      <c r="D345" s="116"/>
      <c r="E345" s="860"/>
      <c r="F345" s="855"/>
      <c r="G345" s="207"/>
      <c r="H345" s="858"/>
      <c r="I345" s="21"/>
      <c r="J345" s="231"/>
      <c r="K345" s="231"/>
      <c r="L345" s="231"/>
      <c r="M345" s="231"/>
      <c r="N345" s="231"/>
      <c r="O345" s="231"/>
      <c r="P345" s="231"/>
      <c r="Q345" s="231"/>
      <c r="R345" s="231"/>
      <c r="S345" s="231"/>
      <c r="T345" s="231"/>
      <c r="U345" s="231"/>
      <c r="V345" s="231"/>
      <c r="W345" s="231"/>
      <c r="X345" s="231"/>
      <c r="Y345" s="231"/>
      <c r="Z345" s="231"/>
      <c r="AA345" s="231"/>
      <c r="AB345" s="231"/>
      <c r="AC345" s="231"/>
      <c r="AD345" s="231"/>
      <c r="AE345" s="231"/>
      <c r="AF345" s="231"/>
      <c r="AG345" s="231"/>
      <c r="AH345" s="231"/>
      <c r="AI345" s="231"/>
      <c r="AJ345" s="231"/>
      <c r="AK345" s="231"/>
      <c r="AL345" s="231"/>
      <c r="AM345" s="231"/>
    </row>
    <row r="346" spans="1:39" s="203" customFormat="1">
      <c r="A346" s="119"/>
      <c r="B346" s="47"/>
      <c r="C346" s="116"/>
      <c r="D346" s="116"/>
      <c r="E346" s="178"/>
      <c r="F346" s="146"/>
      <c r="G346" s="23"/>
      <c r="H346" s="264"/>
      <c r="I346" s="21"/>
      <c r="J346" s="231"/>
      <c r="K346" s="231"/>
      <c r="L346" s="231"/>
      <c r="M346" s="231"/>
      <c r="N346" s="231"/>
      <c r="O346" s="231"/>
      <c r="P346" s="231"/>
      <c r="Q346" s="231"/>
      <c r="R346" s="231"/>
      <c r="S346" s="231"/>
      <c r="T346" s="231"/>
      <c r="U346" s="231"/>
      <c r="V346" s="231"/>
      <c r="W346" s="231"/>
      <c r="X346" s="231"/>
      <c r="Y346" s="231"/>
      <c r="Z346" s="231"/>
      <c r="AA346" s="231"/>
      <c r="AB346" s="231"/>
      <c r="AC346" s="231"/>
      <c r="AD346" s="231"/>
      <c r="AE346" s="231"/>
      <c r="AF346" s="231"/>
      <c r="AG346" s="231"/>
      <c r="AH346" s="231"/>
      <c r="AI346" s="231"/>
      <c r="AJ346" s="231"/>
      <c r="AK346" s="231"/>
      <c r="AL346" s="231"/>
      <c r="AM346" s="231"/>
    </row>
    <row r="347" spans="1:39" s="203" customFormat="1">
      <c r="A347" s="794">
        <v>1</v>
      </c>
      <c r="B347" s="47" t="s">
        <v>263</v>
      </c>
      <c r="C347" s="116"/>
      <c r="D347" s="116"/>
      <c r="E347" s="354">
        <v>5281</v>
      </c>
      <c r="F347" s="265">
        <v>5281</v>
      </c>
      <c r="G347" s="43"/>
      <c r="H347" s="126">
        <v>5370</v>
      </c>
      <c r="I347" s="86"/>
      <c r="J347" s="231"/>
      <c r="K347" s="231"/>
      <c r="L347" s="231"/>
      <c r="M347" s="231"/>
      <c r="N347" s="231"/>
      <c r="O347" s="231"/>
      <c r="P347" s="231"/>
      <c r="Q347" s="231"/>
      <c r="R347" s="231"/>
      <c r="S347" s="231"/>
      <c r="T347" s="231"/>
      <c r="U347" s="231"/>
      <c r="V347" s="231"/>
      <c r="W347" s="231"/>
      <c r="X347" s="231"/>
      <c r="Y347" s="231"/>
      <c r="Z347" s="231"/>
      <c r="AA347" s="231"/>
      <c r="AB347" s="231"/>
      <c r="AC347" s="231"/>
      <c r="AD347" s="231"/>
      <c r="AE347" s="231"/>
      <c r="AF347" s="231"/>
      <c r="AG347" s="231"/>
      <c r="AH347" s="231"/>
      <c r="AI347" s="231"/>
      <c r="AJ347" s="231"/>
      <c r="AK347" s="231"/>
      <c r="AL347" s="231"/>
      <c r="AM347" s="231"/>
    </row>
    <row r="348" spans="1:39" s="203" customFormat="1">
      <c r="A348" s="794"/>
      <c r="B348" s="47"/>
      <c r="C348" s="116"/>
      <c r="D348" s="116"/>
      <c r="E348" s="355"/>
      <c r="F348" s="188"/>
      <c r="G348" s="43"/>
      <c r="H348" s="188"/>
      <c r="I348" s="86"/>
      <c r="J348" s="231"/>
      <c r="K348" s="231"/>
      <c r="L348" s="231"/>
      <c r="M348" s="231"/>
      <c r="N348" s="231"/>
      <c r="O348" s="231"/>
      <c r="P348" s="231"/>
      <c r="Q348" s="231"/>
      <c r="R348" s="231"/>
      <c r="S348" s="231"/>
      <c r="T348" s="231"/>
      <c r="U348" s="231"/>
      <c r="V348" s="231"/>
      <c r="W348" s="231"/>
      <c r="X348" s="231"/>
      <c r="Y348" s="231"/>
      <c r="Z348" s="231"/>
      <c r="AA348" s="231"/>
      <c r="AB348" s="231"/>
      <c r="AC348" s="231"/>
      <c r="AD348" s="231"/>
      <c r="AE348" s="231"/>
      <c r="AF348" s="231"/>
      <c r="AG348" s="231"/>
      <c r="AH348" s="231"/>
      <c r="AI348" s="231"/>
      <c r="AJ348" s="231"/>
      <c r="AK348" s="231"/>
      <c r="AL348" s="231"/>
      <c r="AM348" s="231"/>
    </row>
    <row r="349" spans="1:39" s="203" customFormat="1">
      <c r="A349" s="108" t="s">
        <v>378</v>
      </c>
      <c r="B349" s="47"/>
      <c r="C349" s="116"/>
      <c r="D349" s="116"/>
      <c r="E349" s="355"/>
      <c r="F349" s="188"/>
      <c r="G349" s="43"/>
      <c r="H349" s="188"/>
      <c r="I349" s="86"/>
      <c r="J349" s="231"/>
      <c r="K349" s="231"/>
      <c r="L349" s="231"/>
      <c r="M349" s="231"/>
      <c r="N349" s="231"/>
      <c r="O349" s="231"/>
      <c r="P349" s="231"/>
      <c r="Q349" s="231"/>
      <c r="R349" s="231"/>
      <c r="S349" s="231"/>
      <c r="T349" s="231"/>
      <c r="U349" s="231"/>
      <c r="V349" s="231"/>
      <c r="W349" s="231"/>
      <c r="X349" s="231"/>
      <c r="Y349" s="231"/>
      <c r="Z349" s="231"/>
      <c r="AA349" s="231"/>
      <c r="AB349" s="231"/>
      <c r="AC349" s="231"/>
      <c r="AD349" s="231"/>
      <c r="AE349" s="231"/>
      <c r="AF349" s="231"/>
      <c r="AG349" s="231"/>
      <c r="AH349" s="231"/>
      <c r="AI349" s="231"/>
      <c r="AJ349" s="231"/>
      <c r="AK349" s="231"/>
      <c r="AL349" s="231"/>
      <c r="AM349" s="231"/>
    </row>
    <row r="350" spans="1:39" s="203" customFormat="1">
      <c r="A350" s="794"/>
      <c r="B350" s="47"/>
      <c r="C350" s="116"/>
      <c r="D350" s="116"/>
      <c r="E350" s="355"/>
      <c r="F350" s="188"/>
      <c r="G350" s="43"/>
      <c r="H350" s="188"/>
      <c r="I350" s="86"/>
      <c r="J350" s="231"/>
      <c r="K350" s="231"/>
      <c r="L350" s="231"/>
      <c r="M350" s="231"/>
      <c r="N350" s="231"/>
      <c r="O350" s="231"/>
      <c r="P350" s="231"/>
      <c r="Q350" s="231"/>
      <c r="R350" s="231"/>
      <c r="S350" s="231"/>
      <c r="T350" s="231"/>
      <c r="U350" s="231"/>
      <c r="V350" s="231"/>
      <c r="W350" s="231"/>
      <c r="X350" s="231"/>
      <c r="Y350" s="231"/>
      <c r="Z350" s="231"/>
      <c r="AA350" s="231"/>
      <c r="AB350" s="231"/>
      <c r="AC350" s="231"/>
      <c r="AD350" s="231"/>
      <c r="AE350" s="231"/>
      <c r="AF350" s="231"/>
      <c r="AG350" s="231"/>
      <c r="AH350" s="231"/>
      <c r="AI350" s="231"/>
      <c r="AJ350" s="231"/>
      <c r="AK350" s="231"/>
      <c r="AL350" s="231"/>
      <c r="AM350" s="231"/>
    </row>
    <row r="351" spans="1:39" s="203" customFormat="1">
      <c r="A351" s="198" t="s">
        <v>379</v>
      </c>
      <c r="B351" s="47"/>
      <c r="C351" s="116"/>
      <c r="D351" s="116"/>
      <c r="E351" s="355"/>
      <c r="F351" s="188"/>
      <c r="G351" s="43"/>
      <c r="H351" s="188"/>
      <c r="I351" s="86"/>
      <c r="J351" s="231"/>
      <c r="K351" s="231"/>
      <c r="L351" s="231"/>
      <c r="M351" s="231"/>
      <c r="N351" s="231"/>
      <c r="O351" s="231"/>
      <c r="P351" s="231"/>
      <c r="Q351" s="231"/>
      <c r="R351" s="231"/>
      <c r="S351" s="231"/>
      <c r="T351" s="231"/>
      <c r="U351" s="231"/>
      <c r="V351" s="231"/>
      <c r="W351" s="231"/>
      <c r="X351" s="231"/>
      <c r="Y351" s="231"/>
      <c r="Z351" s="231"/>
      <c r="AA351" s="231"/>
      <c r="AB351" s="231"/>
      <c r="AC351" s="231"/>
      <c r="AD351" s="231"/>
      <c r="AE351" s="231"/>
      <c r="AF351" s="231"/>
      <c r="AG351" s="231"/>
      <c r="AH351" s="231"/>
      <c r="AI351" s="231"/>
      <c r="AJ351" s="231"/>
      <c r="AK351" s="231"/>
      <c r="AL351" s="231"/>
      <c r="AM351" s="231"/>
    </row>
    <row r="352" spans="1:39" s="203" customFormat="1">
      <c r="A352" s="794"/>
      <c r="B352" s="47"/>
      <c r="C352" s="116"/>
      <c r="D352" s="116"/>
      <c r="E352" s="355"/>
      <c r="F352" s="188"/>
      <c r="G352" s="43"/>
      <c r="H352" s="188"/>
      <c r="I352" s="86"/>
      <c r="J352" s="231"/>
      <c r="K352" s="231"/>
      <c r="L352" s="231"/>
      <c r="M352" s="231"/>
      <c r="N352" s="231"/>
      <c r="O352" s="231"/>
      <c r="P352" s="231"/>
      <c r="Q352" s="231"/>
      <c r="R352" s="231"/>
      <c r="S352" s="231"/>
      <c r="T352" s="231"/>
      <c r="U352" s="231"/>
      <c r="V352" s="231"/>
      <c r="W352" s="231"/>
      <c r="X352" s="231"/>
      <c r="Y352" s="231"/>
      <c r="Z352" s="231"/>
      <c r="AA352" s="231"/>
      <c r="AB352" s="231"/>
      <c r="AC352" s="231"/>
      <c r="AD352" s="231"/>
      <c r="AE352" s="231"/>
      <c r="AF352" s="231"/>
      <c r="AG352" s="231"/>
      <c r="AH352" s="231"/>
      <c r="AI352" s="231"/>
      <c r="AJ352" s="231"/>
      <c r="AK352" s="231"/>
      <c r="AL352" s="231"/>
      <c r="AM352" s="231"/>
    </row>
    <row r="353" spans="1:39" s="203" customFormat="1">
      <c r="A353" s="794">
        <v>2</v>
      </c>
      <c r="B353" s="47" t="s">
        <v>52</v>
      </c>
      <c r="C353" s="116"/>
      <c r="D353" s="116"/>
      <c r="E353" s="74">
        <v>0</v>
      </c>
      <c r="F353" s="265">
        <v>0</v>
      </c>
      <c r="G353" s="43"/>
      <c r="H353" s="126">
        <v>0</v>
      </c>
      <c r="I353" s="86"/>
      <c r="J353" s="231"/>
      <c r="K353" s="231"/>
      <c r="L353" s="231"/>
      <c r="M353" s="231"/>
      <c r="N353" s="231"/>
      <c r="O353" s="231"/>
      <c r="P353" s="231"/>
      <c r="Q353" s="231"/>
      <c r="R353" s="231"/>
      <c r="S353" s="231"/>
      <c r="T353" s="231"/>
      <c r="U353" s="231"/>
      <c r="V353" s="231"/>
      <c r="W353" s="231"/>
      <c r="X353" s="231"/>
      <c r="Y353" s="231"/>
      <c r="Z353" s="231"/>
      <c r="AA353" s="231"/>
      <c r="AB353" s="231"/>
      <c r="AC353" s="231"/>
      <c r="AD353" s="231"/>
      <c r="AE353" s="231"/>
      <c r="AF353" s="231"/>
      <c r="AG353" s="231"/>
      <c r="AH353" s="231"/>
      <c r="AI353" s="231"/>
      <c r="AJ353" s="231"/>
      <c r="AK353" s="231"/>
      <c r="AL353" s="231"/>
      <c r="AM353" s="231"/>
    </row>
    <row r="354" spans="1:39" s="203" customFormat="1">
      <c r="A354" s="794">
        <v>3</v>
      </c>
      <c r="B354" s="47" t="s">
        <v>53</v>
      </c>
      <c r="C354" s="116"/>
      <c r="D354" s="116"/>
      <c r="E354" s="49">
        <v>0</v>
      </c>
      <c r="F354" s="265">
        <v>0</v>
      </c>
      <c r="G354" s="43"/>
      <c r="H354" s="126">
        <v>0</v>
      </c>
      <c r="I354" s="86"/>
      <c r="J354" s="231"/>
      <c r="K354" s="231"/>
      <c r="L354" s="231"/>
      <c r="M354" s="231"/>
      <c r="N354" s="231"/>
      <c r="O354" s="231"/>
      <c r="P354" s="231"/>
      <c r="Q354" s="231"/>
      <c r="R354" s="231"/>
      <c r="S354" s="231"/>
      <c r="T354" s="231"/>
      <c r="U354" s="231"/>
      <c r="V354" s="231"/>
      <c r="W354" s="231"/>
      <c r="X354" s="231"/>
      <c r="Y354" s="231"/>
      <c r="Z354" s="231"/>
      <c r="AA354" s="231"/>
      <c r="AB354" s="231"/>
      <c r="AC354" s="231"/>
      <c r="AD354" s="231"/>
      <c r="AE354" s="231"/>
      <c r="AF354" s="231"/>
      <c r="AG354" s="231"/>
      <c r="AH354" s="231"/>
      <c r="AI354" s="231"/>
      <c r="AJ354" s="231"/>
      <c r="AK354" s="231"/>
      <c r="AL354" s="231"/>
      <c r="AM354" s="231"/>
    </row>
    <row r="355" spans="1:39" s="203" customFormat="1">
      <c r="A355" s="794">
        <v>4</v>
      </c>
      <c r="B355" s="47" t="s">
        <v>54</v>
      </c>
      <c r="C355" s="116"/>
      <c r="D355" s="116"/>
      <c r="E355" s="49">
        <v>0</v>
      </c>
      <c r="F355" s="265">
        <v>0</v>
      </c>
      <c r="G355" s="43"/>
      <c r="H355" s="126">
        <v>0</v>
      </c>
      <c r="I355" s="86"/>
      <c r="J355" s="231"/>
      <c r="K355" s="231"/>
      <c r="L355" s="231"/>
      <c r="M355" s="231"/>
      <c r="N355" s="231"/>
      <c r="O355" s="231"/>
      <c r="P355" s="231"/>
      <c r="Q355" s="231"/>
      <c r="R355" s="231"/>
      <c r="S355" s="231"/>
      <c r="T355" s="231"/>
      <c r="U355" s="231"/>
      <c r="V355" s="231"/>
      <c r="W355" s="231"/>
      <c r="X355" s="231"/>
      <c r="Y355" s="231"/>
      <c r="Z355" s="231"/>
      <c r="AA355" s="231"/>
      <c r="AB355" s="231"/>
      <c r="AC355" s="231"/>
      <c r="AD355" s="231"/>
      <c r="AE355" s="231"/>
      <c r="AF355" s="231"/>
      <c r="AG355" s="231"/>
      <c r="AH355" s="231"/>
      <c r="AI355" s="231"/>
      <c r="AJ355" s="231"/>
      <c r="AK355" s="231"/>
      <c r="AL355" s="231"/>
      <c r="AM355" s="231"/>
    </row>
    <row r="356" spans="1:39" s="203" customFormat="1">
      <c r="A356" s="794">
        <v>5</v>
      </c>
      <c r="B356" s="47" t="s">
        <v>55</v>
      </c>
      <c r="C356" s="116"/>
      <c r="D356" s="116"/>
      <c r="E356" s="49">
        <v>0</v>
      </c>
      <c r="F356" s="265">
        <v>0</v>
      </c>
      <c r="G356" s="43"/>
      <c r="H356" s="126">
        <v>0</v>
      </c>
      <c r="I356" s="86"/>
      <c r="J356" s="231"/>
      <c r="K356" s="231"/>
      <c r="L356" s="231"/>
      <c r="M356" s="231"/>
      <c r="N356" s="231"/>
      <c r="O356" s="231"/>
      <c r="P356" s="231"/>
      <c r="Q356" s="231"/>
      <c r="R356" s="231"/>
      <c r="S356" s="231"/>
      <c r="T356" s="231"/>
      <c r="U356" s="231"/>
      <c r="V356" s="231"/>
      <c r="W356" s="231"/>
      <c r="X356" s="231"/>
      <c r="Y356" s="231"/>
      <c r="Z356" s="231"/>
      <c r="AA356" s="231"/>
      <c r="AB356" s="231"/>
      <c r="AC356" s="231"/>
      <c r="AD356" s="231"/>
      <c r="AE356" s="231"/>
      <c r="AF356" s="231"/>
      <c r="AG356" s="231"/>
      <c r="AH356" s="231"/>
      <c r="AI356" s="231"/>
      <c r="AJ356" s="231"/>
      <c r="AK356" s="231"/>
      <c r="AL356" s="231"/>
      <c r="AM356" s="231"/>
    </row>
    <row r="357" spans="1:39" s="203" customFormat="1">
      <c r="A357" s="794">
        <v>6</v>
      </c>
      <c r="B357" s="47" t="s">
        <v>56</v>
      </c>
      <c r="C357" s="116"/>
      <c r="D357" s="116"/>
      <c r="E357" s="49">
        <v>0</v>
      </c>
      <c r="F357" s="265">
        <v>0</v>
      </c>
      <c r="G357" s="43"/>
      <c r="H357" s="126">
        <v>0</v>
      </c>
      <c r="I357" s="86"/>
      <c r="J357" s="231"/>
      <c r="K357" s="231"/>
      <c r="L357" s="231"/>
      <c r="M357" s="231"/>
      <c r="N357" s="231"/>
      <c r="O357" s="231"/>
      <c r="P357" s="231"/>
      <c r="Q357" s="231"/>
      <c r="R357" s="231"/>
      <c r="S357" s="231"/>
      <c r="T357" s="231"/>
      <c r="U357" s="231"/>
      <c r="V357" s="231"/>
      <c r="W357" s="231"/>
      <c r="X357" s="231"/>
      <c r="Y357" s="231"/>
      <c r="Z357" s="231"/>
      <c r="AA357" s="231"/>
      <c r="AB357" s="231"/>
      <c r="AC357" s="231"/>
      <c r="AD357" s="231"/>
      <c r="AE357" s="231"/>
      <c r="AF357" s="231"/>
      <c r="AG357" s="231"/>
      <c r="AH357" s="231"/>
      <c r="AI357" s="231"/>
      <c r="AJ357" s="231"/>
      <c r="AK357" s="231"/>
      <c r="AL357" s="231"/>
      <c r="AM357" s="231"/>
    </row>
    <row r="358" spans="1:39" s="203" customFormat="1">
      <c r="A358" s="794">
        <v>7</v>
      </c>
      <c r="B358" s="47" t="s">
        <v>57</v>
      </c>
      <c r="C358" s="116"/>
      <c r="D358" s="116"/>
      <c r="E358" s="49">
        <v>0</v>
      </c>
      <c r="F358" s="265">
        <v>0</v>
      </c>
      <c r="G358" s="43"/>
      <c r="H358" s="126">
        <v>0</v>
      </c>
      <c r="I358" s="86"/>
      <c r="J358" s="231"/>
      <c r="K358" s="231"/>
      <c r="L358" s="231"/>
      <c r="M358" s="231"/>
      <c r="N358" s="231"/>
      <c r="O358" s="231"/>
      <c r="P358" s="231"/>
      <c r="Q358" s="231"/>
      <c r="R358" s="231"/>
      <c r="S358" s="231"/>
      <c r="T358" s="231"/>
      <c r="U358" s="231"/>
      <c r="V358" s="231"/>
      <c r="W358" s="231"/>
      <c r="X358" s="231"/>
      <c r="Y358" s="231"/>
      <c r="Z358" s="231"/>
      <c r="AA358" s="231"/>
      <c r="AB358" s="231"/>
      <c r="AC358" s="231"/>
      <c r="AD358" s="231"/>
      <c r="AE358" s="231"/>
      <c r="AF358" s="231"/>
      <c r="AG358" s="231"/>
      <c r="AH358" s="231"/>
      <c r="AI358" s="231"/>
      <c r="AJ358" s="231"/>
      <c r="AK358" s="231"/>
      <c r="AL358" s="231"/>
      <c r="AM358" s="231"/>
    </row>
    <row r="359" spans="1:39" s="203" customFormat="1">
      <c r="A359" s="794">
        <v>8</v>
      </c>
      <c r="B359" s="47" t="s">
        <v>58</v>
      </c>
      <c r="C359" s="116"/>
      <c r="D359" s="116"/>
      <c r="E359" s="49">
        <v>0</v>
      </c>
      <c r="F359" s="265">
        <v>0</v>
      </c>
      <c r="G359" s="43"/>
      <c r="H359" s="126">
        <v>0</v>
      </c>
      <c r="I359" s="86"/>
      <c r="J359" s="231"/>
      <c r="K359" s="231"/>
      <c r="L359" s="231"/>
      <c r="M359" s="231"/>
      <c r="N359" s="231"/>
      <c r="O359" s="231"/>
      <c r="P359" s="231"/>
      <c r="Q359" s="231"/>
      <c r="R359" s="231"/>
      <c r="S359" s="231"/>
      <c r="T359" s="231"/>
      <c r="U359" s="231"/>
      <c r="V359" s="231"/>
      <c r="W359" s="231"/>
      <c r="X359" s="231"/>
      <c r="Y359" s="231"/>
      <c r="Z359" s="231"/>
      <c r="AA359" s="231"/>
      <c r="AB359" s="231"/>
      <c r="AC359" s="231"/>
      <c r="AD359" s="231"/>
      <c r="AE359" s="231"/>
      <c r="AF359" s="231"/>
      <c r="AG359" s="231"/>
      <c r="AH359" s="231"/>
      <c r="AI359" s="231"/>
      <c r="AJ359" s="231"/>
      <c r="AK359" s="231"/>
      <c r="AL359" s="231"/>
      <c r="AM359" s="231"/>
    </row>
    <row r="360" spans="1:39" s="203" customFormat="1">
      <c r="A360" s="794">
        <v>9</v>
      </c>
      <c r="B360" s="47" t="s">
        <v>59</v>
      </c>
      <c r="C360" s="116"/>
      <c r="D360" s="116"/>
      <c r="E360" s="49">
        <v>0</v>
      </c>
      <c r="F360" s="265">
        <v>0</v>
      </c>
      <c r="G360" s="43"/>
      <c r="H360" s="126">
        <v>0</v>
      </c>
      <c r="I360" s="86"/>
      <c r="J360" s="231"/>
      <c r="K360" s="231"/>
      <c r="L360" s="231"/>
      <c r="M360" s="231"/>
      <c r="N360" s="231"/>
      <c r="O360" s="231"/>
      <c r="P360" s="231"/>
      <c r="Q360" s="231"/>
      <c r="R360" s="231"/>
      <c r="S360" s="231"/>
      <c r="T360" s="231"/>
      <c r="U360" s="231"/>
      <c r="V360" s="231"/>
      <c r="W360" s="231"/>
      <c r="X360" s="231"/>
      <c r="Y360" s="231"/>
      <c r="Z360" s="231"/>
      <c r="AA360" s="231"/>
      <c r="AB360" s="231"/>
      <c r="AC360" s="231"/>
      <c r="AD360" s="231"/>
      <c r="AE360" s="231"/>
      <c r="AF360" s="231"/>
      <c r="AG360" s="231"/>
      <c r="AH360" s="231"/>
      <c r="AI360" s="231"/>
      <c r="AJ360" s="231"/>
      <c r="AK360" s="231"/>
      <c r="AL360" s="231"/>
      <c r="AM360" s="231"/>
    </row>
    <row r="361" spans="1:39" s="203" customFormat="1">
      <c r="A361" s="794">
        <v>10</v>
      </c>
      <c r="B361" s="47" t="s">
        <v>60</v>
      </c>
      <c r="C361" s="116"/>
      <c r="D361" s="116"/>
      <c r="E361" s="49">
        <v>0</v>
      </c>
      <c r="F361" s="265">
        <v>0</v>
      </c>
      <c r="G361" s="43"/>
      <c r="H361" s="126">
        <v>0</v>
      </c>
      <c r="I361" s="86"/>
      <c r="J361" s="231"/>
      <c r="K361" s="231"/>
      <c r="L361" s="231"/>
      <c r="M361" s="231"/>
      <c r="N361" s="231"/>
      <c r="O361" s="231"/>
      <c r="P361" s="231"/>
      <c r="Q361" s="231"/>
      <c r="R361" s="231"/>
      <c r="S361" s="231"/>
      <c r="T361" s="231"/>
      <c r="U361" s="231"/>
      <c r="V361" s="231"/>
      <c r="W361" s="231"/>
      <c r="X361" s="231"/>
      <c r="Y361" s="231"/>
      <c r="Z361" s="231"/>
      <c r="AA361" s="231"/>
      <c r="AB361" s="231"/>
      <c r="AC361" s="231"/>
      <c r="AD361" s="231"/>
      <c r="AE361" s="231"/>
      <c r="AF361" s="231"/>
      <c r="AG361" s="231"/>
      <c r="AH361" s="231"/>
      <c r="AI361" s="231"/>
      <c r="AJ361" s="231"/>
      <c r="AK361" s="231"/>
      <c r="AL361" s="231"/>
      <c r="AM361" s="231"/>
    </row>
    <row r="362" spans="1:39" s="203" customFormat="1">
      <c r="A362" s="794">
        <v>11</v>
      </c>
      <c r="B362" s="47" t="s">
        <v>61</v>
      </c>
      <c r="C362" s="116"/>
      <c r="D362" s="116"/>
      <c r="E362" s="49">
        <v>0</v>
      </c>
      <c r="F362" s="265">
        <v>0</v>
      </c>
      <c r="G362" s="43"/>
      <c r="H362" s="126">
        <v>0</v>
      </c>
      <c r="I362" s="86"/>
      <c r="J362" s="231"/>
      <c r="K362" s="231"/>
      <c r="L362" s="231"/>
      <c r="M362" s="231"/>
      <c r="N362" s="231"/>
      <c r="O362" s="231"/>
      <c r="P362" s="231"/>
      <c r="Q362" s="231"/>
      <c r="R362" s="231"/>
      <c r="S362" s="231"/>
      <c r="T362" s="231"/>
      <c r="U362" s="231"/>
      <c r="V362" s="231"/>
      <c r="W362" s="231"/>
      <c r="X362" s="231"/>
      <c r="Y362" s="231"/>
      <c r="Z362" s="231"/>
      <c r="AA362" s="231"/>
      <c r="AB362" s="231"/>
      <c r="AC362" s="231"/>
      <c r="AD362" s="231"/>
      <c r="AE362" s="231"/>
      <c r="AF362" s="231"/>
      <c r="AG362" s="231"/>
      <c r="AH362" s="231"/>
      <c r="AI362" s="231"/>
      <c r="AJ362" s="231"/>
      <c r="AK362" s="231"/>
      <c r="AL362" s="231"/>
      <c r="AM362" s="231"/>
    </row>
    <row r="363" spans="1:39" s="203" customFormat="1">
      <c r="A363" s="795">
        <v>12</v>
      </c>
      <c r="B363" s="54" t="s">
        <v>380</v>
      </c>
      <c r="C363" s="94"/>
      <c r="D363" s="94"/>
      <c r="E363" s="135">
        <v>0</v>
      </c>
      <c r="F363" s="61">
        <f>SUM(F353:F362)</f>
        <v>0</v>
      </c>
      <c r="G363" s="43"/>
      <c r="H363" s="61">
        <f>SUM(H353:H362)</f>
        <v>0</v>
      </c>
      <c r="I363" s="86"/>
      <c r="J363" s="231"/>
      <c r="K363" s="231"/>
      <c r="L363" s="231"/>
      <c r="M363" s="231"/>
      <c r="N363" s="231"/>
      <c r="O363" s="231"/>
      <c r="P363" s="231"/>
      <c r="Q363" s="231"/>
      <c r="R363" s="231"/>
      <c r="S363" s="231"/>
      <c r="T363" s="231"/>
      <c r="U363" s="231"/>
      <c r="V363" s="231"/>
      <c r="W363" s="231"/>
      <c r="X363" s="231"/>
      <c r="Y363" s="231"/>
      <c r="Z363" s="231"/>
      <c r="AA363" s="231"/>
      <c r="AB363" s="231"/>
      <c r="AC363" s="231"/>
      <c r="AD363" s="231"/>
      <c r="AE363" s="231"/>
      <c r="AF363" s="231"/>
      <c r="AG363" s="231"/>
      <c r="AH363" s="231"/>
      <c r="AI363" s="231"/>
      <c r="AJ363" s="231"/>
      <c r="AK363" s="231"/>
      <c r="AL363" s="231"/>
      <c r="AM363" s="231"/>
    </row>
    <row r="364" spans="1:39" s="203" customFormat="1">
      <c r="A364" s="199"/>
      <c r="B364" s="15"/>
      <c r="C364" s="15"/>
      <c r="D364" s="15"/>
      <c r="E364" s="15"/>
      <c r="F364" s="15"/>
      <c r="G364" s="15"/>
      <c r="H364" s="15"/>
      <c r="I364" s="86"/>
      <c r="J364" s="231"/>
      <c r="K364" s="231"/>
      <c r="L364" s="231"/>
      <c r="M364" s="231"/>
      <c r="N364" s="231"/>
      <c r="O364" s="231"/>
      <c r="P364" s="231"/>
      <c r="Q364" s="231"/>
      <c r="R364" s="231"/>
      <c r="S364" s="231"/>
      <c r="T364" s="231"/>
      <c r="U364" s="231"/>
      <c r="V364" s="231"/>
      <c r="W364" s="231"/>
      <c r="X364" s="231"/>
      <c r="Y364" s="231"/>
      <c r="Z364" s="231"/>
      <c r="AA364" s="231"/>
      <c r="AB364" s="231"/>
      <c r="AC364" s="231"/>
      <c r="AD364" s="231"/>
      <c r="AE364" s="231"/>
      <c r="AF364" s="231"/>
      <c r="AG364" s="231"/>
      <c r="AH364" s="231"/>
      <c r="AI364" s="231"/>
      <c r="AJ364" s="231"/>
      <c r="AK364" s="231"/>
      <c r="AL364" s="231"/>
      <c r="AM364" s="231"/>
    </row>
    <row r="365" spans="1:39" s="203" customFormat="1">
      <c r="A365" s="199"/>
      <c r="B365" s="15"/>
      <c r="C365" s="15"/>
      <c r="D365" s="15"/>
      <c r="E365" s="15"/>
      <c r="F365" s="15"/>
      <c r="G365" s="15"/>
      <c r="H365" s="86"/>
      <c r="I365" s="86"/>
      <c r="J365" s="231"/>
      <c r="K365" s="231"/>
      <c r="L365" s="231"/>
      <c r="M365" s="231"/>
      <c r="N365" s="231"/>
      <c r="O365" s="231"/>
      <c r="P365" s="231"/>
      <c r="Q365" s="231"/>
      <c r="R365" s="231"/>
      <c r="S365" s="231"/>
      <c r="T365" s="231"/>
      <c r="U365" s="231"/>
      <c r="V365" s="231"/>
      <c r="W365" s="231"/>
      <c r="X365" s="231"/>
      <c r="Y365" s="231"/>
      <c r="Z365" s="231"/>
      <c r="AA365" s="231"/>
      <c r="AB365" s="231"/>
      <c r="AC365" s="231"/>
      <c r="AD365" s="231"/>
      <c r="AE365" s="231"/>
      <c r="AF365" s="231"/>
      <c r="AG365" s="231"/>
      <c r="AH365" s="231"/>
      <c r="AI365" s="231"/>
      <c r="AJ365" s="231"/>
      <c r="AK365" s="231"/>
      <c r="AL365" s="231"/>
      <c r="AM365" s="231"/>
    </row>
    <row r="366" spans="1:39" s="8" customFormat="1"/>
    <row r="367" spans="1:39" s="8" customFormat="1"/>
    <row r="368" spans="1:39" s="8" customFormat="1"/>
    <row r="369" s="8" customFormat="1"/>
    <row r="370" s="8" customFormat="1"/>
    <row r="371" s="8" customFormat="1"/>
    <row r="372" s="8" customFormat="1"/>
    <row r="373" s="8" customFormat="1"/>
    <row r="374" s="8" customFormat="1"/>
    <row r="375" s="8" customFormat="1"/>
    <row r="376" s="8" customFormat="1"/>
    <row r="377" s="8" customFormat="1"/>
    <row r="378" s="8" customFormat="1"/>
    <row r="379" s="8" customFormat="1"/>
    <row r="380" s="8" customFormat="1"/>
    <row r="381" s="8" customFormat="1"/>
    <row r="382" s="8" customFormat="1"/>
    <row r="383" s="8" customFormat="1"/>
    <row r="384" s="8" customFormat="1"/>
    <row r="385" spans="1:9" s="8" customFormat="1"/>
    <row r="386" spans="1:9" s="8" customFormat="1"/>
    <row r="387" spans="1:9" s="8" customFormat="1"/>
    <row r="388" spans="1:9" s="8" customFormat="1"/>
    <row r="389" spans="1:9" s="8" customFormat="1"/>
    <row r="390" spans="1:9" s="8" customFormat="1"/>
    <row r="391" spans="1:9" s="8" customFormat="1"/>
    <row r="392" spans="1:9" s="8" customFormat="1"/>
    <row r="393" spans="1:9" s="8" customFormat="1"/>
    <row r="394" spans="1:9" s="8" customFormat="1"/>
    <row r="395" spans="1:9" s="8" customFormat="1"/>
    <row r="396" spans="1:9" s="8" customFormat="1"/>
    <row r="397" spans="1:9">
      <c r="A397" s="8"/>
      <c r="B397" s="8"/>
      <c r="C397" s="8"/>
      <c r="D397" s="8"/>
      <c r="E397" s="8"/>
      <c r="F397" s="8"/>
      <c r="G397" s="8"/>
      <c r="H397" s="8"/>
      <c r="I397" s="8"/>
    </row>
    <row r="398" spans="1:9">
      <c r="A398" s="8"/>
      <c r="B398" s="8"/>
      <c r="C398" s="8"/>
      <c r="D398" s="8"/>
      <c r="E398" s="8"/>
      <c r="F398" s="8"/>
      <c r="G398" s="8"/>
      <c r="H398" s="8"/>
      <c r="I398" s="8"/>
    </row>
    <row r="399" spans="1:9">
      <c r="A399" s="8"/>
      <c r="B399" s="8"/>
      <c r="C399" s="8"/>
      <c r="D399" s="8"/>
      <c r="E399" s="8"/>
      <c r="F399" s="8"/>
      <c r="G399" s="8"/>
      <c r="H399" s="8"/>
      <c r="I399" s="8"/>
    </row>
    <row r="400" spans="1:9">
      <c r="A400" s="8"/>
      <c r="B400" s="8"/>
      <c r="C400" s="8"/>
      <c r="D400" s="8"/>
      <c r="E400" s="8"/>
      <c r="F400" s="8"/>
      <c r="G400" s="8"/>
      <c r="H400" s="8"/>
      <c r="I400" s="8"/>
    </row>
    <row r="401" spans="1:9">
      <c r="A401" s="8"/>
      <c r="B401" s="8"/>
      <c r="C401" s="8"/>
      <c r="D401" s="8"/>
      <c r="E401" s="8"/>
      <c r="F401" s="8"/>
      <c r="G401" s="8"/>
      <c r="H401" s="8"/>
      <c r="I401" s="8"/>
    </row>
    <row r="402" spans="1:9">
      <c r="A402" s="8"/>
      <c r="B402" s="8"/>
      <c r="C402" s="8"/>
      <c r="D402" s="8"/>
      <c r="E402" s="8"/>
      <c r="F402" s="8"/>
      <c r="G402" s="8"/>
      <c r="H402" s="8"/>
      <c r="I402" s="8"/>
    </row>
    <row r="403" spans="1:9">
      <c r="A403" s="8"/>
      <c r="B403" s="8"/>
      <c r="C403" s="8"/>
      <c r="D403" s="8"/>
      <c r="E403" s="8"/>
      <c r="F403" s="8"/>
      <c r="G403" s="8"/>
      <c r="H403" s="8"/>
      <c r="I403" s="8"/>
    </row>
    <row r="404" spans="1:9">
      <c r="A404" s="8"/>
      <c r="B404" s="8"/>
      <c r="C404" s="8"/>
      <c r="D404" s="8"/>
      <c r="E404" s="8"/>
      <c r="F404" s="8"/>
      <c r="G404" s="8"/>
      <c r="H404" s="8"/>
      <c r="I404" s="8"/>
    </row>
    <row r="405" spans="1:9">
      <c r="A405" s="8"/>
      <c r="B405" s="8"/>
      <c r="C405" s="8"/>
      <c r="D405" s="8"/>
      <c r="E405" s="8"/>
      <c r="F405" s="8"/>
      <c r="G405" s="8"/>
      <c r="H405" s="8"/>
      <c r="I405" s="8"/>
    </row>
    <row r="406" spans="1:9">
      <c r="A406" s="8"/>
      <c r="B406" s="8"/>
      <c r="C406" s="8"/>
      <c r="D406" s="8"/>
      <c r="E406" s="8"/>
      <c r="F406" s="8"/>
      <c r="G406" s="8"/>
      <c r="H406" s="8"/>
      <c r="I406" s="8"/>
    </row>
    <row r="407" spans="1:9">
      <c r="A407" s="8"/>
      <c r="B407" s="8"/>
      <c r="C407" s="8"/>
      <c r="D407" s="8"/>
      <c r="E407" s="8"/>
      <c r="F407" s="8"/>
      <c r="G407" s="8"/>
      <c r="H407" s="8"/>
      <c r="I407" s="8"/>
    </row>
    <row r="408" spans="1:9">
      <c r="A408" s="8"/>
      <c r="B408" s="8"/>
      <c r="C408" s="8"/>
      <c r="D408" s="8"/>
      <c r="E408" s="8"/>
      <c r="F408" s="8"/>
      <c r="G408" s="8"/>
      <c r="H408" s="8"/>
      <c r="I408" s="8"/>
    </row>
    <row r="409" spans="1:9">
      <c r="A409" s="8"/>
      <c r="B409" s="8"/>
      <c r="C409" s="8"/>
      <c r="D409" s="8"/>
      <c r="E409" s="8"/>
      <c r="F409" s="8"/>
      <c r="G409" s="8"/>
      <c r="H409" s="8"/>
      <c r="I409" s="8"/>
    </row>
    <row r="410" spans="1:9">
      <c r="A410" s="8"/>
      <c r="B410" s="8"/>
      <c r="C410" s="8"/>
      <c r="D410" s="8"/>
      <c r="E410" s="8"/>
      <c r="F410" s="8"/>
      <c r="G410" s="8"/>
      <c r="H410" s="8"/>
      <c r="I410" s="8"/>
    </row>
    <row r="411" spans="1:9">
      <c r="A411" s="8"/>
      <c r="B411" s="8"/>
      <c r="C411" s="8"/>
      <c r="D411" s="8"/>
      <c r="E411" s="8"/>
      <c r="F411" s="8"/>
      <c r="G411" s="8"/>
      <c r="H411" s="8"/>
      <c r="I411" s="8"/>
    </row>
  </sheetData>
  <mergeCells count="59">
    <mergeCell ref="C19:F19"/>
    <mergeCell ref="B3:B4"/>
    <mergeCell ref="C3:D4"/>
    <mergeCell ref="A5:B5"/>
    <mergeCell ref="D6:H6"/>
    <mergeCell ref="A9:I9"/>
    <mergeCell ref="D10:F10"/>
    <mergeCell ref="C14:F14"/>
    <mergeCell ref="C15:F15"/>
    <mergeCell ref="C16:F16"/>
    <mergeCell ref="C17:F17"/>
    <mergeCell ref="C18:F18"/>
    <mergeCell ref="A23:D24"/>
    <mergeCell ref="E23:E24"/>
    <mergeCell ref="F23:F24"/>
    <mergeCell ref="H23:H24"/>
    <mergeCell ref="A25:A27"/>
    <mergeCell ref="B25:D27"/>
    <mergeCell ref="E25:E27"/>
    <mergeCell ref="F25:F27"/>
    <mergeCell ref="H25:H27"/>
    <mergeCell ref="A40:D41"/>
    <mergeCell ref="E40:E41"/>
    <mergeCell ref="F40:F41"/>
    <mergeCell ref="H40:H41"/>
    <mergeCell ref="E66:E70"/>
    <mergeCell ref="F66:F70"/>
    <mergeCell ref="G66:G70"/>
    <mergeCell ref="H66:H70"/>
    <mergeCell ref="I66:I70"/>
    <mergeCell ref="F91:F95"/>
    <mergeCell ref="H91:H95"/>
    <mergeCell ref="E193:E197"/>
    <mergeCell ref="F193:F197"/>
    <mergeCell ref="H193:H197"/>
    <mergeCell ref="E153:E157"/>
    <mergeCell ref="F153:F157"/>
    <mergeCell ref="H153:H157"/>
    <mergeCell ref="E91:E95"/>
    <mergeCell ref="E221:E225"/>
    <mergeCell ref="F221:F225"/>
    <mergeCell ref="H221:H225"/>
    <mergeCell ref="E234:E238"/>
    <mergeCell ref="F234:F238"/>
    <mergeCell ref="H234:H238"/>
    <mergeCell ref="E261:E265"/>
    <mergeCell ref="F261:F265"/>
    <mergeCell ref="H261:H265"/>
    <mergeCell ref="E280:E284"/>
    <mergeCell ref="F280:F284"/>
    <mergeCell ref="H280:H284"/>
    <mergeCell ref="E341:E345"/>
    <mergeCell ref="F341:F345"/>
    <mergeCell ref="H341:H345"/>
    <mergeCell ref="E305:E309"/>
    <mergeCell ref="F305:F309"/>
    <mergeCell ref="H305:H309"/>
    <mergeCell ref="C323:H323"/>
    <mergeCell ref="C330:H330"/>
  </mergeCells>
  <phoneticPr fontId="10" type="noConversion"/>
  <conditionalFormatting sqref="F71:F76 F286:F301 F311:F318 F80:F88 F96:F97 F103:F104 F106 F110:F114 F118:F124 F128:F134 F138:F142 F146:F149 F159:F162 F166:F168 F171:F172 F175:F177 F183:F190 F199:F200 F204:F206 F210:F213 F217:F218 F226:F230 F240:F241 F245:F246 F250:F253 F256 F267:F276 H250">
    <cfRule type="expression" dxfId="58" priority="251" stopIfTrue="1">
      <formula>ISBLANK(F71)</formula>
    </cfRule>
    <cfRule type="expression" dxfId="57" priority="252" stopIfTrue="1">
      <formula>IF(AND(OR(F71-E71&gt;500,F71-E71&lt;-500),OR(#REF!&gt;0.1,#REF!&lt;-0.1)),TRUE,FALSE)</formula>
    </cfRule>
  </conditionalFormatting>
  <dataValidations count="1">
    <dataValidation type="list" errorStyle="information" allowBlank="1" showInputMessage="1" showErrorMessage="1" errorTitle="POBE 2006" error="Please select from the drop-down menu..." prompt="Please select your Authority from the drop-down menu..." sqref="C3:D4">
      <formula1>#REF!</formula1>
    </dataValidation>
  </dataValidations>
  <hyperlinks>
    <hyperlink ref="F7" r:id="rId1" display="lgfstats@scotland.gsi.gov.uk"/>
    <hyperlink ref="D6" r:id="rId2"/>
    <hyperlink ref="D10" r:id="rId3" display="^lgfstats@gov.scot"/>
    <hyperlink ref="B14" location="'POBE 2017'!A28" display="PART 1 - Expenditure"/>
    <hyperlink ref="C19:F19" location="'POBE 2017'!A323" display="Sheet 10. - PUBLIC PRIVATE PARTNERSHIPS/PRIVATE FINANCE INITIATIVES"/>
    <hyperlink ref="B15" location="'POBE 2017'!A40" display="PART 2 - Income and Balances"/>
    <hyperlink ref="B16" location="'POBE 2017'!A66" display="Sheet 1. EDUCATION"/>
    <hyperlink ref="B17" location="'POBE 2017'!A91" display="Sheet 2. SOCIAL WORK"/>
    <hyperlink ref="B18" location="'POBE 2017'!A153" display="Sheet 3. ROADS AND TRANSPORT"/>
    <hyperlink ref="B19" location="'POBE 2017'!A193" display="Sheet 4. ENVIRONMENTAL SERVICES"/>
    <hyperlink ref="C14:F14" location="'POBE 2017'!A221" display="Sheet 5. PLANNING AND DEVELOPMENT SERVICES"/>
    <hyperlink ref="C15:F15" location="'POBE 2017'!A234" display="Sheet 6. CULTURAL AND RELATED SERVICES"/>
    <hyperlink ref="C16:F16" location="'POBE 2017'!A261" display="Sheet 7. HOUSING"/>
    <hyperlink ref="C17:F17" location="'POBE 2017'!A280" display="Sheet 8. CENTRAL SERVICES"/>
    <hyperlink ref="C18:F18" location="'POBE 2017'!A305" display="Sheet 9. OTHER EXPENDITURE"/>
  </hyperlinks>
  <pageMargins left="0.75" right="0.75" top="1" bottom="1" header="0.5" footer="0.5"/>
  <pageSetup paperSize="9" orientation="portrait" r:id="rId4"/>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AN411"/>
  <sheetViews>
    <sheetView topLeftCell="A187" zoomScale="80" zoomScaleNormal="80" workbookViewId="0">
      <selection activeCell="E212" sqref="E212"/>
    </sheetView>
  </sheetViews>
  <sheetFormatPr defaultColWidth="9.140625" defaultRowHeight="12.75"/>
  <cols>
    <col min="1" max="1" width="10.5703125" style="1" customWidth="1"/>
    <col min="2" max="2" width="43" style="1" customWidth="1"/>
    <col min="3" max="3" width="24.5703125" style="1" customWidth="1"/>
    <col min="4" max="4" width="14.7109375" style="1" customWidth="1"/>
    <col min="5" max="5" width="21.5703125" style="1" customWidth="1"/>
    <col min="6" max="6" width="19.140625" style="1" customWidth="1"/>
    <col min="7" max="7" width="17.42578125" style="1" customWidth="1"/>
    <col min="8" max="8" width="19.28515625" style="1" customWidth="1"/>
    <col min="9" max="9" width="17.85546875" style="1" customWidth="1"/>
    <col min="10" max="22" width="9.140625" style="8" customWidth="1"/>
    <col min="23" max="33" width="9.140625" style="8"/>
    <col min="34" max="34" width="0" style="8" hidden="1" customWidth="1"/>
    <col min="35" max="40" width="9.140625" style="8"/>
    <col min="41" max="16384" width="9.140625" style="1"/>
  </cols>
  <sheetData>
    <row r="1" spans="1:40" s="203" customFormat="1" ht="51" customHeight="1">
      <c r="A1" s="3" t="s">
        <v>410</v>
      </c>
      <c r="B1" s="4"/>
      <c r="C1" s="224"/>
      <c r="D1" s="224"/>
      <c r="E1" s="224"/>
      <c r="F1" s="224"/>
      <c r="G1" s="225"/>
      <c r="H1" s="226"/>
      <c r="I1" s="227"/>
      <c r="J1" s="231"/>
      <c r="K1" s="231"/>
      <c r="L1" s="231"/>
      <c r="M1" s="231"/>
      <c r="N1" s="231"/>
      <c r="O1" s="231"/>
      <c r="P1" s="231"/>
      <c r="Q1" s="231"/>
      <c r="R1" s="231"/>
      <c r="S1" s="231"/>
      <c r="T1" s="231"/>
      <c r="U1" s="231"/>
      <c r="V1" s="231"/>
      <c r="W1" s="231"/>
      <c r="X1" s="231"/>
      <c r="Y1" s="231"/>
      <c r="Z1" s="231"/>
      <c r="AA1" s="231"/>
      <c r="AB1" s="231"/>
      <c r="AC1" s="231"/>
      <c r="AD1" s="231"/>
      <c r="AE1" s="231"/>
      <c r="AF1" s="231"/>
      <c r="AG1" s="231"/>
      <c r="AH1" s="231"/>
      <c r="AI1" s="231"/>
      <c r="AJ1" s="231"/>
      <c r="AK1" s="231"/>
      <c r="AL1" s="231"/>
      <c r="AM1" s="231"/>
      <c r="AN1" s="231"/>
    </row>
    <row r="2" spans="1:40" s="203" customFormat="1" ht="35.25">
      <c r="A2" s="9"/>
      <c r="B2" s="10"/>
      <c r="C2" s="232"/>
      <c r="D2" s="232"/>
      <c r="E2" s="232"/>
      <c r="F2" s="11"/>
      <c r="G2" s="11"/>
      <c r="H2" s="11"/>
      <c r="I2" s="11"/>
      <c r="J2" s="231"/>
      <c r="K2" s="231"/>
      <c r="L2" s="231"/>
      <c r="M2" s="231"/>
      <c r="N2" s="231"/>
      <c r="O2" s="231"/>
      <c r="P2" s="231"/>
      <c r="Q2" s="231"/>
      <c r="R2" s="231"/>
      <c r="S2" s="231"/>
      <c r="T2" s="231"/>
      <c r="U2" s="231"/>
      <c r="V2" s="231"/>
      <c r="W2" s="231"/>
      <c r="X2" s="231"/>
      <c r="Y2" s="231"/>
      <c r="Z2" s="231"/>
      <c r="AA2" s="231"/>
      <c r="AB2" s="231"/>
      <c r="AC2" s="231"/>
      <c r="AD2" s="231"/>
      <c r="AE2" s="231"/>
      <c r="AF2" s="231"/>
      <c r="AG2" s="231"/>
      <c r="AH2" s="231"/>
      <c r="AI2" s="231"/>
      <c r="AJ2" s="231"/>
      <c r="AK2" s="231"/>
      <c r="AL2" s="231"/>
      <c r="AM2" s="231"/>
      <c r="AN2" s="231"/>
    </row>
    <row r="3" spans="1:40" s="203" customFormat="1" ht="15">
      <c r="A3" s="12"/>
      <c r="B3" s="882" t="s">
        <v>0</v>
      </c>
      <c r="C3" s="884" t="s">
        <v>8</v>
      </c>
      <c r="D3" s="885"/>
      <c r="E3" s="13"/>
      <c r="F3" s="14"/>
      <c r="G3" s="14"/>
      <c r="H3" s="15"/>
      <c r="I3" s="14"/>
      <c r="J3" s="231"/>
      <c r="K3" s="231"/>
      <c r="L3" s="231"/>
      <c r="M3" s="231"/>
      <c r="N3" s="231"/>
      <c r="O3" s="231"/>
      <c r="P3" s="231"/>
      <c r="Q3" s="231"/>
      <c r="R3" s="231"/>
      <c r="S3" s="231"/>
      <c r="T3" s="231"/>
      <c r="U3" s="231"/>
      <c r="V3" s="231"/>
      <c r="W3" s="231"/>
      <c r="X3" s="231"/>
      <c r="Y3" s="231"/>
      <c r="Z3" s="231"/>
      <c r="AA3" s="231"/>
      <c r="AB3" s="231"/>
      <c r="AC3" s="231"/>
      <c r="AD3" s="231"/>
      <c r="AE3" s="231"/>
      <c r="AF3" s="231"/>
      <c r="AG3" s="231"/>
      <c r="AH3" s="231"/>
      <c r="AI3" s="231"/>
      <c r="AJ3" s="231"/>
      <c r="AK3" s="231"/>
      <c r="AL3" s="231"/>
      <c r="AM3" s="231"/>
      <c r="AN3" s="231"/>
    </row>
    <row r="4" spans="1:40" s="203" customFormat="1" ht="15">
      <c r="A4" s="17"/>
      <c r="B4" s="883"/>
      <c r="C4" s="886"/>
      <c r="D4" s="887"/>
      <c r="E4" s="13"/>
      <c r="F4" s="14"/>
      <c r="G4" s="14"/>
      <c r="H4" s="15"/>
      <c r="I4" s="14"/>
      <c r="J4" s="231"/>
      <c r="K4" s="231"/>
      <c r="L4" s="231"/>
      <c r="M4" s="231"/>
      <c r="N4" s="231"/>
      <c r="O4" s="231"/>
      <c r="P4" s="231"/>
      <c r="Q4" s="231"/>
      <c r="R4" s="231"/>
      <c r="S4" s="231"/>
      <c r="T4" s="231"/>
      <c r="U4" s="231"/>
      <c r="V4" s="231"/>
      <c r="W4" s="231"/>
      <c r="X4" s="231"/>
      <c r="Y4" s="231"/>
      <c r="Z4" s="231"/>
      <c r="AA4" s="231"/>
      <c r="AB4" s="231"/>
      <c r="AC4" s="231"/>
      <c r="AD4" s="231"/>
      <c r="AE4" s="231"/>
      <c r="AF4" s="231"/>
      <c r="AG4" s="231"/>
      <c r="AH4" s="231"/>
      <c r="AI4" s="231"/>
      <c r="AJ4" s="231"/>
      <c r="AK4" s="231"/>
      <c r="AL4" s="231"/>
      <c r="AM4" s="231"/>
      <c r="AN4" s="231"/>
    </row>
    <row r="5" spans="1:40" s="203" customFormat="1" ht="15">
      <c r="A5" s="888"/>
      <c r="B5" s="889"/>
      <c r="C5" s="18"/>
      <c r="D5" s="206"/>
      <c r="E5" s="206"/>
      <c r="F5" s="14"/>
      <c r="G5" s="14"/>
      <c r="H5" s="14"/>
      <c r="I5" s="234"/>
      <c r="J5" s="231"/>
      <c r="K5" s="231"/>
      <c r="L5" s="231"/>
      <c r="M5" s="231"/>
      <c r="N5" s="231"/>
      <c r="O5" s="231"/>
      <c r="P5" s="231"/>
      <c r="Q5" s="231"/>
      <c r="R5" s="231"/>
      <c r="S5" s="231"/>
      <c r="T5" s="231"/>
      <c r="U5" s="231"/>
      <c r="V5" s="231"/>
      <c r="W5" s="231"/>
      <c r="X5" s="231"/>
      <c r="Y5" s="231"/>
      <c r="Z5" s="231"/>
      <c r="AA5" s="231"/>
      <c r="AB5" s="231"/>
      <c r="AC5" s="231"/>
      <c r="AD5" s="231"/>
      <c r="AE5" s="231"/>
      <c r="AF5" s="231"/>
      <c r="AG5" s="231"/>
      <c r="AH5" s="231"/>
      <c r="AI5" s="231"/>
      <c r="AJ5" s="231"/>
      <c r="AK5" s="231"/>
      <c r="AL5" s="231"/>
      <c r="AM5" s="231"/>
      <c r="AN5" s="231"/>
    </row>
    <row r="6" spans="1:40" s="203" customFormat="1" ht="23.25" customHeight="1">
      <c r="A6" s="19" t="s">
        <v>1</v>
      </c>
      <c r="B6" s="207"/>
      <c r="C6" s="20"/>
      <c r="D6" s="890" t="s">
        <v>249</v>
      </c>
      <c r="E6" s="890"/>
      <c r="F6" s="890"/>
      <c r="G6" s="890"/>
      <c r="H6" s="890"/>
      <c r="I6" s="29"/>
      <c r="J6" s="231"/>
      <c r="K6" s="231"/>
      <c r="L6" s="231"/>
      <c r="M6" s="231"/>
      <c r="N6" s="231"/>
      <c r="O6" s="231"/>
      <c r="P6" s="231"/>
      <c r="Q6" s="231"/>
      <c r="R6" s="231"/>
      <c r="S6" s="231"/>
      <c r="T6" s="231"/>
      <c r="U6" s="231"/>
      <c r="V6" s="231"/>
      <c r="W6" s="231"/>
      <c r="X6" s="231"/>
      <c r="Y6" s="231"/>
      <c r="Z6" s="231"/>
      <c r="AA6" s="231"/>
      <c r="AB6" s="231"/>
      <c r="AC6" s="231"/>
      <c r="AD6" s="231"/>
      <c r="AE6" s="231"/>
      <c r="AF6" s="231"/>
      <c r="AG6" s="231"/>
      <c r="AH6" s="231"/>
      <c r="AI6" s="231"/>
      <c r="AJ6" s="231"/>
      <c r="AK6" s="231"/>
      <c r="AL6" s="231"/>
      <c r="AM6" s="231"/>
      <c r="AN6" s="231"/>
    </row>
    <row r="7" spans="1:40" s="203" customFormat="1" ht="18.75" customHeight="1">
      <c r="A7" s="19" t="s">
        <v>419</v>
      </c>
      <c r="B7" s="207"/>
      <c r="C7" s="207"/>
      <c r="D7" s="207"/>
      <c r="E7" s="207"/>
      <c r="F7" s="362" t="s">
        <v>250</v>
      </c>
      <c r="G7" s="1"/>
      <c r="H7" s="21"/>
      <c r="I7" s="29"/>
      <c r="J7" s="231"/>
      <c r="K7" s="231"/>
      <c r="L7" s="231"/>
      <c r="M7" s="231"/>
      <c r="N7" s="231"/>
      <c r="O7" s="231"/>
      <c r="P7" s="231"/>
      <c r="Q7" s="231"/>
      <c r="R7" s="231"/>
      <c r="S7" s="231"/>
      <c r="T7" s="231"/>
      <c r="U7" s="231"/>
      <c r="V7" s="231"/>
      <c r="W7" s="231"/>
      <c r="X7" s="231"/>
      <c r="Y7" s="231"/>
      <c r="Z7" s="231"/>
      <c r="AA7" s="231"/>
      <c r="AB7" s="231"/>
      <c r="AC7" s="231"/>
      <c r="AD7" s="231"/>
      <c r="AE7" s="231"/>
      <c r="AF7" s="231"/>
      <c r="AG7" s="231"/>
      <c r="AH7" s="231"/>
      <c r="AI7" s="231"/>
      <c r="AJ7" s="231"/>
      <c r="AK7" s="231"/>
      <c r="AL7" s="231"/>
      <c r="AM7" s="231"/>
      <c r="AN7" s="231"/>
    </row>
    <row r="8" spans="1:40" s="203" customFormat="1" ht="24" customHeight="1">
      <c r="A8" s="22" t="s">
        <v>408</v>
      </c>
      <c r="B8" s="207"/>
      <c r="C8" s="207"/>
      <c r="D8" s="207"/>
      <c r="E8" s="207"/>
      <c r="F8" s="207"/>
      <c r="G8" s="746"/>
      <c r="H8" s="21"/>
      <c r="I8" s="29"/>
      <c r="J8" s="231"/>
      <c r="K8" s="231"/>
      <c r="L8" s="231"/>
      <c r="M8" s="231"/>
      <c r="N8" s="231"/>
      <c r="O8" s="231"/>
      <c r="P8" s="231"/>
      <c r="Q8" s="231"/>
      <c r="R8" s="231"/>
      <c r="S8" s="231"/>
      <c r="T8" s="231"/>
      <c r="U8" s="231"/>
      <c r="V8" s="231"/>
      <c r="W8" s="231"/>
      <c r="X8" s="231"/>
      <c r="Y8" s="231"/>
      <c r="Z8" s="231"/>
      <c r="AA8" s="231"/>
      <c r="AB8" s="231"/>
      <c r="AC8" s="231"/>
      <c r="AD8" s="231"/>
      <c r="AE8" s="231"/>
      <c r="AF8" s="231"/>
      <c r="AG8" s="231"/>
      <c r="AH8" s="231"/>
      <c r="AI8" s="231"/>
      <c r="AJ8" s="231"/>
      <c r="AK8" s="231"/>
      <c r="AL8" s="231"/>
      <c r="AM8" s="231"/>
      <c r="AN8" s="231"/>
    </row>
    <row r="9" spans="1:40" s="203" customFormat="1" ht="30.75" customHeight="1">
      <c r="A9" s="891" t="s">
        <v>420</v>
      </c>
      <c r="B9" s="892"/>
      <c r="C9" s="892"/>
      <c r="D9" s="892"/>
      <c r="E9" s="892"/>
      <c r="F9" s="892"/>
      <c r="G9" s="892"/>
      <c r="H9" s="892"/>
      <c r="I9" s="892"/>
      <c r="J9" s="231"/>
      <c r="K9" s="231"/>
      <c r="L9" s="231"/>
      <c r="M9" s="231"/>
      <c r="N9" s="231"/>
      <c r="O9" s="231"/>
      <c r="P9" s="231"/>
      <c r="Q9" s="231"/>
      <c r="R9" s="231"/>
      <c r="S9" s="231"/>
      <c r="T9" s="231"/>
      <c r="U9" s="231"/>
      <c r="V9" s="231"/>
      <c r="W9" s="231"/>
      <c r="X9" s="231"/>
      <c r="Y9" s="231"/>
      <c r="Z9" s="231"/>
      <c r="AA9" s="231"/>
      <c r="AB9" s="231"/>
      <c r="AC9" s="231"/>
      <c r="AD9" s="231"/>
      <c r="AE9" s="231"/>
      <c r="AF9" s="231"/>
      <c r="AG9" s="231"/>
      <c r="AH9" s="231"/>
      <c r="AI9" s="231"/>
      <c r="AJ9" s="231"/>
      <c r="AK9" s="231"/>
      <c r="AL9" s="231"/>
      <c r="AM9" s="231"/>
      <c r="AN9" s="231"/>
    </row>
    <row r="10" spans="1:40" s="203" customFormat="1" ht="12.75" customHeight="1">
      <c r="A10" s="22" t="s">
        <v>409</v>
      </c>
      <c r="B10" s="19"/>
      <c r="C10" s="1"/>
      <c r="D10" s="880" t="s">
        <v>250</v>
      </c>
      <c r="E10" s="881"/>
      <c r="F10" s="881"/>
      <c r="G10" s="207"/>
      <c r="H10" s="207"/>
      <c r="I10" s="29"/>
      <c r="J10" s="231"/>
      <c r="K10" s="231"/>
      <c r="L10" s="231"/>
      <c r="M10" s="231"/>
      <c r="N10" s="231"/>
      <c r="O10" s="231"/>
      <c r="P10" s="231"/>
      <c r="Q10" s="231"/>
      <c r="R10" s="231"/>
      <c r="S10" s="231"/>
      <c r="T10" s="231"/>
      <c r="U10" s="231"/>
      <c r="V10" s="231"/>
      <c r="W10" s="231"/>
      <c r="X10" s="231"/>
      <c r="Y10" s="231"/>
      <c r="Z10" s="231"/>
      <c r="AA10" s="231"/>
      <c r="AB10" s="231"/>
      <c r="AC10" s="231"/>
      <c r="AD10" s="231"/>
      <c r="AE10" s="231"/>
      <c r="AF10" s="231"/>
      <c r="AG10" s="231"/>
      <c r="AH10" s="231"/>
      <c r="AI10" s="231"/>
      <c r="AJ10" s="231"/>
      <c r="AK10" s="231"/>
      <c r="AL10" s="231"/>
      <c r="AM10" s="231"/>
      <c r="AN10" s="231"/>
    </row>
    <row r="11" spans="1:40" s="203" customFormat="1">
      <c r="A11" s="23"/>
      <c r="B11" s="207"/>
      <c r="C11" s="207"/>
      <c r="D11" s="207"/>
      <c r="E11" s="207"/>
      <c r="F11" s="207"/>
      <c r="G11" s="21"/>
      <c r="H11" s="21"/>
      <c r="I11" s="29"/>
      <c r="J11" s="231"/>
      <c r="K11" s="231"/>
      <c r="L11" s="231"/>
      <c r="M11" s="231"/>
      <c r="N11" s="231"/>
      <c r="O11" s="231"/>
      <c r="P11" s="231"/>
      <c r="Q11" s="231"/>
      <c r="R11" s="231"/>
      <c r="S11" s="231"/>
      <c r="T11" s="231"/>
      <c r="U11" s="231"/>
      <c r="V11" s="231"/>
      <c r="W11" s="231"/>
      <c r="X11" s="231"/>
      <c r="Y11" s="231"/>
      <c r="Z11" s="231"/>
      <c r="AA11" s="231"/>
      <c r="AB11" s="231"/>
      <c r="AC11" s="231"/>
      <c r="AD11" s="231"/>
      <c r="AE11" s="231"/>
      <c r="AF11" s="231"/>
      <c r="AG11" s="231"/>
      <c r="AH11" s="231"/>
      <c r="AI11" s="231"/>
      <c r="AJ11" s="231"/>
      <c r="AK11" s="231"/>
      <c r="AL11" s="231"/>
      <c r="AM11" s="231"/>
      <c r="AN11" s="231"/>
    </row>
    <row r="12" spans="1:40" s="203" customFormat="1">
      <c r="A12" s="24"/>
      <c r="B12" s="25" t="s">
        <v>7</v>
      </c>
      <c r="C12" s="26"/>
      <c r="D12" s="356"/>
      <c r="E12" s="356"/>
      <c r="F12" s="357"/>
      <c r="G12" s="21"/>
      <c r="H12" s="21"/>
      <c r="I12" s="29"/>
      <c r="J12" s="231"/>
      <c r="K12" s="231"/>
      <c r="L12" s="231"/>
      <c r="M12" s="231"/>
      <c r="N12" s="231"/>
      <c r="O12" s="231"/>
      <c r="P12" s="231"/>
      <c r="Q12" s="231"/>
      <c r="R12" s="231"/>
      <c r="S12" s="231"/>
      <c r="T12" s="231"/>
      <c r="U12" s="231"/>
      <c r="V12" s="231"/>
      <c r="W12" s="231"/>
      <c r="X12" s="231"/>
      <c r="Y12" s="231"/>
      <c r="Z12" s="231"/>
      <c r="AA12" s="231"/>
      <c r="AB12" s="231"/>
      <c r="AC12" s="231"/>
      <c r="AD12" s="231"/>
      <c r="AE12" s="231"/>
      <c r="AF12" s="231"/>
      <c r="AG12" s="231"/>
      <c r="AH12" s="231"/>
      <c r="AI12" s="231"/>
      <c r="AJ12" s="231"/>
      <c r="AK12" s="231"/>
      <c r="AL12" s="231"/>
      <c r="AM12" s="231"/>
      <c r="AN12" s="231"/>
    </row>
    <row r="13" spans="1:40" s="203" customFormat="1">
      <c r="A13" s="23"/>
      <c r="B13" s="27"/>
      <c r="C13" s="358"/>
      <c r="D13" s="15"/>
      <c r="E13" s="15"/>
      <c r="F13" s="359"/>
      <c r="G13" s="207"/>
      <c r="H13" s="21"/>
      <c r="I13" s="29"/>
      <c r="J13" s="231"/>
      <c r="K13" s="231"/>
      <c r="L13" s="231"/>
      <c r="M13" s="231"/>
      <c r="N13" s="231"/>
      <c r="O13" s="231"/>
      <c r="P13" s="231"/>
      <c r="Q13" s="231"/>
      <c r="R13" s="231"/>
      <c r="S13" s="231"/>
      <c r="T13" s="231"/>
      <c r="U13" s="231"/>
      <c r="V13" s="231"/>
      <c r="W13" s="231"/>
      <c r="X13" s="231"/>
      <c r="Y13" s="231"/>
      <c r="Z13" s="231"/>
      <c r="AA13" s="231"/>
      <c r="AB13" s="231"/>
      <c r="AC13" s="231"/>
      <c r="AD13" s="231"/>
      <c r="AE13" s="231"/>
      <c r="AF13" s="231"/>
      <c r="AG13" s="231"/>
      <c r="AH13" s="231"/>
      <c r="AI13" s="231"/>
      <c r="AJ13" s="231"/>
      <c r="AK13" s="231"/>
      <c r="AL13" s="231"/>
      <c r="AM13" s="231"/>
      <c r="AN13" s="231"/>
    </row>
    <row r="14" spans="1:40" s="203" customFormat="1">
      <c r="A14" s="23"/>
      <c r="B14" s="363" t="s">
        <v>328</v>
      </c>
      <c r="C14" s="870" t="s">
        <v>10</v>
      </c>
      <c r="D14" s="870"/>
      <c r="E14" s="870"/>
      <c r="F14" s="871"/>
      <c r="G14" s="207"/>
      <c r="H14" s="21"/>
      <c r="I14" s="29"/>
      <c r="J14" s="231"/>
      <c r="K14" s="231"/>
      <c r="L14" s="231"/>
      <c r="M14" s="231"/>
      <c r="N14" s="231"/>
      <c r="O14" s="231"/>
      <c r="P14" s="231"/>
      <c r="Q14" s="231"/>
      <c r="R14" s="231"/>
      <c r="S14" s="231"/>
      <c r="T14" s="231"/>
      <c r="U14" s="231"/>
      <c r="V14" s="231"/>
      <c r="W14" s="231"/>
      <c r="X14" s="231"/>
      <c r="Y14" s="231"/>
      <c r="Z14" s="231"/>
      <c r="AA14" s="231"/>
      <c r="AB14" s="231"/>
      <c r="AC14" s="231"/>
      <c r="AD14" s="231"/>
      <c r="AE14" s="231"/>
      <c r="AF14" s="231"/>
      <c r="AG14" s="231"/>
      <c r="AH14" s="231"/>
      <c r="AI14" s="231"/>
      <c r="AJ14" s="231"/>
      <c r="AK14" s="231"/>
      <c r="AL14" s="231"/>
      <c r="AM14" s="231"/>
      <c r="AN14" s="231"/>
    </row>
    <row r="15" spans="1:40" s="203" customFormat="1">
      <c r="A15" s="23"/>
      <c r="B15" s="363" t="s">
        <v>329</v>
      </c>
      <c r="C15" s="870" t="s">
        <v>12</v>
      </c>
      <c r="D15" s="870"/>
      <c r="E15" s="870"/>
      <c r="F15" s="871"/>
      <c r="G15" s="207"/>
      <c r="H15" s="21"/>
      <c r="I15" s="29"/>
      <c r="J15" s="231"/>
      <c r="K15" s="231"/>
      <c r="L15" s="231"/>
      <c r="M15" s="231"/>
      <c r="N15" s="231"/>
      <c r="O15" s="231"/>
      <c r="P15" s="231"/>
      <c r="Q15" s="231"/>
      <c r="R15" s="231"/>
      <c r="S15" s="231"/>
      <c r="T15" s="231"/>
      <c r="U15" s="231"/>
      <c r="V15" s="231"/>
      <c r="W15" s="231"/>
      <c r="X15" s="231"/>
      <c r="Y15" s="231"/>
      <c r="Z15" s="231"/>
      <c r="AA15" s="231"/>
      <c r="AB15" s="231"/>
      <c r="AC15" s="231"/>
      <c r="AD15" s="231"/>
      <c r="AE15" s="231"/>
      <c r="AF15" s="231"/>
      <c r="AG15" s="231"/>
      <c r="AH15" s="231"/>
      <c r="AI15" s="231"/>
      <c r="AJ15" s="231"/>
      <c r="AK15" s="231"/>
      <c r="AL15" s="231"/>
      <c r="AM15" s="231"/>
      <c r="AN15" s="231"/>
    </row>
    <row r="16" spans="1:40" s="203" customFormat="1">
      <c r="A16" s="23"/>
      <c r="B16" s="360" t="s">
        <v>14</v>
      </c>
      <c r="C16" s="870" t="s">
        <v>15</v>
      </c>
      <c r="D16" s="870"/>
      <c r="E16" s="870"/>
      <c r="F16" s="871"/>
      <c r="G16" s="207"/>
      <c r="H16" s="21"/>
      <c r="I16" s="29"/>
      <c r="J16" s="231"/>
      <c r="K16" s="231"/>
      <c r="L16" s="231"/>
      <c r="M16" s="231"/>
      <c r="N16" s="231"/>
      <c r="O16" s="231"/>
      <c r="P16" s="231"/>
      <c r="Q16" s="231"/>
      <c r="R16" s="231"/>
      <c r="S16" s="231"/>
      <c r="T16" s="231"/>
      <c r="U16" s="231"/>
      <c r="V16" s="231"/>
      <c r="W16" s="231"/>
      <c r="X16" s="231"/>
      <c r="Y16" s="231"/>
      <c r="Z16" s="231"/>
      <c r="AA16" s="231"/>
      <c r="AB16" s="231"/>
      <c r="AC16" s="231"/>
      <c r="AD16" s="231"/>
      <c r="AE16" s="231"/>
      <c r="AF16" s="231"/>
      <c r="AG16" s="231"/>
      <c r="AH16" s="231"/>
      <c r="AI16" s="231"/>
      <c r="AJ16" s="231"/>
      <c r="AK16" s="231"/>
      <c r="AL16" s="231"/>
      <c r="AM16" s="231"/>
      <c r="AN16" s="231"/>
    </row>
    <row r="17" spans="1:40" s="203" customFormat="1">
      <c r="A17" s="23"/>
      <c r="B17" s="360" t="s">
        <v>17</v>
      </c>
      <c r="C17" s="870" t="s">
        <v>18</v>
      </c>
      <c r="D17" s="870"/>
      <c r="E17" s="870"/>
      <c r="F17" s="871"/>
      <c r="G17" s="207"/>
      <c r="H17" s="21"/>
      <c r="I17" s="29"/>
      <c r="J17" s="231"/>
      <c r="K17" s="231"/>
      <c r="L17" s="231"/>
      <c r="M17" s="231"/>
      <c r="N17" s="231"/>
      <c r="O17" s="231"/>
      <c r="P17" s="231"/>
      <c r="Q17" s="231"/>
      <c r="R17" s="231"/>
      <c r="S17" s="231"/>
      <c r="T17" s="231"/>
      <c r="U17" s="231"/>
      <c r="V17" s="231"/>
      <c r="W17" s="231"/>
      <c r="X17" s="231"/>
      <c r="Y17" s="231"/>
      <c r="Z17" s="231"/>
      <c r="AA17" s="231"/>
      <c r="AB17" s="231"/>
      <c r="AC17" s="231"/>
      <c r="AD17" s="231"/>
      <c r="AE17" s="231"/>
      <c r="AF17" s="231"/>
      <c r="AG17" s="231"/>
      <c r="AH17" s="231"/>
      <c r="AI17" s="231"/>
      <c r="AJ17" s="231"/>
      <c r="AK17" s="231"/>
      <c r="AL17" s="231"/>
      <c r="AM17" s="231"/>
      <c r="AN17" s="231"/>
    </row>
    <row r="18" spans="1:40" s="203" customFormat="1">
      <c r="A18" s="23"/>
      <c r="B18" s="360" t="s">
        <v>20</v>
      </c>
      <c r="C18" s="870" t="s">
        <v>21</v>
      </c>
      <c r="D18" s="870"/>
      <c r="E18" s="870"/>
      <c r="F18" s="871"/>
      <c r="G18" s="207"/>
      <c r="H18" s="21"/>
      <c r="I18" s="29"/>
      <c r="J18" s="231"/>
      <c r="K18" s="231"/>
      <c r="L18" s="231"/>
      <c r="M18" s="231"/>
      <c r="N18" s="231"/>
      <c r="O18" s="231"/>
      <c r="P18" s="231"/>
      <c r="Q18" s="231"/>
      <c r="R18" s="231"/>
      <c r="S18" s="231"/>
      <c r="T18" s="231"/>
      <c r="U18" s="231"/>
      <c r="V18" s="231"/>
      <c r="W18" s="231"/>
      <c r="X18" s="231"/>
      <c r="Y18" s="231"/>
      <c r="Z18" s="231"/>
      <c r="AA18" s="231"/>
      <c r="AB18" s="231"/>
      <c r="AC18" s="231"/>
      <c r="AD18" s="231"/>
      <c r="AE18" s="231"/>
      <c r="AF18" s="231"/>
      <c r="AG18" s="231"/>
      <c r="AH18" s="231"/>
      <c r="AI18" s="231"/>
      <c r="AJ18" s="231"/>
      <c r="AK18" s="231"/>
      <c r="AL18" s="231"/>
      <c r="AM18" s="231"/>
      <c r="AN18" s="231"/>
    </row>
    <row r="19" spans="1:40" s="203" customFormat="1">
      <c r="A19" s="23"/>
      <c r="B19" s="361" t="s">
        <v>23</v>
      </c>
      <c r="C19" s="872" t="s">
        <v>24</v>
      </c>
      <c r="D19" s="872"/>
      <c r="E19" s="872"/>
      <c r="F19" s="873"/>
      <c r="G19" s="21"/>
      <c r="H19" s="21"/>
      <c r="I19" s="29"/>
      <c r="J19" s="231"/>
      <c r="K19" s="231"/>
      <c r="L19" s="231"/>
      <c r="M19" s="231"/>
      <c r="N19" s="231"/>
      <c r="O19" s="231"/>
      <c r="P19" s="231"/>
      <c r="Q19" s="231"/>
      <c r="R19" s="231"/>
      <c r="S19" s="231"/>
      <c r="T19" s="231"/>
      <c r="U19" s="231"/>
      <c r="V19" s="231"/>
      <c r="W19" s="231"/>
      <c r="X19" s="231"/>
      <c r="Y19" s="231"/>
      <c r="Z19" s="231"/>
      <c r="AA19" s="231"/>
      <c r="AB19" s="231"/>
      <c r="AC19" s="231"/>
      <c r="AD19" s="231"/>
      <c r="AE19" s="231"/>
      <c r="AF19" s="231"/>
      <c r="AG19" s="231"/>
      <c r="AH19" s="231"/>
      <c r="AI19" s="231"/>
      <c r="AJ19" s="231"/>
      <c r="AK19" s="231"/>
      <c r="AL19" s="231"/>
      <c r="AM19" s="231"/>
      <c r="AN19" s="231"/>
    </row>
    <row r="20" spans="1:40" s="203" customFormat="1">
      <c r="A20" s="236"/>
      <c r="B20" s="206"/>
      <c r="C20" s="206"/>
      <c r="D20" s="206"/>
      <c r="E20" s="206"/>
      <c r="F20" s="206"/>
      <c r="G20" s="206"/>
      <c r="H20" s="206"/>
      <c r="I20" s="206"/>
      <c r="J20" s="231"/>
      <c r="K20" s="231"/>
      <c r="L20" s="231"/>
      <c r="M20" s="231"/>
      <c r="N20" s="231"/>
      <c r="O20" s="231"/>
      <c r="P20" s="231"/>
      <c r="Q20" s="231"/>
      <c r="R20" s="231"/>
      <c r="S20" s="231"/>
      <c r="T20" s="231"/>
      <c r="U20" s="231"/>
      <c r="V20" s="231"/>
      <c r="W20" s="231"/>
      <c r="X20" s="231"/>
      <c r="Y20" s="231"/>
      <c r="Z20" s="231"/>
      <c r="AA20" s="231"/>
      <c r="AB20" s="231"/>
      <c r="AC20" s="231"/>
      <c r="AD20" s="231"/>
      <c r="AE20" s="231"/>
      <c r="AF20" s="231"/>
      <c r="AG20" s="231"/>
      <c r="AH20" s="231"/>
      <c r="AI20" s="231"/>
      <c r="AJ20" s="231"/>
      <c r="AK20" s="231"/>
      <c r="AL20" s="231"/>
      <c r="AM20" s="231"/>
      <c r="AN20" s="231"/>
    </row>
    <row r="21" spans="1:40" s="203" customFormat="1" ht="19.5">
      <c r="A21" s="30"/>
      <c r="B21" s="13"/>
      <c r="C21" s="13"/>
      <c r="D21" s="13"/>
      <c r="E21" s="13"/>
      <c r="F21" s="13"/>
      <c r="G21" s="13"/>
      <c r="H21" s="31" t="s">
        <v>27</v>
      </c>
      <c r="I21" s="237"/>
      <c r="J21" s="231"/>
      <c r="K21" s="231"/>
      <c r="L21" s="231"/>
      <c r="M21" s="231"/>
      <c r="N21" s="231"/>
      <c r="O21" s="231"/>
      <c r="P21" s="231"/>
      <c r="Q21" s="231"/>
      <c r="R21" s="231"/>
      <c r="S21" s="231"/>
      <c r="T21" s="231"/>
      <c r="U21" s="231"/>
      <c r="V21" s="231"/>
      <c r="W21" s="231"/>
      <c r="X21" s="231"/>
      <c r="Y21" s="231"/>
      <c r="Z21" s="231"/>
      <c r="AA21" s="231"/>
      <c r="AB21" s="231"/>
      <c r="AC21" s="231"/>
      <c r="AD21" s="231"/>
      <c r="AE21" s="231"/>
      <c r="AF21" s="231"/>
      <c r="AG21" s="231"/>
      <c r="AH21" s="231"/>
      <c r="AI21" s="231"/>
      <c r="AJ21" s="231"/>
      <c r="AK21" s="231"/>
      <c r="AL21" s="231"/>
      <c r="AM21" s="231"/>
      <c r="AN21" s="231"/>
    </row>
    <row r="22" spans="1:40" s="203" customFormat="1" ht="18.75" customHeight="1">
      <c r="A22" s="32"/>
      <c r="B22" s="29"/>
      <c r="C22" s="29"/>
      <c r="D22" s="29"/>
      <c r="E22" s="29"/>
      <c r="F22" s="33">
        <v>1</v>
      </c>
      <c r="G22" s="34"/>
      <c r="H22" s="33">
        <v>2</v>
      </c>
      <c r="I22" s="34"/>
      <c r="J22" s="231"/>
      <c r="K22" s="231"/>
      <c r="L22" s="231"/>
      <c r="M22" s="231"/>
      <c r="N22" s="231"/>
      <c r="O22" s="231"/>
      <c r="P22" s="231"/>
      <c r="Q22" s="231"/>
      <c r="R22" s="231"/>
      <c r="S22" s="231"/>
      <c r="T22" s="231"/>
      <c r="U22" s="231"/>
      <c r="V22" s="231"/>
      <c r="W22" s="231"/>
      <c r="X22" s="231"/>
      <c r="Y22" s="231"/>
      <c r="Z22" s="231"/>
      <c r="AA22" s="231"/>
      <c r="AB22" s="231"/>
      <c r="AC22" s="231"/>
      <c r="AD22" s="231"/>
      <c r="AE22" s="231"/>
      <c r="AF22" s="231"/>
      <c r="AG22" s="231"/>
      <c r="AH22" s="231"/>
      <c r="AI22" s="231"/>
      <c r="AJ22" s="231"/>
      <c r="AK22" s="231"/>
      <c r="AL22" s="231"/>
      <c r="AM22" s="231"/>
      <c r="AN22" s="231"/>
    </row>
    <row r="23" spans="1:40" s="203" customFormat="1" ht="21.95" customHeight="1">
      <c r="A23" s="874" t="s">
        <v>30</v>
      </c>
      <c r="B23" s="875"/>
      <c r="C23" s="875"/>
      <c r="D23" s="875"/>
      <c r="E23" s="878" t="s">
        <v>376</v>
      </c>
      <c r="F23" s="856" t="s">
        <v>407</v>
      </c>
      <c r="G23" s="36"/>
      <c r="H23" s="878" t="s">
        <v>406</v>
      </c>
      <c r="I23" s="36"/>
      <c r="J23" s="231"/>
      <c r="K23" s="231"/>
      <c r="L23" s="231"/>
      <c r="M23" s="231"/>
      <c r="N23" s="231"/>
      <c r="O23" s="231"/>
      <c r="P23" s="231"/>
      <c r="Q23" s="231"/>
      <c r="R23" s="231"/>
      <c r="S23" s="231"/>
      <c r="T23" s="231"/>
      <c r="U23" s="231"/>
      <c r="V23" s="231"/>
      <c r="W23" s="231"/>
      <c r="X23" s="231"/>
      <c r="Y23" s="231"/>
      <c r="Z23" s="231"/>
      <c r="AA23" s="231"/>
      <c r="AB23" s="231"/>
      <c r="AC23" s="231"/>
      <c r="AD23" s="231"/>
      <c r="AE23" s="231"/>
      <c r="AF23" s="231"/>
      <c r="AG23" s="231"/>
      <c r="AH23" s="231"/>
      <c r="AI23" s="231"/>
      <c r="AJ23" s="231"/>
      <c r="AK23" s="231"/>
      <c r="AL23" s="231"/>
      <c r="AM23" s="231"/>
      <c r="AN23" s="231"/>
    </row>
    <row r="24" spans="1:40" s="203" customFormat="1" ht="21.95" customHeight="1">
      <c r="A24" s="876"/>
      <c r="B24" s="877"/>
      <c r="C24" s="877"/>
      <c r="D24" s="877"/>
      <c r="E24" s="879"/>
      <c r="F24" s="860"/>
      <c r="G24" s="23"/>
      <c r="H24" s="879"/>
      <c r="I24" s="36"/>
      <c r="J24" s="231"/>
      <c r="K24" s="231"/>
      <c r="L24" s="231"/>
      <c r="M24" s="231"/>
      <c r="N24" s="231"/>
      <c r="O24" s="231"/>
      <c r="P24" s="231"/>
      <c r="Q24" s="231"/>
      <c r="R24" s="231"/>
      <c r="S24" s="231"/>
      <c r="T24" s="231"/>
      <c r="U24" s="231"/>
      <c r="V24" s="231"/>
      <c r="W24" s="231"/>
      <c r="X24" s="231"/>
      <c r="Y24" s="231"/>
      <c r="Z24" s="231"/>
      <c r="AA24" s="231"/>
      <c r="AB24" s="231"/>
      <c r="AC24" s="231"/>
      <c r="AD24" s="231"/>
      <c r="AE24" s="231"/>
      <c r="AF24" s="231"/>
      <c r="AG24" s="231"/>
      <c r="AH24" s="231"/>
      <c r="AI24" s="231"/>
      <c r="AJ24" s="231"/>
      <c r="AK24" s="231"/>
      <c r="AL24" s="231"/>
      <c r="AM24" s="231"/>
      <c r="AN24" s="231"/>
    </row>
    <row r="25" spans="1:40" s="203" customFormat="1" ht="21.95" customHeight="1">
      <c r="A25" s="898" t="s">
        <v>48</v>
      </c>
      <c r="B25" s="901" t="s">
        <v>49</v>
      </c>
      <c r="C25" s="901"/>
      <c r="D25" s="902"/>
      <c r="E25" s="907" t="s">
        <v>50</v>
      </c>
      <c r="F25" s="909" t="s">
        <v>51</v>
      </c>
      <c r="G25" s="34"/>
      <c r="H25" s="907" t="s">
        <v>50</v>
      </c>
      <c r="I25" s="36"/>
      <c r="J25" s="231"/>
      <c r="K25" s="231"/>
      <c r="L25" s="231"/>
      <c r="M25" s="231"/>
      <c r="N25" s="231"/>
      <c r="O25" s="231"/>
      <c r="P25" s="231"/>
      <c r="Q25" s="231"/>
      <c r="R25" s="231"/>
      <c r="S25" s="231"/>
      <c r="T25" s="231"/>
      <c r="U25" s="231"/>
      <c r="V25" s="231"/>
      <c r="W25" s="231"/>
      <c r="X25" s="231"/>
      <c r="Y25" s="231"/>
      <c r="Z25" s="231"/>
      <c r="AA25" s="231"/>
      <c r="AB25" s="231"/>
      <c r="AC25" s="231"/>
      <c r="AD25" s="231"/>
      <c r="AE25" s="231"/>
      <c r="AF25" s="231"/>
      <c r="AG25" s="231"/>
      <c r="AH25" s="231"/>
      <c r="AI25" s="231"/>
      <c r="AJ25" s="231"/>
      <c r="AK25" s="231"/>
      <c r="AL25" s="231"/>
      <c r="AM25" s="231"/>
      <c r="AN25" s="231"/>
    </row>
    <row r="26" spans="1:40" s="203" customFormat="1" ht="21.95" customHeight="1">
      <c r="A26" s="899"/>
      <c r="B26" s="903"/>
      <c r="C26" s="903"/>
      <c r="D26" s="904"/>
      <c r="E26" s="908"/>
      <c r="F26" s="859"/>
      <c r="G26" s="34"/>
      <c r="H26" s="908"/>
      <c r="I26" s="36"/>
      <c r="J26" s="231"/>
      <c r="K26" s="231"/>
      <c r="L26" s="231"/>
      <c r="M26" s="231"/>
      <c r="N26" s="231"/>
      <c r="O26" s="231"/>
      <c r="P26" s="231"/>
      <c r="Q26" s="231"/>
      <c r="R26" s="231"/>
      <c r="S26" s="231"/>
      <c r="T26" s="231"/>
      <c r="U26" s="231"/>
      <c r="V26" s="231"/>
      <c r="W26" s="231"/>
      <c r="X26" s="231"/>
      <c r="Y26" s="231"/>
      <c r="Z26" s="231"/>
      <c r="AA26" s="231"/>
      <c r="AB26" s="231"/>
      <c r="AC26" s="231"/>
      <c r="AD26" s="231"/>
      <c r="AE26" s="231"/>
      <c r="AF26" s="231"/>
      <c r="AG26" s="231"/>
      <c r="AH26" s="231"/>
      <c r="AI26" s="231"/>
      <c r="AJ26" s="231"/>
      <c r="AK26" s="231"/>
      <c r="AL26" s="231"/>
      <c r="AM26" s="231"/>
      <c r="AN26" s="231"/>
    </row>
    <row r="27" spans="1:40" s="203" customFormat="1" ht="21.95" customHeight="1">
      <c r="A27" s="900"/>
      <c r="B27" s="905"/>
      <c r="C27" s="905"/>
      <c r="D27" s="906"/>
      <c r="E27" s="879"/>
      <c r="F27" s="860"/>
      <c r="G27" s="34"/>
      <c r="H27" s="879"/>
      <c r="I27" s="36"/>
      <c r="J27" s="231"/>
      <c r="K27" s="231"/>
      <c r="L27" s="231"/>
      <c r="M27" s="231"/>
      <c r="N27" s="231"/>
      <c r="O27" s="231"/>
      <c r="P27" s="231"/>
      <c r="Q27" s="231"/>
      <c r="R27" s="231"/>
      <c r="S27" s="231"/>
      <c r="T27" s="231"/>
      <c r="U27" s="231"/>
      <c r="V27" s="231"/>
      <c r="W27" s="231"/>
      <c r="X27" s="231"/>
      <c r="Y27" s="231"/>
      <c r="Z27" s="231"/>
      <c r="AA27" s="231"/>
      <c r="AB27" s="231"/>
      <c r="AC27" s="231"/>
      <c r="AD27" s="231"/>
      <c r="AE27" s="231"/>
      <c r="AF27" s="231"/>
      <c r="AG27" s="231"/>
      <c r="AH27" s="231"/>
      <c r="AI27" s="231"/>
      <c r="AJ27" s="231"/>
      <c r="AK27" s="231"/>
      <c r="AL27" s="231"/>
      <c r="AM27" s="231"/>
      <c r="AN27" s="231"/>
    </row>
    <row r="28" spans="1:40" s="203" customFormat="1">
      <c r="A28" s="38">
        <v>1</v>
      </c>
      <c r="B28" s="39" t="s">
        <v>52</v>
      </c>
      <c r="C28" s="39"/>
      <c r="D28" s="40"/>
      <c r="E28" s="41">
        <v>47125.653379859541</v>
      </c>
      <c r="F28" s="42">
        <f>F77</f>
        <v>50424</v>
      </c>
      <c r="G28" s="43"/>
      <c r="H28" s="44">
        <f>H77</f>
        <v>55504</v>
      </c>
      <c r="I28" s="43"/>
      <c r="J28" s="231"/>
      <c r="K28" s="231"/>
      <c r="L28" s="231"/>
      <c r="M28" s="231"/>
      <c r="N28" s="231"/>
      <c r="O28" s="231"/>
      <c r="P28" s="231"/>
      <c r="Q28" s="231"/>
      <c r="R28" s="231"/>
      <c r="S28" s="231"/>
      <c r="T28" s="231"/>
      <c r="U28" s="231"/>
      <c r="V28" s="231"/>
      <c r="W28" s="231"/>
      <c r="X28" s="231"/>
      <c r="Y28" s="231"/>
      <c r="Z28" s="231"/>
      <c r="AA28" s="231"/>
      <c r="AB28" s="231"/>
      <c r="AC28" s="231"/>
      <c r="AD28" s="231"/>
      <c r="AE28" s="231"/>
      <c r="AF28" s="231"/>
      <c r="AG28" s="231"/>
      <c r="AH28" s="231"/>
      <c r="AI28" s="231"/>
      <c r="AJ28" s="231"/>
      <c r="AK28" s="231"/>
      <c r="AL28" s="231"/>
      <c r="AM28" s="231"/>
      <c r="AN28" s="231"/>
    </row>
    <row r="29" spans="1:40" s="203" customFormat="1">
      <c r="A29" s="46">
        <v>2</v>
      </c>
      <c r="B29" s="47" t="s">
        <v>53</v>
      </c>
      <c r="C29" s="47"/>
      <c r="D29" s="48"/>
      <c r="E29" s="49">
        <v>32617.109086006087</v>
      </c>
      <c r="F29" s="50">
        <f>F105</f>
        <v>33328</v>
      </c>
      <c r="G29" s="43"/>
      <c r="H29" s="51">
        <f>H105</f>
        <v>32691</v>
      </c>
      <c r="I29" s="43"/>
      <c r="J29" s="231"/>
      <c r="K29" s="231"/>
      <c r="L29" s="231"/>
      <c r="M29" s="231"/>
      <c r="N29" s="231"/>
      <c r="O29" s="231"/>
      <c r="P29" s="231"/>
      <c r="Q29" s="231"/>
      <c r="R29" s="231"/>
      <c r="S29" s="231"/>
      <c r="T29" s="231"/>
      <c r="U29" s="231"/>
      <c r="V29" s="231"/>
      <c r="W29" s="231"/>
      <c r="X29" s="231"/>
      <c r="Y29" s="231"/>
      <c r="Z29" s="231"/>
      <c r="AA29" s="231"/>
      <c r="AB29" s="231"/>
      <c r="AC29" s="231"/>
      <c r="AD29" s="231"/>
      <c r="AE29" s="231"/>
      <c r="AF29" s="231"/>
      <c r="AG29" s="231"/>
      <c r="AH29" s="231"/>
      <c r="AI29" s="231"/>
      <c r="AJ29" s="231"/>
      <c r="AK29" s="231"/>
      <c r="AL29" s="231"/>
      <c r="AM29" s="231"/>
      <c r="AN29" s="231"/>
    </row>
    <row r="30" spans="1:40" s="203" customFormat="1">
      <c r="A30" s="46">
        <v>3</v>
      </c>
      <c r="B30" s="47" t="s">
        <v>54</v>
      </c>
      <c r="C30" s="47"/>
      <c r="D30" s="48"/>
      <c r="E30" s="49">
        <v>2934.1609954771625</v>
      </c>
      <c r="F30" s="50">
        <f>F180</f>
        <v>2703</v>
      </c>
      <c r="G30" s="43"/>
      <c r="H30" s="51">
        <f>H180</f>
        <v>2817</v>
      </c>
      <c r="I30" s="43"/>
      <c r="J30" s="231"/>
      <c r="K30" s="231"/>
      <c r="L30" s="231"/>
      <c r="M30" s="231"/>
      <c r="N30" s="231"/>
      <c r="O30" s="231"/>
      <c r="P30" s="231"/>
      <c r="Q30" s="231"/>
      <c r="R30" s="231"/>
      <c r="S30" s="231"/>
      <c r="T30" s="231"/>
      <c r="U30" s="231"/>
      <c r="V30" s="231"/>
      <c r="W30" s="231"/>
      <c r="X30" s="231"/>
      <c r="Y30" s="231"/>
      <c r="Z30" s="231"/>
      <c r="AA30" s="231"/>
      <c r="AB30" s="231"/>
      <c r="AC30" s="231"/>
      <c r="AD30" s="231"/>
      <c r="AE30" s="231"/>
      <c r="AF30" s="231"/>
      <c r="AG30" s="231"/>
      <c r="AH30" s="231"/>
      <c r="AI30" s="231"/>
      <c r="AJ30" s="231"/>
      <c r="AK30" s="231"/>
      <c r="AL30" s="231"/>
      <c r="AM30" s="231"/>
      <c r="AN30" s="231"/>
    </row>
    <row r="31" spans="1:40" s="203" customFormat="1">
      <c r="A31" s="46">
        <v>4</v>
      </c>
      <c r="B31" s="47" t="s">
        <v>55</v>
      </c>
      <c r="C31" s="47"/>
      <c r="D31" s="48"/>
      <c r="E31" s="49">
        <v>5738.572871522565</v>
      </c>
      <c r="F31" s="50">
        <f>F214</f>
        <v>5947</v>
      </c>
      <c r="G31" s="43"/>
      <c r="H31" s="51">
        <f>H214</f>
        <v>6219</v>
      </c>
      <c r="I31" s="43"/>
      <c r="J31" s="231"/>
      <c r="K31" s="231"/>
      <c r="L31" s="231"/>
      <c r="M31" s="231"/>
      <c r="N31" s="231"/>
      <c r="O31" s="231"/>
      <c r="P31" s="231"/>
      <c r="Q31" s="231"/>
      <c r="R31" s="231"/>
      <c r="S31" s="231"/>
      <c r="T31" s="231"/>
      <c r="U31" s="231"/>
      <c r="V31" s="231"/>
      <c r="W31" s="231"/>
      <c r="X31" s="231"/>
      <c r="Y31" s="231"/>
      <c r="Z31" s="231"/>
      <c r="AA31" s="231"/>
      <c r="AB31" s="231"/>
      <c r="AC31" s="231"/>
      <c r="AD31" s="231"/>
      <c r="AE31" s="231"/>
      <c r="AF31" s="231"/>
      <c r="AG31" s="231"/>
      <c r="AH31" s="231"/>
      <c r="AI31" s="231"/>
      <c r="AJ31" s="231"/>
      <c r="AK31" s="231"/>
      <c r="AL31" s="231"/>
      <c r="AM31" s="231"/>
      <c r="AN31" s="231"/>
    </row>
    <row r="32" spans="1:40" s="203" customFormat="1">
      <c r="A32" s="46">
        <v>5</v>
      </c>
      <c r="B32" s="47" t="s">
        <v>56</v>
      </c>
      <c r="C32" s="47"/>
      <c r="D32" s="48"/>
      <c r="E32" s="49">
        <v>1173.1374606135184</v>
      </c>
      <c r="F32" s="50">
        <f>F231</f>
        <v>1192</v>
      </c>
      <c r="G32" s="43"/>
      <c r="H32" s="51">
        <f>H231</f>
        <v>1287</v>
      </c>
      <c r="I32" s="43"/>
      <c r="J32" s="231"/>
      <c r="K32" s="231"/>
      <c r="L32" s="231"/>
      <c r="M32" s="231"/>
      <c r="N32" s="231"/>
      <c r="O32" s="231"/>
      <c r="P32" s="231"/>
      <c r="Q32" s="231"/>
      <c r="R32" s="231"/>
      <c r="S32" s="231"/>
      <c r="T32" s="231"/>
      <c r="U32" s="231"/>
      <c r="V32" s="231"/>
      <c r="W32" s="231"/>
      <c r="X32" s="231"/>
      <c r="Y32" s="231"/>
      <c r="Z32" s="231"/>
      <c r="AA32" s="231"/>
      <c r="AB32" s="231"/>
      <c r="AC32" s="231"/>
      <c r="AD32" s="231"/>
      <c r="AE32" s="231"/>
      <c r="AF32" s="231"/>
      <c r="AG32" s="231"/>
      <c r="AH32" s="231"/>
      <c r="AI32" s="231"/>
      <c r="AJ32" s="231"/>
      <c r="AK32" s="231"/>
      <c r="AL32" s="231"/>
      <c r="AM32" s="231"/>
      <c r="AN32" s="231"/>
    </row>
    <row r="33" spans="1:40" s="203" customFormat="1">
      <c r="A33" s="46">
        <v>6</v>
      </c>
      <c r="B33" s="47" t="s">
        <v>57</v>
      </c>
      <c r="C33" s="47"/>
      <c r="D33" s="48"/>
      <c r="E33" s="49">
        <v>4328.7386880090307</v>
      </c>
      <c r="F33" s="50">
        <f>F257</f>
        <v>4296</v>
      </c>
      <c r="G33" s="43"/>
      <c r="H33" s="51">
        <f>H257</f>
        <v>4061</v>
      </c>
      <c r="I33" s="43"/>
      <c r="J33" s="231"/>
      <c r="K33" s="231"/>
      <c r="L33" s="231"/>
      <c r="M33" s="231"/>
      <c r="N33" s="231"/>
      <c r="O33" s="231"/>
      <c r="P33" s="231"/>
      <c r="Q33" s="231"/>
      <c r="R33" s="231"/>
      <c r="S33" s="231"/>
      <c r="T33" s="231"/>
      <c r="U33" s="231"/>
      <c r="V33" s="231"/>
      <c r="W33" s="231"/>
      <c r="X33" s="231"/>
      <c r="Y33" s="231"/>
      <c r="Z33" s="231"/>
      <c r="AA33" s="231"/>
      <c r="AB33" s="231"/>
      <c r="AC33" s="231"/>
      <c r="AD33" s="231"/>
      <c r="AE33" s="231"/>
      <c r="AF33" s="231"/>
      <c r="AG33" s="231"/>
      <c r="AH33" s="231"/>
      <c r="AI33" s="231"/>
      <c r="AJ33" s="231"/>
      <c r="AK33" s="231"/>
      <c r="AL33" s="231"/>
      <c r="AM33" s="231"/>
      <c r="AN33" s="231"/>
    </row>
    <row r="34" spans="1:40" s="203" customFormat="1">
      <c r="A34" s="46">
        <v>7</v>
      </c>
      <c r="B34" s="47" t="s">
        <v>58</v>
      </c>
      <c r="C34" s="47"/>
      <c r="D34" s="48"/>
      <c r="E34" s="49">
        <v>1674.94134143877</v>
      </c>
      <c r="F34" s="50">
        <f>F277</f>
        <v>783</v>
      </c>
      <c r="G34" s="43"/>
      <c r="H34" s="50">
        <f>H277</f>
        <v>1234</v>
      </c>
      <c r="I34" s="43"/>
      <c r="J34" s="231"/>
      <c r="K34" s="231"/>
      <c r="L34" s="231"/>
      <c r="M34" s="231"/>
      <c r="N34" s="231"/>
      <c r="O34" s="231"/>
      <c r="P34" s="231"/>
      <c r="Q34" s="231"/>
      <c r="R34" s="231"/>
      <c r="S34" s="231"/>
      <c r="T34" s="231"/>
      <c r="U34" s="231"/>
      <c r="V34" s="231"/>
      <c r="W34" s="231"/>
      <c r="X34" s="231"/>
      <c r="Y34" s="231"/>
      <c r="Z34" s="231"/>
      <c r="AA34" s="231"/>
      <c r="AB34" s="231"/>
      <c r="AC34" s="231"/>
      <c r="AD34" s="231"/>
      <c r="AE34" s="231"/>
      <c r="AF34" s="231"/>
      <c r="AG34" s="231"/>
      <c r="AH34" s="231"/>
      <c r="AI34" s="231"/>
      <c r="AJ34" s="231"/>
      <c r="AK34" s="231"/>
      <c r="AL34" s="231"/>
      <c r="AM34" s="231"/>
      <c r="AN34" s="231"/>
    </row>
    <row r="35" spans="1:40" s="203" customFormat="1">
      <c r="A35" s="46">
        <v>8</v>
      </c>
      <c r="B35" s="47" t="s">
        <v>59</v>
      </c>
      <c r="C35" s="47"/>
      <c r="D35" s="48"/>
      <c r="E35" s="49">
        <v>5054.2797425927938</v>
      </c>
      <c r="F35" s="50">
        <f>F302</f>
        <v>4937</v>
      </c>
      <c r="G35" s="43"/>
      <c r="H35" s="50">
        <f>H302</f>
        <v>4642</v>
      </c>
      <c r="I35" s="21"/>
      <c r="J35" s="231"/>
      <c r="K35" s="231"/>
      <c r="L35" s="231"/>
      <c r="M35" s="231"/>
      <c r="N35" s="231"/>
      <c r="O35" s="231"/>
      <c r="P35" s="231"/>
      <c r="Q35" s="231"/>
      <c r="R35" s="231"/>
      <c r="S35" s="231"/>
      <c r="T35" s="231"/>
      <c r="U35" s="231"/>
      <c r="V35" s="231"/>
      <c r="W35" s="231"/>
      <c r="X35" s="231"/>
      <c r="Y35" s="231"/>
      <c r="Z35" s="231"/>
      <c r="AA35" s="231"/>
      <c r="AB35" s="231"/>
      <c r="AC35" s="231"/>
      <c r="AD35" s="231"/>
      <c r="AE35" s="231"/>
      <c r="AF35" s="231"/>
      <c r="AG35" s="231"/>
      <c r="AH35" s="231"/>
      <c r="AI35" s="231"/>
      <c r="AJ35" s="231"/>
      <c r="AK35" s="231"/>
      <c r="AL35" s="231"/>
      <c r="AM35" s="231"/>
      <c r="AN35" s="231"/>
    </row>
    <row r="36" spans="1:40" s="203" customFormat="1">
      <c r="A36" s="46">
        <v>9</v>
      </c>
      <c r="B36" s="47" t="s">
        <v>60</v>
      </c>
      <c r="C36" s="47"/>
      <c r="D36" s="48"/>
      <c r="E36" s="49">
        <v>0</v>
      </c>
      <c r="F36" s="52"/>
      <c r="G36" s="43"/>
      <c r="H36" s="52"/>
      <c r="I36" s="21"/>
      <c r="J36" s="231"/>
      <c r="K36" s="231"/>
      <c r="L36" s="231"/>
      <c r="M36" s="231"/>
      <c r="N36" s="231"/>
      <c r="O36" s="231"/>
      <c r="P36" s="231"/>
      <c r="Q36" s="231"/>
      <c r="R36" s="231"/>
      <c r="S36" s="231"/>
      <c r="T36" s="231"/>
      <c r="U36" s="231"/>
      <c r="V36" s="231"/>
      <c r="W36" s="231"/>
      <c r="X36" s="231"/>
      <c r="Y36" s="231"/>
      <c r="Z36" s="231"/>
      <c r="AA36" s="231"/>
      <c r="AB36" s="231"/>
      <c r="AC36" s="231"/>
      <c r="AD36" s="231"/>
      <c r="AE36" s="231"/>
      <c r="AF36" s="231"/>
      <c r="AG36" s="231"/>
      <c r="AH36" s="231"/>
      <c r="AI36" s="231"/>
      <c r="AJ36" s="231"/>
      <c r="AK36" s="231"/>
      <c r="AL36" s="231"/>
      <c r="AM36" s="231"/>
      <c r="AN36" s="231"/>
    </row>
    <row r="37" spans="1:40" s="203" customFormat="1">
      <c r="A37" s="53">
        <v>10</v>
      </c>
      <c r="B37" s="54" t="s">
        <v>61</v>
      </c>
      <c r="C37" s="54"/>
      <c r="D37" s="55"/>
      <c r="E37" s="56">
        <v>17926.587164276483</v>
      </c>
      <c r="F37" s="57">
        <f>F320</f>
        <v>17807</v>
      </c>
      <c r="G37" s="43"/>
      <c r="H37" s="57">
        <f>H320</f>
        <v>16976</v>
      </c>
      <c r="I37" s="21"/>
      <c r="J37" s="231"/>
      <c r="K37" s="231"/>
      <c r="L37" s="231"/>
      <c r="M37" s="231"/>
      <c r="N37" s="231"/>
      <c r="O37" s="231"/>
      <c r="P37" s="231"/>
      <c r="Q37" s="231"/>
      <c r="R37" s="231"/>
      <c r="S37" s="231"/>
      <c r="T37" s="231"/>
      <c r="U37" s="231"/>
      <c r="V37" s="231"/>
      <c r="W37" s="231"/>
      <c r="X37" s="231"/>
      <c r="Y37" s="231"/>
      <c r="Z37" s="231"/>
      <c r="AA37" s="231"/>
      <c r="AB37" s="231"/>
      <c r="AC37" s="231"/>
      <c r="AD37" s="231"/>
      <c r="AE37" s="231"/>
      <c r="AF37" s="231"/>
      <c r="AG37" s="231"/>
      <c r="AH37" s="231"/>
      <c r="AI37" s="231"/>
      <c r="AJ37" s="231"/>
      <c r="AK37" s="231"/>
      <c r="AL37" s="231"/>
      <c r="AM37" s="231"/>
      <c r="AN37" s="231"/>
    </row>
    <row r="38" spans="1:40" s="203" customFormat="1">
      <c r="A38" s="33">
        <v>11</v>
      </c>
      <c r="B38" s="58" t="s">
        <v>62</v>
      </c>
      <c r="C38" s="58"/>
      <c r="D38" s="59"/>
      <c r="E38" s="60">
        <v>118573.18072979596</v>
      </c>
      <c r="F38" s="61">
        <f>SUM(F28:F37)</f>
        <v>121417</v>
      </c>
      <c r="G38" s="43"/>
      <c r="H38" s="61">
        <f>SUM(H28:H37)</f>
        <v>125431</v>
      </c>
      <c r="I38" s="68"/>
      <c r="J38" s="231"/>
      <c r="K38" s="231"/>
      <c r="L38" s="231"/>
      <c r="M38" s="231"/>
      <c r="N38" s="231"/>
      <c r="O38" s="231"/>
      <c r="P38" s="231"/>
      <c r="Q38" s="231"/>
      <c r="R38" s="231"/>
      <c r="S38" s="231"/>
      <c r="T38" s="231"/>
      <c r="U38" s="231"/>
      <c r="V38" s="231"/>
      <c r="W38" s="231"/>
      <c r="X38" s="231"/>
      <c r="Y38" s="231"/>
      <c r="Z38" s="231"/>
      <c r="AA38" s="231"/>
      <c r="AB38" s="231"/>
      <c r="AC38" s="231"/>
      <c r="AD38" s="231"/>
      <c r="AE38" s="231"/>
      <c r="AF38" s="231"/>
      <c r="AG38" s="231"/>
      <c r="AH38" s="231"/>
      <c r="AI38" s="231"/>
      <c r="AJ38" s="231"/>
      <c r="AK38" s="231"/>
      <c r="AL38" s="231"/>
      <c r="AM38" s="231"/>
      <c r="AN38" s="231"/>
    </row>
    <row r="39" spans="1:40" s="203" customFormat="1" ht="12.75" customHeight="1">
      <c r="A39" s="63"/>
      <c r="B39" s="64"/>
      <c r="C39" s="64"/>
      <c r="D39" s="65"/>
      <c r="E39" s="66"/>
      <c r="F39" s="67"/>
      <c r="G39" s="21"/>
      <c r="H39" s="67"/>
      <c r="I39" s="68"/>
      <c r="J39" s="231"/>
      <c r="K39" s="231"/>
      <c r="L39" s="231"/>
      <c r="M39" s="231"/>
      <c r="N39" s="231"/>
      <c r="O39" s="231"/>
      <c r="P39" s="231"/>
      <c r="Q39" s="231"/>
      <c r="R39" s="231"/>
      <c r="S39" s="231"/>
      <c r="T39" s="231"/>
      <c r="U39" s="231"/>
      <c r="V39" s="231"/>
      <c r="W39" s="231"/>
      <c r="X39" s="231"/>
      <c r="Y39" s="231"/>
      <c r="Z39" s="231"/>
      <c r="AA39" s="231"/>
      <c r="AB39" s="231"/>
      <c r="AC39" s="231"/>
      <c r="AD39" s="231"/>
      <c r="AE39" s="231"/>
      <c r="AF39" s="231"/>
      <c r="AG39" s="231"/>
      <c r="AH39" s="231"/>
      <c r="AI39" s="231"/>
      <c r="AJ39" s="231"/>
      <c r="AK39" s="231"/>
      <c r="AL39" s="231"/>
      <c r="AM39" s="231"/>
      <c r="AN39" s="231"/>
    </row>
    <row r="40" spans="1:40" s="203" customFormat="1" ht="12.75" customHeight="1">
      <c r="A40" s="893" t="s">
        <v>63</v>
      </c>
      <c r="B40" s="894"/>
      <c r="C40" s="894"/>
      <c r="D40" s="895"/>
      <c r="E40" s="878" t="s">
        <v>376</v>
      </c>
      <c r="F40" s="856" t="s">
        <v>407</v>
      </c>
      <c r="G40" s="36"/>
      <c r="H40" s="878" t="s">
        <v>406</v>
      </c>
      <c r="I40" s="43"/>
      <c r="J40" s="231"/>
      <c r="K40" s="231"/>
      <c r="L40" s="231"/>
      <c r="M40" s="231"/>
      <c r="N40" s="231"/>
      <c r="O40" s="231"/>
      <c r="P40" s="231"/>
      <c r="Q40" s="231"/>
      <c r="R40" s="231"/>
      <c r="S40" s="231"/>
      <c r="T40" s="231"/>
      <c r="U40" s="231"/>
      <c r="V40" s="231"/>
      <c r="W40" s="231"/>
      <c r="X40" s="231"/>
      <c r="Y40" s="231"/>
      <c r="Z40" s="231"/>
      <c r="AA40" s="231"/>
      <c r="AB40" s="231"/>
      <c r="AC40" s="231"/>
      <c r="AD40" s="231"/>
      <c r="AE40" s="231"/>
      <c r="AF40" s="231"/>
      <c r="AG40" s="231"/>
      <c r="AH40" s="231"/>
      <c r="AI40" s="231"/>
      <c r="AJ40" s="231"/>
      <c r="AK40" s="231"/>
      <c r="AL40" s="231"/>
      <c r="AM40" s="231"/>
      <c r="AN40" s="231"/>
    </row>
    <row r="41" spans="1:40" s="203" customFormat="1" ht="27.75" customHeight="1">
      <c r="A41" s="876"/>
      <c r="B41" s="877"/>
      <c r="C41" s="877"/>
      <c r="D41" s="896"/>
      <c r="E41" s="879"/>
      <c r="F41" s="860"/>
      <c r="G41" s="23"/>
      <c r="H41" s="879"/>
      <c r="I41" s="43"/>
      <c r="J41" s="231"/>
      <c r="K41" s="231"/>
      <c r="L41" s="231"/>
      <c r="M41" s="231"/>
      <c r="N41" s="231"/>
      <c r="O41" s="231"/>
      <c r="P41" s="231"/>
      <c r="Q41" s="231"/>
      <c r="R41" s="231"/>
      <c r="S41" s="231"/>
      <c r="T41" s="231"/>
      <c r="U41" s="231"/>
      <c r="V41" s="231"/>
      <c r="W41" s="231"/>
      <c r="X41" s="231"/>
      <c r="Y41" s="231"/>
      <c r="Z41" s="231"/>
      <c r="AA41" s="231"/>
      <c r="AB41" s="231"/>
      <c r="AC41" s="231"/>
      <c r="AD41" s="231"/>
      <c r="AE41" s="231"/>
      <c r="AF41" s="231"/>
      <c r="AG41" s="231"/>
      <c r="AH41" s="231"/>
      <c r="AI41" s="231"/>
      <c r="AJ41" s="231"/>
      <c r="AK41" s="231"/>
      <c r="AL41" s="231"/>
      <c r="AM41" s="231"/>
      <c r="AN41" s="231"/>
    </row>
    <row r="42" spans="1:40" s="203" customFormat="1">
      <c r="A42" s="742" t="s">
        <v>64</v>
      </c>
      <c r="B42" s="69" t="s">
        <v>65</v>
      </c>
      <c r="C42" s="69"/>
      <c r="D42" s="70"/>
      <c r="E42" s="71"/>
      <c r="F42" s="72" t="str">
        <f>IF(OR(F43&lt;0,F44&lt;0,F47&lt;0,F48&lt;0,H43&lt;0,H44&lt;0,H47&lt;0,H48&lt;0),"Funding should be recorded as positive figures",".")</f>
        <v>.</v>
      </c>
      <c r="G42" s="45"/>
      <c r="H42" s="73"/>
      <c r="I42" s="43"/>
      <c r="J42" s="231"/>
      <c r="K42" s="231"/>
      <c r="L42" s="231"/>
      <c r="M42" s="231"/>
      <c r="N42" s="231"/>
      <c r="O42" s="231"/>
      <c r="P42" s="231"/>
      <c r="Q42" s="231"/>
      <c r="R42" s="231"/>
      <c r="S42" s="231"/>
      <c r="T42" s="231"/>
      <c r="U42" s="231"/>
      <c r="V42" s="231"/>
      <c r="W42" s="231"/>
      <c r="X42" s="231"/>
      <c r="Y42" s="231"/>
      <c r="Z42" s="231"/>
      <c r="AA42" s="231"/>
      <c r="AB42" s="231"/>
      <c r="AC42" s="231"/>
      <c r="AD42" s="231"/>
      <c r="AE42" s="231"/>
      <c r="AF42" s="231"/>
      <c r="AG42" s="231"/>
      <c r="AH42" s="231"/>
      <c r="AI42" s="231"/>
      <c r="AJ42" s="231"/>
      <c r="AK42" s="231"/>
      <c r="AL42" s="231"/>
      <c r="AM42" s="231"/>
      <c r="AN42" s="231"/>
    </row>
    <row r="43" spans="1:40" s="203" customFormat="1">
      <c r="A43" s="46">
        <v>1</v>
      </c>
      <c r="B43" s="47" t="s">
        <v>66</v>
      </c>
      <c r="C43" s="47"/>
      <c r="D43" s="48"/>
      <c r="E43" s="74">
        <v>76323</v>
      </c>
      <c r="F43" s="241">
        <v>77472.000000000015</v>
      </c>
      <c r="G43" s="45"/>
      <c r="H43" s="75">
        <v>77926</v>
      </c>
      <c r="I43" s="43"/>
      <c r="J43" s="231"/>
      <c r="K43" s="231"/>
      <c r="L43" s="231"/>
      <c r="M43" s="231"/>
      <c r="N43" s="231"/>
      <c r="O43" s="231"/>
      <c r="P43" s="231"/>
      <c r="Q43" s="231"/>
      <c r="R43" s="231"/>
      <c r="S43" s="231"/>
      <c r="T43" s="231"/>
      <c r="U43" s="231"/>
      <c r="V43" s="231"/>
      <c r="W43" s="231"/>
      <c r="X43" s="231"/>
      <c r="Y43" s="231"/>
      <c r="Z43" s="231"/>
      <c r="AA43" s="231"/>
      <c r="AB43" s="231"/>
      <c r="AC43" s="231"/>
      <c r="AD43" s="231"/>
      <c r="AE43" s="231"/>
      <c r="AF43" s="231"/>
      <c r="AG43" s="231"/>
      <c r="AH43" s="231"/>
      <c r="AI43" s="231"/>
      <c r="AJ43" s="231"/>
      <c r="AK43" s="231"/>
      <c r="AL43" s="231"/>
      <c r="AM43" s="231"/>
      <c r="AN43" s="231"/>
    </row>
    <row r="44" spans="1:40" s="203" customFormat="1">
      <c r="A44" s="46">
        <v>2</v>
      </c>
      <c r="B44" s="47" t="s">
        <v>67</v>
      </c>
      <c r="C44" s="47"/>
      <c r="D44" s="48"/>
      <c r="E44" s="49">
        <v>15326</v>
      </c>
      <c r="F44" s="241">
        <v>15326</v>
      </c>
      <c r="G44" s="45"/>
      <c r="H44" s="75">
        <v>17315</v>
      </c>
      <c r="I44" s="43"/>
      <c r="J44" s="231"/>
      <c r="K44" s="231"/>
      <c r="L44" s="231"/>
      <c r="M44" s="231"/>
      <c r="N44" s="231"/>
      <c r="O44" s="231"/>
      <c r="P44" s="231"/>
      <c r="Q44" s="231"/>
      <c r="R44" s="231"/>
      <c r="S44" s="231"/>
      <c r="T44" s="231"/>
      <c r="U44" s="231"/>
      <c r="V44" s="231"/>
      <c r="W44" s="231"/>
      <c r="X44" s="231"/>
      <c r="Y44" s="231"/>
      <c r="Z44" s="231"/>
      <c r="AA44" s="231"/>
      <c r="AB44" s="231"/>
      <c r="AC44" s="231"/>
      <c r="AD44" s="231"/>
      <c r="AE44" s="231"/>
      <c r="AF44" s="231"/>
      <c r="AG44" s="231"/>
      <c r="AH44" s="231"/>
      <c r="AI44" s="231"/>
      <c r="AJ44" s="231"/>
      <c r="AK44" s="231"/>
      <c r="AL44" s="231"/>
      <c r="AM44" s="231"/>
      <c r="AN44" s="231"/>
    </row>
    <row r="45" spans="1:40" s="203" customFormat="1">
      <c r="A45" s="46">
        <v>3</v>
      </c>
      <c r="B45" s="47" t="s">
        <v>68</v>
      </c>
      <c r="C45" s="47"/>
      <c r="D45" s="48"/>
      <c r="E45" s="49">
        <v>0</v>
      </c>
      <c r="F45" s="52"/>
      <c r="G45" s="45"/>
      <c r="H45" s="75"/>
      <c r="I45" s="43"/>
      <c r="J45" s="231"/>
      <c r="K45" s="231"/>
      <c r="L45" s="231"/>
      <c r="M45" s="231"/>
      <c r="N45" s="231"/>
      <c r="O45" s="231"/>
      <c r="P45" s="231"/>
      <c r="Q45" s="231"/>
      <c r="R45" s="231"/>
      <c r="S45" s="231"/>
      <c r="T45" s="231"/>
      <c r="U45" s="231"/>
      <c r="V45" s="231"/>
      <c r="W45" s="231"/>
      <c r="X45" s="231"/>
      <c r="Y45" s="231"/>
      <c r="Z45" s="231"/>
      <c r="AA45" s="231"/>
      <c r="AB45" s="231"/>
      <c r="AC45" s="231"/>
      <c r="AD45" s="231"/>
      <c r="AE45" s="231"/>
      <c r="AF45" s="231"/>
      <c r="AG45" s="231"/>
      <c r="AH45" s="231"/>
      <c r="AI45" s="231"/>
      <c r="AJ45" s="231"/>
      <c r="AK45" s="231"/>
      <c r="AL45" s="231"/>
      <c r="AM45" s="231"/>
      <c r="AN45" s="231"/>
    </row>
    <row r="46" spans="1:40" s="203" customFormat="1">
      <c r="A46" s="46">
        <v>4</v>
      </c>
      <c r="B46" s="47" t="s">
        <v>70</v>
      </c>
      <c r="C46" s="47"/>
      <c r="D46" s="48"/>
      <c r="E46" s="49">
        <v>0</v>
      </c>
      <c r="F46" s="52"/>
      <c r="G46" s="45"/>
      <c r="H46" s="75"/>
      <c r="I46" s="43"/>
      <c r="J46" s="231"/>
      <c r="K46" s="231"/>
      <c r="L46" s="231"/>
      <c r="M46" s="231"/>
      <c r="N46" s="231"/>
      <c r="O46" s="231"/>
      <c r="P46" s="231"/>
      <c r="Q46" s="231"/>
      <c r="R46" s="231"/>
      <c r="S46" s="231"/>
      <c r="T46" s="231"/>
      <c r="U46" s="231"/>
      <c r="V46" s="231"/>
      <c r="W46" s="231"/>
      <c r="X46" s="231"/>
      <c r="Y46" s="231"/>
      <c r="Z46" s="231"/>
      <c r="AA46" s="231"/>
      <c r="AB46" s="231"/>
      <c r="AC46" s="231"/>
      <c r="AD46" s="231"/>
      <c r="AE46" s="231"/>
      <c r="AF46" s="231"/>
      <c r="AG46" s="231"/>
      <c r="AH46" s="231"/>
      <c r="AI46" s="231"/>
      <c r="AJ46" s="231"/>
      <c r="AK46" s="231"/>
      <c r="AL46" s="231"/>
      <c r="AM46" s="231"/>
      <c r="AN46" s="231"/>
    </row>
    <row r="47" spans="1:40" s="203" customFormat="1">
      <c r="A47" s="46">
        <v>5</v>
      </c>
      <c r="B47" s="47" t="s">
        <v>69</v>
      </c>
      <c r="C47" s="47"/>
      <c r="D47" s="48"/>
      <c r="E47" s="49">
        <v>4088</v>
      </c>
      <c r="F47" s="52">
        <v>2939</v>
      </c>
      <c r="G47" s="45"/>
      <c r="H47" s="76">
        <v>5161</v>
      </c>
      <c r="I47" s="43"/>
      <c r="J47" s="231"/>
      <c r="K47" s="231"/>
      <c r="L47" s="231"/>
      <c r="M47" s="231"/>
      <c r="N47" s="231"/>
      <c r="O47" s="231"/>
      <c r="P47" s="231"/>
      <c r="Q47" s="231"/>
      <c r="R47" s="231"/>
      <c r="S47" s="231"/>
      <c r="T47" s="231"/>
      <c r="U47" s="231"/>
      <c r="V47" s="231"/>
      <c r="W47" s="231"/>
      <c r="X47" s="231"/>
      <c r="Y47" s="231"/>
      <c r="Z47" s="231"/>
      <c r="AA47" s="231"/>
      <c r="AB47" s="231"/>
      <c r="AC47" s="231"/>
      <c r="AD47" s="231"/>
      <c r="AE47" s="231"/>
      <c r="AF47" s="231"/>
      <c r="AG47" s="231"/>
      <c r="AH47" s="231"/>
      <c r="AI47" s="231"/>
      <c r="AJ47" s="231"/>
      <c r="AK47" s="231"/>
      <c r="AL47" s="231"/>
      <c r="AM47" s="231"/>
      <c r="AN47" s="231"/>
    </row>
    <row r="48" spans="1:40" s="203" customFormat="1">
      <c r="A48" s="46">
        <v>6</v>
      </c>
      <c r="B48" s="90" t="s">
        <v>253</v>
      </c>
      <c r="C48" s="47"/>
      <c r="D48" s="195"/>
      <c r="E48" s="49">
        <v>21431</v>
      </c>
      <c r="F48" s="52">
        <v>21431</v>
      </c>
      <c r="G48" s="45"/>
      <c r="H48" s="52">
        <v>22988</v>
      </c>
      <c r="I48" s="43"/>
      <c r="J48" s="231"/>
      <c r="K48" s="231"/>
      <c r="L48" s="231"/>
      <c r="M48" s="231"/>
      <c r="N48" s="231"/>
      <c r="O48" s="231"/>
      <c r="P48" s="231"/>
      <c r="Q48" s="231"/>
      <c r="R48" s="231"/>
      <c r="S48" s="231"/>
      <c r="T48" s="231"/>
      <c r="U48" s="231"/>
      <c r="V48" s="231"/>
      <c r="W48" s="231"/>
      <c r="X48" s="231"/>
      <c r="Y48" s="231"/>
      <c r="Z48" s="231"/>
      <c r="AA48" s="231"/>
      <c r="AB48" s="231"/>
      <c r="AC48" s="231"/>
      <c r="AD48" s="231"/>
      <c r="AE48" s="231"/>
      <c r="AF48" s="231"/>
      <c r="AG48" s="231"/>
      <c r="AH48" s="231"/>
      <c r="AI48" s="231"/>
      <c r="AJ48" s="231"/>
      <c r="AK48" s="231"/>
      <c r="AL48" s="231"/>
      <c r="AM48" s="231"/>
      <c r="AN48" s="231"/>
    </row>
    <row r="49" spans="1:40" s="203" customFormat="1">
      <c r="A49" s="77">
        <v>7</v>
      </c>
      <c r="B49" s="78" t="s">
        <v>71</v>
      </c>
      <c r="C49" s="58"/>
      <c r="D49" s="79"/>
      <c r="E49" s="80">
        <v>117168</v>
      </c>
      <c r="F49" s="81">
        <f>SUM(F43:F48)</f>
        <v>117168.00000000001</v>
      </c>
      <c r="G49" s="82"/>
      <c r="H49" s="62">
        <f>SUM(H43:H48)</f>
        <v>123390</v>
      </c>
      <c r="I49" s="242"/>
      <c r="J49" s="231"/>
      <c r="K49" s="231"/>
      <c r="L49" s="231"/>
      <c r="M49" s="231"/>
      <c r="N49" s="231"/>
      <c r="O49" s="231"/>
      <c r="P49" s="231"/>
      <c r="Q49" s="231"/>
      <c r="R49" s="231"/>
      <c r="S49" s="231"/>
      <c r="T49" s="231"/>
      <c r="U49" s="231"/>
      <c r="V49" s="231"/>
      <c r="W49" s="231"/>
      <c r="X49" s="231"/>
      <c r="Y49" s="231"/>
      <c r="Z49" s="231"/>
      <c r="AA49" s="231"/>
      <c r="AB49" s="231"/>
      <c r="AC49" s="231"/>
      <c r="AD49" s="231"/>
      <c r="AE49" s="231"/>
      <c r="AF49" s="231"/>
      <c r="AG49" s="231"/>
      <c r="AH49" s="231"/>
      <c r="AI49" s="231"/>
      <c r="AJ49" s="231"/>
      <c r="AK49" s="231"/>
      <c r="AL49" s="231"/>
      <c r="AM49" s="231"/>
      <c r="AN49" s="231"/>
    </row>
    <row r="50" spans="1:40" s="203" customFormat="1">
      <c r="A50" s="83"/>
      <c r="B50" s="244"/>
      <c r="C50" s="244"/>
      <c r="D50" s="244"/>
      <c r="E50" s="85"/>
      <c r="F50" s="244"/>
      <c r="G50" s="86"/>
      <c r="H50" s="86"/>
      <c r="I50" s="21"/>
      <c r="J50" s="231"/>
      <c r="K50" s="231"/>
      <c r="L50" s="231"/>
      <c r="M50" s="231"/>
      <c r="N50" s="231"/>
      <c r="O50" s="231"/>
      <c r="P50" s="231"/>
      <c r="Q50" s="231"/>
      <c r="R50" s="231"/>
      <c r="S50" s="231"/>
      <c r="T50" s="231"/>
      <c r="U50" s="231"/>
      <c r="V50" s="231"/>
      <c r="W50" s="231"/>
      <c r="X50" s="231"/>
      <c r="Y50" s="231"/>
      <c r="Z50" s="231"/>
      <c r="AA50" s="231"/>
      <c r="AB50" s="231"/>
      <c r="AC50" s="231"/>
      <c r="AD50" s="231"/>
      <c r="AE50" s="231"/>
      <c r="AF50" s="231"/>
      <c r="AG50" s="231"/>
      <c r="AH50" s="231"/>
      <c r="AI50" s="231"/>
      <c r="AJ50" s="231"/>
      <c r="AK50" s="231"/>
      <c r="AL50" s="231"/>
      <c r="AM50" s="231"/>
      <c r="AN50" s="231"/>
    </row>
    <row r="51" spans="1:40" s="203" customFormat="1">
      <c r="A51" s="742" t="s">
        <v>72</v>
      </c>
      <c r="B51" s="196" t="s">
        <v>254</v>
      </c>
      <c r="C51" s="69"/>
      <c r="D51" s="70"/>
      <c r="E51" s="87"/>
      <c r="F51" s="88"/>
      <c r="G51" s="45"/>
      <c r="H51" s="89"/>
      <c r="I51" s="43"/>
      <c r="J51" s="231"/>
      <c r="K51" s="231"/>
      <c r="L51" s="231"/>
      <c r="M51" s="231"/>
      <c r="N51" s="231"/>
      <c r="O51" s="231"/>
      <c r="P51" s="231"/>
      <c r="Q51" s="231"/>
      <c r="R51" s="231"/>
      <c r="S51" s="231"/>
      <c r="T51" s="231"/>
      <c r="U51" s="231"/>
      <c r="V51" s="231"/>
      <c r="W51" s="231"/>
      <c r="X51" s="231"/>
      <c r="Y51" s="231"/>
      <c r="Z51" s="231"/>
      <c r="AA51" s="231"/>
      <c r="AB51" s="231"/>
      <c r="AC51" s="231"/>
      <c r="AD51" s="231"/>
      <c r="AE51" s="231"/>
      <c r="AF51" s="231"/>
      <c r="AG51" s="231"/>
      <c r="AH51" s="231"/>
      <c r="AI51" s="231"/>
      <c r="AJ51" s="231"/>
      <c r="AK51" s="231"/>
      <c r="AL51" s="231"/>
      <c r="AM51" s="231"/>
      <c r="AN51" s="231"/>
    </row>
    <row r="52" spans="1:40" s="203" customFormat="1">
      <c r="A52" s="46">
        <v>8</v>
      </c>
      <c r="B52" s="90" t="s">
        <v>73</v>
      </c>
      <c r="C52" s="47"/>
      <c r="D52" s="48"/>
      <c r="E52" s="74">
        <v>118573.18072979596</v>
      </c>
      <c r="F52" s="50">
        <f>F38</f>
        <v>121417</v>
      </c>
      <c r="G52" s="45"/>
      <c r="H52" s="91">
        <f>H38</f>
        <v>125431</v>
      </c>
      <c r="I52" s="43"/>
      <c r="J52" s="231"/>
      <c r="K52" s="231"/>
      <c r="L52" s="231"/>
      <c r="M52" s="231"/>
      <c r="N52" s="231"/>
      <c r="O52" s="231"/>
      <c r="P52" s="231"/>
      <c r="Q52" s="231"/>
      <c r="R52" s="231"/>
      <c r="S52" s="231"/>
      <c r="T52" s="231"/>
      <c r="U52" s="231"/>
      <c r="V52" s="231"/>
      <c r="W52" s="231"/>
      <c r="X52" s="231"/>
      <c r="Y52" s="231"/>
      <c r="Z52" s="231"/>
      <c r="AA52" s="231"/>
      <c r="AB52" s="231"/>
      <c r="AC52" s="231"/>
      <c r="AD52" s="231"/>
      <c r="AE52" s="231"/>
      <c r="AF52" s="231"/>
      <c r="AG52" s="231"/>
      <c r="AH52" s="231"/>
      <c r="AI52" s="231"/>
      <c r="AJ52" s="231"/>
      <c r="AK52" s="231"/>
      <c r="AL52" s="231"/>
      <c r="AM52" s="231"/>
      <c r="AN52" s="231"/>
    </row>
    <row r="53" spans="1:40" s="203" customFormat="1">
      <c r="A53" s="46">
        <v>9</v>
      </c>
      <c r="B53" s="90" t="s">
        <v>74</v>
      </c>
      <c r="C53" s="47"/>
      <c r="D53" s="48"/>
      <c r="E53" s="49">
        <v>117168</v>
      </c>
      <c r="F53" s="92">
        <f>F49</f>
        <v>117168.00000000001</v>
      </c>
      <c r="G53" s="45"/>
      <c r="H53" s="91">
        <f>H49</f>
        <v>123390</v>
      </c>
      <c r="I53" s="43"/>
      <c r="J53" s="231"/>
      <c r="K53" s="231"/>
      <c r="L53" s="231"/>
      <c r="M53" s="231"/>
      <c r="N53" s="231"/>
      <c r="O53" s="231"/>
      <c r="P53" s="231"/>
      <c r="Q53" s="231"/>
      <c r="R53" s="231"/>
      <c r="S53" s="231"/>
      <c r="T53" s="231"/>
      <c r="U53" s="231"/>
      <c r="V53" s="231"/>
      <c r="W53" s="231"/>
      <c r="X53" s="231"/>
      <c r="Y53" s="231"/>
      <c r="Z53" s="231"/>
      <c r="AA53" s="231"/>
      <c r="AB53" s="231"/>
      <c r="AC53" s="231"/>
      <c r="AD53" s="231"/>
      <c r="AE53" s="231"/>
      <c r="AF53" s="231"/>
      <c r="AG53" s="231"/>
      <c r="AH53" s="231"/>
      <c r="AI53" s="231"/>
      <c r="AJ53" s="231"/>
      <c r="AK53" s="231"/>
      <c r="AL53" s="231"/>
      <c r="AM53" s="231"/>
      <c r="AN53" s="231"/>
    </row>
    <row r="54" spans="1:40" s="203" customFormat="1">
      <c r="A54" s="744">
        <v>10</v>
      </c>
      <c r="B54" s="93" t="s">
        <v>255</v>
      </c>
      <c r="C54" s="94"/>
      <c r="D54" s="55"/>
      <c r="E54" s="95">
        <v>-1405.1807297959604</v>
      </c>
      <c r="F54" s="96">
        <f>F53-F52</f>
        <v>-4248.9999999999854</v>
      </c>
      <c r="G54" s="45"/>
      <c r="H54" s="97">
        <f>H53-H52</f>
        <v>-2041</v>
      </c>
      <c r="I54" s="43"/>
      <c r="J54" s="231"/>
      <c r="K54" s="231"/>
      <c r="L54" s="231"/>
      <c r="M54" s="231"/>
      <c r="N54" s="231"/>
      <c r="O54" s="231"/>
      <c r="P54" s="231"/>
      <c r="Q54" s="231"/>
      <c r="R54" s="231"/>
      <c r="S54" s="231"/>
      <c r="T54" s="231"/>
      <c r="U54" s="231"/>
      <c r="V54" s="231"/>
      <c r="W54" s="231"/>
      <c r="X54" s="231"/>
      <c r="Y54" s="231"/>
      <c r="Z54" s="231"/>
      <c r="AA54" s="231"/>
      <c r="AB54" s="231"/>
      <c r="AC54" s="231"/>
      <c r="AD54" s="231"/>
      <c r="AE54" s="231"/>
      <c r="AF54" s="231"/>
      <c r="AG54" s="231"/>
      <c r="AH54" s="231"/>
      <c r="AI54" s="231"/>
      <c r="AJ54" s="231"/>
      <c r="AK54" s="231"/>
      <c r="AL54" s="231"/>
      <c r="AM54" s="231"/>
      <c r="AN54" s="231"/>
    </row>
    <row r="55" spans="1:40" s="203" customFormat="1">
      <c r="A55" s="83"/>
      <c r="B55" s="244"/>
      <c r="C55" s="244"/>
      <c r="D55" s="244"/>
      <c r="E55" s="85"/>
      <c r="F55" s="244"/>
      <c r="G55" s="86"/>
      <c r="H55" s="86"/>
      <c r="I55" s="21"/>
      <c r="J55" s="231"/>
      <c r="K55" s="231"/>
      <c r="L55" s="231"/>
      <c r="M55" s="231"/>
      <c r="N55" s="231"/>
      <c r="O55" s="231"/>
      <c r="P55" s="231"/>
      <c r="Q55" s="231"/>
      <c r="R55" s="231"/>
      <c r="S55" s="231"/>
      <c r="T55" s="231"/>
      <c r="U55" s="231"/>
      <c r="V55" s="231"/>
      <c r="W55" s="231"/>
      <c r="X55" s="231"/>
      <c r="Y55" s="231"/>
      <c r="Z55" s="231"/>
      <c r="AA55" s="231"/>
      <c r="AB55" s="231"/>
      <c r="AC55" s="231"/>
      <c r="AD55" s="231"/>
      <c r="AE55" s="231"/>
      <c r="AF55" s="231"/>
      <c r="AG55" s="231"/>
      <c r="AH55" s="231"/>
      <c r="AI55" s="231"/>
      <c r="AJ55" s="231"/>
      <c r="AK55" s="231"/>
      <c r="AL55" s="231"/>
      <c r="AM55" s="231"/>
      <c r="AN55" s="231"/>
    </row>
    <row r="56" spans="1:40" s="203" customFormat="1">
      <c r="A56" s="742" t="s">
        <v>75</v>
      </c>
      <c r="B56" s="69" t="s">
        <v>256</v>
      </c>
      <c r="C56" s="69"/>
      <c r="D56" s="70"/>
      <c r="E56" s="87"/>
      <c r="F56" s="88"/>
      <c r="G56" s="45"/>
      <c r="H56" s="89"/>
      <c r="I56" s="43"/>
      <c r="J56" s="231"/>
      <c r="K56" s="231"/>
      <c r="L56" s="231"/>
      <c r="M56" s="231"/>
      <c r="N56" s="231"/>
      <c r="O56" s="231"/>
      <c r="P56" s="231"/>
      <c r="Q56" s="231"/>
      <c r="R56" s="231"/>
      <c r="S56" s="231"/>
      <c r="T56" s="231"/>
      <c r="U56" s="231"/>
      <c r="V56" s="231"/>
      <c r="W56" s="231"/>
      <c r="X56" s="231"/>
      <c r="Y56" s="231"/>
      <c r="Z56" s="231"/>
      <c r="AA56" s="231"/>
      <c r="AB56" s="231"/>
      <c r="AC56" s="231"/>
      <c r="AD56" s="231"/>
      <c r="AE56" s="231"/>
      <c r="AF56" s="231"/>
      <c r="AG56" s="231"/>
      <c r="AH56" s="231"/>
      <c r="AI56" s="231"/>
      <c r="AJ56" s="231"/>
      <c r="AK56" s="231"/>
      <c r="AL56" s="231"/>
      <c r="AM56" s="231"/>
      <c r="AN56" s="231"/>
    </row>
    <row r="57" spans="1:40" s="203" customFormat="1">
      <c r="A57" s="46">
        <v>11</v>
      </c>
      <c r="B57" s="47" t="s">
        <v>76</v>
      </c>
      <c r="C57" s="47"/>
      <c r="D57" s="48"/>
      <c r="E57" s="74">
        <v>7012.2513828352094</v>
      </c>
      <c r="F57" s="52">
        <v>9713</v>
      </c>
      <c r="G57" s="45"/>
      <c r="H57" s="91">
        <f>F61</f>
        <v>6133.0000000000146</v>
      </c>
      <c r="I57" s="43"/>
      <c r="J57" s="231"/>
      <c r="K57" s="231"/>
      <c r="L57" s="231"/>
      <c r="M57" s="231"/>
      <c r="N57" s="231"/>
      <c r="O57" s="231"/>
      <c r="P57" s="231"/>
      <c r="Q57" s="231"/>
      <c r="R57" s="231"/>
      <c r="S57" s="231"/>
      <c r="T57" s="231"/>
      <c r="U57" s="231"/>
      <c r="V57" s="231"/>
      <c r="W57" s="231"/>
      <c r="X57" s="231"/>
      <c r="Y57" s="231"/>
      <c r="Z57" s="231"/>
      <c r="AA57" s="231"/>
      <c r="AB57" s="231"/>
      <c r="AC57" s="231"/>
      <c r="AD57" s="231"/>
      <c r="AE57" s="231"/>
      <c r="AF57" s="231"/>
      <c r="AG57" s="231"/>
      <c r="AH57" s="231"/>
      <c r="AI57" s="231"/>
      <c r="AJ57" s="231"/>
      <c r="AK57" s="231"/>
      <c r="AL57" s="231"/>
      <c r="AM57" s="231"/>
      <c r="AN57" s="231"/>
    </row>
    <row r="58" spans="1:40" s="203" customFormat="1">
      <c r="A58" s="46">
        <v>12</v>
      </c>
      <c r="B58" s="90" t="s">
        <v>257</v>
      </c>
      <c r="C58" s="47"/>
      <c r="D58" s="48"/>
      <c r="E58" s="49">
        <v>-1405.1807297959604</v>
      </c>
      <c r="F58" s="92">
        <f>F54</f>
        <v>-4248.9999999999854</v>
      </c>
      <c r="G58" s="45"/>
      <c r="H58" s="98">
        <f>H54</f>
        <v>-2041</v>
      </c>
      <c r="I58" s="43"/>
      <c r="J58" s="231"/>
      <c r="K58" s="231"/>
      <c r="L58" s="231"/>
      <c r="M58" s="231"/>
      <c r="N58" s="231"/>
      <c r="O58" s="231"/>
      <c r="P58" s="231"/>
      <c r="Q58" s="231"/>
      <c r="R58" s="231"/>
      <c r="S58" s="231"/>
      <c r="T58" s="231"/>
      <c r="U58" s="231"/>
      <c r="V58" s="231"/>
      <c r="W58" s="231"/>
      <c r="X58" s="231"/>
      <c r="Y58" s="231"/>
      <c r="Z58" s="231"/>
      <c r="AA58" s="231"/>
      <c r="AB58" s="231"/>
      <c r="AC58" s="231"/>
      <c r="AD58" s="231"/>
      <c r="AE58" s="231"/>
      <c r="AF58" s="231"/>
      <c r="AG58" s="231"/>
      <c r="AH58" s="231"/>
      <c r="AI58" s="231"/>
      <c r="AJ58" s="231"/>
      <c r="AK58" s="231"/>
      <c r="AL58" s="231"/>
      <c r="AM58" s="231"/>
      <c r="AN58" s="231"/>
    </row>
    <row r="59" spans="1:40" s="203" customFormat="1">
      <c r="A59" s="46">
        <v>13</v>
      </c>
      <c r="B59" s="47" t="s">
        <v>77</v>
      </c>
      <c r="C59" s="47"/>
      <c r="D59" s="48"/>
      <c r="E59" s="49">
        <v>0</v>
      </c>
      <c r="F59" s="52"/>
      <c r="G59" s="45"/>
      <c r="H59" s="99"/>
      <c r="I59" s="43"/>
      <c r="J59" s="231"/>
      <c r="K59" s="231"/>
      <c r="L59" s="231"/>
      <c r="M59" s="231"/>
      <c r="N59" s="231"/>
      <c r="O59" s="231"/>
      <c r="P59" s="231"/>
      <c r="Q59" s="231"/>
      <c r="R59" s="231"/>
      <c r="S59" s="231"/>
      <c r="T59" s="231"/>
      <c r="U59" s="231"/>
      <c r="V59" s="231"/>
      <c r="W59" s="231"/>
      <c r="X59" s="231"/>
      <c r="Y59" s="231"/>
      <c r="Z59" s="231"/>
      <c r="AA59" s="231"/>
      <c r="AB59" s="231"/>
      <c r="AC59" s="231"/>
      <c r="AD59" s="231"/>
      <c r="AE59" s="231"/>
      <c r="AF59" s="231"/>
      <c r="AG59" s="231"/>
      <c r="AH59" s="231"/>
      <c r="AI59" s="231"/>
      <c r="AJ59" s="231"/>
      <c r="AK59" s="231"/>
      <c r="AL59" s="231"/>
      <c r="AM59" s="231"/>
      <c r="AN59" s="231"/>
    </row>
    <row r="60" spans="1:40" s="203" customFormat="1">
      <c r="A60" s="46">
        <v>14</v>
      </c>
      <c r="B60" s="47" t="s">
        <v>78</v>
      </c>
      <c r="C60" s="47"/>
      <c r="D60" s="48"/>
      <c r="E60" s="49">
        <v>0</v>
      </c>
      <c r="F60" s="52">
        <v>669</v>
      </c>
      <c r="G60" s="45"/>
      <c r="H60" s="100">
        <v>2041</v>
      </c>
      <c r="I60" s="43"/>
      <c r="J60" s="231"/>
      <c r="K60" s="231"/>
      <c r="L60" s="231"/>
      <c r="M60" s="231"/>
      <c r="N60" s="231"/>
      <c r="O60" s="231"/>
      <c r="P60" s="231"/>
      <c r="Q60" s="231"/>
      <c r="R60" s="231"/>
      <c r="S60" s="231"/>
      <c r="T60" s="231"/>
      <c r="U60" s="231"/>
      <c r="V60" s="231"/>
      <c r="W60" s="231"/>
      <c r="X60" s="231"/>
      <c r="Y60" s="231"/>
      <c r="Z60" s="231"/>
      <c r="AA60" s="231"/>
      <c r="AB60" s="231"/>
      <c r="AC60" s="231"/>
      <c r="AD60" s="231"/>
      <c r="AE60" s="231"/>
      <c r="AF60" s="231"/>
      <c r="AG60" s="231"/>
      <c r="AH60" s="231"/>
      <c r="AI60" s="231"/>
      <c r="AJ60" s="231"/>
      <c r="AK60" s="231"/>
      <c r="AL60" s="231"/>
      <c r="AM60" s="231"/>
      <c r="AN60" s="231"/>
    </row>
    <row r="61" spans="1:40" s="203" customFormat="1">
      <c r="A61" s="53">
        <v>15</v>
      </c>
      <c r="B61" s="54" t="s">
        <v>79</v>
      </c>
      <c r="C61" s="54"/>
      <c r="D61" s="55"/>
      <c r="E61" s="56">
        <v>5607.070653039249</v>
      </c>
      <c r="F61" s="96">
        <f>F57+F58+F59+F60</f>
        <v>6133.0000000000146</v>
      </c>
      <c r="G61" s="45"/>
      <c r="H61" s="101">
        <f>H57+H58+H59+H60</f>
        <v>6133.0000000000146</v>
      </c>
      <c r="I61" s="43"/>
      <c r="J61" s="231"/>
      <c r="K61" s="231"/>
      <c r="L61" s="231"/>
      <c r="M61" s="231"/>
      <c r="N61" s="231"/>
      <c r="O61" s="231"/>
      <c r="P61" s="231"/>
      <c r="Q61" s="231"/>
      <c r="R61" s="231"/>
      <c r="S61" s="231"/>
      <c r="T61" s="231"/>
      <c r="U61" s="231"/>
      <c r="V61" s="231"/>
      <c r="W61" s="231"/>
      <c r="X61" s="231"/>
      <c r="Y61" s="231"/>
      <c r="Z61" s="231"/>
      <c r="AA61" s="231"/>
      <c r="AB61" s="231"/>
      <c r="AC61" s="231"/>
      <c r="AD61" s="231"/>
      <c r="AE61" s="231"/>
      <c r="AF61" s="231"/>
      <c r="AG61" s="231"/>
      <c r="AH61" s="231"/>
      <c r="AI61" s="231"/>
      <c r="AJ61" s="231"/>
      <c r="AK61" s="231"/>
      <c r="AL61" s="231"/>
      <c r="AM61" s="231"/>
      <c r="AN61" s="231"/>
    </row>
    <row r="62" spans="1:40" s="203" customFormat="1">
      <c r="A62" s="102"/>
      <c r="B62" s="207"/>
      <c r="C62" s="207"/>
      <c r="D62" s="207"/>
      <c r="E62" s="103"/>
      <c r="F62" s="21"/>
      <c r="G62" s="21"/>
      <c r="H62" s="21"/>
      <c r="I62" s="21"/>
      <c r="J62" s="231"/>
      <c r="K62" s="231"/>
      <c r="L62" s="231"/>
      <c r="M62" s="231"/>
      <c r="N62" s="231"/>
      <c r="O62" s="231"/>
      <c r="P62" s="231"/>
      <c r="Q62" s="231"/>
      <c r="R62" s="231"/>
      <c r="S62" s="231"/>
      <c r="T62" s="231"/>
      <c r="U62" s="231"/>
      <c r="V62" s="231"/>
      <c r="W62" s="231"/>
      <c r="X62" s="231"/>
      <c r="Y62" s="231"/>
      <c r="Z62" s="231"/>
      <c r="AA62" s="231"/>
      <c r="AB62" s="231"/>
      <c r="AC62" s="231"/>
      <c r="AD62" s="231"/>
      <c r="AE62" s="231"/>
      <c r="AF62" s="231"/>
      <c r="AG62" s="231"/>
      <c r="AH62" s="231"/>
      <c r="AI62" s="231"/>
      <c r="AJ62" s="231"/>
      <c r="AK62" s="231"/>
      <c r="AL62" s="231"/>
      <c r="AM62" s="231"/>
      <c r="AN62" s="231"/>
    </row>
    <row r="63" spans="1:40" s="203" customFormat="1" ht="12.75" customHeight="1">
      <c r="A63" s="23"/>
      <c r="B63" s="207"/>
      <c r="C63" s="207"/>
      <c r="D63" s="207"/>
      <c r="E63" s="15"/>
      <c r="F63" s="207"/>
      <c r="G63" s="207"/>
      <c r="H63" s="21"/>
      <c r="I63" s="21"/>
      <c r="J63" s="231"/>
      <c r="K63" s="231"/>
      <c r="L63" s="231"/>
      <c r="M63" s="231"/>
      <c r="N63" s="231"/>
      <c r="O63" s="231"/>
      <c r="P63" s="231"/>
      <c r="Q63" s="231"/>
      <c r="R63" s="231"/>
      <c r="S63" s="231"/>
      <c r="T63" s="231"/>
      <c r="U63" s="231"/>
      <c r="V63" s="231"/>
      <c r="W63" s="231"/>
      <c r="X63" s="231"/>
      <c r="Y63" s="231"/>
      <c r="Z63" s="231"/>
      <c r="AA63" s="231"/>
      <c r="AB63" s="231"/>
      <c r="AC63" s="231"/>
      <c r="AD63" s="231"/>
      <c r="AE63" s="231"/>
      <c r="AF63" s="231"/>
      <c r="AG63" s="231"/>
      <c r="AH63" s="231"/>
      <c r="AI63" s="231"/>
      <c r="AJ63" s="231"/>
      <c r="AK63" s="231"/>
      <c r="AL63" s="231"/>
      <c r="AM63" s="231"/>
      <c r="AN63" s="231"/>
    </row>
    <row r="64" spans="1:40" s="203" customFormat="1" ht="15">
      <c r="A64" s="104" t="s">
        <v>80</v>
      </c>
      <c r="B64" s="29"/>
      <c r="C64" s="29"/>
      <c r="D64" s="29"/>
      <c r="E64" s="15"/>
      <c r="F64" s="29"/>
      <c r="G64" s="29"/>
      <c r="H64" s="29"/>
      <c r="I64" s="29"/>
      <c r="J64" s="231"/>
      <c r="K64" s="231"/>
      <c r="L64" s="231"/>
      <c r="M64" s="231"/>
      <c r="N64" s="231"/>
      <c r="O64" s="231"/>
      <c r="P64" s="231"/>
      <c r="Q64" s="231"/>
      <c r="R64" s="231"/>
      <c r="S64" s="231"/>
      <c r="T64" s="231"/>
      <c r="U64" s="231"/>
      <c r="V64" s="231"/>
      <c r="W64" s="231"/>
      <c r="X64" s="231"/>
      <c r="Y64" s="231"/>
      <c r="Z64" s="231"/>
      <c r="AA64" s="231"/>
      <c r="AB64" s="231"/>
      <c r="AC64" s="231"/>
      <c r="AD64" s="231"/>
      <c r="AE64" s="231"/>
      <c r="AF64" s="231"/>
      <c r="AG64" s="231"/>
      <c r="AH64" s="231"/>
      <c r="AI64" s="231"/>
      <c r="AJ64" s="231"/>
      <c r="AK64" s="231"/>
      <c r="AL64" s="231"/>
      <c r="AM64" s="231"/>
      <c r="AN64" s="231"/>
    </row>
    <row r="65" spans="1:40" s="203" customFormat="1">
      <c r="A65" s="32"/>
      <c r="B65" s="29"/>
      <c r="C65" s="29"/>
      <c r="D65" s="29"/>
      <c r="E65" s="105"/>
      <c r="F65" s="29"/>
      <c r="G65" s="29"/>
      <c r="H65" s="29"/>
      <c r="I65" s="131" t="s">
        <v>27</v>
      </c>
      <c r="J65" s="231"/>
      <c r="K65" s="231"/>
      <c r="L65" s="231"/>
      <c r="M65" s="231"/>
      <c r="N65" s="231"/>
      <c r="O65" s="231"/>
      <c r="P65" s="231"/>
      <c r="Q65" s="231"/>
      <c r="R65" s="231"/>
      <c r="S65" s="231"/>
      <c r="T65" s="231"/>
      <c r="U65" s="231"/>
      <c r="V65" s="231"/>
      <c r="W65" s="231"/>
      <c r="X65" s="231"/>
      <c r="Y65" s="231"/>
      <c r="Z65" s="231"/>
      <c r="AA65" s="231"/>
      <c r="AB65" s="231"/>
      <c r="AC65" s="231"/>
      <c r="AD65" s="231"/>
      <c r="AE65" s="231"/>
      <c r="AF65" s="231"/>
      <c r="AG65" s="231"/>
      <c r="AH65" s="231"/>
      <c r="AI65" s="231"/>
      <c r="AJ65" s="231"/>
      <c r="AK65" s="231"/>
      <c r="AL65" s="231"/>
      <c r="AM65" s="231"/>
      <c r="AN65" s="231"/>
    </row>
    <row r="66" spans="1:40" s="203" customFormat="1">
      <c r="A66" s="106" t="s">
        <v>14</v>
      </c>
      <c r="B66" s="107"/>
      <c r="C66" s="107"/>
      <c r="D66" s="107"/>
      <c r="E66" s="856" t="s">
        <v>377</v>
      </c>
      <c r="F66" s="962" t="s">
        <v>402</v>
      </c>
      <c r="G66" s="867" t="s">
        <v>81</v>
      </c>
      <c r="H66" s="962" t="s">
        <v>403</v>
      </c>
      <c r="I66" s="867" t="s">
        <v>81</v>
      </c>
      <c r="J66" s="231"/>
      <c r="K66" s="231"/>
      <c r="L66" s="231"/>
      <c r="M66" s="231"/>
      <c r="N66" s="231"/>
      <c r="O66" s="231"/>
      <c r="P66" s="231"/>
      <c r="Q66" s="231"/>
      <c r="R66" s="231"/>
      <c r="S66" s="231"/>
      <c r="T66" s="231"/>
      <c r="U66" s="231"/>
      <c r="V66" s="231"/>
      <c r="W66" s="231"/>
      <c r="X66" s="231"/>
      <c r="Y66" s="231"/>
      <c r="Z66" s="231"/>
      <c r="AA66" s="231"/>
      <c r="AB66" s="231"/>
      <c r="AC66" s="231"/>
      <c r="AD66" s="231"/>
      <c r="AE66" s="231"/>
      <c r="AF66" s="231"/>
      <c r="AG66" s="231"/>
      <c r="AH66" s="231"/>
      <c r="AI66" s="231"/>
      <c r="AJ66" s="231"/>
      <c r="AK66" s="231"/>
      <c r="AL66" s="231"/>
      <c r="AM66" s="231"/>
      <c r="AN66" s="231"/>
    </row>
    <row r="67" spans="1:40" s="203" customFormat="1" ht="21" customHeight="1">
      <c r="A67" s="108"/>
      <c r="B67" s="47"/>
      <c r="C67" s="47"/>
      <c r="D67" s="47"/>
      <c r="E67" s="859"/>
      <c r="F67" s="963"/>
      <c r="G67" s="868"/>
      <c r="H67" s="963"/>
      <c r="I67" s="868"/>
      <c r="J67" s="231"/>
      <c r="K67" s="231"/>
      <c r="L67" s="231"/>
      <c r="M67" s="231"/>
      <c r="N67" s="231"/>
      <c r="O67" s="231"/>
      <c r="P67" s="231"/>
      <c r="Q67" s="231"/>
      <c r="R67" s="231"/>
      <c r="S67" s="231"/>
      <c r="T67" s="231"/>
      <c r="U67" s="231"/>
      <c r="V67" s="231"/>
      <c r="W67" s="231"/>
      <c r="X67" s="231"/>
      <c r="Y67" s="231"/>
      <c r="Z67" s="231"/>
      <c r="AA67" s="231"/>
      <c r="AB67" s="231"/>
      <c r="AC67" s="231"/>
      <c r="AD67" s="231"/>
      <c r="AE67" s="231"/>
      <c r="AF67" s="231"/>
      <c r="AG67" s="231"/>
      <c r="AH67" s="231"/>
      <c r="AI67" s="231"/>
      <c r="AJ67" s="231"/>
      <c r="AK67" s="231"/>
      <c r="AL67" s="231"/>
      <c r="AM67" s="231"/>
      <c r="AN67" s="231"/>
    </row>
    <row r="68" spans="1:40" s="203" customFormat="1">
      <c r="A68" s="109" t="s">
        <v>82</v>
      </c>
      <c r="B68" s="47"/>
      <c r="C68" s="47"/>
      <c r="D68" s="47"/>
      <c r="E68" s="859"/>
      <c r="F68" s="963"/>
      <c r="G68" s="868"/>
      <c r="H68" s="963"/>
      <c r="I68" s="868"/>
      <c r="J68" s="231"/>
      <c r="K68" s="231"/>
      <c r="L68" s="231"/>
      <c r="M68" s="231"/>
      <c r="N68" s="231"/>
      <c r="O68" s="231"/>
      <c r="P68" s="231"/>
      <c r="Q68" s="231"/>
      <c r="R68" s="231"/>
      <c r="S68" s="231"/>
      <c r="T68" s="231"/>
      <c r="U68" s="231"/>
      <c r="V68" s="231"/>
      <c r="W68" s="231"/>
      <c r="X68" s="231"/>
      <c r="Y68" s="231"/>
      <c r="Z68" s="231"/>
      <c r="AA68" s="231"/>
      <c r="AB68" s="231"/>
      <c r="AC68" s="231"/>
      <c r="AD68" s="231"/>
      <c r="AE68" s="231"/>
      <c r="AF68" s="231"/>
      <c r="AG68" s="231"/>
      <c r="AH68" s="231"/>
      <c r="AI68" s="231"/>
      <c r="AJ68" s="231"/>
      <c r="AK68" s="231"/>
      <c r="AL68" s="231"/>
      <c r="AM68" s="231"/>
      <c r="AN68" s="231"/>
    </row>
    <row r="69" spans="1:40" s="203" customFormat="1">
      <c r="A69" s="109" t="s">
        <v>83</v>
      </c>
      <c r="B69" s="47"/>
      <c r="C69" s="47"/>
      <c r="D69" s="47"/>
      <c r="E69" s="859"/>
      <c r="F69" s="963"/>
      <c r="G69" s="868"/>
      <c r="H69" s="963"/>
      <c r="I69" s="868"/>
      <c r="J69" s="231"/>
      <c r="K69" s="231"/>
      <c r="L69" s="231"/>
      <c r="M69" s="231"/>
      <c r="N69" s="231"/>
      <c r="O69" s="231"/>
      <c r="P69" s="231"/>
      <c r="Q69" s="231"/>
      <c r="R69" s="231"/>
      <c r="S69" s="231"/>
      <c r="T69" s="231"/>
      <c r="U69" s="231"/>
      <c r="V69" s="231"/>
      <c r="W69" s="231"/>
      <c r="X69" s="231"/>
      <c r="Y69" s="231"/>
      <c r="Z69" s="231"/>
      <c r="AA69" s="231"/>
      <c r="AB69" s="231"/>
      <c r="AC69" s="231"/>
      <c r="AD69" s="231"/>
      <c r="AE69" s="231"/>
      <c r="AF69" s="231"/>
      <c r="AG69" s="231"/>
      <c r="AH69" s="231"/>
      <c r="AI69" s="231"/>
      <c r="AJ69" s="231"/>
      <c r="AK69" s="231"/>
      <c r="AL69" s="231"/>
      <c r="AM69" s="231"/>
      <c r="AN69" s="231"/>
    </row>
    <row r="70" spans="1:40" s="203" customFormat="1">
      <c r="A70" s="110" t="s">
        <v>84</v>
      </c>
      <c r="B70" s="47"/>
      <c r="C70" s="47"/>
      <c r="D70" s="47"/>
      <c r="E70" s="860"/>
      <c r="F70" s="963"/>
      <c r="G70" s="869"/>
      <c r="H70" s="964"/>
      <c r="I70" s="868"/>
      <c r="J70" s="231"/>
      <c r="K70" s="231"/>
      <c r="L70" s="231"/>
      <c r="M70" s="231"/>
      <c r="N70" s="231"/>
      <c r="O70" s="231"/>
      <c r="P70" s="231"/>
      <c r="Q70" s="231"/>
      <c r="R70" s="231"/>
      <c r="S70" s="231"/>
      <c r="T70" s="231"/>
      <c r="U70" s="231"/>
      <c r="V70" s="231"/>
      <c r="W70" s="231"/>
      <c r="X70" s="231"/>
      <c r="Y70" s="231"/>
      <c r="Z70" s="231"/>
      <c r="AA70" s="231"/>
      <c r="AB70" s="231"/>
      <c r="AC70" s="231"/>
      <c r="AD70" s="231"/>
      <c r="AE70" s="231"/>
      <c r="AF70" s="231"/>
      <c r="AG70" s="231"/>
      <c r="AH70" s="231"/>
      <c r="AI70" s="231"/>
      <c r="AJ70" s="231"/>
      <c r="AK70" s="231"/>
      <c r="AL70" s="231"/>
      <c r="AM70" s="231"/>
      <c r="AN70" s="231"/>
    </row>
    <row r="71" spans="1:40" s="203" customFormat="1">
      <c r="A71" s="111">
        <v>1</v>
      </c>
      <c r="B71" s="47" t="s">
        <v>85</v>
      </c>
      <c r="C71" s="47"/>
      <c r="D71" s="47"/>
      <c r="E71" s="836">
        <v>4955.0112013918615</v>
      </c>
      <c r="F71" s="121">
        <v>5656</v>
      </c>
      <c r="G71" s="840"/>
      <c r="H71" s="75">
        <v>7820</v>
      </c>
      <c r="I71" s="133"/>
      <c r="J71" s="231"/>
      <c r="K71" s="231"/>
      <c r="L71" s="231"/>
      <c r="M71" s="231"/>
      <c r="N71" s="231"/>
      <c r="O71" s="231"/>
      <c r="P71" s="231"/>
      <c r="Q71" s="231"/>
      <c r="R71" s="231"/>
      <c r="S71" s="231"/>
      <c r="T71" s="231"/>
      <c r="U71" s="231"/>
      <c r="V71" s="231"/>
      <c r="W71" s="231"/>
      <c r="X71" s="231"/>
      <c r="Y71" s="231"/>
      <c r="Z71" s="231"/>
      <c r="AA71" s="231"/>
      <c r="AB71" s="231"/>
      <c r="AC71" s="231"/>
      <c r="AD71" s="231"/>
      <c r="AE71" s="231"/>
      <c r="AF71" s="231"/>
      <c r="AG71" s="231"/>
      <c r="AH71" s="231"/>
      <c r="AI71" s="231"/>
      <c r="AJ71" s="231"/>
      <c r="AK71" s="231"/>
      <c r="AL71" s="231"/>
      <c r="AM71" s="231"/>
      <c r="AN71" s="231"/>
    </row>
    <row r="72" spans="1:40" s="203" customFormat="1">
      <c r="A72" s="111">
        <v>2</v>
      </c>
      <c r="B72" s="47" t="s">
        <v>86</v>
      </c>
      <c r="C72" s="47"/>
      <c r="D72" s="47"/>
      <c r="E72" s="114">
        <v>18471.176169370006</v>
      </c>
      <c r="F72" s="52">
        <v>19588</v>
      </c>
      <c r="G72" s="841"/>
      <c r="H72" s="75">
        <v>20896</v>
      </c>
      <c r="I72" s="122"/>
      <c r="J72" s="231"/>
      <c r="K72" s="231"/>
      <c r="L72" s="231"/>
      <c r="M72" s="231"/>
      <c r="N72" s="231"/>
      <c r="O72" s="231"/>
      <c r="P72" s="231"/>
      <c r="Q72" s="231"/>
      <c r="R72" s="231"/>
      <c r="S72" s="231"/>
      <c r="T72" s="231"/>
      <c r="U72" s="231"/>
      <c r="V72" s="231"/>
      <c r="W72" s="231"/>
      <c r="X72" s="231"/>
      <c r="Y72" s="231"/>
      <c r="Z72" s="231"/>
      <c r="AA72" s="231"/>
      <c r="AB72" s="231"/>
      <c r="AC72" s="231"/>
      <c r="AD72" s="231"/>
      <c r="AE72" s="231"/>
      <c r="AF72" s="231"/>
      <c r="AG72" s="231"/>
      <c r="AH72" s="231"/>
      <c r="AI72" s="231"/>
      <c r="AJ72" s="231"/>
      <c r="AK72" s="231"/>
      <c r="AL72" s="231"/>
      <c r="AM72" s="231"/>
      <c r="AN72" s="231"/>
    </row>
    <row r="73" spans="1:40" s="203" customFormat="1">
      <c r="A73" s="111">
        <v>3</v>
      </c>
      <c r="B73" s="47" t="s">
        <v>87</v>
      </c>
      <c r="C73" s="47"/>
      <c r="D73" s="47"/>
      <c r="E73" s="114">
        <v>15519.07942995872</v>
      </c>
      <c r="F73" s="52">
        <v>16195</v>
      </c>
      <c r="G73" s="841"/>
      <c r="H73" s="75">
        <v>17433</v>
      </c>
      <c r="I73" s="122"/>
      <c r="J73" s="231"/>
      <c r="K73" s="231"/>
      <c r="L73" s="231"/>
      <c r="M73" s="231"/>
      <c r="N73" s="231"/>
      <c r="O73" s="231"/>
      <c r="P73" s="231"/>
      <c r="Q73" s="231"/>
      <c r="R73" s="231"/>
      <c r="S73" s="231"/>
      <c r="T73" s="231"/>
      <c r="U73" s="231"/>
      <c r="V73" s="231"/>
      <c r="W73" s="231"/>
      <c r="X73" s="231"/>
      <c r="Y73" s="231"/>
      <c r="Z73" s="231"/>
      <c r="AA73" s="231"/>
      <c r="AB73" s="231"/>
      <c r="AC73" s="231"/>
      <c r="AD73" s="231"/>
      <c r="AE73" s="231"/>
      <c r="AF73" s="231"/>
      <c r="AG73" s="231"/>
      <c r="AH73" s="231"/>
      <c r="AI73" s="231"/>
      <c r="AJ73" s="231"/>
      <c r="AK73" s="231"/>
      <c r="AL73" s="231"/>
      <c r="AM73" s="231"/>
      <c r="AN73" s="231"/>
    </row>
    <row r="74" spans="1:40" s="203" customFormat="1">
      <c r="A74" s="111">
        <v>4</v>
      </c>
      <c r="B74" s="47" t="s">
        <v>88</v>
      </c>
      <c r="C74" s="47"/>
      <c r="D74" s="47"/>
      <c r="E74" s="114">
        <v>7742.6676559389534</v>
      </c>
      <c r="F74" s="52">
        <v>8557</v>
      </c>
      <c r="G74" s="841"/>
      <c r="H74" s="75">
        <v>8883</v>
      </c>
      <c r="I74" s="122"/>
      <c r="J74" s="231"/>
      <c r="K74" s="231"/>
      <c r="L74" s="231"/>
      <c r="M74" s="231"/>
      <c r="N74" s="231"/>
      <c r="O74" s="231"/>
      <c r="P74" s="231"/>
      <c r="Q74" s="231"/>
      <c r="R74" s="231"/>
      <c r="S74" s="231"/>
      <c r="T74" s="231"/>
      <c r="U74" s="231"/>
      <c r="V74" s="231"/>
      <c r="W74" s="231"/>
      <c r="X74" s="231"/>
      <c r="Y74" s="231"/>
      <c r="Z74" s="231"/>
      <c r="AA74" s="231"/>
      <c r="AB74" s="231"/>
      <c r="AC74" s="231"/>
      <c r="AD74" s="231"/>
      <c r="AE74" s="231"/>
      <c r="AF74" s="231"/>
      <c r="AG74" s="231"/>
      <c r="AH74" s="231"/>
      <c r="AI74" s="231"/>
      <c r="AJ74" s="231"/>
      <c r="AK74" s="231"/>
      <c r="AL74" s="231"/>
      <c r="AM74" s="231"/>
      <c r="AN74" s="231"/>
    </row>
    <row r="75" spans="1:40" s="203" customFormat="1">
      <c r="A75" s="111">
        <v>5</v>
      </c>
      <c r="B75" s="47" t="s">
        <v>89</v>
      </c>
      <c r="C75" s="47" t="s">
        <v>90</v>
      </c>
      <c r="D75" s="47"/>
      <c r="E75" s="114">
        <v>396.71892320000001</v>
      </c>
      <c r="F75" s="52">
        <v>428</v>
      </c>
      <c r="G75" s="841"/>
      <c r="H75" s="75">
        <v>472</v>
      </c>
      <c r="I75" s="122"/>
      <c r="J75" s="231"/>
      <c r="K75" s="231"/>
      <c r="L75" s="231"/>
      <c r="M75" s="231"/>
      <c r="N75" s="231"/>
      <c r="O75" s="231"/>
      <c r="P75" s="231"/>
      <c r="Q75" s="231"/>
      <c r="R75" s="231"/>
      <c r="S75" s="231"/>
      <c r="T75" s="231"/>
      <c r="U75" s="231"/>
      <c r="V75" s="231"/>
      <c r="W75" s="231"/>
      <c r="X75" s="231"/>
      <c r="Y75" s="231"/>
      <c r="Z75" s="231"/>
      <c r="AA75" s="231"/>
      <c r="AB75" s="231"/>
      <c r="AC75" s="231"/>
      <c r="AD75" s="231"/>
      <c r="AE75" s="231"/>
      <c r="AF75" s="231"/>
      <c r="AG75" s="231"/>
      <c r="AH75" s="231"/>
      <c r="AI75" s="231"/>
      <c r="AJ75" s="231"/>
      <c r="AK75" s="231"/>
      <c r="AL75" s="231"/>
      <c r="AM75" s="231"/>
      <c r="AN75" s="231"/>
    </row>
    <row r="76" spans="1:40" s="203" customFormat="1">
      <c r="A76" s="743"/>
      <c r="B76" s="745"/>
      <c r="C76" s="47" t="s">
        <v>91</v>
      </c>
      <c r="D76" s="47"/>
      <c r="E76" s="114">
        <v>41</v>
      </c>
      <c r="F76" s="126">
        <v>0</v>
      </c>
      <c r="G76" s="842"/>
      <c r="H76" s="839">
        <v>0</v>
      </c>
      <c r="I76" s="100"/>
      <c r="J76" s="231"/>
      <c r="K76" s="231"/>
      <c r="L76" s="231"/>
      <c r="M76" s="231"/>
      <c r="N76" s="231"/>
      <c r="O76" s="231"/>
      <c r="P76" s="231"/>
      <c r="Q76" s="231"/>
      <c r="R76" s="231"/>
      <c r="S76" s="231"/>
      <c r="T76" s="231"/>
      <c r="U76" s="231"/>
      <c r="V76" s="231"/>
      <c r="W76" s="231"/>
      <c r="X76" s="231"/>
      <c r="Y76" s="231"/>
      <c r="Z76" s="231"/>
      <c r="AA76" s="231"/>
      <c r="AB76" s="231"/>
      <c r="AC76" s="231"/>
      <c r="AD76" s="231"/>
      <c r="AE76" s="231"/>
      <c r="AF76" s="231"/>
      <c r="AG76" s="231"/>
      <c r="AH76" s="231"/>
      <c r="AI76" s="231"/>
      <c r="AJ76" s="231"/>
      <c r="AK76" s="231"/>
      <c r="AL76" s="231"/>
      <c r="AM76" s="231"/>
      <c r="AN76" s="231"/>
    </row>
    <row r="77" spans="1:40" s="203" customFormat="1">
      <c r="A77" s="111">
        <v>6</v>
      </c>
      <c r="B77" s="116" t="s">
        <v>92</v>
      </c>
      <c r="C77" s="116"/>
      <c r="D77" s="47"/>
      <c r="E77" s="80">
        <v>47125.653379859541</v>
      </c>
      <c r="F77" s="847">
        <f>SUM(F71:F76)</f>
        <v>50424</v>
      </c>
      <c r="G77" s="251">
        <f>SUM(G71:G76)</f>
        <v>0</v>
      </c>
      <c r="H77" s="252">
        <f>SUM(H71:H76)</f>
        <v>55504</v>
      </c>
      <c r="I77" s="848">
        <f>SUM(I71:I76)</f>
        <v>0</v>
      </c>
      <c r="J77" s="231"/>
      <c r="K77" s="231"/>
      <c r="L77" s="231"/>
      <c r="M77" s="231"/>
      <c r="N77" s="231"/>
      <c r="O77" s="231"/>
      <c r="P77" s="231"/>
      <c r="Q77" s="231"/>
      <c r="R77" s="231"/>
      <c r="S77" s="231"/>
      <c r="T77" s="231"/>
      <c r="U77" s="231"/>
      <c r="V77" s="231"/>
      <c r="W77" s="231"/>
      <c r="X77" s="231"/>
      <c r="Y77" s="231"/>
      <c r="Z77" s="231"/>
      <c r="AA77" s="231"/>
      <c r="AB77" s="231"/>
      <c r="AC77" s="231"/>
      <c r="AD77" s="231"/>
      <c r="AE77" s="231"/>
      <c r="AF77" s="231"/>
      <c r="AG77" s="231"/>
      <c r="AH77" s="231"/>
      <c r="AI77" s="231"/>
      <c r="AJ77" s="231"/>
      <c r="AK77" s="231"/>
      <c r="AL77" s="231"/>
      <c r="AM77" s="231"/>
      <c r="AN77" s="231"/>
    </row>
    <row r="78" spans="1:40" s="203" customFormat="1">
      <c r="A78" s="743"/>
      <c r="B78" s="47"/>
      <c r="C78" s="47"/>
      <c r="D78" s="47"/>
      <c r="E78" s="117"/>
      <c r="F78" s="118"/>
      <c r="G78" s="118"/>
      <c r="H78" s="118"/>
      <c r="I78" s="118"/>
      <c r="J78" s="231"/>
      <c r="K78" s="231"/>
      <c r="L78" s="231"/>
      <c r="M78" s="231"/>
      <c r="N78" s="231"/>
      <c r="O78" s="231"/>
      <c r="P78" s="231"/>
      <c r="Q78" s="231"/>
      <c r="R78" s="231"/>
      <c r="S78" s="231"/>
      <c r="T78" s="231"/>
      <c r="U78" s="231"/>
      <c r="V78" s="231"/>
      <c r="W78" s="231"/>
      <c r="X78" s="231"/>
      <c r="Y78" s="231"/>
      <c r="Z78" s="231"/>
      <c r="AA78" s="231"/>
      <c r="AB78" s="231"/>
      <c r="AC78" s="231"/>
      <c r="AD78" s="231"/>
      <c r="AE78" s="231"/>
      <c r="AF78" s="231"/>
      <c r="AG78" s="231"/>
      <c r="AH78" s="231"/>
      <c r="AI78" s="231"/>
      <c r="AJ78" s="231"/>
      <c r="AK78" s="231"/>
      <c r="AL78" s="231"/>
      <c r="AM78" s="231"/>
      <c r="AN78" s="231"/>
    </row>
    <row r="79" spans="1:40" s="203" customFormat="1">
      <c r="A79" s="119" t="s">
        <v>93</v>
      </c>
      <c r="B79" s="116"/>
      <c r="C79" s="116"/>
      <c r="D79" s="116"/>
      <c r="E79" s="117"/>
      <c r="F79" s="118"/>
      <c r="G79" s="118"/>
      <c r="H79" s="118"/>
      <c r="I79" s="118"/>
      <c r="J79" s="231"/>
      <c r="K79" s="231"/>
      <c r="L79" s="231"/>
      <c r="M79" s="231"/>
      <c r="N79" s="231"/>
      <c r="O79" s="231"/>
      <c r="P79" s="231"/>
      <c r="Q79" s="231"/>
      <c r="R79" s="231"/>
      <c r="S79" s="231"/>
      <c r="T79" s="231"/>
      <c r="U79" s="231"/>
      <c r="V79" s="231"/>
      <c r="W79" s="231"/>
      <c r="X79" s="231"/>
      <c r="Y79" s="231"/>
      <c r="Z79" s="231"/>
      <c r="AA79" s="231"/>
      <c r="AB79" s="231"/>
      <c r="AC79" s="231"/>
      <c r="AD79" s="231"/>
      <c r="AE79" s="231"/>
      <c r="AF79" s="231"/>
      <c r="AG79" s="231"/>
      <c r="AH79" s="231"/>
      <c r="AI79" s="231"/>
      <c r="AJ79" s="231"/>
      <c r="AK79" s="231"/>
      <c r="AL79" s="231"/>
      <c r="AM79" s="231"/>
      <c r="AN79" s="231"/>
    </row>
    <row r="80" spans="1:40" s="203" customFormat="1">
      <c r="A80" s="120">
        <v>7</v>
      </c>
      <c r="B80" s="47" t="s">
        <v>94</v>
      </c>
      <c r="C80" s="47"/>
      <c r="D80" s="47"/>
      <c r="E80" s="836">
        <v>671</v>
      </c>
      <c r="F80" s="121">
        <v>399</v>
      </c>
      <c r="G80" s="844"/>
      <c r="H80" s="121">
        <v>442</v>
      </c>
      <c r="I80" s="840"/>
      <c r="J80" s="231"/>
      <c r="K80" s="231"/>
      <c r="L80" s="231"/>
      <c r="M80" s="231"/>
      <c r="N80" s="231"/>
      <c r="O80" s="231"/>
      <c r="P80" s="231"/>
      <c r="Q80" s="231"/>
      <c r="R80" s="231"/>
      <c r="S80" s="231"/>
      <c r="T80" s="231"/>
      <c r="U80" s="231"/>
      <c r="V80" s="231"/>
      <c r="W80" s="231"/>
      <c r="X80" s="231"/>
      <c r="Y80" s="231"/>
      <c r="Z80" s="231"/>
      <c r="AA80" s="231"/>
      <c r="AB80" s="231"/>
      <c r="AC80" s="231"/>
      <c r="AD80" s="231"/>
      <c r="AE80" s="231"/>
      <c r="AF80" s="231"/>
      <c r="AG80" s="231"/>
      <c r="AH80" s="231"/>
      <c r="AI80" s="231"/>
      <c r="AJ80" s="231"/>
      <c r="AK80" s="231"/>
      <c r="AL80" s="231"/>
      <c r="AM80" s="231"/>
      <c r="AN80" s="231"/>
    </row>
    <row r="81" spans="1:40" s="203" customFormat="1">
      <c r="A81" s="120">
        <v>8</v>
      </c>
      <c r="B81" s="47" t="s">
        <v>95</v>
      </c>
      <c r="C81" s="47"/>
      <c r="D81" s="47"/>
      <c r="E81" s="114">
        <v>13051</v>
      </c>
      <c r="F81" s="52">
        <v>12747</v>
      </c>
      <c r="G81" s="845"/>
      <c r="H81" s="52">
        <v>14474</v>
      </c>
      <c r="I81" s="841"/>
      <c r="J81" s="231"/>
      <c r="K81" s="231"/>
      <c r="L81" s="231"/>
      <c r="M81" s="231"/>
      <c r="N81" s="231"/>
      <c r="O81" s="231"/>
      <c r="P81" s="231"/>
      <c r="Q81" s="231"/>
      <c r="R81" s="231"/>
      <c r="S81" s="231"/>
      <c r="T81" s="231"/>
      <c r="U81" s="231"/>
      <c r="V81" s="231"/>
      <c r="W81" s="231"/>
      <c r="X81" s="231"/>
      <c r="Y81" s="231"/>
      <c r="Z81" s="231"/>
      <c r="AA81" s="231"/>
      <c r="AB81" s="231"/>
      <c r="AC81" s="231"/>
      <c r="AD81" s="231"/>
      <c r="AE81" s="231"/>
      <c r="AF81" s="231"/>
      <c r="AG81" s="231"/>
      <c r="AH81" s="231"/>
      <c r="AI81" s="231"/>
      <c r="AJ81" s="231"/>
      <c r="AK81" s="231"/>
      <c r="AL81" s="231"/>
      <c r="AM81" s="231"/>
      <c r="AN81" s="231"/>
    </row>
    <row r="82" spans="1:40" s="203" customFormat="1">
      <c r="A82" s="120">
        <v>9</v>
      </c>
      <c r="B82" s="47" t="s">
        <v>96</v>
      </c>
      <c r="C82" s="47"/>
      <c r="D82" s="47"/>
      <c r="E82" s="114">
        <v>11429</v>
      </c>
      <c r="F82" s="52">
        <v>10896</v>
      </c>
      <c r="G82" s="845"/>
      <c r="H82" s="52">
        <v>12269</v>
      </c>
      <c r="I82" s="841"/>
      <c r="J82" s="231"/>
      <c r="K82" s="231"/>
      <c r="L82" s="231"/>
      <c r="M82" s="231"/>
      <c r="N82" s="231"/>
      <c r="O82" s="231"/>
      <c r="P82" s="231"/>
      <c r="Q82" s="231"/>
      <c r="R82" s="231"/>
      <c r="S82" s="231"/>
      <c r="T82" s="231"/>
      <c r="U82" s="231"/>
      <c r="V82" s="231"/>
      <c r="W82" s="231"/>
      <c r="X82" s="231"/>
      <c r="Y82" s="231"/>
      <c r="Z82" s="231"/>
      <c r="AA82" s="231"/>
      <c r="AB82" s="231"/>
      <c r="AC82" s="231"/>
      <c r="AD82" s="231"/>
      <c r="AE82" s="231"/>
      <c r="AF82" s="231"/>
      <c r="AG82" s="231"/>
      <c r="AH82" s="231"/>
      <c r="AI82" s="231"/>
      <c r="AJ82" s="231"/>
      <c r="AK82" s="231"/>
      <c r="AL82" s="231"/>
      <c r="AM82" s="231"/>
      <c r="AN82" s="231"/>
    </row>
    <row r="83" spans="1:40" s="203" customFormat="1">
      <c r="A83" s="120">
        <v>10</v>
      </c>
      <c r="B83" s="90" t="s">
        <v>97</v>
      </c>
      <c r="C83" s="47"/>
      <c r="D83" s="47"/>
      <c r="E83" s="114">
        <v>7664</v>
      </c>
      <c r="F83" s="52">
        <v>8481</v>
      </c>
      <c r="G83" s="845"/>
      <c r="H83" s="52">
        <v>8665</v>
      </c>
      <c r="I83" s="841"/>
      <c r="J83" s="231"/>
      <c r="K83" s="231"/>
      <c r="L83" s="231"/>
      <c r="M83" s="231"/>
      <c r="N83" s="231"/>
      <c r="O83" s="231"/>
      <c r="P83" s="231"/>
      <c r="Q83" s="231"/>
      <c r="R83" s="231"/>
      <c r="S83" s="231"/>
      <c r="T83" s="231"/>
      <c r="U83" s="231"/>
      <c r="V83" s="231"/>
      <c r="W83" s="231"/>
      <c r="X83" s="231"/>
      <c r="Y83" s="231"/>
      <c r="Z83" s="231"/>
      <c r="AA83" s="231"/>
      <c r="AB83" s="231"/>
      <c r="AC83" s="231"/>
      <c r="AD83" s="231"/>
      <c r="AE83" s="231"/>
      <c r="AF83" s="231"/>
      <c r="AG83" s="231"/>
      <c r="AH83" s="231"/>
      <c r="AI83" s="231"/>
      <c r="AJ83" s="231"/>
      <c r="AK83" s="231"/>
      <c r="AL83" s="231"/>
      <c r="AM83" s="231"/>
      <c r="AN83" s="231"/>
    </row>
    <row r="84" spans="1:40" s="203" customFormat="1">
      <c r="A84" s="120">
        <v>11</v>
      </c>
      <c r="B84" s="90" t="s">
        <v>98</v>
      </c>
      <c r="C84" s="47"/>
      <c r="D84" s="47"/>
      <c r="E84" s="114">
        <v>1497</v>
      </c>
      <c r="F84" s="52">
        <v>1686</v>
      </c>
      <c r="G84" s="845"/>
      <c r="H84" s="52">
        <v>1606</v>
      </c>
      <c r="I84" s="841"/>
      <c r="J84" s="231"/>
      <c r="K84" s="231"/>
      <c r="L84" s="231"/>
      <c r="M84" s="231"/>
      <c r="N84" s="231"/>
      <c r="O84" s="231"/>
      <c r="P84" s="231"/>
      <c r="Q84" s="231"/>
      <c r="R84" s="231"/>
      <c r="S84" s="231"/>
      <c r="T84" s="231"/>
      <c r="U84" s="231"/>
      <c r="V84" s="231"/>
      <c r="W84" s="231"/>
      <c r="X84" s="231"/>
      <c r="Y84" s="231"/>
      <c r="Z84" s="231"/>
      <c r="AA84" s="231"/>
      <c r="AB84" s="231"/>
      <c r="AC84" s="231"/>
      <c r="AD84" s="231"/>
      <c r="AE84" s="231"/>
      <c r="AF84" s="231"/>
      <c r="AG84" s="231"/>
      <c r="AH84" s="231"/>
      <c r="AI84" s="231"/>
      <c r="AJ84" s="231"/>
      <c r="AK84" s="231"/>
      <c r="AL84" s="231"/>
      <c r="AM84" s="231"/>
      <c r="AN84" s="231"/>
    </row>
    <row r="85" spans="1:40" s="203" customFormat="1">
      <c r="A85" s="120">
        <v>12</v>
      </c>
      <c r="B85" s="47" t="s">
        <v>99</v>
      </c>
      <c r="C85" s="47"/>
      <c r="D85" s="47"/>
      <c r="E85" s="114">
        <v>40.336448004480076</v>
      </c>
      <c r="F85" s="52">
        <v>15</v>
      </c>
      <c r="G85" s="845"/>
      <c r="H85" s="52">
        <v>15</v>
      </c>
      <c r="I85" s="841"/>
      <c r="J85" s="231"/>
      <c r="K85" s="231"/>
      <c r="L85" s="231"/>
      <c r="M85" s="231"/>
      <c r="N85" s="231"/>
      <c r="O85" s="231"/>
      <c r="P85" s="231"/>
      <c r="Q85" s="231"/>
      <c r="R85" s="231"/>
      <c r="S85" s="231"/>
      <c r="T85" s="231"/>
      <c r="U85" s="231"/>
      <c r="V85" s="231"/>
      <c r="W85" s="231"/>
      <c r="X85" s="231"/>
      <c r="Y85" s="231"/>
      <c r="Z85" s="231"/>
      <c r="AA85" s="231"/>
      <c r="AB85" s="231"/>
      <c r="AC85" s="231"/>
      <c r="AD85" s="231"/>
      <c r="AE85" s="231"/>
      <c r="AF85" s="231"/>
      <c r="AG85" s="231"/>
      <c r="AH85" s="231"/>
      <c r="AI85" s="231"/>
      <c r="AJ85" s="231"/>
      <c r="AK85" s="231"/>
      <c r="AL85" s="231"/>
      <c r="AM85" s="231"/>
      <c r="AN85" s="231"/>
    </row>
    <row r="86" spans="1:40" s="203" customFormat="1">
      <c r="A86" s="120">
        <v>13</v>
      </c>
      <c r="B86" s="47" t="s">
        <v>100</v>
      </c>
      <c r="C86" s="47"/>
      <c r="D86" s="47"/>
      <c r="E86" s="114">
        <v>7351</v>
      </c>
      <c r="F86" s="52">
        <v>8874</v>
      </c>
      <c r="G86" s="845"/>
      <c r="H86" s="52">
        <v>9482</v>
      </c>
      <c r="I86" s="841"/>
      <c r="J86" s="231"/>
      <c r="K86" s="231"/>
      <c r="L86" s="231"/>
      <c r="M86" s="231"/>
      <c r="N86" s="231"/>
      <c r="O86" s="231"/>
      <c r="P86" s="231"/>
      <c r="Q86" s="231"/>
      <c r="R86" s="231"/>
      <c r="S86" s="231"/>
      <c r="T86" s="231"/>
      <c r="U86" s="231"/>
      <c r="V86" s="231"/>
      <c r="W86" s="231"/>
      <c r="X86" s="231"/>
      <c r="Y86" s="231"/>
      <c r="Z86" s="231"/>
      <c r="AA86" s="231"/>
      <c r="AB86" s="231"/>
      <c r="AC86" s="231"/>
      <c r="AD86" s="231"/>
      <c r="AE86" s="231"/>
      <c r="AF86" s="231"/>
      <c r="AG86" s="231"/>
      <c r="AH86" s="231"/>
      <c r="AI86" s="231"/>
      <c r="AJ86" s="231"/>
      <c r="AK86" s="231"/>
      <c r="AL86" s="231"/>
      <c r="AM86" s="231"/>
      <c r="AN86" s="231"/>
    </row>
    <row r="87" spans="1:40" s="203" customFormat="1">
      <c r="A87" s="120">
        <v>14</v>
      </c>
      <c r="B87" s="47" t="s">
        <v>101</v>
      </c>
      <c r="C87" s="47"/>
      <c r="D87" s="47"/>
      <c r="E87" s="114">
        <v>0</v>
      </c>
      <c r="F87" s="52">
        <v>0</v>
      </c>
      <c r="G87" s="845"/>
      <c r="H87" s="52">
        <v>0</v>
      </c>
      <c r="I87" s="841"/>
      <c r="J87" s="231"/>
      <c r="K87" s="231"/>
      <c r="L87" s="231"/>
      <c r="M87" s="231"/>
      <c r="N87" s="231"/>
      <c r="O87" s="231"/>
      <c r="P87" s="231"/>
      <c r="Q87" s="231"/>
      <c r="R87" s="231"/>
      <c r="S87" s="231"/>
      <c r="T87" s="231"/>
      <c r="U87" s="231"/>
      <c r="V87" s="231"/>
      <c r="W87" s="231"/>
      <c r="X87" s="231"/>
      <c r="Y87" s="231"/>
      <c r="Z87" s="231"/>
      <c r="AA87" s="231"/>
      <c r="AB87" s="231"/>
      <c r="AC87" s="231"/>
      <c r="AD87" s="231"/>
      <c r="AE87" s="231"/>
      <c r="AF87" s="231"/>
      <c r="AG87" s="231"/>
      <c r="AH87" s="231"/>
      <c r="AI87" s="231"/>
      <c r="AJ87" s="231"/>
      <c r="AK87" s="231"/>
      <c r="AL87" s="231"/>
      <c r="AM87" s="231"/>
      <c r="AN87" s="231"/>
    </row>
    <row r="88" spans="1:40" s="203" customFormat="1">
      <c r="A88" s="124">
        <v>15</v>
      </c>
      <c r="B88" s="125" t="s">
        <v>102</v>
      </c>
      <c r="C88" s="54"/>
      <c r="D88" s="54"/>
      <c r="E88" s="837">
        <v>0</v>
      </c>
      <c r="F88" s="126">
        <v>0</v>
      </c>
      <c r="G88" s="846"/>
      <c r="H88" s="126">
        <v>0</v>
      </c>
      <c r="I88" s="843"/>
      <c r="J88" s="231"/>
      <c r="K88" s="231"/>
      <c r="L88" s="231"/>
      <c r="M88" s="231"/>
      <c r="N88" s="231"/>
      <c r="O88" s="231"/>
      <c r="P88" s="231"/>
      <c r="Q88" s="231"/>
      <c r="R88" s="231"/>
      <c r="S88" s="231"/>
      <c r="T88" s="231"/>
      <c r="U88" s="231"/>
      <c r="V88" s="231"/>
      <c r="W88" s="231"/>
      <c r="X88" s="231"/>
      <c r="Y88" s="231"/>
      <c r="Z88" s="231"/>
      <c r="AA88" s="231"/>
      <c r="AB88" s="231"/>
      <c r="AC88" s="231"/>
      <c r="AD88" s="231"/>
      <c r="AE88" s="231"/>
      <c r="AF88" s="231"/>
      <c r="AG88" s="231"/>
      <c r="AH88" s="231"/>
      <c r="AI88" s="231"/>
      <c r="AJ88" s="231"/>
      <c r="AK88" s="231"/>
      <c r="AL88" s="231"/>
      <c r="AM88" s="231"/>
      <c r="AN88" s="231"/>
    </row>
    <row r="89" spans="1:40" s="203" customFormat="1">
      <c r="A89" s="128"/>
      <c r="B89" s="129"/>
      <c r="C89" s="129"/>
      <c r="D89" s="129"/>
      <c r="E89" s="15"/>
      <c r="F89" s="130"/>
      <c r="G89" s="29"/>
      <c r="H89" s="207"/>
      <c r="I89" s="29"/>
      <c r="J89" s="231"/>
      <c r="K89" s="231"/>
      <c r="L89" s="231"/>
      <c r="M89" s="231"/>
      <c r="N89" s="231"/>
      <c r="O89" s="231"/>
      <c r="P89" s="231"/>
      <c r="Q89" s="231"/>
      <c r="R89" s="231"/>
      <c r="S89" s="231"/>
      <c r="T89" s="231"/>
      <c r="U89" s="231"/>
      <c r="V89" s="231"/>
      <c r="W89" s="231"/>
      <c r="X89" s="231"/>
      <c r="Y89" s="231"/>
      <c r="Z89" s="231"/>
      <c r="AA89" s="231"/>
      <c r="AB89" s="231"/>
      <c r="AC89" s="231"/>
      <c r="AD89" s="231"/>
      <c r="AE89" s="231"/>
      <c r="AF89" s="231"/>
      <c r="AG89" s="231"/>
      <c r="AH89" s="231"/>
      <c r="AI89" s="231"/>
      <c r="AJ89" s="231"/>
      <c r="AK89" s="231"/>
      <c r="AL89" s="231"/>
      <c r="AM89" s="231"/>
      <c r="AN89" s="231"/>
    </row>
    <row r="90" spans="1:40" s="203" customFormat="1">
      <c r="A90" s="128"/>
      <c r="B90" s="129"/>
      <c r="C90" s="129"/>
      <c r="D90" s="129"/>
      <c r="E90" s="105"/>
      <c r="F90" s="130"/>
      <c r="G90" s="29"/>
      <c r="H90" s="131" t="s">
        <v>27</v>
      </c>
      <c r="I90" s="29"/>
      <c r="J90" s="231"/>
      <c r="K90" s="231"/>
      <c r="L90" s="231"/>
      <c r="M90" s="231"/>
      <c r="N90" s="231"/>
      <c r="O90" s="231"/>
      <c r="P90" s="231"/>
      <c r="Q90" s="231"/>
      <c r="R90" s="231"/>
      <c r="S90" s="231"/>
      <c r="T90" s="231"/>
      <c r="U90" s="231"/>
      <c r="V90" s="231"/>
      <c r="W90" s="231"/>
      <c r="X90" s="231"/>
      <c r="Y90" s="231"/>
      <c r="Z90" s="231"/>
      <c r="AA90" s="231"/>
      <c r="AB90" s="231"/>
      <c r="AC90" s="231"/>
      <c r="AD90" s="231"/>
      <c r="AE90" s="231"/>
      <c r="AF90" s="231"/>
      <c r="AG90" s="231"/>
      <c r="AH90" s="231"/>
      <c r="AI90" s="231"/>
      <c r="AJ90" s="231"/>
      <c r="AK90" s="231"/>
      <c r="AL90" s="231"/>
      <c r="AM90" s="231"/>
      <c r="AN90" s="231"/>
    </row>
    <row r="91" spans="1:40" s="203" customFormat="1">
      <c r="A91" s="106" t="s">
        <v>17</v>
      </c>
      <c r="B91" s="107"/>
      <c r="C91" s="107"/>
      <c r="D91" s="107"/>
      <c r="E91" s="856" t="s">
        <v>421</v>
      </c>
      <c r="F91" s="856" t="s">
        <v>402</v>
      </c>
      <c r="G91" s="257"/>
      <c r="H91" s="856" t="s">
        <v>403</v>
      </c>
      <c r="I91" s="29"/>
      <c r="J91" s="231"/>
      <c r="K91" s="231"/>
      <c r="L91" s="231"/>
      <c r="M91" s="231"/>
      <c r="N91" s="231"/>
      <c r="O91" s="231"/>
      <c r="P91" s="231"/>
      <c r="Q91" s="231"/>
      <c r="R91" s="231"/>
      <c r="S91" s="231"/>
      <c r="T91" s="231"/>
      <c r="U91" s="231"/>
      <c r="V91" s="231"/>
      <c r="W91" s="231"/>
      <c r="X91" s="231"/>
      <c r="Y91" s="231"/>
      <c r="Z91" s="231"/>
      <c r="AA91" s="231"/>
      <c r="AB91" s="231"/>
      <c r="AC91" s="231"/>
      <c r="AD91" s="231"/>
      <c r="AE91" s="231"/>
      <c r="AF91" s="231"/>
      <c r="AG91" s="231"/>
      <c r="AH91" s="231"/>
      <c r="AI91" s="231"/>
      <c r="AJ91" s="231"/>
      <c r="AK91" s="231"/>
      <c r="AL91" s="231"/>
      <c r="AM91" s="231"/>
      <c r="AN91" s="231"/>
    </row>
    <row r="92" spans="1:40" s="203" customFormat="1" ht="12.75" customHeight="1">
      <c r="A92" s="109"/>
      <c r="B92" s="132"/>
      <c r="C92" s="132"/>
      <c r="D92" s="132"/>
      <c r="E92" s="859"/>
      <c r="F92" s="859"/>
      <c r="G92" s="29"/>
      <c r="H92" s="859"/>
      <c r="I92" s="29"/>
      <c r="J92" s="231"/>
      <c r="K92" s="231"/>
      <c r="L92" s="231"/>
      <c r="M92" s="231"/>
      <c r="N92" s="231"/>
      <c r="O92" s="231"/>
      <c r="P92" s="231"/>
      <c r="Q92" s="231"/>
      <c r="R92" s="231"/>
      <c r="S92" s="231"/>
      <c r="T92" s="231"/>
      <c r="U92" s="231"/>
      <c r="V92" s="231"/>
      <c r="W92" s="231"/>
      <c r="X92" s="231"/>
      <c r="Y92" s="231"/>
      <c r="Z92" s="231"/>
      <c r="AA92" s="231"/>
      <c r="AB92" s="231"/>
      <c r="AC92" s="231"/>
      <c r="AD92" s="231"/>
      <c r="AE92" s="231"/>
      <c r="AF92" s="231"/>
      <c r="AG92" s="231"/>
      <c r="AH92" s="231"/>
      <c r="AI92" s="231"/>
      <c r="AJ92" s="231"/>
      <c r="AK92" s="231"/>
      <c r="AL92" s="231"/>
      <c r="AM92" s="231"/>
      <c r="AN92" s="231"/>
    </row>
    <row r="93" spans="1:40" s="203" customFormat="1">
      <c r="A93" s="109" t="s">
        <v>103</v>
      </c>
      <c r="B93" s="132"/>
      <c r="C93" s="132"/>
      <c r="D93" s="132"/>
      <c r="E93" s="859"/>
      <c r="F93" s="859"/>
      <c r="G93" s="29"/>
      <c r="H93" s="859"/>
      <c r="I93" s="29"/>
      <c r="J93" s="231"/>
      <c r="K93" s="231"/>
      <c r="L93" s="231"/>
      <c r="M93" s="231"/>
      <c r="N93" s="231"/>
      <c r="O93" s="231"/>
      <c r="P93" s="231"/>
      <c r="Q93" s="231"/>
      <c r="R93" s="231"/>
      <c r="S93" s="231"/>
      <c r="T93" s="231"/>
      <c r="U93" s="231"/>
      <c r="V93" s="231"/>
      <c r="W93" s="231"/>
      <c r="X93" s="231"/>
      <c r="Y93" s="231"/>
      <c r="Z93" s="231"/>
      <c r="AA93" s="231"/>
      <c r="AB93" s="231"/>
      <c r="AC93" s="231"/>
      <c r="AD93" s="231"/>
      <c r="AE93" s="231"/>
      <c r="AF93" s="231"/>
      <c r="AG93" s="231"/>
      <c r="AH93" s="231"/>
      <c r="AI93" s="231"/>
      <c r="AJ93" s="231"/>
      <c r="AK93" s="231"/>
      <c r="AL93" s="231"/>
      <c r="AM93" s="231"/>
      <c r="AN93" s="231"/>
    </row>
    <row r="94" spans="1:40" s="203" customFormat="1">
      <c r="A94" s="109" t="s">
        <v>83</v>
      </c>
      <c r="B94" s="132"/>
      <c r="C94" s="132"/>
      <c r="D94" s="132"/>
      <c r="E94" s="859"/>
      <c r="F94" s="859"/>
      <c r="G94" s="130"/>
      <c r="H94" s="859"/>
      <c r="I94" s="29"/>
      <c r="J94" s="231"/>
      <c r="K94" s="231"/>
      <c r="L94" s="231"/>
      <c r="M94" s="231"/>
      <c r="N94" s="231"/>
      <c r="O94" s="231"/>
      <c r="P94" s="231"/>
      <c r="Q94" s="231"/>
      <c r="R94" s="231"/>
      <c r="S94" s="231"/>
      <c r="T94" s="231"/>
      <c r="U94" s="231"/>
      <c r="V94" s="231"/>
      <c r="W94" s="231"/>
      <c r="X94" s="231"/>
      <c r="Y94" s="231"/>
      <c r="Z94" s="231"/>
      <c r="AA94" s="231"/>
      <c r="AB94" s="231"/>
      <c r="AC94" s="231"/>
      <c r="AD94" s="231"/>
      <c r="AE94" s="231"/>
      <c r="AF94" s="231"/>
      <c r="AG94" s="231"/>
      <c r="AH94" s="231"/>
      <c r="AI94" s="231"/>
      <c r="AJ94" s="231"/>
      <c r="AK94" s="231"/>
      <c r="AL94" s="231"/>
      <c r="AM94" s="231"/>
      <c r="AN94" s="231"/>
    </row>
    <row r="95" spans="1:40" s="203" customFormat="1">
      <c r="A95" s="110" t="s">
        <v>84</v>
      </c>
      <c r="B95" s="132"/>
      <c r="C95" s="132"/>
      <c r="D95" s="132"/>
      <c r="E95" s="860"/>
      <c r="F95" s="860"/>
      <c r="G95" s="130"/>
      <c r="H95" s="860"/>
      <c r="I95" s="130"/>
      <c r="J95" s="231"/>
      <c r="K95" s="231"/>
      <c r="L95" s="231"/>
      <c r="M95" s="231"/>
      <c r="N95" s="231"/>
      <c r="O95" s="231"/>
      <c r="P95" s="231"/>
      <c r="Q95" s="231"/>
      <c r="R95" s="231"/>
      <c r="S95" s="231"/>
      <c r="T95" s="231"/>
      <c r="U95" s="231"/>
      <c r="V95" s="231"/>
      <c r="W95" s="231"/>
      <c r="X95" s="231"/>
      <c r="Y95" s="231"/>
      <c r="Z95" s="231"/>
      <c r="AA95" s="231"/>
      <c r="AB95" s="231"/>
      <c r="AC95" s="231"/>
      <c r="AD95" s="231"/>
      <c r="AE95" s="231"/>
      <c r="AF95" s="231"/>
      <c r="AG95" s="231"/>
      <c r="AH95" s="231"/>
      <c r="AI95" s="231"/>
      <c r="AJ95" s="231"/>
      <c r="AK95" s="231"/>
      <c r="AL95" s="231"/>
      <c r="AM95" s="231"/>
      <c r="AN95" s="231"/>
    </row>
    <row r="96" spans="1:40" s="203" customFormat="1">
      <c r="A96" s="120">
        <v>1</v>
      </c>
      <c r="B96" s="47" t="s">
        <v>104</v>
      </c>
      <c r="C96" s="47"/>
      <c r="D96" s="47"/>
      <c r="E96" s="41">
        <v>265.76431014986156</v>
      </c>
      <c r="F96" s="52">
        <v>740</v>
      </c>
      <c r="G96" s="118"/>
      <c r="H96" s="121">
        <v>562</v>
      </c>
      <c r="I96" s="139"/>
      <c r="J96" s="231"/>
      <c r="K96" s="231"/>
      <c r="L96" s="231"/>
      <c r="M96" s="231"/>
      <c r="N96" s="231"/>
      <c r="O96" s="231"/>
      <c r="P96" s="231"/>
      <c r="Q96" s="231"/>
      <c r="R96" s="231"/>
      <c r="S96" s="231"/>
      <c r="T96" s="231"/>
      <c r="U96" s="231"/>
      <c r="V96" s="231"/>
      <c r="W96" s="231"/>
      <c r="X96" s="231"/>
      <c r="Y96" s="231"/>
      <c r="Z96" s="231"/>
      <c r="AA96" s="231"/>
      <c r="AB96" s="231"/>
      <c r="AC96" s="231"/>
      <c r="AD96" s="231"/>
      <c r="AE96" s="231"/>
      <c r="AF96" s="231"/>
      <c r="AG96" s="231"/>
      <c r="AH96" s="231"/>
      <c r="AI96" s="231"/>
      <c r="AJ96" s="231"/>
      <c r="AK96" s="231"/>
      <c r="AL96" s="231"/>
      <c r="AM96" s="231"/>
      <c r="AN96" s="231"/>
    </row>
    <row r="97" spans="1:40" s="203" customFormat="1">
      <c r="A97" s="120">
        <v>2</v>
      </c>
      <c r="B97" s="47" t="s">
        <v>105</v>
      </c>
      <c r="C97" s="47"/>
      <c r="D97" s="47"/>
      <c r="E97" s="49">
        <v>43.145869855676523</v>
      </c>
      <c r="F97" s="52">
        <v>18</v>
      </c>
      <c r="G97" s="118"/>
      <c r="H97" s="204">
        <v>38</v>
      </c>
      <c r="I97" s="139"/>
      <c r="J97" s="231"/>
      <c r="K97" s="231"/>
      <c r="L97" s="231"/>
      <c r="M97" s="231"/>
      <c r="N97" s="231"/>
      <c r="O97" s="231"/>
      <c r="P97" s="231"/>
      <c r="Q97" s="231"/>
      <c r="R97" s="231"/>
      <c r="S97" s="231"/>
      <c r="T97" s="231"/>
      <c r="U97" s="231"/>
      <c r="V97" s="231"/>
      <c r="W97" s="231"/>
      <c r="X97" s="231"/>
      <c r="Y97" s="231"/>
      <c r="Z97" s="231"/>
      <c r="AA97" s="231"/>
      <c r="AB97" s="231"/>
      <c r="AC97" s="231"/>
      <c r="AD97" s="231"/>
      <c r="AE97" s="231"/>
      <c r="AF97" s="231"/>
      <c r="AG97" s="231"/>
      <c r="AH97" s="231"/>
      <c r="AI97" s="231"/>
      <c r="AJ97" s="231"/>
      <c r="AK97" s="231"/>
      <c r="AL97" s="231"/>
      <c r="AM97" s="231"/>
      <c r="AN97" s="231"/>
    </row>
    <row r="98" spans="1:40" s="203" customFormat="1">
      <c r="A98" s="120">
        <v>3</v>
      </c>
      <c r="B98" s="47" t="s">
        <v>106</v>
      </c>
      <c r="C98" s="47"/>
      <c r="D98" s="47"/>
      <c r="E98" s="114">
        <v>11718.431156276001</v>
      </c>
      <c r="F98" s="50">
        <f>F115</f>
        <v>11600</v>
      </c>
      <c r="G98" s="118"/>
      <c r="H98" s="50">
        <f>H115</f>
        <v>11810</v>
      </c>
      <c r="I98" s="139"/>
      <c r="J98" s="231"/>
      <c r="K98" s="231"/>
      <c r="L98" s="231"/>
      <c r="M98" s="231"/>
      <c r="N98" s="231"/>
      <c r="O98" s="231"/>
      <c r="P98" s="231"/>
      <c r="Q98" s="231"/>
      <c r="R98" s="231"/>
      <c r="S98" s="231"/>
      <c r="T98" s="231"/>
      <c r="U98" s="231"/>
      <c r="V98" s="231"/>
      <c r="W98" s="231"/>
      <c r="X98" s="231"/>
      <c r="Y98" s="231"/>
      <c r="Z98" s="231"/>
      <c r="AA98" s="231"/>
      <c r="AB98" s="231"/>
      <c r="AC98" s="231"/>
      <c r="AD98" s="231"/>
      <c r="AE98" s="231"/>
      <c r="AF98" s="231"/>
      <c r="AG98" s="231"/>
      <c r="AH98" s="231"/>
      <c r="AI98" s="231"/>
      <c r="AJ98" s="231"/>
      <c r="AK98" s="231"/>
      <c r="AL98" s="231"/>
      <c r="AM98" s="231"/>
      <c r="AN98" s="231"/>
    </row>
    <row r="99" spans="1:40" s="203" customFormat="1">
      <c r="A99" s="120">
        <v>4</v>
      </c>
      <c r="B99" s="47" t="s">
        <v>107</v>
      </c>
      <c r="C99" s="47"/>
      <c r="D99" s="47"/>
      <c r="E99" s="114">
        <v>11245.112063608238</v>
      </c>
      <c r="F99" s="50">
        <f>F125</f>
        <v>11220</v>
      </c>
      <c r="G99" s="118"/>
      <c r="H99" s="50">
        <f>H125</f>
        <v>10162</v>
      </c>
      <c r="I99" s="139"/>
      <c r="J99" s="231"/>
      <c r="K99" s="231"/>
      <c r="L99" s="231"/>
      <c r="M99" s="231"/>
      <c r="N99" s="231"/>
      <c r="O99" s="231"/>
      <c r="P99" s="231"/>
      <c r="Q99" s="231"/>
      <c r="R99" s="231"/>
      <c r="S99" s="231"/>
      <c r="T99" s="231"/>
      <c r="U99" s="231"/>
      <c r="V99" s="231"/>
      <c r="W99" s="231"/>
      <c r="X99" s="231"/>
      <c r="Y99" s="231"/>
      <c r="Z99" s="231"/>
      <c r="AA99" s="231"/>
      <c r="AB99" s="231"/>
      <c r="AC99" s="231"/>
      <c r="AD99" s="231"/>
      <c r="AE99" s="231"/>
      <c r="AF99" s="231"/>
      <c r="AG99" s="231"/>
      <c r="AH99" s="231"/>
      <c r="AI99" s="231"/>
      <c r="AJ99" s="231"/>
      <c r="AK99" s="231"/>
      <c r="AL99" s="231"/>
      <c r="AM99" s="231"/>
      <c r="AN99" s="231"/>
    </row>
    <row r="100" spans="1:40" s="203" customFormat="1">
      <c r="A100" s="120">
        <v>5</v>
      </c>
      <c r="B100" s="47" t="s">
        <v>108</v>
      </c>
      <c r="C100" s="47"/>
      <c r="D100" s="47"/>
      <c r="E100" s="114">
        <v>712.70206553423054</v>
      </c>
      <c r="F100" s="50">
        <f>F135</f>
        <v>737</v>
      </c>
      <c r="G100" s="118"/>
      <c r="H100" s="50">
        <f>H135</f>
        <v>866</v>
      </c>
      <c r="I100" s="139"/>
      <c r="J100" s="231"/>
      <c r="K100" s="231"/>
      <c r="L100" s="231"/>
      <c r="M100" s="231"/>
      <c r="N100" s="231"/>
      <c r="O100" s="231"/>
      <c r="P100" s="231"/>
      <c r="Q100" s="231"/>
      <c r="R100" s="231"/>
      <c r="S100" s="231"/>
      <c r="T100" s="231"/>
      <c r="U100" s="231"/>
      <c r="V100" s="231"/>
      <c r="W100" s="231"/>
      <c r="X100" s="231"/>
      <c r="Y100" s="231"/>
      <c r="Z100" s="231"/>
      <c r="AA100" s="231"/>
      <c r="AB100" s="231"/>
      <c r="AC100" s="231"/>
      <c r="AD100" s="231"/>
      <c r="AE100" s="231"/>
      <c r="AF100" s="231"/>
      <c r="AG100" s="231"/>
      <c r="AH100" s="231"/>
      <c r="AI100" s="231"/>
      <c r="AJ100" s="231"/>
      <c r="AK100" s="231"/>
      <c r="AL100" s="231"/>
      <c r="AM100" s="231"/>
      <c r="AN100" s="231"/>
    </row>
    <row r="101" spans="1:40" s="203" customFormat="1">
      <c r="A101" s="120">
        <v>6</v>
      </c>
      <c r="B101" s="47" t="s">
        <v>109</v>
      </c>
      <c r="C101" s="47"/>
      <c r="D101" s="47"/>
      <c r="E101" s="114">
        <v>4750.8780338771712</v>
      </c>
      <c r="F101" s="50">
        <f>F143</f>
        <v>5807</v>
      </c>
      <c r="G101" s="118"/>
      <c r="H101" s="50">
        <f>H143</f>
        <v>5755</v>
      </c>
      <c r="I101" s="139"/>
      <c r="J101" s="231"/>
      <c r="K101" s="231"/>
      <c r="L101" s="231"/>
      <c r="M101" s="231"/>
      <c r="N101" s="231"/>
      <c r="O101" s="231"/>
      <c r="P101" s="231"/>
      <c r="Q101" s="231"/>
      <c r="R101" s="231"/>
      <c r="S101" s="231"/>
      <c r="T101" s="231"/>
      <c r="U101" s="231"/>
      <c r="V101" s="231"/>
      <c r="W101" s="231"/>
      <c r="X101" s="231"/>
      <c r="Y101" s="231"/>
      <c r="Z101" s="231"/>
      <c r="AA101" s="231"/>
      <c r="AB101" s="231"/>
      <c r="AC101" s="231"/>
      <c r="AD101" s="231"/>
      <c r="AE101" s="231"/>
      <c r="AF101" s="231"/>
      <c r="AG101" s="231"/>
      <c r="AH101" s="231"/>
      <c r="AI101" s="231"/>
      <c r="AJ101" s="231"/>
      <c r="AK101" s="231"/>
      <c r="AL101" s="231"/>
      <c r="AM101" s="231"/>
      <c r="AN101" s="231"/>
    </row>
    <row r="102" spans="1:40" s="203" customFormat="1">
      <c r="A102" s="120">
        <v>7</v>
      </c>
      <c r="B102" s="47" t="s">
        <v>110</v>
      </c>
      <c r="C102" s="47"/>
      <c r="D102" s="47"/>
      <c r="E102" s="114">
        <v>2076.5713764372467</v>
      </c>
      <c r="F102" s="50">
        <f>F150</f>
        <v>1448</v>
      </c>
      <c r="G102" s="118"/>
      <c r="H102" s="50">
        <f>H150</f>
        <v>1752</v>
      </c>
      <c r="I102" s="139"/>
      <c r="J102" s="231"/>
      <c r="K102" s="231"/>
      <c r="L102" s="231"/>
      <c r="M102" s="231"/>
      <c r="N102" s="231"/>
      <c r="O102" s="231"/>
      <c r="P102" s="231"/>
      <c r="Q102" s="231"/>
      <c r="R102" s="231"/>
      <c r="S102" s="231"/>
      <c r="T102" s="231"/>
      <c r="U102" s="231"/>
      <c r="V102" s="231"/>
      <c r="W102" s="231"/>
      <c r="X102" s="231"/>
      <c r="Y102" s="231"/>
      <c r="Z102" s="231"/>
      <c r="AA102" s="231"/>
      <c r="AB102" s="231"/>
      <c r="AC102" s="231"/>
      <c r="AD102" s="231"/>
      <c r="AE102" s="231"/>
      <c r="AF102" s="231"/>
      <c r="AG102" s="231"/>
      <c r="AH102" s="231"/>
      <c r="AI102" s="231"/>
      <c r="AJ102" s="231"/>
      <c r="AK102" s="231"/>
      <c r="AL102" s="231"/>
      <c r="AM102" s="231"/>
      <c r="AN102" s="231"/>
    </row>
    <row r="103" spans="1:40" s="203" customFormat="1">
      <c r="A103" s="120">
        <v>8</v>
      </c>
      <c r="B103" s="47" t="s">
        <v>111</v>
      </c>
      <c r="C103" s="47"/>
      <c r="D103" s="47"/>
      <c r="E103" s="114">
        <v>196.09544682972935</v>
      </c>
      <c r="F103" s="52">
        <v>112</v>
      </c>
      <c r="G103" s="118"/>
      <c r="H103" s="52">
        <v>76</v>
      </c>
      <c r="I103" s="139"/>
      <c r="J103" s="231"/>
      <c r="K103" s="231"/>
      <c r="L103" s="231"/>
      <c r="M103" s="231"/>
      <c r="N103" s="231"/>
      <c r="O103" s="231"/>
      <c r="P103" s="231"/>
      <c r="Q103" s="231"/>
      <c r="R103" s="231"/>
      <c r="S103" s="231"/>
      <c r="T103" s="231"/>
      <c r="U103" s="231"/>
      <c r="V103" s="231"/>
      <c r="W103" s="231"/>
      <c r="X103" s="231"/>
      <c r="Y103" s="231"/>
      <c r="Z103" s="231"/>
      <c r="AA103" s="231"/>
      <c r="AB103" s="231"/>
      <c r="AC103" s="231"/>
      <c r="AD103" s="231"/>
      <c r="AE103" s="231"/>
      <c r="AF103" s="231"/>
      <c r="AG103" s="231"/>
      <c r="AH103" s="231"/>
      <c r="AI103" s="231"/>
      <c r="AJ103" s="231"/>
      <c r="AK103" s="231"/>
      <c r="AL103" s="231"/>
      <c r="AM103" s="231"/>
      <c r="AN103" s="231"/>
    </row>
    <row r="104" spans="1:40" s="203" customFormat="1">
      <c r="A104" s="120">
        <v>9</v>
      </c>
      <c r="B104" s="47" t="s">
        <v>112</v>
      </c>
      <c r="C104" s="47"/>
      <c r="D104" s="47"/>
      <c r="E104" s="114">
        <v>1608.4087634379332</v>
      </c>
      <c r="F104" s="52">
        <v>1646</v>
      </c>
      <c r="G104" s="118"/>
      <c r="H104" s="834">
        <v>1670</v>
      </c>
      <c r="I104" s="139"/>
      <c r="J104" s="231"/>
      <c r="K104" s="231"/>
      <c r="L104" s="231"/>
      <c r="M104" s="231"/>
      <c r="N104" s="231"/>
      <c r="O104" s="231"/>
      <c r="P104" s="231"/>
      <c r="Q104" s="231"/>
      <c r="R104" s="231"/>
      <c r="S104" s="231"/>
      <c r="T104" s="231"/>
      <c r="U104" s="231"/>
      <c r="V104" s="231"/>
      <c r="W104" s="231"/>
      <c r="X104" s="231"/>
      <c r="Y104" s="231"/>
      <c r="Z104" s="231"/>
      <c r="AA104" s="231"/>
      <c r="AB104" s="231"/>
      <c r="AC104" s="231"/>
      <c r="AD104" s="231"/>
      <c r="AE104" s="231"/>
      <c r="AF104" s="231"/>
      <c r="AG104" s="231"/>
      <c r="AH104" s="231"/>
      <c r="AI104" s="231"/>
      <c r="AJ104" s="231"/>
      <c r="AK104" s="231"/>
      <c r="AL104" s="231"/>
      <c r="AM104" s="231"/>
      <c r="AN104" s="231"/>
    </row>
    <row r="105" spans="1:40" s="203" customFormat="1">
      <c r="A105" s="111" t="s">
        <v>113</v>
      </c>
      <c r="B105" s="116" t="s">
        <v>114</v>
      </c>
      <c r="C105" s="116"/>
      <c r="D105" s="47"/>
      <c r="E105" s="134">
        <v>32617.109086006087</v>
      </c>
      <c r="F105" s="61">
        <f>SUM(F96:F104)</f>
        <v>33328</v>
      </c>
      <c r="G105" s="118"/>
      <c r="H105" s="61">
        <f>SUM(H96:H104)</f>
        <v>32691</v>
      </c>
      <c r="I105" s="139"/>
      <c r="J105" s="231"/>
      <c r="K105" s="231"/>
      <c r="L105" s="231"/>
      <c r="M105" s="231"/>
      <c r="N105" s="231"/>
      <c r="O105" s="231"/>
      <c r="P105" s="231"/>
      <c r="Q105" s="231"/>
      <c r="R105" s="231"/>
      <c r="S105" s="231"/>
      <c r="T105" s="231"/>
      <c r="U105" s="231"/>
      <c r="V105" s="231"/>
      <c r="W105" s="231"/>
      <c r="X105" s="231"/>
      <c r="Y105" s="231"/>
      <c r="Z105" s="231"/>
      <c r="AA105" s="231"/>
      <c r="AB105" s="231"/>
      <c r="AC105" s="231"/>
      <c r="AD105" s="231"/>
      <c r="AE105" s="231"/>
      <c r="AF105" s="231"/>
      <c r="AG105" s="231"/>
      <c r="AH105" s="231"/>
      <c r="AI105" s="231"/>
      <c r="AJ105" s="231"/>
      <c r="AK105" s="231"/>
      <c r="AL105" s="231"/>
      <c r="AM105" s="231"/>
      <c r="AN105" s="231"/>
    </row>
    <row r="106" spans="1:40" s="203" customFormat="1">
      <c r="A106" s="120">
        <v>11</v>
      </c>
      <c r="B106" s="90" t="s">
        <v>115</v>
      </c>
      <c r="C106" s="47"/>
      <c r="D106" s="47"/>
      <c r="E106" s="135">
        <v>0</v>
      </c>
      <c r="F106" s="136"/>
      <c r="G106" s="118"/>
      <c r="H106" s="137"/>
      <c r="I106" s="139"/>
      <c r="J106" s="231"/>
      <c r="K106" s="231"/>
      <c r="L106" s="231"/>
      <c r="M106" s="231"/>
      <c r="N106" s="231"/>
      <c r="O106" s="231"/>
      <c r="P106" s="231"/>
      <c r="Q106" s="231"/>
      <c r="R106" s="231"/>
      <c r="S106" s="231"/>
      <c r="T106" s="231"/>
      <c r="U106" s="231"/>
      <c r="V106" s="231"/>
      <c r="W106" s="231"/>
      <c r="X106" s="231"/>
      <c r="Y106" s="231"/>
      <c r="Z106" s="231"/>
      <c r="AA106" s="231"/>
      <c r="AB106" s="231"/>
      <c r="AC106" s="231"/>
      <c r="AD106" s="231"/>
      <c r="AE106" s="231"/>
      <c r="AF106" s="231"/>
      <c r="AG106" s="231"/>
      <c r="AH106" s="231"/>
      <c r="AI106" s="231"/>
      <c r="AJ106" s="231"/>
      <c r="AK106" s="231"/>
      <c r="AL106" s="231"/>
      <c r="AM106" s="231"/>
      <c r="AN106" s="231"/>
    </row>
    <row r="107" spans="1:40" s="203" customFormat="1">
      <c r="A107" s="111"/>
      <c r="B107" s="47"/>
      <c r="C107" s="47"/>
      <c r="D107" s="138"/>
      <c r="E107" s="117"/>
      <c r="F107" s="139"/>
      <c r="G107" s="139"/>
      <c r="H107" s="139"/>
      <c r="I107" s="139"/>
      <c r="J107" s="231"/>
      <c r="K107" s="231"/>
      <c r="L107" s="231"/>
      <c r="M107" s="231"/>
      <c r="N107" s="231"/>
      <c r="O107" s="231"/>
      <c r="P107" s="231"/>
      <c r="Q107" s="231"/>
      <c r="R107" s="231"/>
      <c r="S107" s="231"/>
      <c r="T107" s="231"/>
      <c r="U107" s="231"/>
      <c r="V107" s="231"/>
      <c r="W107" s="231"/>
      <c r="X107" s="231"/>
      <c r="Y107" s="231"/>
      <c r="Z107" s="231"/>
      <c r="AA107" s="231"/>
      <c r="AB107" s="231"/>
      <c r="AC107" s="231"/>
      <c r="AD107" s="231"/>
      <c r="AE107" s="231"/>
      <c r="AF107" s="231"/>
      <c r="AG107" s="231"/>
      <c r="AH107" s="231"/>
      <c r="AI107" s="231"/>
      <c r="AJ107" s="231"/>
      <c r="AK107" s="231"/>
      <c r="AL107" s="231"/>
      <c r="AM107" s="231"/>
      <c r="AN107" s="231"/>
    </row>
    <row r="108" spans="1:40" s="203" customFormat="1">
      <c r="A108" s="119" t="s">
        <v>116</v>
      </c>
      <c r="B108" s="47"/>
      <c r="C108" s="47"/>
      <c r="D108" s="47"/>
      <c r="E108" s="117"/>
      <c r="F108" s="139"/>
      <c r="G108" s="139"/>
      <c r="H108" s="139"/>
      <c r="I108" s="139"/>
      <c r="J108" s="231"/>
      <c r="K108" s="231"/>
      <c r="L108" s="231"/>
      <c r="M108" s="231"/>
      <c r="N108" s="231"/>
      <c r="O108" s="231"/>
      <c r="P108" s="231"/>
      <c r="Q108" s="231"/>
      <c r="R108" s="231"/>
      <c r="S108" s="231"/>
      <c r="T108" s="231"/>
      <c r="U108" s="231"/>
      <c r="V108" s="231"/>
      <c r="W108" s="231"/>
      <c r="X108" s="231"/>
      <c r="Y108" s="231"/>
      <c r="Z108" s="231"/>
      <c r="AA108" s="231"/>
      <c r="AB108" s="231"/>
      <c r="AC108" s="231"/>
      <c r="AD108" s="231"/>
      <c r="AE108" s="231"/>
      <c r="AF108" s="231"/>
      <c r="AG108" s="231"/>
      <c r="AH108" s="231"/>
      <c r="AI108" s="231"/>
      <c r="AJ108" s="231"/>
      <c r="AK108" s="231"/>
      <c r="AL108" s="231"/>
      <c r="AM108" s="231"/>
      <c r="AN108" s="231"/>
    </row>
    <row r="109" spans="1:40" s="203" customFormat="1">
      <c r="A109" s="119" t="s">
        <v>106</v>
      </c>
      <c r="B109" s="47"/>
      <c r="C109" s="47"/>
      <c r="D109" s="47"/>
      <c r="E109" s="140"/>
      <c r="F109" s="141"/>
      <c r="G109" s="139"/>
      <c r="H109" s="141"/>
      <c r="I109" s="139"/>
      <c r="J109" s="231"/>
      <c r="K109" s="231"/>
      <c r="L109" s="231"/>
      <c r="M109" s="231"/>
      <c r="N109" s="231"/>
      <c r="O109" s="231"/>
      <c r="P109" s="231"/>
      <c r="Q109" s="231"/>
      <c r="R109" s="231"/>
      <c r="S109" s="231"/>
      <c r="T109" s="231"/>
      <c r="U109" s="231"/>
      <c r="V109" s="231"/>
      <c r="W109" s="231"/>
      <c r="X109" s="231"/>
      <c r="Y109" s="231"/>
      <c r="Z109" s="231"/>
      <c r="AA109" s="231"/>
      <c r="AB109" s="231"/>
      <c r="AC109" s="231"/>
      <c r="AD109" s="231"/>
      <c r="AE109" s="231"/>
      <c r="AF109" s="231"/>
      <c r="AG109" s="231"/>
      <c r="AH109" s="231"/>
      <c r="AI109" s="231"/>
      <c r="AJ109" s="231"/>
      <c r="AK109" s="231"/>
      <c r="AL109" s="231"/>
      <c r="AM109" s="231"/>
      <c r="AN109" s="231"/>
    </row>
    <row r="110" spans="1:40" s="203" customFormat="1">
      <c r="A110" s="120">
        <v>12</v>
      </c>
      <c r="B110" s="47" t="s">
        <v>117</v>
      </c>
      <c r="C110" s="47"/>
      <c r="D110" s="47"/>
      <c r="E110" s="49">
        <v>2216.035196353936</v>
      </c>
      <c r="F110" s="52">
        <v>1738</v>
      </c>
      <c r="G110" s="118"/>
      <c r="H110" s="204">
        <v>1972</v>
      </c>
      <c r="I110" s="139"/>
      <c r="J110" s="231"/>
      <c r="K110" s="231"/>
      <c r="L110" s="231"/>
      <c r="M110" s="231"/>
      <c r="N110" s="231"/>
      <c r="O110" s="231"/>
      <c r="P110" s="231"/>
      <c r="Q110" s="231"/>
      <c r="R110" s="231"/>
      <c r="S110" s="231"/>
      <c r="T110" s="231"/>
      <c r="U110" s="231"/>
      <c r="V110" s="231"/>
      <c r="W110" s="231"/>
      <c r="X110" s="231"/>
      <c r="Y110" s="231"/>
      <c r="Z110" s="231"/>
      <c r="AA110" s="231"/>
      <c r="AB110" s="231"/>
      <c r="AC110" s="231"/>
      <c r="AD110" s="231"/>
      <c r="AE110" s="231"/>
      <c r="AF110" s="231"/>
      <c r="AG110" s="231"/>
      <c r="AH110" s="231"/>
      <c r="AI110" s="231"/>
      <c r="AJ110" s="231"/>
      <c r="AK110" s="231"/>
      <c r="AL110" s="231"/>
      <c r="AM110" s="231"/>
      <c r="AN110" s="231"/>
    </row>
    <row r="111" spans="1:40" s="203" customFormat="1">
      <c r="A111" s="120">
        <v>13</v>
      </c>
      <c r="B111" s="47" t="s">
        <v>118</v>
      </c>
      <c r="C111" s="47"/>
      <c r="D111" s="47"/>
      <c r="E111" s="49">
        <v>4263.5961418110646</v>
      </c>
      <c r="F111" s="52">
        <v>4195</v>
      </c>
      <c r="G111" s="118"/>
      <c r="H111" s="204">
        <v>4659</v>
      </c>
      <c r="I111" s="139"/>
      <c r="J111" s="231"/>
      <c r="K111" s="231"/>
      <c r="L111" s="231"/>
      <c r="M111" s="231"/>
      <c r="N111" s="231"/>
      <c r="O111" s="231"/>
      <c r="P111" s="231"/>
      <c r="Q111" s="231"/>
      <c r="R111" s="231"/>
      <c r="S111" s="231"/>
      <c r="T111" s="231"/>
      <c r="U111" s="231"/>
      <c r="V111" s="231"/>
      <c r="W111" s="231"/>
      <c r="X111" s="231"/>
      <c r="Y111" s="231"/>
      <c r="Z111" s="231"/>
      <c r="AA111" s="231"/>
      <c r="AB111" s="231"/>
      <c r="AC111" s="231"/>
      <c r="AD111" s="231"/>
      <c r="AE111" s="231"/>
      <c r="AF111" s="231"/>
      <c r="AG111" s="231"/>
      <c r="AH111" s="231"/>
      <c r="AI111" s="231"/>
      <c r="AJ111" s="231"/>
      <c r="AK111" s="231"/>
      <c r="AL111" s="231"/>
      <c r="AM111" s="231"/>
      <c r="AN111" s="231"/>
    </row>
    <row r="112" spans="1:40" s="203" customFormat="1">
      <c r="A112" s="120">
        <v>14</v>
      </c>
      <c r="B112" s="47" t="s">
        <v>119</v>
      </c>
      <c r="C112" s="47"/>
      <c r="D112" s="47"/>
      <c r="E112" s="49">
        <v>3199.7129251177726</v>
      </c>
      <c r="F112" s="247">
        <v>1860</v>
      </c>
      <c r="G112" s="118"/>
      <c r="H112" s="204">
        <v>1837</v>
      </c>
      <c r="I112" s="139"/>
      <c r="J112" s="231"/>
      <c r="K112" s="231"/>
      <c r="L112" s="231"/>
      <c r="M112" s="231"/>
      <c r="N112" s="231"/>
      <c r="O112" s="231"/>
      <c r="P112" s="231"/>
      <c r="Q112" s="231"/>
      <c r="R112" s="231"/>
      <c r="S112" s="231"/>
      <c r="T112" s="231"/>
      <c r="U112" s="231"/>
      <c r="V112" s="231"/>
      <c r="W112" s="231"/>
      <c r="X112" s="231"/>
      <c r="Y112" s="231"/>
      <c r="Z112" s="231"/>
      <c r="AA112" s="231"/>
      <c r="AB112" s="231"/>
      <c r="AC112" s="231"/>
      <c r="AD112" s="231"/>
      <c r="AE112" s="231"/>
      <c r="AF112" s="231"/>
      <c r="AG112" s="231"/>
      <c r="AH112" s="231"/>
      <c r="AI112" s="231"/>
      <c r="AJ112" s="231"/>
      <c r="AK112" s="231"/>
      <c r="AL112" s="231"/>
      <c r="AM112" s="231"/>
      <c r="AN112" s="231"/>
    </row>
    <row r="113" spans="1:40" s="203" customFormat="1">
      <c r="A113" s="120">
        <v>15</v>
      </c>
      <c r="B113" s="47" t="s">
        <v>120</v>
      </c>
      <c r="C113" s="47"/>
      <c r="D113" s="47"/>
      <c r="E113" s="49">
        <v>305.93366399730843</v>
      </c>
      <c r="F113" s="247">
        <v>1961</v>
      </c>
      <c r="G113" s="118"/>
      <c r="H113" s="204">
        <v>877</v>
      </c>
      <c r="I113" s="139"/>
      <c r="J113" s="231"/>
      <c r="K113" s="231"/>
      <c r="L113" s="231"/>
      <c r="M113" s="231"/>
      <c r="N113" s="231"/>
      <c r="O113" s="231"/>
      <c r="P113" s="231"/>
      <c r="Q113" s="231"/>
      <c r="R113" s="231"/>
      <c r="S113" s="231"/>
      <c r="T113" s="231"/>
      <c r="U113" s="231"/>
      <c r="V113" s="231"/>
      <c r="W113" s="231"/>
      <c r="X113" s="231"/>
      <c r="Y113" s="231"/>
      <c r="Z113" s="231"/>
      <c r="AA113" s="231"/>
      <c r="AB113" s="231"/>
      <c r="AC113" s="231"/>
      <c r="AD113" s="231"/>
      <c r="AE113" s="231"/>
      <c r="AF113" s="231"/>
      <c r="AG113" s="231"/>
      <c r="AH113" s="231"/>
      <c r="AI113" s="231"/>
      <c r="AJ113" s="231"/>
      <c r="AK113" s="231"/>
      <c r="AL113" s="231"/>
      <c r="AM113" s="231"/>
      <c r="AN113" s="231"/>
    </row>
    <row r="114" spans="1:40" s="203" customFormat="1">
      <c r="A114" s="120">
        <v>16</v>
      </c>
      <c r="B114" s="47" t="s">
        <v>121</v>
      </c>
      <c r="C114" s="47"/>
      <c r="D114" s="47"/>
      <c r="E114" s="49">
        <v>1733.1532289959205</v>
      </c>
      <c r="F114" s="52">
        <v>1846</v>
      </c>
      <c r="G114" s="118"/>
      <c r="H114" s="834">
        <v>2465</v>
      </c>
      <c r="I114" s="139"/>
      <c r="J114" s="231"/>
      <c r="K114" s="231"/>
      <c r="L114" s="231"/>
      <c r="M114" s="231"/>
      <c r="N114" s="231"/>
      <c r="O114" s="231"/>
      <c r="P114" s="231"/>
      <c r="Q114" s="231"/>
      <c r="R114" s="231"/>
      <c r="S114" s="231"/>
      <c r="T114" s="231"/>
      <c r="U114" s="231"/>
      <c r="V114" s="231"/>
      <c r="W114" s="231"/>
      <c r="X114" s="231"/>
      <c r="Y114" s="231"/>
      <c r="Z114" s="231"/>
      <c r="AA114" s="231"/>
      <c r="AB114" s="231"/>
      <c r="AC114" s="231"/>
      <c r="AD114" s="231"/>
      <c r="AE114" s="231"/>
      <c r="AF114" s="231"/>
      <c r="AG114" s="231"/>
      <c r="AH114" s="231"/>
      <c r="AI114" s="231"/>
      <c r="AJ114" s="231"/>
      <c r="AK114" s="231"/>
      <c r="AL114" s="231"/>
      <c r="AM114" s="231"/>
      <c r="AN114" s="231"/>
    </row>
    <row r="115" spans="1:40" s="203" customFormat="1">
      <c r="A115" s="120">
        <v>17</v>
      </c>
      <c r="B115" s="116" t="s">
        <v>122</v>
      </c>
      <c r="C115" s="116"/>
      <c r="D115" s="116"/>
      <c r="E115" s="80">
        <v>11718.431156276001</v>
      </c>
      <c r="F115" s="142">
        <f>SUM(F110:F114)</f>
        <v>11600</v>
      </c>
      <c r="G115" s="118"/>
      <c r="H115" s="142">
        <f>SUM(H110:H114)</f>
        <v>11810</v>
      </c>
      <c r="I115" s="139"/>
      <c r="J115" s="231"/>
      <c r="K115" s="231"/>
      <c r="L115" s="231"/>
      <c r="M115" s="231"/>
      <c r="N115" s="231"/>
      <c r="O115" s="231"/>
      <c r="P115" s="231"/>
      <c r="Q115" s="231"/>
      <c r="R115" s="231"/>
      <c r="S115" s="231"/>
      <c r="T115" s="231"/>
      <c r="U115" s="231"/>
      <c r="V115" s="231"/>
      <c r="W115" s="231"/>
      <c r="X115" s="231"/>
      <c r="Y115" s="231"/>
      <c r="Z115" s="231"/>
      <c r="AA115" s="231"/>
      <c r="AB115" s="231"/>
      <c r="AC115" s="231"/>
      <c r="AD115" s="231"/>
      <c r="AE115" s="231"/>
      <c r="AF115" s="231"/>
      <c r="AG115" s="231"/>
      <c r="AH115" s="231"/>
      <c r="AI115" s="231"/>
      <c r="AJ115" s="231"/>
      <c r="AK115" s="231"/>
      <c r="AL115" s="231"/>
      <c r="AM115" s="231"/>
      <c r="AN115" s="231"/>
    </row>
    <row r="116" spans="1:40" s="203" customFormat="1">
      <c r="A116" s="111"/>
      <c r="B116" s="116"/>
      <c r="C116" s="116"/>
      <c r="D116" s="116"/>
      <c r="E116" s="143"/>
      <c r="F116" s="118"/>
      <c r="G116" s="118"/>
      <c r="H116" s="118"/>
      <c r="I116" s="139"/>
      <c r="J116" s="231"/>
      <c r="K116" s="231"/>
      <c r="L116" s="231"/>
      <c r="M116" s="231"/>
      <c r="N116" s="231"/>
      <c r="O116" s="231"/>
      <c r="P116" s="231"/>
      <c r="Q116" s="231"/>
      <c r="R116" s="231"/>
      <c r="S116" s="231"/>
      <c r="T116" s="231"/>
      <c r="U116" s="231"/>
      <c r="V116" s="231"/>
      <c r="W116" s="231"/>
      <c r="X116" s="231"/>
      <c r="Y116" s="231"/>
      <c r="Z116" s="231"/>
      <c r="AA116" s="231"/>
      <c r="AB116" s="231"/>
      <c r="AC116" s="231"/>
      <c r="AD116" s="231"/>
      <c r="AE116" s="231"/>
      <c r="AF116" s="231"/>
      <c r="AG116" s="231"/>
      <c r="AH116" s="231"/>
      <c r="AI116" s="231"/>
      <c r="AJ116" s="231"/>
      <c r="AK116" s="231"/>
      <c r="AL116" s="231"/>
      <c r="AM116" s="231"/>
      <c r="AN116" s="231"/>
    </row>
    <row r="117" spans="1:40" s="203" customFormat="1">
      <c r="A117" s="144" t="s">
        <v>107</v>
      </c>
      <c r="B117" s="116"/>
      <c r="C117" s="116"/>
      <c r="D117" s="116"/>
      <c r="E117" s="145"/>
      <c r="F117" s="146"/>
      <c r="G117" s="118"/>
      <c r="H117" s="146"/>
      <c r="I117" s="139"/>
      <c r="J117" s="231"/>
      <c r="K117" s="231"/>
      <c r="L117" s="231"/>
      <c r="M117" s="231"/>
      <c r="N117" s="231"/>
      <c r="O117" s="231"/>
      <c r="P117" s="231"/>
      <c r="Q117" s="231"/>
      <c r="R117" s="231"/>
      <c r="S117" s="231"/>
      <c r="T117" s="231"/>
      <c r="U117" s="231"/>
      <c r="V117" s="231"/>
      <c r="W117" s="231"/>
      <c r="X117" s="231"/>
      <c r="Y117" s="231"/>
      <c r="Z117" s="231"/>
      <c r="AA117" s="231"/>
      <c r="AB117" s="231"/>
      <c r="AC117" s="231"/>
      <c r="AD117" s="231"/>
      <c r="AE117" s="231"/>
      <c r="AF117" s="231"/>
      <c r="AG117" s="231"/>
      <c r="AH117" s="231"/>
      <c r="AI117" s="231"/>
      <c r="AJ117" s="231"/>
      <c r="AK117" s="231"/>
      <c r="AL117" s="231"/>
      <c r="AM117" s="231"/>
      <c r="AN117" s="231"/>
    </row>
    <row r="118" spans="1:40" s="203" customFormat="1">
      <c r="A118" s="120">
        <v>18</v>
      </c>
      <c r="B118" s="47" t="s">
        <v>123</v>
      </c>
      <c r="C118" s="47"/>
      <c r="D118" s="47"/>
      <c r="E118" s="49">
        <v>1564.9271910596135</v>
      </c>
      <c r="F118" s="52">
        <v>1407</v>
      </c>
      <c r="G118" s="118"/>
      <c r="H118" s="52">
        <v>1484</v>
      </c>
      <c r="I118" s="139"/>
      <c r="J118" s="231"/>
      <c r="K118" s="231"/>
      <c r="L118" s="231"/>
      <c r="M118" s="231"/>
      <c r="N118" s="231"/>
      <c r="O118" s="231"/>
      <c r="P118" s="231"/>
      <c r="Q118" s="231"/>
      <c r="R118" s="231"/>
      <c r="S118" s="231"/>
      <c r="T118" s="231"/>
      <c r="U118" s="231"/>
      <c r="V118" s="231"/>
      <c r="W118" s="231"/>
      <c r="X118" s="231"/>
      <c r="Y118" s="231"/>
      <c r="Z118" s="231"/>
      <c r="AA118" s="231"/>
      <c r="AB118" s="231"/>
      <c r="AC118" s="231"/>
      <c r="AD118" s="231"/>
      <c r="AE118" s="231"/>
      <c r="AF118" s="231"/>
      <c r="AG118" s="231"/>
      <c r="AH118" s="231"/>
      <c r="AI118" s="231"/>
      <c r="AJ118" s="231"/>
      <c r="AK118" s="231"/>
      <c r="AL118" s="231"/>
      <c r="AM118" s="231"/>
      <c r="AN118" s="231"/>
    </row>
    <row r="119" spans="1:40" s="203" customFormat="1">
      <c r="A119" s="120">
        <v>19</v>
      </c>
      <c r="B119" s="47" t="s">
        <v>124</v>
      </c>
      <c r="C119" s="47"/>
      <c r="D119" s="47"/>
      <c r="E119" s="49">
        <v>5461.1068472287016</v>
      </c>
      <c r="F119" s="52">
        <v>5916</v>
      </c>
      <c r="G119" s="118"/>
      <c r="H119" s="52">
        <v>4771</v>
      </c>
      <c r="I119" s="139"/>
      <c r="J119" s="231"/>
      <c r="K119" s="231"/>
      <c r="L119" s="231"/>
      <c r="M119" s="231"/>
      <c r="N119" s="231"/>
      <c r="O119" s="231"/>
      <c r="P119" s="231"/>
      <c r="Q119" s="231"/>
      <c r="R119" s="231"/>
      <c r="S119" s="231"/>
      <c r="T119" s="231"/>
      <c r="U119" s="231"/>
      <c r="V119" s="231"/>
      <c r="W119" s="231"/>
      <c r="X119" s="231"/>
      <c r="Y119" s="231"/>
      <c r="Z119" s="231"/>
      <c r="AA119" s="231"/>
      <c r="AB119" s="231"/>
      <c r="AC119" s="231"/>
      <c r="AD119" s="231"/>
      <c r="AE119" s="231"/>
      <c r="AF119" s="231"/>
      <c r="AG119" s="231"/>
      <c r="AH119" s="231"/>
      <c r="AI119" s="231"/>
      <c r="AJ119" s="231"/>
      <c r="AK119" s="231"/>
      <c r="AL119" s="231"/>
      <c r="AM119" s="231"/>
      <c r="AN119" s="231"/>
    </row>
    <row r="120" spans="1:40" s="203" customFormat="1">
      <c r="A120" s="120">
        <v>20</v>
      </c>
      <c r="B120" s="47" t="s">
        <v>119</v>
      </c>
      <c r="C120" s="47"/>
      <c r="D120" s="47"/>
      <c r="E120" s="49">
        <v>2638.5927320759429</v>
      </c>
      <c r="F120" s="52">
        <v>2877</v>
      </c>
      <c r="G120" s="118"/>
      <c r="H120" s="204">
        <v>2766</v>
      </c>
      <c r="I120" s="139"/>
      <c r="J120" s="231"/>
      <c r="K120" s="231"/>
      <c r="L120" s="231"/>
      <c r="M120" s="231"/>
      <c r="N120" s="231"/>
      <c r="O120" s="231"/>
      <c r="P120" s="231"/>
      <c r="Q120" s="231"/>
      <c r="R120" s="231"/>
      <c r="S120" s="231"/>
      <c r="T120" s="231"/>
      <c r="U120" s="231"/>
      <c r="V120" s="231"/>
      <c r="W120" s="231"/>
      <c r="X120" s="231"/>
      <c r="Y120" s="231"/>
      <c r="Z120" s="231"/>
      <c r="AA120" s="231"/>
      <c r="AB120" s="231"/>
      <c r="AC120" s="231"/>
      <c r="AD120" s="231"/>
      <c r="AE120" s="231"/>
      <c r="AF120" s="231"/>
      <c r="AG120" s="231"/>
      <c r="AH120" s="231"/>
      <c r="AI120" s="231"/>
      <c r="AJ120" s="231"/>
      <c r="AK120" s="231"/>
      <c r="AL120" s="231"/>
      <c r="AM120" s="231"/>
      <c r="AN120" s="231"/>
    </row>
    <row r="121" spans="1:40" s="203" customFormat="1">
      <c r="A121" s="120">
        <v>21</v>
      </c>
      <c r="B121" s="47" t="s">
        <v>120</v>
      </c>
      <c r="C121" s="47"/>
      <c r="D121" s="47"/>
      <c r="E121" s="49">
        <v>564.76680956817722</v>
      </c>
      <c r="F121" s="52">
        <v>32</v>
      </c>
      <c r="G121" s="118"/>
      <c r="H121" s="204">
        <v>361</v>
      </c>
      <c r="I121" s="139"/>
      <c r="J121" s="231"/>
      <c r="K121" s="231"/>
      <c r="L121" s="231"/>
      <c r="M121" s="231"/>
      <c r="N121" s="231"/>
      <c r="O121" s="231"/>
      <c r="P121" s="231"/>
      <c r="Q121" s="231"/>
      <c r="R121" s="231"/>
      <c r="S121" s="231"/>
      <c r="T121" s="231"/>
      <c r="U121" s="231"/>
      <c r="V121" s="231"/>
      <c r="W121" s="231"/>
      <c r="X121" s="231"/>
      <c r="Y121" s="231"/>
      <c r="Z121" s="231"/>
      <c r="AA121" s="231"/>
      <c r="AB121" s="231"/>
      <c r="AC121" s="231"/>
      <c r="AD121" s="231"/>
      <c r="AE121" s="231"/>
      <c r="AF121" s="231"/>
      <c r="AG121" s="231"/>
      <c r="AH121" s="231"/>
      <c r="AI121" s="231"/>
      <c r="AJ121" s="231"/>
      <c r="AK121" s="231"/>
      <c r="AL121" s="231"/>
      <c r="AM121" s="231"/>
      <c r="AN121" s="231"/>
    </row>
    <row r="122" spans="1:40" s="203" customFormat="1">
      <c r="A122" s="120">
        <v>22</v>
      </c>
      <c r="B122" s="47" t="s">
        <v>125</v>
      </c>
      <c r="C122" s="47"/>
      <c r="D122" s="47"/>
      <c r="E122" s="49">
        <v>132.54486271020048</v>
      </c>
      <c r="F122" s="52">
        <v>137</v>
      </c>
      <c r="G122" s="118"/>
      <c r="H122" s="52">
        <v>104</v>
      </c>
      <c r="I122" s="139"/>
      <c r="J122" s="231"/>
      <c r="K122" s="231"/>
      <c r="L122" s="231"/>
      <c r="M122" s="231"/>
      <c r="N122" s="231"/>
      <c r="O122" s="231"/>
      <c r="P122" s="231"/>
      <c r="Q122" s="231"/>
      <c r="R122" s="231"/>
      <c r="S122" s="231"/>
      <c r="T122" s="231"/>
      <c r="U122" s="231"/>
      <c r="V122" s="231"/>
      <c r="W122" s="231"/>
      <c r="X122" s="231"/>
      <c r="Y122" s="231"/>
      <c r="Z122" s="231"/>
      <c r="AA122" s="231"/>
      <c r="AB122" s="231"/>
      <c r="AC122" s="231"/>
      <c r="AD122" s="231"/>
      <c r="AE122" s="231"/>
      <c r="AF122" s="231"/>
      <c r="AG122" s="231"/>
      <c r="AH122" s="231"/>
      <c r="AI122" s="231"/>
      <c r="AJ122" s="231"/>
      <c r="AK122" s="231"/>
      <c r="AL122" s="231"/>
      <c r="AM122" s="231"/>
      <c r="AN122" s="231"/>
    </row>
    <row r="123" spans="1:40" s="203" customFormat="1">
      <c r="A123" s="120">
        <v>23</v>
      </c>
      <c r="B123" s="90" t="s">
        <v>126</v>
      </c>
      <c r="C123" s="47"/>
      <c r="D123" s="47"/>
      <c r="E123" s="49">
        <v>304.69675776325903</v>
      </c>
      <c r="F123" s="52">
        <v>225</v>
      </c>
      <c r="G123" s="118"/>
      <c r="H123" s="52">
        <v>186</v>
      </c>
      <c r="I123" s="139"/>
      <c r="J123" s="231"/>
      <c r="K123" s="231"/>
      <c r="L123" s="231"/>
      <c r="M123" s="231"/>
      <c r="N123" s="231"/>
      <c r="O123" s="231"/>
      <c r="P123" s="231"/>
      <c r="Q123" s="231"/>
      <c r="R123" s="231"/>
      <c r="S123" s="231"/>
      <c r="T123" s="231"/>
      <c r="U123" s="231"/>
      <c r="V123" s="231"/>
      <c r="W123" s="231"/>
      <c r="X123" s="231"/>
      <c r="Y123" s="231"/>
      <c r="Z123" s="231"/>
      <c r="AA123" s="231"/>
      <c r="AB123" s="231"/>
      <c r="AC123" s="231"/>
      <c r="AD123" s="231"/>
      <c r="AE123" s="231"/>
      <c r="AF123" s="231"/>
      <c r="AG123" s="231"/>
      <c r="AH123" s="231"/>
      <c r="AI123" s="231"/>
      <c r="AJ123" s="231"/>
      <c r="AK123" s="231"/>
      <c r="AL123" s="231"/>
      <c r="AM123" s="231"/>
      <c r="AN123" s="231"/>
    </row>
    <row r="124" spans="1:40" s="203" customFormat="1">
      <c r="A124" s="120">
        <v>24</v>
      </c>
      <c r="B124" s="47" t="s">
        <v>121</v>
      </c>
      <c r="C124" s="47"/>
      <c r="D124" s="47"/>
      <c r="E124" s="49">
        <v>578.47686320234516</v>
      </c>
      <c r="F124" s="52">
        <v>626</v>
      </c>
      <c r="G124" s="118"/>
      <c r="H124" s="834">
        <v>490</v>
      </c>
      <c r="I124" s="139"/>
      <c r="J124" s="231"/>
      <c r="K124" s="231"/>
      <c r="L124" s="231"/>
      <c r="M124" s="231"/>
      <c r="N124" s="231"/>
      <c r="O124" s="231"/>
      <c r="P124" s="231"/>
      <c r="Q124" s="231"/>
      <c r="R124" s="231"/>
      <c r="S124" s="231"/>
      <c r="T124" s="231"/>
      <c r="U124" s="231"/>
      <c r="V124" s="231"/>
      <c r="W124" s="231"/>
      <c r="X124" s="231"/>
      <c r="Y124" s="231"/>
      <c r="Z124" s="231"/>
      <c r="AA124" s="231"/>
      <c r="AB124" s="231"/>
      <c r="AC124" s="231"/>
      <c r="AD124" s="231"/>
      <c r="AE124" s="231"/>
      <c r="AF124" s="231"/>
      <c r="AG124" s="231"/>
      <c r="AH124" s="231"/>
      <c r="AI124" s="231"/>
      <c r="AJ124" s="231"/>
      <c r="AK124" s="231"/>
      <c r="AL124" s="231"/>
      <c r="AM124" s="231"/>
      <c r="AN124" s="231"/>
    </row>
    <row r="125" spans="1:40" s="203" customFormat="1">
      <c r="A125" s="120">
        <v>25</v>
      </c>
      <c r="B125" s="147" t="s">
        <v>127</v>
      </c>
      <c r="C125" s="147"/>
      <c r="D125" s="147"/>
      <c r="E125" s="80">
        <v>11245.112063608238</v>
      </c>
      <c r="F125" s="142">
        <f>SUM(F118:F124)</f>
        <v>11220</v>
      </c>
      <c r="G125" s="118"/>
      <c r="H125" s="142">
        <f>SUM(H118:H124)</f>
        <v>10162</v>
      </c>
      <c r="I125" s="139"/>
      <c r="J125" s="231"/>
      <c r="K125" s="231"/>
      <c r="L125" s="231"/>
      <c r="M125" s="231"/>
      <c r="N125" s="231"/>
      <c r="O125" s="231"/>
      <c r="P125" s="231"/>
      <c r="Q125" s="231"/>
      <c r="R125" s="231"/>
      <c r="S125" s="231"/>
      <c r="T125" s="231"/>
      <c r="U125" s="231"/>
      <c r="V125" s="231"/>
      <c r="W125" s="231"/>
      <c r="X125" s="231"/>
      <c r="Y125" s="231"/>
      <c r="Z125" s="231"/>
      <c r="AA125" s="231"/>
      <c r="AB125" s="231"/>
      <c r="AC125" s="231"/>
      <c r="AD125" s="231"/>
      <c r="AE125" s="231"/>
      <c r="AF125" s="231"/>
      <c r="AG125" s="231"/>
      <c r="AH125" s="231"/>
      <c r="AI125" s="231"/>
      <c r="AJ125" s="231"/>
      <c r="AK125" s="231"/>
      <c r="AL125" s="231"/>
      <c r="AM125" s="231"/>
      <c r="AN125" s="231"/>
    </row>
    <row r="126" spans="1:40" s="203" customFormat="1">
      <c r="A126" s="111"/>
      <c r="B126" s="47"/>
      <c r="C126" s="47"/>
      <c r="D126" s="47"/>
      <c r="E126" s="117"/>
      <c r="F126" s="118"/>
      <c r="G126" s="118"/>
      <c r="H126" s="118"/>
      <c r="I126" s="139"/>
      <c r="J126" s="231"/>
      <c r="K126" s="231"/>
      <c r="L126" s="231"/>
      <c r="M126" s="231"/>
      <c r="N126" s="231"/>
      <c r="O126" s="231"/>
      <c r="P126" s="231"/>
      <c r="Q126" s="231"/>
      <c r="R126" s="231"/>
      <c r="S126" s="231"/>
      <c r="T126" s="231"/>
      <c r="U126" s="231"/>
      <c r="V126" s="231"/>
      <c r="W126" s="231"/>
      <c r="X126" s="231"/>
      <c r="Y126" s="231"/>
      <c r="Z126" s="231"/>
      <c r="AA126" s="231"/>
      <c r="AB126" s="231"/>
      <c r="AC126" s="231"/>
      <c r="AD126" s="231"/>
      <c r="AE126" s="231"/>
      <c r="AF126" s="231"/>
      <c r="AG126" s="231"/>
      <c r="AH126" s="231"/>
      <c r="AI126" s="231"/>
      <c r="AJ126" s="231"/>
      <c r="AK126" s="231"/>
      <c r="AL126" s="231"/>
      <c r="AM126" s="231"/>
      <c r="AN126" s="231"/>
    </row>
    <row r="127" spans="1:40" s="203" customFormat="1">
      <c r="A127" s="119" t="s">
        <v>108</v>
      </c>
      <c r="B127" s="147"/>
      <c r="C127" s="147"/>
      <c r="D127" s="147"/>
      <c r="E127" s="140"/>
      <c r="F127" s="146"/>
      <c r="G127" s="118"/>
      <c r="H127" s="146"/>
      <c r="I127" s="139"/>
      <c r="J127" s="231"/>
      <c r="K127" s="231"/>
      <c r="L127" s="231"/>
      <c r="M127" s="231"/>
      <c r="N127" s="231"/>
      <c r="O127" s="231"/>
      <c r="P127" s="231"/>
      <c r="Q127" s="231"/>
      <c r="R127" s="231"/>
      <c r="S127" s="231"/>
      <c r="T127" s="231"/>
      <c r="U127" s="231"/>
      <c r="V127" s="231"/>
      <c r="W127" s="231"/>
      <c r="X127" s="231"/>
      <c r="Y127" s="231"/>
      <c r="Z127" s="231"/>
      <c r="AA127" s="231"/>
      <c r="AB127" s="231"/>
      <c r="AC127" s="231"/>
      <c r="AD127" s="231"/>
      <c r="AE127" s="231"/>
      <c r="AF127" s="231"/>
      <c r="AG127" s="231"/>
      <c r="AH127" s="231"/>
      <c r="AI127" s="231"/>
      <c r="AJ127" s="231"/>
      <c r="AK127" s="231"/>
      <c r="AL127" s="231"/>
      <c r="AM127" s="231"/>
      <c r="AN127" s="231"/>
    </row>
    <row r="128" spans="1:40" s="203" customFormat="1">
      <c r="A128" s="120">
        <v>26</v>
      </c>
      <c r="B128" s="47" t="s">
        <v>123</v>
      </c>
      <c r="C128" s="47"/>
      <c r="D128" s="47"/>
      <c r="E128" s="74">
        <v>155.01094729742363</v>
      </c>
      <c r="F128" s="52">
        <v>62</v>
      </c>
      <c r="G128" s="118"/>
      <c r="H128" s="52">
        <v>72</v>
      </c>
      <c r="I128" s="139"/>
      <c r="J128" s="231"/>
      <c r="K128" s="231"/>
      <c r="L128" s="231"/>
      <c r="M128" s="231"/>
      <c r="N128" s="231"/>
      <c r="O128" s="231"/>
      <c r="P128" s="231"/>
      <c r="Q128" s="231"/>
      <c r="R128" s="231"/>
      <c r="S128" s="231"/>
      <c r="T128" s="231"/>
      <c r="U128" s="231"/>
      <c r="V128" s="231"/>
      <c r="W128" s="231"/>
      <c r="X128" s="231"/>
      <c r="Y128" s="231"/>
      <c r="Z128" s="231"/>
      <c r="AA128" s="231"/>
      <c r="AB128" s="231"/>
      <c r="AC128" s="231"/>
      <c r="AD128" s="231"/>
      <c r="AE128" s="231"/>
      <c r="AF128" s="231"/>
      <c r="AG128" s="231"/>
      <c r="AH128" s="231"/>
      <c r="AI128" s="231"/>
      <c r="AJ128" s="231"/>
      <c r="AK128" s="231"/>
      <c r="AL128" s="231"/>
      <c r="AM128" s="231"/>
      <c r="AN128" s="231"/>
    </row>
    <row r="129" spans="1:40" s="203" customFormat="1">
      <c r="A129" s="120">
        <v>27</v>
      </c>
      <c r="B129" s="47" t="s">
        <v>124</v>
      </c>
      <c r="C129" s="47"/>
      <c r="D129" s="47"/>
      <c r="E129" s="49">
        <v>42.525254839737428</v>
      </c>
      <c r="F129" s="52">
        <v>101</v>
      </c>
      <c r="G129" s="118"/>
      <c r="H129" s="52">
        <v>92</v>
      </c>
      <c r="I129" s="139"/>
      <c r="J129" s="231"/>
      <c r="K129" s="231"/>
      <c r="L129" s="231"/>
      <c r="M129" s="231"/>
      <c r="N129" s="231"/>
      <c r="O129" s="231"/>
      <c r="P129" s="231"/>
      <c r="Q129" s="231"/>
      <c r="R129" s="231"/>
      <c r="S129" s="231"/>
      <c r="T129" s="231"/>
      <c r="U129" s="231"/>
      <c r="V129" s="231"/>
      <c r="W129" s="231"/>
      <c r="X129" s="231"/>
      <c r="Y129" s="231"/>
      <c r="Z129" s="231"/>
      <c r="AA129" s="231"/>
      <c r="AB129" s="231"/>
      <c r="AC129" s="231"/>
      <c r="AD129" s="231"/>
      <c r="AE129" s="231"/>
      <c r="AF129" s="231"/>
      <c r="AG129" s="231"/>
      <c r="AH129" s="231"/>
      <c r="AI129" s="231"/>
      <c r="AJ129" s="231"/>
      <c r="AK129" s="231"/>
      <c r="AL129" s="231"/>
      <c r="AM129" s="231"/>
      <c r="AN129" s="231"/>
    </row>
    <row r="130" spans="1:40" s="203" customFormat="1">
      <c r="A130" s="120">
        <v>28</v>
      </c>
      <c r="B130" s="47" t="s">
        <v>119</v>
      </c>
      <c r="C130" s="47"/>
      <c r="D130" s="47"/>
      <c r="E130" s="49">
        <v>4.6614787224458762</v>
      </c>
      <c r="F130" s="52">
        <v>142</v>
      </c>
      <c r="G130" s="118"/>
      <c r="H130" s="204">
        <v>243</v>
      </c>
      <c r="I130" s="139"/>
      <c r="J130" s="231"/>
      <c r="K130" s="231"/>
      <c r="L130" s="231"/>
      <c r="M130" s="231"/>
      <c r="N130" s="231"/>
      <c r="O130" s="231"/>
      <c r="P130" s="231"/>
      <c r="Q130" s="231"/>
      <c r="R130" s="231"/>
      <c r="S130" s="231"/>
      <c r="T130" s="231"/>
      <c r="U130" s="231"/>
      <c r="V130" s="231"/>
      <c r="W130" s="231"/>
      <c r="X130" s="231"/>
      <c r="Y130" s="231"/>
      <c r="Z130" s="231"/>
      <c r="AA130" s="231"/>
      <c r="AB130" s="231"/>
      <c r="AC130" s="231"/>
      <c r="AD130" s="231"/>
      <c r="AE130" s="231"/>
      <c r="AF130" s="231"/>
      <c r="AG130" s="231"/>
      <c r="AH130" s="231"/>
      <c r="AI130" s="231"/>
      <c r="AJ130" s="231"/>
      <c r="AK130" s="231"/>
      <c r="AL130" s="231"/>
      <c r="AM130" s="231"/>
      <c r="AN130" s="231"/>
    </row>
    <row r="131" spans="1:40" s="203" customFormat="1">
      <c r="A131" s="120">
        <v>29</v>
      </c>
      <c r="B131" s="47" t="s">
        <v>120</v>
      </c>
      <c r="C131" s="47"/>
      <c r="D131" s="47"/>
      <c r="E131" s="49">
        <v>257.65582112323881</v>
      </c>
      <c r="F131" s="52">
        <v>178</v>
      </c>
      <c r="G131" s="118"/>
      <c r="H131" s="204">
        <v>224</v>
      </c>
      <c r="I131" s="139"/>
      <c r="J131" s="231"/>
      <c r="K131" s="231"/>
      <c r="L131" s="231"/>
      <c r="M131" s="231"/>
      <c r="N131" s="231"/>
      <c r="O131" s="231"/>
      <c r="P131" s="231"/>
      <c r="Q131" s="231"/>
      <c r="R131" s="231"/>
      <c r="S131" s="231"/>
      <c r="T131" s="231"/>
      <c r="U131" s="231"/>
      <c r="V131" s="231"/>
      <c r="W131" s="231"/>
      <c r="X131" s="231"/>
      <c r="Y131" s="231"/>
      <c r="Z131" s="231"/>
      <c r="AA131" s="231"/>
      <c r="AB131" s="231"/>
      <c r="AC131" s="231"/>
      <c r="AD131" s="231"/>
      <c r="AE131" s="231"/>
      <c r="AF131" s="231"/>
      <c r="AG131" s="231"/>
      <c r="AH131" s="231"/>
      <c r="AI131" s="231"/>
      <c r="AJ131" s="231"/>
      <c r="AK131" s="231"/>
      <c r="AL131" s="231"/>
      <c r="AM131" s="231"/>
      <c r="AN131" s="231"/>
    </row>
    <row r="132" spans="1:40" s="203" customFormat="1">
      <c r="A132" s="120">
        <v>30</v>
      </c>
      <c r="B132" s="47" t="s">
        <v>125</v>
      </c>
      <c r="C132" s="47"/>
      <c r="D132" s="47"/>
      <c r="E132" s="49">
        <v>57.884406801277436</v>
      </c>
      <c r="F132" s="52">
        <v>92</v>
      </c>
      <c r="G132" s="118"/>
      <c r="H132" s="204">
        <v>73</v>
      </c>
      <c r="I132" s="139"/>
      <c r="J132" s="231"/>
      <c r="K132" s="231"/>
      <c r="L132" s="231"/>
      <c r="M132" s="231"/>
      <c r="N132" s="231"/>
      <c r="O132" s="231"/>
      <c r="P132" s="231"/>
      <c r="Q132" s="231"/>
      <c r="R132" s="231"/>
      <c r="S132" s="231"/>
      <c r="T132" s="231"/>
      <c r="U132" s="231"/>
      <c r="V132" s="231"/>
      <c r="W132" s="231"/>
      <c r="X132" s="231"/>
      <c r="Y132" s="231"/>
      <c r="Z132" s="231"/>
      <c r="AA132" s="231"/>
      <c r="AB132" s="231"/>
      <c r="AC132" s="231"/>
      <c r="AD132" s="231"/>
      <c r="AE132" s="231"/>
      <c r="AF132" s="231"/>
      <c r="AG132" s="231"/>
      <c r="AH132" s="231"/>
      <c r="AI132" s="231"/>
      <c r="AJ132" s="231"/>
      <c r="AK132" s="231"/>
      <c r="AL132" s="231"/>
      <c r="AM132" s="231"/>
      <c r="AN132" s="231"/>
    </row>
    <row r="133" spans="1:40" s="203" customFormat="1">
      <c r="A133" s="120">
        <v>31</v>
      </c>
      <c r="B133" s="90" t="s">
        <v>126</v>
      </c>
      <c r="C133" s="47"/>
      <c r="D133" s="47"/>
      <c r="E133" s="49">
        <v>1.8568622366916825</v>
      </c>
      <c r="F133" s="52">
        <v>90</v>
      </c>
      <c r="G133" s="118"/>
      <c r="H133" s="52">
        <v>80</v>
      </c>
      <c r="I133" s="139"/>
      <c r="J133" s="231"/>
      <c r="K133" s="231"/>
      <c r="L133" s="231"/>
      <c r="M133" s="231"/>
      <c r="N133" s="231"/>
      <c r="O133" s="231"/>
      <c r="P133" s="231"/>
      <c r="Q133" s="231"/>
      <c r="R133" s="231"/>
      <c r="S133" s="231"/>
      <c r="T133" s="231"/>
      <c r="U133" s="231"/>
      <c r="V133" s="231"/>
      <c r="W133" s="231"/>
      <c r="X133" s="231"/>
      <c r="Y133" s="231"/>
      <c r="Z133" s="231"/>
      <c r="AA133" s="231"/>
      <c r="AB133" s="231"/>
      <c r="AC133" s="231"/>
      <c r="AD133" s="231"/>
      <c r="AE133" s="231"/>
      <c r="AF133" s="231"/>
      <c r="AG133" s="231"/>
      <c r="AH133" s="231"/>
      <c r="AI133" s="231"/>
      <c r="AJ133" s="231"/>
      <c r="AK133" s="231"/>
      <c r="AL133" s="231"/>
      <c r="AM133" s="231"/>
      <c r="AN133" s="231"/>
    </row>
    <row r="134" spans="1:40" s="203" customFormat="1">
      <c r="A134" s="120">
        <v>32</v>
      </c>
      <c r="B134" s="47" t="s">
        <v>121</v>
      </c>
      <c r="C134" s="47"/>
      <c r="D134" s="47"/>
      <c r="E134" s="49">
        <v>193.1072945134157</v>
      </c>
      <c r="F134" s="52">
        <v>72</v>
      </c>
      <c r="G134" s="118"/>
      <c r="H134" s="834">
        <v>82</v>
      </c>
      <c r="I134" s="139"/>
      <c r="J134" s="231"/>
      <c r="K134" s="231"/>
      <c r="L134" s="231"/>
      <c r="M134" s="231"/>
      <c r="N134" s="231"/>
      <c r="O134" s="231"/>
      <c r="P134" s="231"/>
      <c r="Q134" s="231"/>
      <c r="R134" s="231"/>
      <c r="S134" s="231"/>
      <c r="T134" s="231"/>
      <c r="U134" s="231"/>
      <c r="V134" s="231"/>
      <c r="W134" s="231"/>
      <c r="X134" s="231"/>
      <c r="Y134" s="231"/>
      <c r="Z134" s="231"/>
      <c r="AA134" s="231"/>
      <c r="AB134" s="231"/>
      <c r="AC134" s="231"/>
      <c r="AD134" s="231"/>
      <c r="AE134" s="231"/>
      <c r="AF134" s="231"/>
      <c r="AG134" s="231"/>
      <c r="AH134" s="231"/>
      <c r="AI134" s="231"/>
      <c r="AJ134" s="231"/>
      <c r="AK134" s="231"/>
      <c r="AL134" s="231"/>
      <c r="AM134" s="231"/>
      <c r="AN134" s="231"/>
    </row>
    <row r="135" spans="1:40" s="203" customFormat="1">
      <c r="A135" s="120">
        <v>33</v>
      </c>
      <c r="B135" s="116" t="s">
        <v>128</v>
      </c>
      <c r="C135" s="116"/>
      <c r="D135" s="116"/>
      <c r="E135" s="80">
        <v>712.70206553423054</v>
      </c>
      <c r="F135" s="142">
        <f>SUM(F128:F134)</f>
        <v>737</v>
      </c>
      <c r="G135" s="118"/>
      <c r="H135" s="142">
        <f>SUM(H128:H134)</f>
        <v>866</v>
      </c>
      <c r="I135" s="139"/>
      <c r="J135" s="231"/>
      <c r="K135" s="231"/>
      <c r="L135" s="231"/>
      <c r="M135" s="231"/>
      <c r="N135" s="231"/>
      <c r="O135" s="231"/>
      <c r="P135" s="231"/>
      <c r="Q135" s="231"/>
      <c r="R135" s="231"/>
      <c r="S135" s="231"/>
      <c r="T135" s="231"/>
      <c r="U135" s="231"/>
      <c r="V135" s="231"/>
      <c r="W135" s="231"/>
      <c r="X135" s="231"/>
      <c r="Y135" s="231"/>
      <c r="Z135" s="231"/>
      <c r="AA135" s="231"/>
      <c r="AB135" s="231"/>
      <c r="AC135" s="231"/>
      <c r="AD135" s="231"/>
      <c r="AE135" s="231"/>
      <c r="AF135" s="231"/>
      <c r="AG135" s="231"/>
      <c r="AH135" s="231"/>
      <c r="AI135" s="231"/>
      <c r="AJ135" s="231"/>
      <c r="AK135" s="231"/>
      <c r="AL135" s="231"/>
      <c r="AM135" s="231"/>
      <c r="AN135" s="231"/>
    </row>
    <row r="136" spans="1:40" s="203" customFormat="1">
      <c r="A136" s="111"/>
      <c r="B136" s="47"/>
      <c r="C136" s="47"/>
      <c r="D136" s="138"/>
      <c r="E136" s="117"/>
      <c r="F136" s="118"/>
      <c r="G136" s="118"/>
      <c r="H136" s="118"/>
      <c r="I136" s="139"/>
      <c r="J136" s="231"/>
      <c r="K136" s="231"/>
      <c r="L136" s="231"/>
      <c r="M136" s="231"/>
      <c r="N136" s="231"/>
      <c r="O136" s="231"/>
      <c r="P136" s="231"/>
      <c r="Q136" s="231"/>
      <c r="R136" s="231"/>
      <c r="S136" s="231"/>
      <c r="T136" s="231"/>
      <c r="U136" s="231"/>
      <c r="V136" s="231"/>
      <c r="W136" s="231"/>
      <c r="X136" s="231"/>
      <c r="Y136" s="231"/>
      <c r="Z136" s="231"/>
      <c r="AA136" s="231"/>
      <c r="AB136" s="231"/>
      <c r="AC136" s="231"/>
      <c r="AD136" s="231"/>
      <c r="AE136" s="231"/>
      <c r="AF136" s="231"/>
      <c r="AG136" s="231"/>
      <c r="AH136" s="231"/>
      <c r="AI136" s="231"/>
      <c r="AJ136" s="231"/>
      <c r="AK136" s="231"/>
      <c r="AL136" s="231"/>
      <c r="AM136" s="231"/>
      <c r="AN136" s="231"/>
    </row>
    <row r="137" spans="1:40" s="203" customFormat="1">
      <c r="A137" s="119" t="s">
        <v>109</v>
      </c>
      <c r="B137" s="116"/>
      <c r="C137" s="116"/>
      <c r="D137" s="116"/>
      <c r="E137" s="140"/>
      <c r="F137" s="146"/>
      <c r="G137" s="118"/>
      <c r="H137" s="146"/>
      <c r="I137" s="139"/>
      <c r="J137" s="231"/>
      <c r="K137" s="231"/>
      <c r="L137" s="231"/>
      <c r="M137" s="231"/>
      <c r="N137" s="231"/>
      <c r="O137" s="231"/>
      <c r="P137" s="231"/>
      <c r="Q137" s="231"/>
      <c r="R137" s="231"/>
      <c r="S137" s="231"/>
      <c r="T137" s="231"/>
      <c r="U137" s="231"/>
      <c r="V137" s="231"/>
      <c r="W137" s="231"/>
      <c r="X137" s="231"/>
      <c r="Y137" s="231"/>
      <c r="Z137" s="231"/>
      <c r="AA137" s="231"/>
      <c r="AB137" s="231"/>
      <c r="AC137" s="231"/>
      <c r="AD137" s="231"/>
      <c r="AE137" s="231"/>
      <c r="AF137" s="231"/>
      <c r="AG137" s="231"/>
      <c r="AH137" s="231"/>
      <c r="AI137" s="231"/>
      <c r="AJ137" s="231"/>
      <c r="AK137" s="231"/>
      <c r="AL137" s="231"/>
      <c r="AM137" s="231"/>
      <c r="AN137" s="231"/>
    </row>
    <row r="138" spans="1:40" s="203" customFormat="1">
      <c r="A138" s="120">
        <v>34</v>
      </c>
      <c r="B138" s="47" t="s">
        <v>123</v>
      </c>
      <c r="C138" s="47"/>
      <c r="D138" s="47"/>
      <c r="E138" s="49">
        <v>311.12906641987121</v>
      </c>
      <c r="F138" s="52">
        <v>221</v>
      </c>
      <c r="G138" s="118"/>
      <c r="H138" s="52">
        <v>311</v>
      </c>
      <c r="I138" s="139"/>
      <c r="J138" s="231"/>
      <c r="K138" s="231"/>
      <c r="L138" s="231"/>
      <c r="M138" s="231"/>
      <c r="N138" s="231"/>
      <c r="O138" s="231"/>
      <c r="P138" s="231"/>
      <c r="Q138" s="231"/>
      <c r="R138" s="231"/>
      <c r="S138" s="231"/>
      <c r="T138" s="231"/>
      <c r="U138" s="231"/>
      <c r="V138" s="231"/>
      <c r="W138" s="231"/>
      <c r="X138" s="231"/>
      <c r="Y138" s="231"/>
      <c r="Z138" s="231"/>
      <c r="AA138" s="231"/>
      <c r="AB138" s="231"/>
      <c r="AC138" s="231"/>
      <c r="AD138" s="231"/>
      <c r="AE138" s="231"/>
      <c r="AF138" s="231"/>
      <c r="AG138" s="231"/>
      <c r="AH138" s="231"/>
      <c r="AI138" s="231"/>
      <c r="AJ138" s="231"/>
      <c r="AK138" s="231"/>
      <c r="AL138" s="231"/>
      <c r="AM138" s="231"/>
      <c r="AN138" s="231"/>
    </row>
    <row r="139" spans="1:40" s="203" customFormat="1">
      <c r="A139" s="120">
        <v>35</v>
      </c>
      <c r="B139" s="47" t="s">
        <v>119</v>
      </c>
      <c r="C139" s="47"/>
      <c r="D139" s="47"/>
      <c r="E139" s="49">
        <v>1260.8187967309768</v>
      </c>
      <c r="F139" s="52">
        <v>1873</v>
      </c>
      <c r="G139" s="118"/>
      <c r="H139" s="52">
        <v>2151</v>
      </c>
      <c r="I139" s="139"/>
      <c r="J139" s="231"/>
      <c r="K139" s="231"/>
      <c r="L139" s="231"/>
      <c r="M139" s="231"/>
      <c r="N139" s="231"/>
      <c r="O139" s="231"/>
      <c r="P139" s="231"/>
      <c r="Q139" s="231"/>
      <c r="R139" s="231"/>
      <c r="S139" s="231"/>
      <c r="T139" s="231"/>
      <c r="U139" s="231"/>
      <c r="V139" s="231"/>
      <c r="W139" s="231"/>
      <c r="X139" s="231"/>
      <c r="Y139" s="231"/>
      <c r="Z139" s="231"/>
      <c r="AA139" s="231"/>
      <c r="AB139" s="231"/>
      <c r="AC139" s="231"/>
      <c r="AD139" s="231"/>
      <c r="AE139" s="231"/>
      <c r="AF139" s="231"/>
      <c r="AG139" s="231"/>
      <c r="AH139" s="231"/>
      <c r="AI139" s="231"/>
      <c r="AJ139" s="231"/>
      <c r="AK139" s="231"/>
      <c r="AL139" s="231"/>
      <c r="AM139" s="231"/>
      <c r="AN139" s="231"/>
    </row>
    <row r="140" spans="1:40" s="203" customFormat="1">
      <c r="A140" s="120">
        <v>36</v>
      </c>
      <c r="B140" s="47" t="s">
        <v>120</v>
      </c>
      <c r="C140" s="47"/>
      <c r="D140" s="47"/>
      <c r="E140" s="49">
        <v>1099.0450510898183</v>
      </c>
      <c r="F140" s="52">
        <v>1060</v>
      </c>
      <c r="G140" s="118"/>
      <c r="H140" s="204">
        <v>1109</v>
      </c>
      <c r="I140" s="139"/>
      <c r="J140" s="231"/>
      <c r="K140" s="231"/>
      <c r="L140" s="231"/>
      <c r="M140" s="231"/>
      <c r="N140" s="231"/>
      <c r="O140" s="231"/>
      <c r="P140" s="231"/>
      <c r="Q140" s="231"/>
      <c r="R140" s="231"/>
      <c r="S140" s="231"/>
      <c r="T140" s="231"/>
      <c r="U140" s="231"/>
      <c r="V140" s="231"/>
      <c r="W140" s="231"/>
      <c r="X140" s="231"/>
      <c r="Y140" s="231"/>
      <c r="Z140" s="231"/>
      <c r="AA140" s="231"/>
      <c r="AB140" s="231"/>
      <c r="AC140" s="231"/>
      <c r="AD140" s="231"/>
      <c r="AE140" s="231"/>
      <c r="AF140" s="231"/>
      <c r="AG140" s="231"/>
      <c r="AH140" s="231"/>
      <c r="AI140" s="231"/>
      <c r="AJ140" s="231"/>
      <c r="AK140" s="231"/>
      <c r="AL140" s="231"/>
      <c r="AM140" s="231"/>
      <c r="AN140" s="231"/>
    </row>
    <row r="141" spans="1:40" s="203" customFormat="1">
      <c r="A141" s="120">
        <v>37</v>
      </c>
      <c r="B141" s="90" t="s">
        <v>126</v>
      </c>
      <c r="C141" s="47"/>
      <c r="D141" s="47"/>
      <c r="E141" s="49">
        <v>175.48046278707309</v>
      </c>
      <c r="F141" s="52">
        <v>282</v>
      </c>
      <c r="G141" s="118"/>
      <c r="H141" s="52">
        <v>247</v>
      </c>
      <c r="I141" s="139"/>
      <c r="J141" s="231"/>
      <c r="K141" s="231"/>
      <c r="L141" s="231"/>
      <c r="M141" s="231"/>
      <c r="N141" s="231"/>
      <c r="O141" s="231"/>
      <c r="P141" s="231"/>
      <c r="Q141" s="231"/>
      <c r="R141" s="231"/>
      <c r="S141" s="231"/>
      <c r="T141" s="231"/>
      <c r="U141" s="231"/>
      <c r="V141" s="231"/>
      <c r="W141" s="231"/>
      <c r="X141" s="231"/>
      <c r="Y141" s="231"/>
      <c r="Z141" s="231"/>
      <c r="AA141" s="231"/>
      <c r="AB141" s="231"/>
      <c r="AC141" s="231"/>
      <c r="AD141" s="231"/>
      <c r="AE141" s="231"/>
      <c r="AF141" s="231"/>
      <c r="AG141" s="231"/>
      <c r="AH141" s="231"/>
      <c r="AI141" s="231"/>
      <c r="AJ141" s="231"/>
      <c r="AK141" s="231"/>
      <c r="AL141" s="231"/>
      <c r="AM141" s="231"/>
      <c r="AN141" s="231"/>
    </row>
    <row r="142" spans="1:40" s="203" customFormat="1">
      <c r="A142" s="120">
        <v>38</v>
      </c>
      <c r="B142" s="47" t="s">
        <v>121</v>
      </c>
      <c r="C142" s="47"/>
      <c r="D142" s="47"/>
      <c r="E142" s="49">
        <v>1904.4046568494318</v>
      </c>
      <c r="F142" s="52">
        <v>2371</v>
      </c>
      <c r="G142" s="118"/>
      <c r="H142" s="126">
        <v>1937</v>
      </c>
      <c r="I142" s="139"/>
      <c r="J142" s="231"/>
      <c r="K142" s="231"/>
      <c r="L142" s="231"/>
      <c r="M142" s="231"/>
      <c r="N142" s="231"/>
      <c r="O142" s="231"/>
      <c r="P142" s="231"/>
      <c r="Q142" s="231"/>
      <c r="R142" s="231"/>
      <c r="S142" s="231"/>
      <c r="T142" s="231"/>
      <c r="U142" s="231"/>
      <c r="V142" s="231"/>
      <c r="W142" s="231"/>
      <c r="X142" s="231"/>
      <c r="Y142" s="231"/>
      <c r="Z142" s="231"/>
      <c r="AA142" s="231"/>
      <c r="AB142" s="231"/>
      <c r="AC142" s="231"/>
      <c r="AD142" s="231"/>
      <c r="AE142" s="231"/>
      <c r="AF142" s="231"/>
      <c r="AG142" s="231"/>
      <c r="AH142" s="231"/>
      <c r="AI142" s="231"/>
      <c r="AJ142" s="231"/>
      <c r="AK142" s="231"/>
      <c r="AL142" s="231"/>
      <c r="AM142" s="231"/>
      <c r="AN142" s="231"/>
    </row>
    <row r="143" spans="1:40" s="203" customFormat="1">
      <c r="A143" s="120">
        <v>39</v>
      </c>
      <c r="B143" s="116" t="s">
        <v>129</v>
      </c>
      <c r="C143" s="116"/>
      <c r="D143" s="116"/>
      <c r="E143" s="80">
        <v>4750.8780338771712</v>
      </c>
      <c r="F143" s="142">
        <f>SUM(F138:F142)</f>
        <v>5807</v>
      </c>
      <c r="G143" s="118"/>
      <c r="H143" s="142">
        <f>SUM(H138:H142)</f>
        <v>5755</v>
      </c>
      <c r="I143" s="139"/>
      <c r="J143" s="231"/>
      <c r="K143" s="231"/>
      <c r="L143" s="231"/>
      <c r="M143" s="231"/>
      <c r="N143" s="231"/>
      <c r="O143" s="231"/>
      <c r="P143" s="231"/>
      <c r="Q143" s="231"/>
      <c r="R143" s="231"/>
      <c r="S143" s="231"/>
      <c r="T143" s="231"/>
      <c r="U143" s="231"/>
      <c r="V143" s="231"/>
      <c r="W143" s="231"/>
      <c r="X143" s="231"/>
      <c r="Y143" s="231"/>
      <c r="Z143" s="231"/>
      <c r="AA143" s="231"/>
      <c r="AB143" s="231"/>
      <c r="AC143" s="231"/>
      <c r="AD143" s="231"/>
      <c r="AE143" s="231"/>
      <c r="AF143" s="231"/>
      <c r="AG143" s="231"/>
      <c r="AH143" s="231"/>
      <c r="AI143" s="231"/>
      <c r="AJ143" s="231"/>
      <c r="AK143" s="231"/>
      <c r="AL143" s="231"/>
      <c r="AM143" s="231"/>
      <c r="AN143" s="231"/>
    </row>
    <row r="144" spans="1:40" s="203" customFormat="1">
      <c r="A144" s="111"/>
      <c r="B144" s="47"/>
      <c r="C144" s="47"/>
      <c r="D144" s="47"/>
      <c r="E144" s="117"/>
      <c r="F144" s="118"/>
      <c r="G144" s="118"/>
      <c r="H144" s="118"/>
      <c r="I144" s="139"/>
      <c r="J144" s="231"/>
      <c r="K144" s="231"/>
      <c r="L144" s="231"/>
      <c r="M144" s="231"/>
      <c r="N144" s="231"/>
      <c r="O144" s="231"/>
      <c r="P144" s="231"/>
      <c r="Q144" s="231"/>
      <c r="R144" s="231"/>
      <c r="S144" s="231"/>
      <c r="T144" s="231"/>
      <c r="U144" s="231"/>
      <c r="V144" s="231"/>
      <c r="W144" s="231"/>
      <c r="X144" s="231"/>
      <c r="Y144" s="231"/>
      <c r="Z144" s="231"/>
      <c r="AA144" s="231"/>
      <c r="AB144" s="231"/>
      <c r="AC144" s="231"/>
      <c r="AD144" s="231"/>
      <c r="AE144" s="231"/>
      <c r="AF144" s="231"/>
      <c r="AG144" s="231"/>
      <c r="AH144" s="231"/>
      <c r="AI144" s="231"/>
      <c r="AJ144" s="231"/>
      <c r="AK144" s="231"/>
      <c r="AL144" s="231"/>
      <c r="AM144" s="231"/>
      <c r="AN144" s="231"/>
    </row>
    <row r="145" spans="1:40" s="203" customFormat="1">
      <c r="A145" s="119" t="s">
        <v>110</v>
      </c>
      <c r="B145" s="116"/>
      <c r="C145" s="116"/>
      <c r="D145" s="116"/>
      <c r="E145" s="140"/>
      <c r="F145" s="146"/>
      <c r="G145" s="118"/>
      <c r="H145" s="146"/>
      <c r="I145" s="139"/>
      <c r="J145" s="231"/>
      <c r="K145" s="231"/>
      <c r="L145" s="231"/>
      <c r="M145" s="231"/>
      <c r="N145" s="231"/>
      <c r="O145" s="231"/>
      <c r="P145" s="231"/>
      <c r="Q145" s="231"/>
      <c r="R145" s="231"/>
      <c r="S145" s="231"/>
      <c r="T145" s="231"/>
      <c r="U145" s="231"/>
      <c r="V145" s="231"/>
      <c r="W145" s="231"/>
      <c r="X145" s="231"/>
      <c r="Y145" s="231"/>
      <c r="Z145" s="231"/>
      <c r="AA145" s="231"/>
      <c r="AB145" s="231"/>
      <c r="AC145" s="231"/>
      <c r="AD145" s="231"/>
      <c r="AE145" s="231"/>
      <c r="AF145" s="231"/>
      <c r="AG145" s="231"/>
      <c r="AH145" s="231"/>
      <c r="AI145" s="231"/>
      <c r="AJ145" s="231"/>
      <c r="AK145" s="231"/>
      <c r="AL145" s="231"/>
      <c r="AM145" s="231"/>
      <c r="AN145" s="231"/>
    </row>
    <row r="146" spans="1:40" s="203" customFormat="1">
      <c r="A146" s="120">
        <v>40</v>
      </c>
      <c r="B146" s="47" t="s">
        <v>123</v>
      </c>
      <c r="C146" s="47"/>
      <c r="D146" s="47"/>
      <c r="E146" s="49">
        <v>1144.1090544019198</v>
      </c>
      <c r="F146" s="52">
        <v>1002</v>
      </c>
      <c r="G146" s="118"/>
      <c r="H146" s="52">
        <v>1202</v>
      </c>
      <c r="I146" s="139"/>
      <c r="J146" s="231"/>
      <c r="K146" s="231"/>
      <c r="L146" s="231"/>
      <c r="M146" s="231"/>
      <c r="N146" s="231"/>
      <c r="O146" s="231"/>
      <c r="P146" s="231"/>
      <c r="Q146" s="231"/>
      <c r="R146" s="231"/>
      <c r="S146" s="231"/>
      <c r="T146" s="231"/>
      <c r="U146" s="231"/>
      <c r="V146" s="231"/>
      <c r="W146" s="231"/>
      <c r="X146" s="231"/>
      <c r="Y146" s="231"/>
      <c r="Z146" s="231"/>
      <c r="AA146" s="231"/>
      <c r="AB146" s="231"/>
      <c r="AC146" s="231"/>
      <c r="AD146" s="231"/>
      <c r="AE146" s="231"/>
      <c r="AF146" s="231"/>
      <c r="AG146" s="231"/>
      <c r="AH146" s="231"/>
      <c r="AI146" s="231"/>
      <c r="AJ146" s="231"/>
      <c r="AK146" s="231"/>
      <c r="AL146" s="231"/>
      <c r="AM146" s="231"/>
      <c r="AN146" s="231"/>
    </row>
    <row r="147" spans="1:40" s="203" customFormat="1">
      <c r="A147" s="120">
        <v>41</v>
      </c>
      <c r="B147" s="47" t="s">
        <v>119</v>
      </c>
      <c r="C147" s="47"/>
      <c r="D147" s="47"/>
      <c r="E147" s="49">
        <v>547.37907950333681</v>
      </c>
      <c r="F147" s="52">
        <v>183</v>
      </c>
      <c r="G147" s="118"/>
      <c r="H147" s="52">
        <v>305</v>
      </c>
      <c r="I147" s="139"/>
      <c r="J147" s="231"/>
      <c r="K147" s="231"/>
      <c r="L147" s="231"/>
      <c r="M147" s="231"/>
      <c r="N147" s="231"/>
      <c r="O147" s="231"/>
      <c r="P147" s="231"/>
      <c r="Q147" s="231"/>
      <c r="R147" s="231"/>
      <c r="S147" s="231"/>
      <c r="T147" s="231"/>
      <c r="U147" s="231"/>
      <c r="V147" s="231"/>
      <c r="W147" s="231"/>
      <c r="X147" s="231"/>
      <c r="Y147" s="231"/>
      <c r="Z147" s="231"/>
      <c r="AA147" s="231"/>
      <c r="AB147" s="231"/>
      <c r="AC147" s="231"/>
      <c r="AD147" s="231"/>
      <c r="AE147" s="231"/>
      <c r="AF147" s="231"/>
      <c r="AG147" s="231"/>
      <c r="AH147" s="231"/>
      <c r="AI147" s="231"/>
      <c r="AJ147" s="231"/>
      <c r="AK147" s="231"/>
      <c r="AL147" s="231"/>
      <c r="AM147" s="231"/>
      <c r="AN147" s="231"/>
    </row>
    <row r="148" spans="1:40" s="203" customFormat="1">
      <c r="A148" s="120">
        <v>42</v>
      </c>
      <c r="B148" s="47" t="s">
        <v>120</v>
      </c>
      <c r="C148" s="47"/>
      <c r="D148" s="47"/>
      <c r="E148" s="49">
        <v>54.914703927173235</v>
      </c>
      <c r="F148" s="52">
        <v>59</v>
      </c>
      <c r="G148" s="118"/>
      <c r="H148" s="204">
        <v>83</v>
      </c>
      <c r="I148" s="139"/>
      <c r="J148" s="231"/>
      <c r="K148" s="231"/>
      <c r="L148" s="231"/>
      <c r="M148" s="231"/>
      <c r="N148" s="231"/>
      <c r="O148" s="231"/>
      <c r="P148" s="231"/>
      <c r="Q148" s="231"/>
      <c r="R148" s="231"/>
      <c r="S148" s="231"/>
      <c r="T148" s="231"/>
      <c r="U148" s="231"/>
      <c r="V148" s="231"/>
      <c r="W148" s="231"/>
      <c r="X148" s="231"/>
      <c r="Y148" s="231"/>
      <c r="Z148" s="231"/>
      <c r="AA148" s="231"/>
      <c r="AB148" s="231"/>
      <c r="AC148" s="231"/>
      <c r="AD148" s="231"/>
      <c r="AE148" s="231"/>
      <c r="AF148" s="231"/>
      <c r="AG148" s="231"/>
      <c r="AH148" s="231"/>
      <c r="AI148" s="231"/>
      <c r="AJ148" s="231"/>
      <c r="AK148" s="231"/>
      <c r="AL148" s="231"/>
      <c r="AM148" s="231"/>
      <c r="AN148" s="231"/>
    </row>
    <row r="149" spans="1:40" s="203" customFormat="1">
      <c r="A149" s="120">
        <v>43</v>
      </c>
      <c r="B149" s="47" t="s">
        <v>121</v>
      </c>
      <c r="C149" s="47"/>
      <c r="D149" s="47"/>
      <c r="E149" s="49">
        <v>330.16853860481706</v>
      </c>
      <c r="F149" s="52">
        <v>204</v>
      </c>
      <c r="G149" s="118"/>
      <c r="H149" s="126">
        <v>162</v>
      </c>
      <c r="I149" s="139"/>
      <c r="J149" s="231"/>
      <c r="K149" s="231"/>
      <c r="L149" s="231"/>
      <c r="M149" s="231"/>
      <c r="N149" s="231"/>
      <c r="O149" s="231"/>
      <c r="P149" s="231"/>
      <c r="Q149" s="231"/>
      <c r="R149" s="231"/>
      <c r="S149" s="231"/>
      <c r="T149" s="231"/>
      <c r="U149" s="231"/>
      <c r="V149" s="231"/>
      <c r="W149" s="231"/>
      <c r="X149" s="231"/>
      <c r="Y149" s="231"/>
      <c r="Z149" s="231"/>
      <c r="AA149" s="231"/>
      <c r="AB149" s="231"/>
      <c r="AC149" s="231"/>
      <c r="AD149" s="231"/>
      <c r="AE149" s="231"/>
      <c r="AF149" s="231"/>
      <c r="AG149" s="231"/>
      <c r="AH149" s="231"/>
      <c r="AI149" s="231"/>
      <c r="AJ149" s="231"/>
      <c r="AK149" s="231"/>
      <c r="AL149" s="231"/>
      <c r="AM149" s="231"/>
      <c r="AN149" s="231"/>
    </row>
    <row r="150" spans="1:40" s="203" customFormat="1">
      <c r="A150" s="124">
        <v>44</v>
      </c>
      <c r="B150" s="94" t="s">
        <v>130</v>
      </c>
      <c r="C150" s="94"/>
      <c r="D150" s="94"/>
      <c r="E150" s="80">
        <v>2076.5713764372467</v>
      </c>
      <c r="F150" s="142">
        <f>SUM(F146:F149)</f>
        <v>1448</v>
      </c>
      <c r="G150" s="259"/>
      <c r="H150" s="142">
        <f>SUM(H146:H149)</f>
        <v>1752</v>
      </c>
      <c r="I150" s="139"/>
      <c r="J150" s="231"/>
      <c r="K150" s="231"/>
      <c r="L150" s="231"/>
      <c r="M150" s="231"/>
      <c r="N150" s="231"/>
      <c r="O150" s="231"/>
      <c r="P150" s="231"/>
      <c r="Q150" s="231"/>
      <c r="R150" s="231"/>
      <c r="S150" s="231"/>
      <c r="T150" s="231"/>
      <c r="U150" s="231"/>
      <c r="V150" s="231"/>
      <c r="W150" s="231"/>
      <c r="X150" s="231"/>
      <c r="Y150" s="231"/>
      <c r="Z150" s="231"/>
      <c r="AA150" s="231"/>
      <c r="AB150" s="231"/>
      <c r="AC150" s="231"/>
      <c r="AD150" s="231"/>
      <c r="AE150" s="231"/>
      <c r="AF150" s="231"/>
      <c r="AG150" s="231"/>
      <c r="AH150" s="231"/>
      <c r="AI150" s="231"/>
      <c r="AJ150" s="231"/>
      <c r="AK150" s="231"/>
      <c r="AL150" s="231"/>
      <c r="AM150" s="231"/>
      <c r="AN150" s="231"/>
    </row>
    <row r="151" spans="1:40" s="203" customFormat="1">
      <c r="A151" s="148"/>
      <c r="B151" s="129"/>
      <c r="C151" s="129"/>
      <c r="D151" s="149"/>
      <c r="E151" s="150"/>
      <c r="F151" s="29"/>
      <c r="G151" s="29"/>
      <c r="H151" s="207"/>
      <c r="I151" s="29"/>
      <c r="J151" s="231"/>
      <c r="K151" s="231"/>
      <c r="L151" s="231"/>
      <c r="M151" s="231"/>
      <c r="N151" s="231"/>
      <c r="O151" s="231"/>
      <c r="P151" s="231"/>
      <c r="Q151" s="231"/>
      <c r="R151" s="231"/>
      <c r="S151" s="231"/>
      <c r="T151" s="231"/>
      <c r="U151" s="231"/>
      <c r="V151" s="231"/>
      <c r="W151" s="231"/>
      <c r="X151" s="231"/>
      <c r="Y151" s="231"/>
      <c r="Z151" s="231"/>
      <c r="AA151" s="231"/>
      <c r="AB151" s="231"/>
      <c r="AC151" s="231"/>
      <c r="AD151" s="231"/>
      <c r="AE151" s="231"/>
      <c r="AF151" s="231"/>
      <c r="AG151" s="231"/>
      <c r="AH151" s="231"/>
      <c r="AI151" s="231"/>
      <c r="AJ151" s="231"/>
      <c r="AK151" s="231"/>
      <c r="AL151" s="231"/>
      <c r="AM151" s="231"/>
      <c r="AN151" s="231"/>
    </row>
    <row r="152" spans="1:40" s="203" customFormat="1">
      <c r="A152" s="148"/>
      <c r="B152" s="129"/>
      <c r="C152" s="129"/>
      <c r="D152" s="151"/>
      <c r="E152" s="152"/>
      <c r="F152" s="29"/>
      <c r="G152" s="29"/>
      <c r="H152" s="131" t="s">
        <v>27</v>
      </c>
      <c r="I152" s="29"/>
      <c r="J152" s="231"/>
      <c r="K152" s="231"/>
      <c r="L152" s="231"/>
      <c r="M152" s="231"/>
      <c r="N152" s="231"/>
      <c r="O152" s="231"/>
      <c r="P152" s="231"/>
      <c r="Q152" s="231"/>
      <c r="R152" s="231"/>
      <c r="S152" s="231"/>
      <c r="T152" s="231"/>
      <c r="U152" s="231"/>
      <c r="V152" s="231"/>
      <c r="W152" s="231"/>
      <c r="X152" s="231"/>
      <c r="Y152" s="231"/>
      <c r="Z152" s="231"/>
      <c r="AA152" s="231"/>
      <c r="AB152" s="231"/>
      <c r="AC152" s="231"/>
      <c r="AD152" s="231"/>
      <c r="AE152" s="231"/>
      <c r="AF152" s="231"/>
      <c r="AG152" s="231"/>
      <c r="AH152" s="231"/>
      <c r="AI152" s="231"/>
      <c r="AJ152" s="231"/>
      <c r="AK152" s="231"/>
      <c r="AL152" s="231"/>
      <c r="AM152" s="231"/>
      <c r="AN152" s="231"/>
    </row>
    <row r="153" spans="1:40" s="203" customFormat="1">
      <c r="A153" s="106" t="s">
        <v>20</v>
      </c>
      <c r="B153" s="107"/>
      <c r="C153" s="107"/>
      <c r="D153" s="107"/>
      <c r="E153" s="856" t="s">
        <v>377</v>
      </c>
      <c r="F153" s="856" t="s">
        <v>402</v>
      </c>
      <c r="G153" s="130"/>
      <c r="H153" s="856" t="s">
        <v>403</v>
      </c>
      <c r="I153" s="130"/>
      <c r="J153" s="231"/>
      <c r="K153" s="231"/>
      <c r="L153" s="231"/>
      <c r="M153" s="231"/>
      <c r="N153" s="231"/>
      <c r="O153" s="231"/>
      <c r="P153" s="231"/>
      <c r="Q153" s="231"/>
      <c r="R153" s="231"/>
      <c r="S153" s="231"/>
      <c r="T153" s="231"/>
      <c r="U153" s="231"/>
      <c r="V153" s="231"/>
      <c r="W153" s="231"/>
      <c r="X153" s="231"/>
      <c r="Y153" s="231"/>
      <c r="Z153" s="231"/>
      <c r="AA153" s="231"/>
      <c r="AB153" s="231"/>
      <c r="AC153" s="231"/>
      <c r="AD153" s="231"/>
      <c r="AE153" s="231"/>
      <c r="AF153" s="231"/>
      <c r="AG153" s="231"/>
      <c r="AH153" s="231"/>
      <c r="AI153" s="231"/>
      <c r="AJ153" s="231"/>
      <c r="AK153" s="231"/>
      <c r="AL153" s="231"/>
      <c r="AM153" s="231"/>
      <c r="AN153" s="231"/>
    </row>
    <row r="154" spans="1:40" s="203" customFormat="1">
      <c r="A154" s="153"/>
      <c r="B154" s="132"/>
      <c r="C154" s="132"/>
      <c r="D154" s="132"/>
      <c r="E154" s="859"/>
      <c r="F154" s="859"/>
      <c r="G154" s="130"/>
      <c r="H154" s="859"/>
      <c r="I154" s="130"/>
      <c r="J154" s="231"/>
      <c r="K154" s="231"/>
      <c r="L154" s="231"/>
      <c r="M154" s="231"/>
      <c r="N154" s="231"/>
      <c r="O154" s="231"/>
      <c r="P154" s="231"/>
      <c r="Q154" s="231"/>
      <c r="R154" s="231"/>
      <c r="S154" s="231"/>
      <c r="T154" s="231"/>
      <c r="U154" s="231"/>
      <c r="V154" s="231"/>
      <c r="W154" s="231"/>
      <c r="X154" s="231"/>
      <c r="Y154" s="231"/>
      <c r="Z154" s="231"/>
      <c r="AA154" s="231"/>
      <c r="AB154" s="231"/>
      <c r="AC154" s="231"/>
      <c r="AD154" s="231"/>
      <c r="AE154" s="231"/>
      <c r="AF154" s="231"/>
      <c r="AG154" s="231"/>
      <c r="AH154" s="231"/>
      <c r="AI154" s="231"/>
      <c r="AJ154" s="231"/>
      <c r="AK154" s="231"/>
      <c r="AL154" s="231"/>
      <c r="AM154" s="231"/>
      <c r="AN154" s="231"/>
    </row>
    <row r="155" spans="1:40" s="203" customFormat="1">
      <c r="A155" s="154" t="s">
        <v>131</v>
      </c>
      <c r="B155" s="116"/>
      <c r="C155" s="116"/>
      <c r="D155" s="116"/>
      <c r="E155" s="859"/>
      <c r="F155" s="859"/>
      <c r="G155" s="130"/>
      <c r="H155" s="859"/>
      <c r="I155" s="130"/>
      <c r="J155" s="231"/>
      <c r="K155" s="231"/>
      <c r="L155" s="231"/>
      <c r="M155" s="231"/>
      <c r="N155" s="231"/>
      <c r="O155" s="231"/>
      <c r="P155" s="231"/>
      <c r="Q155" s="231"/>
      <c r="R155" s="231"/>
      <c r="S155" s="231"/>
      <c r="T155" s="231"/>
      <c r="U155" s="231"/>
      <c r="V155" s="231"/>
      <c r="W155" s="231"/>
      <c r="X155" s="231"/>
      <c r="Y155" s="231"/>
      <c r="Z155" s="231"/>
      <c r="AA155" s="231"/>
      <c r="AB155" s="231"/>
      <c r="AC155" s="231"/>
      <c r="AD155" s="231"/>
      <c r="AE155" s="231"/>
      <c r="AF155" s="231"/>
      <c r="AG155" s="231"/>
      <c r="AH155" s="231"/>
      <c r="AI155" s="231"/>
      <c r="AJ155" s="231"/>
      <c r="AK155" s="231"/>
      <c r="AL155" s="231"/>
      <c r="AM155" s="231"/>
      <c r="AN155" s="231"/>
    </row>
    <row r="156" spans="1:40" s="203" customFormat="1" ht="12.75" customHeight="1">
      <c r="A156" s="109" t="s">
        <v>83</v>
      </c>
      <c r="B156" s="47"/>
      <c r="C156" s="47"/>
      <c r="D156" s="47"/>
      <c r="E156" s="859"/>
      <c r="F156" s="859"/>
      <c r="G156" s="130"/>
      <c r="H156" s="859"/>
      <c r="I156" s="130"/>
      <c r="J156" s="231"/>
      <c r="K156" s="231"/>
      <c r="L156" s="231"/>
      <c r="M156" s="231"/>
      <c r="N156" s="231"/>
      <c r="O156" s="231"/>
      <c r="P156" s="231"/>
      <c r="Q156" s="231"/>
      <c r="R156" s="231"/>
      <c r="S156" s="231"/>
      <c r="T156" s="231"/>
      <c r="U156" s="231"/>
      <c r="V156" s="231"/>
      <c r="W156" s="231"/>
      <c r="X156" s="231"/>
      <c r="Y156" s="231"/>
      <c r="Z156" s="231"/>
      <c r="AA156" s="231"/>
      <c r="AB156" s="231"/>
      <c r="AC156" s="231"/>
      <c r="AD156" s="231"/>
      <c r="AE156" s="231"/>
      <c r="AF156" s="231"/>
      <c r="AG156" s="231"/>
      <c r="AH156" s="231"/>
      <c r="AI156" s="231"/>
      <c r="AJ156" s="231"/>
      <c r="AK156" s="231"/>
      <c r="AL156" s="231"/>
      <c r="AM156" s="231"/>
      <c r="AN156" s="231"/>
    </row>
    <row r="157" spans="1:40" s="203" customFormat="1">
      <c r="A157" s="110" t="s">
        <v>84</v>
      </c>
      <c r="B157" s="132"/>
      <c r="C157" s="132"/>
      <c r="D157" s="132"/>
      <c r="E157" s="860"/>
      <c r="F157" s="860"/>
      <c r="G157" s="130"/>
      <c r="H157" s="860"/>
      <c r="I157" s="130"/>
      <c r="J157" s="231"/>
      <c r="K157" s="231"/>
      <c r="L157" s="231"/>
      <c r="M157" s="231"/>
      <c r="N157" s="231"/>
      <c r="O157" s="231"/>
      <c r="P157" s="231"/>
      <c r="Q157" s="231"/>
      <c r="R157" s="231"/>
      <c r="S157" s="231"/>
      <c r="T157" s="231"/>
      <c r="U157" s="231"/>
      <c r="V157" s="231"/>
      <c r="W157" s="231"/>
      <c r="X157" s="231"/>
      <c r="Y157" s="231"/>
      <c r="Z157" s="231"/>
      <c r="AA157" s="231"/>
      <c r="AB157" s="231"/>
      <c r="AC157" s="231"/>
      <c r="AD157" s="231"/>
      <c r="AE157" s="231"/>
      <c r="AF157" s="231"/>
      <c r="AG157" s="231"/>
      <c r="AH157" s="231"/>
      <c r="AI157" s="231"/>
      <c r="AJ157" s="231"/>
      <c r="AK157" s="231"/>
      <c r="AL157" s="231"/>
      <c r="AM157" s="231"/>
      <c r="AN157" s="231"/>
    </row>
    <row r="158" spans="1:40" s="203" customFormat="1">
      <c r="A158" s="119" t="s">
        <v>132</v>
      </c>
      <c r="B158" s="47"/>
      <c r="C158" s="47"/>
      <c r="D158" s="47"/>
      <c r="E158" s="155"/>
      <c r="F158" s="146" t="s">
        <v>133</v>
      </c>
      <c r="G158" s="118"/>
      <c r="H158" s="146"/>
      <c r="I158" s="29"/>
      <c r="J158" s="231"/>
      <c r="K158" s="231"/>
      <c r="L158" s="231"/>
      <c r="M158" s="231"/>
      <c r="N158" s="231"/>
      <c r="O158" s="231"/>
      <c r="P158" s="231"/>
      <c r="Q158" s="231"/>
      <c r="R158" s="231"/>
      <c r="S158" s="231"/>
      <c r="T158" s="231"/>
      <c r="U158" s="231"/>
      <c r="V158" s="231"/>
      <c r="W158" s="231"/>
      <c r="X158" s="231"/>
      <c r="Y158" s="231"/>
      <c r="Z158" s="231"/>
      <c r="AA158" s="231"/>
      <c r="AB158" s="231"/>
      <c r="AC158" s="231"/>
      <c r="AD158" s="231"/>
      <c r="AE158" s="231"/>
      <c r="AF158" s="231"/>
      <c r="AG158" s="231"/>
      <c r="AH158" s="231"/>
      <c r="AI158" s="231"/>
      <c r="AJ158" s="231"/>
      <c r="AK158" s="231"/>
      <c r="AL158" s="231"/>
      <c r="AM158" s="231"/>
      <c r="AN158" s="231"/>
    </row>
    <row r="159" spans="1:40" s="203" customFormat="1">
      <c r="A159" s="120">
        <v>1</v>
      </c>
      <c r="B159" s="47" t="s">
        <v>134</v>
      </c>
      <c r="C159" s="47"/>
      <c r="D159" s="47"/>
      <c r="E159" s="74">
        <v>78.764942343385727</v>
      </c>
      <c r="F159" s="52">
        <v>75</v>
      </c>
      <c r="G159" s="118"/>
      <c r="H159" s="204">
        <v>50</v>
      </c>
      <c r="I159" s="29"/>
      <c r="J159" s="231"/>
      <c r="K159" s="231"/>
      <c r="L159" s="231"/>
      <c r="M159" s="231"/>
      <c r="N159" s="231"/>
      <c r="O159" s="231"/>
      <c r="P159" s="231"/>
      <c r="Q159" s="231"/>
      <c r="R159" s="231"/>
      <c r="S159" s="231"/>
      <c r="T159" s="231"/>
      <c r="U159" s="231"/>
      <c r="V159" s="231"/>
      <c r="W159" s="231"/>
      <c r="X159" s="231"/>
      <c r="Y159" s="231"/>
      <c r="Z159" s="231"/>
      <c r="AA159" s="231"/>
      <c r="AB159" s="231"/>
      <c r="AC159" s="231"/>
      <c r="AD159" s="231"/>
      <c r="AE159" s="231"/>
      <c r="AF159" s="231"/>
      <c r="AG159" s="231"/>
      <c r="AH159" s="231"/>
      <c r="AI159" s="231"/>
      <c r="AJ159" s="231"/>
      <c r="AK159" s="231"/>
      <c r="AL159" s="231"/>
      <c r="AM159" s="231"/>
      <c r="AN159" s="231"/>
    </row>
    <row r="160" spans="1:40" s="203" customFormat="1">
      <c r="A160" s="120">
        <v>2</v>
      </c>
      <c r="B160" s="47" t="s">
        <v>135</v>
      </c>
      <c r="C160" s="47"/>
      <c r="D160" s="47"/>
      <c r="E160" s="49">
        <v>786.70020682069435</v>
      </c>
      <c r="F160" s="52">
        <v>783</v>
      </c>
      <c r="G160" s="118"/>
      <c r="H160" s="204">
        <v>803</v>
      </c>
      <c r="I160" s="29"/>
      <c r="J160" s="231"/>
      <c r="K160" s="231"/>
      <c r="L160" s="231"/>
      <c r="M160" s="231"/>
      <c r="N160" s="231"/>
      <c r="O160" s="231"/>
      <c r="P160" s="231"/>
      <c r="Q160" s="231"/>
      <c r="R160" s="231"/>
      <c r="S160" s="231"/>
      <c r="T160" s="231"/>
      <c r="U160" s="231"/>
      <c r="V160" s="231"/>
      <c r="W160" s="231"/>
      <c r="X160" s="231"/>
      <c r="Y160" s="231"/>
      <c r="Z160" s="231"/>
      <c r="AA160" s="231"/>
      <c r="AB160" s="231"/>
      <c r="AC160" s="231"/>
      <c r="AD160" s="231"/>
      <c r="AE160" s="231"/>
      <c r="AF160" s="231"/>
      <c r="AG160" s="231"/>
      <c r="AH160" s="231"/>
      <c r="AI160" s="231"/>
      <c r="AJ160" s="231"/>
      <c r="AK160" s="231"/>
      <c r="AL160" s="231"/>
      <c r="AM160" s="231"/>
      <c r="AN160" s="231"/>
    </row>
    <row r="161" spans="1:40" s="203" customFormat="1">
      <c r="A161" s="120">
        <v>3</v>
      </c>
      <c r="B161" s="47" t="s">
        <v>136</v>
      </c>
      <c r="C161" s="47"/>
      <c r="D161" s="47"/>
      <c r="E161" s="114">
        <v>742.27962838762073</v>
      </c>
      <c r="F161" s="52">
        <v>771</v>
      </c>
      <c r="G161" s="118"/>
      <c r="H161" s="204">
        <v>844</v>
      </c>
      <c r="I161" s="29"/>
      <c r="J161" s="231"/>
      <c r="K161" s="231"/>
      <c r="L161" s="231"/>
      <c r="M161" s="231"/>
      <c r="N161" s="231"/>
      <c r="O161" s="231"/>
      <c r="P161" s="231"/>
      <c r="Q161" s="231"/>
      <c r="R161" s="231"/>
      <c r="S161" s="231"/>
      <c r="T161" s="231"/>
      <c r="U161" s="231"/>
      <c r="V161" s="231"/>
      <c r="W161" s="231"/>
      <c r="X161" s="231"/>
      <c r="Y161" s="231"/>
      <c r="Z161" s="231"/>
      <c r="AA161" s="231"/>
      <c r="AB161" s="231"/>
      <c r="AC161" s="231"/>
      <c r="AD161" s="231"/>
      <c r="AE161" s="231"/>
      <c r="AF161" s="231"/>
      <c r="AG161" s="231"/>
      <c r="AH161" s="231"/>
      <c r="AI161" s="231"/>
      <c r="AJ161" s="231"/>
      <c r="AK161" s="231"/>
      <c r="AL161" s="231"/>
      <c r="AM161" s="231"/>
      <c r="AN161" s="231"/>
    </row>
    <row r="162" spans="1:40" s="203" customFormat="1">
      <c r="A162" s="120">
        <v>4</v>
      </c>
      <c r="B162" s="47" t="s">
        <v>137</v>
      </c>
      <c r="C162" s="47"/>
      <c r="D162" s="47"/>
      <c r="E162" s="114">
        <v>499.18453215520356</v>
      </c>
      <c r="F162" s="52">
        <v>443</v>
      </c>
      <c r="G162" s="118"/>
      <c r="H162" s="834">
        <v>488</v>
      </c>
      <c r="I162" s="29"/>
      <c r="J162" s="231"/>
      <c r="K162" s="231"/>
      <c r="L162" s="231"/>
      <c r="M162" s="231"/>
      <c r="N162" s="231"/>
      <c r="O162" s="231"/>
      <c r="P162" s="231"/>
      <c r="Q162" s="231"/>
      <c r="R162" s="231"/>
      <c r="S162" s="231"/>
      <c r="T162" s="231"/>
      <c r="U162" s="231"/>
      <c r="V162" s="231"/>
      <c r="W162" s="231"/>
      <c r="X162" s="231"/>
      <c r="Y162" s="231"/>
      <c r="Z162" s="231"/>
      <c r="AA162" s="231"/>
      <c r="AB162" s="231"/>
      <c r="AC162" s="231"/>
      <c r="AD162" s="231"/>
      <c r="AE162" s="231"/>
      <c r="AF162" s="231"/>
      <c r="AG162" s="231"/>
      <c r="AH162" s="231"/>
      <c r="AI162" s="231"/>
      <c r="AJ162" s="231"/>
      <c r="AK162" s="231"/>
      <c r="AL162" s="231"/>
      <c r="AM162" s="231"/>
      <c r="AN162" s="231"/>
    </row>
    <row r="163" spans="1:40" s="203" customFormat="1">
      <c r="A163" s="120">
        <v>5</v>
      </c>
      <c r="B163" s="116" t="s">
        <v>138</v>
      </c>
      <c r="C163" s="116"/>
      <c r="D163" s="116"/>
      <c r="E163" s="80">
        <v>2106.9293097069044</v>
      </c>
      <c r="F163" s="142">
        <f>SUM(F159:F162)</f>
        <v>2072</v>
      </c>
      <c r="G163" s="118"/>
      <c r="H163" s="838">
        <f>SUM(H159:H162)</f>
        <v>2185</v>
      </c>
      <c r="I163" s="29"/>
      <c r="J163" s="231"/>
      <c r="K163" s="231"/>
      <c r="L163" s="231"/>
      <c r="M163" s="231"/>
      <c r="N163" s="231"/>
      <c r="O163" s="231"/>
      <c r="P163" s="231"/>
      <c r="Q163" s="231"/>
      <c r="R163" s="231"/>
      <c r="S163" s="231"/>
      <c r="T163" s="231"/>
      <c r="U163" s="231"/>
      <c r="V163" s="231"/>
      <c r="W163" s="231"/>
      <c r="X163" s="231"/>
      <c r="Y163" s="231"/>
      <c r="Z163" s="231"/>
      <c r="AA163" s="231"/>
      <c r="AB163" s="231"/>
      <c r="AC163" s="231"/>
      <c r="AD163" s="231"/>
      <c r="AE163" s="231"/>
      <c r="AF163" s="231"/>
      <c r="AG163" s="231"/>
      <c r="AH163" s="231"/>
      <c r="AI163" s="231"/>
      <c r="AJ163" s="231"/>
      <c r="AK163" s="231"/>
      <c r="AL163" s="231"/>
      <c r="AM163" s="231"/>
      <c r="AN163" s="231"/>
    </row>
    <row r="164" spans="1:40" s="203" customFormat="1">
      <c r="A164" s="46"/>
      <c r="B164" s="132"/>
      <c r="C164" s="132"/>
      <c r="D164" s="132"/>
      <c r="E164" s="156"/>
      <c r="F164" s="139"/>
      <c r="G164" s="139"/>
      <c r="H164" s="139"/>
      <c r="I164" s="29"/>
      <c r="J164" s="231"/>
      <c r="K164" s="231"/>
      <c r="L164" s="231"/>
      <c r="M164" s="231"/>
      <c r="N164" s="231"/>
      <c r="O164" s="231"/>
      <c r="P164" s="231"/>
      <c r="Q164" s="231"/>
      <c r="R164" s="231"/>
      <c r="S164" s="231"/>
      <c r="T164" s="231"/>
      <c r="U164" s="231"/>
      <c r="V164" s="231"/>
      <c r="W164" s="231"/>
      <c r="X164" s="231"/>
      <c r="Y164" s="231"/>
      <c r="Z164" s="231"/>
      <c r="AA164" s="231"/>
      <c r="AB164" s="231"/>
      <c r="AC164" s="231"/>
      <c r="AD164" s="231"/>
      <c r="AE164" s="231"/>
      <c r="AF164" s="231"/>
      <c r="AG164" s="231"/>
      <c r="AH164" s="231"/>
      <c r="AI164" s="231"/>
      <c r="AJ164" s="231"/>
      <c r="AK164" s="231"/>
      <c r="AL164" s="231"/>
      <c r="AM164" s="231"/>
      <c r="AN164" s="231"/>
    </row>
    <row r="165" spans="1:40" s="203" customFormat="1">
      <c r="A165" s="119" t="s">
        <v>139</v>
      </c>
      <c r="B165" s="47"/>
      <c r="C165" s="47"/>
      <c r="D165" s="47"/>
      <c r="E165" s="140"/>
      <c r="F165" s="146"/>
      <c r="G165" s="118"/>
      <c r="H165" s="146"/>
      <c r="I165" s="29"/>
      <c r="J165" s="231"/>
      <c r="K165" s="231"/>
      <c r="L165" s="231"/>
      <c r="M165" s="231"/>
      <c r="N165" s="231"/>
      <c r="O165" s="231"/>
      <c r="P165" s="231"/>
      <c r="Q165" s="231"/>
      <c r="R165" s="231"/>
      <c r="S165" s="231"/>
      <c r="T165" s="231"/>
      <c r="U165" s="231"/>
      <c r="V165" s="231"/>
      <c r="W165" s="231"/>
      <c r="X165" s="231"/>
      <c r="Y165" s="231"/>
      <c r="Z165" s="231"/>
      <c r="AA165" s="231"/>
      <c r="AB165" s="231"/>
      <c r="AC165" s="231"/>
      <c r="AD165" s="231"/>
      <c r="AE165" s="231"/>
      <c r="AF165" s="231"/>
      <c r="AG165" s="231"/>
      <c r="AH165" s="231"/>
      <c r="AI165" s="231"/>
      <c r="AJ165" s="231"/>
      <c r="AK165" s="231"/>
      <c r="AL165" s="231"/>
      <c r="AM165" s="231"/>
      <c r="AN165" s="231"/>
    </row>
    <row r="166" spans="1:40" s="203" customFormat="1">
      <c r="A166" s="120">
        <v>6</v>
      </c>
      <c r="B166" s="47" t="s">
        <v>140</v>
      </c>
      <c r="C166" s="47"/>
      <c r="D166" s="47"/>
      <c r="E166" s="74">
        <v>45</v>
      </c>
      <c r="F166" s="52">
        <v>31</v>
      </c>
      <c r="G166" s="118"/>
      <c r="H166" s="52">
        <v>47</v>
      </c>
      <c r="I166" s="29"/>
      <c r="J166" s="231"/>
      <c r="K166" s="231"/>
      <c r="L166" s="231"/>
      <c r="M166" s="231"/>
      <c r="N166" s="231"/>
      <c r="O166" s="231"/>
      <c r="P166" s="231"/>
      <c r="Q166" s="231"/>
      <c r="R166" s="231"/>
      <c r="S166" s="231"/>
      <c r="T166" s="231"/>
      <c r="U166" s="231"/>
      <c r="V166" s="231"/>
      <c r="W166" s="231"/>
      <c r="X166" s="231"/>
      <c r="Y166" s="231"/>
      <c r="Z166" s="231"/>
      <c r="AA166" s="231"/>
      <c r="AB166" s="231"/>
      <c r="AC166" s="231"/>
      <c r="AD166" s="231"/>
      <c r="AE166" s="231"/>
      <c r="AF166" s="231"/>
      <c r="AG166" s="231"/>
      <c r="AH166" s="231"/>
      <c r="AI166" s="231"/>
      <c r="AJ166" s="231"/>
      <c r="AK166" s="231"/>
      <c r="AL166" s="231"/>
      <c r="AM166" s="231"/>
      <c r="AN166" s="231"/>
    </row>
    <row r="167" spans="1:40" s="203" customFormat="1">
      <c r="A167" s="120">
        <v>7</v>
      </c>
      <c r="B167" s="47" t="s">
        <v>141</v>
      </c>
      <c r="C167" s="47"/>
      <c r="D167" s="47"/>
      <c r="E167" s="49">
        <v>160.65124467692638</v>
      </c>
      <c r="F167" s="52">
        <v>124</v>
      </c>
      <c r="G167" s="118"/>
      <c r="H167" s="204">
        <v>111</v>
      </c>
      <c r="I167" s="29"/>
      <c r="J167" s="231"/>
      <c r="K167" s="231"/>
      <c r="L167" s="231"/>
      <c r="M167" s="231"/>
      <c r="N167" s="231"/>
      <c r="O167" s="231"/>
      <c r="P167" s="231"/>
      <c r="Q167" s="231"/>
      <c r="R167" s="231"/>
      <c r="S167" s="231"/>
      <c r="T167" s="231"/>
      <c r="U167" s="231"/>
      <c r="V167" s="231"/>
      <c r="W167" s="231"/>
      <c r="X167" s="231"/>
      <c r="Y167" s="231"/>
      <c r="Z167" s="231"/>
      <c r="AA167" s="231"/>
      <c r="AB167" s="231"/>
      <c r="AC167" s="231"/>
      <c r="AD167" s="231"/>
      <c r="AE167" s="231"/>
      <c r="AF167" s="231"/>
      <c r="AG167" s="231"/>
      <c r="AH167" s="231"/>
      <c r="AI167" s="231"/>
      <c r="AJ167" s="231"/>
      <c r="AK167" s="231"/>
      <c r="AL167" s="231"/>
      <c r="AM167" s="231"/>
      <c r="AN167" s="231"/>
    </row>
    <row r="168" spans="1:40" s="203" customFormat="1">
      <c r="A168" s="120">
        <v>8</v>
      </c>
      <c r="B168" s="47" t="s">
        <v>121</v>
      </c>
      <c r="C168" s="47"/>
      <c r="D168" s="47"/>
      <c r="E168" s="49">
        <v>81.783508743385724</v>
      </c>
      <c r="F168" s="52">
        <v>35</v>
      </c>
      <c r="G168" s="118"/>
      <c r="H168" s="834">
        <v>42</v>
      </c>
      <c r="I168" s="29"/>
      <c r="J168" s="231"/>
      <c r="K168" s="231"/>
      <c r="L168" s="231"/>
      <c r="M168" s="231"/>
      <c r="N168" s="231"/>
      <c r="O168" s="231"/>
      <c r="P168" s="231"/>
      <c r="Q168" s="231"/>
      <c r="R168" s="231"/>
      <c r="S168" s="231"/>
      <c r="T168" s="231"/>
      <c r="U168" s="231"/>
      <c r="V168" s="231"/>
      <c r="W168" s="231"/>
      <c r="X168" s="231"/>
      <c r="Y168" s="231"/>
      <c r="Z168" s="231"/>
      <c r="AA168" s="231"/>
      <c r="AB168" s="231"/>
      <c r="AC168" s="231"/>
      <c r="AD168" s="231"/>
      <c r="AE168" s="231"/>
      <c r="AF168" s="231"/>
      <c r="AG168" s="231"/>
      <c r="AH168" s="231"/>
      <c r="AI168" s="231"/>
      <c r="AJ168" s="231"/>
      <c r="AK168" s="231"/>
      <c r="AL168" s="231"/>
      <c r="AM168" s="231"/>
      <c r="AN168" s="231"/>
    </row>
    <row r="169" spans="1:40" s="203" customFormat="1">
      <c r="A169" s="120">
        <v>9</v>
      </c>
      <c r="B169" s="116" t="s">
        <v>142</v>
      </c>
      <c r="C169" s="116"/>
      <c r="D169" s="116"/>
      <c r="E169" s="80">
        <v>287.43475342031212</v>
      </c>
      <c r="F169" s="142">
        <f>SUM(F166:F168)</f>
        <v>190</v>
      </c>
      <c r="G169" s="118"/>
      <c r="H169" s="838">
        <f>SUM(H166:H168)</f>
        <v>200</v>
      </c>
      <c r="I169" s="29"/>
      <c r="J169" s="231"/>
      <c r="K169" s="231"/>
      <c r="L169" s="231"/>
      <c r="M169" s="231"/>
      <c r="N169" s="231"/>
      <c r="O169" s="231"/>
      <c r="P169" s="231"/>
      <c r="Q169" s="231"/>
      <c r="R169" s="231"/>
      <c r="S169" s="231"/>
      <c r="T169" s="231"/>
      <c r="U169" s="231"/>
      <c r="V169" s="231"/>
      <c r="W169" s="231"/>
      <c r="X169" s="231"/>
      <c r="Y169" s="231"/>
      <c r="Z169" s="231"/>
      <c r="AA169" s="231"/>
      <c r="AB169" s="231"/>
      <c r="AC169" s="231"/>
      <c r="AD169" s="231"/>
      <c r="AE169" s="231"/>
      <c r="AF169" s="231"/>
      <c r="AG169" s="231"/>
      <c r="AH169" s="231"/>
      <c r="AI169" s="231"/>
      <c r="AJ169" s="231"/>
      <c r="AK169" s="231"/>
      <c r="AL169" s="231"/>
      <c r="AM169" s="231"/>
      <c r="AN169" s="231"/>
    </row>
    <row r="170" spans="1:40" s="203" customFormat="1">
      <c r="A170" s="46"/>
      <c r="B170" s="132"/>
      <c r="C170" s="132"/>
      <c r="D170" s="132"/>
      <c r="E170" s="156"/>
      <c r="F170" s="139"/>
      <c r="G170" s="139"/>
      <c r="H170" s="139"/>
      <c r="I170" s="29"/>
      <c r="J170" s="231"/>
      <c r="K170" s="231"/>
      <c r="L170" s="231"/>
      <c r="M170" s="231"/>
      <c r="N170" s="231"/>
      <c r="O170" s="231"/>
      <c r="P170" s="231"/>
      <c r="Q170" s="231"/>
      <c r="R170" s="231"/>
      <c r="S170" s="231"/>
      <c r="T170" s="231"/>
      <c r="U170" s="231"/>
      <c r="V170" s="231"/>
      <c r="W170" s="231"/>
      <c r="X170" s="231"/>
      <c r="Y170" s="231"/>
      <c r="Z170" s="231"/>
      <c r="AA170" s="231"/>
      <c r="AB170" s="231"/>
      <c r="AC170" s="231"/>
      <c r="AD170" s="231"/>
      <c r="AE170" s="231"/>
      <c r="AF170" s="231"/>
      <c r="AG170" s="231"/>
      <c r="AH170" s="231"/>
      <c r="AI170" s="231"/>
      <c r="AJ170" s="231"/>
      <c r="AK170" s="231"/>
      <c r="AL170" s="231"/>
      <c r="AM170" s="231"/>
      <c r="AN170" s="231"/>
    </row>
    <row r="171" spans="1:40" s="203" customFormat="1">
      <c r="A171" s="120">
        <v>10</v>
      </c>
      <c r="B171" s="47" t="s">
        <v>143</v>
      </c>
      <c r="C171" s="47"/>
      <c r="D171" s="47"/>
      <c r="E171" s="836">
        <v>66.756167741935428</v>
      </c>
      <c r="F171" s="121">
        <v>18</v>
      </c>
      <c r="G171" s="118"/>
      <c r="H171" s="121">
        <v>15</v>
      </c>
      <c r="I171" s="29"/>
      <c r="J171" s="231"/>
      <c r="K171" s="231"/>
      <c r="L171" s="231"/>
      <c r="M171" s="231"/>
      <c r="N171" s="231"/>
      <c r="O171" s="231"/>
      <c r="P171" s="231"/>
      <c r="Q171" s="231"/>
      <c r="R171" s="231"/>
      <c r="S171" s="231"/>
      <c r="T171" s="231"/>
      <c r="U171" s="231"/>
      <c r="V171" s="231"/>
      <c r="W171" s="231"/>
      <c r="X171" s="231"/>
      <c r="Y171" s="231"/>
      <c r="Z171" s="231"/>
      <c r="AA171" s="231"/>
      <c r="AB171" s="231"/>
      <c r="AC171" s="231"/>
      <c r="AD171" s="231"/>
      <c r="AE171" s="231"/>
      <c r="AF171" s="231"/>
      <c r="AG171" s="231"/>
      <c r="AH171" s="231"/>
      <c r="AI171" s="231"/>
      <c r="AJ171" s="231"/>
      <c r="AK171" s="231"/>
      <c r="AL171" s="231"/>
      <c r="AM171" s="231"/>
      <c r="AN171" s="231"/>
    </row>
    <row r="172" spans="1:40" s="203" customFormat="1">
      <c r="A172" s="120">
        <v>11</v>
      </c>
      <c r="B172" s="47" t="s">
        <v>144</v>
      </c>
      <c r="C172" s="47"/>
      <c r="D172" s="47"/>
      <c r="E172" s="837">
        <v>0</v>
      </c>
      <c r="F172" s="126">
        <v>0</v>
      </c>
      <c r="G172" s="118"/>
      <c r="H172" s="126">
        <v>0</v>
      </c>
      <c r="I172" s="29"/>
      <c r="J172" s="231"/>
      <c r="K172" s="231"/>
      <c r="L172" s="231"/>
      <c r="M172" s="231"/>
      <c r="N172" s="231"/>
      <c r="O172" s="231"/>
      <c r="P172" s="231"/>
      <c r="Q172" s="231"/>
      <c r="R172" s="231"/>
      <c r="S172" s="231"/>
      <c r="T172" s="231"/>
      <c r="U172" s="231"/>
      <c r="V172" s="231"/>
      <c r="W172" s="231"/>
      <c r="X172" s="231"/>
      <c r="Y172" s="231"/>
      <c r="Z172" s="231"/>
      <c r="AA172" s="231"/>
      <c r="AB172" s="231"/>
      <c r="AC172" s="231"/>
      <c r="AD172" s="231"/>
      <c r="AE172" s="231"/>
      <c r="AF172" s="231"/>
      <c r="AG172" s="231"/>
      <c r="AH172" s="231"/>
      <c r="AI172" s="231"/>
      <c r="AJ172" s="231"/>
      <c r="AK172" s="231"/>
      <c r="AL172" s="231"/>
      <c r="AM172" s="231"/>
      <c r="AN172" s="231"/>
    </row>
    <row r="173" spans="1:40" s="203" customFormat="1">
      <c r="A173" s="46"/>
      <c r="B173" s="132"/>
      <c r="C173" s="132"/>
      <c r="D173" s="132"/>
      <c r="E173" s="156"/>
      <c r="F173" s="139"/>
      <c r="G173" s="139"/>
      <c r="H173" s="139"/>
      <c r="I173" s="29"/>
      <c r="J173" s="231"/>
      <c r="K173" s="231"/>
      <c r="L173" s="231"/>
      <c r="M173" s="231"/>
      <c r="N173" s="231"/>
      <c r="O173" s="231"/>
      <c r="P173" s="231"/>
      <c r="Q173" s="231"/>
      <c r="R173" s="231"/>
      <c r="S173" s="231"/>
      <c r="T173" s="231"/>
      <c r="U173" s="231"/>
      <c r="V173" s="231"/>
      <c r="W173" s="231"/>
      <c r="X173" s="231"/>
      <c r="Y173" s="231"/>
      <c r="Z173" s="231"/>
      <c r="AA173" s="231"/>
      <c r="AB173" s="231"/>
      <c r="AC173" s="231"/>
      <c r="AD173" s="231"/>
      <c r="AE173" s="231"/>
      <c r="AF173" s="231"/>
      <c r="AG173" s="231"/>
      <c r="AH173" s="231"/>
      <c r="AI173" s="231"/>
      <c r="AJ173" s="231"/>
      <c r="AK173" s="231"/>
      <c r="AL173" s="231"/>
      <c r="AM173" s="231"/>
      <c r="AN173" s="231"/>
    </row>
    <row r="174" spans="1:40" s="203" customFormat="1">
      <c r="A174" s="119" t="s">
        <v>145</v>
      </c>
      <c r="B174" s="47"/>
      <c r="C174" s="47"/>
      <c r="D174" s="47"/>
      <c r="E174" s="157"/>
      <c r="F174" s="146"/>
      <c r="G174" s="118"/>
      <c r="H174" s="146"/>
      <c r="I174" s="29"/>
      <c r="J174" s="231"/>
      <c r="K174" s="231"/>
      <c r="L174" s="231"/>
      <c r="M174" s="231"/>
      <c r="N174" s="231"/>
      <c r="O174" s="231"/>
      <c r="P174" s="231"/>
      <c r="Q174" s="231"/>
      <c r="R174" s="231"/>
      <c r="S174" s="231"/>
      <c r="T174" s="231"/>
      <c r="U174" s="231"/>
      <c r="V174" s="231"/>
      <c r="W174" s="231"/>
      <c r="X174" s="231"/>
      <c r="Y174" s="231"/>
      <c r="Z174" s="231"/>
      <c r="AA174" s="231"/>
      <c r="AB174" s="231"/>
      <c r="AC174" s="231"/>
      <c r="AD174" s="231"/>
      <c r="AE174" s="231"/>
      <c r="AF174" s="231"/>
      <c r="AG174" s="231"/>
      <c r="AH174" s="231"/>
      <c r="AI174" s="231"/>
      <c r="AJ174" s="231"/>
      <c r="AK174" s="231"/>
      <c r="AL174" s="231"/>
      <c r="AM174" s="231"/>
      <c r="AN174" s="231"/>
    </row>
    <row r="175" spans="1:40" s="203" customFormat="1">
      <c r="A175" s="120">
        <v>12</v>
      </c>
      <c r="B175" s="47" t="s">
        <v>146</v>
      </c>
      <c r="C175" s="47"/>
      <c r="D175" s="47"/>
      <c r="E175" s="74">
        <v>91.250382304005299</v>
      </c>
      <c r="F175" s="52">
        <v>69</v>
      </c>
      <c r="G175" s="118"/>
      <c r="H175" s="204">
        <v>65</v>
      </c>
      <c r="I175" s="29"/>
      <c r="J175" s="231"/>
      <c r="K175" s="231"/>
      <c r="L175" s="231"/>
      <c r="M175" s="231"/>
      <c r="N175" s="231"/>
      <c r="O175" s="231"/>
      <c r="P175" s="231"/>
      <c r="Q175" s="231"/>
      <c r="R175" s="231"/>
      <c r="S175" s="231"/>
      <c r="T175" s="231"/>
      <c r="U175" s="231"/>
      <c r="V175" s="231"/>
      <c r="W175" s="231"/>
      <c r="X175" s="231"/>
      <c r="Y175" s="231"/>
      <c r="Z175" s="231"/>
      <c r="AA175" s="231"/>
      <c r="AB175" s="231"/>
      <c r="AC175" s="231"/>
      <c r="AD175" s="231"/>
      <c r="AE175" s="231"/>
      <c r="AF175" s="231"/>
      <c r="AG175" s="231"/>
      <c r="AH175" s="231"/>
      <c r="AI175" s="231"/>
      <c r="AJ175" s="231"/>
      <c r="AK175" s="231"/>
      <c r="AL175" s="231"/>
      <c r="AM175" s="231"/>
      <c r="AN175" s="231"/>
    </row>
    <row r="176" spans="1:40" s="203" customFormat="1">
      <c r="A176" s="120">
        <v>13</v>
      </c>
      <c r="B176" s="47" t="s">
        <v>147</v>
      </c>
      <c r="C176" s="47"/>
      <c r="D176" s="47"/>
      <c r="E176" s="49">
        <v>331.32038230400531</v>
      </c>
      <c r="F176" s="52">
        <v>310</v>
      </c>
      <c r="G176" s="118"/>
      <c r="H176" s="204">
        <v>303</v>
      </c>
      <c r="I176" s="29"/>
      <c r="J176" s="231"/>
      <c r="K176" s="231"/>
      <c r="L176" s="231"/>
      <c r="M176" s="231"/>
      <c r="N176" s="231"/>
      <c r="O176" s="231"/>
      <c r="P176" s="231"/>
      <c r="Q176" s="231"/>
      <c r="R176" s="231"/>
      <c r="S176" s="231"/>
      <c r="T176" s="231"/>
      <c r="U176" s="231"/>
      <c r="V176" s="231"/>
      <c r="W176" s="231"/>
      <c r="X176" s="231"/>
      <c r="Y176" s="231"/>
      <c r="Z176" s="231"/>
      <c r="AA176" s="231"/>
      <c r="AB176" s="231"/>
      <c r="AC176" s="231"/>
      <c r="AD176" s="231"/>
      <c r="AE176" s="231"/>
      <c r="AF176" s="231"/>
      <c r="AG176" s="231"/>
      <c r="AH176" s="231"/>
      <c r="AI176" s="231"/>
      <c r="AJ176" s="231"/>
      <c r="AK176" s="231"/>
      <c r="AL176" s="231"/>
      <c r="AM176" s="231"/>
      <c r="AN176" s="231"/>
    </row>
    <row r="177" spans="1:40" s="203" customFormat="1">
      <c r="A177" s="120">
        <v>14</v>
      </c>
      <c r="B177" s="47" t="s">
        <v>148</v>
      </c>
      <c r="C177" s="47"/>
      <c r="D177" s="47"/>
      <c r="E177" s="56">
        <v>50.47</v>
      </c>
      <c r="F177" s="52">
        <v>44</v>
      </c>
      <c r="G177" s="118"/>
      <c r="H177" s="834">
        <v>49</v>
      </c>
      <c r="I177" s="29"/>
      <c r="J177" s="231"/>
      <c r="K177" s="231"/>
      <c r="L177" s="231"/>
      <c r="M177" s="231"/>
      <c r="N177" s="231"/>
      <c r="O177" s="231"/>
      <c r="P177" s="231"/>
      <c r="Q177" s="231"/>
      <c r="R177" s="231"/>
      <c r="S177" s="231"/>
      <c r="T177" s="231"/>
      <c r="U177" s="231"/>
      <c r="V177" s="231"/>
      <c r="W177" s="231"/>
      <c r="X177" s="231"/>
      <c r="Y177" s="231"/>
      <c r="Z177" s="231"/>
      <c r="AA177" s="231"/>
      <c r="AB177" s="231"/>
      <c r="AC177" s="231"/>
      <c r="AD177" s="231"/>
      <c r="AE177" s="231"/>
      <c r="AF177" s="231"/>
      <c r="AG177" s="231"/>
      <c r="AH177" s="231"/>
      <c r="AI177" s="231"/>
      <c r="AJ177" s="231"/>
      <c r="AK177" s="231"/>
      <c r="AL177" s="231"/>
      <c r="AM177" s="231"/>
      <c r="AN177" s="231"/>
    </row>
    <row r="178" spans="1:40" s="203" customFormat="1">
      <c r="A178" s="120">
        <v>15</v>
      </c>
      <c r="B178" s="116" t="s">
        <v>149</v>
      </c>
      <c r="C178" s="116"/>
      <c r="D178" s="116"/>
      <c r="E178" s="80">
        <v>473.04076460801059</v>
      </c>
      <c r="F178" s="142">
        <f>SUM(F175:F177)</f>
        <v>423</v>
      </c>
      <c r="G178" s="118"/>
      <c r="H178" s="142">
        <f>SUM(H175:H177)</f>
        <v>417</v>
      </c>
      <c r="I178" s="29"/>
      <c r="J178" s="231"/>
      <c r="K178" s="231"/>
      <c r="L178" s="231"/>
      <c r="M178" s="231"/>
      <c r="N178" s="231"/>
      <c r="O178" s="231"/>
      <c r="P178" s="231"/>
      <c r="Q178" s="231"/>
      <c r="R178" s="231"/>
      <c r="S178" s="231"/>
      <c r="T178" s="231"/>
      <c r="U178" s="231"/>
      <c r="V178" s="231"/>
      <c r="W178" s="231"/>
      <c r="X178" s="231"/>
      <c r="Y178" s="231"/>
      <c r="Z178" s="231"/>
      <c r="AA178" s="231"/>
      <c r="AB178" s="231"/>
      <c r="AC178" s="231"/>
      <c r="AD178" s="231"/>
      <c r="AE178" s="231"/>
      <c r="AF178" s="231"/>
      <c r="AG178" s="231"/>
      <c r="AH178" s="231"/>
      <c r="AI178" s="231"/>
      <c r="AJ178" s="231"/>
      <c r="AK178" s="231"/>
      <c r="AL178" s="231"/>
      <c r="AM178" s="231"/>
      <c r="AN178" s="231"/>
    </row>
    <row r="179" spans="1:40" s="203" customFormat="1">
      <c r="A179" s="120">
        <v>16</v>
      </c>
      <c r="B179" s="116" t="s">
        <v>150</v>
      </c>
      <c r="C179" s="116"/>
      <c r="D179" s="116"/>
      <c r="E179" s="80">
        <v>473.04076460801059</v>
      </c>
      <c r="F179" s="158">
        <f>F172+F178</f>
        <v>423</v>
      </c>
      <c r="G179" s="118"/>
      <c r="H179" s="158">
        <f>H172+H178</f>
        <v>417</v>
      </c>
      <c r="I179" s="29"/>
      <c r="J179" s="231"/>
      <c r="K179" s="231"/>
      <c r="L179" s="231"/>
      <c r="M179" s="231"/>
      <c r="N179" s="231"/>
      <c r="O179" s="231"/>
      <c r="P179" s="231"/>
      <c r="Q179" s="231"/>
      <c r="R179" s="231"/>
      <c r="S179" s="231"/>
      <c r="T179" s="231"/>
      <c r="U179" s="231"/>
      <c r="V179" s="231"/>
      <c r="W179" s="231"/>
      <c r="X179" s="231"/>
      <c r="Y179" s="231"/>
      <c r="Z179" s="231"/>
      <c r="AA179" s="231"/>
      <c r="AB179" s="231"/>
      <c r="AC179" s="231"/>
      <c r="AD179" s="231"/>
      <c r="AE179" s="231"/>
      <c r="AF179" s="231"/>
      <c r="AG179" s="231"/>
      <c r="AH179" s="231"/>
      <c r="AI179" s="231"/>
      <c r="AJ179" s="231"/>
      <c r="AK179" s="231"/>
      <c r="AL179" s="231"/>
      <c r="AM179" s="231"/>
      <c r="AN179" s="231"/>
    </row>
    <row r="180" spans="1:40" s="203" customFormat="1">
      <c r="A180" s="120">
        <v>17</v>
      </c>
      <c r="B180" s="116" t="s">
        <v>151</v>
      </c>
      <c r="C180" s="116"/>
      <c r="D180" s="116"/>
      <c r="E180" s="159">
        <v>2934.1609954771625</v>
      </c>
      <c r="F180" s="61">
        <f>SUM(F163+F169+F171+F179)</f>
        <v>2703</v>
      </c>
      <c r="G180" s="118"/>
      <c r="H180" s="61">
        <f>SUM(H163+H169+H171+H179)</f>
        <v>2817</v>
      </c>
      <c r="I180" s="29"/>
      <c r="J180" s="231"/>
      <c r="K180" s="231"/>
      <c r="L180" s="231"/>
      <c r="M180" s="231"/>
      <c r="N180" s="231"/>
      <c r="O180" s="231"/>
      <c r="P180" s="231"/>
      <c r="Q180" s="231"/>
      <c r="R180" s="231"/>
      <c r="S180" s="231"/>
      <c r="T180" s="231"/>
      <c r="U180" s="231"/>
      <c r="V180" s="231"/>
      <c r="W180" s="231"/>
      <c r="X180" s="231"/>
      <c r="Y180" s="231"/>
      <c r="Z180" s="231"/>
      <c r="AA180" s="231"/>
      <c r="AB180" s="231"/>
      <c r="AC180" s="231"/>
      <c r="AD180" s="231"/>
      <c r="AE180" s="231"/>
      <c r="AF180" s="231"/>
      <c r="AG180" s="231"/>
      <c r="AH180" s="231"/>
      <c r="AI180" s="231"/>
      <c r="AJ180" s="231"/>
      <c r="AK180" s="231"/>
      <c r="AL180" s="231"/>
      <c r="AM180" s="231"/>
      <c r="AN180" s="231"/>
    </row>
    <row r="181" spans="1:40" s="203" customFormat="1">
      <c r="A181" s="46"/>
      <c r="B181" s="132"/>
      <c r="C181" s="132"/>
      <c r="D181" s="132"/>
      <c r="E181" s="156"/>
      <c r="F181" s="139"/>
      <c r="G181" s="139"/>
      <c r="H181" s="139"/>
      <c r="I181" s="29"/>
      <c r="J181" s="231"/>
      <c r="K181" s="231"/>
      <c r="L181" s="231"/>
      <c r="M181" s="231"/>
      <c r="N181" s="231"/>
      <c r="O181" s="231"/>
      <c r="P181" s="231"/>
      <c r="Q181" s="231"/>
      <c r="R181" s="231"/>
      <c r="S181" s="231"/>
      <c r="T181" s="231"/>
      <c r="U181" s="231"/>
      <c r="V181" s="231"/>
      <c r="W181" s="231"/>
      <c r="X181" s="231"/>
      <c r="Y181" s="231"/>
      <c r="Z181" s="231"/>
      <c r="AA181" s="231"/>
      <c r="AB181" s="231"/>
      <c r="AC181" s="231"/>
      <c r="AD181" s="231"/>
      <c r="AE181" s="231"/>
      <c r="AF181" s="231"/>
      <c r="AG181" s="231"/>
      <c r="AH181" s="231"/>
      <c r="AI181" s="231"/>
      <c r="AJ181" s="231"/>
      <c r="AK181" s="231"/>
      <c r="AL181" s="231"/>
      <c r="AM181" s="231"/>
      <c r="AN181" s="231"/>
    </row>
    <row r="182" spans="1:40" s="203" customFormat="1">
      <c r="A182" s="119" t="s">
        <v>152</v>
      </c>
      <c r="B182" s="47"/>
      <c r="C182" s="47"/>
      <c r="D182" s="116"/>
      <c r="E182" s="117"/>
      <c r="F182" s="118"/>
      <c r="G182" s="118"/>
      <c r="H182" s="118"/>
      <c r="I182" s="29"/>
      <c r="J182" s="231"/>
      <c r="K182" s="231"/>
      <c r="L182" s="231"/>
      <c r="M182" s="231"/>
      <c r="N182" s="231"/>
      <c r="O182" s="231"/>
      <c r="P182" s="231"/>
      <c r="Q182" s="231"/>
      <c r="R182" s="231"/>
      <c r="S182" s="231"/>
      <c r="T182" s="231"/>
      <c r="U182" s="231"/>
      <c r="V182" s="231"/>
      <c r="W182" s="231"/>
      <c r="X182" s="231"/>
      <c r="Y182" s="231"/>
      <c r="Z182" s="231"/>
      <c r="AA182" s="231"/>
      <c r="AB182" s="231"/>
      <c r="AC182" s="231"/>
      <c r="AD182" s="231"/>
      <c r="AE182" s="231"/>
      <c r="AF182" s="231"/>
      <c r="AG182" s="231"/>
      <c r="AH182" s="231"/>
      <c r="AI182" s="231"/>
      <c r="AJ182" s="231"/>
      <c r="AK182" s="231"/>
      <c r="AL182" s="231"/>
      <c r="AM182" s="231"/>
      <c r="AN182" s="231"/>
    </row>
    <row r="183" spans="1:40" s="203" customFormat="1">
      <c r="A183" s="120">
        <v>18</v>
      </c>
      <c r="B183" s="47" t="s">
        <v>153</v>
      </c>
      <c r="C183" s="47"/>
      <c r="D183" s="47"/>
      <c r="E183" s="41">
        <v>0</v>
      </c>
      <c r="F183" s="121">
        <v>176</v>
      </c>
      <c r="G183" s="118"/>
      <c r="H183" s="121">
        <v>176</v>
      </c>
      <c r="I183" s="29"/>
      <c r="J183" s="231"/>
      <c r="K183" s="231"/>
      <c r="L183" s="231"/>
      <c r="M183" s="231"/>
      <c r="N183" s="231"/>
      <c r="O183" s="231"/>
      <c r="P183" s="231"/>
      <c r="Q183" s="231"/>
      <c r="R183" s="231"/>
      <c r="S183" s="231"/>
      <c r="T183" s="231"/>
      <c r="U183" s="231"/>
      <c r="V183" s="231"/>
      <c r="W183" s="231"/>
      <c r="X183" s="231"/>
      <c r="Y183" s="231"/>
      <c r="Z183" s="231"/>
      <c r="AA183" s="231"/>
      <c r="AB183" s="231"/>
      <c r="AC183" s="231"/>
      <c r="AD183" s="231"/>
      <c r="AE183" s="231"/>
      <c r="AF183" s="231"/>
      <c r="AG183" s="231"/>
      <c r="AH183" s="231"/>
      <c r="AI183" s="231"/>
      <c r="AJ183" s="231"/>
      <c r="AK183" s="231"/>
      <c r="AL183" s="231"/>
      <c r="AM183" s="231"/>
      <c r="AN183" s="231"/>
    </row>
    <row r="184" spans="1:40" s="203" customFormat="1">
      <c r="A184" s="120">
        <v>19</v>
      </c>
      <c r="B184" s="47" t="s">
        <v>154</v>
      </c>
      <c r="C184" s="47"/>
      <c r="D184" s="47"/>
      <c r="E184" s="49">
        <v>0</v>
      </c>
      <c r="F184" s="52">
        <v>60</v>
      </c>
      <c r="G184" s="118"/>
      <c r="H184" s="52">
        <v>62</v>
      </c>
      <c r="I184" s="29"/>
      <c r="J184" s="231"/>
      <c r="K184" s="231"/>
      <c r="L184" s="231"/>
      <c r="M184" s="231"/>
      <c r="N184" s="231"/>
      <c r="O184" s="231"/>
      <c r="P184" s="231"/>
      <c r="Q184" s="231"/>
      <c r="R184" s="231"/>
      <c r="S184" s="231"/>
      <c r="T184" s="231"/>
      <c r="U184" s="231"/>
      <c r="V184" s="231"/>
      <c r="W184" s="231"/>
      <c r="X184" s="231"/>
      <c r="Y184" s="231"/>
      <c r="Z184" s="231"/>
      <c r="AA184" s="231"/>
      <c r="AB184" s="231"/>
      <c r="AC184" s="231"/>
      <c r="AD184" s="231"/>
      <c r="AE184" s="231"/>
      <c r="AF184" s="231"/>
      <c r="AG184" s="231"/>
      <c r="AH184" s="231"/>
      <c r="AI184" s="231"/>
      <c r="AJ184" s="231"/>
      <c r="AK184" s="231"/>
      <c r="AL184" s="231"/>
      <c r="AM184" s="231"/>
      <c r="AN184" s="231"/>
    </row>
    <row r="185" spans="1:40" s="203" customFormat="1">
      <c r="A185" s="120">
        <v>20</v>
      </c>
      <c r="B185" s="47" t="s">
        <v>155</v>
      </c>
      <c r="C185" s="47"/>
      <c r="D185" s="47"/>
      <c r="E185" s="49">
        <v>0</v>
      </c>
      <c r="F185" s="52">
        <v>0</v>
      </c>
      <c r="G185" s="118"/>
      <c r="H185" s="52">
        <v>0</v>
      </c>
      <c r="I185" s="29"/>
      <c r="J185" s="231"/>
      <c r="K185" s="231"/>
      <c r="L185" s="231"/>
      <c r="M185" s="231"/>
      <c r="N185" s="231"/>
      <c r="O185" s="231"/>
      <c r="P185" s="231"/>
      <c r="Q185" s="231"/>
      <c r="R185" s="231"/>
      <c r="S185" s="231"/>
      <c r="T185" s="231"/>
      <c r="U185" s="231"/>
      <c r="V185" s="231"/>
      <c r="W185" s="231"/>
      <c r="X185" s="231"/>
      <c r="Y185" s="231"/>
      <c r="Z185" s="231"/>
      <c r="AA185" s="231"/>
      <c r="AB185" s="231"/>
      <c r="AC185" s="231"/>
      <c r="AD185" s="231"/>
      <c r="AE185" s="231"/>
      <c r="AF185" s="231"/>
      <c r="AG185" s="231"/>
      <c r="AH185" s="231"/>
      <c r="AI185" s="231"/>
      <c r="AJ185" s="231"/>
      <c r="AK185" s="231"/>
      <c r="AL185" s="231"/>
      <c r="AM185" s="231"/>
      <c r="AN185" s="231"/>
    </row>
    <row r="186" spans="1:40" s="203" customFormat="1">
      <c r="A186" s="120">
        <v>21</v>
      </c>
      <c r="B186" s="47" t="s">
        <v>156</v>
      </c>
      <c r="C186" s="47"/>
      <c r="D186" s="47"/>
      <c r="E186" s="49">
        <v>0</v>
      </c>
      <c r="F186" s="52">
        <v>0</v>
      </c>
      <c r="G186" s="118"/>
      <c r="H186" s="52">
        <v>0</v>
      </c>
      <c r="I186" s="29"/>
      <c r="J186" s="231"/>
      <c r="K186" s="231"/>
      <c r="L186" s="231"/>
      <c r="M186" s="231"/>
      <c r="N186" s="231"/>
      <c r="O186" s="231"/>
      <c r="P186" s="231"/>
      <c r="Q186" s="231"/>
      <c r="R186" s="231"/>
      <c r="S186" s="231"/>
      <c r="T186" s="231"/>
      <c r="U186" s="231"/>
      <c r="V186" s="231"/>
      <c r="W186" s="231"/>
      <c r="X186" s="231"/>
      <c r="Y186" s="231"/>
      <c r="Z186" s="231"/>
      <c r="AA186" s="231"/>
      <c r="AB186" s="231"/>
      <c r="AC186" s="231"/>
      <c r="AD186" s="231"/>
      <c r="AE186" s="231"/>
      <c r="AF186" s="231"/>
      <c r="AG186" s="231"/>
      <c r="AH186" s="231"/>
      <c r="AI186" s="231"/>
      <c r="AJ186" s="231"/>
      <c r="AK186" s="231"/>
      <c r="AL186" s="231"/>
      <c r="AM186" s="231"/>
      <c r="AN186" s="231"/>
    </row>
    <row r="187" spans="1:40" s="203" customFormat="1">
      <c r="A187" s="120">
        <v>22</v>
      </c>
      <c r="B187" s="47" t="s">
        <v>157</v>
      </c>
      <c r="C187" s="47"/>
      <c r="D187" s="47"/>
      <c r="E187" s="49">
        <v>0</v>
      </c>
      <c r="F187" s="52">
        <v>0</v>
      </c>
      <c r="G187" s="118"/>
      <c r="H187" s="52">
        <v>0</v>
      </c>
      <c r="I187" s="29"/>
      <c r="J187" s="231"/>
      <c r="K187" s="231"/>
      <c r="L187" s="231"/>
      <c r="M187" s="231"/>
      <c r="N187" s="231"/>
      <c r="O187" s="231"/>
      <c r="P187" s="231"/>
      <c r="Q187" s="231"/>
      <c r="R187" s="231"/>
      <c r="S187" s="231"/>
      <c r="T187" s="231"/>
      <c r="U187" s="231"/>
      <c r="V187" s="231"/>
      <c r="W187" s="231"/>
      <c r="X187" s="231"/>
      <c r="Y187" s="231"/>
      <c r="Z187" s="231"/>
      <c r="AA187" s="231"/>
      <c r="AB187" s="231"/>
      <c r="AC187" s="231"/>
      <c r="AD187" s="231"/>
      <c r="AE187" s="231"/>
      <c r="AF187" s="231"/>
      <c r="AG187" s="231"/>
      <c r="AH187" s="231"/>
      <c r="AI187" s="231"/>
      <c r="AJ187" s="231"/>
      <c r="AK187" s="231"/>
      <c r="AL187" s="231"/>
      <c r="AM187" s="231"/>
      <c r="AN187" s="231"/>
    </row>
    <row r="188" spans="1:40" s="203" customFormat="1">
      <c r="A188" s="120">
        <v>23</v>
      </c>
      <c r="B188" s="47" t="s">
        <v>158</v>
      </c>
      <c r="C188" s="47"/>
      <c r="D188" s="47"/>
      <c r="E188" s="49">
        <v>0</v>
      </c>
      <c r="F188" s="52">
        <v>0</v>
      </c>
      <c r="G188" s="118"/>
      <c r="H188" s="52">
        <v>0</v>
      </c>
      <c r="I188" s="29"/>
      <c r="J188" s="231"/>
      <c r="K188" s="231"/>
      <c r="L188" s="231"/>
      <c r="M188" s="231"/>
      <c r="N188" s="231"/>
      <c r="O188" s="231"/>
      <c r="P188" s="231"/>
      <c r="Q188" s="231"/>
      <c r="R188" s="231"/>
      <c r="S188" s="231"/>
      <c r="T188" s="231"/>
      <c r="U188" s="231"/>
      <c r="V188" s="231"/>
      <c r="W188" s="231"/>
      <c r="X188" s="231"/>
      <c r="Y188" s="231"/>
      <c r="Z188" s="231"/>
      <c r="AA188" s="231"/>
      <c r="AB188" s="231"/>
      <c r="AC188" s="231"/>
      <c r="AD188" s="231"/>
      <c r="AE188" s="231"/>
      <c r="AF188" s="231"/>
      <c r="AG188" s="231"/>
      <c r="AH188" s="231"/>
      <c r="AI188" s="231"/>
      <c r="AJ188" s="231"/>
      <c r="AK188" s="231"/>
      <c r="AL188" s="231"/>
      <c r="AM188" s="231"/>
      <c r="AN188" s="231"/>
    </row>
    <row r="189" spans="1:40" s="203" customFormat="1">
      <c r="A189" s="120">
        <v>24</v>
      </c>
      <c r="B189" s="47" t="s">
        <v>159</v>
      </c>
      <c r="C189" s="47"/>
      <c r="D189" s="47"/>
      <c r="E189" s="49">
        <v>0</v>
      </c>
      <c r="F189" s="52">
        <v>0</v>
      </c>
      <c r="G189" s="118"/>
      <c r="H189" s="52">
        <v>0</v>
      </c>
      <c r="I189" s="29"/>
      <c r="J189" s="231"/>
      <c r="K189" s="231"/>
      <c r="L189" s="231"/>
      <c r="M189" s="231"/>
      <c r="N189" s="231"/>
      <c r="O189" s="231"/>
      <c r="P189" s="231"/>
      <c r="Q189" s="231"/>
      <c r="R189" s="231"/>
      <c r="S189" s="231"/>
      <c r="T189" s="231"/>
      <c r="U189" s="231"/>
      <c r="V189" s="231"/>
      <c r="W189" s="231"/>
      <c r="X189" s="231"/>
      <c r="Y189" s="231"/>
      <c r="Z189" s="231"/>
      <c r="AA189" s="231"/>
      <c r="AB189" s="231"/>
      <c r="AC189" s="231"/>
      <c r="AD189" s="231"/>
      <c r="AE189" s="231"/>
      <c r="AF189" s="231"/>
      <c r="AG189" s="231"/>
      <c r="AH189" s="231"/>
      <c r="AI189" s="231"/>
      <c r="AJ189" s="231"/>
      <c r="AK189" s="231"/>
      <c r="AL189" s="231"/>
      <c r="AM189" s="231"/>
      <c r="AN189" s="231"/>
    </row>
    <row r="190" spans="1:40" s="203" customFormat="1">
      <c r="A190" s="124">
        <v>25</v>
      </c>
      <c r="B190" s="54" t="s">
        <v>160</v>
      </c>
      <c r="C190" s="54"/>
      <c r="D190" s="54"/>
      <c r="E190" s="56">
        <v>0</v>
      </c>
      <c r="F190" s="126">
        <v>0</v>
      </c>
      <c r="G190" s="118"/>
      <c r="H190" s="126">
        <v>0</v>
      </c>
      <c r="I190" s="29"/>
      <c r="J190" s="231"/>
      <c r="K190" s="231"/>
      <c r="L190" s="231"/>
      <c r="M190" s="231"/>
      <c r="N190" s="231"/>
      <c r="O190" s="231"/>
      <c r="P190" s="231"/>
      <c r="Q190" s="231"/>
      <c r="R190" s="231"/>
      <c r="S190" s="231"/>
      <c r="T190" s="231"/>
      <c r="U190" s="231"/>
      <c r="V190" s="231"/>
      <c r="W190" s="231"/>
      <c r="X190" s="231"/>
      <c r="Y190" s="231"/>
      <c r="Z190" s="231"/>
      <c r="AA190" s="231"/>
      <c r="AB190" s="231"/>
      <c r="AC190" s="231"/>
      <c r="AD190" s="231"/>
      <c r="AE190" s="231"/>
      <c r="AF190" s="231"/>
      <c r="AG190" s="231"/>
      <c r="AH190" s="231"/>
      <c r="AI190" s="231"/>
      <c r="AJ190" s="231"/>
      <c r="AK190" s="231"/>
      <c r="AL190" s="231"/>
      <c r="AM190" s="231"/>
      <c r="AN190" s="231"/>
    </row>
    <row r="191" spans="1:40" s="203" customFormat="1">
      <c r="A191" s="161"/>
      <c r="B191" s="129"/>
      <c r="C191" s="129"/>
      <c r="D191" s="149"/>
      <c r="E191" s="162"/>
      <c r="F191" s="29"/>
      <c r="G191" s="29"/>
      <c r="H191" s="207"/>
      <c r="I191" s="29"/>
      <c r="J191" s="231"/>
      <c r="K191" s="231"/>
      <c r="L191" s="231"/>
      <c r="M191" s="231"/>
      <c r="N191" s="231"/>
      <c r="O191" s="231"/>
      <c r="P191" s="231"/>
      <c r="Q191" s="231"/>
      <c r="R191" s="231"/>
      <c r="S191" s="231"/>
      <c r="T191" s="231"/>
      <c r="U191" s="231"/>
      <c r="V191" s="231"/>
      <c r="W191" s="231"/>
      <c r="X191" s="231"/>
      <c r="Y191" s="231"/>
      <c r="Z191" s="231"/>
      <c r="AA191" s="231"/>
      <c r="AB191" s="231"/>
      <c r="AC191" s="231"/>
      <c r="AD191" s="231"/>
      <c r="AE191" s="231"/>
      <c r="AF191" s="231"/>
      <c r="AG191" s="231"/>
      <c r="AH191" s="231"/>
      <c r="AI191" s="231"/>
      <c r="AJ191" s="231"/>
      <c r="AK191" s="231"/>
      <c r="AL191" s="231"/>
      <c r="AM191" s="231"/>
      <c r="AN191" s="231"/>
    </row>
    <row r="192" spans="1:40" s="203" customFormat="1">
      <c r="A192" s="161"/>
      <c r="B192" s="129"/>
      <c r="C192" s="129"/>
      <c r="D192" s="151"/>
      <c r="E192" s="163"/>
      <c r="F192" s="29"/>
      <c r="G192" s="29"/>
      <c r="H192" s="131" t="s">
        <v>27</v>
      </c>
      <c r="I192" s="29"/>
      <c r="J192" s="231"/>
      <c r="K192" s="231"/>
      <c r="L192" s="231"/>
      <c r="M192" s="231"/>
      <c r="N192" s="231"/>
      <c r="O192" s="231"/>
      <c r="P192" s="231"/>
      <c r="Q192" s="231"/>
      <c r="R192" s="231"/>
      <c r="S192" s="231"/>
      <c r="T192" s="231"/>
      <c r="U192" s="231"/>
      <c r="V192" s="231"/>
      <c r="W192" s="231"/>
      <c r="X192" s="231"/>
      <c r="Y192" s="231"/>
      <c r="Z192" s="231"/>
      <c r="AA192" s="231"/>
      <c r="AB192" s="231"/>
      <c r="AC192" s="231"/>
      <c r="AD192" s="231"/>
      <c r="AE192" s="231"/>
      <c r="AF192" s="231"/>
      <c r="AG192" s="231"/>
      <c r="AH192" s="231"/>
      <c r="AI192" s="231"/>
      <c r="AJ192" s="231"/>
      <c r="AK192" s="231"/>
      <c r="AL192" s="231"/>
      <c r="AM192" s="231"/>
      <c r="AN192" s="231"/>
    </row>
    <row r="193" spans="1:40" s="203" customFormat="1" ht="12.75" customHeight="1">
      <c r="A193" s="106" t="s">
        <v>23</v>
      </c>
      <c r="B193" s="164"/>
      <c r="C193" s="164"/>
      <c r="D193" s="164"/>
      <c r="E193" s="856" t="s">
        <v>377</v>
      </c>
      <c r="F193" s="856" t="s">
        <v>402</v>
      </c>
      <c r="G193" s="130"/>
      <c r="H193" s="856" t="s">
        <v>403</v>
      </c>
      <c r="I193" s="130"/>
      <c r="J193" s="231"/>
      <c r="K193" s="231"/>
      <c r="L193" s="231"/>
      <c r="M193" s="231"/>
      <c r="N193" s="231"/>
      <c r="O193" s="231"/>
      <c r="P193" s="231"/>
      <c r="Q193" s="231"/>
      <c r="R193" s="231"/>
      <c r="S193" s="231"/>
      <c r="T193" s="231"/>
      <c r="U193" s="231"/>
      <c r="V193" s="231"/>
      <c r="W193" s="231"/>
      <c r="X193" s="231"/>
      <c r="Y193" s="231"/>
      <c r="Z193" s="231"/>
      <c r="AA193" s="231"/>
      <c r="AB193" s="231"/>
      <c r="AC193" s="231"/>
      <c r="AD193" s="231"/>
      <c r="AE193" s="231"/>
      <c r="AF193" s="231"/>
      <c r="AG193" s="231"/>
      <c r="AH193" s="231"/>
      <c r="AI193" s="231"/>
      <c r="AJ193" s="231"/>
      <c r="AK193" s="231"/>
      <c r="AL193" s="231"/>
      <c r="AM193" s="231"/>
      <c r="AN193" s="231"/>
    </row>
    <row r="194" spans="1:40" s="203" customFormat="1" ht="23.25" customHeight="1">
      <c r="A194" s="165"/>
      <c r="B194" s="132"/>
      <c r="C194" s="132"/>
      <c r="D194" s="132"/>
      <c r="E194" s="859"/>
      <c r="F194" s="859"/>
      <c r="G194" s="130"/>
      <c r="H194" s="859"/>
      <c r="I194" s="130"/>
      <c r="J194" s="231"/>
      <c r="K194" s="231"/>
      <c r="L194" s="231"/>
      <c r="M194" s="231"/>
      <c r="N194" s="231"/>
      <c r="O194" s="231"/>
      <c r="P194" s="231"/>
      <c r="Q194" s="231"/>
      <c r="R194" s="231"/>
      <c r="S194" s="231"/>
      <c r="T194" s="231"/>
      <c r="U194" s="231"/>
      <c r="V194" s="231"/>
      <c r="W194" s="231"/>
      <c r="X194" s="231"/>
      <c r="Y194" s="231"/>
      <c r="Z194" s="231"/>
      <c r="AA194" s="231"/>
      <c r="AB194" s="231"/>
      <c r="AC194" s="231"/>
      <c r="AD194" s="231"/>
      <c r="AE194" s="231"/>
      <c r="AF194" s="231"/>
      <c r="AG194" s="231"/>
      <c r="AH194" s="231"/>
      <c r="AI194" s="231"/>
      <c r="AJ194" s="231"/>
      <c r="AK194" s="231"/>
      <c r="AL194" s="231"/>
      <c r="AM194" s="231"/>
      <c r="AN194" s="231"/>
    </row>
    <row r="195" spans="1:40" s="203" customFormat="1">
      <c r="A195" s="154" t="s">
        <v>161</v>
      </c>
      <c r="B195" s="116"/>
      <c r="C195" s="116"/>
      <c r="D195" s="116"/>
      <c r="E195" s="859"/>
      <c r="F195" s="859"/>
      <c r="G195" s="130"/>
      <c r="H195" s="859"/>
      <c r="I195" s="130"/>
      <c r="J195" s="231"/>
      <c r="K195" s="231"/>
      <c r="L195" s="231"/>
      <c r="M195" s="231"/>
      <c r="N195" s="231"/>
      <c r="O195" s="231"/>
      <c r="P195" s="231"/>
      <c r="Q195" s="231"/>
      <c r="R195" s="231"/>
      <c r="S195" s="231"/>
      <c r="T195" s="231"/>
      <c r="U195" s="231"/>
      <c r="V195" s="231"/>
      <c r="W195" s="231"/>
      <c r="X195" s="231"/>
      <c r="Y195" s="231"/>
      <c r="Z195" s="231"/>
      <c r="AA195" s="231"/>
      <c r="AB195" s="231"/>
      <c r="AC195" s="231"/>
      <c r="AD195" s="231"/>
      <c r="AE195" s="231"/>
      <c r="AF195" s="231"/>
      <c r="AG195" s="231"/>
      <c r="AH195" s="231"/>
      <c r="AI195" s="231"/>
      <c r="AJ195" s="231"/>
      <c r="AK195" s="231"/>
      <c r="AL195" s="231"/>
      <c r="AM195" s="231"/>
      <c r="AN195" s="231"/>
    </row>
    <row r="196" spans="1:40" s="203" customFormat="1">
      <c r="A196" s="109" t="s">
        <v>83</v>
      </c>
      <c r="B196" s="47"/>
      <c r="C196" s="47"/>
      <c r="D196" s="47"/>
      <c r="E196" s="859"/>
      <c r="F196" s="859"/>
      <c r="G196" s="130"/>
      <c r="H196" s="859"/>
      <c r="I196" s="130"/>
      <c r="J196" s="231"/>
      <c r="K196" s="231"/>
      <c r="L196" s="231"/>
      <c r="M196" s="231"/>
      <c r="N196" s="231"/>
      <c r="O196" s="231"/>
      <c r="P196" s="231"/>
      <c r="Q196" s="231"/>
      <c r="R196" s="231"/>
      <c r="S196" s="231"/>
      <c r="T196" s="231"/>
      <c r="U196" s="231"/>
      <c r="V196" s="231"/>
      <c r="W196" s="231"/>
      <c r="X196" s="231"/>
      <c r="Y196" s="231"/>
      <c r="Z196" s="231"/>
      <c r="AA196" s="231"/>
      <c r="AB196" s="231"/>
      <c r="AC196" s="231"/>
      <c r="AD196" s="231"/>
      <c r="AE196" s="231"/>
      <c r="AF196" s="231"/>
      <c r="AG196" s="231"/>
      <c r="AH196" s="231"/>
      <c r="AI196" s="231"/>
      <c r="AJ196" s="231"/>
      <c r="AK196" s="231"/>
      <c r="AL196" s="231"/>
      <c r="AM196" s="231"/>
      <c r="AN196" s="231"/>
    </row>
    <row r="197" spans="1:40" s="203" customFormat="1">
      <c r="A197" s="110" t="s">
        <v>84</v>
      </c>
      <c r="B197" s="132"/>
      <c r="C197" s="132"/>
      <c r="D197" s="132"/>
      <c r="E197" s="860"/>
      <c r="F197" s="860"/>
      <c r="G197" s="130"/>
      <c r="H197" s="860"/>
      <c r="I197" s="130"/>
      <c r="J197" s="231"/>
      <c r="K197" s="231"/>
      <c r="L197" s="231"/>
      <c r="M197" s="231"/>
      <c r="N197" s="231"/>
      <c r="O197" s="231"/>
      <c r="P197" s="231"/>
      <c r="Q197" s="231"/>
      <c r="R197" s="231"/>
      <c r="S197" s="231"/>
      <c r="T197" s="231"/>
      <c r="U197" s="231"/>
      <c r="V197" s="231"/>
      <c r="W197" s="231"/>
      <c r="X197" s="231"/>
      <c r="Y197" s="231"/>
      <c r="Z197" s="231"/>
      <c r="AA197" s="231"/>
      <c r="AB197" s="231"/>
      <c r="AC197" s="231"/>
      <c r="AD197" s="231"/>
      <c r="AE197" s="231"/>
      <c r="AF197" s="231"/>
      <c r="AG197" s="231"/>
      <c r="AH197" s="231"/>
      <c r="AI197" s="231"/>
      <c r="AJ197" s="231"/>
      <c r="AK197" s="231"/>
      <c r="AL197" s="231"/>
      <c r="AM197" s="231"/>
      <c r="AN197" s="231"/>
    </row>
    <row r="198" spans="1:40" s="203" customFormat="1">
      <c r="A198" s="153" t="s">
        <v>162</v>
      </c>
      <c r="B198" s="166"/>
      <c r="C198" s="166"/>
      <c r="D198" s="166"/>
      <c r="E198" s="167"/>
      <c r="F198" s="146"/>
      <c r="G198" s="118"/>
      <c r="H198" s="146"/>
      <c r="I198" s="29"/>
      <c r="J198" s="231"/>
      <c r="K198" s="231"/>
      <c r="L198" s="231"/>
      <c r="M198" s="231"/>
      <c r="N198" s="231"/>
      <c r="O198" s="231"/>
      <c r="P198" s="231"/>
      <c r="Q198" s="231"/>
      <c r="R198" s="231"/>
      <c r="S198" s="231"/>
      <c r="T198" s="231"/>
      <c r="U198" s="231"/>
      <c r="V198" s="231"/>
      <c r="W198" s="231"/>
      <c r="X198" s="231"/>
      <c r="Y198" s="231"/>
      <c r="Z198" s="231"/>
      <c r="AA198" s="231"/>
      <c r="AB198" s="231"/>
      <c r="AC198" s="231"/>
      <c r="AD198" s="231"/>
      <c r="AE198" s="231"/>
      <c r="AF198" s="231"/>
      <c r="AG198" s="231"/>
      <c r="AH198" s="231"/>
      <c r="AI198" s="231"/>
      <c r="AJ198" s="231"/>
      <c r="AK198" s="231"/>
      <c r="AL198" s="231"/>
      <c r="AM198" s="231"/>
      <c r="AN198" s="231"/>
    </row>
    <row r="199" spans="1:40" s="203" customFormat="1">
      <c r="A199" s="120">
        <v>1</v>
      </c>
      <c r="B199" s="47" t="s">
        <v>163</v>
      </c>
      <c r="C199" s="47"/>
      <c r="D199" s="47"/>
      <c r="E199" s="74">
        <v>112.02500000000001</v>
      </c>
      <c r="F199" s="52">
        <v>132</v>
      </c>
      <c r="G199" s="118"/>
      <c r="H199" s="52">
        <v>143</v>
      </c>
      <c r="I199" s="29"/>
      <c r="J199" s="231"/>
      <c r="K199" s="231"/>
      <c r="L199" s="231"/>
      <c r="M199" s="231"/>
      <c r="N199" s="231"/>
      <c r="O199" s="231"/>
      <c r="P199" s="231"/>
      <c r="Q199" s="231"/>
      <c r="R199" s="231"/>
      <c r="S199" s="231"/>
      <c r="T199" s="231"/>
      <c r="U199" s="231"/>
      <c r="V199" s="231"/>
      <c r="W199" s="231"/>
      <c r="X199" s="231"/>
      <c r="Y199" s="231"/>
      <c r="Z199" s="231"/>
      <c r="AA199" s="231"/>
      <c r="AB199" s="231"/>
      <c r="AC199" s="231"/>
      <c r="AD199" s="231"/>
      <c r="AE199" s="231"/>
      <c r="AF199" s="231"/>
      <c r="AG199" s="231"/>
      <c r="AH199" s="231"/>
      <c r="AI199" s="231"/>
      <c r="AJ199" s="231"/>
      <c r="AK199" s="231"/>
      <c r="AL199" s="231"/>
      <c r="AM199" s="231"/>
      <c r="AN199" s="231"/>
    </row>
    <row r="200" spans="1:40" s="203" customFormat="1">
      <c r="A200" s="120">
        <v>2</v>
      </c>
      <c r="B200" s="47" t="s">
        <v>164</v>
      </c>
      <c r="C200" s="47"/>
      <c r="D200" s="47"/>
      <c r="E200" s="56">
        <v>174.78420320000001</v>
      </c>
      <c r="F200" s="52">
        <v>145</v>
      </c>
      <c r="G200" s="118"/>
      <c r="H200" s="834">
        <v>165</v>
      </c>
      <c r="I200" s="29"/>
      <c r="J200" s="231"/>
      <c r="K200" s="231"/>
      <c r="L200" s="231"/>
      <c r="M200" s="231"/>
      <c r="N200" s="231"/>
      <c r="O200" s="231"/>
      <c r="P200" s="231"/>
      <c r="Q200" s="231"/>
      <c r="R200" s="231"/>
      <c r="S200" s="231"/>
      <c r="T200" s="231"/>
      <c r="U200" s="231"/>
      <c r="V200" s="231"/>
      <c r="W200" s="231"/>
      <c r="X200" s="231"/>
      <c r="Y200" s="231"/>
      <c r="Z200" s="231"/>
      <c r="AA200" s="231"/>
      <c r="AB200" s="231"/>
      <c r="AC200" s="231"/>
      <c r="AD200" s="231"/>
      <c r="AE200" s="231"/>
      <c r="AF200" s="231"/>
      <c r="AG200" s="231"/>
      <c r="AH200" s="231"/>
      <c r="AI200" s="231"/>
      <c r="AJ200" s="231"/>
      <c r="AK200" s="231"/>
      <c r="AL200" s="231"/>
      <c r="AM200" s="231"/>
      <c r="AN200" s="231"/>
    </row>
    <row r="201" spans="1:40" s="203" customFormat="1">
      <c r="A201" s="120">
        <v>3</v>
      </c>
      <c r="B201" s="116" t="s">
        <v>165</v>
      </c>
      <c r="C201" s="116"/>
      <c r="D201" s="116"/>
      <c r="E201" s="80">
        <v>286.80920320000001</v>
      </c>
      <c r="F201" s="142">
        <f>SUM(F199:F200)</f>
        <v>277</v>
      </c>
      <c r="G201" s="118"/>
      <c r="H201" s="142">
        <f>SUM(H199:H200)</f>
        <v>308</v>
      </c>
      <c r="I201" s="29"/>
      <c r="J201" s="231"/>
      <c r="K201" s="231"/>
      <c r="L201" s="231"/>
      <c r="M201" s="231"/>
      <c r="N201" s="231"/>
      <c r="O201" s="231"/>
      <c r="P201" s="231"/>
      <c r="Q201" s="231"/>
      <c r="R201" s="231"/>
      <c r="S201" s="231"/>
      <c r="T201" s="231"/>
      <c r="U201" s="231"/>
      <c r="V201" s="231"/>
      <c r="W201" s="231"/>
      <c r="X201" s="231"/>
      <c r="Y201" s="231"/>
      <c r="Z201" s="231"/>
      <c r="AA201" s="231"/>
      <c r="AB201" s="231"/>
      <c r="AC201" s="231"/>
      <c r="AD201" s="231"/>
      <c r="AE201" s="231"/>
      <c r="AF201" s="231"/>
      <c r="AG201" s="231"/>
      <c r="AH201" s="231"/>
      <c r="AI201" s="231"/>
      <c r="AJ201" s="231"/>
      <c r="AK201" s="231"/>
      <c r="AL201" s="231"/>
      <c r="AM201" s="231"/>
      <c r="AN201" s="231"/>
    </row>
    <row r="202" spans="1:40" s="203" customFormat="1">
      <c r="A202" s="46"/>
      <c r="B202" s="132"/>
      <c r="C202" s="132"/>
      <c r="D202" s="132"/>
      <c r="E202" s="156"/>
      <c r="F202" s="139"/>
      <c r="G202" s="139"/>
      <c r="H202" s="139"/>
      <c r="I202" s="29"/>
      <c r="J202" s="231"/>
      <c r="K202" s="231"/>
      <c r="L202" s="231"/>
      <c r="M202" s="231"/>
      <c r="N202" s="231"/>
      <c r="O202" s="231"/>
      <c r="P202" s="231"/>
      <c r="Q202" s="231"/>
      <c r="R202" s="231"/>
      <c r="S202" s="231"/>
      <c r="T202" s="231"/>
      <c r="U202" s="231"/>
      <c r="V202" s="231"/>
      <c r="W202" s="231"/>
      <c r="X202" s="231"/>
      <c r="Y202" s="231"/>
      <c r="Z202" s="231"/>
      <c r="AA202" s="231"/>
      <c r="AB202" s="231"/>
      <c r="AC202" s="231"/>
      <c r="AD202" s="231"/>
      <c r="AE202" s="231"/>
      <c r="AF202" s="231"/>
      <c r="AG202" s="231"/>
      <c r="AH202" s="231"/>
      <c r="AI202" s="231"/>
      <c r="AJ202" s="231"/>
      <c r="AK202" s="231"/>
      <c r="AL202" s="231"/>
      <c r="AM202" s="231"/>
      <c r="AN202" s="231"/>
    </row>
    <row r="203" spans="1:40" s="203" customFormat="1">
      <c r="A203" s="153" t="s">
        <v>166</v>
      </c>
      <c r="B203" s="116"/>
      <c r="C203" s="116"/>
      <c r="D203" s="116"/>
      <c r="E203" s="140"/>
      <c r="F203" s="146"/>
      <c r="G203" s="118"/>
      <c r="H203" s="146"/>
      <c r="I203" s="29"/>
      <c r="J203" s="231"/>
      <c r="K203" s="231"/>
      <c r="L203" s="231"/>
      <c r="M203" s="231"/>
      <c r="N203" s="231"/>
      <c r="O203" s="231"/>
      <c r="P203" s="231"/>
      <c r="Q203" s="231"/>
      <c r="R203" s="231"/>
      <c r="S203" s="231"/>
      <c r="T203" s="231"/>
      <c r="U203" s="231"/>
      <c r="V203" s="231"/>
      <c r="W203" s="231"/>
      <c r="X203" s="231"/>
      <c r="Y203" s="231"/>
      <c r="Z203" s="231"/>
      <c r="AA203" s="231"/>
      <c r="AB203" s="231"/>
      <c r="AC203" s="231"/>
      <c r="AD203" s="231"/>
      <c r="AE203" s="231"/>
      <c r="AF203" s="231"/>
      <c r="AG203" s="231"/>
      <c r="AH203" s="231"/>
      <c r="AI203" s="231"/>
      <c r="AJ203" s="231"/>
      <c r="AK203" s="231"/>
      <c r="AL203" s="231"/>
      <c r="AM203" s="231"/>
      <c r="AN203" s="231"/>
    </row>
    <row r="204" spans="1:40" s="203" customFormat="1">
      <c r="A204" s="120">
        <v>4</v>
      </c>
      <c r="B204" s="47" t="s">
        <v>167</v>
      </c>
      <c r="C204" s="47"/>
      <c r="D204" s="47"/>
      <c r="E204" s="74">
        <v>1466.8259293123231</v>
      </c>
      <c r="F204" s="52">
        <v>1549</v>
      </c>
      <c r="G204" s="118"/>
      <c r="H204" s="204">
        <v>1678</v>
      </c>
      <c r="I204" s="29"/>
      <c r="J204" s="231"/>
      <c r="K204" s="231"/>
      <c r="L204" s="231"/>
      <c r="M204" s="231"/>
      <c r="N204" s="231"/>
      <c r="O204" s="231"/>
      <c r="P204" s="231"/>
      <c r="Q204" s="231"/>
      <c r="R204" s="231"/>
      <c r="S204" s="231"/>
      <c r="T204" s="231"/>
      <c r="U204" s="231"/>
      <c r="V204" s="231"/>
      <c r="W204" s="231"/>
      <c r="X204" s="231"/>
      <c r="Y204" s="231"/>
      <c r="Z204" s="231"/>
      <c r="AA204" s="231"/>
      <c r="AB204" s="231"/>
      <c r="AC204" s="231"/>
      <c r="AD204" s="231"/>
      <c r="AE204" s="231"/>
      <c r="AF204" s="231"/>
      <c r="AG204" s="231"/>
      <c r="AH204" s="231"/>
      <c r="AI204" s="231"/>
      <c r="AJ204" s="231"/>
      <c r="AK204" s="231"/>
      <c r="AL204" s="231"/>
      <c r="AM204" s="231"/>
      <c r="AN204" s="231"/>
    </row>
    <row r="205" spans="1:40" s="203" customFormat="1">
      <c r="A205" s="120">
        <v>5</v>
      </c>
      <c r="B205" s="47" t="s">
        <v>168</v>
      </c>
      <c r="C205" s="47"/>
      <c r="D205" s="47"/>
      <c r="E205" s="49">
        <v>2436.2454813775098</v>
      </c>
      <c r="F205" s="52">
        <v>2675</v>
      </c>
      <c r="G205" s="118"/>
      <c r="H205" s="204">
        <v>2621</v>
      </c>
      <c r="I205" s="29"/>
      <c r="J205" s="231"/>
      <c r="K205" s="231"/>
      <c r="L205" s="231"/>
      <c r="M205" s="231"/>
      <c r="N205" s="231"/>
      <c r="O205" s="231"/>
      <c r="P205" s="231"/>
      <c r="Q205" s="231"/>
      <c r="R205" s="231"/>
      <c r="S205" s="231"/>
      <c r="T205" s="231"/>
      <c r="U205" s="231"/>
      <c r="V205" s="231"/>
      <c r="W205" s="231"/>
      <c r="X205" s="231"/>
      <c r="Y205" s="231"/>
      <c r="Z205" s="231"/>
      <c r="AA205" s="231"/>
      <c r="AB205" s="231"/>
      <c r="AC205" s="231"/>
      <c r="AD205" s="231"/>
      <c r="AE205" s="231"/>
      <c r="AF205" s="231"/>
      <c r="AG205" s="231"/>
      <c r="AH205" s="231"/>
      <c r="AI205" s="231"/>
      <c r="AJ205" s="231"/>
      <c r="AK205" s="231"/>
      <c r="AL205" s="231"/>
      <c r="AM205" s="231"/>
      <c r="AN205" s="231"/>
    </row>
    <row r="206" spans="1:40" s="203" customFormat="1">
      <c r="A206" s="120">
        <v>6</v>
      </c>
      <c r="B206" s="47" t="s">
        <v>169</v>
      </c>
      <c r="C206" s="47"/>
      <c r="D206" s="47"/>
      <c r="E206" s="49">
        <v>727.37447071483655</v>
      </c>
      <c r="F206" s="52">
        <v>749</v>
      </c>
      <c r="G206" s="118"/>
      <c r="H206" s="834">
        <v>759</v>
      </c>
      <c r="I206" s="29"/>
      <c r="J206" s="231"/>
      <c r="K206" s="231"/>
      <c r="L206" s="231"/>
      <c r="M206" s="231"/>
      <c r="N206" s="231"/>
      <c r="O206" s="231"/>
      <c r="P206" s="231"/>
      <c r="Q206" s="231"/>
      <c r="R206" s="231"/>
      <c r="S206" s="231"/>
      <c r="T206" s="231"/>
      <c r="U206" s="231"/>
      <c r="V206" s="231"/>
      <c r="W206" s="231"/>
      <c r="X206" s="231"/>
      <c r="Y206" s="231"/>
      <c r="Z206" s="231"/>
      <c r="AA206" s="231"/>
      <c r="AB206" s="231"/>
      <c r="AC206" s="231"/>
      <c r="AD206" s="231"/>
      <c r="AE206" s="231"/>
      <c r="AF206" s="231"/>
      <c r="AG206" s="231"/>
      <c r="AH206" s="231"/>
      <c r="AI206" s="231"/>
      <c r="AJ206" s="231"/>
      <c r="AK206" s="231"/>
      <c r="AL206" s="231"/>
      <c r="AM206" s="231"/>
      <c r="AN206" s="231"/>
    </row>
    <row r="207" spans="1:40" s="203" customFormat="1">
      <c r="A207" s="120">
        <v>7</v>
      </c>
      <c r="B207" s="116" t="s">
        <v>170</v>
      </c>
      <c r="C207" s="116"/>
      <c r="D207" s="116"/>
      <c r="E207" s="80">
        <v>4630.4458814046693</v>
      </c>
      <c r="F207" s="142">
        <f>SUM(F204:F206)</f>
        <v>4973</v>
      </c>
      <c r="G207" s="118"/>
      <c r="H207" s="142">
        <f>SUM(H204:H206)</f>
        <v>5058</v>
      </c>
      <c r="I207" s="29"/>
      <c r="J207" s="231"/>
      <c r="K207" s="231"/>
      <c r="L207" s="231"/>
      <c r="M207" s="231"/>
      <c r="N207" s="231"/>
      <c r="O207" s="231"/>
      <c r="P207" s="231"/>
      <c r="Q207" s="231"/>
      <c r="R207" s="231"/>
      <c r="S207" s="231"/>
      <c r="T207" s="231"/>
      <c r="U207" s="231"/>
      <c r="V207" s="231"/>
      <c r="W207" s="231"/>
      <c r="X207" s="231"/>
      <c r="Y207" s="231"/>
      <c r="Z207" s="231"/>
      <c r="AA207" s="231"/>
      <c r="AB207" s="231"/>
      <c r="AC207" s="231"/>
      <c r="AD207" s="231"/>
      <c r="AE207" s="231"/>
      <c r="AF207" s="231"/>
      <c r="AG207" s="231"/>
      <c r="AH207" s="231"/>
      <c r="AI207" s="231"/>
      <c r="AJ207" s="231"/>
      <c r="AK207" s="231"/>
      <c r="AL207" s="231"/>
      <c r="AM207" s="231"/>
      <c r="AN207" s="231"/>
    </row>
    <row r="208" spans="1:40" s="203" customFormat="1">
      <c r="A208" s="46"/>
      <c r="B208" s="132"/>
      <c r="C208" s="132"/>
      <c r="D208" s="132"/>
      <c r="E208" s="156"/>
      <c r="F208" s="139"/>
      <c r="G208" s="139"/>
      <c r="H208" s="139"/>
      <c r="I208" s="29"/>
      <c r="J208" s="231"/>
      <c r="K208" s="231"/>
      <c r="L208" s="231"/>
      <c r="M208" s="231"/>
      <c r="N208" s="231"/>
      <c r="O208" s="231"/>
      <c r="P208" s="231"/>
      <c r="Q208" s="231"/>
      <c r="R208" s="231"/>
      <c r="S208" s="231"/>
      <c r="T208" s="231"/>
      <c r="U208" s="231"/>
      <c r="V208" s="231"/>
      <c r="W208" s="231"/>
      <c r="X208" s="231"/>
      <c r="Y208" s="231"/>
      <c r="Z208" s="231"/>
      <c r="AA208" s="231"/>
      <c r="AB208" s="231"/>
      <c r="AC208" s="231"/>
      <c r="AD208" s="231"/>
      <c r="AE208" s="231"/>
      <c r="AF208" s="231"/>
      <c r="AG208" s="231"/>
      <c r="AH208" s="231"/>
      <c r="AI208" s="231"/>
      <c r="AJ208" s="231"/>
      <c r="AK208" s="231"/>
      <c r="AL208" s="231"/>
      <c r="AM208" s="231"/>
      <c r="AN208" s="231"/>
    </row>
    <row r="209" spans="1:40" s="203" customFormat="1">
      <c r="A209" s="153" t="s">
        <v>121</v>
      </c>
      <c r="B209" s="168"/>
      <c r="C209" s="168"/>
      <c r="D209" s="168"/>
      <c r="E209" s="140"/>
      <c r="F209" s="146"/>
      <c r="G209" s="118"/>
      <c r="H209" s="146"/>
      <c r="I209" s="29"/>
      <c r="J209" s="231"/>
      <c r="K209" s="231"/>
      <c r="L209" s="231"/>
      <c r="M209" s="231"/>
      <c r="N209" s="231"/>
      <c r="O209" s="231"/>
      <c r="P209" s="231"/>
      <c r="Q209" s="231"/>
      <c r="R209" s="231"/>
      <c r="S209" s="231"/>
      <c r="T209" s="231"/>
      <c r="U209" s="231"/>
      <c r="V209" s="231"/>
      <c r="W209" s="231"/>
      <c r="X209" s="231"/>
      <c r="Y209" s="231"/>
      <c r="Z209" s="231"/>
      <c r="AA209" s="231"/>
      <c r="AB209" s="231"/>
      <c r="AC209" s="231"/>
      <c r="AD209" s="231"/>
      <c r="AE209" s="231"/>
      <c r="AF209" s="231"/>
      <c r="AG209" s="231"/>
      <c r="AH209" s="231"/>
      <c r="AI209" s="231"/>
      <c r="AJ209" s="231"/>
      <c r="AK209" s="231"/>
      <c r="AL209" s="231"/>
      <c r="AM209" s="231"/>
      <c r="AN209" s="231"/>
    </row>
    <row r="210" spans="1:40" s="203" customFormat="1">
      <c r="A210" s="120">
        <v>8</v>
      </c>
      <c r="B210" s="47" t="s">
        <v>171</v>
      </c>
      <c r="C210" s="47"/>
      <c r="D210" s="47"/>
      <c r="E210" s="74">
        <v>31.399464723072484</v>
      </c>
      <c r="F210" s="52">
        <v>-8</v>
      </c>
      <c r="G210" s="118"/>
      <c r="H210" s="204">
        <v>-10</v>
      </c>
      <c r="I210" s="29"/>
      <c r="J210" s="231"/>
      <c r="K210" s="231"/>
      <c r="L210" s="231"/>
      <c r="M210" s="231"/>
      <c r="N210" s="231"/>
      <c r="O210" s="231"/>
      <c r="P210" s="231"/>
      <c r="Q210" s="231"/>
      <c r="R210" s="231"/>
      <c r="S210" s="231"/>
      <c r="T210" s="231"/>
      <c r="U210" s="231"/>
      <c r="V210" s="231"/>
      <c r="W210" s="231"/>
      <c r="X210" s="231"/>
      <c r="Y210" s="231"/>
      <c r="Z210" s="231"/>
      <c r="AA210" s="231"/>
      <c r="AB210" s="231"/>
      <c r="AC210" s="231"/>
      <c r="AD210" s="231"/>
      <c r="AE210" s="231"/>
      <c r="AF210" s="231"/>
      <c r="AG210" s="231"/>
      <c r="AH210" s="231"/>
      <c r="AI210" s="231"/>
      <c r="AJ210" s="231"/>
      <c r="AK210" s="231"/>
      <c r="AL210" s="231"/>
      <c r="AM210" s="231"/>
      <c r="AN210" s="231"/>
    </row>
    <row r="211" spans="1:40" s="203" customFormat="1">
      <c r="A211" s="120">
        <v>9</v>
      </c>
      <c r="B211" s="47" t="s">
        <v>172</v>
      </c>
      <c r="C211" s="47"/>
      <c r="D211" s="47"/>
      <c r="E211" s="49">
        <v>0</v>
      </c>
      <c r="F211" s="52">
        <v>0</v>
      </c>
      <c r="G211" s="118"/>
      <c r="H211" s="52">
        <v>0</v>
      </c>
      <c r="I211" s="29"/>
      <c r="J211" s="231"/>
      <c r="K211" s="231"/>
      <c r="L211" s="231"/>
      <c r="M211" s="231"/>
      <c r="N211" s="231"/>
      <c r="O211" s="231"/>
      <c r="P211" s="231"/>
      <c r="Q211" s="231"/>
      <c r="R211" s="231"/>
      <c r="S211" s="231"/>
      <c r="T211" s="231"/>
      <c r="U211" s="231"/>
      <c r="V211" s="231"/>
      <c r="W211" s="231"/>
      <c r="X211" s="231"/>
      <c r="Y211" s="231"/>
      <c r="Z211" s="231"/>
      <c r="AA211" s="231"/>
      <c r="AB211" s="231"/>
      <c r="AC211" s="231"/>
      <c r="AD211" s="231"/>
      <c r="AE211" s="231"/>
      <c r="AF211" s="231"/>
      <c r="AG211" s="231"/>
      <c r="AH211" s="231"/>
      <c r="AI211" s="231"/>
      <c r="AJ211" s="231"/>
      <c r="AK211" s="231"/>
      <c r="AL211" s="231"/>
      <c r="AM211" s="231"/>
      <c r="AN211" s="231"/>
    </row>
    <row r="212" spans="1:40" s="203" customFormat="1">
      <c r="A212" s="120">
        <v>10</v>
      </c>
      <c r="B212" s="47" t="s">
        <v>173</v>
      </c>
      <c r="C212" s="47"/>
      <c r="D212" s="47"/>
      <c r="E212" s="49">
        <v>185.84</v>
      </c>
      <c r="F212" s="52">
        <v>116</v>
      </c>
      <c r="G212" s="118"/>
      <c r="H212" s="52">
        <v>186</v>
      </c>
      <c r="I212" s="29"/>
      <c r="J212" s="231"/>
      <c r="K212" s="231"/>
      <c r="L212" s="231"/>
      <c r="M212" s="231"/>
      <c r="N212" s="231"/>
      <c r="O212" s="231"/>
      <c r="P212" s="231"/>
      <c r="Q212" s="231"/>
      <c r="R212" s="231"/>
      <c r="S212" s="231"/>
      <c r="T212" s="231"/>
      <c r="U212" s="231"/>
      <c r="V212" s="231"/>
      <c r="W212" s="231"/>
      <c r="X212" s="231"/>
      <c r="Y212" s="231"/>
      <c r="Z212" s="231"/>
      <c r="AA212" s="231"/>
      <c r="AB212" s="231"/>
      <c r="AC212" s="231"/>
      <c r="AD212" s="231"/>
      <c r="AE212" s="231"/>
      <c r="AF212" s="231"/>
      <c r="AG212" s="231"/>
      <c r="AH212" s="231"/>
      <c r="AI212" s="231"/>
      <c r="AJ212" s="231"/>
      <c r="AK212" s="231"/>
      <c r="AL212" s="231"/>
      <c r="AM212" s="231"/>
      <c r="AN212" s="231"/>
    </row>
    <row r="213" spans="1:40" s="203" customFormat="1">
      <c r="A213" s="120">
        <v>11</v>
      </c>
      <c r="B213" s="47" t="s">
        <v>174</v>
      </c>
      <c r="C213" s="47"/>
      <c r="D213" s="47"/>
      <c r="E213" s="49">
        <v>604.07832219482236</v>
      </c>
      <c r="F213" s="126">
        <v>589</v>
      </c>
      <c r="G213" s="118"/>
      <c r="H213" s="834">
        <v>677</v>
      </c>
      <c r="I213" s="29"/>
      <c r="J213" s="231"/>
      <c r="K213" s="231"/>
      <c r="L213" s="231"/>
      <c r="M213" s="231"/>
      <c r="N213" s="231"/>
      <c r="O213" s="231"/>
      <c r="P213" s="231"/>
      <c r="Q213" s="231"/>
      <c r="R213" s="231"/>
      <c r="S213" s="231"/>
      <c r="T213" s="231"/>
      <c r="U213" s="231"/>
      <c r="V213" s="231"/>
      <c r="W213" s="231"/>
      <c r="X213" s="231"/>
      <c r="Y213" s="231"/>
      <c r="Z213" s="231"/>
      <c r="AA213" s="231"/>
      <c r="AB213" s="231"/>
      <c r="AC213" s="231"/>
      <c r="AD213" s="231"/>
      <c r="AE213" s="231"/>
      <c r="AF213" s="231"/>
      <c r="AG213" s="231"/>
      <c r="AH213" s="231"/>
      <c r="AI213" s="231"/>
      <c r="AJ213" s="231"/>
      <c r="AK213" s="231"/>
      <c r="AL213" s="231"/>
      <c r="AM213" s="231"/>
      <c r="AN213" s="231"/>
    </row>
    <row r="214" spans="1:40" s="203" customFormat="1">
      <c r="A214" s="120">
        <v>12</v>
      </c>
      <c r="B214" s="116" t="s">
        <v>175</v>
      </c>
      <c r="C214" s="116"/>
      <c r="D214" s="116"/>
      <c r="E214" s="159">
        <v>5738.572871522565</v>
      </c>
      <c r="F214" s="61">
        <f>F201+F207+SUM(F210:F213)</f>
        <v>5947</v>
      </c>
      <c r="G214" s="118"/>
      <c r="H214" s="61">
        <f>H201+H207+SUM(H210:H213)</f>
        <v>6219</v>
      </c>
      <c r="I214" s="29"/>
      <c r="J214" s="231"/>
      <c r="K214" s="231"/>
      <c r="L214" s="231"/>
      <c r="M214" s="231"/>
      <c r="N214" s="231"/>
      <c r="O214" s="231"/>
      <c r="P214" s="231"/>
      <c r="Q214" s="231"/>
      <c r="R214" s="231"/>
      <c r="S214" s="231"/>
      <c r="T214" s="231"/>
      <c r="U214" s="231"/>
      <c r="V214" s="231"/>
      <c r="W214" s="231"/>
      <c r="X214" s="231"/>
      <c r="Y214" s="231"/>
      <c r="Z214" s="231"/>
      <c r="AA214" s="231"/>
      <c r="AB214" s="231"/>
      <c r="AC214" s="231"/>
      <c r="AD214" s="231"/>
      <c r="AE214" s="231"/>
      <c r="AF214" s="231"/>
      <c r="AG214" s="231"/>
      <c r="AH214" s="231"/>
      <c r="AI214" s="231"/>
      <c r="AJ214" s="231"/>
      <c r="AK214" s="231"/>
      <c r="AL214" s="231"/>
      <c r="AM214" s="231"/>
      <c r="AN214" s="231"/>
    </row>
    <row r="215" spans="1:40" s="203" customFormat="1">
      <c r="A215" s="111"/>
      <c r="B215" s="47"/>
      <c r="C215" s="47"/>
      <c r="D215" s="47"/>
      <c r="E215" s="117"/>
      <c r="F215" s="118"/>
      <c r="G215" s="118"/>
      <c r="H215" s="118"/>
      <c r="I215" s="29"/>
      <c r="J215" s="231"/>
      <c r="K215" s="231"/>
      <c r="L215" s="231"/>
      <c r="M215" s="231"/>
      <c r="N215" s="231"/>
      <c r="O215" s="231"/>
      <c r="P215" s="231"/>
      <c r="Q215" s="231"/>
      <c r="R215" s="231"/>
      <c r="S215" s="231"/>
      <c r="T215" s="231"/>
      <c r="U215" s="231"/>
      <c r="V215" s="231"/>
      <c r="W215" s="231"/>
      <c r="X215" s="231"/>
      <c r="Y215" s="231"/>
      <c r="Z215" s="231"/>
      <c r="AA215" s="231"/>
      <c r="AB215" s="231"/>
      <c r="AC215" s="231"/>
      <c r="AD215" s="231"/>
      <c r="AE215" s="231"/>
      <c r="AF215" s="231"/>
      <c r="AG215" s="231"/>
      <c r="AH215" s="231"/>
      <c r="AI215" s="231"/>
      <c r="AJ215" s="231"/>
      <c r="AK215" s="231"/>
      <c r="AL215" s="231"/>
      <c r="AM215" s="231"/>
      <c r="AN215" s="231"/>
    </row>
    <row r="216" spans="1:40" s="203" customFormat="1">
      <c r="A216" s="119" t="s">
        <v>176</v>
      </c>
      <c r="B216" s="116"/>
      <c r="C216" s="116"/>
      <c r="D216" s="116"/>
      <c r="E216" s="117"/>
      <c r="F216" s="160"/>
      <c r="G216" s="118"/>
      <c r="H216" s="160"/>
      <c r="I216" s="29"/>
      <c r="J216" s="231"/>
      <c r="K216" s="231"/>
      <c r="L216" s="231"/>
      <c r="M216" s="231"/>
      <c r="N216" s="231"/>
      <c r="O216" s="231"/>
      <c r="P216" s="231"/>
      <c r="Q216" s="231"/>
      <c r="R216" s="231"/>
      <c r="S216" s="231"/>
      <c r="T216" s="231"/>
      <c r="U216" s="231"/>
      <c r="V216" s="231"/>
      <c r="W216" s="231"/>
      <c r="X216" s="231"/>
      <c r="Y216" s="231"/>
      <c r="Z216" s="231"/>
      <c r="AA216" s="231"/>
      <c r="AB216" s="231"/>
      <c r="AC216" s="231"/>
      <c r="AD216" s="231"/>
      <c r="AE216" s="231"/>
      <c r="AF216" s="231"/>
      <c r="AG216" s="231"/>
      <c r="AH216" s="231"/>
      <c r="AI216" s="231"/>
      <c r="AJ216" s="231"/>
      <c r="AK216" s="231"/>
      <c r="AL216" s="231"/>
      <c r="AM216" s="231"/>
      <c r="AN216" s="231"/>
    </row>
    <row r="217" spans="1:40" s="203" customFormat="1">
      <c r="A217" s="120">
        <v>13</v>
      </c>
      <c r="B217" s="47" t="s">
        <v>177</v>
      </c>
      <c r="C217" s="47"/>
      <c r="D217" s="47"/>
      <c r="E217" s="41">
        <v>5.2690000000000001</v>
      </c>
      <c r="F217" s="121">
        <v>54</v>
      </c>
      <c r="G217" s="118"/>
      <c r="H217" s="121">
        <v>2</v>
      </c>
      <c r="I217" s="29"/>
      <c r="J217" s="231"/>
      <c r="K217" s="231"/>
      <c r="L217" s="231"/>
      <c r="M217" s="231"/>
      <c r="N217" s="231"/>
      <c r="O217" s="231"/>
      <c r="P217" s="231"/>
      <c r="Q217" s="231"/>
      <c r="R217" s="231"/>
      <c r="S217" s="231"/>
      <c r="T217" s="231"/>
      <c r="U217" s="231"/>
      <c r="V217" s="231"/>
      <c r="W217" s="231"/>
      <c r="X217" s="231"/>
      <c r="Y217" s="231"/>
      <c r="Z217" s="231"/>
      <c r="AA217" s="231"/>
      <c r="AB217" s="231"/>
      <c r="AC217" s="231"/>
      <c r="AD217" s="231"/>
      <c r="AE217" s="231"/>
      <c r="AF217" s="231"/>
      <c r="AG217" s="231"/>
      <c r="AH217" s="231"/>
      <c r="AI217" s="231"/>
      <c r="AJ217" s="231"/>
      <c r="AK217" s="231"/>
      <c r="AL217" s="231"/>
      <c r="AM217" s="231"/>
      <c r="AN217" s="231"/>
    </row>
    <row r="218" spans="1:40" s="203" customFormat="1">
      <c r="A218" s="124">
        <v>14</v>
      </c>
      <c r="B218" s="54" t="s">
        <v>178</v>
      </c>
      <c r="C218" s="54"/>
      <c r="D218" s="54"/>
      <c r="E218" s="56">
        <v>7.217718111418745</v>
      </c>
      <c r="F218" s="126">
        <v>626</v>
      </c>
      <c r="G218" s="118"/>
      <c r="H218" s="126">
        <v>598</v>
      </c>
      <c r="I218" s="29"/>
      <c r="J218" s="231"/>
      <c r="K218" s="231"/>
      <c r="L218" s="231"/>
      <c r="M218" s="231"/>
      <c r="N218" s="231"/>
      <c r="O218" s="231"/>
      <c r="P218" s="231"/>
      <c r="Q218" s="231"/>
      <c r="R218" s="231"/>
      <c r="S218" s="231"/>
      <c r="T218" s="231"/>
      <c r="U218" s="231"/>
      <c r="V218" s="231"/>
      <c r="W218" s="231"/>
      <c r="X218" s="231"/>
      <c r="Y218" s="231"/>
      <c r="Z218" s="231"/>
      <c r="AA218" s="231"/>
      <c r="AB218" s="231"/>
      <c r="AC218" s="231"/>
      <c r="AD218" s="231"/>
      <c r="AE218" s="231"/>
      <c r="AF218" s="231"/>
      <c r="AG218" s="231"/>
      <c r="AH218" s="231"/>
      <c r="AI218" s="231"/>
      <c r="AJ218" s="231"/>
      <c r="AK218" s="231"/>
      <c r="AL218" s="231"/>
      <c r="AM218" s="231"/>
      <c r="AN218" s="231"/>
    </row>
    <row r="219" spans="1:40" s="203" customFormat="1">
      <c r="A219" s="148"/>
      <c r="B219" s="29"/>
      <c r="C219" s="29"/>
      <c r="D219" s="170"/>
      <c r="E219" s="171"/>
      <c r="F219" s="29"/>
      <c r="G219" s="29"/>
      <c r="H219" s="207"/>
      <c r="I219" s="29"/>
      <c r="J219" s="231"/>
      <c r="K219" s="231"/>
      <c r="L219" s="231"/>
      <c r="M219" s="231"/>
      <c r="N219" s="231"/>
      <c r="O219" s="231"/>
      <c r="P219" s="231"/>
      <c r="Q219" s="231"/>
      <c r="R219" s="231"/>
      <c r="S219" s="231"/>
      <c r="T219" s="231"/>
      <c r="U219" s="231"/>
      <c r="V219" s="231"/>
      <c r="W219" s="231"/>
      <c r="X219" s="231"/>
      <c r="Y219" s="231"/>
      <c r="Z219" s="231"/>
      <c r="AA219" s="231"/>
      <c r="AB219" s="231"/>
      <c r="AC219" s="231"/>
      <c r="AD219" s="231"/>
      <c r="AE219" s="231"/>
      <c r="AF219" s="231"/>
      <c r="AG219" s="231"/>
      <c r="AH219" s="231"/>
      <c r="AI219" s="231"/>
      <c r="AJ219" s="231"/>
      <c r="AK219" s="231"/>
      <c r="AL219" s="231"/>
      <c r="AM219" s="231"/>
      <c r="AN219" s="231"/>
    </row>
    <row r="220" spans="1:40" s="203" customFormat="1">
      <c r="A220" s="148"/>
      <c r="B220" s="29"/>
      <c r="C220" s="29"/>
      <c r="D220" s="172"/>
      <c r="E220" s="152"/>
      <c r="F220" s="29"/>
      <c r="G220" s="29"/>
      <c r="H220" s="131" t="s">
        <v>27</v>
      </c>
      <c r="I220" s="29"/>
      <c r="J220" s="231"/>
      <c r="K220" s="231"/>
      <c r="L220" s="231"/>
      <c r="M220" s="231"/>
      <c r="N220" s="231"/>
      <c r="O220" s="231"/>
      <c r="P220" s="231"/>
      <c r="Q220" s="231"/>
      <c r="R220" s="231"/>
      <c r="S220" s="231"/>
      <c r="T220" s="231"/>
      <c r="U220" s="231"/>
      <c r="V220" s="231"/>
      <c r="W220" s="231"/>
      <c r="X220" s="231"/>
      <c r="Y220" s="231"/>
      <c r="Z220" s="231"/>
      <c r="AA220" s="231"/>
      <c r="AB220" s="231"/>
      <c r="AC220" s="231"/>
      <c r="AD220" s="231"/>
      <c r="AE220" s="231"/>
      <c r="AF220" s="231"/>
      <c r="AG220" s="231"/>
      <c r="AH220" s="231"/>
      <c r="AI220" s="231"/>
      <c r="AJ220" s="231"/>
      <c r="AK220" s="231"/>
      <c r="AL220" s="231"/>
      <c r="AM220" s="231"/>
      <c r="AN220" s="231"/>
    </row>
    <row r="221" spans="1:40" s="203" customFormat="1" ht="12.75" customHeight="1">
      <c r="A221" s="106" t="s">
        <v>10</v>
      </c>
      <c r="B221" s="164"/>
      <c r="C221" s="164"/>
      <c r="D221" s="164"/>
      <c r="E221" s="856" t="s">
        <v>377</v>
      </c>
      <c r="F221" s="856" t="s">
        <v>402</v>
      </c>
      <c r="G221" s="130"/>
      <c r="H221" s="856" t="s">
        <v>403</v>
      </c>
      <c r="I221" s="130"/>
      <c r="J221" s="231"/>
      <c r="K221" s="231"/>
      <c r="L221" s="231"/>
      <c r="M221" s="231"/>
      <c r="N221" s="231"/>
      <c r="O221" s="231"/>
      <c r="P221" s="231"/>
      <c r="Q221" s="231"/>
      <c r="R221" s="231"/>
      <c r="S221" s="231"/>
      <c r="T221" s="231"/>
      <c r="U221" s="231"/>
      <c r="V221" s="231"/>
      <c r="W221" s="231"/>
      <c r="X221" s="231"/>
      <c r="Y221" s="231"/>
      <c r="Z221" s="231"/>
      <c r="AA221" s="231"/>
      <c r="AB221" s="231"/>
      <c r="AC221" s="231"/>
      <c r="AD221" s="231"/>
      <c r="AE221" s="231"/>
      <c r="AF221" s="231"/>
      <c r="AG221" s="231"/>
      <c r="AH221" s="231"/>
      <c r="AI221" s="231"/>
      <c r="AJ221" s="231"/>
      <c r="AK221" s="231"/>
      <c r="AL221" s="231"/>
      <c r="AM221" s="231"/>
      <c r="AN221" s="231"/>
    </row>
    <row r="222" spans="1:40" s="203" customFormat="1">
      <c r="A222" s="109"/>
      <c r="B222" s="132"/>
      <c r="C222" s="132"/>
      <c r="D222" s="132"/>
      <c r="E222" s="859"/>
      <c r="F222" s="859"/>
      <c r="G222" s="130"/>
      <c r="H222" s="859"/>
      <c r="I222" s="130"/>
      <c r="J222" s="231"/>
      <c r="K222" s="231"/>
      <c r="L222" s="231"/>
      <c r="M222" s="231"/>
      <c r="N222" s="231"/>
      <c r="O222" s="231"/>
      <c r="P222" s="231"/>
      <c r="Q222" s="231"/>
      <c r="R222" s="231"/>
      <c r="S222" s="231"/>
      <c r="T222" s="231"/>
      <c r="U222" s="231"/>
      <c r="V222" s="231"/>
      <c r="W222" s="231"/>
      <c r="X222" s="231"/>
      <c r="Y222" s="231"/>
      <c r="Z222" s="231"/>
      <c r="AA222" s="231"/>
      <c r="AB222" s="231"/>
      <c r="AC222" s="231"/>
      <c r="AD222" s="231"/>
      <c r="AE222" s="231"/>
      <c r="AF222" s="231"/>
      <c r="AG222" s="231"/>
      <c r="AH222" s="231"/>
      <c r="AI222" s="231"/>
      <c r="AJ222" s="231"/>
      <c r="AK222" s="231"/>
      <c r="AL222" s="231"/>
      <c r="AM222" s="231"/>
      <c r="AN222" s="231"/>
    </row>
    <row r="223" spans="1:40" s="203" customFormat="1">
      <c r="A223" s="154" t="s">
        <v>179</v>
      </c>
      <c r="B223" s="116"/>
      <c r="C223" s="116"/>
      <c r="D223" s="116"/>
      <c r="E223" s="859"/>
      <c r="F223" s="859"/>
      <c r="G223" s="130"/>
      <c r="H223" s="859"/>
      <c r="I223" s="130"/>
      <c r="J223" s="231"/>
      <c r="K223" s="231"/>
      <c r="L223" s="231"/>
      <c r="M223" s="231"/>
      <c r="N223" s="231"/>
      <c r="O223" s="231"/>
      <c r="P223" s="231"/>
      <c r="Q223" s="231"/>
      <c r="R223" s="231"/>
      <c r="S223" s="231"/>
      <c r="T223" s="231"/>
      <c r="U223" s="231"/>
      <c r="V223" s="231"/>
      <c r="W223" s="231"/>
      <c r="X223" s="231"/>
      <c r="Y223" s="231"/>
      <c r="Z223" s="231"/>
      <c r="AA223" s="231"/>
      <c r="AB223" s="231"/>
      <c r="AC223" s="231"/>
      <c r="AD223" s="231"/>
      <c r="AE223" s="231"/>
      <c r="AF223" s="231"/>
      <c r="AG223" s="231"/>
      <c r="AH223" s="231"/>
      <c r="AI223" s="231"/>
      <c r="AJ223" s="231"/>
      <c r="AK223" s="231"/>
      <c r="AL223" s="231"/>
      <c r="AM223" s="231"/>
      <c r="AN223" s="231"/>
    </row>
    <row r="224" spans="1:40" s="203" customFormat="1">
      <c r="A224" s="109" t="s">
        <v>83</v>
      </c>
      <c r="B224" s="47"/>
      <c r="C224" s="47"/>
      <c r="D224" s="47"/>
      <c r="E224" s="859"/>
      <c r="F224" s="859"/>
      <c r="G224" s="130"/>
      <c r="H224" s="859"/>
      <c r="I224" s="130"/>
      <c r="J224" s="231"/>
      <c r="K224" s="231"/>
      <c r="L224" s="231"/>
      <c r="M224" s="231"/>
      <c r="N224" s="231"/>
      <c r="O224" s="231"/>
      <c r="P224" s="231"/>
      <c r="Q224" s="231"/>
      <c r="R224" s="231"/>
      <c r="S224" s="231"/>
      <c r="T224" s="231"/>
      <c r="U224" s="231"/>
      <c r="V224" s="231"/>
      <c r="W224" s="231"/>
      <c r="X224" s="231"/>
      <c r="Y224" s="231"/>
      <c r="Z224" s="231"/>
      <c r="AA224" s="231"/>
      <c r="AB224" s="231"/>
      <c r="AC224" s="231"/>
      <c r="AD224" s="231"/>
      <c r="AE224" s="231"/>
      <c r="AF224" s="231"/>
      <c r="AG224" s="231"/>
      <c r="AH224" s="231"/>
      <c r="AI224" s="231"/>
      <c r="AJ224" s="231"/>
      <c r="AK224" s="231"/>
      <c r="AL224" s="231"/>
      <c r="AM224" s="231"/>
      <c r="AN224" s="231"/>
    </row>
    <row r="225" spans="1:40" s="203" customFormat="1">
      <c r="A225" s="110" t="s">
        <v>84</v>
      </c>
      <c r="B225" s="132"/>
      <c r="C225" s="132"/>
      <c r="D225" s="132"/>
      <c r="E225" s="860"/>
      <c r="F225" s="860"/>
      <c r="G225" s="130"/>
      <c r="H225" s="860"/>
      <c r="I225" s="130"/>
      <c r="J225" s="231"/>
      <c r="K225" s="231"/>
      <c r="L225" s="231"/>
      <c r="M225" s="231"/>
      <c r="N225" s="231"/>
      <c r="O225" s="231"/>
      <c r="P225" s="231"/>
      <c r="Q225" s="231"/>
      <c r="R225" s="231"/>
      <c r="S225" s="231"/>
      <c r="T225" s="231"/>
      <c r="U225" s="231"/>
      <c r="V225" s="231"/>
      <c r="W225" s="231"/>
      <c r="X225" s="231"/>
      <c r="Y225" s="231"/>
      <c r="Z225" s="231"/>
      <c r="AA225" s="231"/>
      <c r="AB225" s="231"/>
      <c r="AC225" s="231"/>
      <c r="AD225" s="231"/>
      <c r="AE225" s="231"/>
      <c r="AF225" s="231"/>
      <c r="AG225" s="231"/>
      <c r="AH225" s="231"/>
      <c r="AI225" s="231"/>
      <c r="AJ225" s="231"/>
      <c r="AK225" s="231"/>
      <c r="AL225" s="231"/>
      <c r="AM225" s="231"/>
      <c r="AN225" s="231"/>
    </row>
    <row r="226" spans="1:40" s="203" customFormat="1">
      <c r="A226" s="120">
        <v>1</v>
      </c>
      <c r="B226" s="47" t="s">
        <v>180</v>
      </c>
      <c r="C226" s="47"/>
      <c r="D226" s="47"/>
      <c r="E226" s="41">
        <v>-4.477411975126917</v>
      </c>
      <c r="F226" s="52">
        <v>-33</v>
      </c>
      <c r="G226" s="118"/>
      <c r="H226" s="121">
        <v>65</v>
      </c>
      <c r="I226" s="29"/>
      <c r="J226" s="231"/>
      <c r="K226" s="231"/>
      <c r="L226" s="231"/>
      <c r="M226" s="231"/>
      <c r="N226" s="231"/>
      <c r="O226" s="231"/>
      <c r="P226" s="231"/>
      <c r="Q226" s="231"/>
      <c r="R226" s="231"/>
      <c r="S226" s="231"/>
      <c r="T226" s="231"/>
      <c r="U226" s="231"/>
      <c r="V226" s="231"/>
      <c r="W226" s="231"/>
      <c r="X226" s="231"/>
      <c r="Y226" s="231"/>
      <c r="Z226" s="231"/>
      <c r="AA226" s="231"/>
      <c r="AB226" s="231"/>
      <c r="AC226" s="231"/>
      <c r="AD226" s="231"/>
      <c r="AE226" s="231"/>
      <c r="AF226" s="231"/>
      <c r="AG226" s="231"/>
      <c r="AH226" s="231"/>
      <c r="AI226" s="231"/>
      <c r="AJ226" s="231"/>
      <c r="AK226" s="231"/>
      <c r="AL226" s="231"/>
      <c r="AM226" s="231"/>
      <c r="AN226" s="231"/>
    </row>
    <row r="227" spans="1:40" s="203" customFormat="1">
      <c r="A227" s="120">
        <v>2</v>
      </c>
      <c r="B227" s="47" t="s">
        <v>181</v>
      </c>
      <c r="C227" s="47"/>
      <c r="D227" s="47"/>
      <c r="E227" s="49">
        <v>103.28296400000002</v>
      </c>
      <c r="F227" s="52">
        <v>63</v>
      </c>
      <c r="G227" s="118"/>
      <c r="H227" s="204">
        <v>114</v>
      </c>
      <c r="I227" s="29"/>
      <c r="J227" s="231"/>
      <c r="K227" s="231"/>
      <c r="L227" s="231"/>
      <c r="M227" s="231"/>
      <c r="N227" s="231"/>
      <c r="O227" s="231"/>
      <c r="P227" s="231"/>
      <c r="Q227" s="231"/>
      <c r="R227" s="231"/>
      <c r="S227" s="231"/>
      <c r="T227" s="231"/>
      <c r="U227" s="231"/>
      <c r="V227" s="231"/>
      <c r="W227" s="231"/>
      <c r="X227" s="231"/>
      <c r="Y227" s="231"/>
      <c r="Z227" s="231"/>
      <c r="AA227" s="231"/>
      <c r="AB227" s="231"/>
      <c r="AC227" s="231"/>
      <c r="AD227" s="231"/>
      <c r="AE227" s="231"/>
      <c r="AF227" s="231"/>
      <c r="AG227" s="231"/>
      <c r="AH227" s="231"/>
      <c r="AI227" s="231"/>
      <c r="AJ227" s="231"/>
      <c r="AK227" s="231"/>
      <c r="AL227" s="231"/>
      <c r="AM227" s="231"/>
      <c r="AN227" s="231"/>
    </row>
    <row r="228" spans="1:40" s="203" customFormat="1">
      <c r="A228" s="120">
        <v>3</v>
      </c>
      <c r="B228" s="47" t="s">
        <v>182</v>
      </c>
      <c r="C228" s="47"/>
      <c r="D228" s="47"/>
      <c r="E228" s="114">
        <v>124.0371052</v>
      </c>
      <c r="F228" s="52">
        <v>113</v>
      </c>
      <c r="G228" s="118"/>
      <c r="H228" s="204">
        <v>286</v>
      </c>
      <c r="I228" s="29"/>
      <c r="J228" s="231"/>
      <c r="K228" s="231"/>
      <c r="L228" s="231"/>
      <c r="M228" s="231"/>
      <c r="N228" s="231"/>
      <c r="O228" s="231"/>
      <c r="P228" s="231"/>
      <c r="Q228" s="231"/>
      <c r="R228" s="231"/>
      <c r="S228" s="231"/>
      <c r="T228" s="231"/>
      <c r="U228" s="231"/>
      <c r="V228" s="231"/>
      <c r="W228" s="231"/>
      <c r="X228" s="231"/>
      <c r="Y228" s="231"/>
      <c r="Z228" s="231"/>
      <c r="AA228" s="231"/>
      <c r="AB228" s="231"/>
      <c r="AC228" s="231"/>
      <c r="AD228" s="231"/>
      <c r="AE228" s="231"/>
      <c r="AF228" s="231"/>
      <c r="AG228" s="231"/>
      <c r="AH228" s="231"/>
      <c r="AI228" s="231"/>
      <c r="AJ228" s="231"/>
      <c r="AK228" s="231"/>
      <c r="AL228" s="231"/>
      <c r="AM228" s="231"/>
      <c r="AN228" s="231"/>
    </row>
    <row r="229" spans="1:40" s="203" customFormat="1">
      <c r="A229" s="120">
        <v>4</v>
      </c>
      <c r="B229" s="47" t="s">
        <v>183</v>
      </c>
      <c r="C229" s="47"/>
      <c r="D229" s="47"/>
      <c r="E229" s="114">
        <v>0.61201587200000018</v>
      </c>
      <c r="F229" s="52">
        <v>0</v>
      </c>
      <c r="G229" s="118"/>
      <c r="H229" s="204">
        <v>0</v>
      </c>
      <c r="I229" s="29"/>
      <c r="J229" s="231"/>
      <c r="K229" s="231"/>
      <c r="L229" s="231"/>
      <c r="M229" s="231"/>
      <c r="N229" s="231"/>
      <c r="O229" s="231"/>
      <c r="P229" s="231"/>
      <c r="Q229" s="231"/>
      <c r="R229" s="231"/>
      <c r="S229" s="231"/>
      <c r="T229" s="231"/>
      <c r="U229" s="231"/>
      <c r="V229" s="231"/>
      <c r="W229" s="231"/>
      <c r="X229" s="231"/>
      <c r="Y229" s="231"/>
      <c r="Z229" s="231"/>
      <c r="AA229" s="231"/>
      <c r="AB229" s="231"/>
      <c r="AC229" s="231"/>
      <c r="AD229" s="231"/>
      <c r="AE229" s="231"/>
      <c r="AF229" s="231"/>
      <c r="AG229" s="231"/>
      <c r="AH229" s="231"/>
      <c r="AI229" s="231"/>
      <c r="AJ229" s="231"/>
      <c r="AK229" s="231"/>
      <c r="AL229" s="231"/>
      <c r="AM229" s="231"/>
      <c r="AN229" s="231"/>
    </row>
    <row r="230" spans="1:40" s="203" customFormat="1">
      <c r="A230" s="120">
        <v>5</v>
      </c>
      <c r="B230" s="47" t="s">
        <v>184</v>
      </c>
      <c r="C230" s="47"/>
      <c r="D230" s="47"/>
      <c r="E230" s="114">
        <v>949.68278751664536</v>
      </c>
      <c r="F230" s="52">
        <v>1049</v>
      </c>
      <c r="G230" s="118"/>
      <c r="H230" s="834">
        <v>822</v>
      </c>
      <c r="I230" s="29"/>
      <c r="J230" s="231"/>
      <c r="K230" s="231"/>
      <c r="L230" s="231"/>
      <c r="M230" s="231"/>
      <c r="N230" s="231"/>
      <c r="O230" s="231"/>
      <c r="P230" s="231"/>
      <c r="Q230" s="231"/>
      <c r="R230" s="231"/>
      <c r="S230" s="231"/>
      <c r="T230" s="231"/>
      <c r="U230" s="231"/>
      <c r="V230" s="231"/>
      <c r="W230" s="231"/>
      <c r="X230" s="231"/>
      <c r="Y230" s="231"/>
      <c r="Z230" s="231"/>
      <c r="AA230" s="231"/>
      <c r="AB230" s="231"/>
      <c r="AC230" s="231"/>
      <c r="AD230" s="231"/>
      <c r="AE230" s="231"/>
      <c r="AF230" s="231"/>
      <c r="AG230" s="231"/>
      <c r="AH230" s="231"/>
      <c r="AI230" s="231"/>
      <c r="AJ230" s="231"/>
      <c r="AK230" s="231"/>
      <c r="AL230" s="231"/>
      <c r="AM230" s="231"/>
      <c r="AN230" s="231"/>
    </row>
    <row r="231" spans="1:40" s="203" customFormat="1">
      <c r="A231" s="124">
        <v>6</v>
      </c>
      <c r="B231" s="173" t="s">
        <v>185</v>
      </c>
      <c r="C231" s="173"/>
      <c r="D231" s="173"/>
      <c r="E231" s="159">
        <v>1173.1374606135184</v>
      </c>
      <c r="F231" s="61">
        <f>SUM(F226:F230)</f>
        <v>1192</v>
      </c>
      <c r="G231" s="118"/>
      <c r="H231" s="61">
        <f>SUM(H226:H230)</f>
        <v>1287</v>
      </c>
      <c r="I231" s="29"/>
      <c r="J231" s="231"/>
      <c r="K231" s="231"/>
      <c r="L231" s="231"/>
      <c r="M231" s="231"/>
      <c r="N231" s="231"/>
      <c r="O231" s="231"/>
      <c r="P231" s="231"/>
      <c r="Q231" s="231"/>
      <c r="R231" s="231"/>
      <c r="S231" s="231"/>
      <c r="T231" s="231"/>
      <c r="U231" s="231"/>
      <c r="V231" s="231"/>
      <c r="W231" s="231"/>
      <c r="X231" s="231"/>
      <c r="Y231" s="231"/>
      <c r="Z231" s="231"/>
      <c r="AA231" s="231"/>
      <c r="AB231" s="231"/>
      <c r="AC231" s="231"/>
      <c r="AD231" s="231"/>
      <c r="AE231" s="231"/>
      <c r="AF231" s="231"/>
      <c r="AG231" s="231"/>
      <c r="AH231" s="231"/>
      <c r="AI231" s="231"/>
      <c r="AJ231" s="231"/>
      <c r="AK231" s="231"/>
      <c r="AL231" s="231"/>
      <c r="AM231" s="231"/>
      <c r="AN231" s="231"/>
    </row>
    <row r="232" spans="1:40" s="203" customFormat="1">
      <c r="A232" s="148"/>
      <c r="B232" s="29"/>
      <c r="C232" s="29"/>
      <c r="D232" s="170"/>
      <c r="E232" s="150"/>
      <c r="F232" s="29"/>
      <c r="G232" s="29"/>
      <c r="H232" s="207"/>
      <c r="I232" s="29"/>
      <c r="J232" s="231"/>
      <c r="K232" s="231"/>
      <c r="L232" s="231"/>
      <c r="M232" s="231"/>
      <c r="N232" s="231"/>
      <c r="O232" s="231"/>
      <c r="P232" s="231"/>
      <c r="Q232" s="231"/>
      <c r="R232" s="231"/>
      <c r="S232" s="231"/>
      <c r="T232" s="231"/>
      <c r="U232" s="231"/>
      <c r="V232" s="231"/>
      <c r="W232" s="231"/>
      <c r="X232" s="231"/>
      <c r="Y232" s="231"/>
      <c r="Z232" s="231"/>
      <c r="AA232" s="231"/>
      <c r="AB232" s="231"/>
      <c r="AC232" s="231"/>
      <c r="AD232" s="231"/>
      <c r="AE232" s="231"/>
      <c r="AF232" s="231"/>
      <c r="AG232" s="231"/>
      <c r="AH232" s="231"/>
      <c r="AI232" s="231"/>
      <c r="AJ232" s="231"/>
      <c r="AK232" s="231"/>
      <c r="AL232" s="231"/>
      <c r="AM232" s="231"/>
      <c r="AN232" s="231"/>
    </row>
    <row r="233" spans="1:40" s="203" customFormat="1">
      <c r="A233" s="148"/>
      <c r="B233" s="29"/>
      <c r="C233" s="29"/>
      <c r="D233" s="172"/>
      <c r="E233" s="152"/>
      <c r="F233" s="29"/>
      <c r="G233" s="29"/>
      <c r="H233" s="131" t="s">
        <v>27</v>
      </c>
      <c r="I233" s="29"/>
      <c r="J233" s="231"/>
      <c r="K233" s="231"/>
      <c r="L233" s="231"/>
      <c r="M233" s="231"/>
      <c r="N233" s="231"/>
      <c r="O233" s="231"/>
      <c r="P233" s="231"/>
      <c r="Q233" s="231"/>
      <c r="R233" s="231"/>
      <c r="S233" s="231"/>
      <c r="T233" s="231"/>
      <c r="U233" s="231"/>
      <c r="V233" s="231"/>
      <c r="W233" s="231"/>
      <c r="X233" s="231"/>
      <c r="Y233" s="231"/>
      <c r="Z233" s="231"/>
      <c r="AA233" s="231"/>
      <c r="AB233" s="231"/>
      <c r="AC233" s="231"/>
      <c r="AD233" s="231"/>
      <c r="AE233" s="231"/>
      <c r="AF233" s="231"/>
      <c r="AG233" s="231"/>
      <c r="AH233" s="231"/>
      <c r="AI233" s="231"/>
      <c r="AJ233" s="231"/>
      <c r="AK233" s="231"/>
      <c r="AL233" s="231"/>
      <c r="AM233" s="231"/>
      <c r="AN233" s="231"/>
    </row>
    <row r="234" spans="1:40" s="203" customFormat="1" ht="12.75" customHeight="1">
      <c r="A234" s="106" t="s">
        <v>12</v>
      </c>
      <c r="B234" s="164"/>
      <c r="C234" s="164"/>
      <c r="D234" s="164"/>
      <c r="E234" s="856" t="s">
        <v>377</v>
      </c>
      <c r="F234" s="856" t="s">
        <v>402</v>
      </c>
      <c r="G234" s="130"/>
      <c r="H234" s="856" t="s">
        <v>403</v>
      </c>
      <c r="I234" s="130"/>
      <c r="J234" s="231"/>
      <c r="K234" s="231"/>
      <c r="L234" s="231"/>
      <c r="M234" s="231"/>
      <c r="N234" s="231"/>
      <c r="O234" s="231"/>
      <c r="P234" s="231"/>
      <c r="Q234" s="231"/>
      <c r="R234" s="231"/>
      <c r="S234" s="231"/>
      <c r="T234" s="231"/>
      <c r="U234" s="231"/>
      <c r="V234" s="231"/>
      <c r="W234" s="231"/>
      <c r="X234" s="231"/>
      <c r="Y234" s="231"/>
      <c r="Z234" s="231"/>
      <c r="AA234" s="231"/>
      <c r="AB234" s="231"/>
      <c r="AC234" s="231"/>
      <c r="AD234" s="231"/>
      <c r="AE234" s="231"/>
      <c r="AF234" s="231"/>
      <c r="AG234" s="231"/>
      <c r="AH234" s="231"/>
      <c r="AI234" s="231"/>
      <c r="AJ234" s="231"/>
      <c r="AK234" s="231"/>
      <c r="AL234" s="231"/>
      <c r="AM234" s="231"/>
      <c r="AN234" s="231"/>
    </row>
    <row r="235" spans="1:40" s="203" customFormat="1">
      <c r="A235" s="165"/>
      <c r="B235" s="47"/>
      <c r="C235" s="47"/>
      <c r="D235" s="47"/>
      <c r="E235" s="859"/>
      <c r="F235" s="859"/>
      <c r="G235" s="130"/>
      <c r="H235" s="859"/>
      <c r="I235" s="130"/>
      <c r="J235" s="231"/>
      <c r="K235" s="231"/>
      <c r="L235" s="231"/>
      <c r="M235" s="231"/>
      <c r="N235" s="231"/>
      <c r="O235" s="231"/>
      <c r="P235" s="231"/>
      <c r="Q235" s="231"/>
      <c r="R235" s="231"/>
      <c r="S235" s="231"/>
      <c r="T235" s="231"/>
      <c r="U235" s="231"/>
      <c r="V235" s="231"/>
      <c r="W235" s="231"/>
      <c r="X235" s="231"/>
      <c r="Y235" s="231"/>
      <c r="Z235" s="231"/>
      <c r="AA235" s="231"/>
      <c r="AB235" s="231"/>
      <c r="AC235" s="231"/>
      <c r="AD235" s="231"/>
      <c r="AE235" s="231"/>
      <c r="AF235" s="231"/>
      <c r="AG235" s="231"/>
      <c r="AH235" s="231"/>
      <c r="AI235" s="231"/>
      <c r="AJ235" s="231"/>
      <c r="AK235" s="231"/>
      <c r="AL235" s="231"/>
      <c r="AM235" s="231"/>
      <c r="AN235" s="231"/>
    </row>
    <row r="236" spans="1:40" s="203" customFormat="1">
      <c r="A236" s="154" t="s">
        <v>186</v>
      </c>
      <c r="B236" s="174"/>
      <c r="C236" s="174"/>
      <c r="D236" s="174"/>
      <c r="E236" s="859"/>
      <c r="F236" s="859"/>
      <c r="G236" s="130"/>
      <c r="H236" s="859"/>
      <c r="I236" s="130"/>
      <c r="J236" s="231"/>
      <c r="K236" s="231"/>
      <c r="L236" s="231"/>
      <c r="M236" s="231"/>
      <c r="N236" s="231"/>
      <c r="O236" s="231"/>
      <c r="P236" s="231"/>
      <c r="Q236" s="231"/>
      <c r="R236" s="231"/>
      <c r="S236" s="231"/>
      <c r="T236" s="231"/>
      <c r="U236" s="231"/>
      <c r="V236" s="231"/>
      <c r="W236" s="231"/>
      <c r="X236" s="231"/>
      <c r="Y236" s="231"/>
      <c r="Z236" s="231"/>
      <c r="AA236" s="231"/>
      <c r="AB236" s="231"/>
      <c r="AC236" s="231"/>
      <c r="AD236" s="231"/>
      <c r="AE236" s="231"/>
      <c r="AF236" s="231"/>
      <c r="AG236" s="231"/>
      <c r="AH236" s="231"/>
      <c r="AI236" s="231"/>
      <c r="AJ236" s="231"/>
      <c r="AK236" s="231"/>
      <c r="AL236" s="231"/>
      <c r="AM236" s="231"/>
      <c r="AN236" s="231"/>
    </row>
    <row r="237" spans="1:40" s="203" customFormat="1">
      <c r="A237" s="109" t="s">
        <v>83</v>
      </c>
      <c r="B237" s="47"/>
      <c r="C237" s="47"/>
      <c r="D237" s="47"/>
      <c r="E237" s="859"/>
      <c r="F237" s="859"/>
      <c r="G237" s="130"/>
      <c r="H237" s="859"/>
      <c r="I237" s="130"/>
      <c r="J237" s="231"/>
      <c r="K237" s="231"/>
      <c r="L237" s="231"/>
      <c r="M237" s="231"/>
      <c r="N237" s="231"/>
      <c r="O237" s="231"/>
      <c r="P237" s="231"/>
      <c r="Q237" s="231"/>
      <c r="R237" s="231"/>
      <c r="S237" s="231"/>
      <c r="T237" s="231"/>
      <c r="U237" s="231"/>
      <c r="V237" s="231"/>
      <c r="W237" s="231"/>
      <c r="X237" s="231"/>
      <c r="Y237" s="231"/>
      <c r="Z237" s="231"/>
      <c r="AA237" s="231"/>
      <c r="AB237" s="231"/>
      <c r="AC237" s="231"/>
      <c r="AD237" s="231"/>
      <c r="AE237" s="231"/>
      <c r="AF237" s="231"/>
      <c r="AG237" s="231"/>
      <c r="AH237" s="231"/>
      <c r="AI237" s="231"/>
      <c r="AJ237" s="231"/>
      <c r="AK237" s="231"/>
      <c r="AL237" s="231"/>
      <c r="AM237" s="231"/>
      <c r="AN237" s="231"/>
    </row>
    <row r="238" spans="1:40" s="203" customFormat="1">
      <c r="A238" s="110" t="s">
        <v>84</v>
      </c>
      <c r="B238" s="174"/>
      <c r="C238" s="174"/>
      <c r="D238" s="174"/>
      <c r="E238" s="860"/>
      <c r="F238" s="860"/>
      <c r="G238" s="130"/>
      <c r="H238" s="860"/>
      <c r="I238" s="130"/>
      <c r="J238" s="231"/>
      <c r="K238" s="231"/>
      <c r="L238" s="231"/>
      <c r="M238" s="231"/>
      <c r="N238" s="231"/>
      <c r="O238" s="231"/>
      <c r="P238" s="231"/>
      <c r="Q238" s="231"/>
      <c r="R238" s="231"/>
      <c r="S238" s="231"/>
      <c r="T238" s="231"/>
      <c r="U238" s="231"/>
      <c r="V238" s="231"/>
      <c r="W238" s="231"/>
      <c r="X238" s="231"/>
      <c r="Y238" s="231"/>
      <c r="Z238" s="231"/>
      <c r="AA238" s="231"/>
      <c r="AB238" s="231"/>
      <c r="AC238" s="231"/>
      <c r="AD238" s="231"/>
      <c r="AE238" s="231"/>
      <c r="AF238" s="231"/>
      <c r="AG238" s="231"/>
      <c r="AH238" s="231"/>
      <c r="AI238" s="231"/>
      <c r="AJ238" s="231"/>
      <c r="AK238" s="231"/>
      <c r="AL238" s="231"/>
      <c r="AM238" s="231"/>
      <c r="AN238" s="231"/>
    </row>
    <row r="239" spans="1:40" s="203" customFormat="1">
      <c r="A239" s="153" t="s">
        <v>187</v>
      </c>
      <c r="B239" s="116"/>
      <c r="C239" s="116"/>
      <c r="D239" s="116"/>
      <c r="E239" s="167"/>
      <c r="F239" s="146"/>
      <c r="G239" s="118"/>
      <c r="H239" s="146"/>
      <c r="I239" s="29"/>
      <c r="J239" s="231"/>
      <c r="K239" s="231"/>
      <c r="L239" s="231"/>
      <c r="M239" s="231"/>
      <c r="N239" s="231"/>
      <c r="O239" s="231"/>
      <c r="P239" s="231"/>
      <c r="Q239" s="231"/>
      <c r="R239" s="231"/>
      <c r="S239" s="231"/>
      <c r="T239" s="231"/>
      <c r="U239" s="231"/>
      <c r="V239" s="231"/>
      <c r="W239" s="231"/>
      <c r="X239" s="231"/>
      <c r="Y239" s="231"/>
      <c r="Z239" s="231"/>
      <c r="AA239" s="231"/>
      <c r="AB239" s="231"/>
      <c r="AC239" s="231"/>
      <c r="AD239" s="231"/>
      <c r="AE239" s="231"/>
      <c r="AF239" s="231"/>
      <c r="AG239" s="231"/>
      <c r="AH239" s="231"/>
      <c r="AI239" s="231"/>
      <c r="AJ239" s="231"/>
      <c r="AK239" s="231"/>
      <c r="AL239" s="231"/>
      <c r="AM239" s="231"/>
      <c r="AN239" s="231"/>
    </row>
    <row r="240" spans="1:40" s="203" customFormat="1">
      <c r="A240" s="120">
        <v>1</v>
      </c>
      <c r="B240" s="47" t="s">
        <v>188</v>
      </c>
      <c r="C240" s="47"/>
      <c r="D240" s="47"/>
      <c r="E240" s="74">
        <v>0</v>
      </c>
      <c r="F240" s="52">
        <v>0</v>
      </c>
      <c r="G240" s="118"/>
      <c r="H240" s="52">
        <v>0</v>
      </c>
      <c r="I240" s="29"/>
      <c r="J240" s="231"/>
      <c r="K240" s="231"/>
      <c r="L240" s="231"/>
      <c r="M240" s="231"/>
      <c r="N240" s="231"/>
      <c r="O240" s="231"/>
      <c r="P240" s="231"/>
      <c r="Q240" s="231"/>
      <c r="R240" s="231"/>
      <c r="S240" s="231"/>
      <c r="T240" s="231"/>
      <c r="U240" s="231"/>
      <c r="V240" s="231"/>
      <c r="W240" s="231"/>
      <c r="X240" s="231"/>
      <c r="Y240" s="231"/>
      <c r="Z240" s="231"/>
      <c r="AA240" s="231"/>
      <c r="AB240" s="231"/>
      <c r="AC240" s="231"/>
      <c r="AD240" s="231"/>
      <c r="AE240" s="231"/>
      <c r="AF240" s="231"/>
      <c r="AG240" s="231"/>
      <c r="AH240" s="231"/>
      <c r="AI240" s="231"/>
      <c r="AJ240" s="231"/>
      <c r="AK240" s="231"/>
      <c r="AL240" s="231"/>
      <c r="AM240" s="231"/>
      <c r="AN240" s="231"/>
    </row>
    <row r="241" spans="1:40" s="203" customFormat="1">
      <c r="A241" s="743">
        <v>2</v>
      </c>
      <c r="B241" s="47" t="s">
        <v>189</v>
      </c>
      <c r="C241" s="47"/>
      <c r="D241" s="47"/>
      <c r="E241" s="114">
        <v>246.67773480187714</v>
      </c>
      <c r="F241" s="126">
        <v>405</v>
      </c>
      <c r="G241" s="118"/>
      <c r="H241" s="834">
        <v>352</v>
      </c>
      <c r="I241" s="29"/>
      <c r="J241" s="231"/>
      <c r="K241" s="231"/>
      <c r="L241" s="231"/>
      <c r="M241" s="231"/>
      <c r="N241" s="231"/>
      <c r="O241" s="231"/>
      <c r="P241" s="231"/>
      <c r="Q241" s="231"/>
      <c r="R241" s="231"/>
      <c r="S241" s="231"/>
      <c r="T241" s="231"/>
      <c r="U241" s="231"/>
      <c r="V241" s="231"/>
      <c r="W241" s="231"/>
      <c r="X241" s="231"/>
      <c r="Y241" s="231"/>
      <c r="Z241" s="231"/>
      <c r="AA241" s="231"/>
      <c r="AB241" s="231"/>
      <c r="AC241" s="231"/>
      <c r="AD241" s="231"/>
      <c r="AE241" s="231"/>
      <c r="AF241" s="231"/>
      <c r="AG241" s="231"/>
      <c r="AH241" s="231"/>
      <c r="AI241" s="231"/>
      <c r="AJ241" s="231"/>
      <c r="AK241" s="231"/>
      <c r="AL241" s="231"/>
      <c r="AM241" s="231"/>
      <c r="AN241" s="231"/>
    </row>
    <row r="242" spans="1:40" s="203" customFormat="1">
      <c r="A242" s="743">
        <v>3</v>
      </c>
      <c r="B242" s="168" t="s">
        <v>190</v>
      </c>
      <c r="C242" s="168"/>
      <c r="D242" s="168"/>
      <c r="E242" s="80">
        <v>246.67773480187714</v>
      </c>
      <c r="F242" s="142">
        <f>SUM(F240:F241)</f>
        <v>405</v>
      </c>
      <c r="G242" s="118"/>
      <c r="H242" s="142">
        <f>SUM(H240:H241)</f>
        <v>352</v>
      </c>
      <c r="I242" s="29"/>
      <c r="J242" s="231"/>
      <c r="K242" s="231"/>
      <c r="L242" s="231"/>
      <c r="M242" s="231"/>
      <c r="N242" s="231"/>
      <c r="O242" s="231"/>
      <c r="P242" s="231"/>
      <c r="Q242" s="231"/>
      <c r="R242" s="231"/>
      <c r="S242" s="231"/>
      <c r="T242" s="231"/>
      <c r="U242" s="231"/>
      <c r="V242" s="231"/>
      <c r="W242" s="231"/>
      <c r="X242" s="231"/>
      <c r="Y242" s="231"/>
      <c r="Z242" s="231"/>
      <c r="AA242" s="231"/>
      <c r="AB242" s="231"/>
      <c r="AC242" s="231"/>
      <c r="AD242" s="231"/>
      <c r="AE242" s="231"/>
      <c r="AF242" s="231"/>
      <c r="AG242" s="231"/>
      <c r="AH242" s="231"/>
      <c r="AI242" s="231"/>
      <c r="AJ242" s="231"/>
      <c r="AK242" s="231"/>
      <c r="AL242" s="231"/>
      <c r="AM242" s="231"/>
      <c r="AN242" s="231"/>
    </row>
    <row r="243" spans="1:40" s="203" customFormat="1">
      <c r="A243" s="743"/>
      <c r="B243" s="116"/>
      <c r="C243" s="116"/>
      <c r="D243" s="116"/>
      <c r="E243" s="117"/>
      <c r="F243" s="118"/>
      <c r="G243" s="118"/>
      <c r="H243" s="118"/>
      <c r="I243" s="29"/>
      <c r="J243" s="231"/>
      <c r="K243" s="231"/>
      <c r="L243" s="231"/>
      <c r="M243" s="231"/>
      <c r="N243" s="231"/>
      <c r="O243" s="231"/>
      <c r="P243" s="231"/>
      <c r="Q243" s="231"/>
      <c r="R243" s="231"/>
      <c r="S243" s="231"/>
      <c r="T243" s="231"/>
      <c r="U243" s="231"/>
      <c r="V243" s="231"/>
      <c r="W243" s="231"/>
      <c r="X243" s="231"/>
      <c r="Y243" s="231"/>
      <c r="Z243" s="231"/>
      <c r="AA243" s="231"/>
      <c r="AB243" s="231"/>
      <c r="AC243" s="231"/>
      <c r="AD243" s="231"/>
      <c r="AE243" s="231"/>
      <c r="AF243" s="231"/>
      <c r="AG243" s="231"/>
      <c r="AH243" s="231"/>
      <c r="AI243" s="231"/>
      <c r="AJ243" s="231"/>
      <c r="AK243" s="231"/>
      <c r="AL243" s="231"/>
      <c r="AM243" s="231"/>
      <c r="AN243" s="231"/>
    </row>
    <row r="244" spans="1:40" s="203" customFormat="1">
      <c r="A244" s="108" t="s">
        <v>191</v>
      </c>
      <c r="B244" s="47"/>
      <c r="C244" s="47"/>
      <c r="D244" s="47"/>
      <c r="E244" s="140"/>
      <c r="F244" s="146"/>
      <c r="G244" s="118"/>
      <c r="H244" s="146"/>
      <c r="I244" s="29"/>
      <c r="J244" s="231"/>
      <c r="K244" s="231"/>
      <c r="L244" s="231"/>
      <c r="M244" s="231"/>
      <c r="N244" s="231"/>
      <c r="O244" s="231"/>
      <c r="P244" s="231"/>
      <c r="Q244" s="231"/>
      <c r="R244" s="231"/>
      <c r="S244" s="231"/>
      <c r="T244" s="231"/>
      <c r="U244" s="231"/>
      <c r="V244" s="231"/>
      <c r="W244" s="231"/>
      <c r="X244" s="231"/>
      <c r="Y244" s="231"/>
      <c r="Z244" s="231"/>
      <c r="AA244" s="231"/>
      <c r="AB244" s="231"/>
      <c r="AC244" s="231"/>
      <c r="AD244" s="231"/>
      <c r="AE244" s="231"/>
      <c r="AF244" s="231"/>
      <c r="AG244" s="231"/>
      <c r="AH244" s="231"/>
      <c r="AI244" s="231"/>
      <c r="AJ244" s="231"/>
      <c r="AK244" s="231"/>
      <c r="AL244" s="231"/>
      <c r="AM244" s="231"/>
      <c r="AN244" s="231"/>
    </row>
    <row r="245" spans="1:40" s="203" customFormat="1">
      <c r="A245" s="743">
        <v>4</v>
      </c>
      <c r="B245" s="47" t="s">
        <v>192</v>
      </c>
      <c r="C245" s="47"/>
      <c r="D245" s="47"/>
      <c r="E245" s="74">
        <v>0</v>
      </c>
      <c r="F245" s="52">
        <v>0</v>
      </c>
      <c r="G245" s="118"/>
      <c r="H245" s="52">
        <v>0</v>
      </c>
      <c r="I245" s="29"/>
      <c r="J245" s="231"/>
      <c r="K245" s="231"/>
      <c r="L245" s="231"/>
      <c r="M245" s="231"/>
      <c r="N245" s="231"/>
      <c r="O245" s="231"/>
      <c r="P245" s="231"/>
      <c r="Q245" s="231"/>
      <c r="R245" s="231"/>
      <c r="S245" s="231"/>
      <c r="T245" s="231"/>
      <c r="U245" s="231"/>
      <c r="V245" s="231"/>
      <c r="W245" s="231"/>
      <c r="X245" s="231"/>
      <c r="Y245" s="231"/>
      <c r="Z245" s="231"/>
      <c r="AA245" s="231"/>
      <c r="AB245" s="231"/>
      <c r="AC245" s="231"/>
      <c r="AD245" s="231"/>
      <c r="AE245" s="231"/>
      <c r="AF245" s="231"/>
      <c r="AG245" s="231"/>
      <c r="AH245" s="231"/>
      <c r="AI245" s="231"/>
      <c r="AJ245" s="231"/>
      <c r="AK245" s="231"/>
      <c r="AL245" s="231"/>
      <c r="AM245" s="231"/>
      <c r="AN245" s="231"/>
    </row>
    <row r="246" spans="1:40" s="203" customFormat="1">
      <c r="A246" s="743">
        <v>5</v>
      </c>
      <c r="B246" s="47" t="s">
        <v>193</v>
      </c>
      <c r="C246" s="47"/>
      <c r="D246" s="47"/>
      <c r="E246" s="49">
        <v>440.38242238159734</v>
      </c>
      <c r="F246" s="126">
        <v>443</v>
      </c>
      <c r="G246" s="118"/>
      <c r="H246" s="834">
        <v>443</v>
      </c>
      <c r="I246" s="29"/>
      <c r="J246" s="231"/>
      <c r="K246" s="231"/>
      <c r="L246" s="231"/>
      <c r="M246" s="231"/>
      <c r="N246" s="231"/>
      <c r="O246" s="231"/>
      <c r="P246" s="231"/>
      <c r="Q246" s="231"/>
      <c r="R246" s="231"/>
      <c r="S246" s="231"/>
      <c r="T246" s="231"/>
      <c r="U246" s="231"/>
      <c r="V246" s="231"/>
      <c r="W246" s="231"/>
      <c r="X246" s="231"/>
      <c r="Y246" s="231"/>
      <c r="Z246" s="231"/>
      <c r="AA246" s="231"/>
      <c r="AB246" s="231"/>
      <c r="AC246" s="231"/>
      <c r="AD246" s="231"/>
      <c r="AE246" s="231"/>
      <c r="AF246" s="231"/>
      <c r="AG246" s="231"/>
      <c r="AH246" s="231"/>
      <c r="AI246" s="231"/>
      <c r="AJ246" s="231"/>
      <c r="AK246" s="231"/>
      <c r="AL246" s="231"/>
      <c r="AM246" s="231"/>
      <c r="AN246" s="231"/>
    </row>
    <row r="247" spans="1:40" s="203" customFormat="1">
      <c r="A247" s="743">
        <v>6</v>
      </c>
      <c r="B247" s="116" t="s">
        <v>194</v>
      </c>
      <c r="C247" s="116"/>
      <c r="D247" s="116"/>
      <c r="E247" s="80">
        <v>440.38242238159734</v>
      </c>
      <c r="F247" s="142">
        <f>SUM(F245:F246)</f>
        <v>443</v>
      </c>
      <c r="G247" s="118"/>
      <c r="H247" s="142">
        <f>SUM(H245:H246)</f>
        <v>443</v>
      </c>
      <c r="I247" s="29"/>
      <c r="J247" s="231"/>
      <c r="K247" s="231"/>
      <c r="L247" s="231"/>
      <c r="M247" s="231"/>
      <c r="N247" s="231"/>
      <c r="O247" s="231"/>
      <c r="P247" s="231"/>
      <c r="Q247" s="231"/>
      <c r="R247" s="231"/>
      <c r="S247" s="231"/>
      <c r="T247" s="231"/>
      <c r="U247" s="231"/>
      <c r="V247" s="231"/>
      <c r="W247" s="231"/>
      <c r="X247" s="231"/>
      <c r="Y247" s="231"/>
      <c r="Z247" s="231"/>
      <c r="AA247" s="231"/>
      <c r="AB247" s="231"/>
      <c r="AC247" s="231"/>
      <c r="AD247" s="231"/>
      <c r="AE247" s="231"/>
      <c r="AF247" s="231"/>
      <c r="AG247" s="231"/>
      <c r="AH247" s="231"/>
      <c r="AI247" s="231"/>
      <c r="AJ247" s="231"/>
      <c r="AK247" s="231"/>
      <c r="AL247" s="231"/>
      <c r="AM247" s="231"/>
      <c r="AN247" s="231"/>
    </row>
    <row r="248" spans="1:40" s="203" customFormat="1">
      <c r="A248" s="743"/>
      <c r="B248" s="116"/>
      <c r="C248" s="116"/>
      <c r="D248" s="116"/>
      <c r="E248" s="117"/>
      <c r="F248" s="118"/>
      <c r="G248" s="118"/>
      <c r="H248" s="118"/>
      <c r="I248" s="29"/>
      <c r="J248" s="231"/>
      <c r="K248" s="231"/>
      <c r="L248" s="231"/>
      <c r="M248" s="231"/>
      <c r="N248" s="231"/>
      <c r="O248" s="231"/>
      <c r="P248" s="231"/>
      <c r="Q248" s="231"/>
      <c r="R248" s="231"/>
      <c r="S248" s="231"/>
      <c r="T248" s="231"/>
      <c r="U248" s="231"/>
      <c r="V248" s="231"/>
      <c r="W248" s="231"/>
      <c r="X248" s="231"/>
      <c r="Y248" s="231"/>
      <c r="Z248" s="231"/>
      <c r="AA248" s="231"/>
      <c r="AB248" s="231"/>
      <c r="AC248" s="231"/>
      <c r="AD248" s="231"/>
      <c r="AE248" s="231"/>
      <c r="AF248" s="231"/>
      <c r="AG248" s="231"/>
      <c r="AH248" s="231"/>
      <c r="AI248" s="231"/>
      <c r="AJ248" s="231"/>
      <c r="AK248" s="231"/>
      <c r="AL248" s="231"/>
      <c r="AM248" s="231"/>
      <c r="AN248" s="231"/>
    </row>
    <row r="249" spans="1:40" s="203" customFormat="1">
      <c r="A249" s="108" t="s">
        <v>195</v>
      </c>
      <c r="B249" s="116"/>
      <c r="C249" s="116"/>
      <c r="D249" s="116"/>
      <c r="E249" s="140"/>
      <c r="F249" s="146"/>
      <c r="G249" s="118"/>
      <c r="H249" s="146"/>
      <c r="I249" s="29"/>
      <c r="J249" s="231"/>
      <c r="K249" s="231"/>
      <c r="L249" s="231"/>
      <c r="M249" s="231"/>
      <c r="N249" s="231"/>
      <c r="O249" s="231"/>
      <c r="P249" s="231"/>
      <c r="Q249" s="231"/>
      <c r="R249" s="231"/>
      <c r="S249" s="231"/>
      <c r="T249" s="231"/>
      <c r="U249" s="231"/>
      <c r="V249" s="231"/>
      <c r="W249" s="231"/>
      <c r="X249" s="231"/>
      <c r="Y249" s="231"/>
      <c r="Z249" s="231"/>
      <c r="AA249" s="231"/>
      <c r="AB249" s="231"/>
      <c r="AC249" s="231"/>
      <c r="AD249" s="231"/>
      <c r="AE249" s="231"/>
      <c r="AF249" s="231"/>
      <c r="AG249" s="231"/>
      <c r="AH249" s="231"/>
      <c r="AI249" s="231"/>
      <c r="AJ249" s="231"/>
      <c r="AK249" s="231"/>
      <c r="AL249" s="231"/>
      <c r="AM249" s="231"/>
      <c r="AN249" s="231"/>
    </row>
    <row r="250" spans="1:40" s="203" customFormat="1">
      <c r="A250" s="743">
        <v>7</v>
      </c>
      <c r="B250" s="47" t="s">
        <v>196</v>
      </c>
      <c r="C250" s="47"/>
      <c r="D250" s="47"/>
      <c r="E250" s="74">
        <v>662.9963448536198</v>
      </c>
      <c r="F250" s="52">
        <v>196</v>
      </c>
      <c r="G250" s="118"/>
      <c r="H250" s="204">
        <v>80</v>
      </c>
      <c r="I250" s="29"/>
      <c r="J250" s="231"/>
      <c r="K250" s="231"/>
      <c r="L250" s="231"/>
      <c r="M250" s="231"/>
      <c r="N250" s="231"/>
      <c r="O250" s="231"/>
      <c r="P250" s="231"/>
      <c r="Q250" s="231"/>
      <c r="R250" s="231"/>
      <c r="S250" s="231"/>
      <c r="T250" s="231"/>
      <c r="U250" s="231"/>
      <c r="V250" s="231"/>
      <c r="W250" s="231"/>
      <c r="X250" s="231"/>
      <c r="Y250" s="231"/>
      <c r="Z250" s="231"/>
      <c r="AA250" s="231"/>
      <c r="AB250" s="231"/>
      <c r="AC250" s="231"/>
      <c r="AD250" s="231"/>
      <c r="AE250" s="231"/>
      <c r="AF250" s="231"/>
      <c r="AG250" s="231"/>
      <c r="AH250" s="231"/>
      <c r="AI250" s="231"/>
      <c r="AJ250" s="231"/>
      <c r="AK250" s="231"/>
      <c r="AL250" s="231"/>
      <c r="AM250" s="231"/>
      <c r="AN250" s="231"/>
    </row>
    <row r="251" spans="1:40" s="203" customFormat="1">
      <c r="A251" s="743">
        <v>8</v>
      </c>
      <c r="B251" s="47" t="s">
        <v>197</v>
      </c>
      <c r="C251" s="47"/>
      <c r="D251" s="47"/>
      <c r="E251" s="49">
        <v>405.78839326542237</v>
      </c>
      <c r="F251" s="52">
        <v>893</v>
      </c>
      <c r="G251" s="118"/>
      <c r="H251" s="52">
        <v>810</v>
      </c>
      <c r="I251" s="29"/>
      <c r="J251" s="231"/>
      <c r="K251" s="231"/>
      <c r="L251" s="231"/>
      <c r="M251" s="231"/>
      <c r="N251" s="231"/>
      <c r="O251" s="231"/>
      <c r="P251" s="231"/>
      <c r="Q251" s="231"/>
      <c r="R251" s="231"/>
      <c r="S251" s="231"/>
      <c r="T251" s="231"/>
      <c r="U251" s="231"/>
      <c r="V251" s="231"/>
      <c r="W251" s="231"/>
      <c r="X251" s="231"/>
      <c r="Y251" s="231"/>
      <c r="Z251" s="231"/>
      <c r="AA251" s="231"/>
      <c r="AB251" s="231"/>
      <c r="AC251" s="231"/>
      <c r="AD251" s="231"/>
      <c r="AE251" s="231"/>
      <c r="AF251" s="231"/>
      <c r="AG251" s="231"/>
      <c r="AH251" s="231"/>
      <c r="AI251" s="231"/>
      <c r="AJ251" s="231"/>
      <c r="AK251" s="231"/>
      <c r="AL251" s="231"/>
      <c r="AM251" s="231"/>
      <c r="AN251" s="231"/>
    </row>
    <row r="252" spans="1:40" s="203" customFormat="1">
      <c r="A252" s="743">
        <v>9</v>
      </c>
      <c r="B252" s="47" t="s">
        <v>198</v>
      </c>
      <c r="C252" s="47"/>
      <c r="D252" s="47"/>
      <c r="E252" s="49">
        <v>1055.6393468193166</v>
      </c>
      <c r="F252" s="52">
        <v>880</v>
      </c>
      <c r="G252" s="118"/>
      <c r="H252" s="204">
        <v>1091</v>
      </c>
      <c r="I252" s="29"/>
      <c r="J252" s="231"/>
      <c r="K252" s="231"/>
      <c r="L252" s="231"/>
      <c r="M252" s="231"/>
      <c r="N252" s="231"/>
      <c r="O252" s="231"/>
      <c r="P252" s="231"/>
      <c r="Q252" s="231"/>
      <c r="R252" s="231"/>
      <c r="S252" s="231"/>
      <c r="T252" s="231"/>
      <c r="U252" s="231"/>
      <c r="V252" s="231"/>
      <c r="W252" s="231"/>
      <c r="X252" s="231"/>
      <c r="Y252" s="231"/>
      <c r="Z252" s="231"/>
      <c r="AA252" s="231"/>
      <c r="AB252" s="231"/>
      <c r="AC252" s="231"/>
      <c r="AD252" s="231"/>
      <c r="AE252" s="231"/>
      <c r="AF252" s="231"/>
      <c r="AG252" s="231"/>
      <c r="AH252" s="231"/>
      <c r="AI252" s="231"/>
      <c r="AJ252" s="231"/>
      <c r="AK252" s="231"/>
      <c r="AL252" s="231"/>
      <c r="AM252" s="231"/>
      <c r="AN252" s="231"/>
    </row>
    <row r="253" spans="1:40" s="203" customFormat="1">
      <c r="A253" s="743">
        <v>10</v>
      </c>
      <c r="B253" s="47" t="s">
        <v>199</v>
      </c>
      <c r="C253" s="47"/>
      <c r="D253" s="47"/>
      <c r="E253" s="49">
        <v>389.85493885624612</v>
      </c>
      <c r="F253" s="52">
        <v>404</v>
      </c>
      <c r="G253" s="118"/>
      <c r="H253" s="834">
        <v>372</v>
      </c>
      <c r="I253" s="29"/>
      <c r="J253" s="231"/>
      <c r="K253" s="231"/>
      <c r="L253" s="231"/>
      <c r="M253" s="231"/>
      <c r="N253" s="231"/>
      <c r="O253" s="231"/>
      <c r="P253" s="231"/>
      <c r="Q253" s="231"/>
      <c r="R253" s="231"/>
      <c r="S253" s="231"/>
      <c r="T253" s="231"/>
      <c r="U253" s="231"/>
      <c r="V253" s="231"/>
      <c r="W253" s="231"/>
      <c r="X253" s="231"/>
      <c r="Y253" s="231"/>
      <c r="Z253" s="231"/>
      <c r="AA253" s="231"/>
      <c r="AB253" s="231"/>
      <c r="AC253" s="231"/>
      <c r="AD253" s="231"/>
      <c r="AE253" s="231"/>
      <c r="AF253" s="231"/>
      <c r="AG253" s="231"/>
      <c r="AH253" s="231"/>
      <c r="AI253" s="231"/>
      <c r="AJ253" s="231"/>
      <c r="AK253" s="231"/>
      <c r="AL253" s="231"/>
      <c r="AM253" s="231"/>
      <c r="AN253" s="231"/>
    </row>
    <row r="254" spans="1:40" s="203" customFormat="1">
      <c r="A254" s="743">
        <v>11</v>
      </c>
      <c r="B254" s="116" t="s">
        <v>200</v>
      </c>
      <c r="C254" s="116"/>
      <c r="D254" s="116"/>
      <c r="E254" s="80">
        <v>2514.2790237946047</v>
      </c>
      <c r="F254" s="142">
        <f>SUM(F250:F253)</f>
        <v>2373</v>
      </c>
      <c r="G254" s="118"/>
      <c r="H254" s="142">
        <f>SUM(H250:H253)</f>
        <v>2353</v>
      </c>
      <c r="I254" s="260"/>
      <c r="J254" s="231"/>
      <c r="K254" s="231"/>
      <c r="L254" s="231"/>
      <c r="M254" s="231"/>
      <c r="N254" s="231"/>
      <c r="O254" s="231"/>
      <c r="P254" s="231"/>
      <c r="Q254" s="231"/>
      <c r="R254" s="231"/>
      <c r="S254" s="231"/>
      <c r="T254" s="231"/>
      <c r="U254" s="231"/>
      <c r="V254" s="231"/>
      <c r="W254" s="231"/>
      <c r="X254" s="231"/>
      <c r="Y254" s="231"/>
      <c r="Z254" s="231"/>
      <c r="AA254" s="231"/>
      <c r="AB254" s="231"/>
      <c r="AC254" s="231"/>
      <c r="AD254" s="231"/>
      <c r="AE254" s="231"/>
      <c r="AF254" s="231"/>
      <c r="AG254" s="231"/>
      <c r="AH254" s="231"/>
      <c r="AI254" s="231"/>
      <c r="AJ254" s="231"/>
      <c r="AK254" s="231"/>
      <c r="AL254" s="231"/>
      <c r="AM254" s="231"/>
      <c r="AN254" s="231"/>
    </row>
    <row r="255" spans="1:40" s="203" customFormat="1">
      <c r="A255" s="743"/>
      <c r="B255" s="116"/>
      <c r="C255" s="116"/>
      <c r="D255" s="116"/>
      <c r="E255" s="117"/>
      <c r="F255" s="118"/>
      <c r="G255" s="118"/>
      <c r="H255" s="118"/>
      <c r="I255" s="29"/>
      <c r="J255" s="231"/>
      <c r="K255" s="231"/>
      <c r="L255" s="231"/>
      <c r="M255" s="231"/>
      <c r="N255" s="231"/>
      <c r="O255" s="231"/>
      <c r="P255" s="231"/>
      <c r="Q255" s="231"/>
      <c r="R255" s="231"/>
      <c r="S255" s="231"/>
      <c r="T255" s="231"/>
      <c r="U255" s="231"/>
      <c r="V255" s="231"/>
      <c r="W255" s="231"/>
      <c r="X255" s="231"/>
      <c r="Y255" s="231"/>
      <c r="Z255" s="231"/>
      <c r="AA255" s="231"/>
      <c r="AB255" s="231"/>
      <c r="AC255" s="231"/>
      <c r="AD255" s="231"/>
      <c r="AE255" s="231"/>
      <c r="AF255" s="231"/>
      <c r="AG255" s="231"/>
      <c r="AH255" s="231"/>
      <c r="AI255" s="231"/>
      <c r="AJ255" s="231"/>
      <c r="AK255" s="231"/>
      <c r="AL255" s="231"/>
      <c r="AM255" s="231"/>
      <c r="AN255" s="231"/>
    </row>
    <row r="256" spans="1:40" s="203" customFormat="1">
      <c r="A256" s="743">
        <v>12</v>
      </c>
      <c r="B256" s="47" t="s">
        <v>201</v>
      </c>
      <c r="C256" s="47"/>
      <c r="D256" s="47"/>
      <c r="E256" s="176">
        <v>1127.3995070309516</v>
      </c>
      <c r="F256" s="136">
        <v>1075</v>
      </c>
      <c r="G256" s="118"/>
      <c r="H256" s="136">
        <v>913</v>
      </c>
      <c r="I256" s="260"/>
      <c r="J256" s="231"/>
      <c r="K256" s="231"/>
      <c r="L256" s="231"/>
      <c r="M256" s="231"/>
      <c r="N256" s="231"/>
      <c r="O256" s="231"/>
      <c r="P256" s="231"/>
      <c r="Q256" s="231"/>
      <c r="R256" s="231"/>
      <c r="S256" s="231"/>
      <c r="T256" s="231"/>
      <c r="U256" s="231"/>
      <c r="V256" s="231"/>
      <c r="W256" s="231"/>
      <c r="X256" s="231"/>
      <c r="Y256" s="231"/>
      <c r="Z256" s="231"/>
      <c r="AA256" s="231"/>
      <c r="AB256" s="231"/>
      <c r="AC256" s="231"/>
      <c r="AD256" s="231"/>
      <c r="AE256" s="231"/>
      <c r="AF256" s="231"/>
      <c r="AG256" s="231"/>
      <c r="AH256" s="231"/>
      <c r="AI256" s="231"/>
      <c r="AJ256" s="231"/>
      <c r="AK256" s="231"/>
      <c r="AL256" s="231"/>
      <c r="AM256" s="231"/>
      <c r="AN256" s="231"/>
    </row>
    <row r="257" spans="1:40" s="203" customFormat="1">
      <c r="A257" s="124">
        <v>13</v>
      </c>
      <c r="B257" s="94" t="s">
        <v>202</v>
      </c>
      <c r="C257" s="94"/>
      <c r="D257" s="94"/>
      <c r="E257" s="159">
        <v>4328.7386880090307</v>
      </c>
      <c r="F257" s="61">
        <f>F242+F247+F254+F256</f>
        <v>4296</v>
      </c>
      <c r="G257" s="118"/>
      <c r="H257" s="61">
        <f>H242+H247+H254+H256</f>
        <v>4061</v>
      </c>
      <c r="I257" s="21"/>
      <c r="J257" s="231"/>
      <c r="K257" s="231"/>
      <c r="L257" s="231"/>
      <c r="M257" s="231"/>
      <c r="N257" s="231"/>
      <c r="O257" s="231"/>
      <c r="P257" s="231"/>
      <c r="Q257" s="231"/>
      <c r="R257" s="231"/>
      <c r="S257" s="231"/>
      <c r="T257" s="231"/>
      <c r="U257" s="231"/>
      <c r="V257" s="231"/>
      <c r="W257" s="231"/>
      <c r="X257" s="231"/>
      <c r="Y257" s="231"/>
      <c r="Z257" s="231"/>
      <c r="AA257" s="231"/>
      <c r="AB257" s="231"/>
      <c r="AC257" s="231"/>
      <c r="AD257" s="231"/>
      <c r="AE257" s="231"/>
      <c r="AF257" s="231"/>
      <c r="AG257" s="231"/>
      <c r="AH257" s="231"/>
      <c r="AI257" s="231"/>
      <c r="AJ257" s="231"/>
      <c r="AK257" s="231"/>
      <c r="AL257" s="231"/>
      <c r="AM257" s="231"/>
      <c r="AN257" s="231"/>
    </row>
    <row r="258" spans="1:40" s="203" customFormat="1">
      <c r="A258" s="207"/>
      <c r="B258" s="207"/>
      <c r="C258" s="207"/>
      <c r="D258" s="208"/>
      <c r="E258" s="208"/>
      <c r="F258" s="207"/>
      <c r="G258" s="207"/>
      <c r="H258" s="207"/>
      <c r="I258" s="21"/>
      <c r="J258" s="231"/>
      <c r="K258" s="231"/>
      <c r="L258" s="231"/>
      <c r="M258" s="231"/>
      <c r="N258" s="231"/>
      <c r="O258" s="231"/>
      <c r="P258" s="231"/>
      <c r="Q258" s="231"/>
      <c r="R258" s="231"/>
      <c r="S258" s="231"/>
      <c r="T258" s="231"/>
      <c r="U258" s="231"/>
      <c r="V258" s="231"/>
      <c r="W258" s="231"/>
      <c r="X258" s="231"/>
      <c r="Y258" s="231"/>
      <c r="Z258" s="231"/>
      <c r="AA258" s="231"/>
      <c r="AB258" s="231"/>
      <c r="AC258" s="231"/>
      <c r="AD258" s="231"/>
      <c r="AE258" s="231"/>
      <c r="AF258" s="231"/>
      <c r="AG258" s="231"/>
      <c r="AH258" s="231"/>
      <c r="AI258" s="231"/>
      <c r="AJ258" s="231"/>
      <c r="AK258" s="231"/>
      <c r="AL258" s="231"/>
      <c r="AM258" s="231"/>
      <c r="AN258" s="231"/>
    </row>
    <row r="259" spans="1:40" s="203" customFormat="1">
      <c r="A259" s="23"/>
      <c r="B259" s="207"/>
      <c r="C259" s="207"/>
      <c r="D259" s="207"/>
      <c r="E259" s="207"/>
      <c r="F259" s="207"/>
      <c r="G259" s="207"/>
      <c r="H259" s="21"/>
      <c r="I259" s="21"/>
      <c r="J259" s="231"/>
      <c r="K259" s="231"/>
      <c r="L259" s="231"/>
      <c r="M259" s="231"/>
      <c r="N259" s="231"/>
      <c r="O259" s="231"/>
      <c r="P259" s="231"/>
      <c r="Q259" s="231"/>
      <c r="R259" s="231"/>
      <c r="S259" s="231"/>
      <c r="T259" s="231"/>
      <c r="U259" s="231"/>
      <c r="V259" s="231"/>
      <c r="W259" s="231"/>
      <c r="X259" s="231"/>
      <c r="Y259" s="231"/>
      <c r="Z259" s="231"/>
      <c r="AA259" s="231"/>
      <c r="AB259" s="231"/>
      <c r="AC259" s="231"/>
      <c r="AD259" s="231"/>
      <c r="AE259" s="231"/>
      <c r="AF259" s="231"/>
      <c r="AG259" s="231"/>
      <c r="AH259" s="231"/>
      <c r="AI259" s="231"/>
      <c r="AJ259" s="231"/>
      <c r="AK259" s="231"/>
      <c r="AL259" s="231"/>
      <c r="AM259" s="231"/>
      <c r="AN259" s="231"/>
    </row>
    <row r="260" spans="1:40" s="203" customFormat="1">
      <c r="A260" s="148"/>
      <c r="B260" s="29"/>
      <c r="C260" s="29"/>
      <c r="D260" s="172"/>
      <c r="E260" s="152"/>
      <c r="F260" s="29"/>
      <c r="G260" s="29"/>
      <c r="H260" s="131" t="s">
        <v>27</v>
      </c>
      <c r="I260" s="21"/>
      <c r="J260" s="231"/>
      <c r="K260" s="231"/>
      <c r="L260" s="231"/>
      <c r="M260" s="231"/>
      <c r="N260" s="231"/>
      <c r="O260" s="231"/>
      <c r="P260" s="231"/>
      <c r="Q260" s="231"/>
      <c r="R260" s="231"/>
      <c r="S260" s="231"/>
      <c r="T260" s="231"/>
      <c r="U260" s="231"/>
      <c r="V260" s="231"/>
      <c r="W260" s="231"/>
      <c r="X260" s="231"/>
      <c r="Y260" s="231"/>
      <c r="Z260" s="231"/>
      <c r="AA260" s="231"/>
      <c r="AB260" s="231"/>
      <c r="AC260" s="231"/>
      <c r="AD260" s="231"/>
      <c r="AE260" s="231"/>
      <c r="AF260" s="231"/>
      <c r="AG260" s="231"/>
      <c r="AH260" s="231"/>
      <c r="AI260" s="231"/>
      <c r="AJ260" s="231"/>
      <c r="AK260" s="231"/>
      <c r="AL260" s="231"/>
      <c r="AM260" s="231"/>
      <c r="AN260" s="231"/>
    </row>
    <row r="261" spans="1:40" s="203" customFormat="1" ht="12.75" customHeight="1">
      <c r="A261" s="106" t="s">
        <v>15</v>
      </c>
      <c r="B261" s="164"/>
      <c r="C261" s="164"/>
      <c r="D261" s="164"/>
      <c r="E261" s="856" t="s">
        <v>377</v>
      </c>
      <c r="F261" s="856" t="s">
        <v>402</v>
      </c>
      <c r="G261" s="130"/>
      <c r="H261" s="856" t="s">
        <v>403</v>
      </c>
      <c r="I261" s="21"/>
      <c r="J261" s="231"/>
      <c r="K261" s="231"/>
      <c r="L261" s="231"/>
      <c r="M261" s="231"/>
      <c r="N261" s="231"/>
      <c r="O261" s="231"/>
      <c r="P261" s="231"/>
      <c r="Q261" s="231"/>
      <c r="R261" s="231"/>
      <c r="S261" s="231"/>
      <c r="T261" s="231"/>
      <c r="U261" s="231"/>
      <c r="V261" s="231"/>
      <c r="W261" s="231"/>
      <c r="X261" s="231"/>
      <c r="Y261" s="231"/>
      <c r="Z261" s="231"/>
      <c r="AA261" s="231"/>
      <c r="AB261" s="231"/>
      <c r="AC261" s="231"/>
      <c r="AD261" s="231"/>
      <c r="AE261" s="231"/>
      <c r="AF261" s="231"/>
      <c r="AG261" s="231"/>
      <c r="AH261" s="231"/>
      <c r="AI261" s="231"/>
      <c r="AJ261" s="231"/>
      <c r="AK261" s="231"/>
      <c r="AL261" s="231"/>
      <c r="AM261" s="231"/>
      <c r="AN261" s="231"/>
    </row>
    <row r="262" spans="1:40" s="203" customFormat="1">
      <c r="A262" s="165"/>
      <c r="B262" s="47"/>
      <c r="C262" s="47"/>
      <c r="D262" s="47"/>
      <c r="E262" s="859"/>
      <c r="F262" s="859"/>
      <c r="G262" s="130"/>
      <c r="H262" s="859"/>
      <c r="I262" s="21"/>
      <c r="J262" s="231"/>
      <c r="K262" s="231"/>
      <c r="L262" s="231"/>
      <c r="M262" s="231"/>
      <c r="N262" s="231"/>
      <c r="O262" s="231"/>
      <c r="P262" s="231"/>
      <c r="Q262" s="231"/>
      <c r="R262" s="231"/>
      <c r="S262" s="231"/>
      <c r="T262" s="231"/>
      <c r="U262" s="231"/>
      <c r="V262" s="231"/>
      <c r="W262" s="231"/>
      <c r="X262" s="231"/>
      <c r="Y262" s="231"/>
      <c r="Z262" s="231"/>
      <c r="AA262" s="231"/>
      <c r="AB262" s="231"/>
      <c r="AC262" s="231"/>
      <c r="AD262" s="231"/>
      <c r="AE262" s="231"/>
      <c r="AF262" s="231"/>
      <c r="AG262" s="231"/>
      <c r="AH262" s="231"/>
      <c r="AI262" s="231"/>
      <c r="AJ262" s="231"/>
      <c r="AK262" s="231"/>
      <c r="AL262" s="231"/>
      <c r="AM262" s="231"/>
      <c r="AN262" s="231"/>
    </row>
    <row r="263" spans="1:40" s="203" customFormat="1">
      <c r="A263" s="109"/>
      <c r="B263" s="174"/>
      <c r="C263" s="174"/>
      <c r="D263" s="174"/>
      <c r="E263" s="859"/>
      <c r="F263" s="859"/>
      <c r="G263" s="130"/>
      <c r="H263" s="859"/>
      <c r="I263" s="21"/>
      <c r="J263" s="231"/>
      <c r="K263" s="231"/>
      <c r="L263" s="231"/>
      <c r="M263" s="231"/>
      <c r="N263" s="231"/>
      <c r="O263" s="231"/>
      <c r="P263" s="231"/>
      <c r="Q263" s="231"/>
      <c r="R263" s="231"/>
      <c r="S263" s="231"/>
      <c r="T263" s="231"/>
      <c r="U263" s="231"/>
      <c r="V263" s="231"/>
      <c r="W263" s="231"/>
      <c r="X263" s="231"/>
      <c r="Y263" s="231"/>
      <c r="Z263" s="231"/>
      <c r="AA263" s="231"/>
      <c r="AB263" s="231"/>
      <c r="AC263" s="231"/>
      <c r="AD263" s="231"/>
      <c r="AE263" s="231"/>
      <c r="AF263" s="231"/>
      <c r="AG263" s="231"/>
      <c r="AH263" s="231"/>
      <c r="AI263" s="231"/>
      <c r="AJ263" s="231"/>
      <c r="AK263" s="231"/>
      <c r="AL263" s="231"/>
      <c r="AM263" s="231"/>
      <c r="AN263" s="231"/>
    </row>
    <row r="264" spans="1:40" s="203" customFormat="1">
      <c r="A264" s="154" t="s">
        <v>203</v>
      </c>
      <c r="B264" s="47"/>
      <c r="C264" s="47"/>
      <c r="D264" s="47"/>
      <c r="E264" s="859"/>
      <c r="F264" s="859"/>
      <c r="G264" s="130"/>
      <c r="H264" s="859"/>
      <c r="I264" s="21"/>
      <c r="J264" s="231"/>
      <c r="K264" s="231"/>
      <c r="L264" s="231"/>
      <c r="M264" s="231"/>
      <c r="N264" s="231"/>
      <c r="O264" s="231"/>
      <c r="P264" s="231"/>
      <c r="Q264" s="231"/>
      <c r="R264" s="231"/>
      <c r="S264" s="231"/>
      <c r="T264" s="231"/>
      <c r="U264" s="231"/>
      <c r="V264" s="231"/>
      <c r="W264" s="231"/>
      <c r="X264" s="231"/>
      <c r="Y264" s="231"/>
      <c r="Z264" s="231"/>
      <c r="AA264" s="231"/>
      <c r="AB264" s="231"/>
      <c r="AC264" s="231"/>
      <c r="AD264" s="231"/>
      <c r="AE264" s="231"/>
      <c r="AF264" s="231"/>
      <c r="AG264" s="231"/>
      <c r="AH264" s="231"/>
      <c r="AI264" s="231"/>
      <c r="AJ264" s="231"/>
      <c r="AK264" s="231"/>
      <c r="AL264" s="231"/>
      <c r="AM264" s="231"/>
      <c r="AN264" s="231"/>
    </row>
    <row r="265" spans="1:40" s="203" customFormat="1">
      <c r="A265" s="109" t="s">
        <v>83</v>
      </c>
      <c r="B265" s="174"/>
      <c r="C265" s="174"/>
      <c r="D265" s="174"/>
      <c r="E265" s="860"/>
      <c r="F265" s="860"/>
      <c r="G265" s="130"/>
      <c r="H265" s="860"/>
      <c r="I265" s="21"/>
      <c r="J265" s="231"/>
      <c r="K265" s="231"/>
      <c r="L265" s="231"/>
      <c r="M265" s="231"/>
      <c r="N265" s="231"/>
      <c r="O265" s="231"/>
      <c r="P265" s="231"/>
      <c r="Q265" s="231"/>
      <c r="R265" s="231"/>
      <c r="S265" s="231"/>
      <c r="T265" s="231"/>
      <c r="U265" s="231"/>
      <c r="V265" s="231"/>
      <c r="W265" s="231"/>
      <c r="X265" s="231"/>
      <c r="Y265" s="231"/>
      <c r="Z265" s="231"/>
      <c r="AA265" s="231"/>
      <c r="AB265" s="231"/>
      <c r="AC265" s="231"/>
      <c r="AD265" s="231"/>
      <c r="AE265" s="231"/>
      <c r="AF265" s="231"/>
      <c r="AG265" s="231"/>
      <c r="AH265" s="231"/>
      <c r="AI265" s="231"/>
      <c r="AJ265" s="231"/>
      <c r="AK265" s="231"/>
      <c r="AL265" s="231"/>
      <c r="AM265" s="231"/>
      <c r="AN265" s="231"/>
    </row>
    <row r="266" spans="1:40" s="203" customFormat="1">
      <c r="A266" s="110" t="s">
        <v>84</v>
      </c>
      <c r="B266" s="116"/>
      <c r="C266" s="116"/>
      <c r="D266" s="116"/>
      <c r="E266" s="178"/>
      <c r="F266" s="146"/>
      <c r="G266" s="118"/>
      <c r="H266" s="146"/>
      <c r="I266" s="21"/>
      <c r="J266" s="231"/>
      <c r="K266" s="231"/>
      <c r="L266" s="231"/>
      <c r="M266" s="231"/>
      <c r="N266" s="231"/>
      <c r="O266" s="231"/>
      <c r="P266" s="231"/>
      <c r="Q266" s="231"/>
      <c r="R266" s="231"/>
      <c r="S266" s="231"/>
      <c r="T266" s="231"/>
      <c r="U266" s="231"/>
      <c r="V266" s="231"/>
      <c r="W266" s="231"/>
      <c r="X266" s="231"/>
      <c r="Y266" s="231"/>
      <c r="Z266" s="231"/>
      <c r="AA266" s="231"/>
      <c r="AB266" s="231"/>
      <c r="AC266" s="231"/>
      <c r="AD266" s="231"/>
      <c r="AE266" s="231"/>
      <c r="AF266" s="231"/>
      <c r="AG266" s="231"/>
      <c r="AH266" s="231"/>
      <c r="AI266" s="231"/>
      <c r="AJ266" s="231"/>
      <c r="AK266" s="231"/>
      <c r="AL266" s="231"/>
      <c r="AM266" s="231"/>
      <c r="AN266" s="231"/>
    </row>
    <row r="267" spans="1:40" s="203" customFormat="1">
      <c r="A267" s="120">
        <v>1</v>
      </c>
      <c r="B267" s="47" t="s">
        <v>204</v>
      </c>
      <c r="C267" s="47"/>
      <c r="D267" s="47"/>
      <c r="E267" s="74">
        <v>0</v>
      </c>
      <c r="F267" s="52">
        <v>0</v>
      </c>
      <c r="G267" s="118"/>
      <c r="H267" s="52">
        <v>0</v>
      </c>
      <c r="I267" s="21"/>
      <c r="J267" s="231"/>
      <c r="K267" s="231"/>
      <c r="L267" s="231"/>
      <c r="M267" s="231"/>
      <c r="N267" s="231"/>
      <c r="O267" s="231"/>
      <c r="P267" s="231"/>
      <c r="Q267" s="231"/>
      <c r="R267" s="231"/>
      <c r="S267" s="231"/>
      <c r="T267" s="231"/>
      <c r="U267" s="231"/>
      <c r="V267" s="231"/>
      <c r="W267" s="231"/>
      <c r="X267" s="231"/>
      <c r="Y267" s="231"/>
      <c r="Z267" s="231"/>
      <c r="AA267" s="231"/>
      <c r="AB267" s="231"/>
      <c r="AC267" s="231"/>
      <c r="AD267" s="231"/>
      <c r="AE267" s="231"/>
      <c r="AF267" s="231"/>
      <c r="AG267" s="231"/>
      <c r="AH267" s="231"/>
      <c r="AI267" s="231"/>
      <c r="AJ267" s="231"/>
      <c r="AK267" s="231"/>
      <c r="AL267" s="231"/>
      <c r="AM267" s="231"/>
      <c r="AN267" s="231"/>
    </row>
    <row r="268" spans="1:40" s="203" customFormat="1">
      <c r="A268" s="743">
        <v>2</v>
      </c>
      <c r="B268" s="166" t="s">
        <v>205</v>
      </c>
      <c r="C268" s="166"/>
      <c r="D268" s="47"/>
      <c r="E268" s="114">
        <v>12.9980300873545</v>
      </c>
      <c r="F268" s="52">
        <v>0</v>
      </c>
      <c r="G268" s="118"/>
      <c r="H268" s="52">
        <v>0</v>
      </c>
      <c r="I268" s="21"/>
      <c r="J268" s="231"/>
      <c r="K268" s="231"/>
      <c r="L268" s="231"/>
      <c r="M268" s="231"/>
      <c r="N268" s="231"/>
      <c r="O268" s="231"/>
      <c r="P268" s="231"/>
      <c r="Q268" s="231"/>
      <c r="R268" s="231"/>
      <c r="S268" s="231"/>
      <c r="T268" s="231"/>
      <c r="U268" s="231"/>
      <c r="V268" s="231"/>
      <c r="W268" s="231"/>
      <c r="X268" s="231"/>
      <c r="Y268" s="231"/>
      <c r="Z268" s="231"/>
      <c r="AA268" s="231"/>
      <c r="AB268" s="231"/>
      <c r="AC268" s="231"/>
      <c r="AD268" s="231"/>
      <c r="AE268" s="231"/>
      <c r="AF268" s="231"/>
      <c r="AG268" s="231"/>
      <c r="AH268" s="231"/>
      <c r="AI268" s="231"/>
      <c r="AJ268" s="231"/>
      <c r="AK268" s="231"/>
      <c r="AL268" s="231"/>
      <c r="AM268" s="231"/>
      <c r="AN268" s="231"/>
    </row>
    <row r="269" spans="1:40" s="203" customFormat="1">
      <c r="A269" s="120">
        <v>3</v>
      </c>
      <c r="B269" s="47" t="s">
        <v>206</v>
      </c>
      <c r="C269" s="47"/>
      <c r="D269" s="168"/>
      <c r="E269" s="114">
        <v>0</v>
      </c>
      <c r="F269" s="52">
        <v>0</v>
      </c>
      <c r="G269" s="118"/>
      <c r="H269" s="52">
        <v>0</v>
      </c>
      <c r="I269" s="21"/>
      <c r="J269" s="231"/>
      <c r="K269" s="231"/>
      <c r="L269" s="231"/>
      <c r="M269" s="231"/>
      <c r="N269" s="231"/>
      <c r="O269" s="231"/>
      <c r="P269" s="231"/>
      <c r="Q269" s="231"/>
      <c r="R269" s="231"/>
      <c r="S269" s="231"/>
      <c r="T269" s="231"/>
      <c r="U269" s="231"/>
      <c r="V269" s="231"/>
      <c r="W269" s="231"/>
      <c r="X269" s="231"/>
      <c r="Y269" s="231"/>
      <c r="Z269" s="231"/>
      <c r="AA269" s="231"/>
      <c r="AB269" s="231"/>
      <c r="AC269" s="231"/>
      <c r="AD269" s="231"/>
      <c r="AE269" s="231"/>
      <c r="AF269" s="231"/>
      <c r="AG269" s="231"/>
      <c r="AH269" s="231"/>
      <c r="AI269" s="231"/>
      <c r="AJ269" s="231"/>
      <c r="AK269" s="231"/>
      <c r="AL269" s="231"/>
      <c r="AM269" s="231"/>
      <c r="AN269" s="231"/>
    </row>
    <row r="270" spans="1:40" s="203" customFormat="1">
      <c r="A270" s="743">
        <v>4</v>
      </c>
      <c r="B270" s="47" t="s">
        <v>207</v>
      </c>
      <c r="C270" s="47"/>
      <c r="D270" s="116"/>
      <c r="E270" s="114">
        <v>0</v>
      </c>
      <c r="F270" s="52">
        <v>0</v>
      </c>
      <c r="G270" s="118"/>
      <c r="H270" s="52">
        <v>0</v>
      </c>
      <c r="I270" s="21"/>
      <c r="J270" s="231"/>
      <c r="K270" s="231"/>
      <c r="L270" s="231"/>
      <c r="M270" s="231"/>
      <c r="N270" s="231"/>
      <c r="O270" s="231"/>
      <c r="P270" s="231"/>
      <c r="Q270" s="231"/>
      <c r="R270" s="231"/>
      <c r="S270" s="231"/>
      <c r="T270" s="231"/>
      <c r="U270" s="231"/>
      <c r="V270" s="231"/>
      <c r="W270" s="231"/>
      <c r="X270" s="231"/>
      <c r="Y270" s="231"/>
      <c r="Z270" s="231"/>
      <c r="AA270" s="231"/>
      <c r="AB270" s="231"/>
      <c r="AC270" s="231"/>
      <c r="AD270" s="231"/>
      <c r="AE270" s="231"/>
      <c r="AF270" s="231"/>
      <c r="AG270" s="231"/>
      <c r="AH270" s="231"/>
      <c r="AI270" s="231"/>
      <c r="AJ270" s="231"/>
      <c r="AK270" s="231"/>
      <c r="AL270" s="231"/>
      <c r="AM270" s="231"/>
      <c r="AN270" s="231"/>
    </row>
    <row r="271" spans="1:40" s="203" customFormat="1">
      <c r="A271" s="120">
        <v>5</v>
      </c>
      <c r="B271" s="47" t="s">
        <v>208</v>
      </c>
      <c r="C271" s="47"/>
      <c r="D271" s="47"/>
      <c r="E271" s="114">
        <v>117.95062402769841</v>
      </c>
      <c r="F271" s="52">
        <v>168</v>
      </c>
      <c r="G271" s="118"/>
      <c r="H271" s="52">
        <v>383</v>
      </c>
      <c r="I271" s="21"/>
      <c r="J271" s="231"/>
      <c r="K271" s="231"/>
      <c r="L271" s="231"/>
      <c r="M271" s="231"/>
      <c r="N271" s="231"/>
      <c r="O271" s="231"/>
      <c r="P271" s="231"/>
      <c r="Q271" s="231"/>
      <c r="R271" s="231"/>
      <c r="S271" s="231"/>
      <c r="T271" s="231"/>
      <c r="U271" s="231"/>
      <c r="V271" s="231"/>
      <c r="W271" s="231"/>
      <c r="X271" s="231"/>
      <c r="Y271" s="231"/>
      <c r="Z271" s="231"/>
      <c r="AA271" s="231"/>
      <c r="AB271" s="231"/>
      <c r="AC271" s="231"/>
      <c r="AD271" s="231"/>
      <c r="AE271" s="231"/>
      <c r="AF271" s="231"/>
      <c r="AG271" s="231"/>
      <c r="AH271" s="231"/>
      <c r="AI271" s="231"/>
      <c r="AJ271" s="231"/>
      <c r="AK271" s="231"/>
      <c r="AL271" s="231"/>
      <c r="AM271" s="231"/>
      <c r="AN271" s="231"/>
    </row>
    <row r="272" spans="1:40" s="203" customFormat="1">
      <c r="A272" s="743">
        <v>6</v>
      </c>
      <c r="B272" s="47" t="s">
        <v>209</v>
      </c>
      <c r="C272" s="47"/>
      <c r="D272" s="47"/>
      <c r="E272" s="114">
        <v>1015.2837530366794</v>
      </c>
      <c r="F272" s="52">
        <v>627</v>
      </c>
      <c r="G272" s="118"/>
      <c r="H272" s="52">
        <v>454</v>
      </c>
      <c r="I272" s="21"/>
      <c r="J272" s="231"/>
      <c r="K272" s="231"/>
      <c r="L272" s="231"/>
      <c r="M272" s="231"/>
      <c r="N272" s="231"/>
      <c r="O272" s="231"/>
      <c r="P272" s="231"/>
      <c r="Q272" s="231"/>
      <c r="R272" s="231"/>
      <c r="S272" s="231"/>
      <c r="T272" s="231"/>
      <c r="U272" s="231"/>
      <c r="V272" s="231"/>
      <c r="W272" s="231"/>
      <c r="X272" s="231"/>
      <c r="Y272" s="231"/>
      <c r="Z272" s="231"/>
      <c r="AA272" s="231"/>
      <c r="AB272" s="231"/>
      <c r="AC272" s="231"/>
      <c r="AD272" s="231"/>
      <c r="AE272" s="231"/>
      <c r="AF272" s="231"/>
      <c r="AG272" s="231"/>
      <c r="AH272" s="231"/>
      <c r="AI272" s="231"/>
      <c r="AJ272" s="231"/>
      <c r="AK272" s="231"/>
      <c r="AL272" s="231"/>
      <c r="AM272" s="231"/>
      <c r="AN272" s="231"/>
    </row>
    <row r="273" spans="1:40" s="203" customFormat="1">
      <c r="A273" s="120">
        <v>7</v>
      </c>
      <c r="B273" s="47" t="s">
        <v>210</v>
      </c>
      <c r="C273" s="47"/>
      <c r="D273" s="47"/>
      <c r="E273" s="114">
        <v>217.35761506924101</v>
      </c>
      <c r="F273" s="52">
        <v>-321</v>
      </c>
      <c r="G273" s="118"/>
      <c r="H273" s="204">
        <v>137</v>
      </c>
      <c r="I273" s="21"/>
      <c r="J273" s="231"/>
      <c r="K273" s="231"/>
      <c r="L273" s="231"/>
      <c r="M273" s="231"/>
      <c r="N273" s="231"/>
      <c r="O273" s="231"/>
      <c r="P273" s="231"/>
      <c r="Q273" s="231"/>
      <c r="R273" s="231"/>
      <c r="S273" s="231"/>
      <c r="T273" s="231"/>
      <c r="U273" s="231"/>
      <c r="V273" s="231"/>
      <c r="W273" s="231"/>
      <c r="X273" s="231"/>
      <c r="Y273" s="231"/>
      <c r="Z273" s="231"/>
      <c r="AA273" s="231"/>
      <c r="AB273" s="231"/>
      <c r="AC273" s="231"/>
      <c r="AD273" s="231"/>
      <c r="AE273" s="231"/>
      <c r="AF273" s="231"/>
      <c r="AG273" s="231"/>
      <c r="AH273" s="231"/>
      <c r="AI273" s="231"/>
      <c r="AJ273" s="231"/>
      <c r="AK273" s="231"/>
      <c r="AL273" s="231"/>
      <c r="AM273" s="231"/>
      <c r="AN273" s="231"/>
    </row>
    <row r="274" spans="1:40" s="203" customFormat="1">
      <c r="A274" s="743">
        <v>8</v>
      </c>
      <c r="B274" s="47" t="s">
        <v>211</v>
      </c>
      <c r="C274" s="47"/>
      <c r="D274" s="47"/>
      <c r="E274" s="114">
        <v>71.17461315233578</v>
      </c>
      <c r="F274" s="52">
        <v>82</v>
      </c>
      <c r="G274" s="118"/>
      <c r="H274" s="52">
        <v>130</v>
      </c>
      <c r="I274" s="21"/>
      <c r="J274" s="231"/>
      <c r="K274" s="231"/>
      <c r="L274" s="231"/>
      <c r="M274" s="231"/>
      <c r="N274" s="231"/>
      <c r="O274" s="231"/>
      <c r="P274" s="231"/>
      <c r="Q274" s="231"/>
      <c r="R274" s="231"/>
      <c r="S274" s="231"/>
      <c r="T274" s="231"/>
      <c r="U274" s="231"/>
      <c r="V274" s="231"/>
      <c r="W274" s="231"/>
      <c r="X274" s="231"/>
      <c r="Y274" s="231"/>
      <c r="Z274" s="231"/>
      <c r="AA274" s="231"/>
      <c r="AB274" s="231"/>
      <c r="AC274" s="231"/>
      <c r="AD274" s="231"/>
      <c r="AE274" s="231"/>
      <c r="AF274" s="231"/>
      <c r="AG274" s="231"/>
      <c r="AH274" s="231"/>
      <c r="AI274" s="231"/>
      <c r="AJ274" s="231"/>
      <c r="AK274" s="231"/>
      <c r="AL274" s="231"/>
      <c r="AM274" s="231"/>
      <c r="AN274" s="231"/>
    </row>
    <row r="275" spans="1:40" s="203" customFormat="1">
      <c r="A275" s="120">
        <v>9</v>
      </c>
      <c r="B275" s="47" t="s">
        <v>212</v>
      </c>
      <c r="C275" s="47"/>
      <c r="D275" s="47"/>
      <c r="E275" s="114">
        <v>42.114023397361777</v>
      </c>
      <c r="F275" s="52">
        <v>3</v>
      </c>
      <c r="G275" s="118"/>
      <c r="H275" s="204">
        <v>-12</v>
      </c>
      <c r="I275" s="21"/>
      <c r="J275" s="231"/>
      <c r="K275" s="231"/>
      <c r="L275" s="231"/>
      <c r="M275" s="231"/>
      <c r="N275" s="231"/>
      <c r="O275" s="231"/>
      <c r="P275" s="231"/>
      <c r="Q275" s="231"/>
      <c r="R275" s="231"/>
      <c r="S275" s="231"/>
      <c r="T275" s="231"/>
      <c r="U275" s="231"/>
      <c r="V275" s="231"/>
      <c r="W275" s="231"/>
      <c r="X275" s="231"/>
      <c r="Y275" s="231"/>
      <c r="Z275" s="231"/>
      <c r="AA275" s="231"/>
      <c r="AB275" s="231"/>
      <c r="AC275" s="231"/>
      <c r="AD275" s="231"/>
      <c r="AE275" s="231"/>
      <c r="AF275" s="231"/>
      <c r="AG275" s="231"/>
      <c r="AH275" s="231"/>
      <c r="AI275" s="231"/>
      <c r="AJ275" s="231"/>
      <c r="AK275" s="231"/>
      <c r="AL275" s="231"/>
      <c r="AM275" s="231"/>
      <c r="AN275" s="231"/>
    </row>
    <row r="276" spans="1:40" s="203" customFormat="1">
      <c r="A276" s="743">
        <v>10</v>
      </c>
      <c r="B276" s="47" t="s">
        <v>213</v>
      </c>
      <c r="C276" s="47"/>
      <c r="D276" s="47"/>
      <c r="E276" s="114">
        <v>198.06268266809914</v>
      </c>
      <c r="F276" s="126">
        <v>224</v>
      </c>
      <c r="G276" s="118"/>
      <c r="H276" s="126">
        <v>142</v>
      </c>
      <c r="I276" s="21"/>
      <c r="J276" s="231"/>
      <c r="K276" s="231"/>
      <c r="L276" s="231"/>
      <c r="M276" s="231"/>
      <c r="N276" s="231"/>
      <c r="O276" s="231"/>
      <c r="P276" s="231"/>
      <c r="Q276" s="231"/>
      <c r="R276" s="231"/>
      <c r="S276" s="231"/>
      <c r="T276" s="231"/>
      <c r="U276" s="231"/>
      <c r="V276" s="231"/>
      <c r="W276" s="231"/>
      <c r="X276" s="231"/>
      <c r="Y276" s="231"/>
      <c r="Z276" s="231"/>
      <c r="AA276" s="231"/>
      <c r="AB276" s="231"/>
      <c r="AC276" s="231"/>
      <c r="AD276" s="231"/>
      <c r="AE276" s="231"/>
      <c r="AF276" s="231"/>
      <c r="AG276" s="231"/>
      <c r="AH276" s="231"/>
      <c r="AI276" s="231"/>
      <c r="AJ276" s="231"/>
      <c r="AK276" s="231"/>
      <c r="AL276" s="231"/>
      <c r="AM276" s="231"/>
      <c r="AN276" s="231"/>
    </row>
    <row r="277" spans="1:40" s="203" customFormat="1">
      <c r="A277" s="124">
        <v>11</v>
      </c>
      <c r="B277" s="94" t="s">
        <v>214</v>
      </c>
      <c r="C277" s="94"/>
      <c r="D277" s="94"/>
      <c r="E277" s="159">
        <v>1674.94134143877</v>
      </c>
      <c r="F277" s="61">
        <f>SUM(F267:F276)</f>
        <v>783</v>
      </c>
      <c r="G277" s="118"/>
      <c r="H277" s="61">
        <f>SUM(H267:H276)</f>
        <v>1234</v>
      </c>
      <c r="I277" s="21"/>
      <c r="J277" s="231"/>
      <c r="K277" s="231"/>
      <c r="L277" s="231"/>
      <c r="M277" s="231"/>
      <c r="N277" s="231"/>
      <c r="O277" s="231"/>
      <c r="P277" s="231"/>
      <c r="Q277" s="231"/>
      <c r="R277" s="231"/>
      <c r="S277" s="231"/>
      <c r="T277" s="231"/>
      <c r="U277" s="231"/>
      <c r="V277" s="231"/>
      <c r="W277" s="231"/>
      <c r="X277" s="231"/>
      <c r="Y277" s="231"/>
      <c r="Z277" s="231"/>
      <c r="AA277" s="231"/>
      <c r="AB277" s="231"/>
      <c r="AC277" s="231"/>
      <c r="AD277" s="231"/>
      <c r="AE277" s="231"/>
      <c r="AF277" s="231"/>
      <c r="AG277" s="231"/>
      <c r="AH277" s="231"/>
      <c r="AI277" s="231"/>
      <c r="AJ277" s="231"/>
      <c r="AK277" s="231"/>
      <c r="AL277" s="231"/>
      <c r="AM277" s="231"/>
      <c r="AN277" s="231"/>
    </row>
    <row r="278" spans="1:40" s="203" customFormat="1">
      <c r="A278" s="207"/>
      <c r="B278" s="207"/>
      <c r="C278" s="207"/>
      <c r="D278" s="207"/>
      <c r="E278" s="207"/>
      <c r="F278" s="207"/>
      <c r="G278" s="207"/>
      <c r="H278" s="207"/>
      <c r="I278" s="21"/>
      <c r="J278" s="231"/>
      <c r="K278" s="231"/>
      <c r="L278" s="231"/>
      <c r="M278" s="231"/>
      <c r="N278" s="231"/>
      <c r="O278" s="231"/>
      <c r="P278" s="231"/>
      <c r="Q278" s="231"/>
      <c r="R278" s="231"/>
      <c r="S278" s="231"/>
      <c r="T278" s="231"/>
      <c r="U278" s="231"/>
      <c r="V278" s="231"/>
      <c r="W278" s="231"/>
      <c r="X278" s="231"/>
      <c r="Y278" s="231"/>
      <c r="Z278" s="231"/>
      <c r="AA278" s="231"/>
      <c r="AB278" s="231"/>
      <c r="AC278" s="231"/>
      <c r="AD278" s="231"/>
      <c r="AE278" s="231"/>
      <c r="AF278" s="231"/>
      <c r="AG278" s="231"/>
      <c r="AH278" s="231"/>
      <c r="AI278" s="231"/>
      <c r="AJ278" s="231"/>
      <c r="AK278" s="231"/>
      <c r="AL278" s="231"/>
      <c r="AM278" s="231"/>
      <c r="AN278" s="231"/>
    </row>
    <row r="279" spans="1:40" s="203" customFormat="1">
      <c r="A279" s="207"/>
      <c r="B279" s="207"/>
      <c r="C279" s="207"/>
      <c r="D279" s="207"/>
      <c r="E279" s="207"/>
      <c r="F279" s="207"/>
      <c r="G279" s="207"/>
      <c r="H279" s="131" t="s">
        <v>27</v>
      </c>
      <c r="I279" s="21"/>
      <c r="J279" s="231"/>
      <c r="K279" s="231"/>
      <c r="L279" s="231"/>
      <c r="M279" s="231"/>
      <c r="N279" s="231"/>
      <c r="O279" s="231"/>
      <c r="P279" s="231"/>
      <c r="Q279" s="231"/>
      <c r="R279" s="231"/>
      <c r="S279" s="231"/>
      <c r="T279" s="231"/>
      <c r="U279" s="231"/>
      <c r="V279" s="231"/>
      <c r="W279" s="231"/>
      <c r="X279" s="231"/>
      <c r="Y279" s="231"/>
      <c r="Z279" s="231"/>
      <c r="AA279" s="231"/>
      <c r="AB279" s="231"/>
      <c r="AC279" s="231"/>
      <c r="AD279" s="231"/>
      <c r="AE279" s="231"/>
      <c r="AF279" s="231"/>
      <c r="AG279" s="231"/>
      <c r="AH279" s="231"/>
      <c r="AI279" s="231"/>
      <c r="AJ279" s="231"/>
      <c r="AK279" s="231"/>
      <c r="AL279" s="231"/>
      <c r="AM279" s="231"/>
      <c r="AN279" s="231"/>
    </row>
    <row r="280" spans="1:40" s="203" customFormat="1" ht="12.75" customHeight="1">
      <c r="A280" s="106" t="s">
        <v>18</v>
      </c>
      <c r="B280" s="164"/>
      <c r="C280" s="164"/>
      <c r="D280" s="164"/>
      <c r="E280" s="856" t="s">
        <v>377</v>
      </c>
      <c r="F280" s="856" t="s">
        <v>402</v>
      </c>
      <c r="G280" s="130"/>
      <c r="H280" s="856" t="s">
        <v>403</v>
      </c>
      <c r="I280" s="21"/>
      <c r="J280" s="231"/>
      <c r="K280" s="231"/>
      <c r="L280" s="231"/>
      <c r="M280" s="231"/>
      <c r="N280" s="231"/>
      <c r="O280" s="231"/>
      <c r="P280" s="231"/>
      <c r="Q280" s="231"/>
      <c r="R280" s="231"/>
      <c r="S280" s="231"/>
      <c r="T280" s="231"/>
      <c r="U280" s="231"/>
      <c r="V280" s="231"/>
      <c r="W280" s="231"/>
      <c r="X280" s="231"/>
      <c r="Y280" s="231"/>
      <c r="Z280" s="231"/>
      <c r="AA280" s="231"/>
      <c r="AB280" s="231"/>
      <c r="AC280" s="231"/>
      <c r="AD280" s="231"/>
      <c r="AE280" s="231"/>
      <c r="AF280" s="231"/>
      <c r="AG280" s="231"/>
      <c r="AH280" s="231"/>
      <c r="AI280" s="231"/>
      <c r="AJ280" s="231"/>
      <c r="AK280" s="231"/>
      <c r="AL280" s="231"/>
      <c r="AM280" s="231"/>
      <c r="AN280" s="231"/>
    </row>
    <row r="281" spans="1:40" s="203" customFormat="1">
      <c r="A281" s="165"/>
      <c r="B281" s="47"/>
      <c r="C281" s="47"/>
      <c r="D281" s="47"/>
      <c r="E281" s="859"/>
      <c r="F281" s="859"/>
      <c r="G281" s="130"/>
      <c r="H281" s="859"/>
      <c r="I281" s="21"/>
      <c r="J281" s="231"/>
      <c r="K281" s="231"/>
      <c r="L281" s="231"/>
      <c r="M281" s="231"/>
      <c r="N281" s="231"/>
      <c r="O281" s="231"/>
      <c r="P281" s="231"/>
      <c r="Q281" s="231"/>
      <c r="R281" s="231"/>
      <c r="S281" s="231"/>
      <c r="T281" s="231"/>
      <c r="U281" s="231"/>
      <c r="V281" s="231"/>
      <c r="W281" s="231"/>
      <c r="X281" s="231"/>
      <c r="Y281" s="231"/>
      <c r="Z281" s="231"/>
      <c r="AA281" s="231"/>
      <c r="AB281" s="231"/>
      <c r="AC281" s="231"/>
      <c r="AD281" s="231"/>
      <c r="AE281" s="231"/>
      <c r="AF281" s="231"/>
      <c r="AG281" s="231"/>
      <c r="AH281" s="231"/>
      <c r="AI281" s="231"/>
      <c r="AJ281" s="231"/>
      <c r="AK281" s="231"/>
      <c r="AL281" s="231"/>
      <c r="AM281" s="231"/>
      <c r="AN281" s="231"/>
    </row>
    <row r="282" spans="1:40" s="203" customFormat="1" ht="21.75" customHeight="1">
      <c r="A282" s="109"/>
      <c r="B282" s="174"/>
      <c r="C282" s="174"/>
      <c r="D282" s="174"/>
      <c r="E282" s="859"/>
      <c r="F282" s="859"/>
      <c r="G282" s="130"/>
      <c r="H282" s="859"/>
      <c r="I282" s="21"/>
      <c r="J282" s="231"/>
      <c r="K282" s="231"/>
      <c r="L282" s="231"/>
      <c r="M282" s="231"/>
      <c r="N282" s="231"/>
      <c r="O282" s="231"/>
      <c r="P282" s="231"/>
      <c r="Q282" s="231"/>
      <c r="R282" s="231"/>
      <c r="S282" s="231"/>
      <c r="T282" s="231"/>
      <c r="U282" s="231"/>
      <c r="V282" s="231"/>
      <c r="W282" s="231"/>
      <c r="X282" s="231"/>
      <c r="Y282" s="231"/>
      <c r="Z282" s="231"/>
      <c r="AA282" s="231"/>
      <c r="AB282" s="231"/>
      <c r="AC282" s="231"/>
      <c r="AD282" s="231"/>
      <c r="AE282" s="231"/>
      <c r="AF282" s="231"/>
      <c r="AG282" s="231"/>
      <c r="AH282" s="231"/>
      <c r="AI282" s="231"/>
      <c r="AJ282" s="231"/>
      <c r="AK282" s="231"/>
      <c r="AL282" s="231"/>
      <c r="AM282" s="231"/>
      <c r="AN282" s="231"/>
    </row>
    <row r="283" spans="1:40" s="203" customFormat="1">
      <c r="A283" s="154" t="s">
        <v>215</v>
      </c>
      <c r="B283" s="47"/>
      <c r="C283" s="47"/>
      <c r="D283" s="47"/>
      <c r="E283" s="859"/>
      <c r="F283" s="859"/>
      <c r="G283" s="130"/>
      <c r="H283" s="859"/>
      <c r="I283" s="21"/>
      <c r="J283" s="231"/>
      <c r="K283" s="231"/>
      <c r="L283" s="231"/>
      <c r="M283" s="231"/>
      <c r="N283" s="231"/>
      <c r="O283" s="231"/>
      <c r="P283" s="231"/>
      <c r="Q283" s="231"/>
      <c r="R283" s="231"/>
      <c r="S283" s="231"/>
      <c r="T283" s="231"/>
      <c r="U283" s="231"/>
      <c r="V283" s="231"/>
      <c r="W283" s="231"/>
      <c r="X283" s="231"/>
      <c r="Y283" s="231"/>
      <c r="Z283" s="231"/>
      <c r="AA283" s="231"/>
      <c r="AB283" s="231"/>
      <c r="AC283" s="231"/>
      <c r="AD283" s="231"/>
      <c r="AE283" s="231"/>
      <c r="AF283" s="231"/>
      <c r="AG283" s="231"/>
      <c r="AH283" s="231"/>
      <c r="AI283" s="231"/>
      <c r="AJ283" s="231"/>
      <c r="AK283" s="231"/>
      <c r="AL283" s="231"/>
      <c r="AM283" s="231"/>
      <c r="AN283" s="231"/>
    </row>
    <row r="284" spans="1:40" s="203" customFormat="1">
      <c r="A284" s="109" t="s">
        <v>83</v>
      </c>
      <c r="B284" s="174"/>
      <c r="C284" s="174"/>
      <c r="D284" s="174"/>
      <c r="E284" s="860"/>
      <c r="F284" s="860"/>
      <c r="G284" s="130"/>
      <c r="H284" s="860"/>
      <c r="I284" s="21"/>
      <c r="J284" s="231"/>
      <c r="K284" s="231"/>
      <c r="L284" s="231"/>
      <c r="M284" s="231"/>
      <c r="N284" s="231"/>
      <c r="O284" s="231"/>
      <c r="P284" s="231"/>
      <c r="Q284" s="231"/>
      <c r="R284" s="231"/>
      <c r="S284" s="231"/>
      <c r="T284" s="231"/>
      <c r="U284" s="231"/>
      <c r="V284" s="231"/>
      <c r="W284" s="231"/>
      <c r="X284" s="231"/>
      <c r="Y284" s="231"/>
      <c r="Z284" s="231"/>
      <c r="AA284" s="231"/>
      <c r="AB284" s="231"/>
      <c r="AC284" s="231"/>
      <c r="AD284" s="231"/>
      <c r="AE284" s="231"/>
      <c r="AF284" s="231"/>
      <c r="AG284" s="231"/>
      <c r="AH284" s="231"/>
      <c r="AI284" s="231"/>
      <c r="AJ284" s="231"/>
      <c r="AK284" s="231"/>
      <c r="AL284" s="231"/>
      <c r="AM284" s="231"/>
      <c r="AN284" s="231"/>
    </row>
    <row r="285" spans="1:40" s="203" customFormat="1">
      <c r="A285" s="110" t="s">
        <v>84</v>
      </c>
      <c r="B285" s="116"/>
      <c r="C285" s="116"/>
      <c r="D285" s="116"/>
      <c r="E285" s="178"/>
      <c r="F285" s="146"/>
      <c r="G285" s="118"/>
      <c r="H285" s="146"/>
      <c r="I285" s="21"/>
      <c r="J285" s="231"/>
      <c r="K285" s="231"/>
      <c r="L285" s="231"/>
      <c r="M285" s="231"/>
      <c r="N285" s="231"/>
      <c r="O285" s="231"/>
      <c r="P285" s="231"/>
      <c r="Q285" s="231"/>
      <c r="R285" s="231"/>
      <c r="S285" s="231"/>
      <c r="T285" s="231"/>
      <c r="U285" s="231"/>
      <c r="V285" s="231"/>
      <c r="W285" s="231"/>
      <c r="X285" s="231"/>
      <c r="Y285" s="231"/>
      <c r="Z285" s="231"/>
      <c r="AA285" s="231"/>
      <c r="AB285" s="231"/>
      <c r="AC285" s="231"/>
      <c r="AD285" s="231"/>
      <c r="AE285" s="231"/>
      <c r="AF285" s="231"/>
      <c r="AG285" s="231"/>
      <c r="AH285" s="231"/>
      <c r="AI285" s="231"/>
      <c r="AJ285" s="231"/>
      <c r="AK285" s="231"/>
      <c r="AL285" s="231"/>
      <c r="AM285" s="231"/>
      <c r="AN285" s="231"/>
    </row>
    <row r="286" spans="1:40" s="203" customFormat="1">
      <c r="A286" s="120">
        <v>1</v>
      </c>
      <c r="B286" s="47" t="s">
        <v>216</v>
      </c>
      <c r="C286" s="47"/>
      <c r="D286" s="47"/>
      <c r="E286" s="74">
        <v>131.59931601027969</v>
      </c>
      <c r="F286" s="52">
        <v>181</v>
      </c>
      <c r="G286" s="118"/>
      <c r="H286" s="52">
        <v>307</v>
      </c>
      <c r="I286" s="21"/>
      <c r="J286" s="231"/>
      <c r="K286" s="231"/>
      <c r="L286" s="231"/>
      <c r="M286" s="231"/>
      <c r="N286" s="231"/>
      <c r="O286" s="231"/>
      <c r="P286" s="231"/>
      <c r="Q286" s="231"/>
      <c r="R286" s="231"/>
      <c r="S286" s="231"/>
      <c r="T286" s="231"/>
      <c r="U286" s="231"/>
      <c r="V286" s="231"/>
      <c r="W286" s="231"/>
      <c r="X286" s="231"/>
      <c r="Y286" s="231"/>
      <c r="Z286" s="231"/>
      <c r="AA286" s="231"/>
      <c r="AB286" s="231"/>
      <c r="AC286" s="231"/>
      <c r="AD286" s="231"/>
      <c r="AE286" s="231"/>
      <c r="AF286" s="231"/>
      <c r="AG286" s="231"/>
      <c r="AH286" s="231"/>
      <c r="AI286" s="231"/>
      <c r="AJ286" s="231"/>
      <c r="AK286" s="231"/>
      <c r="AL286" s="231"/>
      <c r="AM286" s="231"/>
      <c r="AN286" s="231"/>
    </row>
    <row r="287" spans="1:40" s="203" customFormat="1">
      <c r="A287" s="743">
        <v>2</v>
      </c>
      <c r="B287" s="47" t="s">
        <v>217</v>
      </c>
      <c r="C287" s="47"/>
      <c r="D287" s="47"/>
      <c r="E287" s="114">
        <v>75.767063176989467</v>
      </c>
      <c r="F287" s="52">
        <v>53</v>
      </c>
      <c r="G287" s="118"/>
      <c r="H287" s="52">
        <v>54</v>
      </c>
      <c r="I287" s="21"/>
      <c r="J287" s="231"/>
      <c r="K287" s="231"/>
      <c r="L287" s="231"/>
      <c r="M287" s="231"/>
      <c r="N287" s="231"/>
      <c r="O287" s="231"/>
      <c r="P287" s="231"/>
      <c r="Q287" s="231"/>
      <c r="R287" s="231"/>
      <c r="S287" s="231"/>
      <c r="T287" s="231"/>
      <c r="U287" s="231"/>
      <c r="V287" s="231"/>
      <c r="W287" s="231"/>
      <c r="X287" s="231"/>
      <c r="Y287" s="231"/>
      <c r="Z287" s="231"/>
      <c r="AA287" s="231"/>
      <c r="AB287" s="231"/>
      <c r="AC287" s="231"/>
      <c r="AD287" s="231"/>
      <c r="AE287" s="231"/>
      <c r="AF287" s="231"/>
      <c r="AG287" s="231"/>
      <c r="AH287" s="231"/>
      <c r="AI287" s="231"/>
      <c r="AJ287" s="231"/>
      <c r="AK287" s="231"/>
      <c r="AL287" s="231"/>
      <c r="AM287" s="231"/>
      <c r="AN287" s="231"/>
    </row>
    <row r="288" spans="1:40" s="203" customFormat="1">
      <c r="A288" s="120">
        <v>3</v>
      </c>
      <c r="B288" s="90" t="s">
        <v>218</v>
      </c>
      <c r="C288" s="166"/>
      <c r="D288" s="168"/>
      <c r="E288" s="114">
        <v>282.16956105120028</v>
      </c>
      <c r="F288" s="52">
        <v>51</v>
      </c>
      <c r="G288" s="118"/>
      <c r="H288" s="52">
        <v>185</v>
      </c>
      <c r="I288" s="21"/>
      <c r="J288" s="231"/>
      <c r="K288" s="231"/>
      <c r="L288" s="231"/>
      <c r="M288" s="231"/>
      <c r="N288" s="231"/>
      <c r="O288" s="231"/>
      <c r="P288" s="231"/>
      <c r="Q288" s="231"/>
      <c r="R288" s="231"/>
      <c r="S288" s="231"/>
      <c r="T288" s="231"/>
      <c r="U288" s="231"/>
      <c r="V288" s="231"/>
      <c r="W288" s="231"/>
      <c r="X288" s="231"/>
      <c r="Y288" s="231"/>
      <c r="Z288" s="231"/>
      <c r="AA288" s="231"/>
      <c r="AB288" s="231"/>
      <c r="AC288" s="231"/>
      <c r="AD288" s="231"/>
      <c r="AE288" s="231"/>
      <c r="AF288" s="231"/>
      <c r="AG288" s="231"/>
      <c r="AH288" s="231"/>
      <c r="AI288" s="231"/>
      <c r="AJ288" s="231"/>
      <c r="AK288" s="231"/>
      <c r="AL288" s="231"/>
      <c r="AM288" s="231"/>
      <c r="AN288" s="231"/>
    </row>
    <row r="289" spans="1:40" s="203" customFormat="1">
      <c r="A289" s="743">
        <v>4</v>
      </c>
      <c r="B289" s="47" t="s">
        <v>219</v>
      </c>
      <c r="C289" s="47"/>
      <c r="D289" s="116"/>
      <c r="E289" s="114">
        <v>90.452330410168258</v>
      </c>
      <c r="F289" s="52">
        <v>83</v>
      </c>
      <c r="G289" s="118"/>
      <c r="H289" s="52">
        <v>101</v>
      </c>
      <c r="I289" s="21"/>
      <c r="J289" s="231"/>
      <c r="K289" s="231"/>
      <c r="L289" s="231"/>
      <c r="M289" s="231"/>
      <c r="N289" s="231"/>
      <c r="O289" s="231"/>
      <c r="P289" s="231"/>
      <c r="Q289" s="231"/>
      <c r="R289" s="231"/>
      <c r="S289" s="231"/>
      <c r="T289" s="231"/>
      <c r="U289" s="231"/>
      <c r="V289" s="231"/>
      <c r="W289" s="231"/>
      <c r="X289" s="231"/>
      <c r="Y289" s="231"/>
      <c r="Z289" s="231"/>
      <c r="AA289" s="231"/>
      <c r="AB289" s="231"/>
      <c r="AC289" s="231"/>
      <c r="AD289" s="231"/>
      <c r="AE289" s="231"/>
      <c r="AF289" s="231"/>
      <c r="AG289" s="231"/>
      <c r="AH289" s="231"/>
      <c r="AI289" s="231"/>
      <c r="AJ289" s="231"/>
      <c r="AK289" s="231"/>
      <c r="AL289" s="231"/>
      <c r="AM289" s="231"/>
      <c r="AN289" s="231"/>
    </row>
    <row r="290" spans="1:40" s="203" customFormat="1">
      <c r="A290" s="743">
        <v>5</v>
      </c>
      <c r="B290" s="47" t="s">
        <v>220</v>
      </c>
      <c r="C290" s="47"/>
      <c r="D290" s="47"/>
      <c r="E290" s="114">
        <v>52.211067891050646</v>
      </c>
      <c r="F290" s="52">
        <v>50</v>
      </c>
      <c r="G290" s="118"/>
      <c r="H290" s="204">
        <v>81</v>
      </c>
      <c r="I290" s="21"/>
      <c r="J290" s="231"/>
      <c r="K290" s="231"/>
      <c r="L290" s="231"/>
      <c r="M290" s="231"/>
      <c r="N290" s="231"/>
      <c r="O290" s="231"/>
      <c r="P290" s="231"/>
      <c r="Q290" s="231"/>
      <c r="R290" s="231"/>
      <c r="S290" s="231"/>
      <c r="T290" s="231"/>
      <c r="U290" s="231"/>
      <c r="V290" s="231"/>
      <c r="W290" s="231"/>
      <c r="X290" s="231"/>
      <c r="Y290" s="231"/>
      <c r="Z290" s="231"/>
      <c r="AA290" s="231"/>
      <c r="AB290" s="231"/>
      <c r="AC290" s="231"/>
      <c r="AD290" s="231"/>
      <c r="AE290" s="231"/>
      <c r="AF290" s="231"/>
      <c r="AG290" s="231"/>
      <c r="AH290" s="231"/>
      <c r="AI290" s="231"/>
      <c r="AJ290" s="231"/>
      <c r="AK290" s="231"/>
      <c r="AL290" s="231"/>
      <c r="AM290" s="231"/>
      <c r="AN290" s="231"/>
    </row>
    <row r="291" spans="1:40" s="203" customFormat="1">
      <c r="A291" s="120">
        <v>6</v>
      </c>
      <c r="B291" s="47" t="s">
        <v>221</v>
      </c>
      <c r="C291" s="47"/>
      <c r="D291" s="47"/>
      <c r="E291" s="114">
        <v>198.82456091322854</v>
      </c>
      <c r="F291" s="52">
        <v>190</v>
      </c>
      <c r="G291" s="118"/>
      <c r="H291" s="204">
        <v>161</v>
      </c>
      <c r="I291" s="21"/>
      <c r="J291" s="231"/>
      <c r="K291" s="231"/>
      <c r="L291" s="231"/>
      <c r="M291" s="231"/>
      <c r="N291" s="231"/>
      <c r="O291" s="231"/>
      <c r="P291" s="231"/>
      <c r="Q291" s="231"/>
      <c r="R291" s="231"/>
      <c r="S291" s="231"/>
      <c r="T291" s="231"/>
      <c r="U291" s="231"/>
      <c r="V291" s="231"/>
      <c r="W291" s="231"/>
      <c r="X291" s="231"/>
      <c r="Y291" s="231"/>
      <c r="Z291" s="231"/>
      <c r="AA291" s="231"/>
      <c r="AB291" s="231"/>
      <c r="AC291" s="231"/>
      <c r="AD291" s="231"/>
      <c r="AE291" s="231"/>
      <c r="AF291" s="231"/>
      <c r="AG291" s="231"/>
      <c r="AH291" s="231"/>
      <c r="AI291" s="231"/>
      <c r="AJ291" s="231"/>
      <c r="AK291" s="231"/>
      <c r="AL291" s="231"/>
      <c r="AM291" s="231"/>
      <c r="AN291" s="231"/>
    </row>
    <row r="292" spans="1:40" s="203" customFormat="1">
      <c r="A292" s="743">
        <v>7</v>
      </c>
      <c r="B292" s="47" t="s">
        <v>222</v>
      </c>
      <c r="C292" s="47"/>
      <c r="D292" s="116"/>
      <c r="E292" s="114">
        <v>127</v>
      </c>
      <c r="F292" s="52">
        <v>127</v>
      </c>
      <c r="G292" s="118"/>
      <c r="H292" s="204">
        <v>132</v>
      </c>
      <c r="I292" s="21"/>
      <c r="J292" s="231"/>
      <c r="K292" s="231"/>
      <c r="L292" s="231"/>
      <c r="M292" s="231"/>
      <c r="N292" s="231"/>
      <c r="O292" s="231"/>
      <c r="P292" s="231"/>
      <c r="Q292" s="231"/>
      <c r="R292" s="231"/>
      <c r="S292" s="231"/>
      <c r="T292" s="231"/>
      <c r="U292" s="231"/>
      <c r="V292" s="231"/>
      <c r="W292" s="231"/>
      <c r="X292" s="231"/>
      <c r="Y292" s="231"/>
      <c r="Z292" s="231"/>
      <c r="AA292" s="231"/>
      <c r="AB292" s="231"/>
      <c r="AC292" s="231"/>
      <c r="AD292" s="231"/>
      <c r="AE292" s="231"/>
      <c r="AF292" s="231"/>
      <c r="AG292" s="231"/>
      <c r="AH292" s="231"/>
      <c r="AI292" s="231"/>
      <c r="AJ292" s="231"/>
      <c r="AK292" s="231"/>
      <c r="AL292" s="231"/>
      <c r="AM292" s="231"/>
      <c r="AN292" s="231"/>
    </row>
    <row r="293" spans="1:40" s="203" customFormat="1">
      <c r="A293" s="120">
        <v>8</v>
      </c>
      <c r="B293" s="47" t="s">
        <v>223</v>
      </c>
      <c r="C293" s="47"/>
      <c r="D293" s="116"/>
      <c r="E293" s="114">
        <v>127</v>
      </c>
      <c r="F293" s="52">
        <v>127</v>
      </c>
      <c r="G293" s="118"/>
      <c r="H293" s="204">
        <v>132</v>
      </c>
      <c r="I293" s="21"/>
      <c r="J293" s="231"/>
      <c r="K293" s="231"/>
      <c r="L293" s="231"/>
      <c r="M293" s="231"/>
      <c r="N293" s="231"/>
      <c r="O293" s="231"/>
      <c r="P293" s="231"/>
      <c r="Q293" s="231"/>
      <c r="R293" s="231"/>
      <c r="S293" s="231"/>
      <c r="T293" s="231"/>
      <c r="U293" s="231"/>
      <c r="V293" s="231"/>
      <c r="W293" s="231"/>
      <c r="X293" s="231"/>
      <c r="Y293" s="231"/>
      <c r="Z293" s="231"/>
      <c r="AA293" s="231"/>
      <c r="AB293" s="231"/>
      <c r="AC293" s="231"/>
      <c r="AD293" s="231"/>
      <c r="AE293" s="231"/>
      <c r="AF293" s="231"/>
      <c r="AG293" s="231"/>
      <c r="AH293" s="231"/>
      <c r="AI293" s="231"/>
      <c r="AJ293" s="231"/>
      <c r="AK293" s="231"/>
      <c r="AL293" s="231"/>
      <c r="AM293" s="231"/>
      <c r="AN293" s="231"/>
    </row>
    <row r="294" spans="1:40" s="203" customFormat="1">
      <c r="A294" s="743">
        <v>9</v>
      </c>
      <c r="B294" s="47" t="s">
        <v>224</v>
      </c>
      <c r="C294" s="47"/>
      <c r="D294" s="116"/>
      <c r="E294" s="114">
        <v>127</v>
      </c>
      <c r="F294" s="52">
        <v>127</v>
      </c>
      <c r="G294" s="118"/>
      <c r="H294" s="204">
        <v>132</v>
      </c>
      <c r="I294" s="21"/>
      <c r="J294" s="231"/>
      <c r="K294" s="231"/>
      <c r="L294" s="231"/>
      <c r="M294" s="231"/>
      <c r="N294" s="231"/>
      <c r="O294" s="231"/>
      <c r="P294" s="231"/>
      <c r="Q294" s="231"/>
      <c r="R294" s="231"/>
      <c r="S294" s="231"/>
      <c r="T294" s="231"/>
      <c r="U294" s="231"/>
      <c r="V294" s="231"/>
      <c r="W294" s="231"/>
      <c r="X294" s="231"/>
      <c r="Y294" s="231"/>
      <c r="Z294" s="231"/>
      <c r="AA294" s="231"/>
      <c r="AB294" s="231"/>
      <c r="AC294" s="231"/>
      <c r="AD294" s="231"/>
      <c r="AE294" s="231"/>
      <c r="AF294" s="231"/>
      <c r="AG294" s="231"/>
      <c r="AH294" s="231"/>
      <c r="AI294" s="231"/>
      <c r="AJ294" s="231"/>
      <c r="AK294" s="231"/>
      <c r="AL294" s="231"/>
      <c r="AM294" s="231"/>
      <c r="AN294" s="231"/>
    </row>
    <row r="295" spans="1:40" s="203" customFormat="1">
      <c r="A295" s="120">
        <v>10</v>
      </c>
      <c r="B295" s="47" t="s">
        <v>225</v>
      </c>
      <c r="C295" s="47"/>
      <c r="D295" s="47"/>
      <c r="E295" s="114">
        <v>0</v>
      </c>
      <c r="F295" s="52">
        <v>0</v>
      </c>
      <c r="G295" s="118"/>
      <c r="H295" s="52">
        <v>0</v>
      </c>
      <c r="I295" s="21"/>
      <c r="J295" s="231"/>
      <c r="K295" s="231"/>
      <c r="L295" s="231"/>
      <c r="M295" s="231"/>
      <c r="N295" s="231"/>
      <c r="O295" s="231"/>
      <c r="P295" s="231"/>
      <c r="Q295" s="231"/>
      <c r="R295" s="231"/>
      <c r="S295" s="231"/>
      <c r="T295" s="231"/>
      <c r="U295" s="231"/>
      <c r="V295" s="231"/>
      <c r="W295" s="231"/>
      <c r="X295" s="231"/>
      <c r="Y295" s="231"/>
      <c r="Z295" s="231"/>
      <c r="AA295" s="231"/>
      <c r="AB295" s="231"/>
      <c r="AC295" s="231"/>
      <c r="AD295" s="231"/>
      <c r="AE295" s="231"/>
      <c r="AF295" s="231"/>
      <c r="AG295" s="231"/>
      <c r="AH295" s="231"/>
      <c r="AI295" s="231"/>
      <c r="AJ295" s="231"/>
      <c r="AK295" s="231"/>
      <c r="AL295" s="231"/>
      <c r="AM295" s="231"/>
      <c r="AN295" s="231"/>
    </row>
    <row r="296" spans="1:40" s="203" customFormat="1">
      <c r="A296" s="743">
        <v>11</v>
      </c>
      <c r="B296" s="47" t="s">
        <v>226</v>
      </c>
      <c r="C296" s="47"/>
      <c r="D296" s="47"/>
      <c r="E296" s="114">
        <v>12.964</v>
      </c>
      <c r="F296" s="52">
        <v>13</v>
      </c>
      <c r="G296" s="118"/>
      <c r="H296" s="52">
        <v>13</v>
      </c>
      <c r="I296" s="21"/>
      <c r="J296" s="231"/>
      <c r="K296" s="231"/>
      <c r="L296" s="231"/>
      <c r="M296" s="231"/>
      <c r="N296" s="231"/>
      <c r="O296" s="231"/>
      <c r="P296" s="231"/>
      <c r="Q296" s="231"/>
      <c r="R296" s="231"/>
      <c r="S296" s="231"/>
      <c r="T296" s="231"/>
      <c r="U296" s="231"/>
      <c r="V296" s="231"/>
      <c r="W296" s="231"/>
      <c r="X296" s="231"/>
      <c r="Y296" s="231"/>
      <c r="Z296" s="231"/>
      <c r="AA296" s="231"/>
      <c r="AB296" s="231"/>
      <c r="AC296" s="231"/>
      <c r="AD296" s="231"/>
      <c r="AE296" s="231"/>
      <c r="AF296" s="231"/>
      <c r="AG296" s="231"/>
      <c r="AH296" s="231"/>
      <c r="AI296" s="231"/>
      <c r="AJ296" s="231"/>
      <c r="AK296" s="231"/>
      <c r="AL296" s="231"/>
      <c r="AM296" s="231"/>
      <c r="AN296" s="231"/>
    </row>
    <row r="297" spans="1:40" s="203" customFormat="1">
      <c r="A297" s="120">
        <v>12</v>
      </c>
      <c r="B297" s="47" t="s">
        <v>227</v>
      </c>
      <c r="C297" s="47"/>
      <c r="D297" s="47"/>
      <c r="E297" s="114">
        <v>91.583242307098189</v>
      </c>
      <c r="F297" s="52">
        <v>176</v>
      </c>
      <c r="G297" s="118"/>
      <c r="H297" s="52">
        <v>102</v>
      </c>
      <c r="I297" s="21"/>
      <c r="J297" s="231"/>
      <c r="K297" s="231"/>
      <c r="L297" s="231"/>
      <c r="M297" s="231"/>
      <c r="N297" s="231"/>
      <c r="O297" s="231"/>
      <c r="P297" s="231"/>
      <c r="Q297" s="231"/>
      <c r="R297" s="231"/>
      <c r="S297" s="231"/>
      <c r="T297" s="231"/>
      <c r="U297" s="231"/>
      <c r="V297" s="231"/>
      <c r="W297" s="231"/>
      <c r="X297" s="231"/>
      <c r="Y297" s="231"/>
      <c r="Z297" s="231"/>
      <c r="AA297" s="231"/>
      <c r="AB297" s="231"/>
      <c r="AC297" s="231"/>
      <c r="AD297" s="231"/>
      <c r="AE297" s="231"/>
      <c r="AF297" s="231"/>
      <c r="AG297" s="231"/>
      <c r="AH297" s="231"/>
      <c r="AI297" s="231"/>
      <c r="AJ297" s="231"/>
      <c r="AK297" s="231"/>
      <c r="AL297" s="231"/>
      <c r="AM297" s="231"/>
      <c r="AN297" s="231"/>
    </row>
    <row r="298" spans="1:40" s="203" customFormat="1">
      <c r="A298" s="743">
        <v>13</v>
      </c>
      <c r="B298" s="47" t="s">
        <v>228</v>
      </c>
      <c r="C298" s="47"/>
      <c r="D298" s="47"/>
      <c r="E298" s="114">
        <v>2319.7930274498935</v>
      </c>
      <c r="F298" s="52">
        <v>2442</v>
      </c>
      <c r="G298" s="118"/>
      <c r="H298" s="52">
        <v>2492</v>
      </c>
      <c r="I298" s="21"/>
      <c r="J298" s="231"/>
      <c r="K298" s="231"/>
      <c r="L298" s="231"/>
      <c r="M298" s="231"/>
      <c r="N298" s="231"/>
      <c r="O298" s="231"/>
      <c r="P298" s="231"/>
      <c r="Q298" s="231"/>
      <c r="R298" s="231"/>
      <c r="S298" s="231"/>
      <c r="T298" s="231"/>
      <c r="U298" s="231"/>
      <c r="V298" s="231"/>
      <c r="W298" s="231"/>
      <c r="X298" s="231"/>
      <c r="Y298" s="231"/>
      <c r="Z298" s="231"/>
      <c r="AA298" s="231"/>
      <c r="AB298" s="231"/>
      <c r="AC298" s="231"/>
      <c r="AD298" s="231"/>
      <c r="AE298" s="231"/>
      <c r="AF298" s="231"/>
      <c r="AG298" s="231"/>
      <c r="AH298" s="231"/>
      <c r="AI298" s="231"/>
      <c r="AJ298" s="231"/>
      <c r="AK298" s="231"/>
      <c r="AL298" s="231"/>
      <c r="AM298" s="231"/>
      <c r="AN298" s="231"/>
    </row>
    <row r="299" spans="1:40" s="203" customFormat="1">
      <c r="A299" s="120">
        <v>14</v>
      </c>
      <c r="B299" s="47" t="s">
        <v>229</v>
      </c>
      <c r="C299" s="47"/>
      <c r="D299" s="116"/>
      <c r="E299" s="114">
        <v>0</v>
      </c>
      <c r="F299" s="52">
        <v>0</v>
      </c>
      <c r="G299" s="118"/>
      <c r="H299" s="52">
        <v>0</v>
      </c>
      <c r="I299" s="21"/>
      <c r="J299" s="231"/>
      <c r="K299" s="231"/>
      <c r="L299" s="231"/>
      <c r="M299" s="231"/>
      <c r="N299" s="231"/>
      <c r="O299" s="231"/>
      <c r="P299" s="231"/>
      <c r="Q299" s="231"/>
      <c r="R299" s="231"/>
      <c r="S299" s="231"/>
      <c r="T299" s="231"/>
      <c r="U299" s="231"/>
      <c r="V299" s="231"/>
      <c r="W299" s="231"/>
      <c r="X299" s="231"/>
      <c r="Y299" s="231"/>
      <c r="Z299" s="231"/>
      <c r="AA299" s="231"/>
      <c r="AB299" s="231"/>
      <c r="AC299" s="231"/>
      <c r="AD299" s="231"/>
      <c r="AE299" s="231"/>
      <c r="AF299" s="231"/>
      <c r="AG299" s="231"/>
      <c r="AH299" s="231"/>
      <c r="AI299" s="231"/>
      <c r="AJ299" s="231"/>
      <c r="AK299" s="231"/>
      <c r="AL299" s="231"/>
      <c r="AM299" s="231"/>
      <c r="AN299" s="231"/>
    </row>
    <row r="300" spans="1:40" s="203" customFormat="1">
      <c r="A300" s="743">
        <v>15</v>
      </c>
      <c r="B300" s="47" t="s">
        <v>230</v>
      </c>
      <c r="C300" s="47"/>
      <c r="D300" s="116"/>
      <c r="E300" s="114">
        <v>1312</v>
      </c>
      <c r="F300" s="52">
        <v>1312</v>
      </c>
      <c r="G300" s="118"/>
      <c r="H300" s="52">
        <v>1312</v>
      </c>
      <c r="I300" s="21"/>
      <c r="J300" s="231"/>
      <c r="K300" s="231"/>
      <c r="L300" s="231"/>
      <c r="M300" s="231"/>
      <c r="N300" s="231"/>
      <c r="O300" s="231"/>
      <c r="P300" s="231"/>
      <c r="Q300" s="231"/>
      <c r="R300" s="231"/>
      <c r="S300" s="231"/>
      <c r="T300" s="231"/>
      <c r="U300" s="231"/>
      <c r="V300" s="231"/>
      <c r="W300" s="231"/>
      <c r="X300" s="231"/>
      <c r="Y300" s="231"/>
      <c r="Z300" s="231"/>
      <c r="AA300" s="231"/>
      <c r="AB300" s="231"/>
      <c r="AC300" s="231"/>
      <c r="AD300" s="231"/>
      <c r="AE300" s="231"/>
      <c r="AF300" s="231"/>
      <c r="AG300" s="231"/>
      <c r="AH300" s="231"/>
      <c r="AI300" s="231"/>
      <c r="AJ300" s="231"/>
      <c r="AK300" s="231"/>
      <c r="AL300" s="231"/>
      <c r="AM300" s="231"/>
      <c r="AN300" s="231"/>
    </row>
    <row r="301" spans="1:40" s="203" customFormat="1">
      <c r="A301" s="120">
        <v>17</v>
      </c>
      <c r="B301" s="47" t="s">
        <v>231</v>
      </c>
      <c r="C301" s="47"/>
      <c r="D301" s="47"/>
      <c r="E301" s="114">
        <v>105.91557338288561</v>
      </c>
      <c r="F301" s="126">
        <v>5</v>
      </c>
      <c r="G301" s="118"/>
      <c r="H301" s="834">
        <v>-562</v>
      </c>
      <c r="I301" s="21"/>
      <c r="J301" s="231"/>
      <c r="K301" s="231"/>
      <c r="L301" s="231"/>
      <c r="M301" s="231"/>
      <c r="N301" s="231"/>
      <c r="O301" s="231"/>
      <c r="P301" s="231"/>
      <c r="Q301" s="231"/>
      <c r="R301" s="231"/>
      <c r="S301" s="231"/>
      <c r="T301" s="231"/>
      <c r="U301" s="231"/>
      <c r="V301" s="231"/>
      <c r="W301" s="231"/>
      <c r="X301" s="231"/>
      <c r="Y301" s="231"/>
      <c r="Z301" s="231"/>
      <c r="AA301" s="231"/>
      <c r="AB301" s="231"/>
      <c r="AC301" s="231"/>
      <c r="AD301" s="231"/>
      <c r="AE301" s="231"/>
      <c r="AF301" s="231"/>
      <c r="AG301" s="231"/>
      <c r="AH301" s="231"/>
      <c r="AI301" s="231"/>
      <c r="AJ301" s="231"/>
      <c r="AK301" s="231"/>
      <c r="AL301" s="231"/>
      <c r="AM301" s="231"/>
      <c r="AN301" s="231"/>
    </row>
    <row r="302" spans="1:40" s="203" customFormat="1">
      <c r="A302" s="744">
        <v>18</v>
      </c>
      <c r="B302" s="94" t="s">
        <v>232</v>
      </c>
      <c r="C302" s="94"/>
      <c r="D302" s="94"/>
      <c r="E302" s="159">
        <v>5054.2797425927938</v>
      </c>
      <c r="F302" s="61">
        <f>SUM(F286:F301)</f>
        <v>4937</v>
      </c>
      <c r="G302" s="118"/>
      <c r="H302" s="61">
        <f>SUM(H286:H301)</f>
        <v>4642</v>
      </c>
      <c r="I302" s="21"/>
      <c r="J302" s="231"/>
      <c r="K302" s="231"/>
      <c r="L302" s="231"/>
      <c r="M302" s="231"/>
      <c r="N302" s="231"/>
      <c r="O302" s="231"/>
      <c r="P302" s="231"/>
      <c r="Q302" s="231"/>
      <c r="R302" s="231"/>
      <c r="S302" s="231"/>
      <c r="T302" s="231"/>
      <c r="U302" s="231"/>
      <c r="V302" s="231"/>
      <c r="W302" s="231"/>
      <c r="X302" s="231"/>
      <c r="Y302" s="231"/>
      <c r="Z302" s="231"/>
      <c r="AA302" s="231"/>
      <c r="AB302" s="231"/>
      <c r="AC302" s="231"/>
      <c r="AD302" s="231"/>
      <c r="AE302" s="231"/>
      <c r="AF302" s="231"/>
      <c r="AG302" s="231"/>
      <c r="AH302" s="231"/>
      <c r="AI302" s="231"/>
      <c r="AJ302" s="231"/>
      <c r="AK302" s="231"/>
      <c r="AL302" s="231"/>
      <c r="AM302" s="231"/>
      <c r="AN302" s="231"/>
    </row>
    <row r="303" spans="1:40" s="203" customFormat="1">
      <c r="A303" s="179"/>
      <c r="B303" s="180"/>
      <c r="C303" s="180"/>
      <c r="D303" s="181"/>
      <c r="E303" s="182"/>
      <c r="F303" s="183"/>
      <c r="G303" s="21"/>
      <c r="H303" s="183"/>
      <c r="I303" s="21"/>
      <c r="J303" s="231"/>
      <c r="K303" s="231"/>
      <c r="L303" s="231"/>
      <c r="M303" s="231"/>
      <c r="N303" s="231"/>
      <c r="O303" s="231"/>
      <c r="P303" s="231"/>
      <c r="Q303" s="231"/>
      <c r="R303" s="231"/>
      <c r="S303" s="231"/>
      <c r="T303" s="231"/>
      <c r="U303" s="231"/>
      <c r="V303" s="231"/>
      <c r="W303" s="231"/>
      <c r="X303" s="231"/>
      <c r="Y303" s="231"/>
      <c r="Z303" s="231"/>
      <c r="AA303" s="231"/>
      <c r="AB303" s="231"/>
      <c r="AC303" s="231"/>
      <c r="AD303" s="231"/>
      <c r="AE303" s="231"/>
      <c r="AF303" s="231"/>
      <c r="AG303" s="231"/>
      <c r="AH303" s="231"/>
      <c r="AI303" s="231"/>
      <c r="AJ303" s="231"/>
      <c r="AK303" s="231"/>
      <c r="AL303" s="231"/>
      <c r="AM303" s="231"/>
      <c r="AN303" s="231"/>
    </row>
    <row r="304" spans="1:40" s="203" customFormat="1">
      <c r="A304" s="184"/>
      <c r="B304" s="207"/>
      <c r="C304" s="207"/>
      <c r="D304" s="209"/>
      <c r="E304" s="185"/>
      <c r="F304" s="207"/>
      <c r="G304" s="207"/>
      <c r="H304" s="131" t="s">
        <v>27</v>
      </c>
      <c r="I304" s="21"/>
      <c r="J304" s="231"/>
      <c r="K304" s="231"/>
      <c r="L304" s="231"/>
      <c r="M304" s="231"/>
      <c r="N304" s="231"/>
      <c r="O304" s="231"/>
      <c r="P304" s="231"/>
      <c r="Q304" s="231"/>
      <c r="R304" s="231"/>
      <c r="S304" s="231"/>
      <c r="T304" s="231"/>
      <c r="U304" s="231"/>
      <c r="V304" s="231"/>
      <c r="W304" s="231"/>
      <c r="X304" s="231"/>
      <c r="Y304" s="231"/>
      <c r="Z304" s="231"/>
      <c r="AA304" s="231"/>
      <c r="AB304" s="231"/>
      <c r="AC304" s="231"/>
      <c r="AD304" s="231"/>
      <c r="AE304" s="231"/>
      <c r="AF304" s="231"/>
      <c r="AG304" s="231"/>
      <c r="AH304" s="231"/>
      <c r="AI304" s="231"/>
      <c r="AJ304" s="231"/>
      <c r="AK304" s="231"/>
      <c r="AL304" s="231"/>
      <c r="AM304" s="231"/>
      <c r="AN304" s="231"/>
    </row>
    <row r="305" spans="1:40" s="203" customFormat="1" ht="12.75" customHeight="1">
      <c r="A305" s="106" t="s">
        <v>21</v>
      </c>
      <c r="B305" s="164"/>
      <c r="C305" s="164"/>
      <c r="D305" s="164"/>
      <c r="E305" s="856" t="s">
        <v>377</v>
      </c>
      <c r="F305" s="856" t="s">
        <v>402</v>
      </c>
      <c r="G305" s="130"/>
      <c r="H305" s="856" t="s">
        <v>403</v>
      </c>
      <c r="I305" s="21"/>
      <c r="J305" s="231"/>
      <c r="K305" s="231"/>
      <c r="L305" s="231"/>
      <c r="M305" s="231"/>
      <c r="N305" s="231"/>
      <c r="O305" s="231"/>
      <c r="P305" s="231"/>
      <c r="Q305" s="231"/>
      <c r="R305" s="231"/>
      <c r="S305" s="231"/>
      <c r="T305" s="231"/>
      <c r="U305" s="231"/>
      <c r="V305" s="231"/>
      <c r="W305" s="231"/>
      <c r="X305" s="231"/>
      <c r="Y305" s="231"/>
      <c r="Z305" s="231"/>
      <c r="AA305" s="231"/>
      <c r="AB305" s="231"/>
      <c r="AC305" s="231"/>
      <c r="AD305" s="231"/>
      <c r="AE305" s="231"/>
      <c r="AF305" s="231"/>
      <c r="AG305" s="231"/>
      <c r="AH305" s="231"/>
      <c r="AI305" s="231"/>
      <c r="AJ305" s="231"/>
      <c r="AK305" s="231"/>
      <c r="AL305" s="231"/>
      <c r="AM305" s="231"/>
      <c r="AN305" s="231"/>
    </row>
    <row r="306" spans="1:40" s="203" customFormat="1">
      <c r="A306" s="165"/>
      <c r="B306" s="47"/>
      <c r="C306" s="47"/>
      <c r="D306" s="47"/>
      <c r="E306" s="859"/>
      <c r="F306" s="859"/>
      <c r="G306" s="130"/>
      <c r="H306" s="859"/>
      <c r="I306" s="21"/>
      <c r="J306" s="231"/>
      <c r="K306" s="231"/>
      <c r="L306" s="231"/>
      <c r="M306" s="231"/>
      <c r="N306" s="231"/>
      <c r="O306" s="231"/>
      <c r="P306" s="231"/>
      <c r="Q306" s="231"/>
      <c r="R306" s="231"/>
      <c r="S306" s="231"/>
      <c r="T306" s="231"/>
      <c r="U306" s="231"/>
      <c r="V306" s="231"/>
      <c r="W306" s="231"/>
      <c r="X306" s="231"/>
      <c r="Y306" s="231"/>
      <c r="Z306" s="231"/>
      <c r="AA306" s="231"/>
      <c r="AB306" s="231"/>
      <c r="AC306" s="231"/>
      <c r="AD306" s="231"/>
      <c r="AE306" s="231"/>
      <c r="AF306" s="231"/>
      <c r="AG306" s="231"/>
      <c r="AH306" s="231"/>
      <c r="AI306" s="231"/>
      <c r="AJ306" s="231"/>
      <c r="AK306" s="231"/>
      <c r="AL306" s="231"/>
      <c r="AM306" s="231"/>
      <c r="AN306" s="231"/>
    </row>
    <row r="307" spans="1:40" s="203" customFormat="1" ht="12.75" customHeight="1">
      <c r="A307" s="109"/>
      <c r="B307" s="174"/>
      <c r="C307" s="174"/>
      <c r="D307" s="174"/>
      <c r="E307" s="859"/>
      <c r="F307" s="859"/>
      <c r="G307" s="130"/>
      <c r="H307" s="859"/>
      <c r="I307" s="21"/>
      <c r="J307" s="231"/>
      <c r="K307" s="231"/>
      <c r="L307" s="231"/>
      <c r="M307" s="231"/>
      <c r="N307" s="231"/>
      <c r="O307" s="231"/>
      <c r="P307" s="231"/>
      <c r="Q307" s="231"/>
      <c r="R307" s="231"/>
      <c r="S307" s="231"/>
      <c r="T307" s="231"/>
      <c r="U307" s="231"/>
      <c r="V307" s="231"/>
      <c r="W307" s="231"/>
      <c r="X307" s="231"/>
      <c r="Y307" s="231"/>
      <c r="Z307" s="231"/>
      <c r="AA307" s="231"/>
      <c r="AB307" s="231"/>
      <c r="AC307" s="231"/>
      <c r="AD307" s="231"/>
      <c r="AE307" s="231"/>
      <c r="AF307" s="231"/>
      <c r="AG307" s="231"/>
      <c r="AH307" s="231"/>
      <c r="AI307" s="231"/>
      <c r="AJ307" s="231"/>
      <c r="AK307" s="231"/>
      <c r="AL307" s="231"/>
      <c r="AM307" s="231"/>
      <c r="AN307" s="231"/>
    </row>
    <row r="308" spans="1:40" s="203" customFormat="1">
      <c r="A308" s="154" t="s">
        <v>233</v>
      </c>
      <c r="B308" s="47"/>
      <c r="C308" s="47"/>
      <c r="D308" s="47"/>
      <c r="E308" s="859"/>
      <c r="F308" s="859"/>
      <c r="G308" s="130"/>
      <c r="H308" s="859"/>
      <c r="I308" s="21"/>
      <c r="J308" s="231"/>
      <c r="K308" s="231"/>
      <c r="L308" s="231"/>
      <c r="M308" s="231"/>
      <c r="N308" s="231"/>
      <c r="O308" s="231"/>
      <c r="P308" s="231"/>
      <c r="Q308" s="231"/>
      <c r="R308" s="231"/>
      <c r="S308" s="231"/>
      <c r="T308" s="231"/>
      <c r="U308" s="231"/>
      <c r="V308" s="231"/>
      <c r="W308" s="231"/>
      <c r="X308" s="231"/>
      <c r="Y308" s="231"/>
      <c r="Z308" s="231"/>
      <c r="AA308" s="231"/>
      <c r="AB308" s="231"/>
      <c r="AC308" s="231"/>
      <c r="AD308" s="231"/>
      <c r="AE308" s="231"/>
      <c r="AF308" s="231"/>
      <c r="AG308" s="231"/>
      <c r="AH308" s="231"/>
      <c r="AI308" s="231"/>
      <c r="AJ308" s="231"/>
      <c r="AK308" s="231"/>
      <c r="AL308" s="231"/>
      <c r="AM308" s="231"/>
      <c r="AN308" s="231"/>
    </row>
    <row r="309" spans="1:40" s="203" customFormat="1">
      <c r="A309" s="109" t="s">
        <v>83</v>
      </c>
      <c r="B309" s="174"/>
      <c r="C309" s="174"/>
      <c r="D309" s="174"/>
      <c r="E309" s="860"/>
      <c r="F309" s="860"/>
      <c r="G309" s="130"/>
      <c r="H309" s="860"/>
      <c r="I309" s="21"/>
      <c r="J309" s="231"/>
      <c r="K309" s="231"/>
      <c r="L309" s="231"/>
      <c r="M309" s="231"/>
      <c r="N309" s="231"/>
      <c r="O309" s="231"/>
      <c r="P309" s="231"/>
      <c r="Q309" s="231"/>
      <c r="R309" s="231"/>
      <c r="S309" s="231"/>
      <c r="T309" s="231"/>
      <c r="U309" s="231"/>
      <c r="V309" s="231"/>
      <c r="W309" s="231"/>
      <c r="X309" s="231"/>
      <c r="Y309" s="231"/>
      <c r="Z309" s="231"/>
      <c r="AA309" s="231"/>
      <c r="AB309" s="231"/>
      <c r="AC309" s="231"/>
      <c r="AD309" s="231"/>
      <c r="AE309" s="231"/>
      <c r="AF309" s="231"/>
      <c r="AG309" s="231"/>
      <c r="AH309" s="231"/>
      <c r="AI309" s="231"/>
      <c r="AJ309" s="231"/>
      <c r="AK309" s="231"/>
      <c r="AL309" s="231"/>
      <c r="AM309" s="231"/>
      <c r="AN309" s="231"/>
    </row>
    <row r="310" spans="1:40" s="203" customFormat="1">
      <c r="A310" s="110" t="s">
        <v>84</v>
      </c>
      <c r="B310" s="116"/>
      <c r="C310" s="116"/>
      <c r="D310" s="116"/>
      <c r="E310" s="262"/>
      <c r="F310" s="146"/>
      <c r="G310" s="118"/>
      <c r="H310" s="146"/>
      <c r="I310" s="21"/>
      <c r="J310" s="231"/>
      <c r="K310" s="231"/>
      <c r="L310" s="231"/>
      <c r="M310" s="231"/>
      <c r="N310" s="231"/>
      <c r="O310" s="231"/>
      <c r="P310" s="231"/>
      <c r="Q310" s="231"/>
      <c r="R310" s="231"/>
      <c r="S310" s="231"/>
      <c r="T310" s="231"/>
      <c r="U310" s="231"/>
      <c r="V310" s="231"/>
      <c r="W310" s="231"/>
      <c r="X310" s="231"/>
      <c r="Y310" s="231"/>
      <c r="Z310" s="231"/>
      <c r="AA310" s="231"/>
      <c r="AB310" s="231"/>
      <c r="AC310" s="231"/>
      <c r="AD310" s="231"/>
      <c r="AE310" s="231"/>
      <c r="AF310" s="231"/>
      <c r="AG310" s="231"/>
      <c r="AH310" s="231"/>
      <c r="AI310" s="231"/>
      <c r="AJ310" s="231"/>
      <c r="AK310" s="231"/>
      <c r="AL310" s="231"/>
      <c r="AM310" s="231"/>
      <c r="AN310" s="231"/>
    </row>
    <row r="311" spans="1:40" s="203" customFormat="1">
      <c r="A311" s="120">
        <v>1</v>
      </c>
      <c r="B311" s="47" t="s">
        <v>258</v>
      </c>
      <c r="C311" s="47"/>
      <c r="D311" s="186"/>
      <c r="E311" s="74">
        <v>0</v>
      </c>
      <c r="F311" s="52">
        <v>0</v>
      </c>
      <c r="G311" s="21"/>
      <c r="H311" s="52">
        <v>0</v>
      </c>
      <c r="I311" s="21"/>
      <c r="J311" s="231"/>
      <c r="K311" s="231"/>
      <c r="L311" s="231"/>
      <c r="M311" s="231"/>
      <c r="N311" s="231"/>
      <c r="O311" s="231"/>
      <c r="P311" s="231"/>
      <c r="Q311" s="231"/>
      <c r="R311" s="231"/>
      <c r="S311" s="231"/>
      <c r="T311" s="231"/>
      <c r="U311" s="231"/>
      <c r="V311" s="231"/>
      <c r="W311" s="231"/>
      <c r="X311" s="231"/>
      <c r="Y311" s="231"/>
      <c r="Z311" s="231"/>
      <c r="AA311" s="231"/>
      <c r="AB311" s="231"/>
      <c r="AC311" s="231"/>
      <c r="AD311" s="231"/>
      <c r="AE311" s="231"/>
      <c r="AF311" s="231"/>
      <c r="AG311" s="231"/>
      <c r="AH311" s="231"/>
      <c r="AI311" s="231"/>
      <c r="AJ311" s="231"/>
      <c r="AK311" s="231"/>
      <c r="AL311" s="231"/>
      <c r="AM311" s="231"/>
      <c r="AN311" s="231"/>
    </row>
    <row r="312" spans="1:40" s="203" customFormat="1">
      <c r="A312" s="120">
        <v>2</v>
      </c>
      <c r="B312" s="47" t="s">
        <v>234</v>
      </c>
      <c r="C312" s="47"/>
      <c r="D312" s="186"/>
      <c r="E312" s="114">
        <v>0</v>
      </c>
      <c r="F312" s="52">
        <v>0</v>
      </c>
      <c r="G312" s="21"/>
      <c r="H312" s="52">
        <v>0</v>
      </c>
      <c r="I312" s="21"/>
      <c r="J312" s="231"/>
      <c r="K312" s="231"/>
      <c r="L312" s="231"/>
      <c r="M312" s="231"/>
      <c r="N312" s="231"/>
      <c r="O312" s="231"/>
      <c r="P312" s="231"/>
      <c r="Q312" s="231"/>
      <c r="R312" s="231"/>
      <c r="S312" s="231"/>
      <c r="T312" s="231"/>
      <c r="U312" s="231"/>
      <c r="V312" s="231"/>
      <c r="W312" s="231"/>
      <c r="X312" s="231"/>
      <c r="Y312" s="231"/>
      <c r="Z312" s="231"/>
      <c r="AA312" s="231"/>
      <c r="AB312" s="231"/>
      <c r="AC312" s="231"/>
      <c r="AD312" s="231"/>
      <c r="AE312" s="231"/>
      <c r="AF312" s="231"/>
      <c r="AG312" s="231"/>
      <c r="AH312" s="231"/>
      <c r="AI312" s="231"/>
      <c r="AJ312" s="231"/>
      <c r="AK312" s="231"/>
      <c r="AL312" s="231"/>
      <c r="AM312" s="231"/>
      <c r="AN312" s="231"/>
    </row>
    <row r="313" spans="1:40" s="203" customFormat="1">
      <c r="A313" s="120">
        <v>3</v>
      </c>
      <c r="B313" s="47" t="s">
        <v>259</v>
      </c>
      <c r="C313" s="47"/>
      <c r="D313" s="186"/>
      <c r="E313" s="114">
        <v>-91</v>
      </c>
      <c r="F313" s="52">
        <v>-91</v>
      </c>
      <c r="G313" s="21"/>
      <c r="H313" s="52">
        <v>-91</v>
      </c>
      <c r="I313" s="21"/>
      <c r="J313" s="231"/>
      <c r="K313" s="231"/>
      <c r="L313" s="231"/>
      <c r="M313" s="231"/>
      <c r="N313" s="231"/>
      <c r="O313" s="231"/>
      <c r="P313" s="231"/>
      <c r="Q313" s="231"/>
      <c r="R313" s="231"/>
      <c r="S313" s="231"/>
      <c r="T313" s="231"/>
      <c r="U313" s="231"/>
      <c r="V313" s="231"/>
      <c r="W313" s="231"/>
      <c r="X313" s="231"/>
      <c r="Y313" s="231"/>
      <c r="Z313" s="231"/>
      <c r="AA313" s="231"/>
      <c r="AB313" s="231"/>
      <c r="AC313" s="231"/>
      <c r="AD313" s="231"/>
      <c r="AE313" s="231"/>
      <c r="AF313" s="231"/>
      <c r="AG313" s="231"/>
      <c r="AH313" s="231"/>
      <c r="AI313" s="231"/>
      <c r="AJ313" s="231"/>
      <c r="AK313" s="231"/>
      <c r="AL313" s="231"/>
      <c r="AM313" s="231"/>
      <c r="AN313" s="231"/>
    </row>
    <row r="314" spans="1:40" s="203" customFormat="1">
      <c r="A314" s="120">
        <v>4</v>
      </c>
      <c r="B314" s="47" t="s">
        <v>235</v>
      </c>
      <c r="C314" s="47"/>
      <c r="D314" s="186"/>
      <c r="E314" s="114">
        <v>9836</v>
      </c>
      <c r="F314" s="52">
        <v>9843</v>
      </c>
      <c r="G314" s="21"/>
      <c r="H314" s="52">
        <v>9752</v>
      </c>
      <c r="I314" s="21"/>
      <c r="J314" s="231"/>
      <c r="K314" s="231"/>
      <c r="L314" s="231"/>
      <c r="M314" s="231"/>
      <c r="N314" s="231"/>
      <c r="O314" s="231"/>
      <c r="P314" s="231"/>
      <c r="Q314" s="231"/>
      <c r="R314" s="231"/>
      <c r="S314" s="231"/>
      <c r="T314" s="231"/>
      <c r="U314" s="231"/>
      <c r="V314" s="231"/>
      <c r="W314" s="231"/>
      <c r="X314" s="231"/>
      <c r="Y314" s="231"/>
      <c r="Z314" s="231"/>
      <c r="AA314" s="231"/>
      <c r="AB314" s="231"/>
      <c r="AC314" s="231"/>
      <c r="AD314" s="231"/>
      <c r="AE314" s="231"/>
      <c r="AF314" s="231"/>
      <c r="AG314" s="231"/>
      <c r="AH314" s="231"/>
      <c r="AI314" s="231"/>
      <c r="AJ314" s="231"/>
      <c r="AK314" s="231"/>
      <c r="AL314" s="231"/>
      <c r="AM314" s="231"/>
      <c r="AN314" s="231"/>
    </row>
    <row r="315" spans="1:40" s="203" customFormat="1">
      <c r="A315" s="120">
        <v>5</v>
      </c>
      <c r="B315" s="47" t="s">
        <v>236</v>
      </c>
      <c r="C315" s="47"/>
      <c r="D315" s="186"/>
      <c r="E315" s="114">
        <v>893</v>
      </c>
      <c r="F315" s="52">
        <v>893</v>
      </c>
      <c r="G315" s="187"/>
      <c r="H315" s="52">
        <v>1146</v>
      </c>
      <c r="I315" s="21"/>
      <c r="J315" s="231"/>
      <c r="K315" s="231"/>
      <c r="L315" s="231"/>
      <c r="M315" s="231"/>
      <c r="N315" s="231"/>
      <c r="O315" s="231"/>
      <c r="P315" s="231"/>
      <c r="Q315" s="231"/>
      <c r="R315" s="231"/>
      <c r="S315" s="231"/>
      <c r="T315" s="231"/>
      <c r="U315" s="231"/>
      <c r="V315" s="231"/>
      <c r="W315" s="231"/>
      <c r="X315" s="231"/>
      <c r="Y315" s="231"/>
      <c r="Z315" s="231"/>
      <c r="AA315" s="231"/>
      <c r="AB315" s="231"/>
      <c r="AC315" s="231"/>
      <c r="AD315" s="231"/>
      <c r="AE315" s="231"/>
      <c r="AF315" s="231"/>
      <c r="AG315" s="231"/>
      <c r="AH315" s="231"/>
      <c r="AI315" s="231"/>
      <c r="AJ315" s="231"/>
      <c r="AK315" s="231"/>
      <c r="AL315" s="231"/>
      <c r="AM315" s="231"/>
      <c r="AN315" s="231"/>
    </row>
    <row r="316" spans="1:40" s="203" customFormat="1">
      <c r="A316" s="120">
        <v>6</v>
      </c>
      <c r="B316" s="47" t="s">
        <v>237</v>
      </c>
      <c r="C316" s="47"/>
      <c r="D316" s="186"/>
      <c r="E316" s="114">
        <v>7288.5871642764823</v>
      </c>
      <c r="F316" s="52">
        <v>7162</v>
      </c>
      <c r="G316" s="21"/>
      <c r="H316" s="52">
        <v>6169</v>
      </c>
      <c r="I316" s="21"/>
      <c r="J316" s="231"/>
      <c r="K316" s="231"/>
      <c r="L316" s="231"/>
      <c r="M316" s="231"/>
      <c r="N316" s="231"/>
      <c r="O316" s="231"/>
      <c r="P316" s="231"/>
      <c r="Q316" s="231"/>
      <c r="R316" s="231"/>
      <c r="S316" s="231"/>
      <c r="T316" s="231"/>
      <c r="U316" s="231"/>
      <c r="V316" s="231"/>
      <c r="W316" s="231"/>
      <c r="X316" s="231"/>
      <c r="Y316" s="231"/>
      <c r="Z316" s="231"/>
      <c r="AA316" s="231"/>
      <c r="AB316" s="231"/>
      <c r="AC316" s="231"/>
      <c r="AD316" s="231"/>
      <c r="AE316" s="231"/>
      <c r="AF316" s="231"/>
      <c r="AG316" s="231"/>
      <c r="AH316" s="231"/>
      <c r="AI316" s="231"/>
      <c r="AJ316" s="231"/>
      <c r="AK316" s="231"/>
      <c r="AL316" s="231"/>
      <c r="AM316" s="231"/>
      <c r="AN316" s="231"/>
    </row>
    <row r="317" spans="1:40" s="203" customFormat="1">
      <c r="A317" s="120">
        <v>7</v>
      </c>
      <c r="B317" s="47" t="s">
        <v>238</v>
      </c>
      <c r="C317" s="47"/>
      <c r="D317" s="186"/>
      <c r="E317" s="114">
        <v>0</v>
      </c>
      <c r="F317" s="52">
        <v>0</v>
      </c>
      <c r="G317" s="21"/>
      <c r="H317" s="52">
        <v>0</v>
      </c>
      <c r="I317" s="21"/>
      <c r="J317" s="231"/>
      <c r="K317" s="231"/>
      <c r="L317" s="231"/>
      <c r="M317" s="231"/>
      <c r="N317" s="231"/>
      <c r="O317" s="231"/>
      <c r="P317" s="231"/>
      <c r="Q317" s="231"/>
      <c r="R317" s="231"/>
      <c r="S317" s="231"/>
      <c r="T317" s="231"/>
      <c r="U317" s="231"/>
      <c r="V317" s="231"/>
      <c r="W317" s="231"/>
      <c r="X317" s="231"/>
      <c r="Y317" s="231"/>
      <c r="Z317" s="231"/>
      <c r="AA317" s="231"/>
      <c r="AB317" s="231"/>
      <c r="AC317" s="231"/>
      <c r="AD317" s="231"/>
      <c r="AE317" s="231"/>
      <c r="AF317" s="231"/>
      <c r="AG317" s="231"/>
      <c r="AH317" s="231"/>
      <c r="AI317" s="231"/>
      <c r="AJ317" s="231"/>
      <c r="AK317" s="231"/>
      <c r="AL317" s="231"/>
      <c r="AM317" s="231"/>
      <c r="AN317" s="231"/>
    </row>
    <row r="318" spans="1:40" s="203" customFormat="1">
      <c r="A318" s="120">
        <v>8</v>
      </c>
      <c r="B318" s="47" t="s">
        <v>239</v>
      </c>
      <c r="C318" s="47"/>
      <c r="D318" s="186"/>
      <c r="E318" s="114">
        <v>0</v>
      </c>
      <c r="F318" s="52">
        <v>0</v>
      </c>
      <c r="G318" s="21"/>
      <c r="H318" s="52">
        <v>0</v>
      </c>
      <c r="I318" s="21"/>
      <c r="J318" s="231"/>
      <c r="K318" s="231"/>
      <c r="L318" s="231"/>
      <c r="M318" s="231"/>
      <c r="N318" s="231"/>
      <c r="O318" s="231"/>
      <c r="P318" s="231"/>
      <c r="Q318" s="231"/>
      <c r="R318" s="231"/>
      <c r="S318" s="231"/>
      <c r="T318" s="231"/>
      <c r="U318" s="231"/>
      <c r="V318" s="231"/>
      <c r="W318" s="231"/>
      <c r="X318" s="231"/>
      <c r="Y318" s="231"/>
      <c r="Z318" s="231"/>
      <c r="AA318" s="231"/>
      <c r="AB318" s="231"/>
      <c r="AC318" s="231"/>
      <c r="AD318" s="231"/>
      <c r="AE318" s="231"/>
      <c r="AF318" s="231"/>
      <c r="AG318" s="231"/>
      <c r="AH318" s="231"/>
      <c r="AI318" s="231"/>
      <c r="AJ318" s="231"/>
      <c r="AK318" s="231"/>
      <c r="AL318" s="231"/>
      <c r="AM318" s="231"/>
      <c r="AN318" s="231"/>
    </row>
    <row r="319" spans="1:40" s="203" customFormat="1">
      <c r="A319" s="743">
        <v>9</v>
      </c>
      <c r="B319" s="90" t="s">
        <v>260</v>
      </c>
      <c r="C319" s="47"/>
      <c r="D319" s="47"/>
      <c r="E319" s="114">
        <v>0</v>
      </c>
      <c r="F319" s="835"/>
      <c r="G319" s="21"/>
      <c r="H319" s="126">
        <v>0</v>
      </c>
      <c r="I319" s="21"/>
      <c r="J319" s="231"/>
      <c r="K319" s="231"/>
      <c r="L319" s="231"/>
      <c r="M319" s="231"/>
      <c r="N319" s="231"/>
      <c r="O319" s="231"/>
      <c r="P319" s="231"/>
      <c r="Q319" s="231"/>
      <c r="R319" s="231"/>
      <c r="S319" s="231"/>
      <c r="T319" s="231"/>
      <c r="U319" s="231"/>
      <c r="V319" s="231"/>
      <c r="W319" s="231"/>
      <c r="X319" s="231"/>
      <c r="Y319" s="231"/>
      <c r="Z319" s="231"/>
      <c r="AA319" s="231"/>
      <c r="AB319" s="231"/>
      <c r="AC319" s="231"/>
      <c r="AD319" s="231"/>
      <c r="AE319" s="231"/>
      <c r="AF319" s="231"/>
      <c r="AG319" s="231"/>
      <c r="AH319" s="231"/>
      <c r="AI319" s="231"/>
      <c r="AJ319" s="231"/>
      <c r="AK319" s="231"/>
      <c r="AL319" s="231"/>
      <c r="AM319" s="231"/>
      <c r="AN319" s="231"/>
    </row>
    <row r="320" spans="1:40" s="203" customFormat="1">
      <c r="A320" s="124">
        <v>10</v>
      </c>
      <c r="B320" s="94" t="s">
        <v>62</v>
      </c>
      <c r="C320" s="94"/>
      <c r="D320" s="94"/>
      <c r="E320" s="159">
        <v>17926.587164276483</v>
      </c>
      <c r="F320" s="61">
        <f>F311+F312+F313+F314+F315+F316+F317+F318</f>
        <v>17807</v>
      </c>
      <c r="G320" s="118"/>
      <c r="H320" s="61">
        <f>H311+H312+H313+H314+H315+H316+H317+H318+H319</f>
        <v>16976</v>
      </c>
      <c r="I320" s="183"/>
      <c r="J320" s="231"/>
      <c r="K320" s="231"/>
      <c r="L320" s="231"/>
      <c r="M320" s="231"/>
      <c r="N320" s="231"/>
      <c r="O320" s="231"/>
      <c r="P320" s="231"/>
      <c r="Q320" s="231"/>
      <c r="R320" s="231"/>
      <c r="S320" s="231"/>
      <c r="T320" s="231"/>
      <c r="U320" s="231"/>
      <c r="V320" s="231"/>
      <c r="W320" s="231"/>
      <c r="X320" s="231"/>
      <c r="Y320" s="231"/>
      <c r="Z320" s="231"/>
      <c r="AA320" s="231"/>
      <c r="AB320" s="231"/>
      <c r="AC320" s="231"/>
      <c r="AD320" s="231"/>
      <c r="AE320" s="231"/>
      <c r="AF320" s="231"/>
      <c r="AG320" s="231"/>
      <c r="AH320" s="231"/>
      <c r="AI320" s="231"/>
      <c r="AJ320" s="231"/>
      <c r="AK320" s="231"/>
      <c r="AL320" s="231"/>
      <c r="AM320" s="231"/>
      <c r="AN320" s="231"/>
    </row>
    <row r="321" spans="1:40" s="203" customFormat="1">
      <c r="A321" s="179"/>
      <c r="B321" s="180"/>
      <c r="C321" s="180"/>
      <c r="D321" s="180"/>
      <c r="E321" s="180"/>
      <c r="F321" s="183"/>
      <c r="G321" s="21"/>
      <c r="H321" s="183"/>
      <c r="I321" s="183"/>
      <c r="J321" s="231"/>
      <c r="K321" s="231"/>
      <c r="L321" s="231"/>
      <c r="M321" s="231"/>
      <c r="N321" s="231"/>
      <c r="O321" s="231"/>
      <c r="P321" s="231"/>
      <c r="Q321" s="231"/>
      <c r="R321" s="231"/>
      <c r="S321" s="231"/>
      <c r="T321" s="231"/>
      <c r="U321" s="231"/>
      <c r="V321" s="231"/>
      <c r="W321" s="231"/>
      <c r="X321" s="231"/>
      <c r="Y321" s="231"/>
      <c r="Z321" s="231"/>
      <c r="AA321" s="231"/>
      <c r="AB321" s="231"/>
      <c r="AC321" s="231"/>
      <c r="AD321" s="231"/>
      <c r="AE321" s="231"/>
      <c r="AF321" s="231"/>
      <c r="AG321" s="231"/>
      <c r="AH321" s="231"/>
      <c r="AI321" s="231"/>
      <c r="AJ321" s="231"/>
      <c r="AK321" s="231"/>
      <c r="AL321" s="231"/>
      <c r="AM321" s="231"/>
      <c r="AN321" s="231"/>
    </row>
    <row r="322" spans="1:40" s="203" customFormat="1">
      <c r="A322" s="148"/>
      <c r="B322" s="207"/>
      <c r="C322" s="207"/>
      <c r="D322" s="29"/>
      <c r="E322" s="29"/>
      <c r="F322" s="29"/>
      <c r="G322" s="29"/>
      <c r="H322" s="31" t="s">
        <v>27</v>
      </c>
      <c r="I322" s="2"/>
      <c r="J322" s="231"/>
      <c r="K322" s="231"/>
      <c r="L322" s="231"/>
      <c r="M322" s="231"/>
      <c r="N322" s="231"/>
      <c r="O322" s="231"/>
      <c r="P322" s="231"/>
      <c r="Q322" s="231"/>
      <c r="R322" s="231"/>
      <c r="S322" s="231"/>
      <c r="T322" s="231"/>
      <c r="U322" s="231"/>
      <c r="V322" s="231"/>
      <c r="W322" s="231"/>
      <c r="X322" s="231"/>
      <c r="Y322" s="231"/>
      <c r="Z322" s="231"/>
      <c r="AA322" s="231"/>
      <c r="AB322" s="231"/>
      <c r="AC322" s="231"/>
      <c r="AD322" s="231"/>
      <c r="AE322" s="231"/>
      <c r="AF322" s="231"/>
      <c r="AG322" s="231"/>
      <c r="AH322" s="231"/>
      <c r="AI322" s="231"/>
      <c r="AJ322" s="231"/>
      <c r="AK322" s="231"/>
      <c r="AL322" s="231"/>
      <c r="AM322" s="231"/>
      <c r="AN322" s="231"/>
    </row>
    <row r="323" spans="1:40" s="203" customFormat="1">
      <c r="A323" s="190" t="s">
        <v>240</v>
      </c>
      <c r="B323" s="263"/>
      <c r="C323" s="861" t="s">
        <v>405</v>
      </c>
      <c r="D323" s="862"/>
      <c r="E323" s="862"/>
      <c r="F323" s="862"/>
      <c r="G323" s="862"/>
      <c r="H323" s="863"/>
      <c r="I323" s="210"/>
      <c r="J323" s="231"/>
      <c r="K323" s="231"/>
      <c r="L323" s="231"/>
      <c r="M323" s="231"/>
      <c r="N323" s="231"/>
      <c r="O323" s="231"/>
      <c r="P323" s="231"/>
      <c r="Q323" s="231"/>
      <c r="R323" s="231"/>
      <c r="S323" s="231"/>
      <c r="T323" s="231"/>
      <c r="U323" s="231"/>
      <c r="V323" s="231"/>
      <c r="W323" s="231"/>
      <c r="X323" s="231"/>
      <c r="Y323" s="231"/>
      <c r="Z323" s="231"/>
      <c r="AA323" s="231"/>
      <c r="AB323" s="231"/>
      <c r="AC323" s="231"/>
      <c r="AD323" s="231"/>
      <c r="AE323" s="231"/>
      <c r="AF323" s="231"/>
      <c r="AG323" s="231"/>
      <c r="AH323" s="231"/>
      <c r="AI323" s="231"/>
      <c r="AJ323" s="231"/>
      <c r="AK323" s="231"/>
      <c r="AL323" s="231"/>
      <c r="AM323" s="231"/>
      <c r="AN323" s="231"/>
    </row>
    <row r="324" spans="1:40" s="203" customFormat="1" ht="39" thickBot="1">
      <c r="A324" s="110" t="s">
        <v>84</v>
      </c>
      <c r="B324" s="116"/>
      <c r="C324" s="35" t="s">
        <v>52</v>
      </c>
      <c r="D324" s="35" t="s">
        <v>53</v>
      </c>
      <c r="E324" s="37" t="s">
        <v>54</v>
      </c>
      <c r="F324" s="37" t="s">
        <v>55</v>
      </c>
      <c r="G324" s="37" t="s">
        <v>241</v>
      </c>
      <c r="H324" s="35" t="s">
        <v>121</v>
      </c>
      <c r="I324" s="29"/>
      <c r="J324" s="231"/>
      <c r="K324" s="231"/>
      <c r="L324" s="231"/>
      <c r="M324" s="231"/>
      <c r="N324" s="231"/>
      <c r="O324" s="231"/>
      <c r="P324" s="231"/>
      <c r="Q324" s="231"/>
      <c r="R324" s="231"/>
      <c r="S324" s="231"/>
      <c r="T324" s="231"/>
      <c r="U324" s="231"/>
      <c r="V324" s="231"/>
      <c r="W324" s="231"/>
      <c r="X324" s="231"/>
      <c r="Y324" s="231"/>
      <c r="Z324" s="231"/>
      <c r="AA324" s="231"/>
      <c r="AB324" s="231"/>
      <c r="AC324" s="231"/>
      <c r="AD324" s="231"/>
      <c r="AE324" s="231"/>
      <c r="AF324" s="231"/>
      <c r="AG324" s="231"/>
      <c r="AH324" s="231"/>
      <c r="AI324" s="231"/>
      <c r="AJ324" s="231"/>
      <c r="AK324" s="231"/>
      <c r="AL324" s="231"/>
      <c r="AM324" s="231"/>
      <c r="AN324" s="231"/>
    </row>
    <row r="325" spans="1:40" s="203" customFormat="1" ht="13.5" thickBot="1">
      <c r="A325" s="743">
        <v>1</v>
      </c>
      <c r="B325" s="116" t="s">
        <v>242</v>
      </c>
      <c r="C325" s="193">
        <f t="shared" ref="C325:H325" si="0">SUM(C326:C329)</f>
        <v>8061</v>
      </c>
      <c r="D325" s="193">
        <f t="shared" si="0"/>
        <v>0</v>
      </c>
      <c r="E325" s="193">
        <v>0</v>
      </c>
      <c r="F325" s="193">
        <f t="shared" si="0"/>
        <v>0</v>
      </c>
      <c r="G325" s="193">
        <f>SUM(G326:G329)</f>
        <v>0</v>
      </c>
      <c r="H325" s="193">
        <f t="shared" si="0"/>
        <v>0</v>
      </c>
      <c r="I325" s="207"/>
      <c r="J325" s="231"/>
      <c r="K325" s="231"/>
      <c r="L325" s="231"/>
      <c r="M325" s="231"/>
      <c r="N325" s="231"/>
      <c r="O325" s="231"/>
      <c r="P325" s="231"/>
      <c r="Q325" s="231"/>
      <c r="R325" s="231"/>
      <c r="S325" s="231"/>
      <c r="T325" s="231"/>
      <c r="U325" s="231"/>
      <c r="V325" s="231"/>
      <c r="W325" s="231"/>
      <c r="X325" s="231"/>
      <c r="Y325" s="231"/>
      <c r="Z325" s="231"/>
      <c r="AA325" s="231"/>
      <c r="AB325" s="231"/>
      <c r="AC325" s="231"/>
      <c r="AD325" s="231"/>
      <c r="AE325" s="231"/>
      <c r="AF325" s="231"/>
      <c r="AG325" s="231"/>
      <c r="AH325" s="231"/>
      <c r="AI325" s="231"/>
      <c r="AJ325" s="231"/>
      <c r="AK325" s="231"/>
      <c r="AL325" s="231"/>
      <c r="AM325" s="231"/>
      <c r="AN325" s="231"/>
    </row>
    <row r="326" spans="1:40" s="203" customFormat="1">
      <c r="A326" s="743">
        <v>2</v>
      </c>
      <c r="B326" s="47" t="s">
        <v>243</v>
      </c>
      <c r="C326" s="247">
        <v>3889</v>
      </c>
      <c r="D326" s="247">
        <v>0</v>
      </c>
      <c r="E326" s="247">
        <v>0</v>
      </c>
      <c r="F326" s="247">
        <v>0</v>
      </c>
      <c r="G326" s="247">
        <v>0</v>
      </c>
      <c r="H326" s="247">
        <v>0</v>
      </c>
      <c r="I326" s="207"/>
      <c r="J326" s="231"/>
      <c r="K326" s="231"/>
      <c r="L326" s="231"/>
      <c r="M326" s="231"/>
      <c r="N326" s="231"/>
      <c r="O326" s="231"/>
      <c r="P326" s="231"/>
      <c r="Q326" s="231"/>
      <c r="R326" s="231"/>
      <c r="S326" s="231"/>
      <c r="T326" s="231"/>
      <c r="U326" s="231"/>
      <c r="V326" s="231"/>
      <c r="W326" s="231"/>
      <c r="X326" s="231"/>
      <c r="Y326" s="231"/>
      <c r="Z326" s="231"/>
      <c r="AA326" s="231"/>
      <c r="AB326" s="231"/>
      <c r="AC326" s="231"/>
      <c r="AD326" s="231"/>
      <c r="AE326" s="231"/>
      <c r="AF326" s="231"/>
      <c r="AG326" s="231"/>
      <c r="AH326" s="231"/>
      <c r="AI326" s="231"/>
      <c r="AJ326" s="231"/>
      <c r="AK326" s="231"/>
      <c r="AL326" s="231"/>
      <c r="AM326" s="231"/>
      <c r="AN326" s="231"/>
    </row>
    <row r="327" spans="1:40" s="203" customFormat="1">
      <c r="A327" s="743">
        <v>3</v>
      </c>
      <c r="B327" s="47" t="s">
        <v>244</v>
      </c>
      <c r="C327" s="247">
        <v>3279</v>
      </c>
      <c r="D327" s="247">
        <v>0</v>
      </c>
      <c r="E327" s="247">
        <v>0</v>
      </c>
      <c r="F327" s="247">
        <v>0</v>
      </c>
      <c r="G327" s="247">
        <v>0</v>
      </c>
      <c r="H327" s="247">
        <v>0</v>
      </c>
      <c r="I327" s="207"/>
      <c r="J327" s="231"/>
      <c r="K327" s="231"/>
      <c r="L327" s="231"/>
      <c r="M327" s="231"/>
      <c r="N327" s="231"/>
      <c r="O327" s="231"/>
      <c r="P327" s="231"/>
      <c r="Q327" s="231"/>
      <c r="R327" s="231"/>
      <c r="S327" s="231"/>
      <c r="T327" s="231"/>
      <c r="U327" s="231"/>
      <c r="V327" s="231"/>
      <c r="W327" s="231"/>
      <c r="X327" s="231"/>
      <c r="Y327" s="231"/>
      <c r="Z327" s="231"/>
      <c r="AA327" s="231"/>
      <c r="AB327" s="231"/>
      <c r="AC327" s="231"/>
      <c r="AD327" s="231"/>
      <c r="AE327" s="231"/>
      <c r="AF327" s="231"/>
      <c r="AG327" s="231"/>
      <c r="AH327" s="231"/>
      <c r="AI327" s="231"/>
      <c r="AJ327" s="231"/>
      <c r="AK327" s="231"/>
      <c r="AL327" s="231"/>
      <c r="AM327" s="231"/>
      <c r="AN327" s="231"/>
    </row>
    <row r="328" spans="1:40" s="203" customFormat="1">
      <c r="A328" s="743">
        <v>4</v>
      </c>
      <c r="B328" s="47" t="s">
        <v>245</v>
      </c>
      <c r="C328" s="247">
        <v>893</v>
      </c>
      <c r="D328" s="247">
        <v>0</v>
      </c>
      <c r="E328" s="247">
        <v>0</v>
      </c>
      <c r="F328" s="247">
        <v>0</v>
      </c>
      <c r="G328" s="247">
        <v>0</v>
      </c>
      <c r="H328" s="247">
        <v>0</v>
      </c>
      <c r="I328" s="207"/>
      <c r="J328" s="231"/>
      <c r="K328" s="231"/>
      <c r="L328" s="231"/>
      <c r="M328" s="231"/>
      <c r="N328" s="231"/>
      <c r="O328" s="231"/>
      <c r="P328" s="231"/>
      <c r="Q328" s="231"/>
      <c r="R328" s="231"/>
      <c r="S328" s="231"/>
      <c r="T328" s="231"/>
      <c r="U328" s="231"/>
      <c r="V328" s="231"/>
      <c r="W328" s="231"/>
      <c r="X328" s="231"/>
      <c r="Y328" s="231"/>
      <c r="Z328" s="231"/>
      <c r="AA328" s="231"/>
      <c r="AB328" s="231"/>
      <c r="AC328" s="231"/>
      <c r="AD328" s="231"/>
      <c r="AE328" s="231"/>
      <c r="AF328" s="231"/>
      <c r="AG328" s="231"/>
      <c r="AH328" s="231"/>
      <c r="AI328" s="231"/>
      <c r="AJ328" s="231"/>
      <c r="AK328" s="231"/>
      <c r="AL328" s="231"/>
      <c r="AM328" s="231"/>
      <c r="AN328" s="231"/>
    </row>
    <row r="329" spans="1:40" s="203" customFormat="1">
      <c r="A329" s="744">
        <v>5</v>
      </c>
      <c r="B329" s="54" t="s">
        <v>246</v>
      </c>
      <c r="C329" s="247">
        <v>0</v>
      </c>
      <c r="D329" s="247">
        <v>0</v>
      </c>
      <c r="E329" s="247">
        <v>0</v>
      </c>
      <c r="F329" s="247">
        <v>0</v>
      </c>
      <c r="G329" s="247">
        <v>0</v>
      </c>
      <c r="H329" s="247">
        <v>0</v>
      </c>
      <c r="I329" s="207"/>
      <c r="J329" s="231"/>
      <c r="K329" s="231"/>
      <c r="L329" s="231"/>
      <c r="M329" s="231"/>
      <c r="N329" s="231"/>
      <c r="O329" s="231"/>
      <c r="P329" s="231"/>
      <c r="Q329" s="231"/>
      <c r="R329" s="231"/>
      <c r="S329" s="231"/>
      <c r="T329" s="231"/>
      <c r="U329" s="231"/>
      <c r="V329" s="231"/>
      <c r="W329" s="231"/>
      <c r="X329" s="231"/>
      <c r="Y329" s="231"/>
      <c r="Z329" s="231"/>
      <c r="AA329" s="231"/>
      <c r="AB329" s="231"/>
      <c r="AC329" s="231"/>
      <c r="AD329" s="231"/>
      <c r="AE329" s="231"/>
      <c r="AF329" s="231"/>
      <c r="AG329" s="231"/>
      <c r="AH329" s="231"/>
      <c r="AI329" s="231"/>
      <c r="AJ329" s="231"/>
      <c r="AK329" s="231"/>
      <c r="AL329" s="231"/>
      <c r="AM329" s="231"/>
      <c r="AN329" s="231"/>
    </row>
    <row r="330" spans="1:40" s="203" customFormat="1">
      <c r="A330" s="743"/>
      <c r="B330" s="47"/>
      <c r="C330" s="864" t="s">
        <v>404</v>
      </c>
      <c r="D330" s="865"/>
      <c r="E330" s="865"/>
      <c r="F330" s="865"/>
      <c r="G330" s="865"/>
      <c r="H330" s="866"/>
      <c r="I330" s="207"/>
      <c r="J330" s="231"/>
      <c r="K330" s="231"/>
      <c r="L330" s="231"/>
      <c r="M330" s="231"/>
      <c r="N330" s="231"/>
      <c r="O330" s="231"/>
      <c r="P330" s="231"/>
      <c r="Q330" s="231"/>
      <c r="R330" s="231"/>
      <c r="S330" s="231"/>
      <c r="T330" s="231"/>
      <c r="U330" s="231"/>
      <c r="V330" s="231"/>
      <c r="W330" s="231"/>
      <c r="X330" s="231"/>
      <c r="Y330" s="231"/>
      <c r="Z330" s="231"/>
      <c r="AA330" s="231"/>
      <c r="AB330" s="231"/>
      <c r="AC330" s="231"/>
      <c r="AD330" s="231"/>
      <c r="AE330" s="231"/>
      <c r="AF330" s="231"/>
      <c r="AG330" s="231"/>
      <c r="AH330" s="231"/>
      <c r="AI330" s="231"/>
      <c r="AJ330" s="231"/>
      <c r="AK330" s="231"/>
      <c r="AL330" s="231"/>
      <c r="AM330" s="231"/>
      <c r="AN330" s="231"/>
    </row>
    <row r="331" spans="1:40" s="203" customFormat="1" ht="39" thickBot="1">
      <c r="A331" s="110" t="s">
        <v>84</v>
      </c>
      <c r="B331" s="116"/>
      <c r="C331" s="35" t="s">
        <v>52</v>
      </c>
      <c r="D331" s="35" t="s">
        <v>53</v>
      </c>
      <c r="E331" s="37" t="s">
        <v>54</v>
      </c>
      <c r="F331" s="37" t="s">
        <v>55</v>
      </c>
      <c r="G331" s="37" t="s">
        <v>241</v>
      </c>
      <c r="H331" s="35" t="s">
        <v>121</v>
      </c>
      <c r="I331" s="207"/>
      <c r="J331" s="231"/>
      <c r="K331" s="231"/>
      <c r="L331" s="231"/>
      <c r="M331" s="231"/>
      <c r="N331" s="231"/>
      <c r="O331" s="231"/>
      <c r="P331" s="231"/>
      <c r="Q331" s="231"/>
      <c r="R331" s="231"/>
      <c r="S331" s="231"/>
      <c r="T331" s="231"/>
      <c r="U331" s="231"/>
      <c r="V331" s="231"/>
      <c r="W331" s="231"/>
      <c r="X331" s="231"/>
      <c r="Y331" s="231"/>
      <c r="Z331" s="231"/>
      <c r="AA331" s="231"/>
      <c r="AB331" s="231"/>
      <c r="AC331" s="231"/>
      <c r="AD331" s="231"/>
      <c r="AE331" s="231"/>
      <c r="AF331" s="231"/>
      <c r="AG331" s="231"/>
      <c r="AH331" s="231"/>
      <c r="AI331" s="231"/>
      <c r="AJ331" s="231"/>
      <c r="AK331" s="231"/>
      <c r="AL331" s="231"/>
      <c r="AM331" s="231"/>
      <c r="AN331" s="231"/>
    </row>
    <row r="332" spans="1:40" s="203" customFormat="1" ht="13.5" thickBot="1">
      <c r="A332" s="743">
        <v>1</v>
      </c>
      <c r="B332" s="116" t="s">
        <v>242</v>
      </c>
      <c r="C332" s="193">
        <f t="shared" ref="C332:H332" si="1">SUM(C333:C336)</f>
        <v>8259</v>
      </c>
      <c r="D332" s="193">
        <f t="shared" si="1"/>
        <v>0</v>
      </c>
      <c r="E332" s="193">
        <v>0</v>
      </c>
      <c r="F332" s="193">
        <f t="shared" si="1"/>
        <v>0</v>
      </c>
      <c r="G332" s="193">
        <f>SUM(G333:G336)</f>
        <v>0</v>
      </c>
      <c r="H332" s="193">
        <f t="shared" si="1"/>
        <v>0</v>
      </c>
      <c r="I332" s="207"/>
      <c r="J332" s="231"/>
      <c r="K332" s="231"/>
      <c r="L332" s="231"/>
      <c r="M332" s="231"/>
      <c r="N332" s="231"/>
      <c r="O332" s="231"/>
      <c r="P332" s="231"/>
      <c r="Q332" s="231"/>
      <c r="R332" s="231"/>
      <c r="S332" s="231"/>
      <c r="T332" s="231"/>
      <c r="U332" s="231"/>
      <c r="V332" s="231"/>
      <c r="W332" s="231"/>
      <c r="X332" s="231"/>
      <c r="Y332" s="231"/>
      <c r="Z332" s="231"/>
      <c r="AA332" s="231"/>
      <c r="AB332" s="231"/>
      <c r="AC332" s="231"/>
      <c r="AD332" s="231"/>
      <c r="AE332" s="231"/>
      <c r="AF332" s="231"/>
      <c r="AG332" s="231"/>
      <c r="AH332" s="231"/>
      <c r="AI332" s="231"/>
      <c r="AJ332" s="231"/>
      <c r="AK332" s="231"/>
      <c r="AL332" s="231"/>
      <c r="AM332" s="231"/>
      <c r="AN332" s="231"/>
    </row>
    <row r="333" spans="1:40" s="203" customFormat="1">
      <c r="A333" s="743">
        <v>2</v>
      </c>
      <c r="B333" s="47" t="s">
        <v>243</v>
      </c>
      <c r="C333" s="247">
        <v>3798</v>
      </c>
      <c r="D333" s="247">
        <v>0</v>
      </c>
      <c r="E333" s="247">
        <v>0</v>
      </c>
      <c r="F333" s="247">
        <v>0</v>
      </c>
      <c r="G333" s="247">
        <v>0</v>
      </c>
      <c r="H333" s="247">
        <v>0</v>
      </c>
      <c r="I333" s="207"/>
      <c r="J333" s="231"/>
      <c r="K333" s="231"/>
      <c r="L333" s="231"/>
      <c r="M333" s="231"/>
      <c r="N333" s="231"/>
      <c r="O333" s="231"/>
      <c r="P333" s="231"/>
      <c r="Q333" s="231"/>
      <c r="R333" s="231"/>
      <c r="S333" s="231"/>
      <c r="T333" s="231"/>
      <c r="U333" s="231"/>
      <c r="V333" s="231"/>
      <c r="W333" s="231"/>
      <c r="X333" s="231"/>
      <c r="Y333" s="231"/>
      <c r="Z333" s="231"/>
      <c r="AA333" s="231"/>
      <c r="AB333" s="231"/>
      <c r="AC333" s="231"/>
      <c r="AD333" s="231"/>
      <c r="AE333" s="231"/>
      <c r="AF333" s="231"/>
      <c r="AG333" s="231"/>
      <c r="AH333" s="231"/>
      <c r="AI333" s="231"/>
      <c r="AJ333" s="231"/>
      <c r="AK333" s="231"/>
      <c r="AL333" s="231"/>
      <c r="AM333" s="231"/>
      <c r="AN333" s="231"/>
    </row>
    <row r="334" spans="1:40" s="203" customFormat="1">
      <c r="A334" s="743">
        <v>3</v>
      </c>
      <c r="B334" s="47" t="s">
        <v>244</v>
      </c>
      <c r="C334" s="247">
        <v>3315</v>
      </c>
      <c r="D334" s="247">
        <v>0</v>
      </c>
      <c r="E334" s="247">
        <v>0</v>
      </c>
      <c r="F334" s="247">
        <v>0</v>
      </c>
      <c r="G334" s="247">
        <v>0</v>
      </c>
      <c r="H334" s="247">
        <v>0</v>
      </c>
      <c r="I334" s="207"/>
      <c r="J334" s="231"/>
      <c r="K334" s="231"/>
      <c r="L334" s="231"/>
      <c r="M334" s="231"/>
      <c r="N334" s="231"/>
      <c r="O334" s="231"/>
      <c r="P334" s="231"/>
      <c r="Q334" s="231"/>
      <c r="R334" s="231"/>
      <c r="S334" s="231"/>
      <c r="T334" s="231"/>
      <c r="U334" s="231"/>
      <c r="V334" s="231"/>
      <c r="W334" s="231"/>
      <c r="X334" s="231"/>
      <c r="Y334" s="231"/>
      <c r="Z334" s="231"/>
      <c r="AA334" s="231"/>
      <c r="AB334" s="231"/>
      <c r="AC334" s="231"/>
      <c r="AD334" s="231"/>
      <c r="AE334" s="231"/>
      <c r="AF334" s="231"/>
      <c r="AG334" s="231"/>
      <c r="AH334" s="231"/>
      <c r="AI334" s="231"/>
      <c r="AJ334" s="231"/>
      <c r="AK334" s="231"/>
      <c r="AL334" s="231"/>
      <c r="AM334" s="231"/>
      <c r="AN334" s="231"/>
    </row>
    <row r="335" spans="1:40" s="203" customFormat="1">
      <c r="A335" s="743">
        <v>4</v>
      </c>
      <c r="B335" s="47" t="s">
        <v>245</v>
      </c>
      <c r="C335" s="247">
        <v>1146</v>
      </c>
      <c r="D335" s="247">
        <v>0</v>
      </c>
      <c r="E335" s="247">
        <v>0</v>
      </c>
      <c r="F335" s="247">
        <v>0</v>
      </c>
      <c r="G335" s="247">
        <v>0</v>
      </c>
      <c r="H335" s="247">
        <v>0</v>
      </c>
      <c r="I335" s="207"/>
      <c r="J335" s="231"/>
      <c r="K335" s="231"/>
      <c r="L335" s="231"/>
      <c r="M335" s="231"/>
      <c r="N335" s="231"/>
      <c r="O335" s="231"/>
      <c r="P335" s="231"/>
      <c r="Q335" s="231"/>
      <c r="R335" s="231"/>
      <c r="S335" s="231"/>
      <c r="T335" s="231"/>
      <c r="U335" s="231"/>
      <c r="V335" s="231"/>
      <c r="W335" s="231"/>
      <c r="X335" s="231"/>
      <c r="Y335" s="231"/>
      <c r="Z335" s="231"/>
      <c r="AA335" s="231"/>
      <c r="AB335" s="231"/>
      <c r="AC335" s="231"/>
      <c r="AD335" s="231"/>
      <c r="AE335" s="231"/>
      <c r="AF335" s="231"/>
      <c r="AG335" s="231"/>
      <c r="AH335" s="231"/>
      <c r="AI335" s="231"/>
      <c r="AJ335" s="231"/>
      <c r="AK335" s="231"/>
      <c r="AL335" s="231"/>
      <c r="AM335" s="231"/>
      <c r="AN335" s="231"/>
    </row>
    <row r="336" spans="1:40" s="203" customFormat="1">
      <c r="A336" s="744">
        <v>5</v>
      </c>
      <c r="B336" s="54" t="s">
        <v>246</v>
      </c>
      <c r="C336" s="247">
        <v>0</v>
      </c>
      <c r="D336" s="247">
        <v>0</v>
      </c>
      <c r="E336" s="247">
        <v>0</v>
      </c>
      <c r="F336" s="247">
        <v>0</v>
      </c>
      <c r="G336" s="247">
        <v>0</v>
      </c>
      <c r="H336" s="247">
        <v>0</v>
      </c>
      <c r="I336" s="207"/>
      <c r="J336" s="231"/>
      <c r="K336" s="231"/>
      <c r="L336" s="231"/>
      <c r="M336" s="231"/>
      <c r="N336" s="231"/>
      <c r="O336" s="231"/>
      <c r="P336" s="231"/>
      <c r="Q336" s="231"/>
      <c r="R336" s="231"/>
      <c r="S336" s="231"/>
      <c r="T336" s="231"/>
      <c r="U336" s="231"/>
      <c r="V336" s="231"/>
      <c r="W336" s="231"/>
      <c r="X336" s="231"/>
      <c r="Y336" s="231"/>
      <c r="Z336" s="231"/>
      <c r="AA336" s="231"/>
      <c r="AB336" s="231"/>
      <c r="AC336" s="231"/>
      <c r="AD336" s="231"/>
      <c r="AE336" s="231"/>
      <c r="AF336" s="231"/>
      <c r="AG336" s="231"/>
      <c r="AH336" s="231"/>
      <c r="AI336" s="231"/>
      <c r="AJ336" s="231"/>
      <c r="AK336" s="231"/>
      <c r="AL336" s="231"/>
      <c r="AM336" s="231"/>
      <c r="AN336" s="231"/>
    </row>
    <row r="337" spans="1:40" s="203" customFormat="1">
      <c r="A337" s="23"/>
      <c r="B337" s="207"/>
      <c r="C337" s="207"/>
      <c r="D337" s="207"/>
      <c r="E337" s="207"/>
      <c r="F337" s="207"/>
      <c r="G337" s="207"/>
      <c r="H337" s="21"/>
      <c r="I337" s="21"/>
      <c r="J337" s="231"/>
      <c r="K337" s="231"/>
      <c r="L337" s="231"/>
      <c r="M337" s="231"/>
      <c r="N337" s="231"/>
      <c r="O337" s="231"/>
      <c r="P337" s="231"/>
      <c r="Q337" s="231"/>
      <c r="R337" s="231"/>
      <c r="S337" s="231"/>
      <c r="T337" s="231"/>
      <c r="U337" s="231"/>
      <c r="V337" s="231"/>
      <c r="W337" s="231"/>
      <c r="X337" s="231"/>
      <c r="Y337" s="231"/>
      <c r="Z337" s="231"/>
      <c r="AA337" s="231"/>
      <c r="AB337" s="231"/>
      <c r="AC337" s="231"/>
      <c r="AD337" s="231"/>
      <c r="AE337" s="231"/>
      <c r="AF337" s="231"/>
      <c r="AG337" s="231"/>
      <c r="AH337" s="231"/>
      <c r="AI337" s="231"/>
      <c r="AJ337" s="231"/>
      <c r="AK337" s="231"/>
      <c r="AL337" s="231"/>
      <c r="AM337" s="231"/>
      <c r="AN337" s="231"/>
    </row>
    <row r="338" spans="1:40" s="203" customFormat="1" ht="12.75" customHeight="1">
      <c r="A338" s="23"/>
      <c r="B338" s="207"/>
      <c r="C338" s="207"/>
      <c r="D338" s="207"/>
      <c r="E338" s="207"/>
      <c r="F338" s="207"/>
      <c r="G338" s="207"/>
      <c r="H338" s="21"/>
      <c r="I338" s="21"/>
      <c r="J338" s="231"/>
      <c r="K338" s="231"/>
      <c r="L338" s="231"/>
      <c r="M338" s="231"/>
      <c r="N338" s="231"/>
      <c r="O338" s="231"/>
      <c r="P338" s="231"/>
      <c r="Q338" s="231"/>
      <c r="R338" s="231"/>
      <c r="S338" s="231"/>
      <c r="T338" s="231"/>
      <c r="U338" s="231"/>
      <c r="V338" s="231"/>
      <c r="W338" s="231"/>
      <c r="X338" s="231"/>
      <c r="Y338" s="231"/>
      <c r="Z338" s="231"/>
      <c r="AA338" s="231"/>
      <c r="AB338" s="231"/>
      <c r="AC338" s="231"/>
      <c r="AD338" s="231"/>
      <c r="AE338" s="231"/>
      <c r="AF338" s="231"/>
      <c r="AG338" s="231"/>
      <c r="AH338" s="231"/>
      <c r="AI338" s="231"/>
      <c r="AJ338" s="231"/>
      <c r="AK338" s="231"/>
      <c r="AL338" s="231"/>
      <c r="AM338" s="231"/>
      <c r="AN338" s="231"/>
    </row>
    <row r="339" spans="1:40" s="203" customFormat="1">
      <c r="A339" s="23"/>
      <c r="B339" s="207"/>
      <c r="C339" s="207"/>
      <c r="D339" s="207"/>
      <c r="E339" s="207"/>
      <c r="F339" s="207"/>
      <c r="G339" s="207"/>
      <c r="H339" s="21"/>
      <c r="I339" s="21"/>
      <c r="J339" s="231"/>
      <c r="K339" s="231"/>
      <c r="L339" s="231"/>
      <c r="M339" s="231"/>
      <c r="N339" s="231"/>
      <c r="O339" s="231"/>
      <c r="P339" s="231"/>
      <c r="Q339" s="231"/>
      <c r="R339" s="231"/>
      <c r="S339" s="231"/>
      <c r="T339" s="231"/>
      <c r="U339" s="231"/>
      <c r="V339" s="231"/>
      <c r="W339" s="231"/>
      <c r="X339" s="231"/>
      <c r="Y339" s="231"/>
      <c r="Z339" s="231"/>
      <c r="AA339" s="231"/>
      <c r="AB339" s="231"/>
      <c r="AC339" s="231"/>
      <c r="AD339" s="231"/>
      <c r="AE339" s="231"/>
      <c r="AF339" s="231"/>
      <c r="AG339" s="231"/>
      <c r="AH339" s="231"/>
      <c r="AI339" s="231"/>
      <c r="AJ339" s="231"/>
      <c r="AK339" s="231"/>
      <c r="AL339" s="231"/>
      <c r="AM339" s="231"/>
      <c r="AN339" s="231"/>
    </row>
    <row r="340" spans="1:40" s="203" customFormat="1">
      <c r="A340" s="23"/>
      <c r="B340" s="207"/>
      <c r="C340" s="207"/>
      <c r="D340" s="207"/>
      <c r="E340" s="207"/>
      <c r="F340" s="207"/>
      <c r="G340" s="207"/>
      <c r="H340" s="131" t="s">
        <v>27</v>
      </c>
      <c r="I340" s="21"/>
      <c r="J340" s="231"/>
      <c r="K340" s="231"/>
      <c r="L340" s="231"/>
      <c r="M340" s="231"/>
      <c r="N340" s="231"/>
      <c r="O340" s="231"/>
      <c r="P340" s="231"/>
      <c r="Q340" s="231"/>
      <c r="R340" s="231"/>
      <c r="S340" s="231"/>
      <c r="T340" s="231"/>
      <c r="U340" s="231"/>
      <c r="V340" s="231"/>
      <c r="W340" s="231"/>
      <c r="X340" s="231"/>
      <c r="Y340" s="231"/>
      <c r="Z340" s="231"/>
      <c r="AA340" s="231"/>
      <c r="AB340" s="231"/>
      <c r="AC340" s="231"/>
      <c r="AD340" s="231"/>
      <c r="AE340" s="231"/>
      <c r="AF340" s="231"/>
      <c r="AG340" s="231"/>
      <c r="AH340" s="231"/>
      <c r="AI340" s="231"/>
      <c r="AJ340" s="231"/>
      <c r="AK340" s="231"/>
      <c r="AL340" s="231"/>
      <c r="AM340" s="231"/>
      <c r="AN340" s="231"/>
    </row>
    <row r="341" spans="1:40" s="203" customFormat="1">
      <c r="A341" s="197"/>
      <c r="B341" s="69"/>
      <c r="C341" s="69"/>
      <c r="D341" s="69"/>
      <c r="E341" s="856" t="s">
        <v>377</v>
      </c>
      <c r="F341" s="853" t="s">
        <v>402</v>
      </c>
      <c r="G341" s="207"/>
      <c r="H341" s="856" t="s">
        <v>403</v>
      </c>
      <c r="I341" s="21"/>
      <c r="J341" s="231"/>
      <c r="K341" s="231"/>
      <c r="L341" s="231"/>
      <c r="M341" s="231"/>
      <c r="N341" s="231"/>
      <c r="O341" s="231"/>
      <c r="P341" s="231"/>
      <c r="Q341" s="231"/>
      <c r="R341" s="231"/>
      <c r="S341" s="231"/>
      <c r="T341" s="231"/>
      <c r="U341" s="231"/>
      <c r="V341" s="231"/>
      <c r="W341" s="231"/>
      <c r="X341" s="231"/>
      <c r="Y341" s="231"/>
      <c r="Z341" s="231"/>
      <c r="AA341" s="231"/>
      <c r="AB341" s="231"/>
      <c r="AC341" s="231"/>
      <c r="AD341" s="231"/>
      <c r="AE341" s="231"/>
      <c r="AF341" s="231"/>
      <c r="AG341" s="231"/>
      <c r="AH341" s="231"/>
      <c r="AI341" s="231"/>
      <c r="AJ341" s="231"/>
      <c r="AK341" s="231"/>
      <c r="AL341" s="231"/>
      <c r="AM341" s="231"/>
      <c r="AN341" s="231"/>
    </row>
    <row r="342" spans="1:40" s="203" customFormat="1">
      <c r="A342" s="144" t="s">
        <v>261</v>
      </c>
      <c r="B342" s="116"/>
      <c r="C342" s="116"/>
      <c r="D342" s="116"/>
      <c r="E342" s="859"/>
      <c r="F342" s="854"/>
      <c r="G342" s="207"/>
      <c r="H342" s="857"/>
      <c r="I342" s="21"/>
      <c r="J342" s="231"/>
      <c r="K342" s="231"/>
      <c r="L342" s="231"/>
      <c r="M342" s="231"/>
      <c r="N342" s="231"/>
      <c r="O342" s="231"/>
      <c r="P342" s="231"/>
      <c r="Q342" s="231"/>
      <c r="R342" s="231"/>
      <c r="S342" s="231"/>
      <c r="T342" s="231"/>
      <c r="U342" s="231"/>
      <c r="V342" s="231"/>
      <c r="W342" s="231"/>
      <c r="X342" s="231"/>
      <c r="Y342" s="231"/>
      <c r="Z342" s="231"/>
      <c r="AA342" s="231"/>
      <c r="AB342" s="231"/>
      <c r="AC342" s="231"/>
      <c r="AD342" s="231"/>
      <c r="AE342" s="231"/>
      <c r="AF342" s="231"/>
      <c r="AG342" s="231"/>
      <c r="AH342" s="231"/>
      <c r="AI342" s="231"/>
      <c r="AJ342" s="231"/>
      <c r="AK342" s="231"/>
      <c r="AL342" s="231"/>
      <c r="AM342" s="231"/>
      <c r="AN342" s="231"/>
    </row>
    <row r="343" spans="1:40" s="203" customFormat="1">
      <c r="A343" s="119"/>
      <c r="B343" s="116"/>
      <c r="C343" s="116"/>
      <c r="D343" s="116"/>
      <c r="E343" s="859"/>
      <c r="F343" s="854"/>
      <c r="G343" s="207"/>
      <c r="H343" s="857"/>
      <c r="I343" s="21"/>
      <c r="J343" s="231"/>
      <c r="K343" s="231"/>
      <c r="L343" s="231"/>
      <c r="M343" s="231"/>
      <c r="N343" s="231"/>
      <c r="O343" s="231"/>
      <c r="P343" s="231"/>
      <c r="Q343" s="231"/>
      <c r="R343" s="231"/>
      <c r="S343" s="231"/>
      <c r="T343" s="231"/>
      <c r="U343" s="231"/>
      <c r="V343" s="231"/>
      <c r="W343" s="231"/>
      <c r="X343" s="231"/>
      <c r="Y343" s="231"/>
      <c r="Z343" s="231"/>
      <c r="AA343" s="231"/>
      <c r="AB343" s="231"/>
      <c r="AC343" s="231"/>
      <c r="AD343" s="231"/>
      <c r="AE343" s="231"/>
      <c r="AF343" s="231"/>
      <c r="AG343" s="231"/>
      <c r="AH343" s="231"/>
      <c r="AI343" s="231"/>
      <c r="AJ343" s="231"/>
      <c r="AK343" s="231"/>
      <c r="AL343" s="231"/>
      <c r="AM343" s="231"/>
      <c r="AN343" s="231"/>
    </row>
    <row r="344" spans="1:40" s="203" customFormat="1">
      <c r="A344" s="198" t="s">
        <v>262</v>
      </c>
      <c r="B344" s="116"/>
      <c r="C344" s="116"/>
      <c r="D344" s="116"/>
      <c r="E344" s="859"/>
      <c r="F344" s="854"/>
      <c r="G344" s="207"/>
      <c r="H344" s="857"/>
      <c r="I344" s="21"/>
      <c r="J344" s="231"/>
      <c r="K344" s="231"/>
      <c r="L344" s="231"/>
      <c r="M344" s="231"/>
      <c r="N344" s="231"/>
      <c r="O344" s="231"/>
      <c r="P344" s="231"/>
      <c r="Q344" s="231"/>
      <c r="R344" s="231"/>
      <c r="S344" s="231"/>
      <c r="T344" s="231"/>
      <c r="U344" s="231"/>
      <c r="V344" s="231"/>
      <c r="W344" s="231"/>
      <c r="X344" s="231"/>
      <c r="Y344" s="231"/>
      <c r="Z344" s="231"/>
      <c r="AA344" s="231"/>
      <c r="AB344" s="231"/>
      <c r="AC344" s="231"/>
      <c r="AD344" s="231"/>
      <c r="AE344" s="231"/>
      <c r="AF344" s="231"/>
      <c r="AG344" s="231"/>
      <c r="AH344" s="231"/>
      <c r="AI344" s="231"/>
      <c r="AJ344" s="231"/>
      <c r="AK344" s="231"/>
      <c r="AL344" s="231"/>
      <c r="AM344" s="231"/>
      <c r="AN344" s="231"/>
    </row>
    <row r="345" spans="1:40" s="203" customFormat="1">
      <c r="A345" s="198" t="s">
        <v>330</v>
      </c>
      <c r="B345" s="116"/>
      <c r="C345" s="116"/>
      <c r="D345" s="116"/>
      <c r="E345" s="860"/>
      <c r="F345" s="855"/>
      <c r="G345" s="207"/>
      <c r="H345" s="858"/>
      <c r="I345" s="21"/>
      <c r="J345" s="231"/>
      <c r="K345" s="231"/>
      <c r="L345" s="231"/>
      <c r="M345" s="231"/>
      <c r="N345" s="231"/>
      <c r="O345" s="231"/>
      <c r="P345" s="231"/>
      <c r="Q345" s="231"/>
      <c r="R345" s="231"/>
      <c r="S345" s="231"/>
      <c r="T345" s="231"/>
      <c r="U345" s="231"/>
      <c r="V345" s="231"/>
      <c r="W345" s="231"/>
      <c r="X345" s="231"/>
      <c r="Y345" s="231"/>
      <c r="Z345" s="231"/>
      <c r="AA345" s="231"/>
      <c r="AB345" s="231"/>
      <c r="AC345" s="231"/>
      <c r="AD345" s="231"/>
      <c r="AE345" s="231"/>
      <c r="AF345" s="231"/>
      <c r="AG345" s="231"/>
      <c r="AH345" s="231"/>
      <c r="AI345" s="231"/>
      <c r="AJ345" s="231"/>
      <c r="AK345" s="231"/>
      <c r="AL345" s="231"/>
      <c r="AM345" s="231"/>
      <c r="AN345" s="231"/>
    </row>
    <row r="346" spans="1:40" s="203" customFormat="1">
      <c r="A346" s="119"/>
      <c r="B346" s="47"/>
      <c r="C346" s="116"/>
      <c r="D346" s="116"/>
      <c r="E346" s="178"/>
      <c r="F346" s="146"/>
      <c r="G346" s="23"/>
      <c r="H346" s="264"/>
      <c r="I346" s="21"/>
      <c r="J346" s="231"/>
      <c r="K346" s="231"/>
      <c r="L346" s="231"/>
      <c r="M346" s="231"/>
      <c r="N346" s="231"/>
      <c r="O346" s="231"/>
      <c r="P346" s="231"/>
      <c r="Q346" s="231"/>
      <c r="R346" s="231"/>
      <c r="S346" s="231"/>
      <c r="T346" s="231"/>
      <c r="U346" s="231"/>
      <c r="V346" s="231"/>
      <c r="W346" s="231"/>
      <c r="X346" s="231"/>
      <c r="Y346" s="231"/>
      <c r="Z346" s="231"/>
      <c r="AA346" s="231"/>
      <c r="AB346" s="231"/>
      <c r="AC346" s="231"/>
      <c r="AD346" s="231"/>
      <c r="AE346" s="231"/>
      <c r="AF346" s="231"/>
      <c r="AG346" s="231"/>
      <c r="AH346" s="231"/>
      <c r="AI346" s="231"/>
      <c r="AJ346" s="231"/>
      <c r="AK346" s="231"/>
      <c r="AL346" s="231"/>
      <c r="AM346" s="231"/>
      <c r="AN346" s="231"/>
    </row>
    <row r="347" spans="1:40" s="203" customFormat="1">
      <c r="A347" s="743">
        <v>1</v>
      </c>
      <c r="B347" s="47" t="s">
        <v>263</v>
      </c>
      <c r="C347" s="116"/>
      <c r="D347" s="116"/>
      <c r="E347" s="354">
        <v>3626</v>
      </c>
      <c r="F347" s="52">
        <v>3626</v>
      </c>
      <c r="G347" s="43"/>
      <c r="H347" s="247">
        <v>3626</v>
      </c>
      <c r="I347" s="86"/>
      <c r="J347" s="231"/>
      <c r="K347" s="231"/>
      <c r="L347" s="231"/>
      <c r="M347" s="231"/>
      <c r="N347" s="231"/>
      <c r="O347" s="231"/>
      <c r="P347" s="231"/>
      <c r="Q347" s="231"/>
      <c r="R347" s="231"/>
      <c r="S347" s="231"/>
      <c r="T347" s="231"/>
      <c r="U347" s="231"/>
      <c r="V347" s="231"/>
      <c r="W347" s="231"/>
      <c r="X347" s="231"/>
      <c r="Y347" s="231"/>
      <c r="Z347" s="231"/>
      <c r="AA347" s="231"/>
      <c r="AB347" s="231"/>
      <c r="AC347" s="231"/>
      <c r="AD347" s="231"/>
      <c r="AE347" s="231"/>
      <c r="AF347" s="231"/>
      <c r="AG347" s="231"/>
      <c r="AH347" s="231"/>
      <c r="AI347" s="231"/>
      <c r="AJ347" s="231"/>
      <c r="AK347" s="231"/>
      <c r="AL347" s="231"/>
      <c r="AM347" s="231"/>
      <c r="AN347" s="231"/>
    </row>
    <row r="348" spans="1:40" s="203" customFormat="1">
      <c r="A348" s="743"/>
      <c r="B348" s="47"/>
      <c r="C348" s="116"/>
      <c r="D348" s="116"/>
      <c r="E348" s="355"/>
      <c r="F348" s="188"/>
      <c r="G348" s="43"/>
      <c r="H348" s="188"/>
      <c r="I348" s="86"/>
      <c r="J348" s="231"/>
      <c r="K348" s="231"/>
      <c r="L348" s="231"/>
      <c r="M348" s="231"/>
      <c r="N348" s="231"/>
      <c r="O348" s="231"/>
      <c r="P348" s="231"/>
      <c r="Q348" s="231"/>
      <c r="R348" s="231"/>
      <c r="S348" s="231"/>
      <c r="T348" s="231"/>
      <c r="U348" s="231"/>
      <c r="V348" s="231"/>
      <c r="W348" s="231"/>
      <c r="X348" s="231"/>
      <c r="Y348" s="231"/>
      <c r="Z348" s="231"/>
      <c r="AA348" s="231"/>
      <c r="AB348" s="231"/>
      <c r="AC348" s="231"/>
      <c r="AD348" s="231"/>
      <c r="AE348" s="231"/>
      <c r="AF348" s="231"/>
      <c r="AG348" s="231"/>
      <c r="AH348" s="231"/>
      <c r="AI348" s="231"/>
      <c r="AJ348" s="231"/>
      <c r="AK348" s="231"/>
      <c r="AL348" s="231"/>
      <c r="AM348" s="231"/>
      <c r="AN348" s="231"/>
    </row>
    <row r="349" spans="1:40" s="203" customFormat="1">
      <c r="A349" s="108" t="s">
        <v>378</v>
      </c>
      <c r="B349" s="47"/>
      <c r="C349" s="116"/>
      <c r="D349" s="116"/>
      <c r="E349" s="355"/>
      <c r="F349" s="188"/>
      <c r="G349" s="43"/>
      <c r="H349" s="188"/>
      <c r="I349" s="86"/>
      <c r="J349" s="231"/>
      <c r="K349" s="231"/>
      <c r="L349" s="231"/>
      <c r="M349" s="231"/>
      <c r="N349" s="231"/>
      <c r="O349" s="231"/>
      <c r="P349" s="231"/>
      <c r="Q349" s="231"/>
      <c r="R349" s="231"/>
      <c r="S349" s="231"/>
      <c r="T349" s="231"/>
      <c r="U349" s="231"/>
      <c r="V349" s="231"/>
      <c r="W349" s="231"/>
      <c r="X349" s="231"/>
      <c r="Y349" s="231"/>
      <c r="Z349" s="231"/>
      <c r="AA349" s="231"/>
      <c r="AB349" s="231"/>
      <c r="AC349" s="231"/>
      <c r="AD349" s="231"/>
      <c r="AE349" s="231"/>
      <c r="AF349" s="231"/>
      <c r="AG349" s="231"/>
      <c r="AH349" s="231"/>
      <c r="AI349" s="231"/>
      <c r="AJ349" s="231"/>
      <c r="AK349" s="231"/>
      <c r="AL349" s="231"/>
      <c r="AM349" s="231"/>
      <c r="AN349" s="231"/>
    </row>
    <row r="350" spans="1:40" s="203" customFormat="1">
      <c r="A350" s="743"/>
      <c r="B350" s="47"/>
      <c r="C350" s="116"/>
      <c r="D350" s="116"/>
      <c r="E350" s="355"/>
      <c r="F350" s="188"/>
      <c r="G350" s="43"/>
      <c r="H350" s="188"/>
      <c r="I350" s="86"/>
      <c r="J350" s="231"/>
      <c r="K350" s="231"/>
      <c r="L350" s="231"/>
      <c r="M350" s="231"/>
      <c r="N350" s="231"/>
      <c r="O350" s="231"/>
      <c r="P350" s="231"/>
      <c r="Q350" s="231"/>
      <c r="R350" s="231"/>
      <c r="S350" s="231"/>
      <c r="T350" s="231"/>
      <c r="U350" s="231"/>
      <c r="V350" s="231"/>
      <c r="W350" s="231"/>
      <c r="X350" s="231"/>
      <c r="Y350" s="231"/>
      <c r="Z350" s="231"/>
      <c r="AA350" s="231"/>
      <c r="AB350" s="231"/>
      <c r="AC350" s="231"/>
      <c r="AD350" s="231"/>
      <c r="AE350" s="231"/>
      <c r="AF350" s="231"/>
      <c r="AG350" s="231"/>
      <c r="AH350" s="231"/>
      <c r="AI350" s="231"/>
      <c r="AJ350" s="231"/>
      <c r="AK350" s="231"/>
      <c r="AL350" s="231"/>
      <c r="AM350" s="231"/>
      <c r="AN350" s="231"/>
    </row>
    <row r="351" spans="1:40" s="203" customFormat="1">
      <c r="A351" s="198" t="s">
        <v>379</v>
      </c>
      <c r="B351" s="47"/>
      <c r="C351" s="116"/>
      <c r="D351" s="116"/>
      <c r="E351" s="355"/>
      <c r="F351" s="188"/>
      <c r="G351" s="43"/>
      <c r="H351" s="188"/>
      <c r="I351" s="86"/>
      <c r="J351" s="231"/>
      <c r="K351" s="231"/>
      <c r="L351" s="231"/>
      <c r="M351" s="231"/>
      <c r="N351" s="231"/>
      <c r="O351" s="231"/>
      <c r="P351" s="231"/>
      <c r="Q351" s="231"/>
      <c r="R351" s="231"/>
      <c r="S351" s="231"/>
      <c r="T351" s="231"/>
      <c r="U351" s="231"/>
      <c r="V351" s="231"/>
      <c r="W351" s="231"/>
      <c r="X351" s="231"/>
      <c r="Y351" s="231"/>
      <c r="Z351" s="231"/>
      <c r="AA351" s="231"/>
      <c r="AB351" s="231"/>
      <c r="AC351" s="231"/>
      <c r="AD351" s="231"/>
      <c r="AE351" s="231"/>
      <c r="AF351" s="231"/>
      <c r="AG351" s="231"/>
      <c r="AH351" s="231"/>
      <c r="AI351" s="231"/>
      <c r="AJ351" s="231"/>
      <c r="AK351" s="231"/>
      <c r="AL351" s="231"/>
      <c r="AM351" s="231"/>
      <c r="AN351" s="231"/>
    </row>
    <row r="352" spans="1:40" s="203" customFormat="1">
      <c r="A352" s="743"/>
      <c r="B352" s="47"/>
      <c r="C352" s="116"/>
      <c r="D352" s="116"/>
      <c r="E352" s="355"/>
      <c r="F352" s="188"/>
      <c r="G352" s="43"/>
      <c r="H352" s="188"/>
      <c r="I352" s="86"/>
      <c r="J352" s="231"/>
      <c r="K352" s="231"/>
      <c r="L352" s="231"/>
      <c r="M352" s="231"/>
      <c r="N352" s="231"/>
      <c r="O352" s="231"/>
      <c r="P352" s="231"/>
      <c r="Q352" s="231"/>
      <c r="R352" s="231"/>
      <c r="S352" s="231"/>
      <c r="T352" s="231"/>
      <c r="U352" s="231"/>
      <c r="V352" s="231"/>
      <c r="W352" s="231"/>
      <c r="X352" s="231"/>
      <c r="Y352" s="231"/>
      <c r="Z352" s="231"/>
      <c r="AA352" s="231"/>
      <c r="AB352" s="231"/>
      <c r="AC352" s="231"/>
      <c r="AD352" s="231"/>
      <c r="AE352" s="231"/>
      <c r="AF352" s="231"/>
      <c r="AG352" s="231"/>
      <c r="AH352" s="231"/>
      <c r="AI352" s="231"/>
      <c r="AJ352" s="231"/>
      <c r="AK352" s="231"/>
      <c r="AL352" s="231"/>
      <c r="AM352" s="231"/>
      <c r="AN352" s="231"/>
    </row>
    <row r="353" spans="1:40" s="203" customFormat="1">
      <c r="A353" s="743">
        <v>2</v>
      </c>
      <c r="B353" s="47" t="s">
        <v>52</v>
      </c>
      <c r="C353" s="116"/>
      <c r="D353" s="116"/>
      <c r="E353" s="74">
        <v>0</v>
      </c>
      <c r="F353" s="247">
        <v>0</v>
      </c>
      <c r="G353" s="43"/>
      <c r="H353" s="126"/>
      <c r="I353" s="86"/>
      <c r="J353" s="231"/>
      <c r="K353" s="231"/>
      <c r="L353" s="231"/>
      <c r="M353" s="231"/>
      <c r="N353" s="231"/>
      <c r="O353" s="231"/>
      <c r="P353" s="231"/>
      <c r="Q353" s="231"/>
      <c r="R353" s="231"/>
      <c r="S353" s="231"/>
      <c r="T353" s="231"/>
      <c r="U353" s="231"/>
      <c r="V353" s="231"/>
      <c r="W353" s="231"/>
      <c r="X353" s="231"/>
      <c r="Y353" s="231"/>
      <c r="Z353" s="231"/>
      <c r="AA353" s="231"/>
      <c r="AB353" s="231"/>
      <c r="AC353" s="231"/>
      <c r="AD353" s="231"/>
      <c r="AE353" s="231"/>
      <c r="AF353" s="231"/>
      <c r="AG353" s="231"/>
      <c r="AH353" s="231"/>
      <c r="AI353" s="231"/>
      <c r="AJ353" s="231"/>
      <c r="AK353" s="231"/>
      <c r="AL353" s="231"/>
      <c r="AM353" s="231"/>
      <c r="AN353" s="231"/>
    </row>
    <row r="354" spans="1:40" s="203" customFormat="1">
      <c r="A354" s="743">
        <v>3</v>
      </c>
      <c r="B354" s="47" t="s">
        <v>53</v>
      </c>
      <c r="C354" s="116"/>
      <c r="D354" s="116"/>
      <c r="E354" s="49">
        <v>0</v>
      </c>
      <c r="F354" s="247">
        <v>0</v>
      </c>
      <c r="G354" s="43"/>
      <c r="H354" s="126"/>
      <c r="I354" s="86"/>
      <c r="J354" s="231"/>
      <c r="K354" s="231"/>
      <c r="L354" s="231"/>
      <c r="M354" s="231"/>
      <c r="N354" s="231"/>
      <c r="O354" s="231"/>
      <c r="P354" s="231"/>
      <c r="Q354" s="231"/>
      <c r="R354" s="231"/>
      <c r="S354" s="231"/>
      <c r="T354" s="231"/>
      <c r="U354" s="231"/>
      <c r="V354" s="231"/>
      <c r="W354" s="231"/>
      <c r="X354" s="231"/>
      <c r="Y354" s="231"/>
      <c r="Z354" s="231"/>
      <c r="AA354" s="231"/>
      <c r="AB354" s="231"/>
      <c r="AC354" s="231"/>
      <c r="AD354" s="231"/>
      <c r="AE354" s="231"/>
      <c r="AF354" s="231"/>
      <c r="AG354" s="231"/>
      <c r="AH354" s="231"/>
      <c r="AI354" s="231"/>
      <c r="AJ354" s="231"/>
      <c r="AK354" s="231"/>
      <c r="AL354" s="231"/>
      <c r="AM354" s="231"/>
      <c r="AN354" s="231"/>
    </row>
    <row r="355" spans="1:40" s="203" customFormat="1">
      <c r="A355" s="743">
        <v>4</v>
      </c>
      <c r="B355" s="47" t="s">
        <v>54</v>
      </c>
      <c r="C355" s="116"/>
      <c r="D355" s="116"/>
      <c r="E355" s="49">
        <v>0</v>
      </c>
      <c r="F355" s="247">
        <v>0</v>
      </c>
      <c r="G355" s="43"/>
      <c r="H355" s="126"/>
      <c r="I355" s="86"/>
      <c r="J355" s="231"/>
      <c r="K355" s="231"/>
      <c r="L355" s="231"/>
      <c r="M355" s="231"/>
      <c r="N355" s="231"/>
      <c r="O355" s="231"/>
      <c r="P355" s="231"/>
      <c r="Q355" s="231"/>
      <c r="R355" s="231"/>
      <c r="S355" s="231"/>
      <c r="T355" s="231"/>
      <c r="U355" s="231"/>
      <c r="V355" s="231"/>
      <c r="W355" s="231"/>
      <c r="X355" s="231"/>
      <c r="Y355" s="231"/>
      <c r="Z355" s="231"/>
      <c r="AA355" s="231"/>
      <c r="AB355" s="231"/>
      <c r="AC355" s="231"/>
      <c r="AD355" s="231"/>
      <c r="AE355" s="231"/>
      <c r="AF355" s="231"/>
      <c r="AG355" s="231"/>
      <c r="AH355" s="231"/>
      <c r="AI355" s="231"/>
      <c r="AJ355" s="231"/>
      <c r="AK355" s="231"/>
      <c r="AL355" s="231"/>
      <c r="AM355" s="231"/>
      <c r="AN355" s="231"/>
    </row>
    <row r="356" spans="1:40" s="203" customFormat="1">
      <c r="A356" s="743">
        <v>5</v>
      </c>
      <c r="B356" s="47" t="s">
        <v>55</v>
      </c>
      <c r="C356" s="116"/>
      <c r="D356" s="116"/>
      <c r="E356" s="49">
        <v>0</v>
      </c>
      <c r="F356" s="247">
        <v>0</v>
      </c>
      <c r="G356" s="43"/>
      <c r="H356" s="126"/>
      <c r="I356" s="86"/>
      <c r="J356" s="231"/>
      <c r="K356" s="231"/>
      <c r="L356" s="231"/>
      <c r="M356" s="231"/>
      <c r="N356" s="231"/>
      <c r="O356" s="231"/>
      <c r="P356" s="231"/>
      <c r="Q356" s="231"/>
      <c r="R356" s="231"/>
      <c r="S356" s="231"/>
      <c r="T356" s="231"/>
      <c r="U356" s="231"/>
      <c r="V356" s="231"/>
      <c r="W356" s="231"/>
      <c r="X356" s="231"/>
      <c r="Y356" s="231"/>
      <c r="Z356" s="231"/>
      <c r="AA356" s="231"/>
      <c r="AB356" s="231"/>
      <c r="AC356" s="231"/>
      <c r="AD356" s="231"/>
      <c r="AE356" s="231"/>
      <c r="AF356" s="231"/>
      <c r="AG356" s="231"/>
      <c r="AH356" s="231"/>
      <c r="AI356" s="231"/>
      <c r="AJ356" s="231"/>
      <c r="AK356" s="231"/>
      <c r="AL356" s="231"/>
      <c r="AM356" s="231"/>
      <c r="AN356" s="231"/>
    </row>
    <row r="357" spans="1:40" s="203" customFormat="1">
      <c r="A357" s="743">
        <v>6</v>
      </c>
      <c r="B357" s="47" t="s">
        <v>56</v>
      </c>
      <c r="C357" s="116"/>
      <c r="D357" s="116"/>
      <c r="E357" s="49">
        <v>0</v>
      </c>
      <c r="F357" s="247">
        <v>0</v>
      </c>
      <c r="G357" s="43"/>
      <c r="H357" s="126"/>
      <c r="I357" s="86"/>
      <c r="J357" s="231"/>
      <c r="K357" s="231"/>
      <c r="L357" s="231"/>
      <c r="M357" s="231"/>
      <c r="N357" s="231"/>
      <c r="O357" s="231"/>
      <c r="P357" s="231"/>
      <c r="Q357" s="231"/>
      <c r="R357" s="231"/>
      <c r="S357" s="231"/>
      <c r="T357" s="231"/>
      <c r="U357" s="231"/>
      <c r="V357" s="231"/>
      <c r="W357" s="231"/>
      <c r="X357" s="231"/>
      <c r="Y357" s="231"/>
      <c r="Z357" s="231"/>
      <c r="AA357" s="231"/>
      <c r="AB357" s="231"/>
      <c r="AC357" s="231"/>
      <c r="AD357" s="231"/>
      <c r="AE357" s="231"/>
      <c r="AF357" s="231"/>
      <c r="AG357" s="231"/>
      <c r="AH357" s="231"/>
      <c r="AI357" s="231"/>
      <c r="AJ357" s="231"/>
      <c r="AK357" s="231"/>
      <c r="AL357" s="231"/>
      <c r="AM357" s="231"/>
      <c r="AN357" s="231"/>
    </row>
    <row r="358" spans="1:40" s="203" customFormat="1">
      <c r="A358" s="743">
        <v>7</v>
      </c>
      <c r="B358" s="47" t="s">
        <v>57</v>
      </c>
      <c r="C358" s="116"/>
      <c r="D358" s="116"/>
      <c r="E358" s="49">
        <v>0</v>
      </c>
      <c r="F358" s="247">
        <v>0</v>
      </c>
      <c r="G358" s="43"/>
      <c r="H358" s="126"/>
      <c r="I358" s="86"/>
      <c r="J358" s="231"/>
      <c r="K358" s="231"/>
      <c r="L358" s="231"/>
      <c r="M358" s="231"/>
      <c r="N358" s="231"/>
      <c r="O358" s="231"/>
      <c r="P358" s="231"/>
      <c r="Q358" s="231"/>
      <c r="R358" s="231"/>
      <c r="S358" s="231"/>
      <c r="T358" s="231"/>
      <c r="U358" s="231"/>
      <c r="V358" s="231"/>
      <c r="W358" s="231"/>
      <c r="X358" s="231"/>
      <c r="Y358" s="231"/>
      <c r="Z358" s="231"/>
      <c r="AA358" s="231"/>
      <c r="AB358" s="231"/>
      <c r="AC358" s="231"/>
      <c r="AD358" s="231"/>
      <c r="AE358" s="231"/>
      <c r="AF358" s="231"/>
      <c r="AG358" s="231"/>
      <c r="AH358" s="231"/>
      <c r="AI358" s="231"/>
      <c r="AJ358" s="231"/>
      <c r="AK358" s="231"/>
      <c r="AL358" s="231"/>
      <c r="AM358" s="231"/>
      <c r="AN358" s="231"/>
    </row>
    <row r="359" spans="1:40" s="203" customFormat="1">
      <c r="A359" s="743">
        <v>8</v>
      </c>
      <c r="B359" s="47" t="s">
        <v>58</v>
      </c>
      <c r="C359" s="116"/>
      <c r="D359" s="116"/>
      <c r="E359" s="49">
        <v>0</v>
      </c>
      <c r="F359" s="247">
        <v>0</v>
      </c>
      <c r="G359" s="43"/>
      <c r="H359" s="126"/>
      <c r="I359" s="86"/>
      <c r="J359" s="231"/>
      <c r="K359" s="231"/>
      <c r="L359" s="231"/>
      <c r="M359" s="231"/>
      <c r="N359" s="231"/>
      <c r="O359" s="231"/>
      <c r="P359" s="231"/>
      <c r="Q359" s="231"/>
      <c r="R359" s="231"/>
      <c r="S359" s="231"/>
      <c r="T359" s="231"/>
      <c r="U359" s="231"/>
      <c r="V359" s="231"/>
      <c r="W359" s="231"/>
      <c r="X359" s="231"/>
      <c r="Y359" s="231"/>
      <c r="Z359" s="231"/>
      <c r="AA359" s="231"/>
      <c r="AB359" s="231"/>
      <c r="AC359" s="231"/>
      <c r="AD359" s="231"/>
      <c r="AE359" s="231"/>
      <c r="AF359" s="231"/>
      <c r="AG359" s="231"/>
      <c r="AH359" s="231"/>
      <c r="AI359" s="231"/>
      <c r="AJ359" s="231"/>
      <c r="AK359" s="231"/>
      <c r="AL359" s="231"/>
      <c r="AM359" s="231"/>
      <c r="AN359" s="231"/>
    </row>
    <row r="360" spans="1:40" s="203" customFormat="1">
      <c r="A360" s="743">
        <v>9</v>
      </c>
      <c r="B360" s="47" t="s">
        <v>59</v>
      </c>
      <c r="C360" s="116"/>
      <c r="D360" s="116"/>
      <c r="E360" s="49">
        <v>0</v>
      </c>
      <c r="F360" s="247">
        <v>0</v>
      </c>
      <c r="G360" s="43"/>
      <c r="H360" s="126"/>
      <c r="I360" s="86"/>
      <c r="J360" s="231"/>
      <c r="K360" s="231"/>
      <c r="L360" s="231"/>
      <c r="M360" s="231"/>
      <c r="N360" s="231"/>
      <c r="O360" s="231"/>
      <c r="P360" s="231"/>
      <c r="Q360" s="231"/>
      <c r="R360" s="231"/>
      <c r="S360" s="231"/>
      <c r="T360" s="231"/>
      <c r="U360" s="231"/>
      <c r="V360" s="231"/>
      <c r="W360" s="231"/>
      <c r="X360" s="231"/>
      <c r="Y360" s="231"/>
      <c r="Z360" s="231"/>
      <c r="AA360" s="231"/>
      <c r="AB360" s="231"/>
      <c r="AC360" s="231"/>
      <c r="AD360" s="231"/>
      <c r="AE360" s="231"/>
      <c r="AF360" s="231"/>
      <c r="AG360" s="231"/>
      <c r="AH360" s="231"/>
      <c r="AI360" s="231"/>
      <c r="AJ360" s="231"/>
      <c r="AK360" s="231"/>
      <c r="AL360" s="231"/>
      <c r="AM360" s="231"/>
      <c r="AN360" s="231"/>
    </row>
    <row r="361" spans="1:40" s="203" customFormat="1">
      <c r="A361" s="743">
        <v>10</v>
      </c>
      <c r="B361" s="47" t="s">
        <v>60</v>
      </c>
      <c r="C361" s="116"/>
      <c r="D361" s="116"/>
      <c r="E361" s="49">
        <v>0</v>
      </c>
      <c r="F361" s="247">
        <v>0</v>
      </c>
      <c r="G361" s="43"/>
      <c r="H361" s="126"/>
      <c r="I361" s="86"/>
      <c r="J361" s="231"/>
      <c r="K361" s="231"/>
      <c r="L361" s="231"/>
      <c r="M361" s="231"/>
      <c r="N361" s="231"/>
      <c r="O361" s="231"/>
      <c r="P361" s="231"/>
      <c r="Q361" s="231"/>
      <c r="R361" s="231"/>
      <c r="S361" s="231"/>
      <c r="T361" s="231"/>
      <c r="U361" s="231"/>
      <c r="V361" s="231"/>
      <c r="W361" s="231"/>
      <c r="X361" s="231"/>
      <c r="Y361" s="231"/>
      <c r="Z361" s="231"/>
      <c r="AA361" s="231"/>
      <c r="AB361" s="231"/>
      <c r="AC361" s="231"/>
      <c r="AD361" s="231"/>
      <c r="AE361" s="231"/>
      <c r="AF361" s="231"/>
      <c r="AG361" s="231"/>
      <c r="AH361" s="231"/>
      <c r="AI361" s="231"/>
      <c r="AJ361" s="231"/>
      <c r="AK361" s="231"/>
      <c r="AL361" s="231"/>
      <c r="AM361" s="231"/>
      <c r="AN361" s="231"/>
    </row>
    <row r="362" spans="1:40" s="203" customFormat="1">
      <c r="A362" s="743">
        <v>11</v>
      </c>
      <c r="B362" s="47" t="s">
        <v>61</v>
      </c>
      <c r="C362" s="116"/>
      <c r="D362" s="116"/>
      <c r="E362" s="49">
        <v>0</v>
      </c>
      <c r="F362" s="247">
        <v>0</v>
      </c>
      <c r="G362" s="43"/>
      <c r="H362" s="126"/>
      <c r="I362" s="86"/>
      <c r="J362" s="231"/>
      <c r="K362" s="231"/>
      <c r="L362" s="231"/>
      <c r="M362" s="231"/>
      <c r="N362" s="231"/>
      <c r="O362" s="231"/>
      <c r="P362" s="231"/>
      <c r="Q362" s="231"/>
      <c r="R362" s="231"/>
      <c r="S362" s="231"/>
      <c r="T362" s="231"/>
      <c r="U362" s="231"/>
      <c r="V362" s="231"/>
      <c r="W362" s="231"/>
      <c r="X362" s="231"/>
      <c r="Y362" s="231"/>
      <c r="Z362" s="231"/>
      <c r="AA362" s="231"/>
      <c r="AB362" s="231"/>
      <c r="AC362" s="231"/>
      <c r="AD362" s="231"/>
      <c r="AE362" s="231"/>
      <c r="AF362" s="231"/>
      <c r="AG362" s="231"/>
      <c r="AH362" s="231"/>
      <c r="AI362" s="231"/>
      <c r="AJ362" s="231"/>
      <c r="AK362" s="231"/>
      <c r="AL362" s="231"/>
      <c r="AM362" s="231"/>
      <c r="AN362" s="231"/>
    </row>
    <row r="363" spans="1:40" s="203" customFormat="1">
      <c r="A363" s="744">
        <v>12</v>
      </c>
      <c r="B363" s="54" t="s">
        <v>380</v>
      </c>
      <c r="C363" s="94"/>
      <c r="D363" s="94"/>
      <c r="E363" s="135">
        <v>0</v>
      </c>
      <c r="F363" s="61">
        <f>SUM(F353:F362)</f>
        <v>0</v>
      </c>
      <c r="G363" s="43"/>
      <c r="H363" s="61">
        <f>SUM(H353:H362)</f>
        <v>0</v>
      </c>
      <c r="I363" s="86"/>
      <c r="J363" s="231"/>
      <c r="K363" s="231"/>
      <c r="L363" s="231"/>
      <c r="M363" s="231"/>
      <c r="N363" s="231"/>
      <c r="O363" s="231"/>
      <c r="P363" s="231"/>
      <c r="Q363" s="231"/>
      <c r="R363" s="231"/>
      <c r="S363" s="231"/>
      <c r="T363" s="231"/>
      <c r="U363" s="231"/>
      <c r="V363" s="231"/>
      <c r="W363" s="231"/>
      <c r="X363" s="231"/>
      <c r="Y363" s="231"/>
      <c r="Z363" s="231"/>
      <c r="AA363" s="231"/>
      <c r="AB363" s="231"/>
      <c r="AC363" s="231"/>
      <c r="AD363" s="231"/>
      <c r="AE363" s="231"/>
      <c r="AF363" s="231"/>
      <c r="AG363" s="231"/>
      <c r="AH363" s="231"/>
      <c r="AI363" s="231"/>
      <c r="AJ363" s="231"/>
      <c r="AK363" s="231"/>
      <c r="AL363" s="231"/>
      <c r="AM363" s="231"/>
      <c r="AN363" s="231"/>
    </row>
    <row r="364" spans="1:40" s="203" customFormat="1">
      <c r="A364" s="199"/>
      <c r="B364" s="15"/>
      <c r="C364" s="15"/>
      <c r="D364" s="15"/>
      <c r="E364" s="15"/>
      <c r="F364" s="15"/>
      <c r="G364" s="15"/>
      <c r="H364" s="15"/>
      <c r="I364" s="86"/>
      <c r="J364" s="231"/>
      <c r="K364" s="231"/>
      <c r="L364" s="231"/>
      <c r="M364" s="231"/>
      <c r="N364" s="231"/>
      <c r="O364" s="231"/>
      <c r="P364" s="231"/>
      <c r="Q364" s="231"/>
      <c r="R364" s="231"/>
      <c r="S364" s="231"/>
      <c r="T364" s="231"/>
      <c r="U364" s="231"/>
      <c r="V364" s="231"/>
      <c r="W364" s="231"/>
      <c r="X364" s="231"/>
      <c r="Y364" s="231"/>
      <c r="Z364" s="231"/>
      <c r="AA364" s="231"/>
      <c r="AB364" s="231"/>
      <c r="AC364" s="231"/>
      <c r="AD364" s="231"/>
      <c r="AE364" s="231"/>
      <c r="AF364" s="231"/>
      <c r="AG364" s="231"/>
      <c r="AH364" s="231"/>
      <c r="AI364" s="231"/>
      <c r="AJ364" s="231"/>
      <c r="AK364" s="231"/>
      <c r="AL364" s="231"/>
      <c r="AM364" s="231"/>
      <c r="AN364" s="231"/>
    </row>
    <row r="365" spans="1:40" s="203" customFormat="1">
      <c r="A365" s="199"/>
      <c r="B365" s="15"/>
      <c r="C365" s="15"/>
      <c r="D365" s="15"/>
      <c r="E365" s="15"/>
      <c r="F365" s="15"/>
      <c r="G365" s="15"/>
      <c r="H365" s="86"/>
      <c r="I365" s="86"/>
      <c r="J365" s="231"/>
      <c r="K365" s="231"/>
      <c r="L365" s="231"/>
      <c r="M365" s="231"/>
      <c r="N365" s="231"/>
      <c r="O365" s="231"/>
      <c r="P365" s="231"/>
      <c r="Q365" s="231"/>
      <c r="R365" s="231"/>
      <c r="S365" s="231"/>
      <c r="T365" s="231"/>
      <c r="U365" s="231"/>
      <c r="V365" s="231"/>
      <c r="W365" s="231"/>
      <c r="X365" s="231"/>
      <c r="Y365" s="231"/>
      <c r="Z365" s="231"/>
      <c r="AA365" s="231"/>
      <c r="AB365" s="231"/>
      <c r="AC365" s="231"/>
      <c r="AD365" s="231"/>
      <c r="AE365" s="231"/>
      <c r="AF365" s="231"/>
      <c r="AG365" s="231"/>
      <c r="AH365" s="231"/>
      <c r="AI365" s="231"/>
      <c r="AJ365" s="231"/>
      <c r="AK365" s="231"/>
      <c r="AL365" s="231"/>
      <c r="AM365" s="231"/>
      <c r="AN365" s="231"/>
    </row>
    <row r="366" spans="1:40" s="203" customFormat="1">
      <c r="A366" s="199"/>
      <c r="B366" s="15"/>
      <c r="C366" s="15"/>
      <c r="D366" s="15"/>
      <c r="E366" s="15"/>
      <c r="F366" s="15"/>
      <c r="G366" s="15"/>
      <c r="H366" s="86"/>
      <c r="I366" s="86"/>
      <c r="J366" s="231"/>
      <c r="K366" s="231"/>
      <c r="L366" s="231"/>
      <c r="M366" s="231"/>
      <c r="N366" s="231"/>
      <c r="O366" s="231"/>
      <c r="P366" s="231"/>
      <c r="Q366" s="231"/>
      <c r="R366" s="231"/>
      <c r="S366" s="231"/>
      <c r="T366" s="231"/>
      <c r="U366" s="231"/>
      <c r="V366" s="231"/>
      <c r="W366" s="231"/>
      <c r="X366" s="231"/>
      <c r="Y366" s="231"/>
      <c r="Z366" s="231"/>
      <c r="AA366" s="231"/>
      <c r="AB366" s="231"/>
      <c r="AC366" s="231"/>
      <c r="AD366" s="231"/>
      <c r="AE366" s="231"/>
      <c r="AF366" s="231"/>
      <c r="AG366" s="231"/>
      <c r="AH366" s="231"/>
      <c r="AI366" s="231"/>
      <c r="AJ366" s="231"/>
      <c r="AK366" s="231"/>
      <c r="AL366" s="231"/>
      <c r="AM366" s="231"/>
      <c r="AN366" s="231"/>
    </row>
    <row r="367" spans="1:40" s="8" customFormat="1"/>
    <row r="368" spans="1:40" s="8" customFormat="1"/>
    <row r="369" s="8" customFormat="1"/>
    <row r="370" s="8" customFormat="1"/>
    <row r="371" s="8" customFormat="1"/>
    <row r="372" s="8" customFormat="1"/>
    <row r="373" s="8" customFormat="1"/>
    <row r="374" s="8" customFormat="1"/>
    <row r="375" s="8" customFormat="1"/>
    <row r="376" s="8" customFormat="1"/>
    <row r="377" s="8" customFormat="1"/>
    <row r="378" s="8" customFormat="1"/>
    <row r="379" s="8" customFormat="1"/>
    <row r="380" s="8" customFormat="1"/>
    <row r="381" s="8" customFormat="1"/>
    <row r="382" s="8" customFormat="1"/>
    <row r="383" s="8" customFormat="1"/>
    <row r="384" s="8" customFormat="1"/>
    <row r="385" spans="1:40" s="8" customFormat="1"/>
    <row r="386" spans="1:40" s="8" customFormat="1"/>
    <row r="387" spans="1:40" s="8" customFormat="1"/>
    <row r="388" spans="1:40" s="8" customFormat="1"/>
    <row r="389" spans="1:40" s="8" customFormat="1"/>
    <row r="390" spans="1:40" s="8" customFormat="1"/>
    <row r="391" spans="1:40" s="8" customFormat="1"/>
    <row r="392" spans="1:40" s="8" customFormat="1"/>
    <row r="393" spans="1:40" s="8" customFormat="1"/>
    <row r="394" spans="1:40" s="8" customFormat="1"/>
    <row r="395" spans="1:40" s="8" customFormat="1"/>
    <row r="396" spans="1:40" s="8" customFormat="1"/>
    <row r="397" spans="1:40">
      <c r="A397" s="8"/>
      <c r="B397" s="8"/>
      <c r="C397" s="8"/>
      <c r="D397" s="8"/>
      <c r="E397" s="8"/>
      <c r="F397" s="8"/>
      <c r="G397" s="8"/>
      <c r="H397" s="8"/>
      <c r="I397" s="8"/>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row>
    <row r="398" spans="1:40">
      <c r="A398" s="8"/>
      <c r="B398" s="8"/>
      <c r="C398" s="8"/>
      <c r="D398" s="8"/>
      <c r="E398" s="8"/>
      <c r="F398" s="8"/>
      <c r="G398" s="8"/>
      <c r="H398" s="8"/>
      <c r="I398" s="8"/>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row>
    <row r="399" spans="1:40">
      <c r="A399" s="8"/>
      <c r="B399" s="8"/>
      <c r="C399" s="8"/>
      <c r="D399" s="8"/>
      <c r="E399" s="8"/>
      <c r="F399" s="8"/>
      <c r="G399" s="8"/>
      <c r="H399" s="8"/>
      <c r="I399" s="8"/>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row>
    <row r="400" spans="1:40">
      <c r="A400" s="8"/>
      <c r="B400" s="8"/>
      <c r="C400" s="8"/>
      <c r="D400" s="8"/>
      <c r="E400" s="8"/>
      <c r="F400" s="8"/>
      <c r="G400" s="8"/>
      <c r="H400" s="8"/>
      <c r="I400" s="8"/>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row>
    <row r="401" spans="1:40">
      <c r="A401" s="8"/>
      <c r="B401" s="8"/>
      <c r="C401" s="8"/>
      <c r="D401" s="8"/>
      <c r="E401" s="8"/>
      <c r="F401" s="8"/>
      <c r="G401" s="8"/>
      <c r="H401" s="8"/>
      <c r="I401" s="8"/>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row>
    <row r="402" spans="1:40">
      <c r="A402" s="8"/>
      <c r="B402" s="8"/>
      <c r="C402" s="8"/>
      <c r="D402" s="8"/>
      <c r="E402" s="8"/>
      <c r="F402" s="8"/>
      <c r="G402" s="8"/>
      <c r="H402" s="8"/>
      <c r="I402" s="8"/>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row>
    <row r="403" spans="1:40">
      <c r="A403" s="8"/>
      <c r="B403" s="8"/>
      <c r="C403" s="8"/>
      <c r="D403" s="8"/>
      <c r="E403" s="8"/>
      <c r="F403" s="8"/>
      <c r="G403" s="8"/>
      <c r="H403" s="8"/>
      <c r="I403" s="8"/>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row>
    <row r="404" spans="1:40">
      <c r="A404" s="8"/>
      <c r="B404" s="8"/>
      <c r="C404" s="8"/>
      <c r="D404" s="8"/>
      <c r="E404" s="8"/>
      <c r="F404" s="8"/>
      <c r="G404" s="8"/>
      <c r="H404" s="8"/>
      <c r="I404" s="8"/>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row>
    <row r="405" spans="1:40">
      <c r="A405" s="8"/>
      <c r="B405" s="8"/>
      <c r="C405" s="8"/>
      <c r="D405" s="8"/>
      <c r="E405" s="8"/>
      <c r="F405" s="8"/>
      <c r="G405" s="8"/>
      <c r="H405" s="8"/>
      <c r="I405" s="8"/>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row>
    <row r="406" spans="1:40">
      <c r="A406" s="8"/>
      <c r="B406" s="8"/>
      <c r="C406" s="8"/>
      <c r="D406" s="8"/>
      <c r="E406" s="8"/>
      <c r="F406" s="8"/>
      <c r="G406" s="8"/>
      <c r="H406" s="8"/>
      <c r="I406" s="8"/>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row>
    <row r="407" spans="1:40">
      <c r="A407" s="8"/>
      <c r="B407" s="8"/>
      <c r="C407" s="8"/>
      <c r="D407" s="8"/>
      <c r="E407" s="8"/>
      <c r="F407" s="8"/>
      <c r="G407" s="8"/>
      <c r="H407" s="8"/>
      <c r="I407" s="8"/>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row>
    <row r="408" spans="1:40">
      <c r="A408" s="8"/>
      <c r="B408" s="8"/>
      <c r="C408" s="8"/>
      <c r="D408" s="8"/>
      <c r="E408" s="8"/>
      <c r="F408" s="8"/>
      <c r="G408" s="8"/>
      <c r="H408" s="8"/>
      <c r="I408" s="8"/>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row>
    <row r="409" spans="1:40">
      <c r="A409" s="8"/>
      <c r="B409" s="8"/>
      <c r="C409" s="8"/>
      <c r="D409" s="8"/>
      <c r="E409" s="8"/>
      <c r="F409" s="8"/>
      <c r="G409" s="8"/>
      <c r="H409" s="8"/>
      <c r="I409" s="8"/>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row>
    <row r="410" spans="1:40">
      <c r="A410" s="8"/>
      <c r="B410" s="8"/>
      <c r="C410" s="8"/>
      <c r="D410" s="8"/>
      <c r="E410" s="8"/>
      <c r="F410" s="8"/>
      <c r="G410" s="8"/>
      <c r="H410" s="8"/>
      <c r="I410" s="8"/>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row>
    <row r="411" spans="1:40">
      <c r="A411" s="8"/>
      <c r="B411" s="8"/>
      <c r="C411" s="8"/>
      <c r="D411" s="8"/>
      <c r="E411" s="8"/>
      <c r="F411" s="8"/>
      <c r="G411" s="8"/>
      <c r="H411" s="8"/>
      <c r="I411" s="8"/>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row>
  </sheetData>
  <mergeCells count="59">
    <mergeCell ref="C19:F19"/>
    <mergeCell ref="B3:B4"/>
    <mergeCell ref="C3:D4"/>
    <mergeCell ref="A5:B5"/>
    <mergeCell ref="D6:H6"/>
    <mergeCell ref="A9:I9"/>
    <mergeCell ref="D10:F10"/>
    <mergeCell ref="C14:F14"/>
    <mergeCell ref="C15:F15"/>
    <mergeCell ref="C16:F16"/>
    <mergeCell ref="C17:F17"/>
    <mergeCell ref="C18:F18"/>
    <mergeCell ref="A23:D24"/>
    <mergeCell ref="E23:E24"/>
    <mergeCell ref="F23:F24"/>
    <mergeCell ref="H23:H24"/>
    <mergeCell ref="A25:A27"/>
    <mergeCell ref="B25:D27"/>
    <mergeCell ref="E25:E27"/>
    <mergeCell ref="F25:F27"/>
    <mergeCell ref="H25:H27"/>
    <mergeCell ref="A40:D41"/>
    <mergeCell ref="E40:E41"/>
    <mergeCell ref="F40:F41"/>
    <mergeCell ref="H40:H41"/>
    <mergeCell ref="E66:E70"/>
    <mergeCell ref="F66:F70"/>
    <mergeCell ref="G66:G70"/>
    <mergeCell ref="H66:H70"/>
    <mergeCell ref="I66:I70"/>
    <mergeCell ref="F91:F95"/>
    <mergeCell ref="H91:H95"/>
    <mergeCell ref="E193:E197"/>
    <mergeCell ref="F193:F197"/>
    <mergeCell ref="H193:H197"/>
    <mergeCell ref="E153:E157"/>
    <mergeCell ref="F153:F157"/>
    <mergeCell ref="H153:H157"/>
    <mergeCell ref="E91:E95"/>
    <mergeCell ref="E221:E225"/>
    <mergeCell ref="F221:F225"/>
    <mergeCell ref="H221:H225"/>
    <mergeCell ref="E234:E238"/>
    <mergeCell ref="F234:F238"/>
    <mergeCell ref="H234:H238"/>
    <mergeCell ref="E261:E265"/>
    <mergeCell ref="F261:F265"/>
    <mergeCell ref="H261:H265"/>
    <mergeCell ref="E280:E284"/>
    <mergeCell ref="F280:F284"/>
    <mergeCell ref="H280:H284"/>
    <mergeCell ref="E341:E345"/>
    <mergeCell ref="F341:F345"/>
    <mergeCell ref="H341:H345"/>
    <mergeCell ref="E305:E309"/>
    <mergeCell ref="F305:F309"/>
    <mergeCell ref="H305:H309"/>
    <mergeCell ref="C323:H323"/>
    <mergeCell ref="C330:H330"/>
  </mergeCells>
  <phoneticPr fontId="10" type="noConversion"/>
  <conditionalFormatting sqref="F71 F286:F288 F311:F315 F74 F291:F295 F299 F301 F317:F318 F106 F274 F240 F80:F88 F112:F113 F184:F190 F211:F212 F217:F218 F245 F267:F272 C326:H329 C333:H336 F353:F362 H76 H80:H88 H103 H118:H119 H122:H123 H128:H129 H133 H138:H139 H141:H142 H146:H147 H149 H166 H172 H183:H190 H199 H211:H212 H217:H218 H240 H245 H251 H267:H272 H274 H276 H286:H289 H295:H300 H311:H319 H347">
    <cfRule type="expression" dxfId="56" priority="253" stopIfTrue="1">
      <formula>ISBLANK(C71)</formula>
    </cfRule>
    <cfRule type="expression" dxfId="55" priority="254" stopIfTrue="1">
      <formula>IF(AND(OR(C71-B71&gt;500,C71-B71&lt;-500),OR(#REF!&gt;0.1,#REF!&lt;-0.1)),TRUE,FALSE)</formula>
    </cfRule>
  </conditionalFormatting>
  <dataValidations count="1">
    <dataValidation type="list" errorStyle="information" allowBlank="1" showInputMessage="1" showErrorMessage="1" errorTitle="POBE 2006" error="Please select from the drop-down menu..." prompt="Please select your Authority from the drop-down menu..." sqref="C3:D4">
      <formula1>#REF!</formula1>
    </dataValidation>
  </dataValidations>
  <hyperlinks>
    <hyperlink ref="F7" r:id="rId1" display="lgfstats@scotland.gsi.gov.uk"/>
    <hyperlink ref="D6" r:id="rId2"/>
    <hyperlink ref="D10" r:id="rId3" display="^lgfstats@gov.scot"/>
    <hyperlink ref="B14" location="'POBE 2017'!A28" display="PART 1 - Expenditure"/>
    <hyperlink ref="C19:F19" location="'POBE 2017'!A323" display="Sheet 10. - PUBLIC PRIVATE PARTNERSHIPS/PRIVATE FINANCE INITIATIVES"/>
    <hyperlink ref="B15" location="'POBE 2017'!A40" display="PART 2 - Income and Balances"/>
    <hyperlink ref="B16" location="'POBE 2017'!A66" display="Sheet 1. EDUCATION"/>
    <hyperlink ref="B17" location="'POBE 2017'!A91" display="Sheet 2. SOCIAL WORK"/>
    <hyperlink ref="B18" location="'POBE 2017'!A153" display="Sheet 3. ROADS AND TRANSPORT"/>
    <hyperlink ref="B19" location="'POBE 2017'!A193" display="Sheet 4. ENVIRONMENTAL SERVICES"/>
    <hyperlink ref="C14:F14" location="'POBE 2017'!A221" display="Sheet 5. PLANNING AND DEVELOPMENT SERVICES"/>
    <hyperlink ref="C15:F15" location="'POBE 2017'!A234" display="Sheet 6. CULTURAL AND RELATED SERVICES"/>
    <hyperlink ref="C16:F16" location="'POBE 2017'!A261" display="Sheet 7. HOUSING"/>
    <hyperlink ref="C17:F17" location="'POBE 2017'!A280" display="Sheet 8. CENTRAL SERVICES"/>
    <hyperlink ref="C18:F18" location="'POBE 2017'!A305" display="Sheet 9. OTHER EXPENDITURE"/>
  </hyperlinks>
  <pageMargins left="0.75" right="0.75" top="1" bottom="1" header="0.5" footer="0.5"/>
  <pageSetup paperSize="9" orientation="portrait" r:id="rId4"/>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AF412"/>
  <sheetViews>
    <sheetView topLeftCell="A157" zoomScale="80" zoomScaleNormal="80" workbookViewId="0">
      <selection activeCell="F189" sqref="F189"/>
    </sheetView>
  </sheetViews>
  <sheetFormatPr defaultColWidth="9.140625" defaultRowHeight="12.75"/>
  <cols>
    <col min="1" max="1" width="10.5703125" style="1" customWidth="1"/>
    <col min="2" max="2" width="43" style="1" customWidth="1"/>
    <col min="3" max="3" width="24.5703125" style="1" customWidth="1"/>
    <col min="4" max="4" width="14.7109375" style="1" customWidth="1"/>
    <col min="5" max="5" width="21.5703125" style="1" customWidth="1"/>
    <col min="6" max="6" width="19.140625" style="1" customWidth="1"/>
    <col min="7" max="7" width="17.42578125" style="1" customWidth="1"/>
    <col min="8" max="8" width="19.28515625" style="1" customWidth="1"/>
    <col min="9" max="9" width="17.85546875" style="1" customWidth="1"/>
    <col min="10" max="14" width="9.140625" style="8" customWidth="1"/>
    <col min="15" max="25" width="9.140625" style="8"/>
    <col min="26" max="26" width="0" style="8" hidden="1" customWidth="1"/>
    <col min="27" max="32" width="9.140625" style="8"/>
    <col min="33" max="16384" width="9.140625" style="1"/>
  </cols>
  <sheetData>
    <row r="1" spans="1:32" s="203" customFormat="1" ht="51" customHeight="1">
      <c r="A1" s="3" t="s">
        <v>410</v>
      </c>
      <c r="B1" s="4"/>
      <c r="C1" s="224"/>
      <c r="D1" s="224"/>
      <c r="E1" s="224"/>
      <c r="F1" s="224"/>
      <c r="G1" s="225"/>
      <c r="H1" s="226"/>
      <c r="I1" s="227"/>
      <c r="J1" s="231"/>
      <c r="K1" s="231"/>
      <c r="L1" s="231"/>
      <c r="M1" s="231"/>
      <c r="N1" s="231"/>
      <c r="O1" s="231"/>
      <c r="P1" s="231"/>
      <c r="Q1" s="231"/>
      <c r="R1" s="231"/>
      <c r="S1" s="231"/>
      <c r="T1" s="231"/>
      <c r="U1" s="231"/>
      <c r="V1" s="231"/>
      <c r="W1" s="231"/>
      <c r="X1" s="231"/>
      <c r="Y1" s="231"/>
      <c r="Z1" s="231"/>
      <c r="AA1" s="231"/>
      <c r="AB1" s="231"/>
      <c r="AC1" s="231"/>
      <c r="AD1" s="231"/>
      <c r="AE1" s="231"/>
      <c r="AF1" s="231"/>
    </row>
    <row r="2" spans="1:32" s="203" customFormat="1" ht="35.25">
      <c r="A2" s="9"/>
      <c r="B2" s="10"/>
      <c r="C2" s="232"/>
      <c r="D2" s="232"/>
      <c r="E2" s="232"/>
      <c r="F2" s="11"/>
      <c r="G2" s="11"/>
      <c r="H2" s="11"/>
      <c r="I2" s="11"/>
      <c r="J2" s="231"/>
      <c r="K2" s="231"/>
      <c r="L2" s="231"/>
      <c r="M2" s="231"/>
      <c r="N2" s="231"/>
      <c r="O2" s="231"/>
      <c r="P2" s="231"/>
      <c r="Q2" s="231"/>
      <c r="R2" s="231"/>
      <c r="S2" s="231"/>
      <c r="T2" s="231"/>
      <c r="U2" s="231"/>
      <c r="V2" s="231"/>
      <c r="W2" s="231"/>
      <c r="X2" s="231"/>
      <c r="Y2" s="231"/>
      <c r="Z2" s="231"/>
      <c r="AA2" s="231"/>
      <c r="AB2" s="231"/>
      <c r="AC2" s="231"/>
      <c r="AD2" s="231"/>
      <c r="AE2" s="231"/>
      <c r="AF2" s="231"/>
    </row>
    <row r="3" spans="1:32" s="203" customFormat="1" ht="15">
      <c r="A3" s="12"/>
      <c r="B3" s="882" t="s">
        <v>0</v>
      </c>
      <c r="C3" s="884" t="s">
        <v>9</v>
      </c>
      <c r="D3" s="885"/>
      <c r="E3" s="13"/>
      <c r="F3" s="14"/>
      <c r="G3" s="14"/>
      <c r="H3" s="15"/>
      <c r="I3" s="14"/>
      <c r="J3" s="231"/>
      <c r="K3" s="231"/>
      <c r="L3" s="231"/>
      <c r="M3" s="231"/>
      <c r="N3" s="231"/>
      <c r="O3" s="231"/>
      <c r="P3" s="231"/>
      <c r="Q3" s="231"/>
      <c r="R3" s="231"/>
      <c r="S3" s="231"/>
      <c r="T3" s="231"/>
      <c r="U3" s="231"/>
      <c r="V3" s="231"/>
      <c r="W3" s="231"/>
      <c r="X3" s="231"/>
      <c r="Y3" s="231"/>
      <c r="Z3" s="231"/>
      <c r="AA3" s="231"/>
      <c r="AB3" s="231"/>
      <c r="AC3" s="231"/>
      <c r="AD3" s="231"/>
      <c r="AE3" s="231"/>
      <c r="AF3" s="231"/>
    </row>
    <row r="4" spans="1:32" s="203" customFormat="1" ht="15">
      <c r="A4" s="17"/>
      <c r="B4" s="883"/>
      <c r="C4" s="886"/>
      <c r="D4" s="887"/>
      <c r="E4" s="13"/>
      <c r="F4" s="14"/>
      <c r="G4" s="14"/>
      <c r="H4" s="15"/>
      <c r="I4" s="14"/>
      <c r="J4" s="231"/>
      <c r="K4" s="231"/>
      <c r="L4" s="231"/>
      <c r="M4" s="231"/>
      <c r="N4" s="231"/>
      <c r="O4" s="231"/>
      <c r="P4" s="231"/>
      <c r="Q4" s="231"/>
      <c r="R4" s="231"/>
      <c r="S4" s="231"/>
      <c r="T4" s="231"/>
      <c r="U4" s="231"/>
      <c r="V4" s="231"/>
      <c r="W4" s="231"/>
      <c r="X4" s="231"/>
      <c r="Y4" s="231"/>
      <c r="Z4" s="231"/>
      <c r="AA4" s="231"/>
      <c r="AB4" s="231"/>
      <c r="AC4" s="231"/>
      <c r="AD4" s="231"/>
      <c r="AE4" s="231"/>
      <c r="AF4" s="231"/>
    </row>
    <row r="5" spans="1:32" s="203" customFormat="1" ht="15">
      <c r="A5" s="888"/>
      <c r="B5" s="889"/>
      <c r="C5" s="18"/>
      <c r="D5" s="206"/>
      <c r="E5" s="206"/>
      <c r="F5" s="14"/>
      <c r="G5" s="14"/>
      <c r="H5" s="14"/>
      <c r="I5" s="234"/>
      <c r="J5" s="231"/>
      <c r="K5" s="231"/>
      <c r="L5" s="231"/>
      <c r="M5" s="231"/>
      <c r="N5" s="231"/>
      <c r="O5" s="231"/>
      <c r="P5" s="231"/>
      <c r="Q5" s="231"/>
      <c r="R5" s="231"/>
      <c r="S5" s="231"/>
      <c r="T5" s="231"/>
      <c r="U5" s="231"/>
      <c r="V5" s="231"/>
      <c r="W5" s="231"/>
      <c r="X5" s="231"/>
      <c r="Y5" s="231"/>
      <c r="Z5" s="231"/>
      <c r="AA5" s="231"/>
      <c r="AB5" s="231"/>
      <c r="AC5" s="231"/>
      <c r="AD5" s="231"/>
      <c r="AE5" s="231"/>
      <c r="AF5" s="231"/>
    </row>
    <row r="6" spans="1:32" s="203" customFormat="1" ht="23.25" customHeight="1">
      <c r="A6" s="19" t="s">
        <v>1</v>
      </c>
      <c r="B6" s="207"/>
      <c r="C6" s="20"/>
      <c r="D6" s="890" t="s">
        <v>249</v>
      </c>
      <c r="E6" s="890"/>
      <c r="F6" s="890"/>
      <c r="G6" s="890"/>
      <c r="H6" s="890"/>
      <c r="I6" s="29"/>
      <c r="J6" s="231"/>
      <c r="K6" s="231"/>
      <c r="L6" s="231"/>
      <c r="M6" s="231"/>
      <c r="N6" s="231"/>
      <c r="O6" s="231"/>
      <c r="P6" s="231"/>
      <c r="Q6" s="231"/>
      <c r="R6" s="231"/>
      <c r="S6" s="231"/>
      <c r="T6" s="231"/>
      <c r="U6" s="231"/>
      <c r="V6" s="231"/>
      <c r="W6" s="231"/>
      <c r="X6" s="231"/>
      <c r="Y6" s="231"/>
      <c r="Z6" s="231"/>
      <c r="AA6" s="231"/>
      <c r="AB6" s="231"/>
      <c r="AC6" s="231"/>
      <c r="AD6" s="231"/>
      <c r="AE6" s="231"/>
      <c r="AF6" s="231"/>
    </row>
    <row r="7" spans="1:32" s="203" customFormat="1" ht="18.75" customHeight="1">
      <c r="A7" s="19" t="s">
        <v>419</v>
      </c>
      <c r="B7" s="207"/>
      <c r="C7" s="207"/>
      <c r="D7" s="207"/>
      <c r="E7" s="207"/>
      <c r="F7" s="362" t="s">
        <v>250</v>
      </c>
      <c r="G7" s="1"/>
      <c r="H7" s="21"/>
      <c r="I7" s="29"/>
      <c r="J7" s="231"/>
      <c r="K7" s="231"/>
      <c r="L7" s="231"/>
      <c r="M7" s="231"/>
      <c r="N7" s="231"/>
      <c r="O7" s="231"/>
      <c r="P7" s="231"/>
      <c r="Q7" s="231"/>
      <c r="R7" s="231"/>
      <c r="S7" s="231"/>
      <c r="T7" s="231"/>
      <c r="U7" s="231"/>
      <c r="V7" s="231"/>
      <c r="W7" s="231"/>
      <c r="X7" s="231"/>
      <c r="Y7" s="231"/>
      <c r="Z7" s="231"/>
      <c r="AA7" s="231"/>
      <c r="AB7" s="231"/>
      <c r="AC7" s="231"/>
      <c r="AD7" s="231"/>
      <c r="AE7" s="231"/>
      <c r="AF7" s="231"/>
    </row>
    <row r="8" spans="1:32" s="203" customFormat="1" ht="24" customHeight="1">
      <c r="A8" s="22" t="s">
        <v>408</v>
      </c>
      <c r="B8" s="207"/>
      <c r="C8" s="207"/>
      <c r="D8" s="207"/>
      <c r="E8" s="207"/>
      <c r="F8" s="207"/>
      <c r="G8" s="791"/>
      <c r="H8" s="21"/>
      <c r="I8" s="29"/>
      <c r="J8" s="231"/>
      <c r="K8" s="231"/>
      <c r="L8" s="231"/>
      <c r="M8" s="231"/>
      <c r="N8" s="231"/>
      <c r="O8" s="231"/>
      <c r="P8" s="231"/>
      <c r="Q8" s="231"/>
      <c r="R8" s="231"/>
      <c r="S8" s="231"/>
      <c r="T8" s="231"/>
      <c r="U8" s="231"/>
      <c r="V8" s="231"/>
      <c r="W8" s="231"/>
      <c r="X8" s="231"/>
      <c r="Y8" s="231"/>
      <c r="Z8" s="231"/>
      <c r="AA8" s="231"/>
      <c r="AB8" s="231"/>
      <c r="AC8" s="231"/>
      <c r="AD8" s="231"/>
      <c r="AE8" s="231"/>
      <c r="AF8" s="231"/>
    </row>
    <row r="9" spans="1:32" s="203" customFormat="1" ht="30.75" customHeight="1">
      <c r="A9" s="891" t="s">
        <v>420</v>
      </c>
      <c r="B9" s="892"/>
      <c r="C9" s="892"/>
      <c r="D9" s="892"/>
      <c r="E9" s="892"/>
      <c r="F9" s="892"/>
      <c r="G9" s="892"/>
      <c r="H9" s="892"/>
      <c r="I9" s="892"/>
      <c r="J9" s="231"/>
      <c r="K9" s="231"/>
      <c r="L9" s="231"/>
      <c r="M9" s="231"/>
      <c r="N9" s="231"/>
      <c r="O9" s="231"/>
      <c r="P9" s="231"/>
      <c r="Q9" s="231"/>
      <c r="R9" s="231"/>
      <c r="S9" s="231"/>
      <c r="T9" s="231"/>
      <c r="U9" s="231"/>
      <c r="V9" s="231"/>
      <c r="W9" s="231"/>
      <c r="X9" s="231"/>
      <c r="Y9" s="231"/>
      <c r="Z9" s="231"/>
      <c r="AA9" s="231"/>
      <c r="AB9" s="231"/>
      <c r="AC9" s="231"/>
      <c r="AD9" s="231"/>
      <c r="AE9" s="231"/>
      <c r="AF9" s="231"/>
    </row>
    <row r="10" spans="1:32" s="203" customFormat="1" ht="12.75" customHeight="1">
      <c r="A10" s="22" t="s">
        <v>409</v>
      </c>
      <c r="B10" s="19"/>
      <c r="C10" s="1"/>
      <c r="D10" s="880" t="s">
        <v>250</v>
      </c>
      <c r="E10" s="881"/>
      <c r="F10" s="881"/>
      <c r="G10" s="207"/>
      <c r="H10" s="207"/>
      <c r="I10" s="29"/>
      <c r="J10" s="231"/>
      <c r="K10" s="231"/>
      <c r="L10" s="231"/>
      <c r="M10" s="231"/>
      <c r="N10" s="231"/>
      <c r="O10" s="231"/>
      <c r="P10" s="231"/>
      <c r="Q10" s="231"/>
      <c r="R10" s="231"/>
      <c r="S10" s="231"/>
      <c r="T10" s="231"/>
      <c r="U10" s="231"/>
      <c r="V10" s="231"/>
      <c r="W10" s="231"/>
      <c r="X10" s="231"/>
      <c r="Y10" s="231"/>
      <c r="Z10" s="231"/>
      <c r="AA10" s="231"/>
      <c r="AB10" s="231"/>
      <c r="AC10" s="231"/>
      <c r="AD10" s="231"/>
      <c r="AE10" s="231"/>
      <c r="AF10" s="231"/>
    </row>
    <row r="11" spans="1:32" s="203" customFormat="1">
      <c r="A11" s="23"/>
      <c r="B11" s="207"/>
      <c r="C11" s="207"/>
      <c r="D11" s="207"/>
      <c r="E11" s="207"/>
      <c r="F11" s="207"/>
      <c r="G11" s="21"/>
      <c r="H11" s="21"/>
      <c r="I11" s="29"/>
      <c r="J11" s="231"/>
      <c r="K11" s="231"/>
      <c r="L11" s="231"/>
      <c r="M11" s="231"/>
      <c r="N11" s="231"/>
      <c r="O11" s="231"/>
      <c r="P11" s="231"/>
      <c r="Q11" s="231"/>
      <c r="R11" s="231"/>
      <c r="S11" s="231"/>
      <c r="T11" s="231"/>
      <c r="U11" s="231"/>
      <c r="V11" s="231"/>
      <c r="W11" s="231"/>
      <c r="X11" s="231"/>
      <c r="Y11" s="231"/>
      <c r="Z11" s="231"/>
      <c r="AA11" s="231"/>
      <c r="AB11" s="231"/>
      <c r="AC11" s="231"/>
      <c r="AD11" s="231"/>
      <c r="AE11" s="231"/>
      <c r="AF11" s="231"/>
    </row>
    <row r="12" spans="1:32" s="203" customFormat="1">
      <c r="A12" s="24"/>
      <c r="B12" s="25" t="s">
        <v>7</v>
      </c>
      <c r="C12" s="26"/>
      <c r="D12" s="356"/>
      <c r="E12" s="356"/>
      <c r="F12" s="357"/>
      <c r="G12" s="21"/>
      <c r="H12" s="21"/>
      <c r="I12" s="29"/>
      <c r="J12" s="231"/>
      <c r="K12" s="231"/>
      <c r="L12" s="231"/>
      <c r="M12" s="231"/>
      <c r="N12" s="231"/>
      <c r="O12" s="231"/>
      <c r="P12" s="231"/>
      <c r="Q12" s="231"/>
      <c r="R12" s="231"/>
      <c r="S12" s="231"/>
      <c r="T12" s="231"/>
      <c r="U12" s="231"/>
      <c r="V12" s="231"/>
      <c r="W12" s="231"/>
      <c r="X12" s="231"/>
      <c r="Y12" s="231"/>
      <c r="Z12" s="231"/>
      <c r="AA12" s="231"/>
      <c r="AB12" s="231"/>
      <c r="AC12" s="231"/>
      <c r="AD12" s="231"/>
      <c r="AE12" s="231"/>
      <c r="AF12" s="231"/>
    </row>
    <row r="13" spans="1:32" s="203" customFormat="1">
      <c r="A13" s="23"/>
      <c r="B13" s="27"/>
      <c r="C13" s="358"/>
      <c r="D13" s="15"/>
      <c r="E13" s="15"/>
      <c r="F13" s="359"/>
      <c r="G13" s="207"/>
      <c r="H13" s="21"/>
      <c r="I13" s="29"/>
      <c r="J13" s="231"/>
      <c r="K13" s="231"/>
      <c r="L13" s="231"/>
      <c r="M13" s="231"/>
      <c r="N13" s="231"/>
      <c r="O13" s="231"/>
      <c r="P13" s="231"/>
      <c r="Q13" s="231"/>
      <c r="R13" s="231"/>
      <c r="S13" s="231"/>
      <c r="T13" s="231"/>
      <c r="U13" s="231"/>
      <c r="V13" s="231"/>
      <c r="W13" s="231"/>
      <c r="X13" s="231"/>
      <c r="Y13" s="231"/>
      <c r="Z13" s="231"/>
      <c r="AA13" s="231"/>
      <c r="AB13" s="231"/>
      <c r="AC13" s="231"/>
      <c r="AD13" s="231"/>
      <c r="AE13" s="231"/>
      <c r="AF13" s="231"/>
    </row>
    <row r="14" spans="1:32" s="203" customFormat="1">
      <c r="A14" s="23"/>
      <c r="B14" s="363" t="s">
        <v>328</v>
      </c>
      <c r="C14" s="870" t="s">
        <v>10</v>
      </c>
      <c r="D14" s="870"/>
      <c r="E14" s="870"/>
      <c r="F14" s="871"/>
      <c r="G14" s="207"/>
      <c r="H14" s="21"/>
      <c r="I14" s="29"/>
      <c r="J14" s="231"/>
      <c r="K14" s="231"/>
      <c r="L14" s="231"/>
      <c r="M14" s="231"/>
      <c r="N14" s="231"/>
      <c r="O14" s="231"/>
      <c r="P14" s="231"/>
      <c r="Q14" s="231"/>
      <c r="R14" s="231"/>
      <c r="S14" s="231"/>
      <c r="T14" s="231"/>
      <c r="U14" s="231"/>
      <c r="V14" s="231"/>
      <c r="W14" s="231"/>
      <c r="X14" s="231"/>
      <c r="Y14" s="231"/>
      <c r="Z14" s="231"/>
      <c r="AA14" s="231"/>
      <c r="AB14" s="231"/>
      <c r="AC14" s="231"/>
      <c r="AD14" s="231"/>
      <c r="AE14" s="231"/>
      <c r="AF14" s="231"/>
    </row>
    <row r="15" spans="1:32" s="203" customFormat="1">
      <c r="A15" s="23"/>
      <c r="B15" s="363" t="s">
        <v>329</v>
      </c>
      <c r="C15" s="870" t="s">
        <v>12</v>
      </c>
      <c r="D15" s="870"/>
      <c r="E15" s="870"/>
      <c r="F15" s="871"/>
      <c r="G15" s="207"/>
      <c r="H15" s="21"/>
      <c r="I15" s="29"/>
      <c r="J15" s="231"/>
      <c r="K15" s="231"/>
      <c r="L15" s="231"/>
      <c r="M15" s="231"/>
      <c r="N15" s="231"/>
      <c r="O15" s="231"/>
      <c r="P15" s="231"/>
      <c r="Q15" s="231"/>
      <c r="R15" s="231"/>
      <c r="S15" s="231"/>
      <c r="T15" s="231"/>
      <c r="U15" s="231"/>
      <c r="V15" s="231"/>
      <c r="W15" s="231"/>
      <c r="X15" s="231"/>
      <c r="Y15" s="231"/>
      <c r="Z15" s="231"/>
      <c r="AA15" s="231"/>
      <c r="AB15" s="231"/>
      <c r="AC15" s="231"/>
      <c r="AD15" s="231"/>
      <c r="AE15" s="231"/>
      <c r="AF15" s="231"/>
    </row>
    <row r="16" spans="1:32" s="203" customFormat="1">
      <c r="A16" s="23"/>
      <c r="B16" s="360" t="s">
        <v>14</v>
      </c>
      <c r="C16" s="870" t="s">
        <v>15</v>
      </c>
      <c r="D16" s="870"/>
      <c r="E16" s="870"/>
      <c r="F16" s="871"/>
      <c r="G16" s="207"/>
      <c r="H16" s="21"/>
      <c r="I16" s="29"/>
      <c r="J16" s="231"/>
      <c r="K16" s="231"/>
      <c r="L16" s="231"/>
      <c r="M16" s="231"/>
      <c r="N16" s="231"/>
      <c r="O16" s="231"/>
      <c r="P16" s="231"/>
      <c r="Q16" s="231"/>
      <c r="R16" s="231"/>
      <c r="S16" s="231"/>
      <c r="T16" s="231"/>
      <c r="U16" s="231"/>
      <c r="V16" s="231"/>
      <c r="W16" s="231"/>
      <c r="X16" s="231"/>
      <c r="Y16" s="231"/>
      <c r="Z16" s="231"/>
      <c r="AA16" s="231"/>
      <c r="AB16" s="231"/>
      <c r="AC16" s="231"/>
      <c r="AD16" s="231"/>
      <c r="AE16" s="231"/>
      <c r="AF16" s="231"/>
    </row>
    <row r="17" spans="1:32" s="203" customFormat="1">
      <c r="A17" s="23"/>
      <c r="B17" s="360" t="s">
        <v>17</v>
      </c>
      <c r="C17" s="870" t="s">
        <v>18</v>
      </c>
      <c r="D17" s="870"/>
      <c r="E17" s="870"/>
      <c r="F17" s="871"/>
      <c r="G17" s="207"/>
      <c r="H17" s="21"/>
      <c r="I17" s="29"/>
      <c r="J17" s="231"/>
      <c r="K17" s="231"/>
      <c r="L17" s="231"/>
      <c r="M17" s="231"/>
      <c r="N17" s="231"/>
      <c r="O17" s="231"/>
      <c r="P17" s="231"/>
      <c r="Q17" s="231"/>
      <c r="R17" s="231"/>
      <c r="S17" s="231"/>
      <c r="T17" s="231"/>
      <c r="U17" s="231"/>
      <c r="V17" s="231"/>
      <c r="W17" s="231"/>
      <c r="X17" s="231"/>
      <c r="Y17" s="231"/>
      <c r="Z17" s="231"/>
      <c r="AA17" s="231"/>
      <c r="AB17" s="231"/>
      <c r="AC17" s="231"/>
      <c r="AD17" s="231"/>
      <c r="AE17" s="231"/>
      <c r="AF17" s="231"/>
    </row>
    <row r="18" spans="1:32" s="203" customFormat="1">
      <c r="A18" s="23"/>
      <c r="B18" s="360" t="s">
        <v>20</v>
      </c>
      <c r="C18" s="870" t="s">
        <v>21</v>
      </c>
      <c r="D18" s="870"/>
      <c r="E18" s="870"/>
      <c r="F18" s="871"/>
      <c r="G18" s="207"/>
      <c r="H18" s="21"/>
      <c r="I18" s="29"/>
      <c r="J18" s="231"/>
      <c r="K18" s="231"/>
      <c r="L18" s="231"/>
      <c r="M18" s="231"/>
      <c r="N18" s="231"/>
      <c r="O18" s="231"/>
      <c r="P18" s="231"/>
      <c r="Q18" s="231"/>
      <c r="R18" s="231"/>
      <c r="S18" s="231"/>
      <c r="T18" s="231"/>
      <c r="U18" s="231"/>
      <c r="V18" s="231"/>
      <c r="W18" s="231"/>
      <c r="X18" s="231"/>
      <c r="Y18" s="231"/>
      <c r="Z18" s="231"/>
      <c r="AA18" s="231"/>
      <c r="AB18" s="231"/>
      <c r="AC18" s="231"/>
      <c r="AD18" s="231"/>
      <c r="AE18" s="231"/>
      <c r="AF18" s="231"/>
    </row>
    <row r="19" spans="1:32" s="203" customFormat="1">
      <c r="A19" s="23"/>
      <c r="B19" s="361" t="s">
        <v>23</v>
      </c>
      <c r="C19" s="872" t="s">
        <v>24</v>
      </c>
      <c r="D19" s="872"/>
      <c r="E19" s="872"/>
      <c r="F19" s="873"/>
      <c r="G19" s="21"/>
      <c r="H19" s="21"/>
      <c r="I19" s="29"/>
      <c r="J19" s="231"/>
      <c r="K19" s="231"/>
      <c r="L19" s="231"/>
      <c r="M19" s="231"/>
      <c r="N19" s="231"/>
      <c r="O19" s="231"/>
      <c r="P19" s="231"/>
      <c r="Q19" s="231"/>
      <c r="R19" s="231"/>
      <c r="S19" s="231"/>
      <c r="T19" s="231"/>
      <c r="U19" s="231"/>
      <c r="V19" s="231"/>
      <c r="W19" s="231"/>
      <c r="X19" s="231"/>
      <c r="Y19" s="231"/>
      <c r="Z19" s="231"/>
      <c r="AA19" s="231"/>
      <c r="AB19" s="231"/>
      <c r="AC19" s="231"/>
      <c r="AD19" s="231"/>
      <c r="AE19" s="231"/>
      <c r="AF19" s="231"/>
    </row>
    <row r="20" spans="1:32" s="203" customFormat="1">
      <c r="A20" s="236"/>
      <c r="B20" s="206"/>
      <c r="C20" s="206"/>
      <c r="D20" s="206"/>
      <c r="E20" s="206"/>
      <c r="F20" s="206"/>
      <c r="G20" s="206"/>
      <c r="H20" s="206"/>
      <c r="I20" s="206"/>
      <c r="J20" s="231"/>
      <c r="K20" s="231"/>
      <c r="L20" s="231"/>
      <c r="M20" s="231"/>
      <c r="N20" s="231"/>
      <c r="O20" s="231"/>
      <c r="P20" s="231"/>
      <c r="Q20" s="231"/>
      <c r="R20" s="231"/>
      <c r="S20" s="231"/>
      <c r="T20" s="231"/>
      <c r="U20" s="231"/>
      <c r="V20" s="231"/>
      <c r="W20" s="231"/>
      <c r="X20" s="231"/>
      <c r="Y20" s="231"/>
      <c r="Z20" s="231"/>
      <c r="AA20" s="231"/>
      <c r="AB20" s="231"/>
      <c r="AC20" s="231"/>
      <c r="AD20" s="231"/>
      <c r="AE20" s="231"/>
      <c r="AF20" s="231"/>
    </row>
    <row r="21" spans="1:32" s="203" customFormat="1" ht="19.5">
      <c r="A21" s="30"/>
      <c r="B21" s="13"/>
      <c r="C21" s="13"/>
      <c r="D21" s="13"/>
      <c r="E21" s="13"/>
      <c r="F21" s="13"/>
      <c r="G21" s="13"/>
      <c r="H21" s="31" t="s">
        <v>27</v>
      </c>
      <c r="I21" s="237"/>
      <c r="J21" s="231"/>
      <c r="K21" s="231"/>
      <c r="L21" s="231"/>
      <c r="M21" s="231"/>
      <c r="N21" s="231"/>
      <c r="O21" s="231"/>
      <c r="P21" s="231"/>
      <c r="Q21" s="231"/>
      <c r="R21" s="231"/>
      <c r="S21" s="231"/>
      <c r="T21" s="231"/>
      <c r="U21" s="231"/>
      <c r="V21" s="231"/>
      <c r="W21" s="231"/>
      <c r="X21" s="231"/>
      <c r="Y21" s="231"/>
      <c r="Z21" s="231"/>
      <c r="AA21" s="231"/>
      <c r="AB21" s="231"/>
      <c r="AC21" s="231"/>
      <c r="AD21" s="231"/>
      <c r="AE21" s="231"/>
      <c r="AF21" s="231"/>
    </row>
    <row r="22" spans="1:32" s="203" customFormat="1" ht="18.75" customHeight="1">
      <c r="A22" s="32"/>
      <c r="B22" s="29"/>
      <c r="C22" s="29"/>
      <c r="D22" s="29"/>
      <c r="E22" s="29"/>
      <c r="F22" s="33">
        <v>1</v>
      </c>
      <c r="G22" s="34"/>
      <c r="H22" s="33">
        <v>2</v>
      </c>
      <c r="I22" s="34"/>
      <c r="J22" s="231"/>
      <c r="K22" s="231"/>
      <c r="L22" s="231"/>
      <c r="M22" s="231"/>
      <c r="N22" s="231"/>
      <c r="O22" s="231"/>
      <c r="P22" s="231"/>
      <c r="Q22" s="231"/>
      <c r="R22" s="231"/>
      <c r="S22" s="231"/>
      <c r="T22" s="231"/>
      <c r="U22" s="231"/>
      <c r="V22" s="231"/>
      <c r="W22" s="231"/>
      <c r="X22" s="231"/>
      <c r="Y22" s="231"/>
      <c r="Z22" s="231"/>
      <c r="AA22" s="231"/>
      <c r="AB22" s="231"/>
      <c r="AC22" s="231"/>
      <c r="AD22" s="231"/>
      <c r="AE22" s="231"/>
      <c r="AF22" s="231"/>
    </row>
    <row r="23" spans="1:32" s="203" customFormat="1" ht="21.95" customHeight="1">
      <c r="A23" s="874" t="s">
        <v>30</v>
      </c>
      <c r="B23" s="875"/>
      <c r="C23" s="875"/>
      <c r="D23" s="875"/>
      <c r="E23" s="878" t="s">
        <v>376</v>
      </c>
      <c r="F23" s="856" t="s">
        <v>407</v>
      </c>
      <c r="G23" s="36"/>
      <c r="H23" s="878" t="s">
        <v>406</v>
      </c>
      <c r="I23" s="36"/>
      <c r="J23" s="231"/>
      <c r="K23" s="231"/>
      <c r="L23" s="231"/>
      <c r="M23" s="231"/>
      <c r="N23" s="231"/>
      <c r="O23" s="231"/>
      <c r="P23" s="231"/>
      <c r="Q23" s="231"/>
      <c r="R23" s="231"/>
      <c r="S23" s="231"/>
      <c r="T23" s="231"/>
      <c r="U23" s="231"/>
      <c r="V23" s="231"/>
      <c r="W23" s="231"/>
      <c r="X23" s="231"/>
      <c r="Y23" s="231"/>
      <c r="Z23" s="231"/>
      <c r="AA23" s="231"/>
      <c r="AB23" s="231"/>
      <c r="AC23" s="231"/>
      <c r="AD23" s="231"/>
      <c r="AE23" s="231"/>
      <c r="AF23" s="231"/>
    </row>
    <row r="24" spans="1:32" s="203" customFormat="1" ht="21.95" customHeight="1">
      <c r="A24" s="876"/>
      <c r="B24" s="877"/>
      <c r="C24" s="877"/>
      <c r="D24" s="877"/>
      <c r="E24" s="879"/>
      <c r="F24" s="860"/>
      <c r="G24" s="23"/>
      <c r="H24" s="879"/>
      <c r="I24" s="36"/>
      <c r="J24" s="231"/>
      <c r="K24" s="231"/>
      <c r="L24" s="231"/>
      <c r="M24" s="231"/>
      <c r="N24" s="231"/>
      <c r="O24" s="231"/>
      <c r="P24" s="231"/>
      <c r="Q24" s="231"/>
      <c r="R24" s="231"/>
      <c r="S24" s="231"/>
      <c r="T24" s="231"/>
      <c r="U24" s="231"/>
      <c r="V24" s="231"/>
      <c r="W24" s="231"/>
      <c r="X24" s="231"/>
      <c r="Y24" s="231"/>
      <c r="Z24" s="231"/>
      <c r="AA24" s="231"/>
      <c r="AB24" s="231"/>
      <c r="AC24" s="231"/>
      <c r="AD24" s="231"/>
      <c r="AE24" s="231"/>
      <c r="AF24" s="231"/>
    </row>
    <row r="25" spans="1:32" s="203" customFormat="1" ht="21.95" customHeight="1">
      <c r="A25" s="898" t="s">
        <v>48</v>
      </c>
      <c r="B25" s="901" t="s">
        <v>49</v>
      </c>
      <c r="C25" s="901"/>
      <c r="D25" s="902"/>
      <c r="E25" s="907" t="s">
        <v>50</v>
      </c>
      <c r="F25" s="909" t="s">
        <v>51</v>
      </c>
      <c r="G25" s="34"/>
      <c r="H25" s="907" t="s">
        <v>50</v>
      </c>
      <c r="I25" s="36"/>
      <c r="J25" s="231"/>
      <c r="K25" s="231"/>
      <c r="L25" s="231"/>
      <c r="M25" s="231"/>
      <c r="N25" s="231"/>
      <c r="O25" s="231"/>
      <c r="P25" s="231"/>
      <c r="Q25" s="231"/>
      <c r="R25" s="231"/>
      <c r="S25" s="231"/>
      <c r="T25" s="231"/>
      <c r="U25" s="231"/>
      <c r="V25" s="231"/>
      <c r="W25" s="231"/>
      <c r="X25" s="231"/>
      <c r="Y25" s="231"/>
      <c r="Z25" s="231"/>
      <c r="AA25" s="231"/>
      <c r="AB25" s="231"/>
      <c r="AC25" s="231"/>
      <c r="AD25" s="231"/>
      <c r="AE25" s="231"/>
      <c r="AF25" s="231"/>
    </row>
    <row r="26" spans="1:32" s="203" customFormat="1" ht="21.95" customHeight="1">
      <c r="A26" s="899"/>
      <c r="B26" s="903"/>
      <c r="C26" s="903"/>
      <c r="D26" s="904"/>
      <c r="E26" s="908"/>
      <c r="F26" s="859"/>
      <c r="G26" s="34"/>
      <c r="H26" s="908"/>
      <c r="I26" s="36"/>
      <c r="J26" s="231"/>
      <c r="K26" s="231"/>
      <c r="L26" s="231"/>
      <c r="M26" s="231"/>
      <c r="N26" s="231"/>
      <c r="O26" s="231"/>
      <c r="P26" s="231"/>
      <c r="Q26" s="231"/>
      <c r="R26" s="231"/>
      <c r="S26" s="231"/>
      <c r="T26" s="231"/>
      <c r="U26" s="231"/>
      <c r="V26" s="231"/>
      <c r="W26" s="231"/>
      <c r="X26" s="231"/>
      <c r="Y26" s="231"/>
      <c r="Z26" s="231"/>
      <c r="AA26" s="231"/>
      <c r="AB26" s="231"/>
      <c r="AC26" s="231"/>
      <c r="AD26" s="231"/>
      <c r="AE26" s="231"/>
      <c r="AF26" s="231"/>
    </row>
    <row r="27" spans="1:32" s="203" customFormat="1" ht="21.95" customHeight="1">
      <c r="A27" s="900"/>
      <c r="B27" s="905"/>
      <c r="C27" s="905"/>
      <c r="D27" s="906"/>
      <c r="E27" s="879"/>
      <c r="F27" s="860"/>
      <c r="G27" s="34"/>
      <c r="H27" s="879"/>
      <c r="I27" s="36"/>
      <c r="J27" s="231"/>
      <c r="K27" s="231"/>
      <c r="L27" s="231"/>
      <c r="M27" s="231"/>
      <c r="N27" s="231"/>
      <c r="O27" s="231"/>
      <c r="P27" s="231"/>
      <c r="Q27" s="231"/>
      <c r="R27" s="231"/>
      <c r="S27" s="231"/>
      <c r="T27" s="231"/>
      <c r="U27" s="231"/>
      <c r="V27" s="231"/>
      <c r="W27" s="231"/>
      <c r="X27" s="231"/>
      <c r="Y27" s="231"/>
      <c r="Z27" s="231"/>
      <c r="AA27" s="231"/>
      <c r="AB27" s="231"/>
      <c r="AC27" s="231"/>
      <c r="AD27" s="231"/>
      <c r="AE27" s="231"/>
      <c r="AF27" s="231"/>
    </row>
    <row r="28" spans="1:32" s="203" customFormat="1">
      <c r="A28" s="38">
        <v>1</v>
      </c>
      <c r="B28" s="39" t="s">
        <v>52</v>
      </c>
      <c r="C28" s="39"/>
      <c r="D28" s="40"/>
      <c r="E28" s="41">
        <v>145927</v>
      </c>
      <c r="F28" s="42">
        <f>F77</f>
        <v>148199</v>
      </c>
      <c r="G28" s="43"/>
      <c r="H28" s="44">
        <f>H77</f>
        <v>153421</v>
      </c>
      <c r="I28" s="43"/>
      <c r="J28" s="231"/>
      <c r="K28" s="231"/>
      <c r="L28" s="231"/>
      <c r="M28" s="231"/>
      <c r="N28" s="231"/>
      <c r="O28" s="231"/>
      <c r="P28" s="231"/>
      <c r="Q28" s="231"/>
      <c r="R28" s="231"/>
      <c r="S28" s="231"/>
      <c r="T28" s="231"/>
      <c r="U28" s="231"/>
      <c r="V28" s="231"/>
      <c r="W28" s="231"/>
      <c r="X28" s="231"/>
      <c r="Y28" s="231"/>
      <c r="Z28" s="231"/>
      <c r="AA28" s="231"/>
      <c r="AB28" s="231"/>
      <c r="AC28" s="231"/>
      <c r="AD28" s="231"/>
      <c r="AE28" s="231"/>
      <c r="AF28" s="231"/>
    </row>
    <row r="29" spans="1:32" s="203" customFormat="1">
      <c r="A29" s="46">
        <v>2</v>
      </c>
      <c r="B29" s="47" t="s">
        <v>53</v>
      </c>
      <c r="C29" s="47"/>
      <c r="D29" s="48"/>
      <c r="E29" s="49">
        <v>89939</v>
      </c>
      <c r="F29" s="50">
        <f>F105</f>
        <v>93686</v>
      </c>
      <c r="G29" s="43"/>
      <c r="H29" s="51">
        <f>H105</f>
        <v>92951</v>
      </c>
      <c r="I29" s="43"/>
      <c r="J29" s="231"/>
      <c r="K29" s="231"/>
      <c r="L29" s="231"/>
      <c r="M29" s="231"/>
      <c r="N29" s="231"/>
      <c r="O29" s="231"/>
      <c r="P29" s="231"/>
      <c r="Q29" s="231"/>
      <c r="R29" s="231"/>
      <c r="S29" s="231"/>
      <c r="T29" s="231"/>
      <c r="U29" s="231"/>
      <c r="V29" s="231"/>
      <c r="W29" s="231"/>
      <c r="X29" s="231"/>
      <c r="Y29" s="231"/>
      <c r="Z29" s="231"/>
      <c r="AA29" s="231"/>
      <c r="AB29" s="231"/>
      <c r="AC29" s="231"/>
      <c r="AD29" s="231"/>
      <c r="AE29" s="231"/>
      <c r="AF29" s="231"/>
    </row>
    <row r="30" spans="1:32" s="203" customFormat="1">
      <c r="A30" s="46">
        <v>3</v>
      </c>
      <c r="B30" s="47" t="s">
        <v>54</v>
      </c>
      <c r="C30" s="47"/>
      <c r="D30" s="48"/>
      <c r="E30" s="49">
        <v>12824</v>
      </c>
      <c r="F30" s="50">
        <f>F180</f>
        <v>11662</v>
      </c>
      <c r="G30" s="43"/>
      <c r="H30" s="51">
        <f>H180</f>
        <v>10551</v>
      </c>
      <c r="I30" s="43"/>
      <c r="J30" s="231"/>
      <c r="K30" s="231"/>
      <c r="L30" s="231"/>
      <c r="M30" s="231"/>
      <c r="N30" s="231"/>
      <c r="O30" s="231"/>
      <c r="P30" s="231"/>
      <c r="Q30" s="231"/>
      <c r="R30" s="231"/>
      <c r="S30" s="231"/>
      <c r="T30" s="231"/>
      <c r="U30" s="231"/>
      <c r="V30" s="231"/>
      <c r="W30" s="231"/>
      <c r="X30" s="231"/>
      <c r="Y30" s="231"/>
      <c r="Z30" s="231"/>
      <c r="AA30" s="231"/>
      <c r="AB30" s="231"/>
      <c r="AC30" s="231"/>
      <c r="AD30" s="231"/>
      <c r="AE30" s="231"/>
      <c r="AF30" s="231"/>
    </row>
    <row r="31" spans="1:32" s="203" customFormat="1">
      <c r="A31" s="46">
        <v>4</v>
      </c>
      <c r="B31" s="47" t="s">
        <v>55</v>
      </c>
      <c r="C31" s="47"/>
      <c r="D31" s="48"/>
      <c r="E31" s="49">
        <v>20319</v>
      </c>
      <c r="F31" s="50">
        <f>F214</f>
        <v>20953</v>
      </c>
      <c r="G31" s="43"/>
      <c r="H31" s="51">
        <f>H214</f>
        <v>22980</v>
      </c>
      <c r="I31" s="43"/>
      <c r="J31" s="231"/>
      <c r="K31" s="231"/>
      <c r="L31" s="231"/>
      <c r="M31" s="231"/>
      <c r="N31" s="231"/>
      <c r="O31" s="231"/>
      <c r="P31" s="231"/>
      <c r="Q31" s="231"/>
      <c r="R31" s="231"/>
      <c r="S31" s="231"/>
      <c r="T31" s="231"/>
      <c r="U31" s="231"/>
      <c r="V31" s="231"/>
      <c r="W31" s="231"/>
      <c r="X31" s="231"/>
      <c r="Y31" s="231"/>
      <c r="Z31" s="231"/>
      <c r="AA31" s="231"/>
      <c r="AB31" s="231"/>
      <c r="AC31" s="231"/>
      <c r="AD31" s="231"/>
      <c r="AE31" s="231"/>
      <c r="AF31" s="231"/>
    </row>
    <row r="32" spans="1:32" s="203" customFormat="1">
      <c r="A32" s="46">
        <v>5</v>
      </c>
      <c r="B32" s="47" t="s">
        <v>56</v>
      </c>
      <c r="C32" s="47"/>
      <c r="D32" s="48"/>
      <c r="E32" s="49">
        <v>4229</v>
      </c>
      <c r="F32" s="50">
        <f>F231</f>
        <v>4778</v>
      </c>
      <c r="G32" s="43"/>
      <c r="H32" s="51">
        <f>H231</f>
        <v>4213</v>
      </c>
      <c r="I32" s="43"/>
      <c r="J32" s="231"/>
      <c r="K32" s="231"/>
      <c r="L32" s="231"/>
      <c r="M32" s="231"/>
      <c r="N32" s="231"/>
      <c r="O32" s="231"/>
      <c r="P32" s="231"/>
      <c r="Q32" s="231"/>
      <c r="R32" s="231"/>
      <c r="S32" s="231"/>
      <c r="T32" s="231"/>
      <c r="U32" s="231"/>
      <c r="V32" s="231"/>
      <c r="W32" s="231"/>
      <c r="X32" s="231"/>
      <c r="Y32" s="231"/>
      <c r="Z32" s="231"/>
      <c r="AA32" s="231"/>
      <c r="AB32" s="231"/>
      <c r="AC32" s="231"/>
      <c r="AD32" s="231"/>
      <c r="AE32" s="231"/>
      <c r="AF32" s="231"/>
    </row>
    <row r="33" spans="1:32" s="203" customFormat="1">
      <c r="A33" s="46">
        <v>6</v>
      </c>
      <c r="B33" s="47" t="s">
        <v>57</v>
      </c>
      <c r="C33" s="47"/>
      <c r="D33" s="48"/>
      <c r="E33" s="49">
        <v>13252</v>
      </c>
      <c r="F33" s="50">
        <f>F257</f>
        <v>14007</v>
      </c>
      <c r="G33" s="43"/>
      <c r="H33" s="51">
        <f>H257</f>
        <v>13203.356</v>
      </c>
      <c r="I33" s="43"/>
      <c r="J33" s="231"/>
      <c r="K33" s="231"/>
      <c r="L33" s="231"/>
      <c r="M33" s="231"/>
      <c r="N33" s="231"/>
      <c r="O33" s="231"/>
      <c r="P33" s="231"/>
      <c r="Q33" s="231"/>
      <c r="R33" s="231"/>
      <c r="S33" s="231"/>
      <c r="T33" s="231"/>
      <c r="U33" s="231"/>
      <c r="V33" s="231"/>
      <c r="W33" s="231"/>
      <c r="X33" s="231"/>
      <c r="Y33" s="231"/>
      <c r="Z33" s="231"/>
      <c r="AA33" s="231"/>
      <c r="AB33" s="231"/>
      <c r="AC33" s="231"/>
      <c r="AD33" s="231"/>
      <c r="AE33" s="231"/>
      <c r="AF33" s="231"/>
    </row>
    <row r="34" spans="1:32" s="203" customFormat="1">
      <c r="A34" s="46">
        <v>7</v>
      </c>
      <c r="B34" s="47" t="s">
        <v>58</v>
      </c>
      <c r="C34" s="47"/>
      <c r="D34" s="48"/>
      <c r="E34" s="49">
        <v>10450</v>
      </c>
      <c r="F34" s="50">
        <f>F277</f>
        <v>10787</v>
      </c>
      <c r="G34" s="43"/>
      <c r="H34" s="50">
        <f>H277</f>
        <v>8542</v>
      </c>
      <c r="I34" s="43"/>
      <c r="J34" s="231"/>
      <c r="K34" s="231"/>
      <c r="L34" s="231"/>
      <c r="M34" s="231"/>
      <c r="N34" s="231"/>
      <c r="O34" s="231"/>
      <c r="P34" s="231"/>
      <c r="Q34" s="231"/>
      <c r="R34" s="231"/>
      <c r="S34" s="231"/>
      <c r="T34" s="231"/>
      <c r="U34" s="231"/>
      <c r="V34" s="231"/>
      <c r="W34" s="231"/>
      <c r="X34" s="231"/>
      <c r="Y34" s="231"/>
      <c r="Z34" s="231"/>
      <c r="AA34" s="231"/>
      <c r="AB34" s="231"/>
      <c r="AC34" s="231"/>
      <c r="AD34" s="231"/>
      <c r="AE34" s="231"/>
      <c r="AF34" s="231"/>
    </row>
    <row r="35" spans="1:32" s="203" customFormat="1">
      <c r="A35" s="46">
        <v>8</v>
      </c>
      <c r="B35" s="47" t="s">
        <v>59</v>
      </c>
      <c r="C35" s="47"/>
      <c r="D35" s="48"/>
      <c r="E35" s="49">
        <v>15610</v>
      </c>
      <c r="F35" s="50">
        <f>F302</f>
        <v>16872</v>
      </c>
      <c r="G35" s="43"/>
      <c r="H35" s="50">
        <f>H302</f>
        <v>13963</v>
      </c>
      <c r="I35" s="21"/>
      <c r="J35" s="231"/>
      <c r="K35" s="231"/>
      <c r="L35" s="231"/>
      <c r="M35" s="231"/>
      <c r="N35" s="231"/>
      <c r="O35" s="231"/>
      <c r="P35" s="231"/>
      <c r="Q35" s="231"/>
      <c r="R35" s="231"/>
      <c r="S35" s="231"/>
      <c r="T35" s="231"/>
      <c r="U35" s="231"/>
      <c r="V35" s="231"/>
      <c r="W35" s="231"/>
      <c r="X35" s="231"/>
      <c r="Y35" s="231"/>
      <c r="Z35" s="231"/>
      <c r="AA35" s="231"/>
      <c r="AB35" s="231"/>
      <c r="AC35" s="231"/>
      <c r="AD35" s="231"/>
      <c r="AE35" s="231"/>
      <c r="AF35" s="231"/>
    </row>
    <row r="36" spans="1:32" s="203" customFormat="1">
      <c r="A36" s="46">
        <v>9</v>
      </c>
      <c r="B36" s="47" t="s">
        <v>60</v>
      </c>
      <c r="C36" s="47"/>
      <c r="D36" s="48"/>
      <c r="E36" s="49">
        <v>0</v>
      </c>
      <c r="F36" s="52">
        <v>0</v>
      </c>
      <c r="G36" s="43"/>
      <c r="H36" s="52">
        <v>0</v>
      </c>
      <c r="I36" s="21"/>
      <c r="J36" s="231"/>
      <c r="K36" s="231"/>
      <c r="L36" s="231"/>
      <c r="M36" s="231"/>
      <c r="N36" s="231"/>
      <c r="O36" s="231"/>
      <c r="P36" s="231"/>
      <c r="Q36" s="231"/>
      <c r="R36" s="231"/>
      <c r="S36" s="231"/>
      <c r="T36" s="231"/>
      <c r="U36" s="231"/>
      <c r="V36" s="231"/>
      <c r="W36" s="231"/>
      <c r="X36" s="231"/>
      <c r="Y36" s="231"/>
      <c r="Z36" s="231"/>
      <c r="AA36" s="231"/>
      <c r="AB36" s="231"/>
      <c r="AC36" s="231"/>
      <c r="AD36" s="231"/>
      <c r="AE36" s="231"/>
      <c r="AF36" s="231"/>
    </row>
    <row r="37" spans="1:32" s="203" customFormat="1">
      <c r="A37" s="53">
        <v>10</v>
      </c>
      <c r="B37" s="54" t="s">
        <v>61</v>
      </c>
      <c r="C37" s="54"/>
      <c r="D37" s="55"/>
      <c r="E37" s="56">
        <v>36121</v>
      </c>
      <c r="F37" s="57">
        <f>F320</f>
        <v>33277</v>
      </c>
      <c r="G37" s="43"/>
      <c r="H37" s="57">
        <f>H320</f>
        <v>33793</v>
      </c>
      <c r="I37" s="21"/>
      <c r="J37" s="231"/>
      <c r="K37" s="231"/>
      <c r="L37" s="231"/>
      <c r="M37" s="231"/>
      <c r="N37" s="231"/>
      <c r="O37" s="231"/>
      <c r="P37" s="231"/>
      <c r="Q37" s="231"/>
      <c r="R37" s="231"/>
      <c r="S37" s="231"/>
      <c r="T37" s="231"/>
      <c r="U37" s="231"/>
      <c r="V37" s="231"/>
      <c r="W37" s="231"/>
      <c r="X37" s="231"/>
      <c r="Y37" s="231"/>
      <c r="Z37" s="231"/>
      <c r="AA37" s="231"/>
      <c r="AB37" s="231"/>
      <c r="AC37" s="231"/>
      <c r="AD37" s="231"/>
      <c r="AE37" s="231"/>
      <c r="AF37" s="231"/>
    </row>
    <row r="38" spans="1:32" s="203" customFormat="1">
      <c r="A38" s="33">
        <v>11</v>
      </c>
      <c r="B38" s="58" t="s">
        <v>62</v>
      </c>
      <c r="C38" s="58"/>
      <c r="D38" s="59"/>
      <c r="E38" s="60">
        <v>348671</v>
      </c>
      <c r="F38" s="61">
        <f>SUM(F28:F37)</f>
        <v>354221</v>
      </c>
      <c r="G38" s="43"/>
      <c r="H38" s="61">
        <f>SUM(H28:H37)</f>
        <v>353617.35600000003</v>
      </c>
      <c r="I38" s="68"/>
      <c r="J38" s="231"/>
      <c r="K38" s="231"/>
      <c r="L38" s="231"/>
      <c r="M38" s="231"/>
      <c r="N38" s="231"/>
      <c r="O38" s="231"/>
      <c r="P38" s="231"/>
      <c r="Q38" s="231"/>
      <c r="R38" s="231"/>
      <c r="S38" s="231"/>
      <c r="T38" s="231"/>
      <c r="U38" s="231"/>
      <c r="V38" s="231"/>
      <c r="W38" s="231"/>
      <c r="X38" s="231"/>
      <c r="Y38" s="231"/>
      <c r="Z38" s="231"/>
      <c r="AA38" s="231"/>
      <c r="AB38" s="231"/>
      <c r="AC38" s="231"/>
      <c r="AD38" s="231"/>
      <c r="AE38" s="231"/>
      <c r="AF38" s="231"/>
    </row>
    <row r="39" spans="1:32" s="203" customFormat="1" ht="12.75" customHeight="1">
      <c r="A39" s="63"/>
      <c r="B39" s="64"/>
      <c r="C39" s="64"/>
      <c r="D39" s="65"/>
      <c r="E39" s="66"/>
      <c r="F39" s="67"/>
      <c r="G39" s="21"/>
      <c r="H39" s="67"/>
      <c r="I39" s="68"/>
      <c r="J39" s="231"/>
      <c r="K39" s="231"/>
      <c r="L39" s="231"/>
      <c r="M39" s="231"/>
      <c r="N39" s="231"/>
      <c r="O39" s="231"/>
      <c r="P39" s="231"/>
      <c r="Q39" s="231"/>
      <c r="R39" s="231"/>
      <c r="S39" s="231"/>
      <c r="T39" s="231"/>
      <c r="U39" s="231"/>
      <c r="V39" s="231"/>
      <c r="W39" s="231"/>
      <c r="X39" s="231"/>
      <c r="Y39" s="231"/>
      <c r="Z39" s="231"/>
      <c r="AA39" s="231"/>
      <c r="AB39" s="231"/>
      <c r="AC39" s="231"/>
      <c r="AD39" s="231"/>
      <c r="AE39" s="231"/>
      <c r="AF39" s="231"/>
    </row>
    <row r="40" spans="1:32" s="203" customFormat="1" ht="12.75" customHeight="1">
      <c r="A40" s="893" t="s">
        <v>63</v>
      </c>
      <c r="B40" s="894"/>
      <c r="C40" s="894"/>
      <c r="D40" s="895"/>
      <c r="E40" s="878" t="s">
        <v>376</v>
      </c>
      <c r="F40" s="856" t="s">
        <v>407</v>
      </c>
      <c r="G40" s="36"/>
      <c r="H40" s="878" t="s">
        <v>406</v>
      </c>
      <c r="I40" s="43"/>
      <c r="J40" s="231"/>
      <c r="K40" s="231"/>
      <c r="L40" s="231"/>
      <c r="M40" s="231"/>
      <c r="N40" s="231"/>
      <c r="O40" s="231"/>
      <c r="P40" s="231"/>
      <c r="Q40" s="231"/>
      <c r="R40" s="231"/>
      <c r="S40" s="231"/>
      <c r="T40" s="231"/>
      <c r="U40" s="231"/>
      <c r="V40" s="231"/>
      <c r="W40" s="231"/>
      <c r="X40" s="231"/>
      <c r="Y40" s="231"/>
      <c r="Z40" s="231"/>
      <c r="AA40" s="231"/>
      <c r="AB40" s="231"/>
      <c r="AC40" s="231"/>
      <c r="AD40" s="231"/>
      <c r="AE40" s="231"/>
      <c r="AF40" s="231"/>
    </row>
    <row r="41" spans="1:32" s="203" customFormat="1" ht="27.75" customHeight="1">
      <c r="A41" s="876"/>
      <c r="B41" s="877"/>
      <c r="C41" s="877"/>
      <c r="D41" s="896"/>
      <c r="E41" s="879"/>
      <c r="F41" s="860"/>
      <c r="G41" s="23"/>
      <c r="H41" s="879"/>
      <c r="I41" s="43"/>
      <c r="J41" s="231"/>
      <c r="K41" s="231"/>
      <c r="L41" s="231"/>
      <c r="M41" s="231"/>
      <c r="N41" s="231"/>
      <c r="O41" s="231"/>
      <c r="P41" s="231"/>
      <c r="Q41" s="231"/>
      <c r="R41" s="231"/>
      <c r="S41" s="231"/>
      <c r="T41" s="231"/>
      <c r="U41" s="231"/>
      <c r="V41" s="231"/>
      <c r="W41" s="231"/>
      <c r="X41" s="231"/>
      <c r="Y41" s="231"/>
      <c r="Z41" s="231"/>
      <c r="AA41" s="231"/>
      <c r="AB41" s="231"/>
      <c r="AC41" s="231"/>
      <c r="AD41" s="231"/>
      <c r="AE41" s="231"/>
      <c r="AF41" s="231"/>
    </row>
    <row r="42" spans="1:32" s="203" customFormat="1">
      <c r="A42" s="787" t="s">
        <v>64</v>
      </c>
      <c r="B42" s="69" t="s">
        <v>65</v>
      </c>
      <c r="C42" s="69"/>
      <c r="D42" s="70"/>
      <c r="E42" s="71"/>
      <c r="F42" s="72" t="str">
        <f>IF(OR(F43&lt;0,F44&lt;0,F47&lt;0,F48&lt;0,H43&lt;0,H44&lt;0,H47&lt;0,H48&lt;0),"Funding should be recorded as positive figures",".")</f>
        <v>.</v>
      </c>
      <c r="G42" s="45"/>
      <c r="H42" s="73"/>
      <c r="I42" s="43"/>
      <c r="J42" s="231"/>
      <c r="K42" s="231"/>
      <c r="L42" s="231"/>
      <c r="M42" s="231"/>
      <c r="N42" s="231"/>
      <c r="O42" s="231"/>
      <c r="P42" s="231"/>
      <c r="Q42" s="231"/>
      <c r="R42" s="231"/>
      <c r="S42" s="231"/>
      <c r="T42" s="231"/>
      <c r="U42" s="231"/>
      <c r="V42" s="231"/>
      <c r="W42" s="231"/>
      <c r="X42" s="231"/>
      <c r="Y42" s="231"/>
      <c r="Z42" s="231"/>
      <c r="AA42" s="231"/>
      <c r="AB42" s="231"/>
      <c r="AC42" s="231"/>
      <c r="AD42" s="231"/>
      <c r="AE42" s="231"/>
      <c r="AF42" s="231"/>
    </row>
    <row r="43" spans="1:32" s="203" customFormat="1">
      <c r="A43" s="46">
        <v>1</v>
      </c>
      <c r="B43" s="47" t="s">
        <v>66</v>
      </c>
      <c r="C43" s="47"/>
      <c r="D43" s="48"/>
      <c r="E43" s="74">
        <v>234449</v>
      </c>
      <c r="F43" s="241">
        <v>235765.00000000003</v>
      </c>
      <c r="G43" s="45"/>
      <c r="H43" s="75">
        <v>226039</v>
      </c>
      <c r="I43" s="43"/>
      <c r="J43" s="231"/>
      <c r="K43" s="231"/>
      <c r="L43" s="231"/>
      <c r="M43" s="231"/>
      <c r="N43" s="231"/>
      <c r="O43" s="231"/>
      <c r="P43" s="231"/>
      <c r="Q43" s="231"/>
      <c r="R43" s="231"/>
      <c r="S43" s="231"/>
      <c r="T43" s="231"/>
      <c r="U43" s="231"/>
      <c r="V43" s="231"/>
      <c r="W43" s="231"/>
      <c r="X43" s="231"/>
      <c r="Y43" s="231"/>
      <c r="Z43" s="231"/>
      <c r="AA43" s="231"/>
      <c r="AB43" s="231"/>
      <c r="AC43" s="231"/>
      <c r="AD43" s="231"/>
      <c r="AE43" s="231"/>
      <c r="AF43" s="231"/>
    </row>
    <row r="44" spans="1:32" s="203" customFormat="1">
      <c r="A44" s="46">
        <v>2</v>
      </c>
      <c r="B44" s="47" t="s">
        <v>67</v>
      </c>
      <c r="C44" s="47"/>
      <c r="D44" s="48"/>
      <c r="E44" s="49">
        <v>44229</v>
      </c>
      <c r="F44" s="241">
        <v>44229</v>
      </c>
      <c r="G44" s="45"/>
      <c r="H44" s="75">
        <v>51150</v>
      </c>
      <c r="I44" s="43"/>
      <c r="J44" s="231"/>
      <c r="K44" s="231"/>
      <c r="L44" s="231"/>
      <c r="M44" s="231"/>
      <c r="N44" s="231"/>
      <c r="O44" s="231"/>
      <c r="P44" s="231"/>
      <c r="Q44" s="231"/>
      <c r="R44" s="231"/>
      <c r="S44" s="231"/>
      <c r="T44" s="231"/>
      <c r="U44" s="231"/>
      <c r="V44" s="231"/>
      <c r="W44" s="231"/>
      <c r="X44" s="231"/>
      <c r="Y44" s="231"/>
      <c r="Z44" s="231"/>
      <c r="AA44" s="231"/>
      <c r="AB44" s="231"/>
      <c r="AC44" s="231"/>
      <c r="AD44" s="231"/>
      <c r="AE44" s="231"/>
      <c r="AF44" s="231"/>
    </row>
    <row r="45" spans="1:32" s="203" customFormat="1">
      <c r="A45" s="46">
        <v>3</v>
      </c>
      <c r="B45" s="47" t="s">
        <v>68</v>
      </c>
      <c r="C45" s="47"/>
      <c r="D45" s="48"/>
      <c r="E45" s="49">
        <v>0</v>
      </c>
      <c r="F45" s="52">
        <v>0</v>
      </c>
      <c r="G45" s="45"/>
      <c r="H45" s="75">
        <v>0</v>
      </c>
      <c r="I45" s="43"/>
      <c r="J45" s="231"/>
      <c r="K45" s="231"/>
      <c r="L45" s="231"/>
      <c r="M45" s="231"/>
      <c r="N45" s="231"/>
      <c r="O45" s="231"/>
      <c r="P45" s="231"/>
      <c r="Q45" s="231"/>
      <c r="R45" s="231"/>
      <c r="S45" s="231"/>
      <c r="T45" s="231"/>
      <c r="U45" s="231"/>
      <c r="V45" s="231"/>
      <c r="W45" s="231"/>
      <c r="X45" s="231"/>
      <c r="Y45" s="231"/>
      <c r="Z45" s="231"/>
      <c r="AA45" s="231"/>
      <c r="AB45" s="231"/>
      <c r="AC45" s="231"/>
      <c r="AD45" s="231"/>
      <c r="AE45" s="231"/>
      <c r="AF45" s="231"/>
    </row>
    <row r="46" spans="1:32" s="203" customFormat="1">
      <c r="A46" s="46">
        <v>4</v>
      </c>
      <c r="B46" s="47" t="s">
        <v>70</v>
      </c>
      <c r="C46" s="47"/>
      <c r="D46" s="48"/>
      <c r="E46" s="49">
        <v>0</v>
      </c>
      <c r="F46" s="52">
        <v>0</v>
      </c>
      <c r="G46" s="45"/>
      <c r="H46" s="75">
        <v>0</v>
      </c>
      <c r="I46" s="43"/>
      <c r="J46" s="231"/>
      <c r="K46" s="231"/>
      <c r="L46" s="231"/>
      <c r="M46" s="231"/>
      <c r="N46" s="231"/>
      <c r="O46" s="231"/>
      <c r="P46" s="231"/>
      <c r="Q46" s="231"/>
      <c r="R46" s="231"/>
      <c r="S46" s="231"/>
      <c r="T46" s="231"/>
      <c r="U46" s="231"/>
      <c r="V46" s="231"/>
      <c r="W46" s="231"/>
      <c r="X46" s="231"/>
      <c r="Y46" s="231"/>
      <c r="Z46" s="231"/>
      <c r="AA46" s="231"/>
      <c r="AB46" s="231"/>
      <c r="AC46" s="231"/>
      <c r="AD46" s="231"/>
      <c r="AE46" s="231"/>
      <c r="AF46" s="231"/>
    </row>
    <row r="47" spans="1:32" s="203" customFormat="1">
      <c r="A47" s="46">
        <v>5</v>
      </c>
      <c r="B47" s="47" t="s">
        <v>69</v>
      </c>
      <c r="C47" s="47"/>
      <c r="D47" s="48"/>
      <c r="E47" s="49">
        <v>7074</v>
      </c>
      <c r="F47" s="52">
        <v>6711</v>
      </c>
      <c r="G47" s="45"/>
      <c r="H47" s="76">
        <v>11017</v>
      </c>
      <c r="I47" s="43"/>
      <c r="J47" s="231"/>
      <c r="K47" s="231"/>
      <c r="L47" s="231"/>
      <c r="M47" s="231"/>
      <c r="N47" s="231"/>
      <c r="O47" s="231"/>
      <c r="P47" s="231"/>
      <c r="Q47" s="231"/>
      <c r="R47" s="231"/>
      <c r="S47" s="231"/>
      <c r="T47" s="231"/>
      <c r="U47" s="231"/>
      <c r="V47" s="231"/>
      <c r="W47" s="231"/>
      <c r="X47" s="231"/>
      <c r="Y47" s="231"/>
      <c r="Z47" s="231"/>
      <c r="AA47" s="231"/>
      <c r="AB47" s="231"/>
      <c r="AC47" s="231"/>
      <c r="AD47" s="231"/>
      <c r="AE47" s="231"/>
      <c r="AF47" s="231"/>
    </row>
    <row r="48" spans="1:32" s="203" customFormat="1">
      <c r="A48" s="46">
        <v>6</v>
      </c>
      <c r="B48" s="90" t="s">
        <v>253</v>
      </c>
      <c r="C48" s="47"/>
      <c r="D48" s="195"/>
      <c r="E48" s="49">
        <v>61254</v>
      </c>
      <c r="F48" s="52">
        <v>61904</v>
      </c>
      <c r="G48" s="45"/>
      <c r="H48" s="52">
        <v>64717</v>
      </c>
      <c r="I48" s="43"/>
      <c r="J48" s="231"/>
      <c r="K48" s="231"/>
      <c r="L48" s="231"/>
      <c r="M48" s="231"/>
      <c r="N48" s="231"/>
      <c r="O48" s="231"/>
      <c r="P48" s="231"/>
      <c r="Q48" s="231"/>
      <c r="R48" s="231"/>
      <c r="S48" s="231"/>
      <c r="T48" s="231"/>
      <c r="U48" s="231"/>
      <c r="V48" s="231"/>
      <c r="W48" s="231"/>
      <c r="X48" s="231"/>
      <c r="Y48" s="231"/>
      <c r="Z48" s="231"/>
      <c r="AA48" s="231"/>
      <c r="AB48" s="231"/>
      <c r="AC48" s="231"/>
      <c r="AD48" s="231"/>
      <c r="AE48" s="231"/>
      <c r="AF48" s="231"/>
    </row>
    <row r="49" spans="1:32" s="203" customFormat="1">
      <c r="A49" s="77">
        <v>7</v>
      </c>
      <c r="B49" s="78" t="s">
        <v>71</v>
      </c>
      <c r="C49" s="58"/>
      <c r="D49" s="79"/>
      <c r="E49" s="80">
        <v>347006</v>
      </c>
      <c r="F49" s="81">
        <f>SUM(F43:F48)</f>
        <v>348609</v>
      </c>
      <c r="G49" s="82"/>
      <c r="H49" s="62">
        <f>SUM(H43:H48)</f>
        <v>352923</v>
      </c>
      <c r="I49" s="242"/>
      <c r="J49" s="231"/>
      <c r="K49" s="231"/>
      <c r="L49" s="231"/>
      <c r="M49" s="231"/>
      <c r="N49" s="231"/>
      <c r="O49" s="231"/>
      <c r="P49" s="231"/>
      <c r="Q49" s="231"/>
      <c r="R49" s="231"/>
      <c r="S49" s="231"/>
      <c r="T49" s="231"/>
      <c r="U49" s="231"/>
      <c r="V49" s="231"/>
      <c r="W49" s="231"/>
      <c r="X49" s="231"/>
      <c r="Y49" s="231"/>
      <c r="Z49" s="231"/>
      <c r="AA49" s="231"/>
      <c r="AB49" s="231"/>
      <c r="AC49" s="231"/>
      <c r="AD49" s="231"/>
      <c r="AE49" s="231"/>
      <c r="AF49" s="231"/>
    </row>
    <row r="50" spans="1:32" s="203" customFormat="1">
      <c r="A50" s="83"/>
      <c r="B50" s="244"/>
      <c r="C50" s="244"/>
      <c r="D50" s="244"/>
      <c r="E50" s="85"/>
      <c r="F50" s="244"/>
      <c r="G50" s="86"/>
      <c r="H50" s="86"/>
      <c r="I50" s="21"/>
      <c r="J50" s="231"/>
      <c r="K50" s="231"/>
      <c r="L50" s="231"/>
      <c r="M50" s="231"/>
      <c r="N50" s="231"/>
      <c r="O50" s="231"/>
      <c r="P50" s="231"/>
      <c r="Q50" s="231"/>
      <c r="R50" s="231"/>
      <c r="S50" s="231"/>
      <c r="T50" s="231"/>
      <c r="U50" s="231"/>
      <c r="V50" s="231"/>
      <c r="W50" s="231"/>
      <c r="X50" s="231"/>
      <c r="Y50" s="231"/>
      <c r="Z50" s="231"/>
      <c r="AA50" s="231"/>
      <c r="AB50" s="231"/>
      <c r="AC50" s="231"/>
      <c r="AD50" s="231"/>
      <c r="AE50" s="231"/>
      <c r="AF50" s="231"/>
    </row>
    <row r="51" spans="1:32" s="203" customFormat="1">
      <c r="A51" s="787" t="s">
        <v>72</v>
      </c>
      <c r="B51" s="196" t="s">
        <v>254</v>
      </c>
      <c r="C51" s="69"/>
      <c r="D51" s="70"/>
      <c r="E51" s="87"/>
      <c r="F51" s="88"/>
      <c r="G51" s="45"/>
      <c r="H51" s="89"/>
      <c r="I51" s="43"/>
      <c r="J51" s="231"/>
      <c r="K51" s="231"/>
      <c r="L51" s="231"/>
      <c r="M51" s="231"/>
      <c r="N51" s="231"/>
      <c r="O51" s="231"/>
      <c r="P51" s="231"/>
      <c r="Q51" s="231"/>
      <c r="R51" s="231"/>
      <c r="S51" s="231"/>
      <c r="T51" s="231"/>
      <c r="U51" s="231"/>
      <c r="V51" s="231"/>
      <c r="W51" s="231"/>
      <c r="X51" s="231"/>
      <c r="Y51" s="231"/>
      <c r="Z51" s="231"/>
      <c r="AA51" s="231"/>
      <c r="AB51" s="231"/>
      <c r="AC51" s="231"/>
      <c r="AD51" s="231"/>
      <c r="AE51" s="231"/>
      <c r="AF51" s="231"/>
    </row>
    <row r="52" spans="1:32" s="203" customFormat="1">
      <c r="A52" s="46">
        <v>8</v>
      </c>
      <c r="B52" s="90" t="s">
        <v>73</v>
      </c>
      <c r="C52" s="47"/>
      <c r="D52" s="48"/>
      <c r="E52" s="74">
        <v>348671</v>
      </c>
      <c r="F52" s="50">
        <f>F38</f>
        <v>354221</v>
      </c>
      <c r="G52" s="45"/>
      <c r="H52" s="91">
        <f>H38</f>
        <v>353617.35600000003</v>
      </c>
      <c r="I52" s="43"/>
      <c r="J52" s="231"/>
      <c r="K52" s="231"/>
      <c r="L52" s="231"/>
      <c r="M52" s="231"/>
      <c r="N52" s="231"/>
      <c r="O52" s="231"/>
      <c r="P52" s="231"/>
      <c r="Q52" s="231"/>
      <c r="R52" s="231"/>
      <c r="S52" s="231"/>
      <c r="T52" s="231"/>
      <c r="U52" s="231"/>
      <c r="V52" s="231"/>
      <c r="W52" s="231"/>
      <c r="X52" s="231"/>
      <c r="Y52" s="231"/>
      <c r="Z52" s="231"/>
      <c r="AA52" s="231"/>
      <c r="AB52" s="231"/>
      <c r="AC52" s="231"/>
      <c r="AD52" s="231"/>
      <c r="AE52" s="231"/>
      <c r="AF52" s="231"/>
    </row>
    <row r="53" spans="1:32" s="203" customFormat="1">
      <c r="A53" s="46">
        <v>9</v>
      </c>
      <c r="B53" s="90" t="s">
        <v>74</v>
      </c>
      <c r="C53" s="47"/>
      <c r="D53" s="48"/>
      <c r="E53" s="49">
        <v>347006</v>
      </c>
      <c r="F53" s="92">
        <f>F49</f>
        <v>348609</v>
      </c>
      <c r="G53" s="45"/>
      <c r="H53" s="91">
        <f>H49</f>
        <v>352923</v>
      </c>
      <c r="I53" s="43"/>
      <c r="J53" s="231"/>
      <c r="K53" s="231"/>
      <c r="L53" s="231"/>
      <c r="M53" s="231"/>
      <c r="N53" s="231"/>
      <c r="O53" s="231"/>
      <c r="P53" s="231"/>
      <c r="Q53" s="231"/>
      <c r="R53" s="231"/>
      <c r="S53" s="231"/>
      <c r="T53" s="231"/>
      <c r="U53" s="231"/>
      <c r="V53" s="231"/>
      <c r="W53" s="231"/>
      <c r="X53" s="231"/>
      <c r="Y53" s="231"/>
      <c r="Z53" s="231"/>
      <c r="AA53" s="231"/>
      <c r="AB53" s="231"/>
      <c r="AC53" s="231"/>
      <c r="AD53" s="231"/>
      <c r="AE53" s="231"/>
      <c r="AF53" s="231"/>
    </row>
    <row r="54" spans="1:32" s="203" customFormat="1">
      <c r="A54" s="789">
        <v>10</v>
      </c>
      <c r="B54" s="93" t="s">
        <v>255</v>
      </c>
      <c r="C54" s="94"/>
      <c r="D54" s="55"/>
      <c r="E54" s="95">
        <v>-1665</v>
      </c>
      <c r="F54" s="96">
        <f>F53-F52</f>
        <v>-5612</v>
      </c>
      <c r="G54" s="45"/>
      <c r="H54" s="97">
        <f>H53-H52</f>
        <v>-694.35600000002887</v>
      </c>
      <c r="I54" s="43"/>
      <c r="J54" s="231"/>
      <c r="K54" s="231"/>
      <c r="L54" s="231"/>
      <c r="M54" s="231"/>
      <c r="N54" s="231"/>
      <c r="O54" s="231"/>
      <c r="P54" s="231"/>
      <c r="Q54" s="231"/>
      <c r="R54" s="231"/>
      <c r="S54" s="231"/>
      <c r="T54" s="231"/>
      <c r="U54" s="231"/>
      <c r="V54" s="231"/>
      <c r="W54" s="231"/>
      <c r="X54" s="231"/>
      <c r="Y54" s="231"/>
      <c r="Z54" s="231"/>
      <c r="AA54" s="231"/>
      <c r="AB54" s="231"/>
      <c r="AC54" s="231"/>
      <c r="AD54" s="231"/>
      <c r="AE54" s="231"/>
      <c r="AF54" s="231"/>
    </row>
    <row r="55" spans="1:32" s="203" customFormat="1">
      <c r="A55" s="83"/>
      <c r="B55" s="244"/>
      <c r="C55" s="244"/>
      <c r="D55" s="244"/>
      <c r="E55" s="85"/>
      <c r="F55" s="244"/>
      <c r="G55" s="86"/>
      <c r="H55" s="86"/>
      <c r="I55" s="21"/>
      <c r="J55" s="231"/>
      <c r="K55" s="231"/>
      <c r="L55" s="231"/>
      <c r="M55" s="231"/>
      <c r="N55" s="231"/>
      <c r="O55" s="231"/>
      <c r="P55" s="231"/>
      <c r="Q55" s="231"/>
      <c r="R55" s="231"/>
      <c r="S55" s="231"/>
      <c r="T55" s="231"/>
      <c r="U55" s="231"/>
      <c r="V55" s="231"/>
      <c r="W55" s="231"/>
      <c r="X55" s="231"/>
      <c r="Y55" s="231"/>
      <c r="Z55" s="231"/>
      <c r="AA55" s="231"/>
      <c r="AB55" s="231"/>
      <c r="AC55" s="231"/>
      <c r="AD55" s="231"/>
      <c r="AE55" s="231"/>
      <c r="AF55" s="231"/>
    </row>
    <row r="56" spans="1:32" s="203" customFormat="1">
      <c r="A56" s="787" t="s">
        <v>75</v>
      </c>
      <c r="B56" s="69" t="s">
        <v>256</v>
      </c>
      <c r="C56" s="69"/>
      <c r="D56" s="70"/>
      <c r="E56" s="87"/>
      <c r="F56" s="88"/>
      <c r="G56" s="45"/>
      <c r="H56" s="89"/>
      <c r="I56" s="43"/>
      <c r="J56" s="231"/>
      <c r="K56" s="231"/>
      <c r="L56" s="231"/>
      <c r="M56" s="231"/>
      <c r="N56" s="231"/>
      <c r="O56" s="231"/>
      <c r="P56" s="231"/>
      <c r="Q56" s="231"/>
      <c r="R56" s="231"/>
      <c r="S56" s="231"/>
      <c r="T56" s="231"/>
      <c r="U56" s="231"/>
      <c r="V56" s="231"/>
      <c r="W56" s="231"/>
      <c r="X56" s="231"/>
      <c r="Y56" s="231"/>
      <c r="Z56" s="231"/>
      <c r="AA56" s="231"/>
      <c r="AB56" s="231"/>
      <c r="AC56" s="231"/>
      <c r="AD56" s="231"/>
      <c r="AE56" s="231"/>
      <c r="AF56" s="231"/>
    </row>
    <row r="57" spans="1:32" s="203" customFormat="1">
      <c r="A57" s="46">
        <v>11</v>
      </c>
      <c r="B57" s="47" t="s">
        <v>76</v>
      </c>
      <c r="C57" s="47"/>
      <c r="D57" s="48"/>
      <c r="E57" s="74">
        <v>49112</v>
      </c>
      <c r="F57" s="52">
        <v>49696</v>
      </c>
      <c r="G57" s="45"/>
      <c r="H57" s="91">
        <f>F61</f>
        <v>44084</v>
      </c>
      <c r="I57" s="43"/>
      <c r="J57" s="231"/>
      <c r="K57" s="231"/>
      <c r="L57" s="231"/>
      <c r="M57" s="231"/>
      <c r="N57" s="231"/>
      <c r="O57" s="231"/>
      <c r="P57" s="231"/>
      <c r="Q57" s="231"/>
      <c r="R57" s="231"/>
      <c r="S57" s="231"/>
      <c r="T57" s="231"/>
      <c r="U57" s="231"/>
      <c r="V57" s="231"/>
      <c r="W57" s="231"/>
      <c r="X57" s="231"/>
      <c r="Y57" s="231"/>
      <c r="Z57" s="231"/>
      <c r="AA57" s="231"/>
      <c r="AB57" s="231"/>
      <c r="AC57" s="231"/>
      <c r="AD57" s="231"/>
      <c r="AE57" s="231"/>
      <c r="AF57" s="231"/>
    </row>
    <row r="58" spans="1:32" s="203" customFormat="1">
      <c r="A58" s="46">
        <v>12</v>
      </c>
      <c r="B58" s="90" t="s">
        <v>257</v>
      </c>
      <c r="C58" s="47"/>
      <c r="D58" s="48"/>
      <c r="E58" s="49">
        <v>-1665</v>
      </c>
      <c r="F58" s="92">
        <f>F54</f>
        <v>-5612</v>
      </c>
      <c r="G58" s="45"/>
      <c r="H58" s="98">
        <f>H54</f>
        <v>-694.35600000002887</v>
      </c>
      <c r="I58" s="43"/>
      <c r="J58" s="231"/>
      <c r="K58" s="231"/>
      <c r="L58" s="231"/>
      <c r="M58" s="231"/>
      <c r="N58" s="231"/>
      <c r="O58" s="231"/>
      <c r="P58" s="231"/>
      <c r="Q58" s="231"/>
      <c r="R58" s="231"/>
      <c r="S58" s="231"/>
      <c r="T58" s="231"/>
      <c r="U58" s="231"/>
      <c r="V58" s="231"/>
      <c r="W58" s="231"/>
      <c r="X58" s="231"/>
      <c r="Y58" s="231"/>
      <c r="Z58" s="231"/>
      <c r="AA58" s="231"/>
      <c r="AB58" s="231"/>
      <c r="AC58" s="231"/>
      <c r="AD58" s="231"/>
      <c r="AE58" s="231"/>
      <c r="AF58" s="231"/>
    </row>
    <row r="59" spans="1:32" s="203" customFormat="1">
      <c r="A59" s="46">
        <v>13</v>
      </c>
      <c r="B59" s="47" t="s">
        <v>77</v>
      </c>
      <c r="C59" s="47"/>
      <c r="D59" s="48"/>
      <c r="E59" s="49">
        <v>0</v>
      </c>
      <c r="F59" s="52">
        <v>0</v>
      </c>
      <c r="G59" s="45"/>
      <c r="H59" s="99">
        <v>0</v>
      </c>
      <c r="I59" s="43"/>
      <c r="J59" s="231"/>
      <c r="K59" s="231"/>
      <c r="L59" s="231"/>
      <c r="M59" s="231"/>
      <c r="N59" s="231"/>
      <c r="O59" s="231"/>
      <c r="P59" s="231"/>
      <c r="Q59" s="231"/>
      <c r="R59" s="231"/>
      <c r="S59" s="231"/>
      <c r="T59" s="231"/>
      <c r="U59" s="231"/>
      <c r="V59" s="231"/>
      <c r="W59" s="231"/>
      <c r="X59" s="231"/>
      <c r="Y59" s="231"/>
      <c r="Z59" s="231"/>
      <c r="AA59" s="231"/>
      <c r="AB59" s="231"/>
      <c r="AC59" s="231"/>
      <c r="AD59" s="231"/>
      <c r="AE59" s="231"/>
      <c r="AF59" s="231"/>
    </row>
    <row r="60" spans="1:32" s="203" customFormat="1">
      <c r="A60" s="46">
        <v>14</v>
      </c>
      <c r="B60" s="47" t="s">
        <v>78</v>
      </c>
      <c r="C60" s="47"/>
      <c r="D60" s="48"/>
      <c r="E60" s="49">
        <v>0</v>
      </c>
      <c r="F60" s="52">
        <v>0</v>
      </c>
      <c r="G60" s="45"/>
      <c r="H60" s="100">
        <v>0</v>
      </c>
      <c r="I60" s="43"/>
      <c r="J60" s="231"/>
      <c r="K60" s="231"/>
      <c r="L60" s="231"/>
      <c r="M60" s="231"/>
      <c r="N60" s="231"/>
      <c r="O60" s="231"/>
      <c r="P60" s="231"/>
      <c r="Q60" s="231"/>
      <c r="R60" s="231"/>
      <c r="S60" s="231"/>
      <c r="T60" s="231"/>
      <c r="U60" s="231"/>
      <c r="V60" s="231"/>
      <c r="W60" s="231"/>
      <c r="X60" s="231"/>
      <c r="Y60" s="231"/>
      <c r="Z60" s="231"/>
      <c r="AA60" s="231"/>
      <c r="AB60" s="231"/>
      <c r="AC60" s="231"/>
      <c r="AD60" s="231"/>
      <c r="AE60" s="231"/>
      <c r="AF60" s="231"/>
    </row>
    <row r="61" spans="1:32" s="203" customFormat="1">
      <c r="A61" s="53">
        <v>15</v>
      </c>
      <c r="B61" s="54" t="s">
        <v>79</v>
      </c>
      <c r="C61" s="54"/>
      <c r="D61" s="55"/>
      <c r="E61" s="56">
        <v>47447</v>
      </c>
      <c r="F61" s="96">
        <f>F57+F58+F59+F60</f>
        <v>44084</v>
      </c>
      <c r="G61" s="45"/>
      <c r="H61" s="101">
        <f>H57+H58+H59+H60</f>
        <v>43389.643999999971</v>
      </c>
      <c r="I61" s="43"/>
      <c r="J61" s="231"/>
      <c r="K61" s="231"/>
      <c r="L61" s="231"/>
      <c r="M61" s="231"/>
      <c r="N61" s="231"/>
      <c r="O61" s="231"/>
      <c r="P61" s="231"/>
      <c r="Q61" s="231"/>
      <c r="R61" s="231"/>
      <c r="S61" s="231"/>
      <c r="T61" s="231"/>
      <c r="U61" s="231"/>
      <c r="V61" s="231"/>
      <c r="W61" s="231"/>
      <c r="X61" s="231"/>
      <c r="Y61" s="231"/>
      <c r="Z61" s="231"/>
      <c r="AA61" s="231"/>
      <c r="AB61" s="231"/>
      <c r="AC61" s="231"/>
      <c r="AD61" s="231"/>
      <c r="AE61" s="231"/>
      <c r="AF61" s="231"/>
    </row>
    <row r="62" spans="1:32" s="203" customFormat="1">
      <c r="A62" s="102"/>
      <c r="B62" s="207"/>
      <c r="C62" s="207"/>
      <c r="D62" s="207"/>
      <c r="E62" s="103"/>
      <c r="F62" s="21"/>
      <c r="G62" s="21"/>
      <c r="H62" s="21"/>
      <c r="I62" s="21"/>
      <c r="J62" s="231"/>
      <c r="K62" s="231"/>
      <c r="L62" s="231"/>
      <c r="M62" s="231"/>
      <c r="N62" s="231"/>
      <c r="O62" s="231"/>
      <c r="P62" s="231"/>
      <c r="Q62" s="231"/>
      <c r="R62" s="231"/>
      <c r="S62" s="231"/>
      <c r="T62" s="231"/>
      <c r="U62" s="231"/>
      <c r="V62" s="231"/>
      <c r="W62" s="231"/>
      <c r="X62" s="231"/>
      <c r="Y62" s="231"/>
      <c r="Z62" s="231"/>
      <c r="AA62" s="231"/>
      <c r="AB62" s="231"/>
      <c r="AC62" s="231"/>
      <c r="AD62" s="231"/>
      <c r="AE62" s="231"/>
      <c r="AF62" s="231"/>
    </row>
    <row r="63" spans="1:32" s="203" customFormat="1" ht="12.75" customHeight="1">
      <c r="A63" s="23"/>
      <c r="B63" s="207"/>
      <c r="C63" s="207"/>
      <c r="D63" s="207"/>
      <c r="E63" s="15"/>
      <c r="F63" s="207"/>
      <c r="G63" s="207"/>
      <c r="H63" s="21"/>
      <c r="I63" s="21"/>
      <c r="J63" s="231"/>
      <c r="K63" s="231"/>
      <c r="L63" s="231"/>
      <c r="M63" s="231"/>
      <c r="N63" s="231"/>
      <c r="O63" s="231"/>
      <c r="P63" s="231"/>
      <c r="Q63" s="231"/>
      <c r="R63" s="231"/>
      <c r="S63" s="231"/>
      <c r="T63" s="231"/>
      <c r="U63" s="231"/>
      <c r="V63" s="231"/>
      <c r="W63" s="231"/>
      <c r="X63" s="231"/>
      <c r="Y63" s="231"/>
      <c r="Z63" s="231"/>
      <c r="AA63" s="231"/>
      <c r="AB63" s="231"/>
      <c r="AC63" s="231"/>
      <c r="AD63" s="231"/>
      <c r="AE63" s="231"/>
      <c r="AF63" s="231"/>
    </row>
    <row r="64" spans="1:32" s="203" customFormat="1" ht="15">
      <c r="A64" s="104" t="s">
        <v>80</v>
      </c>
      <c r="B64" s="29"/>
      <c r="C64" s="29"/>
      <c r="D64" s="29"/>
      <c r="E64" s="15"/>
      <c r="F64" s="29"/>
      <c r="G64" s="29"/>
      <c r="H64" s="29"/>
      <c r="I64" s="29"/>
      <c r="J64" s="231"/>
      <c r="K64" s="231"/>
      <c r="L64" s="231"/>
      <c r="M64" s="231"/>
      <c r="N64" s="231"/>
      <c r="O64" s="231"/>
      <c r="P64" s="231"/>
      <c r="Q64" s="231"/>
      <c r="R64" s="231"/>
      <c r="S64" s="231"/>
      <c r="T64" s="231"/>
      <c r="U64" s="231"/>
      <c r="V64" s="231"/>
      <c r="W64" s="231"/>
      <c r="X64" s="231"/>
      <c r="Y64" s="231"/>
      <c r="Z64" s="231"/>
      <c r="AA64" s="231"/>
      <c r="AB64" s="231"/>
      <c r="AC64" s="231"/>
      <c r="AD64" s="231"/>
      <c r="AE64" s="231"/>
      <c r="AF64" s="231"/>
    </row>
    <row r="65" spans="1:32" s="203" customFormat="1">
      <c r="A65" s="32"/>
      <c r="B65" s="29"/>
      <c r="C65" s="29"/>
      <c r="D65" s="29"/>
      <c r="E65" s="105"/>
      <c r="F65" s="29"/>
      <c r="G65" s="29"/>
      <c r="H65" s="29"/>
      <c r="I65" s="131" t="s">
        <v>27</v>
      </c>
      <c r="J65" s="231"/>
      <c r="K65" s="231"/>
      <c r="L65" s="231"/>
      <c r="M65" s="231"/>
      <c r="N65" s="231"/>
      <c r="O65" s="231"/>
      <c r="P65" s="231"/>
      <c r="Q65" s="231"/>
      <c r="R65" s="231"/>
      <c r="S65" s="231"/>
      <c r="T65" s="231"/>
      <c r="U65" s="231"/>
      <c r="V65" s="231"/>
      <c r="W65" s="231"/>
      <c r="X65" s="231"/>
      <c r="Y65" s="231"/>
      <c r="Z65" s="231"/>
      <c r="AA65" s="231"/>
      <c r="AB65" s="231"/>
      <c r="AC65" s="231"/>
      <c r="AD65" s="231"/>
      <c r="AE65" s="231"/>
      <c r="AF65" s="231"/>
    </row>
    <row r="66" spans="1:32" s="203" customFormat="1">
      <c r="A66" s="106" t="s">
        <v>14</v>
      </c>
      <c r="B66" s="107"/>
      <c r="C66" s="107"/>
      <c r="D66" s="107"/>
      <c r="E66" s="856" t="s">
        <v>377</v>
      </c>
      <c r="F66" s="962" t="s">
        <v>402</v>
      </c>
      <c r="G66" s="867" t="s">
        <v>81</v>
      </c>
      <c r="H66" s="962" t="s">
        <v>403</v>
      </c>
      <c r="I66" s="867" t="s">
        <v>81</v>
      </c>
      <c r="J66" s="231"/>
      <c r="K66" s="231"/>
      <c r="L66" s="231"/>
      <c r="M66" s="231"/>
      <c r="N66" s="231"/>
      <c r="O66" s="231"/>
      <c r="P66" s="231"/>
      <c r="Q66" s="231"/>
      <c r="R66" s="231"/>
      <c r="S66" s="231"/>
      <c r="T66" s="231"/>
      <c r="U66" s="231"/>
      <c r="V66" s="231"/>
      <c r="W66" s="231"/>
      <c r="X66" s="231"/>
      <c r="Y66" s="231"/>
      <c r="Z66" s="231"/>
      <c r="AA66" s="231"/>
      <c r="AB66" s="231"/>
      <c r="AC66" s="231"/>
      <c r="AD66" s="231"/>
      <c r="AE66" s="231"/>
      <c r="AF66" s="231"/>
    </row>
    <row r="67" spans="1:32" s="203" customFormat="1" ht="21" customHeight="1">
      <c r="A67" s="108"/>
      <c r="B67" s="47"/>
      <c r="C67" s="47"/>
      <c r="D67" s="47"/>
      <c r="E67" s="859"/>
      <c r="F67" s="963"/>
      <c r="G67" s="868"/>
      <c r="H67" s="963"/>
      <c r="I67" s="868"/>
      <c r="J67" s="231"/>
      <c r="K67" s="231"/>
      <c r="L67" s="231"/>
      <c r="M67" s="231"/>
      <c r="N67" s="231"/>
      <c r="O67" s="231"/>
      <c r="P67" s="231"/>
      <c r="Q67" s="231"/>
      <c r="R67" s="231"/>
      <c r="S67" s="231"/>
      <c r="T67" s="231"/>
      <c r="U67" s="231"/>
      <c r="V67" s="231"/>
      <c r="W67" s="231"/>
      <c r="X67" s="231"/>
      <c r="Y67" s="231"/>
      <c r="Z67" s="231"/>
      <c r="AA67" s="231"/>
      <c r="AB67" s="231"/>
      <c r="AC67" s="231"/>
      <c r="AD67" s="231"/>
      <c r="AE67" s="231"/>
      <c r="AF67" s="231"/>
    </row>
    <row r="68" spans="1:32" s="203" customFormat="1">
      <c r="A68" s="109" t="s">
        <v>82</v>
      </c>
      <c r="B68" s="47"/>
      <c r="C68" s="47"/>
      <c r="D68" s="47"/>
      <c r="E68" s="859"/>
      <c r="F68" s="963"/>
      <c r="G68" s="868"/>
      <c r="H68" s="963"/>
      <c r="I68" s="868"/>
      <c r="J68" s="231"/>
      <c r="K68" s="231"/>
      <c r="L68" s="231"/>
      <c r="M68" s="231"/>
      <c r="N68" s="231"/>
      <c r="O68" s="231"/>
      <c r="P68" s="231"/>
      <c r="Q68" s="231"/>
      <c r="R68" s="231"/>
      <c r="S68" s="231"/>
      <c r="T68" s="231"/>
      <c r="U68" s="231"/>
      <c r="V68" s="231"/>
      <c r="W68" s="231"/>
      <c r="X68" s="231"/>
      <c r="Y68" s="231"/>
      <c r="Z68" s="231"/>
      <c r="AA68" s="231"/>
      <c r="AB68" s="231"/>
      <c r="AC68" s="231"/>
      <c r="AD68" s="231"/>
      <c r="AE68" s="231"/>
      <c r="AF68" s="231"/>
    </row>
    <row r="69" spans="1:32" s="203" customFormat="1">
      <c r="A69" s="109" t="s">
        <v>83</v>
      </c>
      <c r="B69" s="47"/>
      <c r="C69" s="47"/>
      <c r="D69" s="47"/>
      <c r="E69" s="859"/>
      <c r="F69" s="963"/>
      <c r="G69" s="868"/>
      <c r="H69" s="963"/>
      <c r="I69" s="868"/>
      <c r="J69" s="231"/>
      <c r="K69" s="231"/>
      <c r="L69" s="231"/>
      <c r="M69" s="231"/>
      <c r="N69" s="231"/>
      <c r="O69" s="231"/>
      <c r="P69" s="231"/>
      <c r="Q69" s="231"/>
      <c r="R69" s="231"/>
      <c r="S69" s="231"/>
      <c r="T69" s="231"/>
      <c r="U69" s="231"/>
      <c r="V69" s="231"/>
      <c r="W69" s="231"/>
      <c r="X69" s="231"/>
      <c r="Y69" s="231"/>
      <c r="Z69" s="231"/>
      <c r="AA69" s="231"/>
      <c r="AB69" s="231"/>
      <c r="AC69" s="231"/>
      <c r="AD69" s="231"/>
      <c r="AE69" s="231"/>
      <c r="AF69" s="231"/>
    </row>
    <row r="70" spans="1:32" s="203" customFormat="1">
      <c r="A70" s="110" t="s">
        <v>84</v>
      </c>
      <c r="B70" s="47"/>
      <c r="C70" s="47"/>
      <c r="D70" s="47"/>
      <c r="E70" s="860"/>
      <c r="F70" s="964"/>
      <c r="G70" s="869"/>
      <c r="H70" s="964"/>
      <c r="I70" s="869"/>
      <c r="J70" s="231"/>
      <c r="K70" s="231"/>
      <c r="L70" s="231"/>
      <c r="M70" s="231"/>
      <c r="N70" s="231"/>
      <c r="O70" s="231"/>
      <c r="P70" s="231"/>
      <c r="Q70" s="231"/>
      <c r="R70" s="231"/>
      <c r="S70" s="231"/>
      <c r="T70" s="231"/>
      <c r="U70" s="231"/>
      <c r="V70" s="231"/>
      <c r="W70" s="231"/>
      <c r="X70" s="231"/>
      <c r="Y70" s="231"/>
      <c r="Z70" s="231"/>
      <c r="AA70" s="231"/>
      <c r="AB70" s="231"/>
      <c r="AC70" s="231"/>
      <c r="AD70" s="231"/>
      <c r="AE70" s="231"/>
      <c r="AF70" s="231"/>
    </row>
    <row r="71" spans="1:32" s="203" customFormat="1">
      <c r="A71" s="111">
        <v>1</v>
      </c>
      <c r="B71" s="47" t="s">
        <v>85</v>
      </c>
      <c r="C71" s="47"/>
      <c r="D71" s="47"/>
      <c r="E71" s="41">
        <v>11929</v>
      </c>
      <c r="F71" s="247">
        <v>10218</v>
      </c>
      <c r="G71" s="112">
        <v>5517</v>
      </c>
      <c r="H71" s="248">
        <v>15144</v>
      </c>
      <c r="I71" s="112">
        <v>5172</v>
      </c>
      <c r="J71" s="231"/>
      <c r="K71" s="231"/>
      <c r="L71" s="231"/>
      <c r="M71" s="231"/>
      <c r="N71" s="231"/>
      <c r="O71" s="231"/>
      <c r="P71" s="231"/>
      <c r="Q71" s="231"/>
      <c r="R71" s="231"/>
      <c r="S71" s="231"/>
      <c r="T71" s="231"/>
      <c r="U71" s="231"/>
      <c r="V71" s="231"/>
      <c r="W71" s="231"/>
      <c r="X71" s="231"/>
      <c r="Y71" s="231"/>
      <c r="Z71" s="231"/>
      <c r="AA71" s="231"/>
      <c r="AB71" s="231"/>
      <c r="AC71" s="231"/>
      <c r="AD71" s="231"/>
      <c r="AE71" s="231"/>
      <c r="AF71" s="231"/>
    </row>
    <row r="72" spans="1:32" s="203" customFormat="1">
      <c r="A72" s="111">
        <v>2</v>
      </c>
      <c r="B72" s="47" t="s">
        <v>86</v>
      </c>
      <c r="C72" s="47"/>
      <c r="D72" s="47"/>
      <c r="E72" s="49">
        <v>62176</v>
      </c>
      <c r="F72" s="247">
        <v>64162</v>
      </c>
      <c r="G72" s="113">
        <v>41441</v>
      </c>
      <c r="H72" s="123">
        <v>64793</v>
      </c>
      <c r="I72" s="113">
        <v>42800</v>
      </c>
      <c r="J72" s="231"/>
      <c r="K72" s="231"/>
      <c r="L72" s="231"/>
      <c r="M72" s="231"/>
      <c r="N72" s="231"/>
      <c r="O72" s="231"/>
      <c r="P72" s="231"/>
      <c r="Q72" s="231"/>
      <c r="R72" s="231"/>
      <c r="S72" s="231"/>
      <c r="T72" s="231"/>
      <c r="U72" s="231"/>
      <c r="V72" s="231"/>
      <c r="W72" s="231"/>
      <c r="X72" s="231"/>
      <c r="Y72" s="231"/>
      <c r="Z72" s="231"/>
      <c r="AA72" s="231"/>
      <c r="AB72" s="231"/>
      <c r="AC72" s="231"/>
      <c r="AD72" s="231"/>
      <c r="AE72" s="231"/>
      <c r="AF72" s="231"/>
    </row>
    <row r="73" spans="1:32" s="203" customFormat="1">
      <c r="A73" s="111">
        <v>3</v>
      </c>
      <c r="B73" s="47" t="s">
        <v>87</v>
      </c>
      <c r="C73" s="47"/>
      <c r="D73" s="47"/>
      <c r="E73" s="114">
        <v>60768</v>
      </c>
      <c r="F73" s="247">
        <v>61585</v>
      </c>
      <c r="G73" s="113">
        <v>47476</v>
      </c>
      <c r="H73" s="123">
        <v>62815</v>
      </c>
      <c r="I73" s="113">
        <v>48459</v>
      </c>
      <c r="J73" s="231"/>
      <c r="K73" s="231"/>
      <c r="L73" s="231"/>
      <c r="M73" s="231"/>
      <c r="N73" s="231"/>
      <c r="O73" s="231"/>
      <c r="P73" s="231"/>
      <c r="Q73" s="231"/>
      <c r="R73" s="231"/>
      <c r="S73" s="231"/>
      <c r="T73" s="231"/>
      <c r="U73" s="231"/>
      <c r="V73" s="231"/>
      <c r="W73" s="231"/>
      <c r="X73" s="231"/>
      <c r="Y73" s="231"/>
      <c r="Z73" s="231"/>
      <c r="AA73" s="231"/>
      <c r="AB73" s="231"/>
      <c r="AC73" s="231"/>
      <c r="AD73" s="231"/>
      <c r="AE73" s="231"/>
      <c r="AF73" s="231"/>
    </row>
    <row r="74" spans="1:32" s="203" customFormat="1">
      <c r="A74" s="111">
        <v>4</v>
      </c>
      <c r="B74" s="47" t="s">
        <v>88</v>
      </c>
      <c r="C74" s="47"/>
      <c r="D74" s="47"/>
      <c r="E74" s="114">
        <v>7913</v>
      </c>
      <c r="F74" s="247">
        <v>8077</v>
      </c>
      <c r="G74" s="113">
        <v>0</v>
      </c>
      <c r="H74" s="123">
        <v>7121</v>
      </c>
      <c r="I74" s="113"/>
      <c r="J74" s="231"/>
      <c r="K74" s="231"/>
      <c r="L74" s="231"/>
      <c r="M74" s="231"/>
      <c r="N74" s="231"/>
      <c r="O74" s="231"/>
      <c r="P74" s="231"/>
      <c r="Q74" s="231"/>
      <c r="R74" s="231"/>
      <c r="S74" s="231"/>
      <c r="T74" s="231"/>
      <c r="U74" s="231"/>
      <c r="V74" s="231"/>
      <c r="W74" s="231"/>
      <c r="X74" s="231"/>
      <c r="Y74" s="231"/>
      <c r="Z74" s="231"/>
      <c r="AA74" s="231"/>
      <c r="AB74" s="231"/>
      <c r="AC74" s="231"/>
      <c r="AD74" s="231"/>
      <c r="AE74" s="231"/>
      <c r="AF74" s="231"/>
    </row>
    <row r="75" spans="1:32" s="203" customFormat="1">
      <c r="A75" s="111">
        <v>5</v>
      </c>
      <c r="B75" s="47" t="s">
        <v>89</v>
      </c>
      <c r="C75" s="47" t="s">
        <v>90</v>
      </c>
      <c r="D75" s="47"/>
      <c r="E75" s="114">
        <v>3057</v>
      </c>
      <c r="F75" s="247">
        <v>4157</v>
      </c>
      <c r="G75" s="113">
        <v>0</v>
      </c>
      <c r="H75" s="123">
        <v>3548</v>
      </c>
      <c r="I75" s="113"/>
      <c r="J75" s="231"/>
      <c r="K75" s="231"/>
      <c r="L75" s="231"/>
      <c r="M75" s="231"/>
      <c r="N75" s="231"/>
      <c r="O75" s="231"/>
      <c r="P75" s="231"/>
      <c r="Q75" s="231"/>
      <c r="R75" s="231"/>
      <c r="S75" s="231"/>
      <c r="T75" s="231"/>
      <c r="U75" s="231"/>
      <c r="V75" s="231"/>
      <c r="W75" s="231"/>
      <c r="X75" s="231"/>
      <c r="Y75" s="231"/>
      <c r="Z75" s="231"/>
      <c r="AA75" s="231"/>
      <c r="AB75" s="231"/>
      <c r="AC75" s="231"/>
      <c r="AD75" s="231"/>
      <c r="AE75" s="231"/>
      <c r="AF75" s="231"/>
    </row>
    <row r="76" spans="1:32" s="203" customFormat="1">
      <c r="A76" s="788"/>
      <c r="B76" s="790"/>
      <c r="C76" s="47" t="s">
        <v>91</v>
      </c>
      <c r="D76" s="47"/>
      <c r="E76" s="114">
        <v>84</v>
      </c>
      <c r="F76" s="247">
        <v>0</v>
      </c>
      <c r="G76" s="115">
        <v>0</v>
      </c>
      <c r="H76" s="249">
        <v>0</v>
      </c>
      <c r="I76" s="115"/>
      <c r="J76" s="231"/>
      <c r="K76" s="231"/>
      <c r="L76" s="231"/>
      <c r="M76" s="231"/>
      <c r="N76" s="231"/>
      <c r="O76" s="231"/>
      <c r="P76" s="231"/>
      <c r="Q76" s="231"/>
      <c r="R76" s="231"/>
      <c r="S76" s="231"/>
      <c r="T76" s="231"/>
      <c r="U76" s="231"/>
      <c r="V76" s="231"/>
      <c r="W76" s="231"/>
      <c r="X76" s="231"/>
      <c r="Y76" s="231"/>
      <c r="Z76" s="231"/>
      <c r="AA76" s="231"/>
      <c r="AB76" s="231"/>
      <c r="AC76" s="231"/>
      <c r="AD76" s="231"/>
      <c r="AE76" s="231"/>
      <c r="AF76" s="231"/>
    </row>
    <row r="77" spans="1:32" s="203" customFormat="1">
      <c r="A77" s="111">
        <v>6</v>
      </c>
      <c r="B77" s="116" t="s">
        <v>92</v>
      </c>
      <c r="C77" s="116"/>
      <c r="D77" s="47"/>
      <c r="E77" s="80">
        <v>145927</v>
      </c>
      <c r="F77" s="250">
        <f>SUM(F71:F76)</f>
        <v>148199</v>
      </c>
      <c r="G77" s="251">
        <f>SUM(G71:G76)</f>
        <v>94434</v>
      </c>
      <c r="H77" s="252">
        <f>SUM(H71:H76)</f>
        <v>153421</v>
      </c>
      <c r="I77" s="251">
        <f>SUM(I71:I76)</f>
        <v>96431</v>
      </c>
      <c r="J77" s="231"/>
      <c r="K77" s="231"/>
      <c r="L77" s="231"/>
      <c r="M77" s="231"/>
      <c r="N77" s="231"/>
      <c r="O77" s="231"/>
      <c r="P77" s="231"/>
      <c r="Q77" s="231"/>
      <c r="R77" s="231"/>
      <c r="S77" s="231"/>
      <c r="T77" s="231"/>
      <c r="U77" s="231"/>
      <c r="V77" s="231"/>
      <c r="W77" s="231"/>
      <c r="X77" s="231"/>
      <c r="Y77" s="231"/>
      <c r="Z77" s="231"/>
      <c r="AA77" s="231"/>
      <c r="AB77" s="231"/>
      <c r="AC77" s="231"/>
      <c r="AD77" s="231"/>
      <c r="AE77" s="231"/>
      <c r="AF77" s="231"/>
    </row>
    <row r="78" spans="1:32" s="203" customFormat="1">
      <c r="A78" s="788"/>
      <c r="B78" s="47"/>
      <c r="C78" s="47"/>
      <c r="D78" s="47"/>
      <c r="E78" s="117"/>
      <c r="F78" s="118"/>
      <c r="G78" s="118"/>
      <c r="H78" s="118"/>
      <c r="I78" s="118"/>
      <c r="J78" s="231"/>
      <c r="K78" s="231"/>
      <c r="L78" s="231"/>
      <c r="M78" s="231"/>
      <c r="N78" s="231"/>
      <c r="O78" s="231"/>
      <c r="P78" s="231"/>
      <c r="Q78" s="231"/>
      <c r="R78" s="231"/>
      <c r="S78" s="231"/>
      <c r="T78" s="231"/>
      <c r="U78" s="231"/>
      <c r="V78" s="231"/>
      <c r="W78" s="231"/>
      <c r="X78" s="231"/>
      <c r="Y78" s="231"/>
      <c r="Z78" s="231"/>
      <c r="AA78" s="231"/>
      <c r="AB78" s="231"/>
      <c r="AC78" s="231"/>
      <c r="AD78" s="231"/>
      <c r="AE78" s="231"/>
      <c r="AF78" s="231"/>
    </row>
    <row r="79" spans="1:32" s="203" customFormat="1">
      <c r="A79" s="119" t="s">
        <v>93</v>
      </c>
      <c r="B79" s="116"/>
      <c r="C79" s="116"/>
      <c r="D79" s="116"/>
      <c r="E79" s="117"/>
      <c r="F79" s="118"/>
      <c r="G79" s="118"/>
      <c r="H79" s="118"/>
      <c r="I79" s="118"/>
      <c r="J79" s="231"/>
      <c r="K79" s="231"/>
      <c r="L79" s="231"/>
      <c r="M79" s="231"/>
      <c r="N79" s="231"/>
      <c r="O79" s="231"/>
      <c r="P79" s="231"/>
      <c r="Q79" s="231"/>
      <c r="R79" s="231"/>
      <c r="S79" s="231"/>
      <c r="T79" s="231"/>
      <c r="U79" s="231"/>
      <c r="V79" s="231"/>
      <c r="W79" s="231"/>
      <c r="X79" s="231"/>
      <c r="Y79" s="231"/>
      <c r="Z79" s="231"/>
      <c r="AA79" s="231"/>
      <c r="AB79" s="231"/>
      <c r="AC79" s="231"/>
      <c r="AD79" s="231"/>
      <c r="AE79" s="231"/>
      <c r="AF79" s="231"/>
    </row>
    <row r="80" spans="1:32" s="203" customFormat="1">
      <c r="A80" s="120">
        <v>7</v>
      </c>
      <c r="B80" s="47" t="s">
        <v>94</v>
      </c>
      <c r="C80" s="47"/>
      <c r="D80" s="47"/>
      <c r="E80" s="41">
        <v>1604</v>
      </c>
      <c r="F80" s="253">
        <v>1387</v>
      </c>
      <c r="G80" s="112">
        <v>1361</v>
      </c>
      <c r="H80" s="248">
        <v>1634</v>
      </c>
      <c r="I80" s="112">
        <v>1654</v>
      </c>
      <c r="J80" s="231"/>
      <c r="K80" s="231"/>
      <c r="L80" s="231"/>
      <c r="M80" s="231"/>
      <c r="N80" s="231"/>
      <c r="O80" s="231"/>
      <c r="P80" s="231"/>
      <c r="Q80" s="231"/>
      <c r="R80" s="231"/>
      <c r="S80" s="231"/>
      <c r="T80" s="231"/>
      <c r="U80" s="231"/>
      <c r="V80" s="231"/>
      <c r="W80" s="231"/>
      <c r="X80" s="231"/>
      <c r="Y80" s="231"/>
      <c r="Z80" s="231"/>
      <c r="AA80" s="231"/>
      <c r="AB80" s="231"/>
      <c r="AC80" s="231"/>
      <c r="AD80" s="231"/>
      <c r="AE80" s="231"/>
      <c r="AF80" s="231"/>
    </row>
    <row r="81" spans="1:32" s="203" customFormat="1">
      <c r="A81" s="120">
        <v>8</v>
      </c>
      <c r="B81" s="47" t="s">
        <v>95</v>
      </c>
      <c r="C81" s="47"/>
      <c r="D81" s="47"/>
      <c r="E81" s="49">
        <v>33456</v>
      </c>
      <c r="F81" s="247">
        <v>34672</v>
      </c>
      <c r="G81" s="113">
        <v>31666</v>
      </c>
      <c r="H81" s="123">
        <v>36149</v>
      </c>
      <c r="I81" s="113">
        <v>33230</v>
      </c>
      <c r="J81" s="231"/>
      <c r="K81" s="231"/>
      <c r="L81" s="231"/>
      <c r="M81" s="231"/>
      <c r="N81" s="231"/>
      <c r="O81" s="231"/>
      <c r="P81" s="231"/>
      <c r="Q81" s="231"/>
      <c r="R81" s="231"/>
      <c r="S81" s="231"/>
      <c r="T81" s="231"/>
      <c r="U81" s="231"/>
      <c r="V81" s="231"/>
      <c r="W81" s="231"/>
      <c r="X81" s="231"/>
      <c r="Y81" s="231"/>
      <c r="Z81" s="231"/>
      <c r="AA81" s="231"/>
      <c r="AB81" s="231"/>
      <c r="AC81" s="231"/>
      <c r="AD81" s="231"/>
      <c r="AE81" s="231"/>
      <c r="AF81" s="231"/>
    </row>
    <row r="82" spans="1:32" s="203" customFormat="1">
      <c r="A82" s="120">
        <v>9</v>
      </c>
      <c r="B82" s="47" t="s">
        <v>96</v>
      </c>
      <c r="C82" s="47"/>
      <c r="D82" s="47"/>
      <c r="E82" s="49">
        <v>36740</v>
      </c>
      <c r="F82" s="247">
        <v>36788</v>
      </c>
      <c r="G82" s="113">
        <v>36267</v>
      </c>
      <c r="H82" s="123">
        <v>38124</v>
      </c>
      <c r="I82" s="113">
        <v>37299</v>
      </c>
      <c r="J82" s="231"/>
      <c r="K82" s="231"/>
      <c r="L82" s="231"/>
      <c r="M82" s="231"/>
      <c r="N82" s="231"/>
      <c r="O82" s="231"/>
      <c r="P82" s="231"/>
      <c r="Q82" s="231"/>
      <c r="R82" s="231"/>
      <c r="S82" s="231"/>
      <c r="T82" s="231"/>
      <c r="U82" s="231"/>
      <c r="V82" s="231"/>
      <c r="W82" s="231"/>
      <c r="X82" s="231"/>
      <c r="Y82" s="231"/>
      <c r="Z82" s="231"/>
      <c r="AA82" s="231"/>
      <c r="AB82" s="231"/>
      <c r="AC82" s="231"/>
      <c r="AD82" s="231"/>
      <c r="AE82" s="231"/>
      <c r="AF82" s="231"/>
    </row>
    <row r="83" spans="1:32" s="203" customFormat="1">
      <c r="A83" s="120">
        <v>10</v>
      </c>
      <c r="B83" s="90" t="s">
        <v>97</v>
      </c>
      <c r="C83" s="47"/>
      <c r="D83" s="47"/>
      <c r="E83" s="49">
        <v>7194</v>
      </c>
      <c r="F83" s="247">
        <v>8077</v>
      </c>
      <c r="G83" s="113">
        <v>0</v>
      </c>
      <c r="H83" s="123">
        <v>7072</v>
      </c>
      <c r="I83" s="113">
        <v>0</v>
      </c>
      <c r="J83" s="231"/>
      <c r="K83" s="231"/>
      <c r="L83" s="231"/>
      <c r="M83" s="231"/>
      <c r="N83" s="231"/>
      <c r="O83" s="231"/>
      <c r="P83" s="231"/>
      <c r="Q83" s="231"/>
      <c r="R83" s="231"/>
      <c r="S83" s="231"/>
      <c r="T83" s="231"/>
      <c r="U83" s="231"/>
      <c r="V83" s="231"/>
      <c r="W83" s="231"/>
      <c r="X83" s="231"/>
      <c r="Y83" s="231"/>
      <c r="Z83" s="231"/>
      <c r="AA83" s="231"/>
      <c r="AB83" s="231"/>
      <c r="AC83" s="231"/>
      <c r="AD83" s="231"/>
      <c r="AE83" s="231"/>
      <c r="AF83" s="231"/>
    </row>
    <row r="84" spans="1:32" s="203" customFormat="1">
      <c r="A84" s="120">
        <v>11</v>
      </c>
      <c r="B84" s="90" t="s">
        <v>98</v>
      </c>
      <c r="C84" s="47"/>
      <c r="D84" s="47"/>
      <c r="E84" s="49">
        <v>3675</v>
      </c>
      <c r="F84" s="247">
        <v>5201</v>
      </c>
      <c r="G84" s="113">
        <v>0</v>
      </c>
      <c r="H84" s="123">
        <v>4881</v>
      </c>
      <c r="I84" s="113">
        <v>0</v>
      </c>
      <c r="J84" s="231"/>
      <c r="K84" s="231"/>
      <c r="L84" s="231"/>
      <c r="M84" s="231"/>
      <c r="N84" s="231"/>
      <c r="O84" s="231"/>
      <c r="P84" s="231"/>
      <c r="Q84" s="231"/>
      <c r="R84" s="231"/>
      <c r="S84" s="231"/>
      <c r="T84" s="231"/>
      <c r="U84" s="231"/>
      <c r="V84" s="231"/>
      <c r="W84" s="231"/>
      <c r="X84" s="231"/>
      <c r="Y84" s="231"/>
      <c r="Z84" s="231"/>
      <c r="AA84" s="231"/>
      <c r="AB84" s="231"/>
      <c r="AC84" s="231"/>
      <c r="AD84" s="231"/>
      <c r="AE84" s="231"/>
      <c r="AF84" s="231"/>
    </row>
    <row r="85" spans="1:32" s="203" customFormat="1">
      <c r="A85" s="120">
        <v>12</v>
      </c>
      <c r="B85" s="47" t="s">
        <v>99</v>
      </c>
      <c r="C85" s="47"/>
      <c r="D85" s="47"/>
      <c r="E85" s="49">
        <v>3942</v>
      </c>
      <c r="F85" s="247">
        <v>4008</v>
      </c>
      <c r="G85" s="113">
        <v>0</v>
      </c>
      <c r="H85" s="123">
        <v>4065</v>
      </c>
      <c r="I85" s="113">
        <v>0</v>
      </c>
      <c r="J85" s="231"/>
      <c r="K85" s="231"/>
      <c r="L85" s="231"/>
      <c r="M85" s="231"/>
      <c r="N85" s="231"/>
      <c r="O85" s="231"/>
      <c r="P85" s="231"/>
      <c r="Q85" s="231"/>
      <c r="R85" s="231"/>
      <c r="S85" s="231"/>
      <c r="T85" s="231"/>
      <c r="U85" s="231"/>
      <c r="V85" s="231"/>
      <c r="W85" s="231"/>
      <c r="X85" s="231"/>
      <c r="Y85" s="231"/>
      <c r="Z85" s="231"/>
      <c r="AA85" s="231"/>
      <c r="AB85" s="231"/>
      <c r="AC85" s="231"/>
      <c r="AD85" s="231"/>
      <c r="AE85" s="231"/>
      <c r="AF85" s="231"/>
    </row>
    <row r="86" spans="1:32" s="203" customFormat="1">
      <c r="A86" s="120">
        <v>13</v>
      </c>
      <c r="B86" s="47" t="s">
        <v>100</v>
      </c>
      <c r="C86" s="47"/>
      <c r="D86" s="47"/>
      <c r="E86" s="49">
        <v>15926</v>
      </c>
      <c r="F86" s="247">
        <v>17026</v>
      </c>
      <c r="G86" s="113">
        <v>9539</v>
      </c>
      <c r="H86" s="123">
        <v>16437</v>
      </c>
      <c r="I86" s="113">
        <v>9244</v>
      </c>
      <c r="J86" s="231"/>
      <c r="K86" s="231"/>
      <c r="L86" s="231"/>
      <c r="M86" s="231"/>
      <c r="N86" s="231"/>
      <c r="O86" s="231"/>
      <c r="P86" s="231"/>
      <c r="Q86" s="231"/>
      <c r="R86" s="231"/>
      <c r="S86" s="231"/>
      <c r="T86" s="231"/>
      <c r="U86" s="231"/>
      <c r="V86" s="231"/>
      <c r="W86" s="231"/>
      <c r="X86" s="231"/>
      <c r="Y86" s="231"/>
      <c r="Z86" s="231"/>
      <c r="AA86" s="231"/>
      <c r="AB86" s="231"/>
      <c r="AC86" s="231"/>
      <c r="AD86" s="231"/>
      <c r="AE86" s="231"/>
      <c r="AF86" s="231"/>
    </row>
    <row r="87" spans="1:32" s="203" customFormat="1">
      <c r="A87" s="120">
        <v>14</v>
      </c>
      <c r="B87" s="47" t="s">
        <v>101</v>
      </c>
      <c r="C87" s="47"/>
      <c r="D87" s="47"/>
      <c r="E87" s="49">
        <v>0</v>
      </c>
      <c r="F87" s="247">
        <v>0</v>
      </c>
      <c r="G87" s="113">
        <v>0</v>
      </c>
      <c r="H87" s="123">
        <v>0</v>
      </c>
      <c r="I87" s="113">
        <v>0</v>
      </c>
      <c r="J87" s="231"/>
      <c r="K87" s="231"/>
      <c r="L87" s="231"/>
      <c r="M87" s="231"/>
      <c r="N87" s="231"/>
      <c r="O87" s="231"/>
      <c r="P87" s="231"/>
      <c r="Q87" s="231"/>
      <c r="R87" s="231"/>
      <c r="S87" s="231"/>
      <c r="T87" s="231"/>
      <c r="U87" s="231"/>
      <c r="V87" s="231"/>
      <c r="W87" s="231"/>
      <c r="X87" s="231"/>
      <c r="Y87" s="231"/>
      <c r="Z87" s="231"/>
      <c r="AA87" s="231"/>
      <c r="AB87" s="231"/>
      <c r="AC87" s="231"/>
      <c r="AD87" s="231"/>
      <c r="AE87" s="231"/>
      <c r="AF87" s="231"/>
    </row>
    <row r="88" spans="1:32" s="203" customFormat="1">
      <c r="A88" s="124">
        <v>15</v>
      </c>
      <c r="B88" s="125" t="s">
        <v>102</v>
      </c>
      <c r="C88" s="54"/>
      <c r="D88" s="54"/>
      <c r="E88" s="56">
        <v>0</v>
      </c>
      <c r="F88" s="254">
        <v>0</v>
      </c>
      <c r="G88" s="127">
        <v>0</v>
      </c>
      <c r="H88" s="255">
        <v>0</v>
      </c>
      <c r="I88" s="127">
        <v>0</v>
      </c>
      <c r="J88" s="231"/>
      <c r="K88" s="231"/>
      <c r="L88" s="231"/>
      <c r="M88" s="231"/>
      <c r="N88" s="231"/>
      <c r="O88" s="231"/>
      <c r="P88" s="231"/>
      <c r="Q88" s="231"/>
      <c r="R88" s="231"/>
      <c r="S88" s="231"/>
      <c r="T88" s="231"/>
      <c r="U88" s="231"/>
      <c r="V88" s="231"/>
      <c r="W88" s="231"/>
      <c r="X88" s="231"/>
      <c r="Y88" s="231"/>
      <c r="Z88" s="231"/>
      <c r="AA88" s="231"/>
      <c r="AB88" s="231"/>
      <c r="AC88" s="231"/>
      <c r="AD88" s="231"/>
      <c r="AE88" s="231"/>
      <c r="AF88" s="231"/>
    </row>
    <row r="89" spans="1:32" s="203" customFormat="1">
      <c r="A89" s="128"/>
      <c r="B89" s="129"/>
      <c r="C89" s="129"/>
      <c r="D89" s="129"/>
      <c r="E89" s="15"/>
      <c r="F89" s="130"/>
      <c r="G89" s="29"/>
      <c r="H89" s="207"/>
      <c r="I89" s="29"/>
      <c r="J89" s="231"/>
      <c r="K89" s="231"/>
      <c r="L89" s="231"/>
      <c r="M89" s="231"/>
      <c r="N89" s="231"/>
      <c r="O89" s="231"/>
      <c r="P89" s="231"/>
      <c r="Q89" s="231"/>
      <c r="R89" s="231"/>
      <c r="S89" s="231"/>
      <c r="T89" s="231"/>
      <c r="U89" s="231"/>
      <c r="V89" s="231"/>
      <c r="W89" s="231"/>
      <c r="X89" s="231"/>
      <c r="Y89" s="231"/>
      <c r="Z89" s="231"/>
      <c r="AA89" s="231"/>
      <c r="AB89" s="231"/>
      <c r="AC89" s="231"/>
      <c r="AD89" s="231"/>
      <c r="AE89" s="231"/>
      <c r="AF89" s="231"/>
    </row>
    <row r="90" spans="1:32" s="203" customFormat="1">
      <c r="A90" s="128"/>
      <c r="B90" s="129"/>
      <c r="C90" s="129"/>
      <c r="D90" s="129"/>
      <c r="E90" s="105"/>
      <c r="F90" s="130"/>
      <c r="G90" s="29"/>
      <c r="H90" s="131" t="s">
        <v>27</v>
      </c>
      <c r="I90" s="29"/>
      <c r="J90" s="231"/>
      <c r="K90" s="231"/>
      <c r="L90" s="231"/>
      <c r="M90" s="231"/>
      <c r="N90" s="231"/>
      <c r="O90" s="231"/>
      <c r="P90" s="231"/>
      <c r="Q90" s="231"/>
      <c r="R90" s="231"/>
      <c r="S90" s="231"/>
      <c r="T90" s="231"/>
      <c r="U90" s="231"/>
      <c r="V90" s="231"/>
      <c r="W90" s="231"/>
      <c r="X90" s="231"/>
      <c r="Y90" s="231"/>
      <c r="Z90" s="231"/>
      <c r="AA90" s="231"/>
      <c r="AB90" s="231"/>
      <c r="AC90" s="231"/>
      <c r="AD90" s="231"/>
      <c r="AE90" s="231"/>
      <c r="AF90" s="231"/>
    </row>
    <row r="91" spans="1:32" s="203" customFormat="1">
      <c r="A91" s="106" t="s">
        <v>17</v>
      </c>
      <c r="B91" s="107"/>
      <c r="C91" s="107"/>
      <c r="D91" s="107"/>
      <c r="E91" s="856" t="s">
        <v>421</v>
      </c>
      <c r="F91" s="856" t="s">
        <v>402</v>
      </c>
      <c r="G91" s="257"/>
      <c r="H91" s="856" t="s">
        <v>403</v>
      </c>
      <c r="I91" s="29"/>
      <c r="J91" s="231"/>
      <c r="K91" s="231"/>
      <c r="L91" s="231"/>
      <c r="M91" s="231"/>
      <c r="N91" s="231"/>
      <c r="O91" s="231"/>
      <c r="P91" s="231"/>
      <c r="Q91" s="231"/>
      <c r="R91" s="231"/>
      <c r="S91" s="231"/>
      <c r="T91" s="231"/>
      <c r="U91" s="231"/>
      <c r="V91" s="231"/>
      <c r="W91" s="231"/>
      <c r="X91" s="231"/>
      <c r="Y91" s="231"/>
      <c r="Z91" s="231"/>
      <c r="AA91" s="231"/>
      <c r="AB91" s="231"/>
      <c r="AC91" s="231"/>
      <c r="AD91" s="231"/>
      <c r="AE91" s="231"/>
      <c r="AF91" s="231"/>
    </row>
    <row r="92" spans="1:32" s="203" customFormat="1" ht="12.75" customHeight="1">
      <c r="A92" s="109"/>
      <c r="B92" s="132"/>
      <c r="C92" s="132"/>
      <c r="D92" s="132"/>
      <c r="E92" s="859"/>
      <c r="F92" s="859"/>
      <c r="G92" s="29"/>
      <c r="H92" s="859"/>
      <c r="I92" s="29"/>
      <c r="J92" s="231"/>
      <c r="K92" s="231"/>
      <c r="L92" s="231"/>
      <c r="M92" s="231"/>
      <c r="N92" s="231"/>
      <c r="O92" s="231"/>
      <c r="P92" s="231"/>
      <c r="Q92" s="231"/>
      <c r="R92" s="231"/>
      <c r="S92" s="231"/>
      <c r="T92" s="231"/>
      <c r="U92" s="231"/>
      <c r="V92" s="231"/>
      <c r="W92" s="231"/>
      <c r="X92" s="231"/>
      <c r="Y92" s="231"/>
      <c r="Z92" s="231"/>
      <c r="AA92" s="231"/>
      <c r="AB92" s="231"/>
      <c r="AC92" s="231"/>
      <c r="AD92" s="231"/>
      <c r="AE92" s="231"/>
      <c r="AF92" s="231"/>
    </row>
    <row r="93" spans="1:32" s="203" customFormat="1">
      <c r="A93" s="109" t="s">
        <v>103</v>
      </c>
      <c r="B93" s="132"/>
      <c r="C93" s="132"/>
      <c r="D93" s="132"/>
      <c r="E93" s="859"/>
      <c r="F93" s="859"/>
      <c r="G93" s="29"/>
      <c r="H93" s="859"/>
      <c r="I93" s="29"/>
      <c r="J93" s="231"/>
      <c r="K93" s="231"/>
      <c r="L93" s="231"/>
      <c r="M93" s="231"/>
      <c r="N93" s="231"/>
      <c r="O93" s="231"/>
      <c r="P93" s="231"/>
      <c r="Q93" s="231"/>
      <c r="R93" s="231"/>
      <c r="S93" s="231"/>
      <c r="T93" s="231"/>
      <c r="U93" s="231"/>
      <c r="V93" s="231"/>
      <c r="W93" s="231"/>
      <c r="X93" s="231"/>
      <c r="Y93" s="231"/>
      <c r="Z93" s="231"/>
      <c r="AA93" s="231"/>
      <c r="AB93" s="231"/>
      <c r="AC93" s="231"/>
      <c r="AD93" s="231"/>
      <c r="AE93" s="231"/>
      <c r="AF93" s="231"/>
    </row>
    <row r="94" spans="1:32" s="203" customFormat="1">
      <c r="A94" s="109" t="s">
        <v>83</v>
      </c>
      <c r="B94" s="132"/>
      <c r="C94" s="132"/>
      <c r="D94" s="132"/>
      <c r="E94" s="859"/>
      <c r="F94" s="859"/>
      <c r="G94" s="130"/>
      <c r="H94" s="859"/>
      <c r="I94" s="29"/>
      <c r="J94" s="231"/>
      <c r="K94" s="231"/>
      <c r="L94" s="231"/>
      <c r="M94" s="231"/>
      <c r="N94" s="231"/>
      <c r="O94" s="231"/>
      <c r="P94" s="231"/>
      <c r="Q94" s="231"/>
      <c r="R94" s="231"/>
      <c r="S94" s="231"/>
      <c r="T94" s="231"/>
      <c r="U94" s="231"/>
      <c r="V94" s="231"/>
      <c r="W94" s="231"/>
      <c r="X94" s="231"/>
      <c r="Y94" s="231"/>
      <c r="Z94" s="231"/>
      <c r="AA94" s="231"/>
      <c r="AB94" s="231"/>
      <c r="AC94" s="231"/>
      <c r="AD94" s="231"/>
      <c r="AE94" s="231"/>
      <c r="AF94" s="231"/>
    </row>
    <row r="95" spans="1:32" s="203" customFormat="1">
      <c r="A95" s="110" t="s">
        <v>84</v>
      </c>
      <c r="B95" s="132"/>
      <c r="C95" s="132"/>
      <c r="D95" s="132"/>
      <c r="E95" s="860"/>
      <c r="F95" s="860"/>
      <c r="G95" s="130"/>
      <c r="H95" s="860"/>
      <c r="I95" s="130"/>
      <c r="J95" s="231"/>
      <c r="K95" s="231"/>
      <c r="L95" s="231"/>
      <c r="M95" s="231"/>
      <c r="N95" s="231"/>
      <c r="O95" s="231"/>
      <c r="P95" s="231"/>
      <c r="Q95" s="231"/>
      <c r="R95" s="231"/>
      <c r="S95" s="231"/>
      <c r="T95" s="231"/>
      <c r="U95" s="231"/>
      <c r="V95" s="231"/>
      <c r="W95" s="231"/>
      <c r="X95" s="231"/>
      <c r="Y95" s="231"/>
      <c r="Z95" s="231"/>
      <c r="AA95" s="231"/>
      <c r="AB95" s="231"/>
      <c r="AC95" s="231"/>
      <c r="AD95" s="231"/>
      <c r="AE95" s="231"/>
      <c r="AF95" s="231"/>
    </row>
    <row r="96" spans="1:32" s="203" customFormat="1">
      <c r="A96" s="120">
        <v>1</v>
      </c>
      <c r="B96" s="47" t="s">
        <v>104</v>
      </c>
      <c r="C96" s="47"/>
      <c r="D96" s="47"/>
      <c r="E96" s="41">
        <v>1934</v>
      </c>
      <c r="F96" s="52">
        <v>2191</v>
      </c>
      <c r="G96" s="118"/>
      <c r="H96" s="133">
        <v>2087</v>
      </c>
      <c r="I96" s="139"/>
      <c r="J96" s="231"/>
      <c r="K96" s="231"/>
      <c r="L96" s="231"/>
      <c r="M96" s="231"/>
      <c r="N96" s="231"/>
      <c r="O96" s="231"/>
      <c r="P96" s="231"/>
      <c r="Q96" s="231"/>
      <c r="R96" s="231"/>
      <c r="S96" s="231"/>
      <c r="T96" s="231"/>
      <c r="U96" s="231"/>
      <c r="V96" s="231"/>
      <c r="W96" s="231"/>
      <c r="X96" s="231"/>
      <c r="Y96" s="231"/>
      <c r="Z96" s="231"/>
      <c r="AA96" s="231"/>
      <c r="AB96" s="231"/>
      <c r="AC96" s="231"/>
      <c r="AD96" s="231"/>
      <c r="AE96" s="231"/>
      <c r="AF96" s="231"/>
    </row>
    <row r="97" spans="1:32" s="203" customFormat="1">
      <c r="A97" s="120">
        <v>2</v>
      </c>
      <c r="B97" s="47" t="s">
        <v>105</v>
      </c>
      <c r="C97" s="47"/>
      <c r="D97" s="47"/>
      <c r="E97" s="49">
        <v>0</v>
      </c>
      <c r="F97" s="52">
        <v>29</v>
      </c>
      <c r="G97" s="118"/>
      <c r="H97" s="122">
        <v>28</v>
      </c>
      <c r="I97" s="139"/>
      <c r="J97" s="231"/>
      <c r="K97" s="231"/>
      <c r="L97" s="231"/>
      <c r="M97" s="231"/>
      <c r="N97" s="231"/>
      <c r="O97" s="231"/>
      <c r="P97" s="231"/>
      <c r="Q97" s="231"/>
      <c r="R97" s="231"/>
      <c r="S97" s="231"/>
      <c r="T97" s="231"/>
      <c r="U97" s="231"/>
      <c r="V97" s="231"/>
      <c r="W97" s="231"/>
      <c r="X97" s="231"/>
      <c r="Y97" s="231"/>
      <c r="Z97" s="231"/>
      <c r="AA97" s="231"/>
      <c r="AB97" s="231"/>
      <c r="AC97" s="231"/>
      <c r="AD97" s="231"/>
      <c r="AE97" s="231"/>
      <c r="AF97" s="231"/>
    </row>
    <row r="98" spans="1:32" s="203" customFormat="1">
      <c r="A98" s="120">
        <v>3</v>
      </c>
      <c r="B98" s="47" t="s">
        <v>106</v>
      </c>
      <c r="C98" s="47"/>
      <c r="D98" s="47"/>
      <c r="E98" s="114">
        <v>17713</v>
      </c>
      <c r="F98" s="50">
        <f>F115</f>
        <v>20648</v>
      </c>
      <c r="G98" s="118"/>
      <c r="H98" s="50">
        <f>H115</f>
        <v>19348</v>
      </c>
      <c r="I98" s="139"/>
      <c r="J98" s="231"/>
      <c r="K98" s="231"/>
      <c r="L98" s="231"/>
      <c r="M98" s="231"/>
      <c r="N98" s="231"/>
      <c r="O98" s="231"/>
      <c r="P98" s="231"/>
      <c r="Q98" s="231"/>
      <c r="R98" s="231"/>
      <c r="S98" s="231"/>
      <c r="T98" s="231"/>
      <c r="U98" s="231"/>
      <c r="V98" s="231"/>
      <c r="W98" s="231"/>
      <c r="X98" s="231"/>
      <c r="Y98" s="231"/>
      <c r="Z98" s="231"/>
      <c r="AA98" s="231"/>
      <c r="AB98" s="231"/>
      <c r="AC98" s="231"/>
      <c r="AD98" s="231"/>
      <c r="AE98" s="231"/>
      <c r="AF98" s="231"/>
    </row>
    <row r="99" spans="1:32" s="203" customFormat="1">
      <c r="A99" s="120">
        <v>4</v>
      </c>
      <c r="B99" s="47" t="s">
        <v>107</v>
      </c>
      <c r="C99" s="47"/>
      <c r="D99" s="47"/>
      <c r="E99" s="114">
        <v>37603</v>
      </c>
      <c r="F99" s="50">
        <f>F125</f>
        <v>36242</v>
      </c>
      <c r="G99" s="118"/>
      <c r="H99" s="50">
        <f>H125</f>
        <v>37448</v>
      </c>
      <c r="I99" s="139"/>
      <c r="J99" s="231"/>
      <c r="K99" s="231"/>
      <c r="L99" s="231"/>
      <c r="M99" s="231"/>
      <c r="N99" s="231"/>
      <c r="O99" s="231"/>
      <c r="P99" s="231"/>
      <c r="Q99" s="231"/>
      <c r="R99" s="231"/>
      <c r="S99" s="231"/>
      <c r="T99" s="231"/>
      <c r="U99" s="231"/>
      <c r="V99" s="231"/>
      <c r="W99" s="231"/>
      <c r="X99" s="231"/>
      <c r="Y99" s="231"/>
      <c r="Z99" s="231"/>
      <c r="AA99" s="231"/>
      <c r="AB99" s="231"/>
      <c r="AC99" s="231"/>
      <c r="AD99" s="231"/>
      <c r="AE99" s="231"/>
      <c r="AF99" s="231"/>
    </row>
    <row r="100" spans="1:32" s="203" customFormat="1">
      <c r="A100" s="120">
        <v>5</v>
      </c>
      <c r="B100" s="47" t="s">
        <v>108</v>
      </c>
      <c r="C100" s="47"/>
      <c r="D100" s="47"/>
      <c r="E100" s="114">
        <v>7239</v>
      </c>
      <c r="F100" s="50">
        <f>F135</f>
        <v>7162</v>
      </c>
      <c r="G100" s="118"/>
      <c r="H100" s="50">
        <f>H135</f>
        <v>6707</v>
      </c>
      <c r="I100" s="139"/>
      <c r="J100" s="231"/>
      <c r="K100" s="231"/>
      <c r="L100" s="231"/>
      <c r="M100" s="231"/>
      <c r="N100" s="231"/>
      <c r="O100" s="231"/>
      <c r="P100" s="231"/>
      <c r="Q100" s="231"/>
      <c r="R100" s="231"/>
      <c r="S100" s="231"/>
      <c r="T100" s="231"/>
      <c r="U100" s="231"/>
      <c r="V100" s="231"/>
      <c r="W100" s="231"/>
      <c r="X100" s="231"/>
      <c r="Y100" s="231"/>
      <c r="Z100" s="231"/>
      <c r="AA100" s="231"/>
      <c r="AB100" s="231"/>
      <c r="AC100" s="231"/>
      <c r="AD100" s="231"/>
      <c r="AE100" s="231"/>
      <c r="AF100" s="231"/>
    </row>
    <row r="101" spans="1:32" s="203" customFormat="1">
      <c r="A101" s="120">
        <v>6</v>
      </c>
      <c r="B101" s="47" t="s">
        <v>109</v>
      </c>
      <c r="C101" s="47"/>
      <c r="D101" s="47"/>
      <c r="E101" s="114">
        <v>18653</v>
      </c>
      <c r="F101" s="50">
        <f>F143</f>
        <v>20969</v>
      </c>
      <c r="G101" s="118"/>
      <c r="H101" s="50">
        <f>H143</f>
        <v>20850</v>
      </c>
      <c r="I101" s="139"/>
      <c r="J101" s="231"/>
      <c r="K101" s="231"/>
      <c r="L101" s="231"/>
      <c r="M101" s="231"/>
      <c r="N101" s="231"/>
      <c r="O101" s="231"/>
      <c r="P101" s="231"/>
      <c r="Q101" s="231"/>
      <c r="R101" s="231"/>
      <c r="S101" s="231"/>
      <c r="T101" s="231"/>
      <c r="U101" s="231"/>
      <c r="V101" s="231"/>
      <c r="W101" s="231"/>
      <c r="X101" s="231"/>
      <c r="Y101" s="231"/>
      <c r="Z101" s="231"/>
      <c r="AA101" s="231"/>
      <c r="AB101" s="231"/>
      <c r="AC101" s="231"/>
      <c r="AD101" s="231"/>
      <c r="AE101" s="231"/>
      <c r="AF101" s="231"/>
    </row>
    <row r="102" spans="1:32" s="203" customFormat="1">
      <c r="A102" s="120">
        <v>7</v>
      </c>
      <c r="B102" s="47" t="s">
        <v>110</v>
      </c>
      <c r="C102" s="47"/>
      <c r="D102" s="47"/>
      <c r="E102" s="114">
        <v>3437</v>
      </c>
      <c r="F102" s="50">
        <f>F150</f>
        <v>2770</v>
      </c>
      <c r="G102" s="118"/>
      <c r="H102" s="50">
        <f>H150</f>
        <v>2841</v>
      </c>
      <c r="I102" s="139"/>
      <c r="J102" s="231"/>
      <c r="K102" s="231"/>
      <c r="L102" s="231"/>
      <c r="M102" s="231"/>
      <c r="N102" s="231"/>
      <c r="O102" s="231"/>
      <c r="P102" s="231"/>
      <c r="Q102" s="231"/>
      <c r="R102" s="231"/>
      <c r="S102" s="231"/>
      <c r="T102" s="231"/>
      <c r="U102" s="231"/>
      <c r="V102" s="231"/>
      <c r="W102" s="231"/>
      <c r="X102" s="231"/>
      <c r="Y102" s="231"/>
      <c r="Z102" s="231"/>
      <c r="AA102" s="231"/>
      <c r="AB102" s="231"/>
      <c r="AC102" s="231"/>
      <c r="AD102" s="231"/>
      <c r="AE102" s="231"/>
      <c r="AF102" s="231"/>
    </row>
    <row r="103" spans="1:32" s="203" customFormat="1">
      <c r="A103" s="120">
        <v>8</v>
      </c>
      <c r="B103" s="47" t="s">
        <v>111</v>
      </c>
      <c r="C103" s="47"/>
      <c r="D103" s="47"/>
      <c r="E103" s="114">
        <v>284</v>
      </c>
      <c r="F103" s="52">
        <v>311</v>
      </c>
      <c r="G103" s="118"/>
      <c r="H103" s="122">
        <v>344</v>
      </c>
      <c r="I103" s="139"/>
      <c r="J103" s="231"/>
      <c r="K103" s="231"/>
      <c r="L103" s="231"/>
      <c r="M103" s="231"/>
      <c r="N103" s="231"/>
      <c r="O103" s="231"/>
      <c r="P103" s="231"/>
      <c r="Q103" s="231"/>
      <c r="R103" s="231"/>
      <c r="S103" s="231"/>
      <c r="T103" s="231"/>
      <c r="U103" s="231"/>
      <c r="V103" s="231"/>
      <c r="W103" s="231"/>
      <c r="X103" s="231"/>
      <c r="Y103" s="231"/>
      <c r="Z103" s="231"/>
      <c r="AA103" s="231"/>
      <c r="AB103" s="231"/>
      <c r="AC103" s="231"/>
      <c r="AD103" s="231"/>
      <c r="AE103" s="231"/>
      <c r="AF103" s="231"/>
    </row>
    <row r="104" spans="1:32" s="203" customFormat="1">
      <c r="A104" s="120">
        <v>9</v>
      </c>
      <c r="B104" s="47" t="s">
        <v>112</v>
      </c>
      <c r="C104" s="47"/>
      <c r="D104" s="47"/>
      <c r="E104" s="114">
        <v>3076</v>
      </c>
      <c r="F104" s="52">
        <v>3364</v>
      </c>
      <c r="G104" s="118"/>
      <c r="H104" s="122">
        <v>3298</v>
      </c>
      <c r="I104" s="139"/>
      <c r="J104" s="231"/>
      <c r="K104" s="231"/>
      <c r="L104" s="231"/>
      <c r="M104" s="231"/>
      <c r="N104" s="231"/>
      <c r="O104" s="231"/>
      <c r="P104" s="231"/>
      <c r="Q104" s="231"/>
      <c r="R104" s="231"/>
      <c r="S104" s="231"/>
      <c r="T104" s="231"/>
      <c r="U104" s="231"/>
      <c r="V104" s="231"/>
      <c r="W104" s="231"/>
      <c r="X104" s="231"/>
      <c r="Y104" s="231"/>
      <c r="Z104" s="231"/>
      <c r="AA104" s="231"/>
      <c r="AB104" s="231"/>
      <c r="AC104" s="231"/>
      <c r="AD104" s="231"/>
      <c r="AE104" s="231"/>
      <c r="AF104" s="231"/>
    </row>
    <row r="105" spans="1:32" s="203" customFormat="1">
      <c r="A105" s="111" t="s">
        <v>113</v>
      </c>
      <c r="B105" s="116" t="s">
        <v>114</v>
      </c>
      <c r="C105" s="116"/>
      <c r="D105" s="47"/>
      <c r="E105" s="134">
        <v>89939</v>
      </c>
      <c r="F105" s="61">
        <f>SUM(F96:F104)</f>
        <v>93686</v>
      </c>
      <c r="G105" s="118"/>
      <c r="H105" s="61">
        <f>SUM(H96:H104)</f>
        <v>92951</v>
      </c>
      <c r="I105" s="139"/>
      <c r="J105" s="231"/>
      <c r="K105" s="231"/>
      <c r="L105" s="231"/>
      <c r="M105" s="231"/>
      <c r="N105" s="231"/>
      <c r="O105" s="231"/>
      <c r="P105" s="231"/>
      <c r="Q105" s="231"/>
      <c r="R105" s="231"/>
      <c r="S105" s="231"/>
      <c r="T105" s="231"/>
      <c r="U105" s="231"/>
      <c r="V105" s="231"/>
      <c r="W105" s="231"/>
      <c r="X105" s="231"/>
      <c r="Y105" s="231"/>
      <c r="Z105" s="231"/>
      <c r="AA105" s="231"/>
      <c r="AB105" s="231"/>
      <c r="AC105" s="231"/>
      <c r="AD105" s="231"/>
      <c r="AE105" s="231"/>
      <c r="AF105" s="231"/>
    </row>
    <row r="106" spans="1:32" s="203" customFormat="1">
      <c r="A106" s="120">
        <v>11</v>
      </c>
      <c r="B106" s="90" t="s">
        <v>115</v>
      </c>
      <c r="C106" s="47"/>
      <c r="D106" s="47"/>
      <c r="E106" s="135">
        <v>78</v>
      </c>
      <c r="F106" s="136">
        <v>78</v>
      </c>
      <c r="G106" s="118"/>
      <c r="H106" s="137">
        <v>77</v>
      </c>
      <c r="I106" s="139"/>
      <c r="J106" s="231"/>
      <c r="K106" s="231"/>
      <c r="L106" s="231"/>
      <c r="M106" s="231"/>
      <c r="N106" s="231"/>
      <c r="O106" s="231"/>
      <c r="P106" s="231"/>
      <c r="Q106" s="231"/>
      <c r="R106" s="231"/>
      <c r="S106" s="231"/>
      <c r="T106" s="231"/>
      <c r="U106" s="231"/>
      <c r="V106" s="231"/>
      <c r="W106" s="231"/>
      <c r="X106" s="231"/>
      <c r="Y106" s="231"/>
      <c r="Z106" s="231"/>
      <c r="AA106" s="231"/>
      <c r="AB106" s="231"/>
      <c r="AC106" s="231"/>
      <c r="AD106" s="231"/>
      <c r="AE106" s="231"/>
      <c r="AF106" s="231"/>
    </row>
    <row r="107" spans="1:32" s="203" customFormat="1">
      <c r="A107" s="111"/>
      <c r="B107" s="47"/>
      <c r="C107" s="47"/>
      <c r="D107" s="138"/>
      <c r="E107" s="117"/>
      <c r="F107" s="139"/>
      <c r="G107" s="139"/>
      <c r="H107" s="139"/>
      <c r="I107" s="139"/>
      <c r="J107" s="231"/>
      <c r="K107" s="231"/>
      <c r="L107" s="231"/>
      <c r="M107" s="231"/>
      <c r="N107" s="231"/>
      <c r="O107" s="231"/>
      <c r="P107" s="231"/>
      <c r="Q107" s="231"/>
      <c r="R107" s="231"/>
      <c r="S107" s="231"/>
      <c r="T107" s="231"/>
      <c r="U107" s="231"/>
      <c r="V107" s="231"/>
      <c r="W107" s="231"/>
      <c r="X107" s="231"/>
      <c r="Y107" s="231"/>
      <c r="Z107" s="231"/>
      <c r="AA107" s="231"/>
      <c r="AB107" s="231"/>
      <c r="AC107" s="231"/>
      <c r="AD107" s="231"/>
      <c r="AE107" s="231"/>
      <c r="AF107" s="231"/>
    </row>
    <row r="108" spans="1:32" s="203" customFormat="1">
      <c r="A108" s="119" t="s">
        <v>116</v>
      </c>
      <c r="B108" s="47"/>
      <c r="C108" s="47"/>
      <c r="D108" s="47"/>
      <c r="E108" s="117"/>
      <c r="F108" s="139"/>
      <c r="G108" s="139"/>
      <c r="H108" s="139"/>
      <c r="I108" s="139"/>
      <c r="J108" s="231"/>
      <c r="K108" s="231"/>
      <c r="L108" s="231"/>
      <c r="M108" s="231"/>
      <c r="N108" s="231"/>
      <c r="O108" s="231"/>
      <c r="P108" s="231"/>
      <c r="Q108" s="231"/>
      <c r="R108" s="231"/>
      <c r="S108" s="231"/>
      <c r="T108" s="231"/>
      <c r="U108" s="231"/>
      <c r="V108" s="231"/>
      <c r="W108" s="231"/>
      <c r="X108" s="231"/>
      <c r="Y108" s="231"/>
      <c r="Z108" s="231"/>
      <c r="AA108" s="231"/>
      <c r="AB108" s="231"/>
      <c r="AC108" s="231"/>
      <c r="AD108" s="231"/>
      <c r="AE108" s="231"/>
      <c r="AF108" s="231"/>
    </row>
    <row r="109" spans="1:32" s="203" customFormat="1">
      <c r="A109" s="119" t="s">
        <v>106</v>
      </c>
      <c r="B109" s="47"/>
      <c r="C109" s="47"/>
      <c r="D109" s="47"/>
      <c r="E109" s="140"/>
      <c r="F109" s="141"/>
      <c r="G109" s="139"/>
      <c r="H109" s="141"/>
      <c r="I109" s="139"/>
      <c r="J109" s="231"/>
      <c r="K109" s="231"/>
      <c r="L109" s="231"/>
      <c r="M109" s="231"/>
      <c r="N109" s="231"/>
      <c r="O109" s="231"/>
      <c r="P109" s="231"/>
      <c r="Q109" s="231"/>
      <c r="R109" s="231"/>
      <c r="S109" s="231"/>
      <c r="T109" s="231"/>
      <c r="U109" s="231"/>
      <c r="V109" s="231"/>
      <c r="W109" s="231"/>
      <c r="X109" s="231"/>
      <c r="Y109" s="231"/>
      <c r="Z109" s="231"/>
      <c r="AA109" s="231"/>
      <c r="AB109" s="231"/>
      <c r="AC109" s="231"/>
      <c r="AD109" s="231"/>
      <c r="AE109" s="231"/>
      <c r="AF109" s="231"/>
    </row>
    <row r="110" spans="1:32" s="203" customFormat="1">
      <c r="A110" s="120">
        <v>12</v>
      </c>
      <c r="B110" s="47" t="s">
        <v>117</v>
      </c>
      <c r="C110" s="47"/>
      <c r="D110" s="47"/>
      <c r="E110" s="49">
        <v>6549</v>
      </c>
      <c r="F110" s="52">
        <v>6910</v>
      </c>
      <c r="G110" s="118"/>
      <c r="H110" s="122">
        <v>6525</v>
      </c>
      <c r="I110" s="139"/>
      <c r="J110" s="231"/>
      <c r="K110" s="231"/>
      <c r="L110" s="231"/>
      <c r="M110" s="231"/>
      <c r="N110" s="231"/>
      <c r="O110" s="231"/>
      <c r="P110" s="231"/>
      <c r="Q110" s="231"/>
      <c r="R110" s="231"/>
      <c r="S110" s="231"/>
      <c r="T110" s="231"/>
      <c r="U110" s="231"/>
      <c r="V110" s="231"/>
      <c r="W110" s="231"/>
      <c r="X110" s="231"/>
      <c r="Y110" s="231"/>
      <c r="Z110" s="231"/>
      <c r="AA110" s="231"/>
      <c r="AB110" s="231"/>
      <c r="AC110" s="231"/>
      <c r="AD110" s="231"/>
      <c r="AE110" s="231"/>
      <c r="AF110" s="231"/>
    </row>
    <row r="111" spans="1:32" s="203" customFormat="1">
      <c r="A111" s="120">
        <v>13</v>
      </c>
      <c r="B111" s="47" t="s">
        <v>118</v>
      </c>
      <c r="C111" s="47"/>
      <c r="D111" s="47"/>
      <c r="E111" s="49">
        <v>4268</v>
      </c>
      <c r="F111" s="52">
        <v>5153</v>
      </c>
      <c r="G111" s="118"/>
      <c r="H111" s="122">
        <v>5083</v>
      </c>
      <c r="I111" s="139"/>
      <c r="J111" s="231"/>
      <c r="K111" s="231"/>
      <c r="L111" s="231"/>
      <c r="M111" s="231"/>
      <c r="N111" s="231"/>
      <c r="O111" s="231"/>
      <c r="P111" s="231"/>
      <c r="Q111" s="231"/>
      <c r="R111" s="231"/>
      <c r="S111" s="231"/>
      <c r="T111" s="231"/>
      <c r="U111" s="231"/>
      <c r="V111" s="231"/>
      <c r="W111" s="231"/>
      <c r="X111" s="231"/>
      <c r="Y111" s="231"/>
      <c r="Z111" s="231"/>
      <c r="AA111" s="231"/>
      <c r="AB111" s="231"/>
      <c r="AC111" s="231"/>
      <c r="AD111" s="231"/>
      <c r="AE111" s="231"/>
      <c r="AF111" s="231"/>
    </row>
    <row r="112" spans="1:32" s="203" customFormat="1">
      <c r="A112" s="120">
        <v>14</v>
      </c>
      <c r="B112" s="47" t="s">
        <v>119</v>
      </c>
      <c r="C112" s="47"/>
      <c r="D112" s="47"/>
      <c r="E112" s="49">
        <v>3887</v>
      </c>
      <c r="F112" s="52">
        <v>5550</v>
      </c>
      <c r="G112" s="118"/>
      <c r="H112" s="122">
        <v>4762</v>
      </c>
      <c r="I112" s="139"/>
      <c r="J112" s="231"/>
      <c r="K112" s="231"/>
      <c r="L112" s="231"/>
      <c r="M112" s="231"/>
      <c r="N112" s="231"/>
      <c r="O112" s="231"/>
      <c r="P112" s="231"/>
      <c r="Q112" s="231"/>
      <c r="R112" s="231"/>
      <c r="S112" s="231"/>
      <c r="T112" s="231"/>
      <c r="U112" s="231"/>
      <c r="V112" s="231"/>
      <c r="W112" s="231"/>
      <c r="X112" s="231"/>
      <c r="Y112" s="231"/>
      <c r="Z112" s="231"/>
      <c r="AA112" s="231"/>
      <c r="AB112" s="231"/>
      <c r="AC112" s="231"/>
      <c r="AD112" s="231"/>
      <c r="AE112" s="231"/>
      <c r="AF112" s="231"/>
    </row>
    <row r="113" spans="1:32" s="203" customFormat="1">
      <c r="A113" s="120">
        <v>15</v>
      </c>
      <c r="B113" s="47" t="s">
        <v>120</v>
      </c>
      <c r="C113" s="47"/>
      <c r="D113" s="47"/>
      <c r="E113" s="49">
        <v>229</v>
      </c>
      <c r="F113" s="52">
        <v>324</v>
      </c>
      <c r="G113" s="118"/>
      <c r="H113" s="122">
        <v>262</v>
      </c>
      <c r="I113" s="139"/>
      <c r="J113" s="231"/>
      <c r="K113" s="231"/>
      <c r="L113" s="231"/>
      <c r="M113" s="231"/>
      <c r="N113" s="231"/>
      <c r="O113" s="231"/>
      <c r="P113" s="231"/>
      <c r="Q113" s="231"/>
      <c r="R113" s="231"/>
      <c r="S113" s="231"/>
      <c r="T113" s="231"/>
      <c r="U113" s="231"/>
      <c r="V113" s="231"/>
      <c r="W113" s="231"/>
      <c r="X113" s="231"/>
      <c r="Y113" s="231"/>
      <c r="Z113" s="231"/>
      <c r="AA113" s="231"/>
      <c r="AB113" s="231"/>
      <c r="AC113" s="231"/>
      <c r="AD113" s="231"/>
      <c r="AE113" s="231"/>
      <c r="AF113" s="231"/>
    </row>
    <row r="114" spans="1:32" s="203" customFormat="1">
      <c r="A114" s="120">
        <v>16</v>
      </c>
      <c r="B114" s="47" t="s">
        <v>121</v>
      </c>
      <c r="C114" s="47"/>
      <c r="D114" s="47"/>
      <c r="E114" s="49">
        <v>2780</v>
      </c>
      <c r="F114" s="52">
        <v>2711</v>
      </c>
      <c r="G114" s="118"/>
      <c r="H114" s="100">
        <v>2716</v>
      </c>
      <c r="I114" s="139"/>
      <c r="J114" s="231"/>
      <c r="K114" s="231"/>
      <c r="L114" s="231"/>
      <c r="M114" s="231"/>
      <c r="N114" s="231"/>
      <c r="O114" s="231"/>
      <c r="P114" s="231"/>
      <c r="Q114" s="231"/>
      <c r="R114" s="231"/>
      <c r="S114" s="231"/>
      <c r="T114" s="231"/>
      <c r="U114" s="231"/>
      <c r="V114" s="231"/>
      <c r="W114" s="231"/>
      <c r="X114" s="231"/>
      <c r="Y114" s="231"/>
      <c r="Z114" s="231"/>
      <c r="AA114" s="231"/>
      <c r="AB114" s="231"/>
      <c r="AC114" s="231"/>
      <c r="AD114" s="231"/>
      <c r="AE114" s="231"/>
      <c r="AF114" s="231"/>
    </row>
    <row r="115" spans="1:32" s="203" customFormat="1">
      <c r="A115" s="120">
        <v>17</v>
      </c>
      <c r="B115" s="116" t="s">
        <v>122</v>
      </c>
      <c r="C115" s="116"/>
      <c r="D115" s="116"/>
      <c r="E115" s="80">
        <v>17713</v>
      </c>
      <c r="F115" s="142">
        <f>SUM(F110:F114)</f>
        <v>20648</v>
      </c>
      <c r="G115" s="118"/>
      <c r="H115" s="142">
        <f>SUM(H110:H114)</f>
        <v>19348</v>
      </c>
      <c r="I115" s="139"/>
      <c r="J115" s="231"/>
      <c r="K115" s="231"/>
      <c r="L115" s="231"/>
      <c r="M115" s="231"/>
      <c r="N115" s="231"/>
      <c r="O115" s="231"/>
      <c r="P115" s="231"/>
      <c r="Q115" s="231"/>
      <c r="R115" s="231"/>
      <c r="S115" s="231"/>
      <c r="T115" s="231"/>
      <c r="U115" s="231"/>
      <c r="V115" s="231"/>
      <c r="W115" s="231"/>
      <c r="X115" s="231"/>
      <c r="Y115" s="231"/>
      <c r="Z115" s="231"/>
      <c r="AA115" s="231"/>
      <c r="AB115" s="231"/>
      <c r="AC115" s="231"/>
      <c r="AD115" s="231"/>
      <c r="AE115" s="231"/>
      <c r="AF115" s="231"/>
    </row>
    <row r="116" spans="1:32" s="203" customFormat="1">
      <c r="A116" s="111"/>
      <c r="B116" s="116"/>
      <c r="C116" s="116"/>
      <c r="D116" s="116"/>
      <c r="E116" s="143"/>
      <c r="F116" s="118"/>
      <c r="G116" s="118"/>
      <c r="H116" s="118"/>
      <c r="I116" s="139"/>
      <c r="J116" s="231"/>
      <c r="K116" s="231"/>
      <c r="L116" s="231"/>
      <c r="M116" s="231"/>
      <c r="N116" s="231"/>
      <c r="O116" s="231"/>
      <c r="P116" s="231"/>
      <c r="Q116" s="231"/>
      <c r="R116" s="231"/>
      <c r="S116" s="231"/>
      <c r="T116" s="231"/>
      <c r="U116" s="231"/>
      <c r="V116" s="231"/>
      <c r="W116" s="231"/>
      <c r="X116" s="231"/>
      <c r="Y116" s="231"/>
      <c r="Z116" s="231"/>
      <c r="AA116" s="231"/>
      <c r="AB116" s="231"/>
      <c r="AC116" s="231"/>
      <c r="AD116" s="231"/>
      <c r="AE116" s="231"/>
      <c r="AF116" s="231"/>
    </row>
    <row r="117" spans="1:32" s="203" customFormat="1">
      <c r="A117" s="144" t="s">
        <v>107</v>
      </c>
      <c r="B117" s="116"/>
      <c r="C117" s="116"/>
      <c r="D117" s="116"/>
      <c r="E117" s="145"/>
      <c r="F117" s="146"/>
      <c r="G117" s="118"/>
      <c r="H117" s="146"/>
      <c r="I117" s="139"/>
      <c r="J117" s="231"/>
      <c r="K117" s="231"/>
      <c r="L117" s="231"/>
      <c r="M117" s="231"/>
      <c r="N117" s="231"/>
      <c r="O117" s="231"/>
      <c r="P117" s="231"/>
      <c r="Q117" s="231"/>
      <c r="R117" s="231"/>
      <c r="S117" s="231"/>
      <c r="T117" s="231"/>
      <c r="U117" s="231"/>
      <c r="V117" s="231"/>
      <c r="W117" s="231"/>
      <c r="X117" s="231"/>
      <c r="Y117" s="231"/>
      <c r="Z117" s="231"/>
      <c r="AA117" s="231"/>
      <c r="AB117" s="231"/>
      <c r="AC117" s="231"/>
      <c r="AD117" s="231"/>
      <c r="AE117" s="231"/>
      <c r="AF117" s="231"/>
    </row>
    <row r="118" spans="1:32" s="203" customFormat="1">
      <c r="A118" s="120">
        <v>18</v>
      </c>
      <c r="B118" s="47" t="s">
        <v>123</v>
      </c>
      <c r="C118" s="47"/>
      <c r="D118" s="47"/>
      <c r="E118" s="49">
        <v>5390</v>
      </c>
      <c r="F118" s="52">
        <v>6303</v>
      </c>
      <c r="G118" s="118"/>
      <c r="H118" s="122">
        <v>5941</v>
      </c>
      <c r="I118" s="139"/>
      <c r="J118" s="231"/>
      <c r="K118" s="231"/>
      <c r="L118" s="231"/>
      <c r="M118" s="231"/>
      <c r="N118" s="231"/>
      <c r="O118" s="231"/>
      <c r="P118" s="231"/>
      <c r="Q118" s="231"/>
      <c r="R118" s="231"/>
      <c r="S118" s="231"/>
      <c r="T118" s="231"/>
      <c r="U118" s="231"/>
      <c r="V118" s="231"/>
      <c r="W118" s="231"/>
      <c r="X118" s="231"/>
      <c r="Y118" s="231"/>
      <c r="Z118" s="231"/>
      <c r="AA118" s="231"/>
      <c r="AB118" s="231"/>
      <c r="AC118" s="231"/>
      <c r="AD118" s="231"/>
      <c r="AE118" s="231"/>
      <c r="AF118" s="231"/>
    </row>
    <row r="119" spans="1:32" s="203" customFormat="1">
      <c r="A119" s="120">
        <v>19</v>
      </c>
      <c r="B119" s="47" t="s">
        <v>124</v>
      </c>
      <c r="C119" s="47"/>
      <c r="D119" s="47"/>
      <c r="E119" s="49">
        <v>18047</v>
      </c>
      <c r="F119" s="52">
        <v>16740</v>
      </c>
      <c r="G119" s="118"/>
      <c r="H119" s="122">
        <v>17042</v>
      </c>
      <c r="I119" s="139"/>
      <c r="J119" s="231"/>
      <c r="K119" s="231"/>
      <c r="L119" s="231"/>
      <c r="M119" s="231"/>
      <c r="N119" s="231"/>
      <c r="O119" s="231"/>
      <c r="P119" s="231"/>
      <c r="Q119" s="231"/>
      <c r="R119" s="231"/>
      <c r="S119" s="231"/>
      <c r="T119" s="231"/>
      <c r="U119" s="231"/>
      <c r="V119" s="231"/>
      <c r="W119" s="231"/>
      <c r="X119" s="231"/>
      <c r="Y119" s="231"/>
      <c r="Z119" s="231"/>
      <c r="AA119" s="231"/>
      <c r="AB119" s="231"/>
      <c r="AC119" s="231"/>
      <c r="AD119" s="231"/>
      <c r="AE119" s="231"/>
      <c r="AF119" s="231"/>
    </row>
    <row r="120" spans="1:32" s="203" customFormat="1">
      <c r="A120" s="120">
        <v>20</v>
      </c>
      <c r="B120" s="47" t="s">
        <v>119</v>
      </c>
      <c r="C120" s="47"/>
      <c r="D120" s="47"/>
      <c r="E120" s="49">
        <v>9699</v>
      </c>
      <c r="F120" s="52">
        <v>8843</v>
      </c>
      <c r="G120" s="118"/>
      <c r="H120" s="122">
        <v>10082</v>
      </c>
      <c r="I120" s="139"/>
      <c r="J120" s="231"/>
      <c r="K120" s="231"/>
      <c r="L120" s="231"/>
      <c r="M120" s="231"/>
      <c r="N120" s="231"/>
      <c r="O120" s="231"/>
      <c r="P120" s="231"/>
      <c r="Q120" s="231"/>
      <c r="R120" s="231"/>
      <c r="S120" s="231"/>
      <c r="T120" s="231"/>
      <c r="U120" s="231"/>
      <c r="V120" s="231"/>
      <c r="W120" s="231"/>
      <c r="X120" s="231"/>
      <c r="Y120" s="231"/>
      <c r="Z120" s="231"/>
      <c r="AA120" s="231"/>
      <c r="AB120" s="231"/>
      <c r="AC120" s="231"/>
      <c r="AD120" s="231"/>
      <c r="AE120" s="231"/>
      <c r="AF120" s="231"/>
    </row>
    <row r="121" spans="1:32" s="203" customFormat="1">
      <c r="A121" s="120">
        <v>21</v>
      </c>
      <c r="B121" s="47" t="s">
        <v>120</v>
      </c>
      <c r="C121" s="47"/>
      <c r="D121" s="47"/>
      <c r="E121" s="49">
        <v>1871</v>
      </c>
      <c r="F121" s="52">
        <v>1743</v>
      </c>
      <c r="G121" s="118"/>
      <c r="H121" s="122">
        <v>1770</v>
      </c>
      <c r="I121" s="139"/>
      <c r="J121" s="231"/>
      <c r="K121" s="231"/>
      <c r="L121" s="231"/>
      <c r="M121" s="231"/>
      <c r="N121" s="231"/>
      <c r="O121" s="231"/>
      <c r="P121" s="231"/>
      <c r="Q121" s="231"/>
      <c r="R121" s="231"/>
      <c r="S121" s="231"/>
      <c r="T121" s="231"/>
      <c r="U121" s="231"/>
      <c r="V121" s="231"/>
      <c r="W121" s="231"/>
      <c r="X121" s="231"/>
      <c r="Y121" s="231"/>
      <c r="Z121" s="231"/>
      <c r="AA121" s="231"/>
      <c r="AB121" s="231"/>
      <c r="AC121" s="231"/>
      <c r="AD121" s="231"/>
      <c r="AE121" s="231"/>
      <c r="AF121" s="231"/>
    </row>
    <row r="122" spans="1:32" s="203" customFormat="1">
      <c r="A122" s="120">
        <v>22</v>
      </c>
      <c r="B122" s="47" t="s">
        <v>125</v>
      </c>
      <c r="C122" s="47"/>
      <c r="D122" s="47"/>
      <c r="E122" s="49">
        <v>503</v>
      </c>
      <c r="F122" s="52">
        <v>432</v>
      </c>
      <c r="G122" s="118"/>
      <c r="H122" s="122">
        <v>499</v>
      </c>
      <c r="I122" s="139"/>
      <c r="J122" s="231"/>
      <c r="K122" s="231"/>
      <c r="L122" s="231"/>
      <c r="M122" s="231"/>
      <c r="N122" s="231"/>
      <c r="O122" s="231"/>
      <c r="P122" s="231"/>
      <c r="Q122" s="231"/>
      <c r="R122" s="231"/>
      <c r="S122" s="231"/>
      <c r="T122" s="231"/>
      <c r="U122" s="231"/>
      <c r="V122" s="231"/>
      <c r="W122" s="231"/>
      <c r="X122" s="231"/>
      <c r="Y122" s="231"/>
      <c r="Z122" s="231"/>
      <c r="AA122" s="231"/>
      <c r="AB122" s="231"/>
      <c r="AC122" s="231"/>
      <c r="AD122" s="231"/>
      <c r="AE122" s="231"/>
      <c r="AF122" s="231"/>
    </row>
    <row r="123" spans="1:32" s="203" customFormat="1">
      <c r="A123" s="120">
        <v>23</v>
      </c>
      <c r="B123" s="90" t="s">
        <v>126</v>
      </c>
      <c r="C123" s="47"/>
      <c r="D123" s="47"/>
      <c r="E123" s="49">
        <v>1590</v>
      </c>
      <c r="F123" s="52">
        <v>1680</v>
      </c>
      <c r="G123" s="118"/>
      <c r="H123" s="99">
        <v>1618</v>
      </c>
      <c r="I123" s="139"/>
      <c r="J123" s="231"/>
      <c r="K123" s="231"/>
      <c r="L123" s="231"/>
      <c r="M123" s="231"/>
      <c r="N123" s="231"/>
      <c r="O123" s="231"/>
      <c r="P123" s="231"/>
      <c r="Q123" s="231"/>
      <c r="R123" s="231"/>
      <c r="S123" s="231"/>
      <c r="T123" s="231"/>
      <c r="U123" s="231"/>
      <c r="V123" s="231"/>
      <c r="W123" s="231"/>
      <c r="X123" s="231"/>
      <c r="Y123" s="231"/>
      <c r="Z123" s="231"/>
      <c r="AA123" s="231"/>
      <c r="AB123" s="231"/>
      <c r="AC123" s="231"/>
      <c r="AD123" s="231"/>
      <c r="AE123" s="231"/>
      <c r="AF123" s="231"/>
    </row>
    <row r="124" spans="1:32" s="203" customFormat="1">
      <c r="A124" s="120">
        <v>24</v>
      </c>
      <c r="B124" s="47" t="s">
        <v>121</v>
      </c>
      <c r="C124" s="47"/>
      <c r="D124" s="47"/>
      <c r="E124" s="49">
        <v>503</v>
      </c>
      <c r="F124" s="52">
        <v>501</v>
      </c>
      <c r="G124" s="118"/>
      <c r="H124" s="100">
        <v>496</v>
      </c>
      <c r="I124" s="139"/>
      <c r="J124" s="231"/>
      <c r="K124" s="231"/>
      <c r="L124" s="231"/>
      <c r="M124" s="231"/>
      <c r="N124" s="231"/>
      <c r="O124" s="231"/>
      <c r="P124" s="231"/>
      <c r="Q124" s="231"/>
      <c r="R124" s="231"/>
      <c r="S124" s="231"/>
      <c r="T124" s="231"/>
      <c r="U124" s="231"/>
      <c r="V124" s="231"/>
      <c r="W124" s="231"/>
      <c r="X124" s="231"/>
      <c r="Y124" s="231"/>
      <c r="Z124" s="231"/>
      <c r="AA124" s="231"/>
      <c r="AB124" s="231"/>
      <c r="AC124" s="231"/>
      <c r="AD124" s="231"/>
      <c r="AE124" s="231"/>
      <c r="AF124" s="231"/>
    </row>
    <row r="125" spans="1:32" s="203" customFormat="1">
      <c r="A125" s="120">
        <v>25</v>
      </c>
      <c r="B125" s="147" t="s">
        <v>127</v>
      </c>
      <c r="C125" s="147"/>
      <c r="D125" s="147"/>
      <c r="E125" s="80">
        <v>37603</v>
      </c>
      <c r="F125" s="142">
        <f>SUM(F118:F124)</f>
        <v>36242</v>
      </c>
      <c r="G125" s="118"/>
      <c r="H125" s="142">
        <f>SUM(H118:H124)</f>
        <v>37448</v>
      </c>
      <c r="I125" s="139"/>
      <c r="J125" s="231"/>
      <c r="K125" s="231"/>
      <c r="L125" s="231"/>
      <c r="M125" s="231"/>
      <c r="N125" s="231"/>
      <c r="O125" s="231"/>
      <c r="P125" s="231"/>
      <c r="Q125" s="231"/>
      <c r="R125" s="231"/>
      <c r="S125" s="231"/>
      <c r="T125" s="231"/>
      <c r="U125" s="231"/>
      <c r="V125" s="231"/>
      <c r="W125" s="231"/>
      <c r="X125" s="231"/>
      <c r="Y125" s="231"/>
      <c r="Z125" s="231"/>
      <c r="AA125" s="231"/>
      <c r="AB125" s="231"/>
      <c r="AC125" s="231"/>
      <c r="AD125" s="231"/>
      <c r="AE125" s="231"/>
      <c r="AF125" s="231"/>
    </row>
    <row r="126" spans="1:32" s="203" customFormat="1">
      <c r="A126" s="111"/>
      <c r="B126" s="47"/>
      <c r="C126" s="47"/>
      <c r="D126" s="47"/>
      <c r="E126" s="117"/>
      <c r="F126" s="118"/>
      <c r="G126" s="118"/>
      <c r="H126" s="118"/>
      <c r="I126" s="139"/>
      <c r="J126" s="231"/>
      <c r="K126" s="231"/>
      <c r="L126" s="231"/>
      <c r="M126" s="231"/>
      <c r="N126" s="231"/>
      <c r="O126" s="231"/>
      <c r="P126" s="231"/>
      <c r="Q126" s="231"/>
      <c r="R126" s="231"/>
      <c r="S126" s="231"/>
      <c r="T126" s="231"/>
      <c r="U126" s="231"/>
      <c r="V126" s="231"/>
      <c r="W126" s="231"/>
      <c r="X126" s="231"/>
      <c r="Y126" s="231"/>
      <c r="Z126" s="231"/>
      <c r="AA126" s="231"/>
      <c r="AB126" s="231"/>
      <c r="AC126" s="231"/>
      <c r="AD126" s="231"/>
      <c r="AE126" s="231"/>
      <c r="AF126" s="231"/>
    </row>
    <row r="127" spans="1:32" s="203" customFormat="1">
      <c r="A127" s="119" t="s">
        <v>108</v>
      </c>
      <c r="B127" s="147"/>
      <c r="C127" s="147"/>
      <c r="D127" s="147"/>
      <c r="E127" s="140"/>
      <c r="F127" s="146"/>
      <c r="G127" s="118"/>
      <c r="H127" s="146"/>
      <c r="I127" s="139"/>
      <c r="J127" s="231"/>
      <c r="K127" s="231"/>
      <c r="L127" s="231"/>
      <c r="M127" s="231"/>
      <c r="N127" s="231"/>
      <c r="O127" s="231"/>
      <c r="P127" s="231"/>
      <c r="Q127" s="231"/>
      <c r="R127" s="231"/>
      <c r="S127" s="231"/>
      <c r="T127" s="231"/>
      <c r="U127" s="231"/>
      <c r="V127" s="231"/>
      <c r="W127" s="231"/>
      <c r="X127" s="231"/>
      <c r="Y127" s="231"/>
      <c r="Z127" s="231"/>
      <c r="AA127" s="231"/>
      <c r="AB127" s="231"/>
      <c r="AC127" s="231"/>
      <c r="AD127" s="231"/>
      <c r="AE127" s="231"/>
      <c r="AF127" s="231"/>
    </row>
    <row r="128" spans="1:32" s="203" customFormat="1">
      <c r="A128" s="120">
        <v>26</v>
      </c>
      <c r="B128" s="47" t="s">
        <v>123</v>
      </c>
      <c r="C128" s="47"/>
      <c r="D128" s="47"/>
      <c r="E128" s="74">
        <v>907</v>
      </c>
      <c r="F128" s="52">
        <v>1021</v>
      </c>
      <c r="G128" s="118"/>
      <c r="H128" s="122">
        <v>956</v>
      </c>
      <c r="I128" s="139"/>
      <c r="J128" s="231"/>
      <c r="K128" s="231"/>
      <c r="L128" s="231"/>
      <c r="M128" s="231"/>
      <c r="N128" s="231"/>
      <c r="O128" s="231"/>
      <c r="P128" s="231"/>
      <c r="Q128" s="231"/>
      <c r="R128" s="231"/>
      <c r="S128" s="231"/>
      <c r="T128" s="231"/>
      <c r="U128" s="231"/>
      <c r="V128" s="231"/>
      <c r="W128" s="231"/>
      <c r="X128" s="231"/>
      <c r="Y128" s="231"/>
      <c r="Z128" s="231"/>
      <c r="AA128" s="231"/>
      <c r="AB128" s="231"/>
      <c r="AC128" s="231"/>
      <c r="AD128" s="231"/>
      <c r="AE128" s="231"/>
      <c r="AF128" s="231"/>
    </row>
    <row r="129" spans="1:32" s="203" customFormat="1">
      <c r="A129" s="120">
        <v>27</v>
      </c>
      <c r="B129" s="47" t="s">
        <v>124</v>
      </c>
      <c r="C129" s="47"/>
      <c r="D129" s="47"/>
      <c r="E129" s="49">
        <v>2868</v>
      </c>
      <c r="F129" s="52">
        <v>2748</v>
      </c>
      <c r="G129" s="118"/>
      <c r="H129" s="122">
        <v>2570</v>
      </c>
      <c r="I129" s="139"/>
      <c r="J129" s="231"/>
      <c r="K129" s="231"/>
      <c r="L129" s="231"/>
      <c r="M129" s="231"/>
      <c r="N129" s="231"/>
      <c r="O129" s="231"/>
      <c r="P129" s="231"/>
      <c r="Q129" s="231"/>
      <c r="R129" s="231"/>
      <c r="S129" s="231"/>
      <c r="T129" s="231"/>
      <c r="U129" s="231"/>
      <c r="V129" s="231"/>
      <c r="W129" s="231"/>
      <c r="X129" s="231"/>
      <c r="Y129" s="231"/>
      <c r="Z129" s="231"/>
      <c r="AA129" s="231"/>
      <c r="AB129" s="231"/>
      <c r="AC129" s="231"/>
      <c r="AD129" s="231"/>
      <c r="AE129" s="231"/>
      <c r="AF129" s="231"/>
    </row>
    <row r="130" spans="1:32" s="203" customFormat="1">
      <c r="A130" s="120">
        <v>28</v>
      </c>
      <c r="B130" s="47" t="s">
        <v>119</v>
      </c>
      <c r="C130" s="47"/>
      <c r="D130" s="47"/>
      <c r="E130" s="49">
        <v>950</v>
      </c>
      <c r="F130" s="52">
        <v>568</v>
      </c>
      <c r="G130" s="118"/>
      <c r="H130" s="122">
        <v>492</v>
      </c>
      <c r="I130" s="139"/>
      <c r="J130" s="231"/>
      <c r="K130" s="231"/>
      <c r="L130" s="231"/>
      <c r="M130" s="231"/>
      <c r="N130" s="231"/>
      <c r="O130" s="231"/>
      <c r="P130" s="231"/>
      <c r="Q130" s="231"/>
      <c r="R130" s="231"/>
      <c r="S130" s="231"/>
      <c r="T130" s="231"/>
      <c r="U130" s="231"/>
      <c r="V130" s="231"/>
      <c r="W130" s="231"/>
      <c r="X130" s="231"/>
      <c r="Y130" s="231"/>
      <c r="Z130" s="231"/>
      <c r="AA130" s="231"/>
      <c r="AB130" s="231"/>
      <c r="AC130" s="231"/>
      <c r="AD130" s="231"/>
      <c r="AE130" s="231"/>
      <c r="AF130" s="231"/>
    </row>
    <row r="131" spans="1:32" s="203" customFormat="1">
      <c r="A131" s="120">
        <v>29</v>
      </c>
      <c r="B131" s="47" t="s">
        <v>120</v>
      </c>
      <c r="C131" s="47"/>
      <c r="D131" s="47"/>
      <c r="E131" s="49">
        <v>162</v>
      </c>
      <c r="F131" s="52">
        <v>156</v>
      </c>
      <c r="G131" s="118"/>
      <c r="H131" s="122">
        <v>159</v>
      </c>
      <c r="I131" s="139"/>
      <c r="J131" s="231"/>
      <c r="K131" s="231"/>
      <c r="L131" s="231"/>
      <c r="M131" s="231"/>
      <c r="N131" s="231"/>
      <c r="O131" s="231"/>
      <c r="P131" s="231"/>
      <c r="Q131" s="231"/>
      <c r="R131" s="231"/>
      <c r="S131" s="231"/>
      <c r="T131" s="231"/>
      <c r="U131" s="231"/>
      <c r="V131" s="231"/>
      <c r="W131" s="231"/>
      <c r="X131" s="231"/>
      <c r="Y131" s="231"/>
      <c r="Z131" s="231"/>
      <c r="AA131" s="231"/>
      <c r="AB131" s="231"/>
      <c r="AC131" s="231"/>
      <c r="AD131" s="231"/>
      <c r="AE131" s="231"/>
      <c r="AF131" s="231"/>
    </row>
    <row r="132" spans="1:32" s="203" customFormat="1">
      <c r="A132" s="120">
        <v>30</v>
      </c>
      <c r="B132" s="47" t="s">
        <v>125</v>
      </c>
      <c r="C132" s="47"/>
      <c r="D132" s="47"/>
      <c r="E132" s="49">
        <v>122</v>
      </c>
      <c r="F132" s="52">
        <v>106</v>
      </c>
      <c r="G132" s="118"/>
      <c r="H132" s="122">
        <v>123</v>
      </c>
      <c r="I132" s="139"/>
      <c r="J132" s="231"/>
      <c r="K132" s="231"/>
      <c r="L132" s="231"/>
      <c r="M132" s="231"/>
      <c r="N132" s="231"/>
      <c r="O132" s="231"/>
      <c r="P132" s="231"/>
      <c r="Q132" s="231"/>
      <c r="R132" s="231"/>
      <c r="S132" s="231"/>
      <c r="T132" s="231"/>
      <c r="U132" s="231"/>
      <c r="V132" s="231"/>
      <c r="W132" s="231"/>
      <c r="X132" s="231"/>
      <c r="Y132" s="231"/>
      <c r="Z132" s="231"/>
      <c r="AA132" s="231"/>
      <c r="AB132" s="231"/>
      <c r="AC132" s="231"/>
      <c r="AD132" s="231"/>
      <c r="AE132" s="231"/>
      <c r="AF132" s="231"/>
    </row>
    <row r="133" spans="1:32" s="203" customFormat="1">
      <c r="A133" s="120">
        <v>31</v>
      </c>
      <c r="B133" s="90" t="s">
        <v>126</v>
      </c>
      <c r="C133" s="47"/>
      <c r="D133" s="47"/>
      <c r="E133" s="49">
        <v>1884</v>
      </c>
      <c r="F133" s="52">
        <v>2217</v>
      </c>
      <c r="G133" s="118"/>
      <c r="H133" s="122">
        <v>2064</v>
      </c>
      <c r="I133" s="139"/>
      <c r="J133" s="231"/>
      <c r="K133" s="231"/>
      <c r="L133" s="231"/>
      <c r="M133" s="231"/>
      <c r="N133" s="231"/>
      <c r="O133" s="231"/>
      <c r="P133" s="231"/>
      <c r="Q133" s="231"/>
      <c r="R133" s="231"/>
      <c r="S133" s="231"/>
      <c r="T133" s="231"/>
      <c r="U133" s="231"/>
      <c r="V133" s="231"/>
      <c r="W133" s="231"/>
      <c r="X133" s="231"/>
      <c r="Y133" s="231"/>
      <c r="Z133" s="231"/>
      <c r="AA133" s="231"/>
      <c r="AB133" s="231"/>
      <c r="AC133" s="231"/>
      <c r="AD133" s="231"/>
      <c r="AE133" s="231"/>
      <c r="AF133" s="231"/>
    </row>
    <row r="134" spans="1:32" s="203" customFormat="1">
      <c r="A134" s="120">
        <v>32</v>
      </c>
      <c r="B134" s="47" t="s">
        <v>121</v>
      </c>
      <c r="C134" s="47"/>
      <c r="D134" s="47"/>
      <c r="E134" s="49">
        <v>346</v>
      </c>
      <c r="F134" s="52">
        <v>346</v>
      </c>
      <c r="G134" s="118"/>
      <c r="H134" s="100">
        <v>343</v>
      </c>
      <c r="I134" s="139"/>
      <c r="J134" s="231"/>
      <c r="K134" s="231"/>
      <c r="L134" s="231"/>
      <c r="M134" s="231"/>
      <c r="N134" s="231"/>
      <c r="O134" s="231"/>
      <c r="P134" s="231"/>
      <c r="Q134" s="231"/>
      <c r="R134" s="231"/>
      <c r="S134" s="231"/>
      <c r="T134" s="231"/>
      <c r="U134" s="231"/>
      <c r="V134" s="231"/>
      <c r="W134" s="231"/>
      <c r="X134" s="231"/>
      <c r="Y134" s="231"/>
      <c r="Z134" s="231"/>
      <c r="AA134" s="231"/>
      <c r="AB134" s="231"/>
      <c r="AC134" s="231"/>
      <c r="AD134" s="231"/>
      <c r="AE134" s="231"/>
      <c r="AF134" s="231"/>
    </row>
    <row r="135" spans="1:32" s="203" customFormat="1">
      <c r="A135" s="120">
        <v>33</v>
      </c>
      <c r="B135" s="116" t="s">
        <v>128</v>
      </c>
      <c r="C135" s="116"/>
      <c r="D135" s="116"/>
      <c r="E135" s="80">
        <v>7239</v>
      </c>
      <c r="F135" s="142">
        <f>SUM(F128:F134)</f>
        <v>7162</v>
      </c>
      <c r="G135" s="118"/>
      <c r="H135" s="142">
        <f>SUM(H128:H134)</f>
        <v>6707</v>
      </c>
      <c r="I135" s="139"/>
      <c r="J135" s="231"/>
      <c r="K135" s="231"/>
      <c r="L135" s="231"/>
      <c r="M135" s="231"/>
      <c r="N135" s="231"/>
      <c r="O135" s="231"/>
      <c r="P135" s="231"/>
      <c r="Q135" s="231"/>
      <c r="R135" s="231"/>
      <c r="S135" s="231"/>
      <c r="T135" s="231"/>
      <c r="U135" s="231"/>
      <c r="V135" s="231"/>
      <c r="W135" s="231"/>
      <c r="X135" s="231"/>
      <c r="Y135" s="231"/>
      <c r="Z135" s="231"/>
      <c r="AA135" s="231"/>
      <c r="AB135" s="231"/>
      <c r="AC135" s="231"/>
      <c r="AD135" s="231"/>
      <c r="AE135" s="231"/>
      <c r="AF135" s="231"/>
    </row>
    <row r="136" spans="1:32" s="203" customFormat="1">
      <c r="A136" s="111"/>
      <c r="B136" s="47"/>
      <c r="C136" s="47"/>
      <c r="D136" s="138"/>
      <c r="E136" s="117"/>
      <c r="F136" s="118"/>
      <c r="G136" s="118"/>
      <c r="H136" s="118"/>
      <c r="I136" s="139"/>
      <c r="J136" s="231"/>
      <c r="K136" s="231"/>
      <c r="L136" s="231"/>
      <c r="M136" s="231"/>
      <c r="N136" s="231"/>
      <c r="O136" s="231"/>
      <c r="P136" s="231"/>
      <c r="Q136" s="231"/>
      <c r="R136" s="231"/>
      <c r="S136" s="231"/>
      <c r="T136" s="231"/>
      <c r="U136" s="231"/>
      <c r="V136" s="231"/>
      <c r="W136" s="231"/>
      <c r="X136" s="231"/>
      <c r="Y136" s="231"/>
      <c r="Z136" s="231"/>
      <c r="AA136" s="231"/>
      <c r="AB136" s="231"/>
      <c r="AC136" s="231"/>
      <c r="AD136" s="231"/>
      <c r="AE136" s="231"/>
      <c r="AF136" s="231"/>
    </row>
    <row r="137" spans="1:32" s="203" customFormat="1">
      <c r="A137" s="119" t="s">
        <v>109</v>
      </c>
      <c r="B137" s="116"/>
      <c r="C137" s="116"/>
      <c r="D137" s="116"/>
      <c r="E137" s="140"/>
      <c r="F137" s="146"/>
      <c r="G137" s="118"/>
      <c r="H137" s="146"/>
      <c r="I137" s="139"/>
      <c r="J137" s="231"/>
      <c r="K137" s="231"/>
      <c r="L137" s="231"/>
      <c r="M137" s="231"/>
      <c r="N137" s="231"/>
      <c r="O137" s="231"/>
      <c r="P137" s="231"/>
      <c r="Q137" s="231"/>
      <c r="R137" s="231"/>
      <c r="S137" s="231"/>
      <c r="T137" s="231"/>
      <c r="U137" s="231"/>
      <c r="V137" s="231"/>
      <c r="W137" s="231"/>
      <c r="X137" s="231"/>
      <c r="Y137" s="231"/>
      <c r="Z137" s="231"/>
      <c r="AA137" s="231"/>
      <c r="AB137" s="231"/>
      <c r="AC137" s="231"/>
      <c r="AD137" s="231"/>
      <c r="AE137" s="231"/>
      <c r="AF137" s="231"/>
    </row>
    <row r="138" spans="1:32" s="203" customFormat="1">
      <c r="A138" s="120">
        <v>34</v>
      </c>
      <c r="B138" s="47" t="s">
        <v>123</v>
      </c>
      <c r="C138" s="47"/>
      <c r="D138" s="47"/>
      <c r="E138" s="49">
        <v>1127</v>
      </c>
      <c r="F138" s="52">
        <v>1555</v>
      </c>
      <c r="G138" s="118"/>
      <c r="H138" s="122">
        <v>1441</v>
      </c>
      <c r="I138" s="139"/>
      <c r="J138" s="231"/>
      <c r="K138" s="231"/>
      <c r="L138" s="231"/>
      <c r="M138" s="231"/>
      <c r="N138" s="231"/>
      <c r="O138" s="231"/>
      <c r="P138" s="231"/>
      <c r="Q138" s="231"/>
      <c r="R138" s="231"/>
      <c r="S138" s="231"/>
      <c r="T138" s="231"/>
      <c r="U138" s="231"/>
      <c r="V138" s="231"/>
      <c r="W138" s="231"/>
      <c r="X138" s="231"/>
      <c r="Y138" s="231"/>
      <c r="Z138" s="231"/>
      <c r="AA138" s="231"/>
      <c r="AB138" s="231"/>
      <c r="AC138" s="231"/>
      <c r="AD138" s="231"/>
      <c r="AE138" s="231"/>
      <c r="AF138" s="231"/>
    </row>
    <row r="139" spans="1:32" s="203" customFormat="1">
      <c r="A139" s="120">
        <v>35</v>
      </c>
      <c r="B139" s="47" t="s">
        <v>119</v>
      </c>
      <c r="C139" s="47"/>
      <c r="D139" s="47"/>
      <c r="E139" s="49">
        <v>3466</v>
      </c>
      <c r="F139" s="52">
        <v>1508</v>
      </c>
      <c r="G139" s="118"/>
      <c r="H139" s="122">
        <v>1838</v>
      </c>
      <c r="I139" s="139"/>
      <c r="J139" s="231"/>
      <c r="K139" s="231"/>
      <c r="L139" s="231"/>
      <c r="M139" s="231"/>
      <c r="N139" s="231"/>
      <c r="O139" s="231"/>
      <c r="P139" s="231"/>
      <c r="Q139" s="231"/>
      <c r="R139" s="231"/>
      <c r="S139" s="231"/>
      <c r="T139" s="231"/>
      <c r="U139" s="231"/>
      <c r="V139" s="231"/>
      <c r="W139" s="231"/>
      <c r="X139" s="231"/>
      <c r="Y139" s="231"/>
      <c r="Z139" s="231"/>
      <c r="AA139" s="231"/>
      <c r="AB139" s="231"/>
      <c r="AC139" s="231"/>
      <c r="AD139" s="231"/>
      <c r="AE139" s="231"/>
      <c r="AF139" s="231"/>
    </row>
    <row r="140" spans="1:32" s="203" customFormat="1">
      <c r="A140" s="120">
        <v>36</v>
      </c>
      <c r="B140" s="47" t="s">
        <v>120</v>
      </c>
      <c r="C140" s="47"/>
      <c r="D140" s="47"/>
      <c r="E140" s="49">
        <v>2986</v>
      </c>
      <c r="F140" s="52">
        <v>3032</v>
      </c>
      <c r="G140" s="118"/>
      <c r="H140" s="122">
        <v>3326</v>
      </c>
      <c r="I140" s="139"/>
      <c r="J140" s="231"/>
      <c r="K140" s="231"/>
      <c r="L140" s="231"/>
      <c r="M140" s="231"/>
      <c r="N140" s="231"/>
      <c r="O140" s="231"/>
      <c r="P140" s="231"/>
      <c r="Q140" s="231"/>
      <c r="R140" s="231"/>
      <c r="S140" s="231"/>
      <c r="T140" s="231"/>
      <c r="U140" s="231"/>
      <c r="V140" s="231"/>
      <c r="W140" s="231"/>
      <c r="X140" s="231"/>
      <c r="Y140" s="231"/>
      <c r="Z140" s="231"/>
      <c r="AA140" s="231"/>
      <c r="AB140" s="231"/>
      <c r="AC140" s="231"/>
      <c r="AD140" s="231"/>
      <c r="AE140" s="231"/>
      <c r="AF140" s="231"/>
    </row>
    <row r="141" spans="1:32" s="203" customFormat="1">
      <c r="A141" s="120">
        <v>37</v>
      </c>
      <c r="B141" s="90" t="s">
        <v>126</v>
      </c>
      <c r="C141" s="47"/>
      <c r="D141" s="47"/>
      <c r="E141" s="49">
        <v>1506</v>
      </c>
      <c r="F141" s="52">
        <v>1582</v>
      </c>
      <c r="G141" s="118"/>
      <c r="H141" s="99">
        <v>1520</v>
      </c>
      <c r="I141" s="139"/>
      <c r="J141" s="231"/>
      <c r="K141" s="231"/>
      <c r="L141" s="231"/>
      <c r="M141" s="231"/>
      <c r="N141" s="231"/>
      <c r="O141" s="231"/>
      <c r="P141" s="231"/>
      <c r="Q141" s="231"/>
      <c r="R141" s="231"/>
      <c r="S141" s="231"/>
      <c r="T141" s="231"/>
      <c r="U141" s="231"/>
      <c r="V141" s="231"/>
      <c r="W141" s="231"/>
      <c r="X141" s="231"/>
      <c r="Y141" s="231"/>
      <c r="Z141" s="231"/>
      <c r="AA141" s="231"/>
      <c r="AB141" s="231"/>
      <c r="AC141" s="231"/>
      <c r="AD141" s="231"/>
      <c r="AE141" s="231"/>
      <c r="AF141" s="231"/>
    </row>
    <row r="142" spans="1:32" s="203" customFormat="1">
      <c r="A142" s="120">
        <v>38</v>
      </c>
      <c r="B142" s="47" t="s">
        <v>121</v>
      </c>
      <c r="C142" s="47"/>
      <c r="D142" s="47"/>
      <c r="E142" s="49">
        <v>9568</v>
      </c>
      <c r="F142" s="52">
        <v>13292</v>
      </c>
      <c r="G142" s="118"/>
      <c r="H142" s="100">
        <v>12725</v>
      </c>
      <c r="I142" s="139"/>
      <c r="J142" s="231"/>
      <c r="K142" s="231"/>
      <c r="L142" s="231"/>
      <c r="M142" s="231"/>
      <c r="N142" s="231"/>
      <c r="O142" s="231"/>
      <c r="P142" s="231"/>
      <c r="Q142" s="231"/>
      <c r="R142" s="231"/>
      <c r="S142" s="231"/>
      <c r="T142" s="231"/>
      <c r="U142" s="231"/>
      <c r="V142" s="231"/>
      <c r="W142" s="231"/>
      <c r="X142" s="231"/>
      <c r="Y142" s="231"/>
      <c r="Z142" s="231"/>
      <c r="AA142" s="231"/>
      <c r="AB142" s="231"/>
      <c r="AC142" s="231"/>
      <c r="AD142" s="231"/>
      <c r="AE142" s="231"/>
      <c r="AF142" s="231"/>
    </row>
    <row r="143" spans="1:32" s="203" customFormat="1">
      <c r="A143" s="120">
        <v>39</v>
      </c>
      <c r="B143" s="116" t="s">
        <v>129</v>
      </c>
      <c r="C143" s="116"/>
      <c r="D143" s="116"/>
      <c r="E143" s="80">
        <v>18653</v>
      </c>
      <c r="F143" s="142">
        <f>SUM(F138:F142)</f>
        <v>20969</v>
      </c>
      <c r="G143" s="118"/>
      <c r="H143" s="142">
        <f>SUM(H138:H142)</f>
        <v>20850</v>
      </c>
      <c r="I143" s="139"/>
      <c r="J143" s="231"/>
      <c r="K143" s="231"/>
      <c r="L143" s="231"/>
      <c r="M143" s="231"/>
      <c r="N143" s="231"/>
      <c r="O143" s="231"/>
      <c r="P143" s="231"/>
      <c r="Q143" s="231"/>
      <c r="R143" s="231"/>
      <c r="S143" s="231"/>
      <c r="T143" s="231"/>
      <c r="U143" s="231"/>
      <c r="V143" s="231"/>
      <c r="W143" s="231"/>
      <c r="X143" s="231"/>
      <c r="Y143" s="231"/>
      <c r="Z143" s="231"/>
      <c r="AA143" s="231"/>
      <c r="AB143" s="231"/>
      <c r="AC143" s="231"/>
      <c r="AD143" s="231"/>
      <c r="AE143" s="231"/>
      <c r="AF143" s="231"/>
    </row>
    <row r="144" spans="1:32" s="203" customFormat="1">
      <c r="A144" s="111"/>
      <c r="B144" s="47"/>
      <c r="C144" s="47"/>
      <c r="D144" s="47"/>
      <c r="E144" s="117"/>
      <c r="F144" s="118"/>
      <c r="G144" s="118"/>
      <c r="H144" s="118"/>
      <c r="I144" s="139"/>
      <c r="J144" s="231"/>
      <c r="K144" s="231"/>
      <c r="L144" s="231"/>
      <c r="M144" s="231"/>
      <c r="N144" s="231"/>
      <c r="O144" s="231"/>
      <c r="P144" s="231"/>
      <c r="Q144" s="231"/>
      <c r="R144" s="231"/>
      <c r="S144" s="231"/>
      <c r="T144" s="231"/>
      <c r="U144" s="231"/>
      <c r="V144" s="231"/>
      <c r="W144" s="231"/>
      <c r="X144" s="231"/>
      <c r="Y144" s="231"/>
      <c r="Z144" s="231"/>
      <c r="AA144" s="231"/>
      <c r="AB144" s="231"/>
      <c r="AC144" s="231"/>
      <c r="AD144" s="231"/>
      <c r="AE144" s="231"/>
      <c r="AF144" s="231"/>
    </row>
    <row r="145" spans="1:32" s="203" customFormat="1">
      <c r="A145" s="119" t="s">
        <v>110</v>
      </c>
      <c r="B145" s="116"/>
      <c r="C145" s="116"/>
      <c r="D145" s="116"/>
      <c r="E145" s="140"/>
      <c r="F145" s="146"/>
      <c r="G145" s="118"/>
      <c r="H145" s="146"/>
      <c r="I145" s="139"/>
      <c r="J145" s="231"/>
      <c r="K145" s="231"/>
      <c r="L145" s="231"/>
      <c r="M145" s="231"/>
      <c r="N145" s="231"/>
      <c r="O145" s="231"/>
      <c r="P145" s="231"/>
      <c r="Q145" s="231"/>
      <c r="R145" s="231"/>
      <c r="S145" s="231"/>
      <c r="T145" s="231"/>
      <c r="U145" s="231"/>
      <c r="V145" s="231"/>
      <c r="W145" s="231"/>
      <c r="X145" s="231"/>
      <c r="Y145" s="231"/>
      <c r="Z145" s="231"/>
      <c r="AA145" s="231"/>
      <c r="AB145" s="231"/>
      <c r="AC145" s="231"/>
      <c r="AD145" s="231"/>
      <c r="AE145" s="231"/>
      <c r="AF145" s="231"/>
    </row>
    <row r="146" spans="1:32" s="203" customFormat="1">
      <c r="A146" s="120">
        <v>40</v>
      </c>
      <c r="B146" s="47" t="s">
        <v>123</v>
      </c>
      <c r="C146" s="47"/>
      <c r="D146" s="47"/>
      <c r="E146" s="49">
        <v>1310</v>
      </c>
      <c r="F146" s="52">
        <v>1425</v>
      </c>
      <c r="G146" s="118"/>
      <c r="H146" s="122">
        <v>1357</v>
      </c>
      <c r="I146" s="139"/>
      <c r="J146" s="231"/>
      <c r="K146" s="231"/>
      <c r="L146" s="231"/>
      <c r="M146" s="231"/>
      <c r="N146" s="231"/>
      <c r="O146" s="231"/>
      <c r="P146" s="231"/>
      <c r="Q146" s="231"/>
      <c r="R146" s="231"/>
      <c r="S146" s="231"/>
      <c r="T146" s="231"/>
      <c r="U146" s="231"/>
      <c r="V146" s="231"/>
      <c r="W146" s="231"/>
      <c r="X146" s="231"/>
      <c r="Y146" s="231"/>
      <c r="Z146" s="231"/>
      <c r="AA146" s="231"/>
      <c r="AB146" s="231"/>
      <c r="AC146" s="231"/>
      <c r="AD146" s="231"/>
      <c r="AE146" s="231"/>
      <c r="AF146" s="231"/>
    </row>
    <row r="147" spans="1:32" s="203" customFormat="1">
      <c r="A147" s="120">
        <v>41</v>
      </c>
      <c r="B147" s="47" t="s">
        <v>119</v>
      </c>
      <c r="C147" s="47"/>
      <c r="D147" s="47"/>
      <c r="E147" s="49">
        <v>746</v>
      </c>
      <c r="F147" s="52">
        <v>34</v>
      </c>
      <c r="G147" s="118"/>
      <c r="H147" s="122">
        <v>235</v>
      </c>
      <c r="I147" s="139"/>
      <c r="J147" s="231"/>
      <c r="K147" s="231"/>
      <c r="L147" s="231"/>
      <c r="M147" s="231"/>
      <c r="N147" s="231"/>
      <c r="O147" s="231"/>
      <c r="P147" s="231"/>
      <c r="Q147" s="231"/>
      <c r="R147" s="231"/>
      <c r="S147" s="231"/>
      <c r="T147" s="231"/>
      <c r="U147" s="231"/>
      <c r="V147" s="231"/>
      <c r="W147" s="231"/>
      <c r="X147" s="231"/>
      <c r="Y147" s="231"/>
      <c r="Z147" s="231"/>
      <c r="AA147" s="231"/>
      <c r="AB147" s="231"/>
      <c r="AC147" s="231"/>
      <c r="AD147" s="231"/>
      <c r="AE147" s="231"/>
      <c r="AF147" s="231"/>
    </row>
    <row r="148" spans="1:32" s="203" customFormat="1">
      <c r="A148" s="120">
        <v>42</v>
      </c>
      <c r="B148" s="47" t="s">
        <v>120</v>
      </c>
      <c r="C148" s="47"/>
      <c r="D148" s="47"/>
      <c r="E148" s="49">
        <v>294</v>
      </c>
      <c r="F148" s="52">
        <v>294</v>
      </c>
      <c r="G148" s="118"/>
      <c r="H148" s="122">
        <v>293</v>
      </c>
      <c r="I148" s="139"/>
      <c r="J148" s="231"/>
      <c r="K148" s="231"/>
      <c r="L148" s="231"/>
      <c r="M148" s="231"/>
      <c r="N148" s="231"/>
      <c r="O148" s="231"/>
      <c r="P148" s="231"/>
      <c r="Q148" s="231"/>
      <c r="R148" s="231"/>
      <c r="S148" s="231"/>
      <c r="T148" s="231"/>
      <c r="U148" s="231"/>
      <c r="V148" s="231"/>
      <c r="W148" s="231"/>
      <c r="X148" s="231"/>
      <c r="Y148" s="231"/>
      <c r="Z148" s="231"/>
      <c r="AA148" s="231"/>
      <c r="AB148" s="231"/>
      <c r="AC148" s="231"/>
      <c r="AD148" s="231"/>
      <c r="AE148" s="231"/>
      <c r="AF148" s="231"/>
    </row>
    <row r="149" spans="1:32" s="203" customFormat="1">
      <c r="A149" s="120">
        <v>43</v>
      </c>
      <c r="B149" s="47" t="s">
        <v>121</v>
      </c>
      <c r="C149" s="47"/>
      <c r="D149" s="47"/>
      <c r="E149" s="49">
        <v>1087</v>
      </c>
      <c r="F149" s="52">
        <v>1017</v>
      </c>
      <c r="G149" s="118"/>
      <c r="H149" s="100">
        <v>956</v>
      </c>
      <c r="I149" s="139"/>
      <c r="J149" s="231"/>
      <c r="K149" s="231"/>
      <c r="L149" s="231"/>
      <c r="M149" s="231"/>
      <c r="N149" s="231"/>
      <c r="O149" s="231"/>
      <c r="P149" s="231"/>
      <c r="Q149" s="231"/>
      <c r="R149" s="231"/>
      <c r="S149" s="231"/>
      <c r="T149" s="231"/>
      <c r="U149" s="231"/>
      <c r="V149" s="231"/>
      <c r="W149" s="231"/>
      <c r="X149" s="231"/>
      <c r="Y149" s="231"/>
      <c r="Z149" s="231"/>
      <c r="AA149" s="231"/>
      <c r="AB149" s="231"/>
      <c r="AC149" s="231"/>
      <c r="AD149" s="231"/>
      <c r="AE149" s="231"/>
      <c r="AF149" s="231"/>
    </row>
    <row r="150" spans="1:32" s="203" customFormat="1">
      <c r="A150" s="124">
        <v>44</v>
      </c>
      <c r="B150" s="94" t="s">
        <v>130</v>
      </c>
      <c r="C150" s="94"/>
      <c r="D150" s="94"/>
      <c r="E150" s="80">
        <v>3437</v>
      </c>
      <c r="F150" s="142">
        <f>SUM(F146:F149)</f>
        <v>2770</v>
      </c>
      <c r="G150" s="259"/>
      <c r="H150" s="142">
        <f>SUM(H146:H149)</f>
        <v>2841</v>
      </c>
      <c r="I150" s="139"/>
      <c r="J150" s="231"/>
      <c r="K150" s="231"/>
      <c r="L150" s="231"/>
      <c r="M150" s="231"/>
      <c r="N150" s="231"/>
      <c r="O150" s="231"/>
      <c r="P150" s="231"/>
      <c r="Q150" s="231"/>
      <c r="R150" s="231"/>
      <c r="S150" s="231"/>
      <c r="T150" s="231"/>
      <c r="U150" s="231"/>
      <c r="V150" s="231"/>
      <c r="W150" s="231"/>
      <c r="X150" s="231"/>
      <c r="Y150" s="231"/>
      <c r="Z150" s="231"/>
      <c r="AA150" s="231"/>
      <c r="AB150" s="231"/>
      <c r="AC150" s="231"/>
      <c r="AD150" s="231"/>
      <c r="AE150" s="231"/>
      <c r="AF150" s="231"/>
    </row>
    <row r="151" spans="1:32" s="203" customFormat="1">
      <c r="A151" s="148"/>
      <c r="B151" s="129"/>
      <c r="C151" s="129"/>
      <c r="D151" s="149"/>
      <c r="E151" s="150"/>
      <c r="F151" s="29"/>
      <c r="G151" s="29"/>
      <c r="H151" s="207"/>
      <c r="I151" s="29"/>
      <c r="J151" s="231"/>
      <c r="K151" s="231"/>
      <c r="L151" s="231"/>
      <c r="M151" s="231"/>
      <c r="N151" s="231"/>
      <c r="O151" s="231"/>
      <c r="P151" s="231"/>
      <c r="Q151" s="231"/>
      <c r="R151" s="231"/>
      <c r="S151" s="231"/>
      <c r="T151" s="231"/>
      <c r="U151" s="231"/>
      <c r="V151" s="231"/>
      <c r="W151" s="231"/>
      <c r="X151" s="231"/>
      <c r="Y151" s="231"/>
      <c r="Z151" s="231"/>
      <c r="AA151" s="231"/>
      <c r="AB151" s="231"/>
      <c r="AC151" s="231"/>
      <c r="AD151" s="231"/>
      <c r="AE151" s="231"/>
      <c r="AF151" s="231"/>
    </row>
    <row r="152" spans="1:32" s="203" customFormat="1">
      <c r="A152" s="148"/>
      <c r="B152" s="129"/>
      <c r="C152" s="129"/>
      <c r="D152" s="151"/>
      <c r="E152" s="152"/>
      <c r="F152" s="29"/>
      <c r="G152" s="29"/>
      <c r="H152" s="131" t="s">
        <v>27</v>
      </c>
      <c r="I152" s="29"/>
      <c r="J152" s="231"/>
      <c r="K152" s="231"/>
      <c r="L152" s="231"/>
      <c r="M152" s="231"/>
      <c r="N152" s="231"/>
      <c r="O152" s="231"/>
      <c r="P152" s="231"/>
      <c r="Q152" s="231"/>
      <c r="R152" s="231"/>
      <c r="S152" s="231"/>
      <c r="T152" s="231"/>
      <c r="U152" s="231"/>
      <c r="V152" s="231"/>
      <c r="W152" s="231"/>
      <c r="X152" s="231"/>
      <c r="Y152" s="231"/>
      <c r="Z152" s="231"/>
      <c r="AA152" s="231"/>
      <c r="AB152" s="231"/>
      <c r="AC152" s="231"/>
      <c r="AD152" s="231"/>
      <c r="AE152" s="231"/>
      <c r="AF152" s="231"/>
    </row>
    <row r="153" spans="1:32" s="203" customFormat="1">
      <c r="A153" s="106" t="s">
        <v>20</v>
      </c>
      <c r="B153" s="107"/>
      <c r="C153" s="107"/>
      <c r="D153" s="107"/>
      <c r="E153" s="856" t="s">
        <v>377</v>
      </c>
      <c r="F153" s="856" t="s">
        <v>402</v>
      </c>
      <c r="G153" s="130"/>
      <c r="H153" s="856" t="s">
        <v>403</v>
      </c>
      <c r="I153" s="130"/>
      <c r="J153" s="231"/>
      <c r="K153" s="231"/>
      <c r="L153" s="231"/>
      <c r="M153" s="231"/>
      <c r="N153" s="231"/>
      <c r="O153" s="231"/>
      <c r="P153" s="231"/>
      <c r="Q153" s="231"/>
      <c r="R153" s="231"/>
      <c r="S153" s="231"/>
      <c r="T153" s="231"/>
      <c r="U153" s="231"/>
      <c r="V153" s="231"/>
      <c r="W153" s="231"/>
      <c r="X153" s="231"/>
      <c r="Y153" s="231"/>
      <c r="Z153" s="231"/>
      <c r="AA153" s="231"/>
      <c r="AB153" s="231"/>
      <c r="AC153" s="231"/>
      <c r="AD153" s="231"/>
      <c r="AE153" s="231"/>
      <c r="AF153" s="231"/>
    </row>
    <row r="154" spans="1:32" s="203" customFormat="1">
      <c r="A154" s="153"/>
      <c r="B154" s="132"/>
      <c r="C154" s="132"/>
      <c r="D154" s="132"/>
      <c r="E154" s="859"/>
      <c r="F154" s="859"/>
      <c r="G154" s="130"/>
      <c r="H154" s="859"/>
      <c r="I154" s="130"/>
      <c r="J154" s="231"/>
      <c r="K154" s="231"/>
      <c r="L154" s="231"/>
      <c r="M154" s="231"/>
      <c r="N154" s="231"/>
      <c r="O154" s="231"/>
      <c r="P154" s="231"/>
      <c r="Q154" s="231"/>
      <c r="R154" s="231"/>
      <c r="S154" s="231"/>
      <c r="T154" s="231"/>
      <c r="U154" s="231"/>
      <c r="V154" s="231"/>
      <c r="W154" s="231"/>
      <c r="X154" s="231"/>
      <c r="Y154" s="231"/>
      <c r="Z154" s="231"/>
      <c r="AA154" s="231"/>
      <c r="AB154" s="231"/>
      <c r="AC154" s="231"/>
      <c r="AD154" s="231"/>
      <c r="AE154" s="231"/>
      <c r="AF154" s="231"/>
    </row>
    <row r="155" spans="1:32" s="203" customFormat="1">
      <c r="A155" s="154" t="s">
        <v>131</v>
      </c>
      <c r="B155" s="116"/>
      <c r="C155" s="116"/>
      <c r="D155" s="116"/>
      <c r="E155" s="859"/>
      <c r="F155" s="859"/>
      <c r="G155" s="130"/>
      <c r="H155" s="859"/>
      <c r="I155" s="130"/>
      <c r="J155" s="231"/>
      <c r="K155" s="231"/>
      <c r="L155" s="231"/>
      <c r="M155" s="231"/>
      <c r="N155" s="231"/>
      <c r="O155" s="231"/>
      <c r="P155" s="231"/>
      <c r="Q155" s="231"/>
      <c r="R155" s="231"/>
      <c r="S155" s="231"/>
      <c r="T155" s="231"/>
      <c r="U155" s="231"/>
      <c r="V155" s="231"/>
      <c r="W155" s="231"/>
      <c r="X155" s="231"/>
      <c r="Y155" s="231"/>
      <c r="Z155" s="231"/>
      <c r="AA155" s="231"/>
      <c r="AB155" s="231"/>
      <c r="AC155" s="231"/>
      <c r="AD155" s="231"/>
      <c r="AE155" s="231"/>
      <c r="AF155" s="231"/>
    </row>
    <row r="156" spans="1:32" s="203" customFormat="1" ht="12.75" customHeight="1">
      <c r="A156" s="109" t="s">
        <v>83</v>
      </c>
      <c r="B156" s="47"/>
      <c r="C156" s="47"/>
      <c r="D156" s="47"/>
      <c r="E156" s="859"/>
      <c r="F156" s="859"/>
      <c r="G156" s="130"/>
      <c r="H156" s="859"/>
      <c r="I156" s="130"/>
      <c r="J156" s="231"/>
      <c r="K156" s="231"/>
      <c r="L156" s="231"/>
      <c r="M156" s="231"/>
      <c r="N156" s="231"/>
      <c r="O156" s="231"/>
      <c r="P156" s="231"/>
      <c r="Q156" s="231"/>
      <c r="R156" s="231"/>
      <c r="S156" s="231"/>
      <c r="T156" s="231"/>
      <c r="U156" s="231"/>
      <c r="V156" s="231"/>
      <c r="W156" s="231"/>
      <c r="X156" s="231"/>
      <c r="Y156" s="231"/>
      <c r="Z156" s="231"/>
      <c r="AA156" s="231"/>
      <c r="AB156" s="231"/>
      <c r="AC156" s="231"/>
      <c r="AD156" s="231"/>
      <c r="AE156" s="231"/>
      <c r="AF156" s="231"/>
    </row>
    <row r="157" spans="1:32" s="203" customFormat="1">
      <c r="A157" s="110" t="s">
        <v>84</v>
      </c>
      <c r="B157" s="132"/>
      <c r="C157" s="132"/>
      <c r="D157" s="132"/>
      <c r="E157" s="860"/>
      <c r="F157" s="860"/>
      <c r="G157" s="130"/>
      <c r="H157" s="860"/>
      <c r="I157" s="130"/>
      <c r="J157" s="231"/>
      <c r="K157" s="231"/>
      <c r="L157" s="231"/>
      <c r="M157" s="231"/>
      <c r="N157" s="231"/>
      <c r="O157" s="231"/>
      <c r="P157" s="231"/>
      <c r="Q157" s="231"/>
      <c r="R157" s="231"/>
      <c r="S157" s="231"/>
      <c r="T157" s="231"/>
      <c r="U157" s="231"/>
      <c r="V157" s="231"/>
      <c r="W157" s="231"/>
      <c r="X157" s="231"/>
      <c r="Y157" s="231"/>
      <c r="Z157" s="231"/>
      <c r="AA157" s="231"/>
      <c r="AB157" s="231"/>
      <c r="AC157" s="231"/>
      <c r="AD157" s="231"/>
      <c r="AE157" s="231"/>
      <c r="AF157" s="231"/>
    </row>
    <row r="158" spans="1:32" s="203" customFormat="1">
      <c r="A158" s="119" t="s">
        <v>132</v>
      </c>
      <c r="B158" s="47"/>
      <c r="C158" s="47"/>
      <c r="D158" s="47"/>
      <c r="E158" s="155"/>
      <c r="F158" s="146" t="s">
        <v>133</v>
      </c>
      <c r="G158" s="118"/>
      <c r="H158" s="146"/>
      <c r="I158" s="29"/>
      <c r="J158" s="231"/>
      <c r="K158" s="231"/>
      <c r="L158" s="231"/>
      <c r="M158" s="231"/>
      <c r="N158" s="231"/>
      <c r="O158" s="231"/>
      <c r="P158" s="231"/>
      <c r="Q158" s="231"/>
      <c r="R158" s="231"/>
      <c r="S158" s="231"/>
      <c r="T158" s="231"/>
      <c r="U158" s="231"/>
      <c r="V158" s="231"/>
      <c r="W158" s="231"/>
      <c r="X158" s="231"/>
      <c r="Y158" s="231"/>
      <c r="Z158" s="231"/>
      <c r="AA158" s="231"/>
      <c r="AB158" s="231"/>
      <c r="AC158" s="231"/>
      <c r="AD158" s="231"/>
      <c r="AE158" s="231"/>
      <c r="AF158" s="231"/>
    </row>
    <row r="159" spans="1:32" s="203" customFormat="1">
      <c r="A159" s="120">
        <v>1</v>
      </c>
      <c r="B159" s="47" t="s">
        <v>134</v>
      </c>
      <c r="C159" s="47"/>
      <c r="D159" s="47"/>
      <c r="E159" s="74">
        <v>0</v>
      </c>
      <c r="F159" s="52">
        <v>0</v>
      </c>
      <c r="G159" s="118"/>
      <c r="H159" s="122">
        <v>0</v>
      </c>
      <c r="I159" s="29"/>
      <c r="J159" s="231"/>
      <c r="K159" s="231"/>
      <c r="L159" s="231"/>
      <c r="M159" s="231"/>
      <c r="N159" s="231"/>
      <c r="O159" s="231"/>
      <c r="P159" s="231"/>
      <c r="Q159" s="231"/>
      <c r="R159" s="231"/>
      <c r="S159" s="231"/>
      <c r="T159" s="231"/>
      <c r="U159" s="231"/>
      <c r="V159" s="231"/>
      <c r="W159" s="231"/>
      <c r="X159" s="231"/>
      <c r="Y159" s="231"/>
      <c r="Z159" s="231"/>
      <c r="AA159" s="231"/>
      <c r="AB159" s="231"/>
      <c r="AC159" s="231"/>
      <c r="AD159" s="231"/>
      <c r="AE159" s="231"/>
      <c r="AF159" s="231"/>
    </row>
    <row r="160" spans="1:32" s="203" customFormat="1">
      <c r="A160" s="120">
        <v>2</v>
      </c>
      <c r="B160" s="47" t="s">
        <v>135</v>
      </c>
      <c r="C160" s="47"/>
      <c r="D160" s="47"/>
      <c r="E160" s="49">
        <v>1414</v>
      </c>
      <c r="F160" s="52">
        <v>1362</v>
      </c>
      <c r="G160" s="118"/>
      <c r="H160" s="122">
        <v>1278</v>
      </c>
      <c r="I160" s="29"/>
      <c r="J160" s="231"/>
      <c r="K160" s="231"/>
      <c r="L160" s="231"/>
      <c r="M160" s="231"/>
      <c r="N160" s="231"/>
      <c r="O160" s="231"/>
      <c r="P160" s="231"/>
      <c r="Q160" s="231"/>
      <c r="R160" s="231"/>
      <c r="S160" s="231"/>
      <c r="T160" s="231"/>
      <c r="U160" s="231"/>
      <c r="V160" s="231"/>
      <c r="W160" s="231"/>
      <c r="X160" s="231"/>
      <c r="Y160" s="231"/>
      <c r="Z160" s="231"/>
      <c r="AA160" s="231"/>
      <c r="AB160" s="231"/>
      <c r="AC160" s="231"/>
      <c r="AD160" s="231"/>
      <c r="AE160" s="231"/>
      <c r="AF160" s="231"/>
    </row>
    <row r="161" spans="1:32" s="203" customFormat="1">
      <c r="A161" s="120">
        <v>3</v>
      </c>
      <c r="B161" s="47" t="s">
        <v>136</v>
      </c>
      <c r="C161" s="47"/>
      <c r="D161" s="47"/>
      <c r="E161" s="114">
        <v>4514</v>
      </c>
      <c r="F161" s="52">
        <v>3725</v>
      </c>
      <c r="G161" s="118"/>
      <c r="H161" s="122">
        <v>2967</v>
      </c>
      <c r="I161" s="29"/>
      <c r="J161" s="231"/>
      <c r="K161" s="231"/>
      <c r="L161" s="231"/>
      <c r="M161" s="231"/>
      <c r="N161" s="231"/>
      <c r="O161" s="231"/>
      <c r="P161" s="231"/>
      <c r="Q161" s="231"/>
      <c r="R161" s="231"/>
      <c r="S161" s="231"/>
      <c r="T161" s="231"/>
      <c r="U161" s="231"/>
      <c r="V161" s="231"/>
      <c r="W161" s="231"/>
      <c r="X161" s="231"/>
      <c r="Y161" s="231"/>
      <c r="Z161" s="231"/>
      <c r="AA161" s="231"/>
      <c r="AB161" s="231"/>
      <c r="AC161" s="231"/>
      <c r="AD161" s="231"/>
      <c r="AE161" s="231"/>
      <c r="AF161" s="231"/>
    </row>
    <row r="162" spans="1:32" s="203" customFormat="1">
      <c r="A162" s="120">
        <v>4</v>
      </c>
      <c r="B162" s="47" t="s">
        <v>137</v>
      </c>
      <c r="C162" s="47"/>
      <c r="D162" s="47"/>
      <c r="E162" s="114">
        <v>994</v>
      </c>
      <c r="F162" s="52">
        <v>840</v>
      </c>
      <c r="G162" s="118"/>
      <c r="H162" s="100">
        <v>798</v>
      </c>
      <c r="I162" s="29"/>
      <c r="J162" s="231"/>
      <c r="K162" s="231"/>
      <c r="L162" s="231"/>
      <c r="M162" s="231"/>
      <c r="N162" s="231"/>
      <c r="O162" s="231"/>
      <c r="P162" s="231"/>
      <c r="Q162" s="231"/>
      <c r="R162" s="231"/>
      <c r="S162" s="231"/>
      <c r="T162" s="231"/>
      <c r="U162" s="231"/>
      <c r="V162" s="231"/>
      <c r="W162" s="231"/>
      <c r="X162" s="231"/>
      <c r="Y162" s="231"/>
      <c r="Z162" s="231"/>
      <c r="AA162" s="231"/>
      <c r="AB162" s="231"/>
      <c r="AC162" s="231"/>
      <c r="AD162" s="231"/>
      <c r="AE162" s="231"/>
      <c r="AF162" s="231"/>
    </row>
    <row r="163" spans="1:32" s="203" customFormat="1">
      <c r="A163" s="120">
        <v>5</v>
      </c>
      <c r="B163" s="116" t="s">
        <v>138</v>
      </c>
      <c r="C163" s="116"/>
      <c r="D163" s="116"/>
      <c r="E163" s="80">
        <v>6922</v>
      </c>
      <c r="F163" s="142">
        <f>SUM(F159:F162)</f>
        <v>5927</v>
      </c>
      <c r="G163" s="118"/>
      <c r="H163" s="142">
        <f>SUM(H159:H162)</f>
        <v>5043</v>
      </c>
      <c r="I163" s="29"/>
      <c r="J163" s="231"/>
      <c r="K163" s="231"/>
      <c r="L163" s="231"/>
      <c r="M163" s="231"/>
      <c r="N163" s="231"/>
      <c r="O163" s="231"/>
      <c r="P163" s="231"/>
      <c r="Q163" s="231"/>
      <c r="R163" s="231"/>
      <c r="S163" s="231"/>
      <c r="T163" s="231"/>
      <c r="U163" s="231"/>
      <c r="V163" s="231"/>
      <c r="W163" s="231"/>
      <c r="X163" s="231"/>
      <c r="Y163" s="231"/>
      <c r="Z163" s="231"/>
      <c r="AA163" s="231"/>
      <c r="AB163" s="231"/>
      <c r="AC163" s="231"/>
      <c r="AD163" s="231"/>
      <c r="AE163" s="231"/>
      <c r="AF163" s="231"/>
    </row>
    <row r="164" spans="1:32" s="203" customFormat="1">
      <c r="A164" s="46"/>
      <c r="B164" s="132"/>
      <c r="C164" s="132"/>
      <c r="D164" s="132"/>
      <c r="E164" s="156"/>
      <c r="F164" s="139"/>
      <c r="G164" s="139"/>
      <c r="H164" s="139"/>
      <c r="I164" s="29"/>
      <c r="J164" s="231"/>
      <c r="K164" s="231"/>
      <c r="L164" s="231"/>
      <c r="M164" s="231"/>
      <c r="N164" s="231"/>
      <c r="O164" s="231"/>
      <c r="P164" s="231"/>
      <c r="Q164" s="231"/>
      <c r="R164" s="231"/>
      <c r="S164" s="231"/>
      <c r="T164" s="231"/>
      <c r="U164" s="231"/>
      <c r="V164" s="231"/>
      <c r="W164" s="231"/>
      <c r="X164" s="231"/>
      <c r="Y164" s="231"/>
      <c r="Z164" s="231"/>
      <c r="AA164" s="231"/>
      <c r="AB164" s="231"/>
      <c r="AC164" s="231"/>
      <c r="AD164" s="231"/>
      <c r="AE164" s="231"/>
      <c r="AF164" s="231"/>
    </row>
    <row r="165" spans="1:32" s="203" customFormat="1">
      <c r="A165" s="119" t="s">
        <v>139</v>
      </c>
      <c r="B165" s="47"/>
      <c r="C165" s="47"/>
      <c r="D165" s="47"/>
      <c r="E165" s="140"/>
      <c r="F165" s="146"/>
      <c r="G165" s="118"/>
      <c r="H165" s="146"/>
      <c r="I165" s="29"/>
      <c r="J165" s="231"/>
      <c r="K165" s="231"/>
      <c r="L165" s="231"/>
      <c r="M165" s="231"/>
      <c r="N165" s="231"/>
      <c r="O165" s="231"/>
      <c r="P165" s="231"/>
      <c r="Q165" s="231"/>
      <c r="R165" s="231"/>
      <c r="S165" s="231"/>
      <c r="T165" s="231"/>
      <c r="U165" s="231"/>
      <c r="V165" s="231"/>
      <c r="W165" s="231"/>
      <c r="X165" s="231"/>
      <c r="Y165" s="231"/>
      <c r="Z165" s="231"/>
      <c r="AA165" s="231"/>
      <c r="AB165" s="231"/>
      <c r="AC165" s="231"/>
      <c r="AD165" s="231"/>
      <c r="AE165" s="231"/>
      <c r="AF165" s="231"/>
    </row>
    <row r="166" spans="1:32" s="203" customFormat="1">
      <c r="A166" s="120">
        <v>6</v>
      </c>
      <c r="B166" s="47" t="s">
        <v>140</v>
      </c>
      <c r="C166" s="47"/>
      <c r="D166" s="47"/>
      <c r="E166" s="74">
        <v>261</v>
      </c>
      <c r="F166" s="52">
        <v>258</v>
      </c>
      <c r="G166" s="118"/>
      <c r="H166" s="122">
        <v>300</v>
      </c>
      <c r="I166" s="29"/>
      <c r="J166" s="231"/>
      <c r="K166" s="231"/>
      <c r="L166" s="231"/>
      <c r="M166" s="231"/>
      <c r="N166" s="231"/>
      <c r="O166" s="231"/>
      <c r="P166" s="231"/>
      <c r="Q166" s="231"/>
      <c r="R166" s="231"/>
      <c r="S166" s="231"/>
      <c r="T166" s="231"/>
      <c r="U166" s="231"/>
      <c r="V166" s="231"/>
      <c r="W166" s="231"/>
      <c r="X166" s="231"/>
      <c r="Y166" s="231"/>
      <c r="Z166" s="231"/>
      <c r="AA166" s="231"/>
      <c r="AB166" s="231"/>
      <c r="AC166" s="231"/>
      <c r="AD166" s="231"/>
      <c r="AE166" s="231"/>
      <c r="AF166" s="231"/>
    </row>
    <row r="167" spans="1:32" s="203" customFormat="1">
      <c r="A167" s="120">
        <v>7</v>
      </c>
      <c r="B167" s="47" t="s">
        <v>141</v>
      </c>
      <c r="C167" s="47"/>
      <c r="D167" s="47"/>
      <c r="E167" s="49">
        <v>0</v>
      </c>
      <c r="F167" s="52">
        <v>1</v>
      </c>
      <c r="G167" s="118"/>
      <c r="H167" s="122">
        <v>1</v>
      </c>
      <c r="I167" s="29"/>
      <c r="J167" s="231"/>
      <c r="K167" s="231"/>
      <c r="L167" s="231"/>
      <c r="M167" s="231"/>
      <c r="N167" s="231"/>
      <c r="O167" s="231"/>
      <c r="P167" s="231"/>
      <c r="Q167" s="231"/>
      <c r="R167" s="231"/>
      <c r="S167" s="231"/>
      <c r="T167" s="231"/>
      <c r="U167" s="231"/>
      <c r="V167" s="231"/>
      <c r="W167" s="231"/>
      <c r="X167" s="231"/>
      <c r="Y167" s="231"/>
      <c r="Z167" s="231"/>
      <c r="AA167" s="231"/>
      <c r="AB167" s="231"/>
      <c r="AC167" s="231"/>
      <c r="AD167" s="231"/>
      <c r="AE167" s="231"/>
      <c r="AF167" s="231"/>
    </row>
    <row r="168" spans="1:32" s="203" customFormat="1">
      <c r="A168" s="120">
        <v>8</v>
      </c>
      <c r="B168" s="47" t="s">
        <v>121</v>
      </c>
      <c r="C168" s="47"/>
      <c r="D168" s="47"/>
      <c r="E168" s="49">
        <v>1509</v>
      </c>
      <c r="F168" s="52">
        <v>1563</v>
      </c>
      <c r="G168" s="118"/>
      <c r="H168" s="100">
        <v>1430</v>
      </c>
      <c r="I168" s="29"/>
      <c r="J168" s="231"/>
      <c r="K168" s="231"/>
      <c r="L168" s="231"/>
      <c r="M168" s="231"/>
      <c r="N168" s="231"/>
      <c r="O168" s="231"/>
      <c r="P168" s="231"/>
      <c r="Q168" s="231"/>
      <c r="R168" s="231"/>
      <c r="S168" s="231"/>
      <c r="T168" s="231"/>
      <c r="U168" s="231"/>
      <c r="V168" s="231"/>
      <c r="W168" s="231"/>
      <c r="X168" s="231"/>
      <c r="Y168" s="231"/>
      <c r="Z168" s="231"/>
      <c r="AA168" s="231"/>
      <c r="AB168" s="231"/>
      <c r="AC168" s="231"/>
      <c r="AD168" s="231"/>
      <c r="AE168" s="231"/>
      <c r="AF168" s="231"/>
    </row>
    <row r="169" spans="1:32" s="203" customFormat="1">
      <c r="A169" s="120">
        <v>9</v>
      </c>
      <c r="B169" s="116" t="s">
        <v>142</v>
      </c>
      <c r="C169" s="116"/>
      <c r="D169" s="116"/>
      <c r="E169" s="80">
        <v>1770</v>
      </c>
      <c r="F169" s="142">
        <f>SUM(F166:F168)</f>
        <v>1822</v>
      </c>
      <c r="G169" s="118"/>
      <c r="H169" s="142">
        <f>SUM(H166:H168)</f>
        <v>1731</v>
      </c>
      <c r="I169" s="29"/>
      <c r="J169" s="231"/>
      <c r="K169" s="231"/>
      <c r="L169" s="231"/>
      <c r="M169" s="231"/>
      <c r="N169" s="231"/>
      <c r="O169" s="231"/>
      <c r="P169" s="231"/>
      <c r="Q169" s="231"/>
      <c r="R169" s="231"/>
      <c r="S169" s="231"/>
      <c r="T169" s="231"/>
      <c r="U169" s="231"/>
      <c r="V169" s="231"/>
      <c r="W169" s="231"/>
      <c r="X169" s="231"/>
      <c r="Y169" s="231"/>
      <c r="Z169" s="231"/>
      <c r="AA169" s="231"/>
      <c r="AB169" s="231"/>
      <c r="AC169" s="231"/>
      <c r="AD169" s="231"/>
      <c r="AE169" s="231"/>
      <c r="AF169" s="231"/>
    </row>
    <row r="170" spans="1:32" s="203" customFormat="1">
      <c r="A170" s="46"/>
      <c r="B170" s="132"/>
      <c r="C170" s="132"/>
      <c r="D170" s="132"/>
      <c r="E170" s="156"/>
      <c r="F170" s="139"/>
      <c r="G170" s="139"/>
      <c r="H170" s="139"/>
      <c r="I170" s="29"/>
      <c r="J170" s="231"/>
      <c r="K170" s="231"/>
      <c r="L170" s="231"/>
      <c r="M170" s="231"/>
      <c r="N170" s="231"/>
      <c r="O170" s="231"/>
      <c r="P170" s="231"/>
      <c r="Q170" s="231"/>
      <c r="R170" s="231"/>
      <c r="S170" s="231"/>
      <c r="T170" s="231"/>
      <c r="U170" s="231"/>
      <c r="V170" s="231"/>
      <c r="W170" s="231"/>
      <c r="X170" s="231"/>
      <c r="Y170" s="231"/>
      <c r="Z170" s="231"/>
      <c r="AA170" s="231"/>
      <c r="AB170" s="231"/>
      <c r="AC170" s="231"/>
      <c r="AD170" s="231"/>
      <c r="AE170" s="231"/>
      <c r="AF170" s="231"/>
    </row>
    <row r="171" spans="1:32" s="203" customFormat="1">
      <c r="A171" s="120">
        <v>10</v>
      </c>
      <c r="B171" s="47" t="s">
        <v>143</v>
      </c>
      <c r="C171" s="47"/>
      <c r="D171" s="47"/>
      <c r="E171" s="41">
        <v>214</v>
      </c>
      <c r="F171" s="121">
        <v>219</v>
      </c>
      <c r="G171" s="118"/>
      <c r="H171" s="133">
        <v>215</v>
      </c>
      <c r="I171" s="29"/>
      <c r="J171" s="231"/>
      <c r="K171" s="231"/>
      <c r="L171" s="231"/>
      <c r="M171" s="231"/>
      <c r="N171" s="231"/>
      <c r="O171" s="231"/>
      <c r="P171" s="231"/>
      <c r="Q171" s="231"/>
      <c r="R171" s="231"/>
      <c r="S171" s="231"/>
      <c r="T171" s="231"/>
      <c r="U171" s="231"/>
      <c r="V171" s="231"/>
      <c r="W171" s="231"/>
      <c r="X171" s="231"/>
      <c r="Y171" s="231"/>
      <c r="Z171" s="231"/>
      <c r="AA171" s="231"/>
      <c r="AB171" s="231"/>
      <c r="AC171" s="231"/>
      <c r="AD171" s="231"/>
      <c r="AE171" s="231"/>
      <c r="AF171" s="231"/>
    </row>
    <row r="172" spans="1:32" s="203" customFormat="1">
      <c r="A172" s="120">
        <v>11</v>
      </c>
      <c r="B172" s="47" t="s">
        <v>144</v>
      </c>
      <c r="C172" s="47"/>
      <c r="D172" s="47"/>
      <c r="E172" s="56">
        <v>0</v>
      </c>
      <c r="F172" s="126">
        <v>0</v>
      </c>
      <c r="G172" s="118"/>
      <c r="H172" s="100">
        <v>0</v>
      </c>
      <c r="I172" s="29"/>
      <c r="J172" s="231"/>
      <c r="K172" s="231"/>
      <c r="L172" s="231"/>
      <c r="M172" s="231"/>
      <c r="N172" s="231"/>
      <c r="O172" s="231"/>
      <c r="P172" s="231"/>
      <c r="Q172" s="231"/>
      <c r="R172" s="231"/>
      <c r="S172" s="231"/>
      <c r="T172" s="231"/>
      <c r="U172" s="231"/>
      <c r="V172" s="231"/>
      <c r="W172" s="231"/>
      <c r="X172" s="231"/>
      <c r="Y172" s="231"/>
      <c r="Z172" s="231"/>
      <c r="AA172" s="231"/>
      <c r="AB172" s="231"/>
      <c r="AC172" s="231"/>
      <c r="AD172" s="231"/>
      <c r="AE172" s="231"/>
      <c r="AF172" s="231"/>
    </row>
    <row r="173" spans="1:32" s="203" customFormat="1">
      <c r="A173" s="46"/>
      <c r="B173" s="132"/>
      <c r="C173" s="132"/>
      <c r="D173" s="132"/>
      <c r="E173" s="156"/>
      <c r="F173" s="139"/>
      <c r="G173" s="139"/>
      <c r="H173" s="139"/>
      <c r="I173" s="29"/>
      <c r="J173" s="231"/>
      <c r="K173" s="231"/>
      <c r="L173" s="231"/>
      <c r="M173" s="231"/>
      <c r="N173" s="231"/>
      <c r="O173" s="231"/>
      <c r="P173" s="231"/>
      <c r="Q173" s="231"/>
      <c r="R173" s="231"/>
      <c r="S173" s="231"/>
      <c r="T173" s="231"/>
      <c r="U173" s="231"/>
      <c r="V173" s="231"/>
      <c r="W173" s="231"/>
      <c r="X173" s="231"/>
      <c r="Y173" s="231"/>
      <c r="Z173" s="231"/>
      <c r="AA173" s="231"/>
      <c r="AB173" s="231"/>
      <c r="AC173" s="231"/>
      <c r="AD173" s="231"/>
      <c r="AE173" s="231"/>
      <c r="AF173" s="231"/>
    </row>
    <row r="174" spans="1:32" s="203" customFormat="1">
      <c r="A174" s="119" t="s">
        <v>145</v>
      </c>
      <c r="B174" s="47"/>
      <c r="C174" s="47"/>
      <c r="D174" s="47"/>
      <c r="E174" s="157"/>
      <c r="F174" s="146"/>
      <c r="G174" s="118"/>
      <c r="H174" s="146"/>
      <c r="I174" s="29"/>
      <c r="J174" s="231"/>
      <c r="K174" s="231"/>
      <c r="L174" s="231"/>
      <c r="M174" s="231"/>
      <c r="N174" s="231"/>
      <c r="O174" s="231"/>
      <c r="P174" s="231"/>
      <c r="Q174" s="231"/>
      <c r="R174" s="231"/>
      <c r="S174" s="231"/>
      <c r="T174" s="231"/>
      <c r="U174" s="231"/>
      <c r="V174" s="231"/>
      <c r="W174" s="231"/>
      <c r="X174" s="231"/>
      <c r="Y174" s="231"/>
      <c r="Z174" s="231"/>
      <c r="AA174" s="231"/>
      <c r="AB174" s="231"/>
      <c r="AC174" s="231"/>
      <c r="AD174" s="231"/>
      <c r="AE174" s="231"/>
      <c r="AF174" s="231"/>
    </row>
    <row r="175" spans="1:32" s="203" customFormat="1">
      <c r="A175" s="120">
        <v>12</v>
      </c>
      <c r="B175" s="47" t="s">
        <v>146</v>
      </c>
      <c r="C175" s="47"/>
      <c r="D175" s="47"/>
      <c r="E175" s="74">
        <v>0</v>
      </c>
      <c r="F175" s="52">
        <v>0</v>
      </c>
      <c r="G175" s="118"/>
      <c r="H175" s="122">
        <v>0</v>
      </c>
      <c r="I175" s="29"/>
      <c r="J175" s="231"/>
      <c r="K175" s="231"/>
      <c r="L175" s="231"/>
      <c r="M175" s="231"/>
      <c r="N175" s="231"/>
      <c r="O175" s="231"/>
      <c r="P175" s="231"/>
      <c r="Q175" s="231"/>
      <c r="R175" s="231"/>
      <c r="S175" s="231"/>
      <c r="T175" s="231"/>
      <c r="U175" s="231"/>
      <c r="V175" s="231"/>
      <c r="W175" s="231"/>
      <c r="X175" s="231"/>
      <c r="Y175" s="231"/>
      <c r="Z175" s="231"/>
      <c r="AA175" s="231"/>
      <c r="AB175" s="231"/>
      <c r="AC175" s="231"/>
      <c r="AD175" s="231"/>
      <c r="AE175" s="231"/>
      <c r="AF175" s="231"/>
    </row>
    <row r="176" spans="1:32" s="203" customFormat="1">
      <c r="A176" s="120">
        <v>13</v>
      </c>
      <c r="B176" s="47" t="s">
        <v>147</v>
      </c>
      <c r="C176" s="47"/>
      <c r="D176" s="47"/>
      <c r="E176" s="49">
        <v>3709</v>
      </c>
      <c r="F176" s="52">
        <v>3261</v>
      </c>
      <c r="G176" s="118"/>
      <c r="H176" s="122">
        <v>3285</v>
      </c>
      <c r="I176" s="29"/>
      <c r="J176" s="231"/>
      <c r="K176" s="231"/>
      <c r="L176" s="231"/>
      <c r="M176" s="231"/>
      <c r="N176" s="231"/>
      <c r="O176" s="231"/>
      <c r="P176" s="231"/>
      <c r="Q176" s="231"/>
      <c r="R176" s="231"/>
      <c r="S176" s="231"/>
      <c r="T176" s="231"/>
      <c r="U176" s="231"/>
      <c r="V176" s="231"/>
      <c r="W176" s="231"/>
      <c r="X176" s="231"/>
      <c r="Y176" s="231"/>
      <c r="Z176" s="231"/>
      <c r="AA176" s="231"/>
      <c r="AB176" s="231"/>
      <c r="AC176" s="231"/>
      <c r="AD176" s="231"/>
      <c r="AE176" s="231"/>
      <c r="AF176" s="231"/>
    </row>
    <row r="177" spans="1:32" s="203" customFormat="1">
      <c r="A177" s="120">
        <v>14</v>
      </c>
      <c r="B177" s="47" t="s">
        <v>148</v>
      </c>
      <c r="C177" s="47"/>
      <c r="D177" s="47"/>
      <c r="E177" s="56">
        <v>209</v>
      </c>
      <c r="F177" s="52">
        <v>433</v>
      </c>
      <c r="G177" s="118"/>
      <c r="H177" s="100">
        <v>277</v>
      </c>
      <c r="I177" s="29"/>
      <c r="J177" s="231"/>
      <c r="K177" s="231"/>
      <c r="L177" s="231"/>
      <c r="M177" s="231"/>
      <c r="N177" s="231"/>
      <c r="O177" s="231"/>
      <c r="P177" s="231"/>
      <c r="Q177" s="231"/>
      <c r="R177" s="231"/>
      <c r="S177" s="231"/>
      <c r="T177" s="231"/>
      <c r="U177" s="231"/>
      <c r="V177" s="231"/>
      <c r="W177" s="231"/>
      <c r="X177" s="231"/>
      <c r="Y177" s="231"/>
      <c r="Z177" s="231"/>
      <c r="AA177" s="231"/>
      <c r="AB177" s="231"/>
      <c r="AC177" s="231"/>
      <c r="AD177" s="231"/>
      <c r="AE177" s="231"/>
      <c r="AF177" s="231"/>
    </row>
    <row r="178" spans="1:32" s="203" customFormat="1">
      <c r="A178" s="120">
        <v>15</v>
      </c>
      <c r="B178" s="116" t="s">
        <v>149</v>
      </c>
      <c r="C178" s="116"/>
      <c r="D178" s="116"/>
      <c r="E178" s="80">
        <v>3918</v>
      </c>
      <c r="F178" s="142">
        <f>SUM(F175:F177)</f>
        <v>3694</v>
      </c>
      <c r="G178" s="118"/>
      <c r="H178" s="142">
        <f>SUM(H175:H177)</f>
        <v>3562</v>
      </c>
      <c r="I178" s="29"/>
      <c r="J178" s="231"/>
      <c r="K178" s="231"/>
      <c r="L178" s="231"/>
      <c r="M178" s="231"/>
      <c r="N178" s="231"/>
      <c r="O178" s="231"/>
      <c r="P178" s="231"/>
      <c r="Q178" s="231"/>
      <c r="R178" s="231"/>
      <c r="S178" s="231"/>
      <c r="T178" s="231"/>
      <c r="U178" s="231"/>
      <c r="V178" s="231"/>
      <c r="W178" s="231"/>
      <c r="X178" s="231"/>
      <c r="Y178" s="231"/>
      <c r="Z178" s="231"/>
      <c r="AA178" s="231"/>
      <c r="AB178" s="231"/>
      <c r="AC178" s="231"/>
      <c r="AD178" s="231"/>
      <c r="AE178" s="231"/>
      <c r="AF178" s="231"/>
    </row>
    <row r="179" spans="1:32" s="203" customFormat="1">
      <c r="A179" s="120">
        <v>16</v>
      </c>
      <c r="B179" s="116" t="s">
        <v>150</v>
      </c>
      <c r="C179" s="116"/>
      <c r="D179" s="116"/>
      <c r="E179" s="80">
        <v>3918</v>
      </c>
      <c r="F179" s="158">
        <f>F172+F178</f>
        <v>3694</v>
      </c>
      <c r="G179" s="118"/>
      <c r="H179" s="158">
        <f>H172+H178</f>
        <v>3562</v>
      </c>
      <c r="I179" s="29"/>
      <c r="J179" s="231"/>
      <c r="K179" s="231"/>
      <c r="L179" s="231"/>
      <c r="M179" s="231"/>
      <c r="N179" s="231"/>
      <c r="O179" s="231"/>
      <c r="P179" s="231"/>
      <c r="Q179" s="231"/>
      <c r="R179" s="231"/>
      <c r="S179" s="231"/>
      <c r="T179" s="231"/>
      <c r="U179" s="231"/>
      <c r="V179" s="231"/>
      <c r="W179" s="231"/>
      <c r="X179" s="231"/>
      <c r="Y179" s="231"/>
      <c r="Z179" s="231"/>
      <c r="AA179" s="231"/>
      <c r="AB179" s="231"/>
      <c r="AC179" s="231"/>
      <c r="AD179" s="231"/>
      <c r="AE179" s="231"/>
      <c r="AF179" s="231"/>
    </row>
    <row r="180" spans="1:32" s="203" customFormat="1">
      <c r="A180" s="120">
        <v>17</v>
      </c>
      <c r="B180" s="116" t="s">
        <v>151</v>
      </c>
      <c r="C180" s="116"/>
      <c r="D180" s="116"/>
      <c r="E180" s="159">
        <v>12824</v>
      </c>
      <c r="F180" s="61">
        <f>SUM(F163+F169+F171+F179)</f>
        <v>11662</v>
      </c>
      <c r="G180" s="118"/>
      <c r="H180" s="61">
        <f>SUM(H163+H169+H171+H179)</f>
        <v>10551</v>
      </c>
      <c r="I180" s="29"/>
      <c r="J180" s="231"/>
      <c r="K180" s="231"/>
      <c r="L180" s="231"/>
      <c r="M180" s="231"/>
      <c r="N180" s="231"/>
      <c r="O180" s="231"/>
      <c r="P180" s="231"/>
      <c r="Q180" s="231"/>
      <c r="R180" s="231"/>
      <c r="S180" s="231"/>
      <c r="T180" s="231"/>
      <c r="U180" s="231"/>
      <c r="V180" s="231"/>
      <c r="W180" s="231"/>
      <c r="X180" s="231"/>
      <c r="Y180" s="231"/>
      <c r="Z180" s="231"/>
      <c r="AA180" s="231"/>
      <c r="AB180" s="231"/>
      <c r="AC180" s="231"/>
      <c r="AD180" s="231"/>
      <c r="AE180" s="231"/>
      <c r="AF180" s="231"/>
    </row>
    <row r="181" spans="1:32" s="203" customFormat="1">
      <c r="A181" s="46"/>
      <c r="B181" s="132"/>
      <c r="C181" s="132"/>
      <c r="D181" s="132"/>
      <c r="E181" s="156"/>
      <c r="F181" s="139"/>
      <c r="G181" s="139"/>
      <c r="H181" s="139"/>
      <c r="I181" s="29"/>
      <c r="J181" s="231"/>
      <c r="K181" s="231"/>
      <c r="L181" s="231"/>
      <c r="M181" s="231"/>
      <c r="N181" s="231"/>
      <c r="O181" s="231"/>
      <c r="P181" s="231"/>
      <c r="Q181" s="231"/>
      <c r="R181" s="231"/>
      <c r="S181" s="231"/>
      <c r="T181" s="231"/>
      <c r="U181" s="231"/>
      <c r="V181" s="231"/>
      <c r="W181" s="231"/>
      <c r="X181" s="231"/>
      <c r="Y181" s="231"/>
      <c r="Z181" s="231"/>
      <c r="AA181" s="231"/>
      <c r="AB181" s="231"/>
      <c r="AC181" s="231"/>
      <c r="AD181" s="231"/>
      <c r="AE181" s="231"/>
      <c r="AF181" s="231"/>
    </row>
    <row r="182" spans="1:32" s="203" customFormat="1">
      <c r="A182" s="119" t="s">
        <v>152</v>
      </c>
      <c r="B182" s="47"/>
      <c r="C182" s="47"/>
      <c r="D182" s="116"/>
      <c r="E182" s="117"/>
      <c r="F182" s="118"/>
      <c r="G182" s="118"/>
      <c r="H182" s="118"/>
      <c r="I182" s="29"/>
      <c r="J182" s="231"/>
      <c r="K182" s="231"/>
      <c r="L182" s="231"/>
      <c r="M182" s="231"/>
      <c r="N182" s="231"/>
      <c r="O182" s="231"/>
      <c r="P182" s="231"/>
      <c r="Q182" s="231"/>
      <c r="R182" s="231"/>
      <c r="S182" s="231"/>
      <c r="T182" s="231"/>
      <c r="U182" s="231"/>
      <c r="V182" s="231"/>
      <c r="W182" s="231"/>
      <c r="X182" s="231"/>
      <c r="Y182" s="231"/>
      <c r="Z182" s="231"/>
      <c r="AA182" s="231"/>
      <c r="AB182" s="231"/>
      <c r="AC182" s="231"/>
      <c r="AD182" s="231"/>
      <c r="AE182" s="231"/>
      <c r="AF182" s="231"/>
    </row>
    <row r="183" spans="1:32" s="203" customFormat="1">
      <c r="A183" s="120">
        <v>18</v>
      </c>
      <c r="B183" s="47" t="s">
        <v>153</v>
      </c>
      <c r="C183" s="47"/>
      <c r="D183" s="47"/>
      <c r="E183" s="41">
        <v>3420</v>
      </c>
      <c r="F183" s="121">
        <v>3116</v>
      </c>
      <c r="G183" s="118"/>
      <c r="H183" s="133">
        <v>3116</v>
      </c>
      <c r="I183" s="29"/>
      <c r="J183" s="231"/>
      <c r="K183" s="231"/>
      <c r="L183" s="231"/>
      <c r="M183" s="231"/>
      <c r="N183" s="231"/>
      <c r="O183" s="231"/>
      <c r="P183" s="231"/>
      <c r="Q183" s="231"/>
      <c r="R183" s="231"/>
      <c r="S183" s="231"/>
      <c r="T183" s="231"/>
      <c r="U183" s="231"/>
      <c r="V183" s="231"/>
      <c r="W183" s="231"/>
      <c r="X183" s="231"/>
      <c r="Y183" s="231"/>
      <c r="Z183" s="231"/>
      <c r="AA183" s="231"/>
      <c r="AB183" s="231"/>
      <c r="AC183" s="231"/>
      <c r="AD183" s="231"/>
      <c r="AE183" s="231"/>
      <c r="AF183" s="231"/>
    </row>
    <row r="184" spans="1:32" s="203" customFormat="1">
      <c r="A184" s="120">
        <v>19</v>
      </c>
      <c r="B184" s="47" t="s">
        <v>154</v>
      </c>
      <c r="C184" s="47"/>
      <c r="D184" s="47"/>
      <c r="E184" s="49">
        <v>44</v>
      </c>
      <c r="F184" s="52">
        <v>41</v>
      </c>
      <c r="G184" s="118"/>
      <c r="H184" s="122">
        <v>33</v>
      </c>
      <c r="I184" s="29"/>
      <c r="J184" s="231"/>
      <c r="K184" s="231"/>
      <c r="L184" s="231"/>
      <c r="M184" s="231"/>
      <c r="N184" s="231"/>
      <c r="O184" s="231"/>
      <c r="P184" s="231"/>
      <c r="Q184" s="231"/>
      <c r="R184" s="231"/>
      <c r="S184" s="231"/>
      <c r="T184" s="231"/>
      <c r="U184" s="231"/>
      <c r="V184" s="231"/>
      <c r="W184" s="231"/>
      <c r="X184" s="231"/>
      <c r="Y184" s="231"/>
      <c r="Z184" s="231"/>
      <c r="AA184" s="231"/>
      <c r="AB184" s="231"/>
      <c r="AC184" s="231"/>
      <c r="AD184" s="231"/>
      <c r="AE184" s="231"/>
      <c r="AF184" s="231"/>
    </row>
    <row r="185" spans="1:32" s="203" customFormat="1">
      <c r="A185" s="120">
        <v>20</v>
      </c>
      <c r="B185" s="47" t="s">
        <v>155</v>
      </c>
      <c r="C185" s="47"/>
      <c r="D185" s="47"/>
      <c r="E185" s="49">
        <v>0</v>
      </c>
      <c r="F185" s="52">
        <v>0</v>
      </c>
      <c r="G185" s="118"/>
      <c r="H185" s="122">
        <v>0</v>
      </c>
      <c r="I185" s="29"/>
      <c r="J185" s="231"/>
      <c r="K185" s="231"/>
      <c r="L185" s="231"/>
      <c r="M185" s="231"/>
      <c r="N185" s="231"/>
      <c r="O185" s="231"/>
      <c r="P185" s="231"/>
      <c r="Q185" s="231"/>
      <c r="R185" s="231"/>
      <c r="S185" s="231"/>
      <c r="T185" s="231"/>
      <c r="U185" s="231"/>
      <c r="V185" s="231"/>
      <c r="W185" s="231"/>
      <c r="X185" s="231"/>
      <c r="Y185" s="231"/>
      <c r="Z185" s="231"/>
      <c r="AA185" s="231"/>
      <c r="AB185" s="231"/>
      <c r="AC185" s="231"/>
      <c r="AD185" s="231"/>
      <c r="AE185" s="231"/>
      <c r="AF185" s="231"/>
    </row>
    <row r="186" spans="1:32" s="203" customFormat="1">
      <c r="A186" s="120">
        <v>21</v>
      </c>
      <c r="B186" s="47" t="s">
        <v>156</v>
      </c>
      <c r="C186" s="47"/>
      <c r="D186" s="47"/>
      <c r="E186" s="49">
        <v>0</v>
      </c>
      <c r="F186" s="52">
        <v>0</v>
      </c>
      <c r="G186" s="118"/>
      <c r="H186" s="122">
        <v>0</v>
      </c>
      <c r="I186" s="29"/>
      <c r="J186" s="231"/>
      <c r="K186" s="231"/>
      <c r="L186" s="231"/>
      <c r="M186" s="231"/>
      <c r="N186" s="231"/>
      <c r="O186" s="231"/>
      <c r="P186" s="231"/>
      <c r="Q186" s="231"/>
      <c r="R186" s="231"/>
      <c r="S186" s="231"/>
      <c r="T186" s="231"/>
      <c r="U186" s="231"/>
      <c r="V186" s="231"/>
      <c r="W186" s="231"/>
      <c r="X186" s="231"/>
      <c r="Y186" s="231"/>
      <c r="Z186" s="231"/>
      <c r="AA186" s="231"/>
      <c r="AB186" s="231"/>
      <c r="AC186" s="231"/>
      <c r="AD186" s="231"/>
      <c r="AE186" s="231"/>
      <c r="AF186" s="231"/>
    </row>
    <row r="187" spans="1:32" s="203" customFormat="1">
      <c r="A187" s="120">
        <v>22</v>
      </c>
      <c r="B187" s="47" t="s">
        <v>157</v>
      </c>
      <c r="C187" s="47"/>
      <c r="D187" s="47"/>
      <c r="E187" s="49">
        <v>0</v>
      </c>
      <c r="F187" s="52">
        <v>0</v>
      </c>
      <c r="G187" s="118"/>
      <c r="H187" s="122">
        <v>0</v>
      </c>
      <c r="I187" s="29"/>
      <c r="J187" s="231"/>
      <c r="K187" s="231"/>
      <c r="L187" s="231"/>
      <c r="M187" s="231"/>
      <c r="N187" s="231"/>
      <c r="O187" s="231"/>
      <c r="P187" s="231"/>
      <c r="Q187" s="231"/>
      <c r="R187" s="231"/>
      <c r="S187" s="231"/>
      <c r="T187" s="231"/>
      <c r="U187" s="231"/>
      <c r="V187" s="231"/>
      <c r="W187" s="231"/>
      <c r="X187" s="231"/>
      <c r="Y187" s="231"/>
      <c r="Z187" s="231"/>
      <c r="AA187" s="231"/>
      <c r="AB187" s="231"/>
      <c r="AC187" s="231"/>
      <c r="AD187" s="231"/>
      <c r="AE187" s="231"/>
      <c r="AF187" s="231"/>
    </row>
    <row r="188" spans="1:32" s="203" customFormat="1">
      <c r="A188" s="120">
        <v>23</v>
      </c>
      <c r="B188" s="47" t="s">
        <v>158</v>
      </c>
      <c r="C188" s="47"/>
      <c r="D188" s="47"/>
      <c r="E188" s="49">
        <v>0</v>
      </c>
      <c r="F188" s="52">
        <v>0</v>
      </c>
      <c r="G188" s="118"/>
      <c r="H188" s="122">
        <v>0</v>
      </c>
      <c r="I188" s="29"/>
      <c r="J188" s="231"/>
      <c r="K188" s="231"/>
      <c r="L188" s="231"/>
      <c r="M188" s="231"/>
      <c r="N188" s="231"/>
      <c r="O188" s="231"/>
      <c r="P188" s="231"/>
      <c r="Q188" s="231"/>
      <c r="R188" s="231"/>
      <c r="S188" s="231"/>
      <c r="T188" s="231"/>
      <c r="U188" s="231"/>
      <c r="V188" s="231"/>
      <c r="W188" s="231"/>
      <c r="X188" s="231"/>
      <c r="Y188" s="231"/>
      <c r="Z188" s="231"/>
      <c r="AA188" s="231"/>
      <c r="AB188" s="231"/>
      <c r="AC188" s="231"/>
      <c r="AD188" s="231"/>
      <c r="AE188" s="231"/>
      <c r="AF188" s="231"/>
    </row>
    <row r="189" spans="1:32" s="203" customFormat="1">
      <c r="A189" s="120">
        <v>24</v>
      </c>
      <c r="B189" s="47" t="s">
        <v>159</v>
      </c>
      <c r="C189" s="47"/>
      <c r="D189" s="47"/>
      <c r="E189" s="49">
        <v>199</v>
      </c>
      <c r="F189" s="52">
        <v>145</v>
      </c>
      <c r="G189" s="118"/>
      <c r="H189" s="122">
        <v>180</v>
      </c>
      <c r="I189" s="29"/>
      <c r="J189" s="231"/>
      <c r="K189" s="231"/>
      <c r="L189" s="231"/>
      <c r="M189" s="231"/>
      <c r="N189" s="231"/>
      <c r="O189" s="231"/>
      <c r="P189" s="231"/>
      <c r="Q189" s="231"/>
      <c r="R189" s="231"/>
      <c r="S189" s="231"/>
      <c r="T189" s="231"/>
      <c r="U189" s="231"/>
      <c r="V189" s="231"/>
      <c r="W189" s="231"/>
      <c r="X189" s="231"/>
      <c r="Y189" s="231"/>
      <c r="Z189" s="231"/>
      <c r="AA189" s="231"/>
      <c r="AB189" s="231"/>
      <c r="AC189" s="231"/>
      <c r="AD189" s="231"/>
      <c r="AE189" s="231"/>
      <c r="AF189" s="231"/>
    </row>
    <row r="190" spans="1:32" s="203" customFormat="1">
      <c r="A190" s="124">
        <v>25</v>
      </c>
      <c r="B190" s="54" t="s">
        <v>160</v>
      </c>
      <c r="C190" s="54"/>
      <c r="D190" s="54"/>
      <c r="E190" s="56">
        <v>0</v>
      </c>
      <c r="F190" s="126">
        <v>0</v>
      </c>
      <c r="G190" s="118"/>
      <c r="H190" s="100">
        <v>0</v>
      </c>
      <c r="I190" s="24"/>
      <c r="J190" s="231"/>
      <c r="K190" s="231"/>
      <c r="L190" s="231"/>
      <c r="M190" s="231"/>
      <c r="N190" s="231"/>
      <c r="O190" s="231"/>
      <c r="P190" s="231"/>
      <c r="Q190" s="231"/>
      <c r="R190" s="231"/>
      <c r="S190" s="231"/>
      <c r="T190" s="231"/>
      <c r="U190" s="231"/>
      <c r="V190" s="231"/>
      <c r="W190" s="231"/>
      <c r="X190" s="231"/>
      <c r="Y190" s="231"/>
      <c r="Z190" s="231"/>
      <c r="AA190" s="231"/>
      <c r="AB190" s="231"/>
      <c r="AC190" s="231"/>
      <c r="AD190" s="231"/>
      <c r="AE190" s="231"/>
      <c r="AF190" s="231"/>
    </row>
    <row r="191" spans="1:32" s="203" customFormat="1">
      <c r="A191" s="161"/>
      <c r="B191" s="129"/>
      <c r="C191" s="129"/>
      <c r="D191" s="149"/>
      <c r="E191" s="162"/>
      <c r="F191" s="29"/>
      <c r="G191" s="29"/>
      <c r="H191" s="207"/>
      <c r="I191" s="29"/>
      <c r="J191" s="231"/>
      <c r="K191" s="231"/>
      <c r="L191" s="231"/>
      <c r="M191" s="231"/>
      <c r="N191" s="231"/>
      <c r="O191" s="231"/>
      <c r="P191" s="231"/>
      <c r="Q191" s="231"/>
      <c r="R191" s="231"/>
      <c r="S191" s="231"/>
      <c r="T191" s="231"/>
      <c r="U191" s="231"/>
      <c r="V191" s="231"/>
      <c r="W191" s="231"/>
      <c r="X191" s="231"/>
      <c r="Y191" s="231"/>
      <c r="Z191" s="231"/>
      <c r="AA191" s="231"/>
      <c r="AB191" s="231"/>
      <c r="AC191" s="231"/>
      <c r="AD191" s="231"/>
      <c r="AE191" s="231"/>
      <c r="AF191" s="231"/>
    </row>
    <row r="192" spans="1:32" s="203" customFormat="1">
      <c r="A192" s="161"/>
      <c r="B192" s="129"/>
      <c r="C192" s="129"/>
      <c r="D192" s="151"/>
      <c r="E192" s="163"/>
      <c r="F192" s="29"/>
      <c r="G192" s="29"/>
      <c r="H192" s="131" t="s">
        <v>27</v>
      </c>
      <c r="I192" s="29"/>
      <c r="J192" s="231"/>
      <c r="K192" s="231"/>
      <c r="L192" s="231"/>
      <c r="M192" s="231"/>
      <c r="N192" s="231"/>
      <c r="O192" s="231"/>
      <c r="P192" s="231"/>
      <c r="Q192" s="231"/>
      <c r="R192" s="231"/>
      <c r="S192" s="231"/>
      <c r="T192" s="231"/>
      <c r="U192" s="231"/>
      <c r="V192" s="231"/>
      <c r="W192" s="231"/>
      <c r="X192" s="231"/>
      <c r="Y192" s="231"/>
      <c r="Z192" s="231"/>
      <c r="AA192" s="231"/>
      <c r="AB192" s="231"/>
      <c r="AC192" s="231"/>
      <c r="AD192" s="231"/>
      <c r="AE192" s="231"/>
      <c r="AF192" s="231"/>
    </row>
    <row r="193" spans="1:32" s="203" customFormat="1" ht="12.75" customHeight="1">
      <c r="A193" s="106" t="s">
        <v>23</v>
      </c>
      <c r="B193" s="164"/>
      <c r="C193" s="164"/>
      <c r="D193" s="164"/>
      <c r="E193" s="856" t="s">
        <v>377</v>
      </c>
      <c r="F193" s="856" t="s">
        <v>402</v>
      </c>
      <c r="G193" s="130"/>
      <c r="H193" s="856" t="s">
        <v>403</v>
      </c>
      <c r="I193" s="130"/>
      <c r="J193" s="231"/>
      <c r="K193" s="231"/>
      <c r="L193" s="231"/>
      <c r="M193" s="231"/>
      <c r="N193" s="231"/>
      <c r="O193" s="231"/>
      <c r="P193" s="231"/>
      <c r="Q193" s="231"/>
      <c r="R193" s="231"/>
      <c r="S193" s="231"/>
      <c r="T193" s="231"/>
      <c r="U193" s="231"/>
      <c r="V193" s="231"/>
      <c r="W193" s="231"/>
      <c r="X193" s="231"/>
      <c r="Y193" s="231"/>
      <c r="Z193" s="231"/>
      <c r="AA193" s="231"/>
      <c r="AB193" s="231"/>
      <c r="AC193" s="231"/>
      <c r="AD193" s="231"/>
      <c r="AE193" s="231"/>
      <c r="AF193" s="231"/>
    </row>
    <row r="194" spans="1:32" s="203" customFormat="1" ht="23.25" customHeight="1">
      <c r="A194" s="165"/>
      <c r="B194" s="132"/>
      <c r="C194" s="132"/>
      <c r="D194" s="132"/>
      <c r="E194" s="859"/>
      <c r="F194" s="859"/>
      <c r="G194" s="130"/>
      <c r="H194" s="859"/>
      <c r="I194" s="130"/>
      <c r="J194" s="231"/>
      <c r="K194" s="231"/>
      <c r="L194" s="231"/>
      <c r="M194" s="231"/>
      <c r="N194" s="231"/>
      <c r="O194" s="231"/>
      <c r="P194" s="231"/>
      <c r="Q194" s="231"/>
      <c r="R194" s="231"/>
      <c r="S194" s="231"/>
      <c r="T194" s="231"/>
      <c r="U194" s="231"/>
      <c r="V194" s="231"/>
      <c r="W194" s="231"/>
      <c r="X194" s="231"/>
      <c r="Y194" s="231"/>
      <c r="Z194" s="231"/>
      <c r="AA194" s="231"/>
      <c r="AB194" s="231"/>
      <c r="AC194" s="231"/>
      <c r="AD194" s="231"/>
      <c r="AE194" s="231"/>
      <c r="AF194" s="231"/>
    </row>
    <row r="195" spans="1:32" s="203" customFormat="1">
      <c r="A195" s="154" t="s">
        <v>161</v>
      </c>
      <c r="B195" s="116"/>
      <c r="C195" s="116"/>
      <c r="D195" s="116"/>
      <c r="E195" s="859"/>
      <c r="F195" s="859"/>
      <c r="G195" s="130"/>
      <c r="H195" s="859"/>
      <c r="I195" s="130"/>
      <c r="J195" s="231"/>
      <c r="K195" s="231"/>
      <c r="L195" s="231"/>
      <c r="M195" s="231"/>
      <c r="N195" s="231"/>
      <c r="O195" s="231"/>
      <c r="P195" s="231"/>
      <c r="Q195" s="231"/>
      <c r="R195" s="231"/>
      <c r="S195" s="231"/>
      <c r="T195" s="231"/>
      <c r="U195" s="231"/>
      <c r="V195" s="231"/>
      <c r="W195" s="231"/>
      <c r="X195" s="231"/>
      <c r="Y195" s="231"/>
      <c r="Z195" s="231"/>
      <c r="AA195" s="231"/>
      <c r="AB195" s="231"/>
      <c r="AC195" s="231"/>
      <c r="AD195" s="231"/>
      <c r="AE195" s="231"/>
      <c r="AF195" s="231"/>
    </row>
    <row r="196" spans="1:32" s="203" customFormat="1">
      <c r="A196" s="109" t="s">
        <v>83</v>
      </c>
      <c r="B196" s="47"/>
      <c r="C196" s="47"/>
      <c r="D196" s="47"/>
      <c r="E196" s="859"/>
      <c r="F196" s="859"/>
      <c r="G196" s="130"/>
      <c r="H196" s="859"/>
      <c r="I196" s="130"/>
      <c r="J196" s="231"/>
      <c r="K196" s="231"/>
      <c r="L196" s="231"/>
      <c r="M196" s="231"/>
      <c r="N196" s="231"/>
      <c r="O196" s="231"/>
      <c r="P196" s="231"/>
      <c r="Q196" s="231"/>
      <c r="R196" s="231"/>
      <c r="S196" s="231"/>
      <c r="T196" s="231"/>
      <c r="U196" s="231"/>
      <c r="V196" s="231"/>
      <c r="W196" s="231"/>
      <c r="X196" s="231"/>
      <c r="Y196" s="231"/>
      <c r="Z196" s="231"/>
      <c r="AA196" s="231"/>
      <c r="AB196" s="231"/>
      <c r="AC196" s="231"/>
      <c r="AD196" s="231"/>
      <c r="AE196" s="231"/>
      <c r="AF196" s="231"/>
    </row>
    <row r="197" spans="1:32" s="203" customFormat="1">
      <c r="A197" s="110" t="s">
        <v>84</v>
      </c>
      <c r="B197" s="132"/>
      <c r="C197" s="132"/>
      <c r="D197" s="132"/>
      <c r="E197" s="860"/>
      <c r="F197" s="860"/>
      <c r="G197" s="130"/>
      <c r="H197" s="860"/>
      <c r="I197" s="130"/>
      <c r="J197" s="231"/>
      <c r="K197" s="231"/>
      <c r="L197" s="231"/>
      <c r="M197" s="231"/>
      <c r="N197" s="231"/>
      <c r="O197" s="231"/>
      <c r="P197" s="231"/>
      <c r="Q197" s="231"/>
      <c r="R197" s="231"/>
      <c r="S197" s="231"/>
      <c r="T197" s="231"/>
      <c r="U197" s="231"/>
      <c r="V197" s="231"/>
      <c r="W197" s="231"/>
      <c r="X197" s="231"/>
      <c r="Y197" s="231"/>
      <c r="Z197" s="231"/>
      <c r="AA197" s="231"/>
      <c r="AB197" s="231"/>
      <c r="AC197" s="231"/>
      <c r="AD197" s="231"/>
      <c r="AE197" s="231"/>
      <c r="AF197" s="231"/>
    </row>
    <row r="198" spans="1:32" s="203" customFormat="1">
      <c r="A198" s="153" t="s">
        <v>162</v>
      </c>
      <c r="B198" s="166"/>
      <c r="C198" s="166"/>
      <c r="D198" s="166"/>
      <c r="E198" s="167"/>
      <c r="F198" s="146"/>
      <c r="G198" s="118"/>
      <c r="H198" s="146"/>
      <c r="I198" s="29"/>
      <c r="J198" s="231"/>
      <c r="K198" s="231"/>
      <c r="L198" s="231"/>
      <c r="M198" s="231"/>
      <c r="N198" s="231"/>
      <c r="O198" s="231"/>
      <c r="P198" s="231"/>
      <c r="Q198" s="231"/>
      <c r="R198" s="231"/>
      <c r="S198" s="231"/>
      <c r="T198" s="231"/>
      <c r="U198" s="231"/>
      <c r="V198" s="231"/>
      <c r="W198" s="231"/>
      <c r="X198" s="231"/>
      <c r="Y198" s="231"/>
      <c r="Z198" s="231"/>
      <c r="AA198" s="231"/>
      <c r="AB198" s="231"/>
      <c r="AC198" s="231"/>
      <c r="AD198" s="231"/>
      <c r="AE198" s="231"/>
      <c r="AF198" s="231"/>
    </row>
    <row r="199" spans="1:32" s="203" customFormat="1">
      <c r="A199" s="120">
        <v>1</v>
      </c>
      <c r="B199" s="47" t="s">
        <v>163</v>
      </c>
      <c r="C199" s="47"/>
      <c r="D199" s="47"/>
      <c r="E199" s="74">
        <v>588</v>
      </c>
      <c r="F199" s="52">
        <v>611</v>
      </c>
      <c r="G199" s="118"/>
      <c r="H199" s="122">
        <v>926</v>
      </c>
      <c r="I199" s="29"/>
      <c r="J199" s="231"/>
      <c r="K199" s="231"/>
      <c r="L199" s="231"/>
      <c r="M199" s="231"/>
      <c r="N199" s="231"/>
      <c r="O199" s="231"/>
      <c r="P199" s="231"/>
      <c r="Q199" s="231"/>
      <c r="R199" s="231"/>
      <c r="S199" s="231"/>
      <c r="T199" s="231"/>
      <c r="U199" s="231"/>
      <c r="V199" s="231"/>
      <c r="W199" s="231"/>
      <c r="X199" s="231"/>
      <c r="Y199" s="231"/>
      <c r="Z199" s="231"/>
      <c r="AA199" s="231"/>
      <c r="AB199" s="231"/>
      <c r="AC199" s="231"/>
      <c r="AD199" s="231"/>
      <c r="AE199" s="231"/>
      <c r="AF199" s="231"/>
    </row>
    <row r="200" spans="1:32" s="203" customFormat="1">
      <c r="A200" s="120">
        <v>2</v>
      </c>
      <c r="B200" s="47" t="s">
        <v>164</v>
      </c>
      <c r="C200" s="47"/>
      <c r="D200" s="47"/>
      <c r="E200" s="56">
        <v>568</v>
      </c>
      <c r="F200" s="52">
        <v>567</v>
      </c>
      <c r="G200" s="118"/>
      <c r="H200" s="100">
        <v>513</v>
      </c>
      <c r="I200" s="29"/>
      <c r="J200" s="231"/>
      <c r="K200" s="231"/>
      <c r="L200" s="231"/>
      <c r="M200" s="231"/>
      <c r="N200" s="231"/>
      <c r="O200" s="231"/>
      <c r="P200" s="231"/>
      <c r="Q200" s="231"/>
      <c r="R200" s="231"/>
      <c r="S200" s="231"/>
      <c r="T200" s="231"/>
      <c r="U200" s="231"/>
      <c r="V200" s="231"/>
      <c r="W200" s="231"/>
      <c r="X200" s="231"/>
      <c r="Y200" s="231"/>
      <c r="Z200" s="231"/>
      <c r="AA200" s="231"/>
      <c r="AB200" s="231"/>
      <c r="AC200" s="231"/>
      <c r="AD200" s="231"/>
      <c r="AE200" s="231"/>
      <c r="AF200" s="231"/>
    </row>
    <row r="201" spans="1:32" s="203" customFormat="1">
      <c r="A201" s="120">
        <v>3</v>
      </c>
      <c r="B201" s="116" t="s">
        <v>165</v>
      </c>
      <c r="C201" s="116"/>
      <c r="D201" s="116"/>
      <c r="E201" s="80">
        <v>1156</v>
      </c>
      <c r="F201" s="142">
        <f>SUM(F199:F200)</f>
        <v>1178</v>
      </c>
      <c r="G201" s="118"/>
      <c r="H201" s="142">
        <f>SUM(H199:H200)</f>
        <v>1439</v>
      </c>
      <c r="I201" s="29"/>
      <c r="J201" s="231"/>
      <c r="K201" s="231"/>
      <c r="L201" s="231"/>
      <c r="M201" s="231"/>
      <c r="N201" s="231"/>
      <c r="O201" s="231"/>
      <c r="P201" s="231"/>
      <c r="Q201" s="231"/>
      <c r="R201" s="231"/>
      <c r="S201" s="231"/>
      <c r="T201" s="231"/>
      <c r="U201" s="231"/>
      <c r="V201" s="231"/>
      <c r="W201" s="231"/>
      <c r="X201" s="231"/>
      <c r="Y201" s="231"/>
      <c r="Z201" s="231"/>
      <c r="AA201" s="231"/>
      <c r="AB201" s="231"/>
      <c r="AC201" s="231"/>
      <c r="AD201" s="231"/>
      <c r="AE201" s="231"/>
      <c r="AF201" s="231"/>
    </row>
    <row r="202" spans="1:32" s="203" customFormat="1">
      <c r="A202" s="46"/>
      <c r="B202" s="132"/>
      <c r="C202" s="132"/>
      <c r="D202" s="132"/>
      <c r="E202" s="156"/>
      <c r="F202" s="139"/>
      <c r="G202" s="139"/>
      <c r="H202" s="139"/>
      <c r="I202" s="29"/>
      <c r="J202" s="231"/>
      <c r="K202" s="231"/>
      <c r="L202" s="231"/>
      <c r="M202" s="231"/>
      <c r="N202" s="231"/>
      <c r="O202" s="231"/>
      <c r="P202" s="231"/>
      <c r="Q202" s="231"/>
      <c r="R202" s="231"/>
      <c r="S202" s="231"/>
      <c r="T202" s="231"/>
      <c r="U202" s="231"/>
      <c r="V202" s="231"/>
      <c r="W202" s="231"/>
      <c r="X202" s="231"/>
      <c r="Y202" s="231"/>
      <c r="Z202" s="231"/>
      <c r="AA202" s="231"/>
      <c r="AB202" s="231"/>
      <c r="AC202" s="231"/>
      <c r="AD202" s="231"/>
      <c r="AE202" s="231"/>
      <c r="AF202" s="231"/>
    </row>
    <row r="203" spans="1:32" s="203" customFormat="1">
      <c r="A203" s="153" t="s">
        <v>166</v>
      </c>
      <c r="B203" s="116"/>
      <c r="C203" s="116"/>
      <c r="D203" s="116"/>
      <c r="E203" s="140"/>
      <c r="F203" s="146"/>
      <c r="G203" s="118"/>
      <c r="H203" s="146"/>
      <c r="I203" s="29"/>
      <c r="J203" s="231"/>
      <c r="K203" s="231"/>
      <c r="L203" s="231"/>
      <c r="M203" s="231"/>
      <c r="N203" s="231"/>
      <c r="O203" s="231"/>
      <c r="P203" s="231"/>
      <c r="Q203" s="231"/>
      <c r="R203" s="231"/>
      <c r="S203" s="231"/>
      <c r="T203" s="231"/>
      <c r="U203" s="231"/>
      <c r="V203" s="231"/>
      <c r="W203" s="231"/>
      <c r="X203" s="231"/>
      <c r="Y203" s="231"/>
      <c r="Z203" s="231"/>
      <c r="AA203" s="231"/>
      <c r="AB203" s="231"/>
      <c r="AC203" s="231"/>
      <c r="AD203" s="231"/>
      <c r="AE203" s="231"/>
      <c r="AF203" s="231"/>
    </row>
    <row r="204" spans="1:32" s="203" customFormat="1">
      <c r="A204" s="120">
        <v>4</v>
      </c>
      <c r="B204" s="47" t="s">
        <v>167</v>
      </c>
      <c r="C204" s="47"/>
      <c r="D204" s="47"/>
      <c r="E204" s="74">
        <v>5150</v>
      </c>
      <c r="F204" s="52">
        <v>4841</v>
      </c>
      <c r="G204" s="118"/>
      <c r="H204" s="122">
        <v>4865</v>
      </c>
      <c r="I204" s="29"/>
      <c r="J204" s="231"/>
      <c r="K204" s="231"/>
      <c r="L204" s="231"/>
      <c r="M204" s="231"/>
      <c r="N204" s="231"/>
      <c r="O204" s="231"/>
      <c r="P204" s="231"/>
      <c r="Q204" s="231"/>
      <c r="R204" s="231"/>
      <c r="S204" s="231"/>
      <c r="T204" s="231"/>
      <c r="U204" s="231"/>
      <c r="V204" s="231"/>
      <c r="W204" s="231"/>
      <c r="X204" s="231"/>
      <c r="Y204" s="231"/>
      <c r="Z204" s="231"/>
      <c r="AA204" s="231"/>
      <c r="AB204" s="231"/>
      <c r="AC204" s="231"/>
      <c r="AD204" s="231"/>
      <c r="AE204" s="231"/>
      <c r="AF204" s="231"/>
    </row>
    <row r="205" spans="1:32" s="203" customFormat="1">
      <c r="A205" s="120">
        <v>5</v>
      </c>
      <c r="B205" s="47" t="s">
        <v>168</v>
      </c>
      <c r="C205" s="47"/>
      <c r="D205" s="47"/>
      <c r="E205" s="49">
        <v>8726</v>
      </c>
      <c r="F205" s="52">
        <v>9906</v>
      </c>
      <c r="G205" s="118"/>
      <c r="H205" s="122">
        <v>11865</v>
      </c>
      <c r="I205" s="29"/>
      <c r="J205" s="231"/>
      <c r="K205" s="231"/>
      <c r="L205" s="231"/>
      <c r="M205" s="231"/>
      <c r="N205" s="231"/>
      <c r="O205" s="231"/>
      <c r="P205" s="231"/>
      <c r="Q205" s="231"/>
      <c r="R205" s="231"/>
      <c r="S205" s="231"/>
      <c r="T205" s="231"/>
      <c r="U205" s="231"/>
      <c r="V205" s="231"/>
      <c r="W205" s="231"/>
      <c r="X205" s="231"/>
      <c r="Y205" s="231"/>
      <c r="Z205" s="231"/>
      <c r="AA205" s="231"/>
      <c r="AB205" s="231"/>
      <c r="AC205" s="231"/>
      <c r="AD205" s="231"/>
      <c r="AE205" s="231"/>
      <c r="AF205" s="231"/>
    </row>
    <row r="206" spans="1:32" s="203" customFormat="1">
      <c r="A206" s="120">
        <v>6</v>
      </c>
      <c r="B206" s="47" t="s">
        <v>169</v>
      </c>
      <c r="C206" s="47"/>
      <c r="D206" s="47"/>
      <c r="E206" s="49">
        <v>1779</v>
      </c>
      <c r="F206" s="52">
        <v>2038</v>
      </c>
      <c r="G206" s="118"/>
      <c r="H206" s="100">
        <v>2190</v>
      </c>
      <c r="I206" s="29"/>
      <c r="J206" s="231"/>
      <c r="K206" s="231"/>
      <c r="L206" s="231"/>
      <c r="M206" s="231"/>
      <c r="N206" s="231"/>
      <c r="O206" s="231"/>
      <c r="P206" s="231"/>
      <c r="Q206" s="231"/>
      <c r="R206" s="231"/>
      <c r="S206" s="231"/>
      <c r="T206" s="231"/>
      <c r="U206" s="231"/>
      <c r="V206" s="231"/>
      <c r="W206" s="231"/>
      <c r="X206" s="231"/>
      <c r="Y206" s="231"/>
      <c r="Z206" s="231"/>
      <c r="AA206" s="231"/>
      <c r="AB206" s="231"/>
      <c r="AC206" s="231"/>
      <c r="AD206" s="231"/>
      <c r="AE206" s="231"/>
      <c r="AF206" s="231"/>
    </row>
    <row r="207" spans="1:32" s="203" customFormat="1">
      <c r="A207" s="120">
        <v>7</v>
      </c>
      <c r="B207" s="116" t="s">
        <v>170</v>
      </c>
      <c r="C207" s="116"/>
      <c r="D207" s="116"/>
      <c r="E207" s="80">
        <v>15655</v>
      </c>
      <c r="F207" s="142">
        <f>SUM(F204:F206)</f>
        <v>16785</v>
      </c>
      <c r="G207" s="118"/>
      <c r="H207" s="142">
        <f>SUM(H204:H206)</f>
        <v>18920</v>
      </c>
      <c r="I207" s="29"/>
      <c r="J207" s="231"/>
      <c r="K207" s="231"/>
      <c r="L207" s="231"/>
      <c r="M207" s="231"/>
      <c r="N207" s="231"/>
      <c r="O207" s="231"/>
      <c r="P207" s="231"/>
      <c r="Q207" s="231"/>
      <c r="R207" s="231"/>
      <c r="S207" s="231"/>
      <c r="T207" s="231"/>
      <c r="U207" s="231"/>
      <c r="V207" s="231"/>
      <c r="W207" s="231"/>
      <c r="X207" s="231"/>
      <c r="Y207" s="231"/>
      <c r="Z207" s="231"/>
      <c r="AA207" s="231"/>
      <c r="AB207" s="231"/>
      <c r="AC207" s="231"/>
      <c r="AD207" s="231"/>
      <c r="AE207" s="231"/>
      <c r="AF207" s="231"/>
    </row>
    <row r="208" spans="1:32" s="203" customFormat="1">
      <c r="A208" s="46"/>
      <c r="B208" s="132"/>
      <c r="C208" s="132"/>
      <c r="D208" s="132"/>
      <c r="E208" s="156"/>
      <c r="F208" s="139"/>
      <c r="G208" s="139"/>
      <c r="H208" s="139"/>
      <c r="I208" s="29"/>
      <c r="J208" s="231"/>
      <c r="K208" s="231"/>
      <c r="L208" s="231"/>
      <c r="M208" s="231"/>
      <c r="N208" s="231"/>
      <c r="O208" s="231"/>
      <c r="P208" s="231"/>
      <c r="Q208" s="231"/>
      <c r="R208" s="231"/>
      <c r="S208" s="231"/>
      <c r="T208" s="231"/>
      <c r="U208" s="231"/>
      <c r="V208" s="231"/>
      <c r="W208" s="231"/>
      <c r="X208" s="231"/>
      <c r="Y208" s="231"/>
      <c r="Z208" s="231"/>
      <c r="AA208" s="231"/>
      <c r="AB208" s="231"/>
      <c r="AC208" s="231"/>
      <c r="AD208" s="231"/>
      <c r="AE208" s="231"/>
      <c r="AF208" s="231"/>
    </row>
    <row r="209" spans="1:32" s="203" customFormat="1">
      <c r="A209" s="153" t="s">
        <v>121</v>
      </c>
      <c r="B209" s="168"/>
      <c r="C209" s="168"/>
      <c r="D209" s="168"/>
      <c r="E209" s="140"/>
      <c r="F209" s="146"/>
      <c r="G209" s="118"/>
      <c r="H209" s="146"/>
      <c r="I209" s="29"/>
      <c r="J209" s="231"/>
      <c r="K209" s="231"/>
      <c r="L209" s="231"/>
      <c r="M209" s="231"/>
      <c r="N209" s="231"/>
      <c r="O209" s="231"/>
      <c r="P209" s="231"/>
      <c r="Q209" s="231"/>
      <c r="R209" s="231"/>
      <c r="S209" s="231"/>
      <c r="T209" s="231"/>
      <c r="U209" s="231"/>
      <c r="V209" s="231"/>
      <c r="W209" s="231"/>
      <c r="X209" s="231"/>
      <c r="Y209" s="231"/>
      <c r="Z209" s="231"/>
      <c r="AA209" s="231"/>
      <c r="AB209" s="231"/>
      <c r="AC209" s="231"/>
      <c r="AD209" s="231"/>
      <c r="AE209" s="231"/>
      <c r="AF209" s="231"/>
    </row>
    <row r="210" spans="1:32" s="203" customFormat="1">
      <c r="A210" s="120">
        <v>8</v>
      </c>
      <c r="B210" s="47" t="s">
        <v>171</v>
      </c>
      <c r="C210" s="47"/>
      <c r="D210" s="47"/>
      <c r="E210" s="74">
        <v>339</v>
      </c>
      <c r="F210" s="52">
        <v>276</v>
      </c>
      <c r="G210" s="118"/>
      <c r="H210" s="122">
        <v>201</v>
      </c>
      <c r="I210" s="29"/>
      <c r="J210" s="231"/>
      <c r="K210" s="231"/>
      <c r="L210" s="231"/>
      <c r="M210" s="231"/>
      <c r="N210" s="231"/>
      <c r="O210" s="231"/>
      <c r="P210" s="231"/>
      <c r="Q210" s="231"/>
      <c r="R210" s="231"/>
      <c r="S210" s="231"/>
      <c r="T210" s="231"/>
      <c r="U210" s="231"/>
      <c r="V210" s="231"/>
      <c r="W210" s="231"/>
      <c r="X210" s="231"/>
      <c r="Y210" s="231"/>
      <c r="Z210" s="231"/>
      <c r="AA210" s="231"/>
      <c r="AB210" s="231"/>
      <c r="AC210" s="231"/>
      <c r="AD210" s="231"/>
      <c r="AE210" s="231"/>
      <c r="AF210" s="231"/>
    </row>
    <row r="211" spans="1:32" s="203" customFormat="1">
      <c r="A211" s="120">
        <v>9</v>
      </c>
      <c r="B211" s="47" t="s">
        <v>172</v>
      </c>
      <c r="C211" s="47"/>
      <c r="D211" s="47"/>
      <c r="E211" s="49">
        <v>0</v>
      </c>
      <c r="F211" s="52">
        <v>0</v>
      </c>
      <c r="G211" s="118"/>
      <c r="H211" s="122">
        <v>0</v>
      </c>
      <c r="I211" s="29"/>
      <c r="J211" s="231"/>
      <c r="K211" s="231"/>
      <c r="L211" s="231"/>
      <c r="M211" s="231"/>
      <c r="N211" s="231"/>
      <c r="O211" s="231"/>
      <c r="P211" s="231"/>
      <c r="Q211" s="231"/>
      <c r="R211" s="231"/>
      <c r="S211" s="231"/>
      <c r="T211" s="231"/>
      <c r="U211" s="231"/>
      <c r="V211" s="231"/>
      <c r="W211" s="231"/>
      <c r="X211" s="231"/>
      <c r="Y211" s="231"/>
      <c r="Z211" s="231"/>
      <c r="AA211" s="231"/>
      <c r="AB211" s="231"/>
      <c r="AC211" s="231"/>
      <c r="AD211" s="231"/>
      <c r="AE211" s="231"/>
      <c r="AF211" s="231"/>
    </row>
    <row r="212" spans="1:32" s="203" customFormat="1">
      <c r="A212" s="120">
        <v>10</v>
      </c>
      <c r="B212" s="47" t="s">
        <v>173</v>
      </c>
      <c r="C212" s="47"/>
      <c r="D212" s="47"/>
      <c r="E212" s="49">
        <v>271</v>
      </c>
      <c r="F212" s="52">
        <v>246</v>
      </c>
      <c r="G212" s="118"/>
      <c r="H212" s="122">
        <v>247</v>
      </c>
      <c r="I212" s="29"/>
      <c r="J212" s="231"/>
      <c r="K212" s="231"/>
      <c r="L212" s="231"/>
      <c r="M212" s="231"/>
      <c r="N212" s="231"/>
      <c r="O212" s="231"/>
      <c r="P212" s="231"/>
      <c r="Q212" s="231"/>
      <c r="R212" s="231"/>
      <c r="S212" s="231"/>
      <c r="T212" s="231"/>
      <c r="U212" s="231"/>
      <c r="V212" s="231"/>
      <c r="W212" s="231"/>
      <c r="X212" s="231"/>
      <c r="Y212" s="231"/>
      <c r="Z212" s="231"/>
      <c r="AA212" s="231"/>
      <c r="AB212" s="231"/>
      <c r="AC212" s="231"/>
      <c r="AD212" s="231"/>
      <c r="AE212" s="231"/>
      <c r="AF212" s="231"/>
    </row>
    <row r="213" spans="1:32" s="203" customFormat="1">
      <c r="A213" s="120">
        <v>11</v>
      </c>
      <c r="B213" s="47" t="s">
        <v>174</v>
      </c>
      <c r="C213" s="47"/>
      <c r="D213" s="47"/>
      <c r="E213" s="49">
        <v>2898</v>
      </c>
      <c r="F213" s="52">
        <v>2468</v>
      </c>
      <c r="G213" s="118"/>
      <c r="H213" s="99">
        <v>2173</v>
      </c>
      <c r="I213" s="29"/>
      <c r="J213" s="231"/>
      <c r="K213" s="231"/>
      <c r="L213" s="231"/>
      <c r="M213" s="231"/>
      <c r="N213" s="231"/>
      <c r="O213" s="231"/>
      <c r="P213" s="231"/>
      <c r="Q213" s="231"/>
      <c r="R213" s="231"/>
      <c r="S213" s="231"/>
      <c r="T213" s="231"/>
      <c r="U213" s="231"/>
      <c r="V213" s="231"/>
      <c r="W213" s="231"/>
      <c r="X213" s="231"/>
      <c r="Y213" s="231"/>
      <c r="Z213" s="231"/>
      <c r="AA213" s="231"/>
      <c r="AB213" s="231"/>
      <c r="AC213" s="231"/>
      <c r="AD213" s="231"/>
      <c r="AE213" s="231"/>
      <c r="AF213" s="231"/>
    </row>
    <row r="214" spans="1:32" s="203" customFormat="1">
      <c r="A214" s="120">
        <v>12</v>
      </c>
      <c r="B214" s="116" t="s">
        <v>175</v>
      </c>
      <c r="C214" s="116"/>
      <c r="D214" s="116"/>
      <c r="E214" s="159">
        <v>20319</v>
      </c>
      <c r="F214" s="61">
        <f>F201+F207+SUM(F210:F213)</f>
        <v>20953</v>
      </c>
      <c r="G214" s="118"/>
      <c r="H214" s="61">
        <f>H201+H207+SUM(H210:H213)</f>
        <v>22980</v>
      </c>
      <c r="I214" s="29"/>
      <c r="J214" s="231"/>
      <c r="K214" s="231"/>
      <c r="L214" s="231"/>
      <c r="M214" s="231"/>
      <c r="N214" s="231"/>
      <c r="O214" s="231"/>
      <c r="P214" s="231"/>
      <c r="Q214" s="231"/>
      <c r="R214" s="231"/>
      <c r="S214" s="231"/>
      <c r="T214" s="231"/>
      <c r="U214" s="231"/>
      <c r="V214" s="231"/>
      <c r="W214" s="231"/>
      <c r="X214" s="231"/>
      <c r="Y214" s="231"/>
      <c r="Z214" s="231"/>
      <c r="AA214" s="231"/>
      <c r="AB214" s="231"/>
      <c r="AC214" s="231"/>
      <c r="AD214" s="231"/>
      <c r="AE214" s="231"/>
      <c r="AF214" s="231"/>
    </row>
    <row r="215" spans="1:32" s="203" customFormat="1">
      <c r="A215" s="111"/>
      <c r="B215" s="47"/>
      <c r="C215" s="47"/>
      <c r="D215" s="47"/>
      <c r="E215" s="117"/>
      <c r="F215" s="118"/>
      <c r="G215" s="118"/>
      <c r="H215" s="118"/>
      <c r="I215" s="29"/>
      <c r="J215" s="231"/>
      <c r="K215" s="231"/>
      <c r="L215" s="231"/>
      <c r="M215" s="231"/>
      <c r="N215" s="231"/>
      <c r="O215" s="231"/>
      <c r="P215" s="231"/>
      <c r="Q215" s="231"/>
      <c r="R215" s="231"/>
      <c r="S215" s="231"/>
      <c r="T215" s="231"/>
      <c r="U215" s="231"/>
      <c r="V215" s="231"/>
      <c r="W215" s="231"/>
      <c r="X215" s="231"/>
      <c r="Y215" s="231"/>
      <c r="Z215" s="231"/>
      <c r="AA215" s="231"/>
      <c r="AB215" s="231"/>
      <c r="AC215" s="231"/>
      <c r="AD215" s="231"/>
      <c r="AE215" s="231"/>
      <c r="AF215" s="231"/>
    </row>
    <row r="216" spans="1:32" s="203" customFormat="1">
      <c r="A216" s="119" t="s">
        <v>176</v>
      </c>
      <c r="B216" s="116"/>
      <c r="C216" s="116"/>
      <c r="D216" s="116"/>
      <c r="E216" s="117"/>
      <c r="F216" s="160"/>
      <c r="G216" s="118"/>
      <c r="H216" s="160"/>
      <c r="I216" s="29"/>
      <c r="J216" s="231"/>
      <c r="K216" s="231"/>
      <c r="L216" s="231"/>
      <c r="M216" s="231"/>
      <c r="N216" s="231"/>
      <c r="O216" s="231"/>
      <c r="P216" s="231"/>
      <c r="Q216" s="231"/>
      <c r="R216" s="231"/>
      <c r="S216" s="231"/>
      <c r="T216" s="231"/>
      <c r="U216" s="231"/>
      <c r="V216" s="231"/>
      <c r="W216" s="231"/>
      <c r="X216" s="231"/>
      <c r="Y216" s="231"/>
      <c r="Z216" s="231"/>
      <c r="AA216" s="231"/>
      <c r="AB216" s="231"/>
      <c r="AC216" s="231"/>
      <c r="AD216" s="231"/>
      <c r="AE216" s="231"/>
      <c r="AF216" s="231"/>
    </row>
    <row r="217" spans="1:32" s="203" customFormat="1">
      <c r="A217" s="120">
        <v>13</v>
      </c>
      <c r="B217" s="47" t="s">
        <v>177</v>
      </c>
      <c r="C217" s="47"/>
      <c r="D217" s="47"/>
      <c r="E217" s="41">
        <v>510</v>
      </c>
      <c r="F217" s="121">
        <v>457</v>
      </c>
      <c r="G217" s="118"/>
      <c r="H217" s="169">
        <v>442</v>
      </c>
      <c r="I217" s="29"/>
      <c r="J217" s="231"/>
      <c r="K217" s="231"/>
      <c r="L217" s="231"/>
      <c r="M217" s="231"/>
      <c r="N217" s="231"/>
      <c r="O217" s="231"/>
      <c r="P217" s="231"/>
      <c r="Q217" s="231"/>
      <c r="R217" s="231"/>
      <c r="S217" s="231"/>
      <c r="T217" s="231"/>
      <c r="U217" s="231"/>
      <c r="V217" s="231"/>
      <c r="W217" s="231"/>
      <c r="X217" s="231"/>
      <c r="Y217" s="231"/>
      <c r="Z217" s="231"/>
      <c r="AA217" s="231"/>
      <c r="AB217" s="231"/>
      <c r="AC217" s="231"/>
      <c r="AD217" s="231"/>
      <c r="AE217" s="231"/>
      <c r="AF217" s="231"/>
    </row>
    <row r="218" spans="1:32" s="203" customFormat="1">
      <c r="A218" s="124">
        <v>14</v>
      </c>
      <c r="B218" s="54" t="s">
        <v>178</v>
      </c>
      <c r="C218" s="54"/>
      <c r="D218" s="54"/>
      <c r="E218" s="56">
        <v>1479</v>
      </c>
      <c r="F218" s="126">
        <v>1290</v>
      </c>
      <c r="G218" s="118"/>
      <c r="H218" s="100">
        <v>1321</v>
      </c>
      <c r="I218" s="29"/>
      <c r="J218" s="231"/>
      <c r="K218" s="231"/>
      <c r="L218" s="231"/>
      <c r="M218" s="231"/>
      <c r="N218" s="231"/>
      <c r="O218" s="231"/>
      <c r="P218" s="231"/>
      <c r="Q218" s="231"/>
      <c r="R218" s="231"/>
      <c r="S218" s="231"/>
      <c r="T218" s="231"/>
      <c r="U218" s="231"/>
      <c r="V218" s="231"/>
      <c r="W218" s="231"/>
      <c r="X218" s="231"/>
      <c r="Y218" s="231"/>
      <c r="Z218" s="231"/>
      <c r="AA218" s="231"/>
      <c r="AB218" s="231"/>
      <c r="AC218" s="231"/>
      <c r="AD218" s="231"/>
      <c r="AE218" s="231"/>
      <c r="AF218" s="231"/>
    </row>
    <row r="219" spans="1:32" s="203" customFormat="1">
      <c r="A219" s="148"/>
      <c r="B219" s="29"/>
      <c r="C219" s="29"/>
      <c r="D219" s="170"/>
      <c r="E219" s="171"/>
      <c r="F219" s="29"/>
      <c r="G219" s="29"/>
      <c r="H219" s="207"/>
      <c r="I219" s="29"/>
      <c r="J219" s="231"/>
      <c r="K219" s="231"/>
      <c r="L219" s="231"/>
      <c r="M219" s="231"/>
      <c r="N219" s="231"/>
      <c r="O219" s="231"/>
      <c r="P219" s="231"/>
      <c r="Q219" s="231"/>
      <c r="R219" s="231"/>
      <c r="S219" s="231"/>
      <c r="T219" s="231"/>
      <c r="U219" s="231"/>
      <c r="V219" s="231"/>
      <c r="W219" s="231"/>
      <c r="X219" s="231"/>
      <c r="Y219" s="231"/>
      <c r="Z219" s="231"/>
      <c r="AA219" s="231"/>
      <c r="AB219" s="231"/>
      <c r="AC219" s="231"/>
      <c r="AD219" s="231"/>
      <c r="AE219" s="231"/>
      <c r="AF219" s="231"/>
    </row>
    <row r="220" spans="1:32" s="203" customFormat="1">
      <c r="A220" s="148"/>
      <c r="B220" s="29"/>
      <c r="C220" s="29"/>
      <c r="D220" s="172"/>
      <c r="E220" s="152"/>
      <c r="F220" s="29"/>
      <c r="G220" s="29"/>
      <c r="H220" s="131" t="s">
        <v>27</v>
      </c>
      <c r="I220" s="29"/>
      <c r="J220" s="231"/>
      <c r="K220" s="231"/>
      <c r="L220" s="231"/>
      <c r="M220" s="231"/>
      <c r="N220" s="231"/>
      <c r="O220" s="231"/>
      <c r="P220" s="231"/>
      <c r="Q220" s="231"/>
      <c r="R220" s="231"/>
      <c r="S220" s="231"/>
      <c r="T220" s="231"/>
      <c r="U220" s="231"/>
      <c r="V220" s="231"/>
      <c r="W220" s="231"/>
      <c r="X220" s="231"/>
      <c r="Y220" s="231"/>
      <c r="Z220" s="231"/>
      <c r="AA220" s="231"/>
      <c r="AB220" s="231"/>
      <c r="AC220" s="231"/>
      <c r="AD220" s="231"/>
      <c r="AE220" s="231"/>
      <c r="AF220" s="231"/>
    </row>
    <row r="221" spans="1:32" s="203" customFormat="1" ht="12.75" customHeight="1">
      <c r="A221" s="106" t="s">
        <v>10</v>
      </c>
      <c r="B221" s="164"/>
      <c r="C221" s="164"/>
      <c r="D221" s="164"/>
      <c r="E221" s="856" t="s">
        <v>377</v>
      </c>
      <c r="F221" s="856" t="s">
        <v>402</v>
      </c>
      <c r="G221" s="130"/>
      <c r="H221" s="856" t="s">
        <v>403</v>
      </c>
      <c r="I221" s="130"/>
      <c r="J221" s="231"/>
      <c r="K221" s="231"/>
      <c r="L221" s="231"/>
      <c r="M221" s="231"/>
      <c r="N221" s="231"/>
      <c r="O221" s="231"/>
      <c r="P221" s="231"/>
      <c r="Q221" s="231"/>
      <c r="R221" s="231"/>
      <c r="S221" s="231"/>
      <c r="T221" s="231"/>
      <c r="U221" s="231"/>
      <c r="V221" s="231"/>
      <c r="W221" s="231"/>
      <c r="X221" s="231"/>
      <c r="Y221" s="231"/>
      <c r="Z221" s="231"/>
      <c r="AA221" s="231"/>
      <c r="AB221" s="231"/>
      <c r="AC221" s="231"/>
      <c r="AD221" s="231"/>
      <c r="AE221" s="231"/>
      <c r="AF221" s="231"/>
    </row>
    <row r="222" spans="1:32" s="203" customFormat="1">
      <c r="A222" s="109"/>
      <c r="B222" s="132"/>
      <c r="C222" s="132"/>
      <c r="D222" s="132"/>
      <c r="E222" s="859"/>
      <c r="F222" s="859"/>
      <c r="G222" s="130"/>
      <c r="H222" s="859"/>
      <c r="I222" s="130"/>
      <c r="J222" s="231"/>
      <c r="K222" s="231"/>
      <c r="L222" s="231"/>
      <c r="M222" s="231"/>
      <c r="N222" s="231"/>
      <c r="O222" s="231"/>
      <c r="P222" s="231"/>
      <c r="Q222" s="231"/>
      <c r="R222" s="231"/>
      <c r="S222" s="231"/>
      <c r="T222" s="231"/>
      <c r="U222" s="231"/>
      <c r="V222" s="231"/>
      <c r="W222" s="231"/>
      <c r="X222" s="231"/>
      <c r="Y222" s="231"/>
      <c r="Z222" s="231"/>
      <c r="AA222" s="231"/>
      <c r="AB222" s="231"/>
      <c r="AC222" s="231"/>
      <c r="AD222" s="231"/>
      <c r="AE222" s="231"/>
      <c r="AF222" s="231"/>
    </row>
    <row r="223" spans="1:32" s="203" customFormat="1">
      <c r="A223" s="154" t="s">
        <v>179</v>
      </c>
      <c r="B223" s="116"/>
      <c r="C223" s="116"/>
      <c r="D223" s="116"/>
      <c r="E223" s="859"/>
      <c r="F223" s="859"/>
      <c r="G223" s="130"/>
      <c r="H223" s="859"/>
      <c r="I223" s="130"/>
      <c r="J223" s="231"/>
      <c r="K223" s="231"/>
      <c r="L223" s="231"/>
      <c r="M223" s="231"/>
      <c r="N223" s="231"/>
      <c r="O223" s="231"/>
      <c r="P223" s="231"/>
      <c r="Q223" s="231"/>
      <c r="R223" s="231"/>
      <c r="S223" s="231"/>
      <c r="T223" s="231"/>
      <c r="U223" s="231"/>
      <c r="V223" s="231"/>
      <c r="W223" s="231"/>
      <c r="X223" s="231"/>
      <c r="Y223" s="231"/>
      <c r="Z223" s="231"/>
      <c r="AA223" s="231"/>
      <c r="AB223" s="231"/>
      <c r="AC223" s="231"/>
      <c r="AD223" s="231"/>
      <c r="AE223" s="231"/>
      <c r="AF223" s="231"/>
    </row>
    <row r="224" spans="1:32" s="203" customFormat="1">
      <c r="A224" s="109" t="s">
        <v>83</v>
      </c>
      <c r="B224" s="47"/>
      <c r="C224" s="47"/>
      <c r="D224" s="47"/>
      <c r="E224" s="859"/>
      <c r="F224" s="859"/>
      <c r="G224" s="130"/>
      <c r="H224" s="859"/>
      <c r="I224" s="130"/>
      <c r="J224" s="231"/>
      <c r="K224" s="231"/>
      <c r="L224" s="231"/>
      <c r="M224" s="231"/>
      <c r="N224" s="231"/>
      <c r="O224" s="231"/>
      <c r="P224" s="231"/>
      <c r="Q224" s="231"/>
      <c r="R224" s="231"/>
      <c r="S224" s="231"/>
      <c r="T224" s="231"/>
      <c r="U224" s="231"/>
      <c r="V224" s="231"/>
      <c r="W224" s="231"/>
      <c r="X224" s="231"/>
      <c r="Y224" s="231"/>
      <c r="Z224" s="231"/>
      <c r="AA224" s="231"/>
      <c r="AB224" s="231"/>
      <c r="AC224" s="231"/>
      <c r="AD224" s="231"/>
      <c r="AE224" s="231"/>
      <c r="AF224" s="231"/>
    </row>
    <row r="225" spans="1:32" s="203" customFormat="1">
      <c r="A225" s="110" t="s">
        <v>84</v>
      </c>
      <c r="B225" s="132"/>
      <c r="C225" s="132"/>
      <c r="D225" s="132"/>
      <c r="E225" s="860"/>
      <c r="F225" s="860"/>
      <c r="G225" s="130"/>
      <c r="H225" s="860"/>
      <c r="I225" s="130"/>
      <c r="J225" s="231"/>
      <c r="K225" s="231"/>
      <c r="L225" s="231"/>
      <c r="M225" s="231"/>
      <c r="N225" s="231"/>
      <c r="O225" s="231"/>
      <c r="P225" s="231"/>
      <c r="Q225" s="231"/>
      <c r="R225" s="231"/>
      <c r="S225" s="231"/>
      <c r="T225" s="231"/>
      <c r="U225" s="231"/>
      <c r="V225" s="231"/>
      <c r="W225" s="231"/>
      <c r="X225" s="231"/>
      <c r="Y225" s="231"/>
      <c r="Z225" s="231"/>
      <c r="AA225" s="231"/>
      <c r="AB225" s="231"/>
      <c r="AC225" s="231"/>
      <c r="AD225" s="231"/>
      <c r="AE225" s="231"/>
      <c r="AF225" s="231"/>
    </row>
    <row r="226" spans="1:32" s="203" customFormat="1">
      <c r="A226" s="120">
        <v>1</v>
      </c>
      <c r="B226" s="47" t="s">
        <v>180</v>
      </c>
      <c r="C226" s="47"/>
      <c r="D226" s="47"/>
      <c r="E226" s="41">
        <v>-217</v>
      </c>
      <c r="F226" s="52">
        <v>-63</v>
      </c>
      <c r="G226" s="118"/>
      <c r="H226" s="133">
        <v>-73</v>
      </c>
      <c r="I226" s="29"/>
      <c r="J226" s="231"/>
      <c r="K226" s="231"/>
      <c r="L226" s="231"/>
      <c r="M226" s="231"/>
      <c r="N226" s="231"/>
      <c r="O226" s="231"/>
      <c r="P226" s="231"/>
      <c r="Q226" s="231"/>
      <c r="R226" s="231"/>
      <c r="S226" s="231"/>
      <c r="T226" s="231"/>
      <c r="U226" s="231"/>
      <c r="V226" s="231"/>
      <c r="W226" s="231"/>
      <c r="X226" s="231"/>
      <c r="Y226" s="231"/>
      <c r="Z226" s="231"/>
      <c r="AA226" s="231"/>
      <c r="AB226" s="231"/>
      <c r="AC226" s="231"/>
      <c r="AD226" s="231"/>
      <c r="AE226" s="231"/>
      <c r="AF226" s="231"/>
    </row>
    <row r="227" spans="1:32" s="203" customFormat="1">
      <c r="A227" s="120">
        <v>2</v>
      </c>
      <c r="B227" s="47" t="s">
        <v>181</v>
      </c>
      <c r="C227" s="47"/>
      <c r="D227" s="47"/>
      <c r="E227" s="49">
        <v>307</v>
      </c>
      <c r="F227" s="52">
        <v>33</v>
      </c>
      <c r="G227" s="118"/>
      <c r="H227" s="122">
        <v>218</v>
      </c>
      <c r="I227" s="29"/>
      <c r="J227" s="231"/>
      <c r="K227" s="231"/>
      <c r="L227" s="231"/>
      <c r="M227" s="231"/>
      <c r="N227" s="231"/>
      <c r="O227" s="231"/>
      <c r="P227" s="231"/>
      <c r="Q227" s="231"/>
      <c r="R227" s="231"/>
      <c r="S227" s="231"/>
      <c r="T227" s="231"/>
      <c r="U227" s="231"/>
      <c r="V227" s="231"/>
      <c r="W227" s="231"/>
      <c r="X227" s="231"/>
      <c r="Y227" s="231"/>
      <c r="Z227" s="231"/>
      <c r="AA227" s="231"/>
      <c r="AB227" s="231"/>
      <c r="AC227" s="231"/>
      <c r="AD227" s="231"/>
      <c r="AE227" s="231"/>
      <c r="AF227" s="231"/>
    </row>
    <row r="228" spans="1:32" s="203" customFormat="1">
      <c r="A228" s="120">
        <v>3</v>
      </c>
      <c r="B228" s="47" t="s">
        <v>182</v>
      </c>
      <c r="C228" s="47"/>
      <c r="D228" s="47"/>
      <c r="E228" s="114">
        <v>632</v>
      </c>
      <c r="F228" s="52">
        <v>574</v>
      </c>
      <c r="G228" s="118"/>
      <c r="H228" s="122">
        <v>586</v>
      </c>
      <c r="I228" s="29"/>
      <c r="J228" s="231"/>
      <c r="K228" s="231"/>
      <c r="L228" s="231"/>
      <c r="M228" s="231"/>
      <c r="N228" s="231"/>
      <c r="O228" s="231"/>
      <c r="P228" s="231"/>
      <c r="Q228" s="231"/>
      <c r="R228" s="231"/>
      <c r="S228" s="231"/>
      <c r="T228" s="231"/>
      <c r="U228" s="231"/>
      <c r="V228" s="231"/>
      <c r="W228" s="231"/>
      <c r="X228" s="231"/>
      <c r="Y228" s="231"/>
      <c r="Z228" s="231"/>
      <c r="AA228" s="231"/>
      <c r="AB228" s="231"/>
      <c r="AC228" s="231"/>
      <c r="AD228" s="231"/>
      <c r="AE228" s="231"/>
      <c r="AF228" s="231"/>
    </row>
    <row r="229" spans="1:32" s="203" customFormat="1">
      <c r="A229" s="120">
        <v>4</v>
      </c>
      <c r="B229" s="47" t="s">
        <v>183</v>
      </c>
      <c r="C229" s="47"/>
      <c r="D229" s="47"/>
      <c r="E229" s="114">
        <v>90</v>
      </c>
      <c r="F229" s="52">
        <v>38</v>
      </c>
      <c r="G229" s="118"/>
      <c r="H229" s="122">
        <v>23</v>
      </c>
      <c r="I229" s="29"/>
      <c r="J229" s="231"/>
      <c r="K229" s="231"/>
      <c r="L229" s="231"/>
      <c r="M229" s="231"/>
      <c r="N229" s="231"/>
      <c r="O229" s="231"/>
      <c r="P229" s="231"/>
      <c r="Q229" s="231"/>
      <c r="R229" s="231"/>
      <c r="S229" s="231"/>
      <c r="T229" s="231"/>
      <c r="U229" s="231"/>
      <c r="V229" s="231"/>
      <c r="W229" s="231"/>
      <c r="X229" s="231"/>
      <c r="Y229" s="231"/>
      <c r="Z229" s="231"/>
      <c r="AA229" s="231"/>
      <c r="AB229" s="231"/>
      <c r="AC229" s="231"/>
      <c r="AD229" s="231"/>
      <c r="AE229" s="231"/>
      <c r="AF229" s="231"/>
    </row>
    <row r="230" spans="1:32" s="203" customFormat="1">
      <c r="A230" s="120">
        <v>5</v>
      </c>
      <c r="B230" s="47" t="s">
        <v>184</v>
      </c>
      <c r="C230" s="47"/>
      <c r="D230" s="47"/>
      <c r="E230" s="114">
        <v>3417</v>
      </c>
      <c r="F230" s="52">
        <v>4196</v>
      </c>
      <c r="G230" s="118"/>
      <c r="H230" s="99">
        <v>3459</v>
      </c>
      <c r="I230" s="29"/>
      <c r="J230" s="231"/>
      <c r="K230" s="231"/>
      <c r="L230" s="231"/>
      <c r="M230" s="231"/>
      <c r="N230" s="231"/>
      <c r="O230" s="231"/>
      <c r="P230" s="231"/>
      <c r="Q230" s="231"/>
      <c r="R230" s="231"/>
      <c r="S230" s="231"/>
      <c r="T230" s="231"/>
      <c r="U230" s="231"/>
      <c r="V230" s="231"/>
      <c r="W230" s="231"/>
      <c r="X230" s="231"/>
      <c r="Y230" s="231"/>
      <c r="Z230" s="231"/>
      <c r="AA230" s="231"/>
      <c r="AB230" s="231"/>
      <c r="AC230" s="231"/>
      <c r="AD230" s="231"/>
      <c r="AE230" s="231"/>
      <c r="AF230" s="231"/>
    </row>
    <row r="231" spans="1:32" s="203" customFormat="1">
      <c r="A231" s="124">
        <v>6</v>
      </c>
      <c r="B231" s="173" t="s">
        <v>185</v>
      </c>
      <c r="C231" s="173"/>
      <c r="D231" s="173"/>
      <c r="E231" s="159">
        <v>4229</v>
      </c>
      <c r="F231" s="61">
        <f>SUM(F226:F230)</f>
        <v>4778</v>
      </c>
      <c r="G231" s="118"/>
      <c r="H231" s="61">
        <f>SUM(H226:H230)</f>
        <v>4213</v>
      </c>
      <c r="I231" s="29"/>
      <c r="J231" s="231"/>
      <c r="K231" s="231"/>
      <c r="L231" s="231"/>
      <c r="M231" s="231"/>
      <c r="N231" s="231"/>
      <c r="O231" s="231"/>
      <c r="P231" s="231"/>
      <c r="Q231" s="231"/>
      <c r="R231" s="231"/>
      <c r="S231" s="231"/>
      <c r="T231" s="231"/>
      <c r="U231" s="231"/>
      <c r="V231" s="231"/>
      <c r="W231" s="231"/>
      <c r="X231" s="231"/>
      <c r="Y231" s="231"/>
      <c r="Z231" s="231"/>
      <c r="AA231" s="231"/>
      <c r="AB231" s="231"/>
      <c r="AC231" s="231"/>
      <c r="AD231" s="231"/>
      <c r="AE231" s="231"/>
      <c r="AF231" s="231"/>
    </row>
    <row r="232" spans="1:32" s="203" customFormat="1">
      <c r="A232" s="148"/>
      <c r="B232" s="29"/>
      <c r="C232" s="29"/>
      <c r="D232" s="170"/>
      <c r="E232" s="150"/>
      <c r="F232" s="29"/>
      <c r="G232" s="29"/>
      <c r="H232" s="207"/>
      <c r="I232" s="29"/>
      <c r="J232" s="231"/>
      <c r="K232" s="231"/>
      <c r="L232" s="231"/>
      <c r="M232" s="231"/>
      <c r="N232" s="231"/>
      <c r="O232" s="231"/>
      <c r="P232" s="231"/>
      <c r="Q232" s="231"/>
      <c r="R232" s="231"/>
      <c r="S232" s="231"/>
      <c r="T232" s="231"/>
      <c r="U232" s="231"/>
      <c r="V232" s="231"/>
      <c r="W232" s="231"/>
      <c r="X232" s="231"/>
      <c r="Y232" s="231"/>
      <c r="Z232" s="231"/>
      <c r="AA232" s="231"/>
      <c r="AB232" s="231"/>
      <c r="AC232" s="231"/>
      <c r="AD232" s="231"/>
      <c r="AE232" s="231"/>
      <c r="AF232" s="231"/>
    </row>
    <row r="233" spans="1:32" s="203" customFormat="1">
      <c r="A233" s="148"/>
      <c r="B233" s="29"/>
      <c r="C233" s="29"/>
      <c r="D233" s="172"/>
      <c r="E233" s="152"/>
      <c r="F233" s="29"/>
      <c r="G233" s="29"/>
      <c r="H233" s="131" t="s">
        <v>27</v>
      </c>
      <c r="I233" s="29"/>
      <c r="J233" s="231"/>
      <c r="K233" s="231"/>
      <c r="L233" s="231"/>
      <c r="M233" s="231"/>
      <c r="N233" s="231"/>
      <c r="O233" s="231"/>
      <c r="P233" s="231"/>
      <c r="Q233" s="231"/>
      <c r="R233" s="231"/>
      <c r="S233" s="231"/>
      <c r="T233" s="231"/>
      <c r="U233" s="231"/>
      <c r="V233" s="231"/>
      <c r="W233" s="231"/>
      <c r="X233" s="231"/>
      <c r="Y233" s="231"/>
      <c r="Z233" s="231"/>
      <c r="AA233" s="231"/>
      <c r="AB233" s="231"/>
      <c r="AC233" s="231"/>
      <c r="AD233" s="231"/>
      <c r="AE233" s="231"/>
      <c r="AF233" s="231"/>
    </row>
    <row r="234" spans="1:32" s="203" customFormat="1" ht="12.75" customHeight="1">
      <c r="A234" s="106" t="s">
        <v>12</v>
      </c>
      <c r="B234" s="164"/>
      <c r="C234" s="164"/>
      <c r="D234" s="164"/>
      <c r="E234" s="856" t="s">
        <v>377</v>
      </c>
      <c r="F234" s="856" t="s">
        <v>402</v>
      </c>
      <c r="G234" s="130"/>
      <c r="H234" s="856" t="s">
        <v>403</v>
      </c>
      <c r="I234" s="130"/>
      <c r="J234" s="231"/>
      <c r="K234" s="231"/>
      <c r="L234" s="231"/>
      <c r="M234" s="231"/>
      <c r="N234" s="231"/>
      <c r="O234" s="231"/>
      <c r="P234" s="231"/>
      <c r="Q234" s="231"/>
      <c r="R234" s="231"/>
      <c r="S234" s="231"/>
      <c r="T234" s="231"/>
      <c r="U234" s="231"/>
      <c r="V234" s="231"/>
      <c r="W234" s="231"/>
      <c r="X234" s="231"/>
      <c r="Y234" s="231"/>
      <c r="Z234" s="231"/>
      <c r="AA234" s="231"/>
      <c r="AB234" s="231"/>
      <c r="AC234" s="231"/>
      <c r="AD234" s="231"/>
      <c r="AE234" s="231"/>
      <c r="AF234" s="231"/>
    </row>
    <row r="235" spans="1:32" s="203" customFormat="1">
      <c r="A235" s="165"/>
      <c r="B235" s="47"/>
      <c r="C235" s="47"/>
      <c r="D235" s="47"/>
      <c r="E235" s="859"/>
      <c r="F235" s="859"/>
      <c r="G235" s="130"/>
      <c r="H235" s="859"/>
      <c r="I235" s="130"/>
      <c r="J235" s="231"/>
      <c r="K235" s="231"/>
      <c r="L235" s="231"/>
      <c r="M235" s="231"/>
      <c r="N235" s="231"/>
      <c r="O235" s="231"/>
      <c r="P235" s="231"/>
      <c r="Q235" s="231"/>
      <c r="R235" s="231"/>
      <c r="S235" s="231"/>
      <c r="T235" s="231"/>
      <c r="U235" s="231"/>
      <c r="V235" s="231"/>
      <c r="W235" s="231"/>
      <c r="X235" s="231"/>
      <c r="Y235" s="231"/>
      <c r="Z235" s="231"/>
      <c r="AA235" s="231"/>
      <c r="AB235" s="231"/>
      <c r="AC235" s="231"/>
      <c r="AD235" s="231"/>
      <c r="AE235" s="231"/>
      <c r="AF235" s="231"/>
    </row>
    <row r="236" spans="1:32" s="203" customFormat="1">
      <c r="A236" s="154" t="s">
        <v>186</v>
      </c>
      <c r="B236" s="174"/>
      <c r="C236" s="174"/>
      <c r="D236" s="174"/>
      <c r="E236" s="859"/>
      <c r="F236" s="859"/>
      <c r="G236" s="130"/>
      <c r="H236" s="859"/>
      <c r="I236" s="130"/>
      <c r="J236" s="231"/>
      <c r="K236" s="231"/>
      <c r="L236" s="231"/>
      <c r="M236" s="231"/>
      <c r="N236" s="231"/>
      <c r="O236" s="231"/>
      <c r="P236" s="231"/>
      <c r="Q236" s="231"/>
      <c r="R236" s="231"/>
      <c r="S236" s="231"/>
      <c r="T236" s="231"/>
      <c r="U236" s="231"/>
      <c r="V236" s="231"/>
      <c r="W236" s="231"/>
      <c r="X236" s="231"/>
      <c r="Y236" s="231"/>
      <c r="Z236" s="231"/>
      <c r="AA236" s="231"/>
      <c r="AB236" s="231"/>
      <c r="AC236" s="231"/>
      <c r="AD236" s="231"/>
      <c r="AE236" s="231"/>
      <c r="AF236" s="231"/>
    </row>
    <row r="237" spans="1:32" s="203" customFormat="1">
      <c r="A237" s="109" t="s">
        <v>83</v>
      </c>
      <c r="B237" s="47"/>
      <c r="C237" s="47"/>
      <c r="D237" s="47"/>
      <c r="E237" s="859"/>
      <c r="F237" s="859"/>
      <c r="G237" s="130"/>
      <c r="H237" s="859"/>
      <c r="I237" s="130"/>
      <c r="J237" s="231"/>
      <c r="K237" s="231"/>
      <c r="L237" s="231"/>
      <c r="M237" s="231"/>
      <c r="N237" s="231"/>
      <c r="O237" s="231"/>
      <c r="P237" s="231"/>
      <c r="Q237" s="231"/>
      <c r="R237" s="231"/>
      <c r="S237" s="231"/>
      <c r="T237" s="231"/>
      <c r="U237" s="231"/>
      <c r="V237" s="231"/>
      <c r="W237" s="231"/>
      <c r="X237" s="231"/>
      <c r="Y237" s="231"/>
      <c r="Z237" s="231"/>
      <c r="AA237" s="231"/>
      <c r="AB237" s="231"/>
      <c r="AC237" s="231"/>
      <c r="AD237" s="231"/>
      <c r="AE237" s="231"/>
      <c r="AF237" s="231"/>
    </row>
    <row r="238" spans="1:32" s="203" customFormat="1">
      <c r="A238" s="110" t="s">
        <v>84</v>
      </c>
      <c r="B238" s="174"/>
      <c r="C238" s="174"/>
      <c r="D238" s="174"/>
      <c r="E238" s="860"/>
      <c r="F238" s="860"/>
      <c r="G238" s="130"/>
      <c r="H238" s="860"/>
      <c r="I238" s="130"/>
      <c r="J238" s="231"/>
      <c r="K238" s="231"/>
      <c r="L238" s="231"/>
      <c r="M238" s="231"/>
      <c r="N238" s="231"/>
      <c r="O238" s="231"/>
      <c r="P238" s="231"/>
      <c r="Q238" s="231"/>
      <c r="R238" s="231"/>
      <c r="S238" s="231"/>
      <c r="T238" s="231"/>
      <c r="U238" s="231"/>
      <c r="V238" s="231"/>
      <c r="W238" s="231"/>
      <c r="X238" s="231"/>
      <c r="Y238" s="231"/>
      <c r="Z238" s="231"/>
      <c r="AA238" s="231"/>
      <c r="AB238" s="231"/>
      <c r="AC238" s="231"/>
      <c r="AD238" s="231"/>
      <c r="AE238" s="231"/>
      <c r="AF238" s="231"/>
    </row>
    <row r="239" spans="1:32" s="203" customFormat="1">
      <c r="A239" s="153" t="s">
        <v>187</v>
      </c>
      <c r="B239" s="116"/>
      <c r="C239" s="116"/>
      <c r="D239" s="116"/>
      <c r="E239" s="167"/>
      <c r="F239" s="146"/>
      <c r="G239" s="118"/>
      <c r="H239" s="146"/>
      <c r="I239" s="29"/>
      <c r="J239" s="231"/>
      <c r="K239" s="231"/>
      <c r="L239" s="231"/>
      <c r="M239" s="231"/>
      <c r="N239" s="231"/>
      <c r="O239" s="231"/>
      <c r="P239" s="231"/>
      <c r="Q239" s="231"/>
      <c r="R239" s="231"/>
      <c r="S239" s="231"/>
      <c r="T239" s="231"/>
      <c r="U239" s="231"/>
      <c r="V239" s="231"/>
      <c r="W239" s="231"/>
      <c r="X239" s="231"/>
      <c r="Y239" s="231"/>
      <c r="Z239" s="231"/>
      <c r="AA239" s="231"/>
      <c r="AB239" s="231"/>
      <c r="AC239" s="231"/>
      <c r="AD239" s="231"/>
      <c r="AE239" s="231"/>
      <c r="AF239" s="231"/>
    </row>
    <row r="240" spans="1:32" s="203" customFormat="1">
      <c r="A240" s="120">
        <v>1</v>
      </c>
      <c r="B240" s="47" t="s">
        <v>188</v>
      </c>
      <c r="C240" s="47"/>
      <c r="D240" s="47"/>
      <c r="E240" s="74">
        <v>1686</v>
      </c>
      <c r="F240" s="52">
        <v>1783</v>
      </c>
      <c r="G240" s="118"/>
      <c r="H240" s="122">
        <v>1787</v>
      </c>
      <c r="I240" s="29"/>
      <c r="J240" s="231"/>
      <c r="K240" s="231"/>
      <c r="L240" s="231"/>
      <c r="M240" s="231"/>
      <c r="N240" s="231"/>
      <c r="O240" s="231"/>
      <c r="P240" s="231"/>
      <c r="Q240" s="231"/>
      <c r="R240" s="231"/>
      <c r="S240" s="231"/>
      <c r="T240" s="231"/>
      <c r="U240" s="231"/>
      <c r="V240" s="231"/>
      <c r="W240" s="231"/>
      <c r="X240" s="231"/>
      <c r="Y240" s="231"/>
      <c r="Z240" s="231"/>
      <c r="AA240" s="231"/>
      <c r="AB240" s="231"/>
      <c r="AC240" s="231"/>
      <c r="AD240" s="231"/>
      <c r="AE240" s="231"/>
      <c r="AF240" s="231"/>
    </row>
    <row r="241" spans="1:32" s="203" customFormat="1">
      <c r="A241" s="788">
        <v>2</v>
      </c>
      <c r="B241" s="47" t="s">
        <v>189</v>
      </c>
      <c r="C241" s="47"/>
      <c r="D241" s="47"/>
      <c r="E241" s="114">
        <v>103</v>
      </c>
      <c r="F241" s="52">
        <v>110</v>
      </c>
      <c r="G241" s="118"/>
      <c r="H241" s="100">
        <v>116</v>
      </c>
      <c r="I241" s="29"/>
      <c r="J241" s="231"/>
      <c r="K241" s="231"/>
      <c r="L241" s="231"/>
      <c r="M241" s="231"/>
      <c r="N241" s="231"/>
      <c r="O241" s="231"/>
      <c r="P241" s="231"/>
      <c r="Q241" s="231"/>
      <c r="R241" s="231"/>
      <c r="S241" s="231"/>
      <c r="T241" s="231"/>
      <c r="U241" s="231"/>
      <c r="V241" s="231"/>
      <c r="W241" s="231"/>
      <c r="X241" s="231"/>
      <c r="Y241" s="231"/>
      <c r="Z241" s="231"/>
      <c r="AA241" s="231"/>
      <c r="AB241" s="231"/>
      <c r="AC241" s="231"/>
      <c r="AD241" s="231"/>
      <c r="AE241" s="231"/>
      <c r="AF241" s="231"/>
    </row>
    <row r="242" spans="1:32" s="203" customFormat="1">
      <c r="A242" s="788">
        <v>3</v>
      </c>
      <c r="B242" s="168" t="s">
        <v>190</v>
      </c>
      <c r="C242" s="168"/>
      <c r="D242" s="168"/>
      <c r="E242" s="80">
        <v>1789</v>
      </c>
      <c r="F242" s="142">
        <f>SUM(F240:F241)</f>
        <v>1893</v>
      </c>
      <c r="G242" s="118"/>
      <c r="H242" s="142">
        <f>SUM(H240:H241)</f>
        <v>1903</v>
      </c>
      <c r="I242" s="29"/>
      <c r="J242" s="231"/>
      <c r="K242" s="231"/>
      <c r="L242" s="231"/>
      <c r="M242" s="231"/>
      <c r="N242" s="231"/>
      <c r="O242" s="231"/>
      <c r="P242" s="231"/>
      <c r="Q242" s="231"/>
      <c r="R242" s="231"/>
      <c r="S242" s="231"/>
      <c r="T242" s="231"/>
      <c r="U242" s="231"/>
      <c r="V242" s="231"/>
      <c r="W242" s="231"/>
      <c r="X242" s="231"/>
      <c r="Y242" s="231"/>
      <c r="Z242" s="231"/>
      <c r="AA242" s="231"/>
      <c r="AB242" s="231"/>
      <c r="AC242" s="231"/>
      <c r="AD242" s="231"/>
      <c r="AE242" s="231"/>
      <c r="AF242" s="231"/>
    </row>
    <row r="243" spans="1:32" s="203" customFormat="1">
      <c r="A243" s="788"/>
      <c r="B243" s="116"/>
      <c r="C243" s="116"/>
      <c r="D243" s="116"/>
      <c r="E243" s="117"/>
      <c r="F243" s="118"/>
      <c r="G243" s="118"/>
      <c r="H243" s="118"/>
      <c r="I243" s="29"/>
      <c r="J243" s="231"/>
      <c r="K243" s="231"/>
      <c r="L243" s="231"/>
      <c r="M243" s="231"/>
      <c r="N243" s="231"/>
      <c r="O243" s="231"/>
      <c r="P243" s="231"/>
      <c r="Q243" s="231"/>
      <c r="R243" s="231"/>
      <c r="S243" s="231"/>
      <c r="T243" s="231"/>
      <c r="U243" s="231"/>
      <c r="V243" s="231"/>
      <c r="W243" s="231"/>
      <c r="X243" s="231"/>
      <c r="Y243" s="231"/>
      <c r="Z243" s="231"/>
      <c r="AA243" s="231"/>
      <c r="AB243" s="231"/>
      <c r="AC243" s="231"/>
      <c r="AD243" s="231"/>
      <c r="AE243" s="231"/>
      <c r="AF243" s="231"/>
    </row>
    <row r="244" spans="1:32" s="203" customFormat="1">
      <c r="A244" s="108" t="s">
        <v>191</v>
      </c>
      <c r="B244" s="47"/>
      <c r="C244" s="47"/>
      <c r="D244" s="47"/>
      <c r="E244" s="140"/>
      <c r="F244" s="146"/>
      <c r="G244" s="118"/>
      <c r="H244" s="146"/>
      <c r="I244" s="29"/>
      <c r="J244" s="231"/>
      <c r="K244" s="231"/>
      <c r="L244" s="231"/>
      <c r="M244" s="231"/>
      <c r="N244" s="231"/>
      <c r="O244" s="231"/>
      <c r="P244" s="231"/>
      <c r="Q244" s="231"/>
      <c r="R244" s="231"/>
      <c r="S244" s="231"/>
      <c r="T244" s="231"/>
      <c r="U244" s="231"/>
      <c r="V244" s="231"/>
      <c r="W244" s="231"/>
      <c r="X244" s="231"/>
      <c r="Y244" s="231"/>
      <c r="Z244" s="231"/>
      <c r="AA244" s="231"/>
      <c r="AB244" s="231"/>
      <c r="AC244" s="231"/>
      <c r="AD244" s="231"/>
      <c r="AE244" s="231"/>
      <c r="AF244" s="231"/>
    </row>
    <row r="245" spans="1:32" s="203" customFormat="1">
      <c r="A245" s="788">
        <v>4</v>
      </c>
      <c r="B245" s="47" t="s">
        <v>192</v>
      </c>
      <c r="C245" s="47"/>
      <c r="D245" s="47"/>
      <c r="E245" s="74">
        <v>351</v>
      </c>
      <c r="F245" s="52">
        <v>426</v>
      </c>
      <c r="G245" s="118"/>
      <c r="H245" s="122">
        <v>525</v>
      </c>
      <c r="I245" s="29"/>
      <c r="J245" s="231"/>
      <c r="K245" s="231"/>
      <c r="L245" s="231"/>
      <c r="M245" s="231"/>
      <c r="N245" s="231"/>
      <c r="O245" s="231"/>
      <c r="P245" s="231"/>
      <c r="Q245" s="231"/>
      <c r="R245" s="231"/>
      <c r="S245" s="231"/>
      <c r="T245" s="231"/>
      <c r="U245" s="231"/>
      <c r="V245" s="231"/>
      <c r="W245" s="231"/>
      <c r="X245" s="231"/>
      <c r="Y245" s="231"/>
      <c r="Z245" s="231"/>
      <c r="AA245" s="231"/>
      <c r="AB245" s="231"/>
      <c r="AC245" s="231"/>
      <c r="AD245" s="231"/>
      <c r="AE245" s="231"/>
      <c r="AF245" s="231"/>
    </row>
    <row r="246" spans="1:32" s="203" customFormat="1">
      <c r="A246" s="788">
        <v>5</v>
      </c>
      <c r="B246" s="47" t="s">
        <v>193</v>
      </c>
      <c r="C246" s="47"/>
      <c r="D246" s="47"/>
      <c r="E246" s="49">
        <v>230</v>
      </c>
      <c r="F246" s="52">
        <v>268</v>
      </c>
      <c r="G246" s="118"/>
      <c r="H246" s="100">
        <v>71</v>
      </c>
      <c r="I246" s="29"/>
      <c r="J246" s="231"/>
      <c r="K246" s="231"/>
      <c r="L246" s="231"/>
      <c r="M246" s="231"/>
      <c r="N246" s="231"/>
      <c r="O246" s="231"/>
      <c r="P246" s="231"/>
      <c r="Q246" s="231"/>
      <c r="R246" s="231"/>
      <c r="S246" s="231"/>
      <c r="T246" s="231"/>
      <c r="U246" s="231"/>
      <c r="V246" s="231"/>
      <c r="W246" s="231"/>
      <c r="X246" s="231"/>
      <c r="Y246" s="231"/>
      <c r="Z246" s="231"/>
      <c r="AA246" s="231"/>
      <c r="AB246" s="231"/>
      <c r="AC246" s="231"/>
      <c r="AD246" s="231"/>
      <c r="AE246" s="231"/>
      <c r="AF246" s="231"/>
    </row>
    <row r="247" spans="1:32" s="203" customFormat="1">
      <c r="A247" s="788">
        <v>6</v>
      </c>
      <c r="B247" s="116" t="s">
        <v>194</v>
      </c>
      <c r="C247" s="116"/>
      <c r="D247" s="116"/>
      <c r="E247" s="80">
        <v>581</v>
      </c>
      <c r="F247" s="142">
        <f>SUM(F245:F246)</f>
        <v>694</v>
      </c>
      <c r="G247" s="118"/>
      <c r="H247" s="142">
        <f>SUM(H245:H246)</f>
        <v>596</v>
      </c>
      <c r="I247" s="29"/>
      <c r="J247" s="231"/>
      <c r="K247" s="231"/>
      <c r="L247" s="231"/>
      <c r="M247" s="231"/>
      <c r="N247" s="231"/>
      <c r="O247" s="231"/>
      <c r="P247" s="231"/>
      <c r="Q247" s="231"/>
      <c r="R247" s="231"/>
      <c r="S247" s="231"/>
      <c r="T247" s="231"/>
      <c r="U247" s="231"/>
      <c r="V247" s="231"/>
      <c r="W247" s="231"/>
      <c r="X247" s="231"/>
      <c r="Y247" s="231"/>
      <c r="Z247" s="231"/>
      <c r="AA247" s="231"/>
      <c r="AB247" s="231"/>
      <c r="AC247" s="231"/>
      <c r="AD247" s="231"/>
      <c r="AE247" s="231"/>
      <c r="AF247" s="231"/>
    </row>
    <row r="248" spans="1:32" s="203" customFormat="1">
      <c r="A248" s="788"/>
      <c r="B248" s="116"/>
      <c r="C248" s="116"/>
      <c r="D248" s="116"/>
      <c r="E248" s="117"/>
      <c r="F248" s="118"/>
      <c r="G248" s="118"/>
      <c r="H248" s="118"/>
      <c r="I248" s="29"/>
      <c r="J248" s="231"/>
      <c r="K248" s="231"/>
      <c r="L248" s="231"/>
      <c r="M248" s="231"/>
      <c r="N248" s="231"/>
      <c r="O248" s="231"/>
      <c r="P248" s="231"/>
      <c r="Q248" s="231"/>
      <c r="R248" s="231"/>
      <c r="S248" s="231"/>
      <c r="T248" s="231"/>
      <c r="U248" s="231"/>
      <c r="V248" s="231"/>
      <c r="W248" s="231"/>
      <c r="X248" s="231"/>
      <c r="Y248" s="231"/>
      <c r="Z248" s="231"/>
      <c r="AA248" s="231"/>
      <c r="AB248" s="231"/>
      <c r="AC248" s="231"/>
      <c r="AD248" s="231"/>
      <c r="AE248" s="231"/>
      <c r="AF248" s="231"/>
    </row>
    <row r="249" spans="1:32" s="203" customFormat="1">
      <c r="A249" s="108" t="s">
        <v>195</v>
      </c>
      <c r="B249" s="116"/>
      <c r="C249" s="116"/>
      <c r="D249" s="116"/>
      <c r="E249" s="140"/>
      <c r="F249" s="146"/>
      <c r="G249" s="118"/>
      <c r="H249" s="146"/>
      <c r="I249" s="29"/>
      <c r="J249" s="231"/>
      <c r="K249" s="231"/>
      <c r="L249" s="231"/>
      <c r="M249" s="231"/>
      <c r="N249" s="231"/>
      <c r="O249" s="231"/>
      <c r="P249" s="231"/>
      <c r="Q249" s="231"/>
      <c r="R249" s="231"/>
      <c r="S249" s="231"/>
      <c r="T249" s="231"/>
      <c r="U249" s="231"/>
      <c r="V249" s="231"/>
      <c r="W249" s="231"/>
      <c r="X249" s="231"/>
      <c r="Y249" s="231"/>
      <c r="Z249" s="231"/>
      <c r="AA249" s="231"/>
      <c r="AB249" s="231"/>
      <c r="AC249" s="231"/>
      <c r="AD249" s="231"/>
      <c r="AE249" s="231"/>
      <c r="AF249" s="231"/>
    </row>
    <row r="250" spans="1:32" s="203" customFormat="1">
      <c r="A250" s="788">
        <v>7</v>
      </c>
      <c r="B250" s="47" t="s">
        <v>196</v>
      </c>
      <c r="C250" s="47"/>
      <c r="D250" s="47"/>
      <c r="E250" s="74">
        <v>321</v>
      </c>
      <c r="F250" s="52">
        <v>376</v>
      </c>
      <c r="G250" s="118"/>
      <c r="H250" s="52">
        <v>190</v>
      </c>
      <c r="I250" s="29"/>
      <c r="J250" s="231"/>
      <c r="K250" s="231"/>
      <c r="L250" s="231"/>
      <c r="M250" s="231"/>
      <c r="N250" s="231"/>
      <c r="O250" s="231"/>
      <c r="P250" s="231"/>
      <c r="Q250" s="231"/>
      <c r="R250" s="231"/>
      <c r="S250" s="231"/>
      <c r="T250" s="231"/>
      <c r="U250" s="231"/>
      <c r="V250" s="231"/>
      <c r="W250" s="231"/>
      <c r="X250" s="231"/>
      <c r="Y250" s="231"/>
      <c r="Z250" s="231"/>
      <c r="AA250" s="231"/>
      <c r="AB250" s="231"/>
      <c r="AC250" s="231"/>
      <c r="AD250" s="231"/>
      <c r="AE250" s="231"/>
      <c r="AF250" s="231"/>
    </row>
    <row r="251" spans="1:32" s="203" customFormat="1">
      <c r="A251" s="788">
        <v>8</v>
      </c>
      <c r="B251" s="47" t="s">
        <v>197</v>
      </c>
      <c r="C251" s="47"/>
      <c r="D251" s="47"/>
      <c r="E251" s="49">
        <v>4573</v>
      </c>
      <c r="F251" s="52">
        <v>4662</v>
      </c>
      <c r="G251" s="118"/>
      <c r="H251" s="122">
        <v>4594</v>
      </c>
      <c r="I251" s="29"/>
      <c r="J251" s="231"/>
      <c r="K251" s="231"/>
      <c r="L251" s="231"/>
      <c r="M251" s="231"/>
      <c r="N251" s="231"/>
      <c r="O251" s="231"/>
      <c r="P251" s="231"/>
      <c r="Q251" s="231"/>
      <c r="R251" s="231"/>
      <c r="S251" s="231"/>
      <c r="T251" s="231"/>
      <c r="U251" s="231"/>
      <c r="V251" s="231"/>
      <c r="W251" s="231"/>
      <c r="X251" s="231"/>
      <c r="Y251" s="231"/>
      <c r="Z251" s="231"/>
      <c r="AA251" s="231"/>
      <c r="AB251" s="231"/>
      <c r="AC251" s="231"/>
      <c r="AD251" s="231"/>
      <c r="AE251" s="231"/>
      <c r="AF251" s="231"/>
    </row>
    <row r="252" spans="1:32" s="203" customFormat="1">
      <c r="A252" s="788">
        <v>9</v>
      </c>
      <c r="B252" s="47" t="s">
        <v>198</v>
      </c>
      <c r="C252" s="47"/>
      <c r="D252" s="47"/>
      <c r="E252" s="49">
        <v>2724</v>
      </c>
      <c r="F252" s="52">
        <v>2972</v>
      </c>
      <c r="G252" s="118"/>
      <c r="H252" s="122">
        <v>3052</v>
      </c>
      <c r="I252" s="29"/>
      <c r="J252" s="231"/>
      <c r="K252" s="231"/>
      <c r="L252" s="231"/>
      <c r="M252" s="231"/>
      <c r="N252" s="231"/>
      <c r="O252" s="231"/>
      <c r="P252" s="231"/>
      <c r="Q252" s="231"/>
      <c r="R252" s="231"/>
      <c r="S252" s="231"/>
      <c r="T252" s="231"/>
      <c r="U252" s="231"/>
      <c r="V252" s="231"/>
      <c r="W252" s="231"/>
      <c r="X252" s="231"/>
      <c r="Y252" s="231"/>
      <c r="Z252" s="231"/>
      <c r="AA252" s="231"/>
      <c r="AB252" s="231"/>
      <c r="AC252" s="231"/>
      <c r="AD252" s="231"/>
      <c r="AE252" s="231"/>
      <c r="AF252" s="231"/>
    </row>
    <row r="253" spans="1:32" s="203" customFormat="1">
      <c r="A253" s="788">
        <v>10</v>
      </c>
      <c r="B253" s="47" t="s">
        <v>199</v>
      </c>
      <c r="C253" s="47"/>
      <c r="D253" s="47"/>
      <c r="E253" s="49">
        <v>339</v>
      </c>
      <c r="F253" s="52">
        <v>854</v>
      </c>
      <c r="G253" s="118"/>
      <c r="H253" s="100">
        <v>537</v>
      </c>
      <c r="I253" s="29"/>
      <c r="J253" s="231"/>
      <c r="K253" s="231"/>
      <c r="L253" s="231"/>
      <c r="M253" s="231"/>
      <c r="N253" s="231"/>
      <c r="O253" s="231"/>
      <c r="P253" s="231"/>
      <c r="Q253" s="231"/>
      <c r="R253" s="231"/>
      <c r="S253" s="231"/>
      <c r="T253" s="231"/>
      <c r="U253" s="231"/>
      <c r="V253" s="231"/>
      <c r="W253" s="231"/>
      <c r="X253" s="231"/>
      <c r="Y253" s="231"/>
      <c r="Z253" s="231"/>
      <c r="AA253" s="231"/>
      <c r="AB253" s="231"/>
      <c r="AC253" s="231"/>
      <c r="AD253" s="231"/>
      <c r="AE253" s="231"/>
      <c r="AF253" s="231"/>
    </row>
    <row r="254" spans="1:32" s="203" customFormat="1">
      <c r="A254" s="788">
        <v>11</v>
      </c>
      <c r="B254" s="116" t="s">
        <v>200</v>
      </c>
      <c r="C254" s="116"/>
      <c r="D254" s="116"/>
      <c r="E254" s="80">
        <v>7957</v>
      </c>
      <c r="F254" s="142">
        <f>SUM(F250:F253)</f>
        <v>8864</v>
      </c>
      <c r="G254" s="118"/>
      <c r="H254" s="142">
        <f>SUM(H250:H253)</f>
        <v>8373</v>
      </c>
      <c r="I254" s="260"/>
      <c r="J254" s="231"/>
      <c r="K254" s="231"/>
      <c r="L254" s="231"/>
      <c r="M254" s="231"/>
      <c r="N254" s="231"/>
      <c r="O254" s="231"/>
      <c r="P254" s="231"/>
      <c r="Q254" s="231"/>
      <c r="R254" s="231"/>
      <c r="S254" s="231"/>
      <c r="T254" s="231"/>
      <c r="U254" s="231"/>
      <c r="V254" s="231"/>
      <c r="W254" s="231"/>
      <c r="X254" s="231"/>
      <c r="Y254" s="231"/>
      <c r="Z254" s="231"/>
      <c r="AA254" s="231"/>
      <c r="AB254" s="231"/>
      <c r="AC254" s="231"/>
      <c r="AD254" s="231"/>
      <c r="AE254" s="231"/>
      <c r="AF254" s="231"/>
    </row>
    <row r="255" spans="1:32" s="203" customFormat="1">
      <c r="A255" s="788"/>
      <c r="B255" s="116"/>
      <c r="C255" s="116"/>
      <c r="D255" s="116"/>
      <c r="E255" s="117"/>
      <c r="F255" s="118"/>
      <c r="G255" s="118"/>
      <c r="H255" s="118"/>
      <c r="I255" s="29"/>
      <c r="J255" s="231"/>
      <c r="K255" s="231"/>
      <c r="L255" s="231"/>
      <c r="M255" s="231"/>
      <c r="N255" s="231"/>
      <c r="O255" s="231"/>
      <c r="P255" s="231"/>
      <c r="Q255" s="231"/>
      <c r="R255" s="231"/>
      <c r="S255" s="231"/>
      <c r="T255" s="231"/>
      <c r="U255" s="231"/>
      <c r="V255" s="231"/>
      <c r="W255" s="231"/>
      <c r="X255" s="231"/>
      <c r="Y255" s="231"/>
      <c r="Z255" s="231"/>
      <c r="AA255" s="231"/>
      <c r="AB255" s="231"/>
      <c r="AC255" s="231"/>
      <c r="AD255" s="231"/>
      <c r="AE255" s="231"/>
      <c r="AF255" s="231"/>
    </row>
    <row r="256" spans="1:32" s="203" customFormat="1">
      <c r="A256" s="788">
        <v>12</v>
      </c>
      <c r="B256" s="47" t="s">
        <v>201</v>
      </c>
      <c r="C256" s="47"/>
      <c r="D256" s="47"/>
      <c r="E256" s="176">
        <v>2925</v>
      </c>
      <c r="F256" s="136">
        <v>2556</v>
      </c>
      <c r="G256" s="118"/>
      <c r="H256" s="177">
        <v>2331.3559999999998</v>
      </c>
      <c r="I256" s="260"/>
      <c r="J256" s="231"/>
      <c r="K256" s="231"/>
      <c r="L256" s="231"/>
      <c r="M256" s="231"/>
      <c r="N256" s="231"/>
      <c r="O256" s="231"/>
      <c r="P256" s="231"/>
      <c r="Q256" s="231"/>
      <c r="R256" s="231"/>
      <c r="S256" s="231"/>
      <c r="T256" s="231"/>
      <c r="U256" s="231"/>
      <c r="V256" s="231"/>
      <c r="W256" s="231"/>
      <c r="X256" s="231"/>
      <c r="Y256" s="231"/>
      <c r="Z256" s="231"/>
      <c r="AA256" s="231"/>
      <c r="AB256" s="231"/>
      <c r="AC256" s="231"/>
      <c r="AD256" s="231"/>
      <c r="AE256" s="231"/>
      <c r="AF256" s="231"/>
    </row>
    <row r="257" spans="1:32" s="203" customFormat="1">
      <c r="A257" s="124">
        <v>13</v>
      </c>
      <c r="B257" s="94" t="s">
        <v>202</v>
      </c>
      <c r="C257" s="94"/>
      <c r="D257" s="94"/>
      <c r="E257" s="159">
        <v>13252</v>
      </c>
      <c r="F257" s="61">
        <f>F242+F247+F254+F256</f>
        <v>14007</v>
      </c>
      <c r="G257" s="118"/>
      <c r="H257" s="61">
        <f>H242+H247+H254+H256</f>
        <v>13203.356</v>
      </c>
      <c r="I257" s="21"/>
      <c r="J257" s="231"/>
      <c r="K257" s="231"/>
      <c r="L257" s="231"/>
      <c r="M257" s="231"/>
      <c r="N257" s="231"/>
      <c r="O257" s="231"/>
      <c r="P257" s="231"/>
      <c r="Q257" s="231"/>
      <c r="R257" s="231"/>
      <c r="S257" s="231"/>
      <c r="T257" s="231"/>
      <c r="U257" s="231"/>
      <c r="V257" s="231"/>
      <c r="W257" s="231"/>
      <c r="X257" s="231"/>
      <c r="Y257" s="231"/>
      <c r="Z257" s="231"/>
      <c r="AA257" s="231"/>
      <c r="AB257" s="231"/>
      <c r="AC257" s="231"/>
      <c r="AD257" s="231"/>
      <c r="AE257" s="231"/>
      <c r="AF257" s="231"/>
    </row>
    <row r="258" spans="1:32" s="203" customFormat="1">
      <c r="A258" s="207"/>
      <c r="B258" s="207"/>
      <c r="C258" s="207"/>
      <c r="D258" s="208"/>
      <c r="E258" s="208"/>
      <c r="F258" s="207"/>
      <c r="G258" s="207"/>
      <c r="H258" s="207"/>
      <c r="I258" s="21"/>
      <c r="J258" s="231"/>
      <c r="K258" s="231"/>
      <c r="L258" s="231"/>
      <c r="M258" s="231"/>
      <c r="N258" s="231"/>
      <c r="O258" s="231"/>
      <c r="P258" s="231"/>
      <c r="Q258" s="231"/>
      <c r="R258" s="231"/>
      <c r="S258" s="231"/>
      <c r="T258" s="231"/>
      <c r="U258" s="231"/>
      <c r="V258" s="231"/>
      <c r="W258" s="231"/>
      <c r="X258" s="231"/>
      <c r="Y258" s="231"/>
      <c r="Z258" s="231"/>
      <c r="AA258" s="231"/>
      <c r="AB258" s="231"/>
      <c r="AC258" s="231"/>
      <c r="AD258" s="231"/>
      <c r="AE258" s="231"/>
      <c r="AF258" s="231"/>
    </row>
    <row r="259" spans="1:32" s="203" customFormat="1">
      <c r="A259" s="23"/>
      <c r="B259" s="207"/>
      <c r="C259" s="207"/>
      <c r="D259" s="207"/>
      <c r="E259" s="207"/>
      <c r="F259" s="207"/>
      <c r="G259" s="207"/>
      <c r="H259" s="21"/>
      <c r="I259" s="21"/>
      <c r="J259" s="231"/>
      <c r="K259" s="231"/>
      <c r="L259" s="231"/>
      <c r="M259" s="231"/>
      <c r="N259" s="231"/>
      <c r="O259" s="231"/>
      <c r="P259" s="231"/>
      <c r="Q259" s="231"/>
      <c r="R259" s="231"/>
      <c r="S259" s="231"/>
      <c r="T259" s="231"/>
      <c r="U259" s="231"/>
      <c r="V259" s="231"/>
      <c r="W259" s="231"/>
      <c r="X259" s="231"/>
      <c r="Y259" s="231"/>
      <c r="Z259" s="231"/>
      <c r="AA259" s="231"/>
      <c r="AB259" s="231"/>
      <c r="AC259" s="231"/>
      <c r="AD259" s="231"/>
      <c r="AE259" s="231"/>
      <c r="AF259" s="231"/>
    </row>
    <row r="260" spans="1:32" s="203" customFormat="1">
      <c r="A260" s="148"/>
      <c r="B260" s="29"/>
      <c r="C260" s="29"/>
      <c r="D260" s="172"/>
      <c r="E260" s="152"/>
      <c r="F260" s="29"/>
      <c r="G260" s="29"/>
      <c r="H260" s="131" t="s">
        <v>27</v>
      </c>
      <c r="I260" s="21"/>
      <c r="J260" s="231"/>
      <c r="K260" s="231"/>
      <c r="L260" s="231"/>
      <c r="M260" s="231"/>
      <c r="N260" s="231"/>
      <c r="O260" s="231"/>
      <c r="P260" s="231"/>
      <c r="Q260" s="231"/>
      <c r="R260" s="231"/>
      <c r="S260" s="231"/>
      <c r="T260" s="231"/>
      <c r="U260" s="231"/>
      <c r="V260" s="231"/>
      <c r="W260" s="231"/>
      <c r="X260" s="231"/>
      <c r="Y260" s="231"/>
      <c r="Z260" s="231"/>
      <c r="AA260" s="231"/>
      <c r="AB260" s="231"/>
      <c r="AC260" s="231"/>
      <c r="AD260" s="231"/>
      <c r="AE260" s="231"/>
      <c r="AF260" s="231"/>
    </row>
    <row r="261" spans="1:32" s="203" customFormat="1" ht="12.75" customHeight="1">
      <c r="A261" s="106" t="s">
        <v>15</v>
      </c>
      <c r="B261" s="164"/>
      <c r="C261" s="164"/>
      <c r="D261" s="164"/>
      <c r="E261" s="856" t="s">
        <v>377</v>
      </c>
      <c r="F261" s="856" t="s">
        <v>402</v>
      </c>
      <c r="G261" s="130"/>
      <c r="H261" s="856" t="s">
        <v>403</v>
      </c>
      <c r="I261" s="21"/>
      <c r="J261" s="231"/>
      <c r="K261" s="231"/>
      <c r="L261" s="231"/>
      <c r="M261" s="231"/>
      <c r="N261" s="231"/>
      <c r="O261" s="231"/>
      <c r="P261" s="231"/>
      <c r="Q261" s="231"/>
      <c r="R261" s="231"/>
      <c r="S261" s="231"/>
      <c r="T261" s="231"/>
      <c r="U261" s="231"/>
      <c r="V261" s="231"/>
      <c r="W261" s="231"/>
      <c r="X261" s="231"/>
      <c r="Y261" s="231"/>
      <c r="Z261" s="231"/>
      <c r="AA261" s="231"/>
      <c r="AB261" s="231"/>
      <c r="AC261" s="231"/>
      <c r="AD261" s="231"/>
      <c r="AE261" s="231"/>
      <c r="AF261" s="231"/>
    </row>
    <row r="262" spans="1:32" s="203" customFormat="1">
      <c r="A262" s="165"/>
      <c r="B262" s="47"/>
      <c r="C262" s="47"/>
      <c r="D262" s="47"/>
      <c r="E262" s="859"/>
      <c r="F262" s="859"/>
      <c r="G262" s="130"/>
      <c r="H262" s="859"/>
      <c r="I262" s="21"/>
      <c r="J262" s="231"/>
      <c r="K262" s="231"/>
      <c r="L262" s="231"/>
      <c r="M262" s="231"/>
      <c r="N262" s="231"/>
      <c r="O262" s="231"/>
      <c r="P262" s="231"/>
      <c r="Q262" s="231"/>
      <c r="R262" s="231"/>
      <c r="S262" s="231"/>
      <c r="T262" s="231"/>
      <c r="U262" s="231"/>
      <c r="V262" s="231"/>
      <c r="W262" s="231"/>
      <c r="X262" s="231"/>
      <c r="Y262" s="231"/>
      <c r="Z262" s="231"/>
      <c r="AA262" s="231"/>
      <c r="AB262" s="231"/>
      <c r="AC262" s="231"/>
      <c r="AD262" s="231"/>
      <c r="AE262" s="231"/>
      <c r="AF262" s="231"/>
    </row>
    <row r="263" spans="1:32" s="203" customFormat="1">
      <c r="A263" s="109"/>
      <c r="B263" s="174"/>
      <c r="C263" s="174"/>
      <c r="D263" s="174"/>
      <c r="E263" s="859"/>
      <c r="F263" s="859"/>
      <c r="G263" s="130"/>
      <c r="H263" s="859"/>
      <c r="I263" s="21"/>
      <c r="J263" s="231"/>
      <c r="K263" s="231"/>
      <c r="L263" s="231"/>
      <c r="M263" s="231"/>
      <c r="N263" s="231"/>
      <c r="O263" s="231"/>
      <c r="P263" s="231"/>
      <c r="Q263" s="231"/>
      <c r="R263" s="231"/>
      <c r="S263" s="231"/>
      <c r="T263" s="231"/>
      <c r="U263" s="231"/>
      <c r="V263" s="231"/>
      <c r="W263" s="231"/>
      <c r="X263" s="231"/>
      <c r="Y263" s="231"/>
      <c r="Z263" s="231"/>
      <c r="AA263" s="231"/>
      <c r="AB263" s="231"/>
      <c r="AC263" s="231"/>
      <c r="AD263" s="231"/>
      <c r="AE263" s="231"/>
      <c r="AF263" s="231"/>
    </row>
    <row r="264" spans="1:32" s="203" customFormat="1">
      <c r="A264" s="154" t="s">
        <v>203</v>
      </c>
      <c r="B264" s="47"/>
      <c r="C264" s="47"/>
      <c r="D264" s="47"/>
      <c r="E264" s="859"/>
      <c r="F264" s="859"/>
      <c r="G264" s="130"/>
      <c r="H264" s="859"/>
      <c r="I264" s="21"/>
      <c r="J264" s="231"/>
      <c r="K264" s="231"/>
      <c r="L264" s="231"/>
      <c r="M264" s="231"/>
      <c r="N264" s="231"/>
      <c r="O264" s="231"/>
      <c r="P264" s="231"/>
      <c r="Q264" s="231"/>
      <c r="R264" s="231"/>
      <c r="S264" s="231"/>
      <c r="T264" s="231"/>
      <c r="U264" s="231"/>
      <c r="V264" s="231"/>
      <c r="W264" s="231"/>
      <c r="X264" s="231"/>
      <c r="Y264" s="231"/>
      <c r="Z264" s="231"/>
      <c r="AA264" s="231"/>
      <c r="AB264" s="231"/>
      <c r="AC264" s="231"/>
      <c r="AD264" s="231"/>
      <c r="AE264" s="231"/>
      <c r="AF264" s="231"/>
    </row>
    <row r="265" spans="1:32" s="203" customFormat="1">
      <c r="A265" s="109" t="s">
        <v>83</v>
      </c>
      <c r="B265" s="174"/>
      <c r="C265" s="174"/>
      <c r="D265" s="174"/>
      <c r="E265" s="860"/>
      <c r="F265" s="860"/>
      <c r="G265" s="130"/>
      <c r="H265" s="860"/>
      <c r="I265" s="21"/>
      <c r="J265" s="231"/>
      <c r="K265" s="231"/>
      <c r="L265" s="231"/>
      <c r="M265" s="231"/>
      <c r="N265" s="231"/>
      <c r="O265" s="231"/>
      <c r="P265" s="231"/>
      <c r="Q265" s="231"/>
      <c r="R265" s="231"/>
      <c r="S265" s="231"/>
      <c r="T265" s="231"/>
      <c r="U265" s="231"/>
      <c r="V265" s="231"/>
      <c r="W265" s="231"/>
      <c r="X265" s="231"/>
      <c r="Y265" s="231"/>
      <c r="Z265" s="231"/>
      <c r="AA265" s="231"/>
      <c r="AB265" s="231"/>
      <c r="AC265" s="231"/>
      <c r="AD265" s="231"/>
      <c r="AE265" s="231"/>
      <c r="AF265" s="231"/>
    </row>
    <row r="266" spans="1:32" s="203" customFormat="1">
      <c r="A266" s="110" t="s">
        <v>84</v>
      </c>
      <c r="B266" s="116"/>
      <c r="C266" s="116"/>
      <c r="D266" s="116"/>
      <c r="E266" s="178"/>
      <c r="F266" s="146"/>
      <c r="G266" s="118"/>
      <c r="H266" s="146"/>
      <c r="I266" s="21"/>
      <c r="J266" s="231"/>
      <c r="K266" s="231"/>
      <c r="L266" s="231"/>
      <c r="M266" s="231"/>
      <c r="N266" s="231"/>
      <c r="O266" s="231"/>
      <c r="P266" s="231"/>
      <c r="Q266" s="231"/>
      <c r="R266" s="231"/>
      <c r="S266" s="231"/>
      <c r="T266" s="231"/>
      <c r="U266" s="231"/>
      <c r="V266" s="231"/>
      <c r="W266" s="231"/>
      <c r="X266" s="231"/>
      <c r="Y266" s="231"/>
      <c r="Z266" s="231"/>
      <c r="AA266" s="231"/>
      <c r="AB266" s="231"/>
      <c r="AC266" s="231"/>
      <c r="AD266" s="231"/>
      <c r="AE266" s="231"/>
      <c r="AF266" s="231"/>
    </row>
    <row r="267" spans="1:32" s="203" customFormat="1">
      <c r="A267" s="120">
        <v>1</v>
      </c>
      <c r="B267" s="47" t="s">
        <v>204</v>
      </c>
      <c r="C267" s="47"/>
      <c r="D267" s="47"/>
      <c r="E267" s="74">
        <v>0</v>
      </c>
      <c r="F267" s="52">
        <v>0</v>
      </c>
      <c r="G267" s="118"/>
      <c r="H267" s="122">
        <v>0</v>
      </c>
      <c r="I267" s="21"/>
      <c r="J267" s="231"/>
      <c r="K267" s="231"/>
      <c r="L267" s="231"/>
      <c r="M267" s="231"/>
      <c r="N267" s="231"/>
      <c r="O267" s="231"/>
      <c r="P267" s="231"/>
      <c r="Q267" s="231"/>
      <c r="R267" s="231"/>
      <c r="S267" s="231"/>
      <c r="T267" s="231"/>
      <c r="U267" s="231"/>
      <c r="V267" s="231"/>
      <c r="W267" s="231"/>
      <c r="X267" s="231"/>
      <c r="Y267" s="231"/>
      <c r="Z267" s="231"/>
      <c r="AA267" s="231"/>
      <c r="AB267" s="231"/>
      <c r="AC267" s="231"/>
      <c r="AD267" s="231"/>
      <c r="AE267" s="231"/>
      <c r="AF267" s="231"/>
    </row>
    <row r="268" spans="1:32" s="203" customFormat="1">
      <c r="A268" s="788">
        <v>2</v>
      </c>
      <c r="B268" s="166" t="s">
        <v>205</v>
      </c>
      <c r="C268" s="166"/>
      <c r="D268" s="47"/>
      <c r="E268" s="114">
        <v>-41</v>
      </c>
      <c r="F268" s="52">
        <v>880</v>
      </c>
      <c r="G268" s="118"/>
      <c r="H268" s="122">
        <v>-41</v>
      </c>
      <c r="I268" s="21"/>
      <c r="J268" s="231"/>
      <c r="K268" s="231"/>
      <c r="L268" s="231"/>
      <c r="M268" s="231"/>
      <c r="N268" s="231"/>
      <c r="O268" s="231"/>
      <c r="P268" s="231"/>
      <c r="Q268" s="231"/>
      <c r="R268" s="231"/>
      <c r="S268" s="231"/>
      <c r="T268" s="231"/>
      <c r="U268" s="231"/>
      <c r="V268" s="231"/>
      <c r="W268" s="231"/>
      <c r="X268" s="231"/>
      <c r="Y268" s="231"/>
      <c r="Z268" s="231"/>
      <c r="AA268" s="231"/>
      <c r="AB268" s="231"/>
      <c r="AC268" s="231"/>
      <c r="AD268" s="231"/>
      <c r="AE268" s="231"/>
      <c r="AF268" s="231"/>
    </row>
    <row r="269" spans="1:32" s="203" customFormat="1">
      <c r="A269" s="120">
        <v>3</v>
      </c>
      <c r="B269" s="47" t="s">
        <v>206</v>
      </c>
      <c r="C269" s="47"/>
      <c r="D269" s="168"/>
      <c r="E269" s="114">
        <v>44</v>
      </c>
      <c r="F269" s="52">
        <v>49</v>
      </c>
      <c r="G269" s="118"/>
      <c r="H269" s="122">
        <v>51</v>
      </c>
      <c r="I269" s="21"/>
      <c r="J269" s="231"/>
      <c r="K269" s="231"/>
      <c r="L269" s="231"/>
      <c r="M269" s="231"/>
      <c r="N269" s="231"/>
      <c r="O269" s="231"/>
      <c r="P269" s="231"/>
      <c r="Q269" s="231"/>
      <c r="R269" s="231"/>
      <c r="S269" s="231"/>
      <c r="T269" s="231"/>
      <c r="U269" s="231"/>
      <c r="V269" s="231"/>
      <c r="W269" s="231"/>
      <c r="X269" s="231"/>
      <c r="Y269" s="231"/>
      <c r="Z269" s="231"/>
      <c r="AA269" s="231"/>
      <c r="AB269" s="231"/>
      <c r="AC269" s="231"/>
      <c r="AD269" s="231"/>
      <c r="AE269" s="231"/>
      <c r="AF269" s="231"/>
    </row>
    <row r="270" spans="1:32" s="203" customFormat="1">
      <c r="A270" s="788">
        <v>4</v>
      </c>
      <c r="B270" s="47" t="s">
        <v>207</v>
      </c>
      <c r="C270" s="47"/>
      <c r="D270" s="116"/>
      <c r="E270" s="114">
        <v>0</v>
      </c>
      <c r="F270" s="52">
        <v>3</v>
      </c>
      <c r="G270" s="118"/>
      <c r="H270" s="122">
        <v>3</v>
      </c>
      <c r="I270" s="21"/>
      <c r="J270" s="231"/>
      <c r="K270" s="231"/>
      <c r="L270" s="231"/>
      <c r="M270" s="231"/>
      <c r="N270" s="231"/>
      <c r="O270" s="231"/>
      <c r="P270" s="231"/>
      <c r="Q270" s="231"/>
      <c r="R270" s="231"/>
      <c r="S270" s="231"/>
      <c r="T270" s="231"/>
      <c r="U270" s="231"/>
      <c r="V270" s="231"/>
      <c r="W270" s="231"/>
      <c r="X270" s="231"/>
      <c r="Y270" s="231"/>
      <c r="Z270" s="231"/>
      <c r="AA270" s="231"/>
      <c r="AB270" s="231"/>
      <c r="AC270" s="231"/>
      <c r="AD270" s="231"/>
      <c r="AE270" s="231"/>
      <c r="AF270" s="231"/>
    </row>
    <row r="271" spans="1:32" s="203" customFormat="1">
      <c r="A271" s="120">
        <v>5</v>
      </c>
      <c r="B271" s="47" t="s">
        <v>208</v>
      </c>
      <c r="C271" s="47"/>
      <c r="D271" s="47"/>
      <c r="E271" s="114">
        <v>3481</v>
      </c>
      <c r="F271" s="52">
        <v>683</v>
      </c>
      <c r="G271" s="118"/>
      <c r="H271" s="122">
        <v>946</v>
      </c>
      <c r="I271" s="21"/>
      <c r="J271" s="231"/>
      <c r="K271" s="231"/>
      <c r="L271" s="231"/>
      <c r="M271" s="231"/>
      <c r="N271" s="231"/>
      <c r="O271" s="231"/>
      <c r="P271" s="231"/>
      <c r="Q271" s="231"/>
      <c r="R271" s="231"/>
      <c r="S271" s="231"/>
      <c r="T271" s="231"/>
      <c r="U271" s="231"/>
      <c r="V271" s="231"/>
      <c r="W271" s="231"/>
      <c r="X271" s="231"/>
      <c r="Y271" s="231"/>
      <c r="Z271" s="231"/>
      <c r="AA271" s="231"/>
      <c r="AB271" s="231"/>
      <c r="AC271" s="231"/>
      <c r="AD271" s="231"/>
      <c r="AE271" s="231"/>
      <c r="AF271" s="231"/>
    </row>
    <row r="272" spans="1:32" s="203" customFormat="1">
      <c r="A272" s="788">
        <v>6</v>
      </c>
      <c r="B272" s="47" t="s">
        <v>209</v>
      </c>
      <c r="C272" s="47"/>
      <c r="D272" s="47"/>
      <c r="E272" s="114">
        <v>326</v>
      </c>
      <c r="F272" s="52">
        <v>368</v>
      </c>
      <c r="G272" s="118"/>
      <c r="H272" s="122">
        <v>393</v>
      </c>
      <c r="I272" s="21"/>
      <c r="J272" s="231"/>
      <c r="K272" s="231"/>
      <c r="L272" s="231"/>
      <c r="M272" s="231"/>
      <c r="N272" s="231"/>
      <c r="O272" s="231"/>
      <c r="P272" s="231"/>
      <c r="Q272" s="231"/>
      <c r="R272" s="231"/>
      <c r="S272" s="231"/>
      <c r="T272" s="231"/>
      <c r="U272" s="231"/>
      <c r="V272" s="231"/>
      <c r="W272" s="231"/>
      <c r="X272" s="231"/>
      <c r="Y272" s="231"/>
      <c r="Z272" s="231"/>
      <c r="AA272" s="231"/>
      <c r="AB272" s="231"/>
      <c r="AC272" s="231"/>
      <c r="AD272" s="231"/>
      <c r="AE272" s="231"/>
      <c r="AF272" s="231"/>
    </row>
    <row r="273" spans="1:32" s="203" customFormat="1">
      <c r="A273" s="120">
        <v>7</v>
      </c>
      <c r="B273" s="47" t="s">
        <v>210</v>
      </c>
      <c r="C273" s="47"/>
      <c r="D273" s="47"/>
      <c r="E273" s="114">
        <v>855</v>
      </c>
      <c r="F273" s="52">
        <v>2133</v>
      </c>
      <c r="G273" s="118"/>
      <c r="H273" s="122">
        <v>2124</v>
      </c>
      <c r="I273" s="21"/>
      <c r="J273" s="231"/>
      <c r="K273" s="231"/>
      <c r="L273" s="231"/>
      <c r="M273" s="231"/>
      <c r="N273" s="231"/>
      <c r="O273" s="231"/>
      <c r="P273" s="231"/>
      <c r="Q273" s="231"/>
      <c r="R273" s="231"/>
      <c r="S273" s="231"/>
      <c r="T273" s="231"/>
      <c r="U273" s="231"/>
      <c r="V273" s="231"/>
      <c r="W273" s="231"/>
      <c r="X273" s="231"/>
      <c r="Y273" s="231"/>
      <c r="Z273" s="231"/>
      <c r="AA273" s="231"/>
      <c r="AB273" s="231"/>
      <c r="AC273" s="231"/>
      <c r="AD273" s="231"/>
      <c r="AE273" s="231"/>
      <c r="AF273" s="231"/>
    </row>
    <row r="274" spans="1:32" s="203" customFormat="1">
      <c r="A274" s="788">
        <v>8</v>
      </c>
      <c r="B274" s="47" t="s">
        <v>211</v>
      </c>
      <c r="C274" s="47"/>
      <c r="D274" s="47"/>
      <c r="E274" s="114">
        <v>4278</v>
      </c>
      <c r="F274" s="52">
        <v>3857</v>
      </c>
      <c r="G274" s="118"/>
      <c r="H274" s="122">
        <v>3469</v>
      </c>
      <c r="I274" s="21"/>
      <c r="J274" s="231"/>
      <c r="K274" s="231"/>
      <c r="L274" s="231"/>
      <c r="M274" s="231"/>
      <c r="N274" s="231"/>
      <c r="O274" s="231"/>
      <c r="P274" s="231"/>
      <c r="Q274" s="231"/>
      <c r="R274" s="231"/>
      <c r="S274" s="231"/>
      <c r="T274" s="231"/>
      <c r="U274" s="231"/>
      <c r="V274" s="231"/>
      <c r="W274" s="231"/>
      <c r="X274" s="231"/>
      <c r="Y274" s="231"/>
      <c r="Z274" s="231"/>
      <c r="AA274" s="231"/>
      <c r="AB274" s="231"/>
      <c r="AC274" s="231"/>
      <c r="AD274" s="231"/>
      <c r="AE274" s="231"/>
      <c r="AF274" s="231"/>
    </row>
    <row r="275" spans="1:32" s="203" customFormat="1">
      <c r="A275" s="120">
        <v>9</v>
      </c>
      <c r="B275" s="47" t="s">
        <v>212</v>
      </c>
      <c r="C275" s="47"/>
      <c r="D275" s="47"/>
      <c r="E275" s="114">
        <v>1044</v>
      </c>
      <c r="F275" s="52">
        <v>1031</v>
      </c>
      <c r="G275" s="118"/>
      <c r="H275" s="122">
        <v>1092</v>
      </c>
      <c r="I275" s="21"/>
      <c r="J275" s="231"/>
      <c r="K275" s="231"/>
      <c r="L275" s="231"/>
      <c r="M275" s="231"/>
      <c r="N275" s="231"/>
      <c r="O275" s="231"/>
      <c r="P275" s="231"/>
      <c r="Q275" s="231"/>
      <c r="R275" s="231"/>
      <c r="S275" s="231"/>
      <c r="T275" s="231"/>
      <c r="U275" s="231"/>
      <c r="V275" s="231"/>
      <c r="W275" s="231"/>
      <c r="X275" s="231"/>
      <c r="Y275" s="231"/>
      <c r="Z275" s="231"/>
      <c r="AA275" s="231"/>
      <c r="AB275" s="231"/>
      <c r="AC275" s="231"/>
      <c r="AD275" s="231"/>
      <c r="AE275" s="231"/>
      <c r="AF275" s="231"/>
    </row>
    <row r="276" spans="1:32" s="203" customFormat="1">
      <c r="A276" s="788">
        <v>10</v>
      </c>
      <c r="B276" s="47" t="s">
        <v>213</v>
      </c>
      <c r="C276" s="47"/>
      <c r="D276" s="47"/>
      <c r="E276" s="114">
        <v>463</v>
      </c>
      <c r="F276" s="52">
        <v>1783</v>
      </c>
      <c r="G276" s="118"/>
      <c r="H276" s="99">
        <v>505</v>
      </c>
      <c r="I276" s="21"/>
      <c r="J276" s="231"/>
      <c r="K276" s="231"/>
      <c r="L276" s="231"/>
      <c r="M276" s="231"/>
      <c r="N276" s="231"/>
      <c r="O276" s="231"/>
      <c r="P276" s="231"/>
      <c r="Q276" s="231"/>
      <c r="R276" s="231"/>
      <c r="S276" s="231"/>
      <c r="T276" s="231"/>
      <c r="U276" s="231"/>
      <c r="V276" s="231"/>
      <c r="W276" s="231"/>
      <c r="X276" s="231"/>
      <c r="Y276" s="231"/>
      <c r="Z276" s="231"/>
      <c r="AA276" s="231"/>
      <c r="AB276" s="231"/>
      <c r="AC276" s="231"/>
      <c r="AD276" s="231"/>
      <c r="AE276" s="231"/>
      <c r="AF276" s="231"/>
    </row>
    <row r="277" spans="1:32" s="203" customFormat="1">
      <c r="A277" s="124">
        <v>11</v>
      </c>
      <c r="B277" s="94" t="s">
        <v>214</v>
      </c>
      <c r="C277" s="94"/>
      <c r="D277" s="94"/>
      <c r="E277" s="159">
        <v>10450</v>
      </c>
      <c r="F277" s="61">
        <f>SUM(F267:F276)</f>
        <v>10787</v>
      </c>
      <c r="G277" s="118"/>
      <c r="H277" s="61">
        <f>SUM(H267:H276)</f>
        <v>8542</v>
      </c>
      <c r="I277" s="21"/>
      <c r="J277" s="231"/>
      <c r="K277" s="231"/>
      <c r="L277" s="231"/>
      <c r="M277" s="231"/>
      <c r="N277" s="231"/>
      <c r="O277" s="231"/>
      <c r="P277" s="231"/>
      <c r="Q277" s="231"/>
      <c r="R277" s="231"/>
      <c r="S277" s="231"/>
      <c r="T277" s="231"/>
      <c r="U277" s="231"/>
      <c r="V277" s="231"/>
      <c r="W277" s="231"/>
      <c r="X277" s="231"/>
      <c r="Y277" s="231"/>
      <c r="Z277" s="231"/>
      <c r="AA277" s="231"/>
      <c r="AB277" s="231"/>
      <c r="AC277" s="231"/>
      <c r="AD277" s="231"/>
      <c r="AE277" s="231"/>
      <c r="AF277" s="231"/>
    </row>
    <row r="278" spans="1:32" s="203" customFormat="1">
      <c r="A278" s="207"/>
      <c r="B278" s="207"/>
      <c r="C278" s="207"/>
      <c r="D278" s="207"/>
      <c r="E278" s="207"/>
      <c r="F278" s="207"/>
      <c r="G278" s="207"/>
      <c r="H278" s="207"/>
      <c r="I278" s="21"/>
      <c r="J278" s="231"/>
      <c r="K278" s="231"/>
      <c r="L278" s="231"/>
      <c r="M278" s="231"/>
      <c r="N278" s="231"/>
      <c r="O278" s="231"/>
      <c r="P278" s="231"/>
      <c r="Q278" s="231"/>
      <c r="R278" s="231"/>
      <c r="S278" s="231"/>
      <c r="T278" s="231"/>
      <c r="U278" s="231"/>
      <c r="V278" s="231"/>
      <c r="W278" s="231"/>
      <c r="X278" s="231"/>
      <c r="Y278" s="231"/>
      <c r="Z278" s="231"/>
      <c r="AA278" s="231"/>
      <c r="AB278" s="231"/>
      <c r="AC278" s="231"/>
      <c r="AD278" s="231"/>
      <c r="AE278" s="231"/>
      <c r="AF278" s="231"/>
    </row>
    <row r="279" spans="1:32" s="203" customFormat="1">
      <c r="A279" s="207"/>
      <c r="B279" s="207"/>
      <c r="C279" s="207"/>
      <c r="D279" s="207"/>
      <c r="E279" s="207"/>
      <c r="F279" s="207"/>
      <c r="G279" s="207"/>
      <c r="H279" s="131" t="s">
        <v>27</v>
      </c>
      <c r="I279" s="21"/>
      <c r="J279" s="231"/>
      <c r="K279" s="231"/>
      <c r="L279" s="231"/>
      <c r="M279" s="231"/>
      <c r="N279" s="231"/>
      <c r="O279" s="231"/>
      <c r="P279" s="231"/>
      <c r="Q279" s="231"/>
      <c r="R279" s="231"/>
      <c r="S279" s="231"/>
      <c r="T279" s="231"/>
      <c r="U279" s="231"/>
      <c r="V279" s="231"/>
      <c r="W279" s="231"/>
      <c r="X279" s="231"/>
      <c r="Y279" s="231"/>
      <c r="Z279" s="231"/>
      <c r="AA279" s="231"/>
      <c r="AB279" s="231"/>
      <c r="AC279" s="231"/>
      <c r="AD279" s="231"/>
      <c r="AE279" s="231"/>
      <c r="AF279" s="231"/>
    </row>
    <row r="280" spans="1:32" s="203" customFormat="1" ht="12.75" customHeight="1">
      <c r="A280" s="106" t="s">
        <v>18</v>
      </c>
      <c r="B280" s="164"/>
      <c r="C280" s="164"/>
      <c r="D280" s="164"/>
      <c r="E280" s="856" t="s">
        <v>377</v>
      </c>
      <c r="F280" s="856" t="s">
        <v>402</v>
      </c>
      <c r="G280" s="130"/>
      <c r="H280" s="856" t="s">
        <v>403</v>
      </c>
      <c r="I280" s="21"/>
      <c r="J280" s="231"/>
      <c r="K280" s="231"/>
      <c r="L280" s="231"/>
      <c r="M280" s="231"/>
      <c r="N280" s="231"/>
      <c r="O280" s="231"/>
      <c r="P280" s="231"/>
      <c r="Q280" s="231"/>
      <c r="R280" s="231"/>
      <c r="S280" s="231"/>
      <c r="T280" s="231"/>
      <c r="U280" s="231"/>
      <c r="V280" s="231"/>
      <c r="W280" s="231"/>
      <c r="X280" s="231"/>
      <c r="Y280" s="231"/>
      <c r="Z280" s="231"/>
      <c r="AA280" s="231"/>
      <c r="AB280" s="231"/>
      <c r="AC280" s="231"/>
      <c r="AD280" s="231"/>
      <c r="AE280" s="231"/>
      <c r="AF280" s="231"/>
    </row>
    <row r="281" spans="1:32" s="203" customFormat="1">
      <c r="A281" s="165"/>
      <c r="B281" s="47"/>
      <c r="C281" s="47"/>
      <c r="D281" s="47"/>
      <c r="E281" s="859"/>
      <c r="F281" s="859"/>
      <c r="G281" s="130"/>
      <c r="H281" s="859"/>
      <c r="I281" s="21"/>
      <c r="J281" s="231"/>
      <c r="K281" s="231"/>
      <c r="L281" s="231"/>
      <c r="M281" s="231"/>
      <c r="N281" s="231"/>
      <c r="O281" s="231"/>
      <c r="P281" s="231"/>
      <c r="Q281" s="231"/>
      <c r="R281" s="231"/>
      <c r="S281" s="231"/>
      <c r="T281" s="231"/>
      <c r="U281" s="231"/>
      <c r="V281" s="231"/>
      <c r="W281" s="231"/>
      <c r="X281" s="231"/>
      <c r="Y281" s="231"/>
      <c r="Z281" s="231"/>
      <c r="AA281" s="231"/>
      <c r="AB281" s="231"/>
      <c r="AC281" s="231"/>
      <c r="AD281" s="231"/>
      <c r="AE281" s="231"/>
      <c r="AF281" s="231"/>
    </row>
    <row r="282" spans="1:32" s="203" customFormat="1" ht="21.75" customHeight="1">
      <c r="A282" s="109"/>
      <c r="B282" s="174"/>
      <c r="C282" s="174"/>
      <c r="D282" s="174"/>
      <c r="E282" s="859"/>
      <c r="F282" s="859"/>
      <c r="G282" s="130"/>
      <c r="H282" s="859"/>
      <c r="I282" s="21"/>
      <c r="J282" s="231"/>
      <c r="K282" s="231"/>
      <c r="L282" s="231"/>
      <c r="M282" s="231"/>
      <c r="N282" s="231"/>
      <c r="O282" s="231"/>
      <c r="P282" s="231"/>
      <c r="Q282" s="231"/>
      <c r="R282" s="231"/>
      <c r="S282" s="231"/>
      <c r="T282" s="231"/>
      <c r="U282" s="231"/>
      <c r="V282" s="231"/>
      <c r="W282" s="231"/>
      <c r="X282" s="231"/>
      <c r="Y282" s="231"/>
      <c r="Z282" s="231"/>
      <c r="AA282" s="231"/>
      <c r="AB282" s="231"/>
      <c r="AC282" s="231"/>
      <c r="AD282" s="231"/>
      <c r="AE282" s="231"/>
      <c r="AF282" s="231"/>
    </row>
    <row r="283" spans="1:32" s="203" customFormat="1">
      <c r="A283" s="154" t="s">
        <v>215</v>
      </c>
      <c r="B283" s="47"/>
      <c r="C283" s="47"/>
      <c r="D283" s="47"/>
      <c r="E283" s="859"/>
      <c r="F283" s="859"/>
      <c r="G283" s="130"/>
      <c r="H283" s="859"/>
      <c r="I283" s="21"/>
      <c r="J283" s="231"/>
      <c r="K283" s="231"/>
      <c r="L283" s="231"/>
      <c r="M283" s="231"/>
      <c r="N283" s="231"/>
      <c r="O283" s="231"/>
      <c r="P283" s="231"/>
      <c r="Q283" s="231"/>
      <c r="R283" s="231"/>
      <c r="S283" s="231"/>
      <c r="T283" s="231"/>
      <c r="U283" s="231"/>
      <c r="V283" s="231"/>
      <c r="W283" s="231"/>
      <c r="X283" s="231"/>
      <c r="Y283" s="231"/>
      <c r="Z283" s="231"/>
      <c r="AA283" s="231"/>
      <c r="AB283" s="231"/>
      <c r="AC283" s="231"/>
      <c r="AD283" s="231"/>
      <c r="AE283" s="231"/>
      <c r="AF283" s="231"/>
    </row>
    <row r="284" spans="1:32" s="203" customFormat="1">
      <c r="A284" s="109" t="s">
        <v>83</v>
      </c>
      <c r="B284" s="174"/>
      <c r="C284" s="174"/>
      <c r="D284" s="174"/>
      <c r="E284" s="860"/>
      <c r="F284" s="860"/>
      <c r="G284" s="130"/>
      <c r="H284" s="860"/>
      <c r="I284" s="21"/>
      <c r="J284" s="231"/>
      <c r="K284" s="231"/>
      <c r="L284" s="231"/>
      <c r="M284" s="231"/>
      <c r="N284" s="231"/>
      <c r="O284" s="231"/>
      <c r="P284" s="231"/>
      <c r="Q284" s="231"/>
      <c r="R284" s="231"/>
      <c r="S284" s="231"/>
      <c r="T284" s="231"/>
      <c r="U284" s="231"/>
      <c r="V284" s="231"/>
      <c r="W284" s="231"/>
      <c r="X284" s="231"/>
      <c r="Y284" s="231"/>
      <c r="Z284" s="231"/>
      <c r="AA284" s="231"/>
      <c r="AB284" s="231"/>
      <c r="AC284" s="231"/>
      <c r="AD284" s="231"/>
      <c r="AE284" s="231"/>
      <c r="AF284" s="231"/>
    </row>
    <row r="285" spans="1:32" s="203" customFormat="1">
      <c r="A285" s="110" t="s">
        <v>84</v>
      </c>
      <c r="B285" s="116"/>
      <c r="C285" s="116"/>
      <c r="D285" s="116"/>
      <c r="E285" s="178"/>
      <c r="F285" s="146"/>
      <c r="G285" s="118"/>
      <c r="H285" s="146"/>
      <c r="I285" s="21"/>
      <c r="J285" s="231"/>
      <c r="K285" s="231"/>
      <c r="L285" s="231"/>
      <c r="M285" s="231"/>
      <c r="N285" s="231"/>
      <c r="O285" s="231"/>
      <c r="P285" s="231"/>
      <c r="Q285" s="231"/>
      <c r="R285" s="231"/>
      <c r="S285" s="231"/>
      <c r="T285" s="231"/>
      <c r="U285" s="231"/>
      <c r="V285" s="231"/>
      <c r="W285" s="231"/>
      <c r="X285" s="231"/>
      <c r="Y285" s="231"/>
      <c r="Z285" s="231"/>
      <c r="AA285" s="231"/>
      <c r="AB285" s="231"/>
      <c r="AC285" s="231"/>
      <c r="AD285" s="231"/>
      <c r="AE285" s="231"/>
      <c r="AF285" s="231"/>
    </row>
    <row r="286" spans="1:32" s="203" customFormat="1">
      <c r="A286" s="120">
        <v>1</v>
      </c>
      <c r="B286" s="47" t="s">
        <v>216</v>
      </c>
      <c r="C286" s="47"/>
      <c r="D286" s="47"/>
      <c r="E286" s="74">
        <v>331</v>
      </c>
      <c r="F286" s="52">
        <v>281</v>
      </c>
      <c r="G286" s="118"/>
      <c r="H286" s="122">
        <v>335</v>
      </c>
      <c r="I286" s="21"/>
      <c r="J286" s="231"/>
      <c r="K286" s="231"/>
      <c r="L286" s="231"/>
      <c r="M286" s="231"/>
      <c r="N286" s="231"/>
      <c r="O286" s="231"/>
      <c r="P286" s="231"/>
      <c r="Q286" s="231"/>
      <c r="R286" s="231"/>
      <c r="S286" s="231"/>
      <c r="T286" s="231"/>
      <c r="U286" s="231"/>
      <c r="V286" s="231"/>
      <c r="W286" s="231"/>
      <c r="X286" s="231"/>
      <c r="Y286" s="231"/>
      <c r="Z286" s="231"/>
      <c r="AA286" s="231"/>
      <c r="AB286" s="231"/>
      <c r="AC286" s="231"/>
      <c r="AD286" s="231"/>
      <c r="AE286" s="231"/>
      <c r="AF286" s="231"/>
    </row>
    <row r="287" spans="1:32" s="203" customFormat="1">
      <c r="A287" s="788">
        <v>2</v>
      </c>
      <c r="B287" s="47" t="s">
        <v>217</v>
      </c>
      <c r="C287" s="47"/>
      <c r="D287" s="47"/>
      <c r="E287" s="114">
        <v>680</v>
      </c>
      <c r="F287" s="52">
        <v>408</v>
      </c>
      <c r="G287" s="118"/>
      <c r="H287" s="122">
        <v>391</v>
      </c>
      <c r="I287" s="21"/>
      <c r="J287" s="231"/>
      <c r="K287" s="231"/>
      <c r="L287" s="231"/>
      <c r="M287" s="231"/>
      <c r="N287" s="231"/>
      <c r="O287" s="231"/>
      <c r="P287" s="231"/>
      <c r="Q287" s="231"/>
      <c r="R287" s="231"/>
      <c r="S287" s="231"/>
      <c r="T287" s="231"/>
      <c r="U287" s="231"/>
      <c r="V287" s="231"/>
      <c r="W287" s="231"/>
      <c r="X287" s="231"/>
      <c r="Y287" s="231"/>
      <c r="Z287" s="231"/>
      <c r="AA287" s="231"/>
      <c r="AB287" s="231"/>
      <c r="AC287" s="231"/>
      <c r="AD287" s="231"/>
      <c r="AE287" s="231"/>
      <c r="AF287" s="231"/>
    </row>
    <row r="288" spans="1:32" s="203" customFormat="1">
      <c r="A288" s="120">
        <v>3</v>
      </c>
      <c r="B288" s="90" t="s">
        <v>218</v>
      </c>
      <c r="C288" s="166"/>
      <c r="D288" s="168"/>
      <c r="E288" s="114">
        <v>775</v>
      </c>
      <c r="F288" s="52">
        <v>1312</v>
      </c>
      <c r="G288" s="118"/>
      <c r="H288" s="122">
        <v>1243</v>
      </c>
      <c r="I288" s="21"/>
      <c r="J288" s="231"/>
      <c r="K288" s="231"/>
      <c r="L288" s="231"/>
      <c r="M288" s="231"/>
      <c r="N288" s="231"/>
      <c r="O288" s="231"/>
      <c r="P288" s="231"/>
      <c r="Q288" s="231"/>
      <c r="R288" s="231"/>
      <c r="S288" s="231"/>
      <c r="T288" s="231"/>
      <c r="U288" s="231"/>
      <c r="V288" s="231"/>
      <c r="W288" s="231"/>
      <c r="X288" s="231"/>
      <c r="Y288" s="231"/>
      <c r="Z288" s="231"/>
      <c r="AA288" s="231"/>
      <c r="AB288" s="231"/>
      <c r="AC288" s="231"/>
      <c r="AD288" s="231"/>
      <c r="AE288" s="231"/>
      <c r="AF288" s="231"/>
    </row>
    <row r="289" spans="1:32" s="203" customFormat="1">
      <c r="A289" s="788">
        <v>4</v>
      </c>
      <c r="B289" s="47" t="s">
        <v>219</v>
      </c>
      <c r="C289" s="47"/>
      <c r="D289" s="116"/>
      <c r="E289" s="114">
        <v>496</v>
      </c>
      <c r="F289" s="52">
        <v>453</v>
      </c>
      <c r="G289" s="118"/>
      <c r="H289" s="122">
        <v>500</v>
      </c>
      <c r="I289" s="21"/>
      <c r="J289" s="231"/>
      <c r="K289" s="231"/>
      <c r="L289" s="231"/>
      <c r="M289" s="231"/>
      <c r="N289" s="231"/>
      <c r="O289" s="231"/>
      <c r="P289" s="231"/>
      <c r="Q289" s="231"/>
      <c r="R289" s="231"/>
      <c r="S289" s="231"/>
      <c r="T289" s="231"/>
      <c r="U289" s="231"/>
      <c r="V289" s="231"/>
      <c r="W289" s="231"/>
      <c r="X289" s="231"/>
      <c r="Y289" s="231"/>
      <c r="Z289" s="231"/>
      <c r="AA289" s="231"/>
      <c r="AB289" s="231"/>
      <c r="AC289" s="231"/>
      <c r="AD289" s="231"/>
      <c r="AE289" s="231"/>
      <c r="AF289" s="231"/>
    </row>
    <row r="290" spans="1:32" s="203" customFormat="1">
      <c r="A290" s="788">
        <v>5</v>
      </c>
      <c r="B290" s="47" t="s">
        <v>220</v>
      </c>
      <c r="C290" s="47"/>
      <c r="D290" s="47"/>
      <c r="E290" s="114">
        <v>37</v>
      </c>
      <c r="F290" s="52">
        <v>204</v>
      </c>
      <c r="G290" s="118"/>
      <c r="H290" s="122">
        <v>159</v>
      </c>
      <c r="I290" s="21"/>
      <c r="J290" s="231"/>
      <c r="K290" s="231"/>
      <c r="L290" s="231"/>
      <c r="M290" s="231"/>
      <c r="N290" s="231"/>
      <c r="O290" s="231"/>
      <c r="P290" s="231"/>
      <c r="Q290" s="231"/>
      <c r="R290" s="231"/>
      <c r="S290" s="231"/>
      <c r="T290" s="231"/>
      <c r="U290" s="231"/>
      <c r="V290" s="231"/>
      <c r="W290" s="231"/>
      <c r="X290" s="231"/>
      <c r="Y290" s="231"/>
      <c r="Z290" s="231"/>
      <c r="AA290" s="231"/>
      <c r="AB290" s="231"/>
      <c r="AC290" s="231"/>
      <c r="AD290" s="231"/>
      <c r="AE290" s="231"/>
      <c r="AF290" s="231"/>
    </row>
    <row r="291" spans="1:32" s="203" customFormat="1">
      <c r="A291" s="120">
        <v>6</v>
      </c>
      <c r="B291" s="47" t="s">
        <v>221</v>
      </c>
      <c r="C291" s="47"/>
      <c r="D291" s="47"/>
      <c r="E291" s="114">
        <v>132</v>
      </c>
      <c r="F291" s="52">
        <v>149</v>
      </c>
      <c r="G291" s="118"/>
      <c r="H291" s="122">
        <v>106</v>
      </c>
      <c r="I291" s="21"/>
      <c r="J291" s="231"/>
      <c r="K291" s="231"/>
      <c r="L291" s="231"/>
      <c r="M291" s="231"/>
      <c r="N291" s="231"/>
      <c r="O291" s="231"/>
      <c r="P291" s="231"/>
      <c r="Q291" s="231"/>
      <c r="R291" s="231"/>
      <c r="S291" s="231"/>
      <c r="T291" s="231"/>
      <c r="U291" s="231"/>
      <c r="V291" s="231"/>
      <c r="W291" s="231"/>
      <c r="X291" s="231"/>
      <c r="Y291" s="231"/>
      <c r="Z291" s="231"/>
      <c r="AA291" s="231"/>
      <c r="AB291" s="231"/>
      <c r="AC291" s="231"/>
      <c r="AD291" s="231"/>
      <c r="AE291" s="231"/>
      <c r="AF291" s="231"/>
    </row>
    <row r="292" spans="1:32" s="203" customFormat="1">
      <c r="A292" s="788">
        <v>7</v>
      </c>
      <c r="B292" s="47" t="s">
        <v>222</v>
      </c>
      <c r="C292" s="47"/>
      <c r="D292" s="116"/>
      <c r="E292" s="114">
        <v>299</v>
      </c>
      <c r="F292" s="52">
        <v>422</v>
      </c>
      <c r="G292" s="118"/>
      <c r="H292" s="122">
        <v>423</v>
      </c>
      <c r="I292" s="21"/>
      <c r="J292" s="231"/>
      <c r="K292" s="231"/>
      <c r="L292" s="231"/>
      <c r="M292" s="231"/>
      <c r="N292" s="231"/>
      <c r="O292" s="231"/>
      <c r="P292" s="231"/>
      <c r="Q292" s="231"/>
      <c r="R292" s="231"/>
      <c r="S292" s="231"/>
      <c r="T292" s="231"/>
      <c r="U292" s="231"/>
      <c r="V292" s="231"/>
      <c r="W292" s="231"/>
      <c r="X292" s="231"/>
      <c r="Y292" s="231"/>
      <c r="Z292" s="231"/>
      <c r="AA292" s="231"/>
      <c r="AB292" s="231"/>
      <c r="AC292" s="231"/>
      <c r="AD292" s="231"/>
      <c r="AE292" s="231"/>
      <c r="AF292" s="231"/>
    </row>
    <row r="293" spans="1:32" s="203" customFormat="1">
      <c r="A293" s="120">
        <v>8</v>
      </c>
      <c r="B293" s="47" t="s">
        <v>223</v>
      </c>
      <c r="C293" s="47"/>
      <c r="D293" s="116"/>
      <c r="E293" s="114">
        <v>500</v>
      </c>
      <c r="F293" s="52">
        <v>382</v>
      </c>
      <c r="G293" s="118"/>
      <c r="H293" s="122">
        <v>383</v>
      </c>
      <c r="I293" s="21"/>
      <c r="J293" s="231"/>
      <c r="K293" s="231"/>
      <c r="L293" s="231"/>
      <c r="M293" s="231"/>
      <c r="N293" s="231"/>
      <c r="O293" s="231"/>
      <c r="P293" s="231"/>
      <c r="Q293" s="231"/>
      <c r="R293" s="231"/>
      <c r="S293" s="231"/>
      <c r="T293" s="231"/>
      <c r="U293" s="231"/>
      <c r="V293" s="231"/>
      <c r="W293" s="231"/>
      <c r="X293" s="231"/>
      <c r="Y293" s="231"/>
      <c r="Z293" s="231"/>
      <c r="AA293" s="231"/>
      <c r="AB293" s="231"/>
      <c r="AC293" s="231"/>
      <c r="AD293" s="231"/>
      <c r="AE293" s="231"/>
      <c r="AF293" s="231"/>
    </row>
    <row r="294" spans="1:32" s="203" customFormat="1">
      <c r="A294" s="788">
        <v>9</v>
      </c>
      <c r="B294" s="47" t="s">
        <v>224</v>
      </c>
      <c r="C294" s="47"/>
      <c r="D294" s="116"/>
      <c r="E294" s="114">
        <v>424</v>
      </c>
      <c r="F294" s="52">
        <v>347</v>
      </c>
      <c r="G294" s="118"/>
      <c r="H294" s="122">
        <v>352</v>
      </c>
      <c r="I294" s="21"/>
      <c r="J294" s="231"/>
      <c r="K294" s="231"/>
      <c r="L294" s="231"/>
      <c r="M294" s="231"/>
      <c r="N294" s="231"/>
      <c r="O294" s="231"/>
      <c r="P294" s="231"/>
      <c r="Q294" s="231"/>
      <c r="R294" s="231"/>
      <c r="S294" s="231"/>
      <c r="T294" s="231"/>
      <c r="U294" s="231"/>
      <c r="V294" s="231"/>
      <c r="W294" s="231"/>
      <c r="X294" s="231"/>
      <c r="Y294" s="231"/>
      <c r="Z294" s="231"/>
      <c r="AA294" s="231"/>
      <c r="AB294" s="231"/>
      <c r="AC294" s="231"/>
      <c r="AD294" s="231"/>
      <c r="AE294" s="231"/>
      <c r="AF294" s="231"/>
    </row>
    <row r="295" spans="1:32" s="203" customFormat="1">
      <c r="A295" s="120">
        <v>10</v>
      </c>
      <c r="B295" s="47" t="s">
        <v>225</v>
      </c>
      <c r="C295" s="47"/>
      <c r="D295" s="47"/>
      <c r="E295" s="114">
        <v>108</v>
      </c>
      <c r="F295" s="52">
        <v>71</v>
      </c>
      <c r="G295" s="118"/>
      <c r="H295" s="122">
        <v>70</v>
      </c>
      <c r="I295" s="21"/>
      <c r="J295" s="231"/>
      <c r="K295" s="231"/>
      <c r="L295" s="231"/>
      <c r="M295" s="231"/>
      <c r="N295" s="231"/>
      <c r="O295" s="231"/>
      <c r="P295" s="231"/>
      <c r="Q295" s="231"/>
      <c r="R295" s="231"/>
      <c r="S295" s="231"/>
      <c r="T295" s="231"/>
      <c r="U295" s="231"/>
      <c r="V295" s="231"/>
      <c r="W295" s="231"/>
      <c r="X295" s="231"/>
      <c r="Y295" s="231"/>
      <c r="Z295" s="231"/>
      <c r="AA295" s="231"/>
      <c r="AB295" s="231"/>
      <c r="AC295" s="231"/>
      <c r="AD295" s="231"/>
      <c r="AE295" s="231"/>
      <c r="AF295" s="231"/>
    </row>
    <row r="296" spans="1:32" s="203" customFormat="1">
      <c r="A296" s="788">
        <v>11</v>
      </c>
      <c r="B296" s="47" t="s">
        <v>226</v>
      </c>
      <c r="C296" s="47"/>
      <c r="D296" s="47"/>
      <c r="E296" s="114">
        <v>0</v>
      </c>
      <c r="F296" s="52">
        <v>0</v>
      </c>
      <c r="G296" s="118"/>
      <c r="H296" s="122">
        <v>0</v>
      </c>
      <c r="I296" s="21"/>
      <c r="J296" s="231"/>
      <c r="K296" s="231"/>
      <c r="L296" s="231"/>
      <c r="M296" s="231"/>
      <c r="N296" s="231"/>
      <c r="O296" s="231"/>
      <c r="P296" s="231"/>
      <c r="Q296" s="231"/>
      <c r="R296" s="231"/>
      <c r="S296" s="231"/>
      <c r="T296" s="231"/>
      <c r="U296" s="231"/>
      <c r="V296" s="231"/>
      <c r="W296" s="231"/>
      <c r="X296" s="231"/>
      <c r="Y296" s="231"/>
      <c r="Z296" s="231"/>
      <c r="AA296" s="231"/>
      <c r="AB296" s="231"/>
      <c r="AC296" s="231"/>
      <c r="AD296" s="231"/>
      <c r="AE296" s="231"/>
      <c r="AF296" s="231"/>
    </row>
    <row r="297" spans="1:32" s="203" customFormat="1">
      <c r="A297" s="120">
        <v>12</v>
      </c>
      <c r="B297" s="47" t="s">
        <v>227</v>
      </c>
      <c r="C297" s="47"/>
      <c r="D297" s="47"/>
      <c r="E297" s="114">
        <v>84</v>
      </c>
      <c r="F297" s="52">
        <v>318</v>
      </c>
      <c r="G297" s="118"/>
      <c r="H297" s="122">
        <v>186</v>
      </c>
      <c r="I297" s="21"/>
      <c r="J297" s="231"/>
      <c r="K297" s="231"/>
      <c r="L297" s="231"/>
      <c r="M297" s="231"/>
      <c r="N297" s="231"/>
      <c r="O297" s="231"/>
      <c r="P297" s="231"/>
      <c r="Q297" s="231"/>
      <c r="R297" s="231"/>
      <c r="S297" s="231"/>
      <c r="T297" s="231"/>
      <c r="U297" s="231"/>
      <c r="V297" s="231"/>
      <c r="W297" s="231"/>
      <c r="X297" s="231"/>
      <c r="Y297" s="231"/>
      <c r="Z297" s="231"/>
      <c r="AA297" s="231"/>
      <c r="AB297" s="231"/>
      <c r="AC297" s="231"/>
      <c r="AD297" s="231"/>
      <c r="AE297" s="231"/>
      <c r="AF297" s="231"/>
    </row>
    <row r="298" spans="1:32" s="203" customFormat="1">
      <c r="A298" s="788">
        <v>13</v>
      </c>
      <c r="B298" s="47" t="s">
        <v>228</v>
      </c>
      <c r="C298" s="47"/>
      <c r="D298" s="47"/>
      <c r="E298" s="114">
        <v>6136</v>
      </c>
      <c r="F298" s="52">
        <v>3977</v>
      </c>
      <c r="G298" s="118"/>
      <c r="H298" s="122">
        <v>4045</v>
      </c>
      <c r="I298" s="21"/>
      <c r="J298" s="231"/>
      <c r="K298" s="231"/>
      <c r="L298" s="231"/>
      <c r="M298" s="231"/>
      <c r="N298" s="231"/>
      <c r="O298" s="231"/>
      <c r="P298" s="231"/>
      <c r="Q298" s="231"/>
      <c r="R298" s="231"/>
      <c r="S298" s="231"/>
      <c r="T298" s="231"/>
      <c r="U298" s="231"/>
      <c r="V298" s="231"/>
      <c r="W298" s="231"/>
      <c r="X298" s="231"/>
      <c r="Y298" s="231"/>
      <c r="Z298" s="231"/>
      <c r="AA298" s="231"/>
      <c r="AB298" s="231"/>
      <c r="AC298" s="231"/>
      <c r="AD298" s="231"/>
      <c r="AE298" s="231"/>
      <c r="AF298" s="231"/>
    </row>
    <row r="299" spans="1:32" s="203" customFormat="1">
      <c r="A299" s="120">
        <v>14</v>
      </c>
      <c r="B299" s="47" t="s">
        <v>229</v>
      </c>
      <c r="C299" s="47"/>
      <c r="D299" s="116"/>
      <c r="E299" s="114">
        <v>0</v>
      </c>
      <c r="F299" s="52">
        <v>0</v>
      </c>
      <c r="G299" s="118"/>
      <c r="H299" s="122">
        <v>0</v>
      </c>
      <c r="I299" s="21"/>
      <c r="J299" s="231"/>
      <c r="K299" s="231"/>
      <c r="L299" s="231"/>
      <c r="M299" s="231"/>
      <c r="N299" s="231"/>
      <c r="O299" s="231"/>
      <c r="P299" s="231"/>
      <c r="Q299" s="231"/>
      <c r="R299" s="231"/>
      <c r="S299" s="231"/>
      <c r="T299" s="231"/>
      <c r="U299" s="231"/>
      <c r="V299" s="231"/>
      <c r="W299" s="231"/>
      <c r="X299" s="231"/>
      <c r="Y299" s="231"/>
      <c r="Z299" s="231"/>
      <c r="AA299" s="231"/>
      <c r="AB299" s="231"/>
      <c r="AC299" s="231"/>
      <c r="AD299" s="231"/>
      <c r="AE299" s="231"/>
      <c r="AF299" s="231"/>
    </row>
    <row r="300" spans="1:32" s="203" customFormat="1">
      <c r="A300" s="788">
        <v>15</v>
      </c>
      <c r="B300" s="47" t="s">
        <v>230</v>
      </c>
      <c r="C300" s="47"/>
      <c r="D300" s="116"/>
      <c r="E300" s="114">
        <v>4237</v>
      </c>
      <c r="F300" s="52">
        <v>8128</v>
      </c>
      <c r="G300" s="118"/>
      <c r="H300" s="122">
        <v>4874</v>
      </c>
      <c r="I300" s="21"/>
      <c r="J300" s="231"/>
      <c r="K300" s="231"/>
      <c r="L300" s="231"/>
      <c r="M300" s="231"/>
      <c r="N300" s="231"/>
      <c r="O300" s="231"/>
      <c r="P300" s="231"/>
      <c r="Q300" s="231"/>
      <c r="R300" s="231"/>
      <c r="S300" s="231"/>
      <c r="T300" s="231"/>
      <c r="U300" s="231"/>
      <c r="V300" s="231"/>
      <c r="W300" s="231"/>
      <c r="X300" s="231"/>
      <c r="Y300" s="231"/>
      <c r="Z300" s="231"/>
      <c r="AA300" s="231"/>
      <c r="AB300" s="231"/>
      <c r="AC300" s="231"/>
      <c r="AD300" s="231"/>
      <c r="AE300" s="231"/>
      <c r="AF300" s="231"/>
    </row>
    <row r="301" spans="1:32" s="203" customFormat="1">
      <c r="A301" s="120">
        <v>17</v>
      </c>
      <c r="B301" s="47" t="s">
        <v>231</v>
      </c>
      <c r="C301" s="47"/>
      <c r="D301" s="47"/>
      <c r="E301" s="114">
        <v>1371</v>
      </c>
      <c r="F301" s="52">
        <v>420</v>
      </c>
      <c r="G301" s="118"/>
      <c r="H301" s="99">
        <v>896</v>
      </c>
      <c r="I301" s="21"/>
      <c r="J301" s="231"/>
      <c r="K301" s="231"/>
      <c r="L301" s="231"/>
      <c r="M301" s="231"/>
      <c r="N301" s="231"/>
      <c r="O301" s="231"/>
      <c r="P301" s="231"/>
      <c r="Q301" s="231"/>
      <c r="R301" s="231"/>
      <c r="S301" s="231"/>
      <c r="T301" s="231"/>
      <c r="U301" s="231"/>
      <c r="V301" s="231"/>
      <c r="W301" s="231"/>
      <c r="X301" s="231"/>
      <c r="Y301" s="231"/>
      <c r="Z301" s="231"/>
      <c r="AA301" s="231"/>
      <c r="AB301" s="231"/>
      <c r="AC301" s="231"/>
      <c r="AD301" s="231"/>
      <c r="AE301" s="231"/>
      <c r="AF301" s="231"/>
    </row>
    <row r="302" spans="1:32" s="203" customFormat="1">
      <c r="A302" s="789">
        <v>18</v>
      </c>
      <c r="B302" s="94" t="s">
        <v>232</v>
      </c>
      <c r="C302" s="94"/>
      <c r="D302" s="94"/>
      <c r="E302" s="159">
        <v>15610</v>
      </c>
      <c r="F302" s="61">
        <f>SUM(F286:F301)</f>
        <v>16872</v>
      </c>
      <c r="G302" s="118"/>
      <c r="H302" s="61">
        <f>SUM(H286:H301)</f>
        <v>13963</v>
      </c>
      <c r="I302" s="21"/>
      <c r="J302" s="231"/>
      <c r="K302" s="231"/>
      <c r="L302" s="231"/>
      <c r="M302" s="231"/>
      <c r="N302" s="231"/>
      <c r="O302" s="231"/>
      <c r="P302" s="231"/>
      <c r="Q302" s="231"/>
      <c r="R302" s="231"/>
      <c r="S302" s="231"/>
      <c r="T302" s="231"/>
      <c r="U302" s="231"/>
      <c r="V302" s="231"/>
      <c r="W302" s="231"/>
      <c r="X302" s="231"/>
      <c r="Y302" s="231"/>
      <c r="Z302" s="231"/>
      <c r="AA302" s="231"/>
      <c r="AB302" s="231"/>
      <c r="AC302" s="231"/>
      <c r="AD302" s="231"/>
      <c r="AE302" s="231"/>
      <c r="AF302" s="231"/>
    </row>
    <row r="303" spans="1:32" s="203" customFormat="1">
      <c r="A303" s="179"/>
      <c r="B303" s="180"/>
      <c r="C303" s="180"/>
      <c r="D303" s="181"/>
      <c r="E303" s="182"/>
      <c r="F303" s="183"/>
      <c r="G303" s="21"/>
      <c r="H303" s="183"/>
      <c r="I303" s="21"/>
      <c r="J303" s="231"/>
      <c r="K303" s="231"/>
      <c r="L303" s="231"/>
      <c r="M303" s="231"/>
      <c r="N303" s="231"/>
      <c r="O303" s="231"/>
      <c r="P303" s="231"/>
      <c r="Q303" s="231"/>
      <c r="R303" s="231"/>
      <c r="S303" s="231"/>
      <c r="T303" s="231"/>
      <c r="U303" s="231"/>
      <c r="V303" s="231"/>
      <c r="W303" s="231"/>
      <c r="X303" s="231"/>
      <c r="Y303" s="231"/>
      <c r="Z303" s="231"/>
      <c r="AA303" s="231"/>
      <c r="AB303" s="231"/>
      <c r="AC303" s="231"/>
      <c r="AD303" s="231"/>
      <c r="AE303" s="231"/>
      <c r="AF303" s="231"/>
    </row>
    <row r="304" spans="1:32" s="203" customFormat="1">
      <c r="A304" s="184"/>
      <c r="B304" s="207"/>
      <c r="C304" s="207"/>
      <c r="D304" s="209"/>
      <c r="E304" s="185"/>
      <c r="F304" s="207"/>
      <c r="G304" s="207"/>
      <c r="H304" s="131" t="s">
        <v>27</v>
      </c>
      <c r="I304" s="21"/>
      <c r="J304" s="231"/>
      <c r="K304" s="231"/>
      <c r="L304" s="231"/>
      <c r="M304" s="231"/>
      <c r="N304" s="231"/>
      <c r="O304" s="231"/>
      <c r="P304" s="231"/>
      <c r="Q304" s="231"/>
      <c r="R304" s="231"/>
      <c r="S304" s="231"/>
      <c r="T304" s="231"/>
      <c r="U304" s="231"/>
      <c r="V304" s="231"/>
      <c r="W304" s="231"/>
      <c r="X304" s="231"/>
      <c r="Y304" s="231"/>
      <c r="Z304" s="231"/>
      <c r="AA304" s="231"/>
      <c r="AB304" s="231"/>
      <c r="AC304" s="231"/>
      <c r="AD304" s="231"/>
      <c r="AE304" s="231"/>
      <c r="AF304" s="231"/>
    </row>
    <row r="305" spans="1:32" s="203" customFormat="1" ht="12.75" customHeight="1">
      <c r="A305" s="106" t="s">
        <v>21</v>
      </c>
      <c r="B305" s="164"/>
      <c r="C305" s="164"/>
      <c r="D305" s="164"/>
      <c r="E305" s="856" t="s">
        <v>377</v>
      </c>
      <c r="F305" s="856" t="s">
        <v>402</v>
      </c>
      <c r="G305" s="130"/>
      <c r="H305" s="856" t="s">
        <v>403</v>
      </c>
      <c r="I305" s="21"/>
      <c r="J305" s="231"/>
      <c r="K305" s="231"/>
      <c r="L305" s="231"/>
      <c r="M305" s="231"/>
      <c r="N305" s="231"/>
      <c r="O305" s="231"/>
      <c r="P305" s="231"/>
      <c r="Q305" s="231"/>
      <c r="R305" s="231"/>
      <c r="S305" s="231"/>
      <c r="T305" s="231"/>
      <c r="U305" s="231"/>
      <c r="V305" s="231"/>
      <c r="W305" s="231"/>
      <c r="X305" s="231"/>
      <c r="Y305" s="231"/>
      <c r="Z305" s="231"/>
      <c r="AA305" s="231"/>
      <c r="AB305" s="231"/>
      <c r="AC305" s="231"/>
      <c r="AD305" s="231"/>
      <c r="AE305" s="231"/>
      <c r="AF305" s="231"/>
    </row>
    <row r="306" spans="1:32" s="203" customFormat="1">
      <c r="A306" s="165"/>
      <c r="B306" s="47"/>
      <c r="C306" s="47"/>
      <c r="D306" s="47"/>
      <c r="E306" s="859"/>
      <c r="F306" s="859"/>
      <c r="G306" s="130"/>
      <c r="H306" s="859"/>
      <c r="I306" s="21"/>
      <c r="J306" s="231"/>
      <c r="K306" s="231"/>
      <c r="L306" s="231"/>
      <c r="M306" s="231"/>
      <c r="N306" s="231"/>
      <c r="O306" s="231"/>
      <c r="P306" s="231"/>
      <c r="Q306" s="231"/>
      <c r="R306" s="231"/>
      <c r="S306" s="231"/>
      <c r="T306" s="231"/>
      <c r="U306" s="231"/>
      <c r="V306" s="231"/>
      <c r="W306" s="231"/>
      <c r="X306" s="231"/>
      <c r="Y306" s="231"/>
      <c r="Z306" s="231"/>
      <c r="AA306" s="231"/>
      <c r="AB306" s="231"/>
      <c r="AC306" s="231"/>
      <c r="AD306" s="231"/>
      <c r="AE306" s="231"/>
      <c r="AF306" s="231"/>
    </row>
    <row r="307" spans="1:32" s="203" customFormat="1" ht="12.75" customHeight="1">
      <c r="A307" s="109"/>
      <c r="B307" s="174"/>
      <c r="C307" s="174"/>
      <c r="D307" s="174"/>
      <c r="E307" s="859"/>
      <c r="F307" s="859"/>
      <c r="G307" s="130"/>
      <c r="H307" s="859"/>
      <c r="I307" s="21"/>
      <c r="J307" s="231"/>
      <c r="K307" s="231"/>
      <c r="L307" s="231"/>
      <c r="M307" s="231"/>
      <c r="N307" s="231"/>
      <c r="O307" s="231"/>
      <c r="P307" s="231"/>
      <c r="Q307" s="231"/>
      <c r="R307" s="231"/>
      <c r="S307" s="231"/>
      <c r="T307" s="231"/>
      <c r="U307" s="231"/>
      <c r="V307" s="231"/>
      <c r="W307" s="231"/>
      <c r="X307" s="231"/>
      <c r="Y307" s="231"/>
      <c r="Z307" s="231"/>
      <c r="AA307" s="231"/>
      <c r="AB307" s="231"/>
      <c r="AC307" s="231"/>
      <c r="AD307" s="231"/>
      <c r="AE307" s="231"/>
      <c r="AF307" s="231"/>
    </row>
    <row r="308" spans="1:32" s="203" customFormat="1">
      <c r="A308" s="154" t="s">
        <v>233</v>
      </c>
      <c r="B308" s="47"/>
      <c r="C308" s="47"/>
      <c r="D308" s="47"/>
      <c r="E308" s="859"/>
      <c r="F308" s="859"/>
      <c r="G308" s="130"/>
      <c r="H308" s="859"/>
      <c r="I308" s="21"/>
      <c r="J308" s="231"/>
      <c r="K308" s="231"/>
      <c r="L308" s="231"/>
      <c r="M308" s="231"/>
      <c r="N308" s="231"/>
      <c r="O308" s="231"/>
      <c r="P308" s="231"/>
      <c r="Q308" s="231"/>
      <c r="R308" s="231"/>
      <c r="S308" s="231"/>
      <c r="T308" s="231"/>
      <c r="U308" s="231"/>
      <c r="V308" s="231"/>
      <c r="W308" s="231"/>
      <c r="X308" s="231"/>
      <c r="Y308" s="231"/>
      <c r="Z308" s="231"/>
      <c r="AA308" s="231"/>
      <c r="AB308" s="231"/>
      <c r="AC308" s="231"/>
      <c r="AD308" s="231"/>
      <c r="AE308" s="231"/>
      <c r="AF308" s="231"/>
    </row>
    <row r="309" spans="1:32" s="203" customFormat="1">
      <c r="A309" s="109" t="s">
        <v>83</v>
      </c>
      <c r="B309" s="174"/>
      <c r="C309" s="174"/>
      <c r="D309" s="174"/>
      <c r="E309" s="860"/>
      <c r="F309" s="860"/>
      <c r="G309" s="130"/>
      <c r="H309" s="860"/>
      <c r="I309" s="21"/>
      <c r="J309" s="231"/>
      <c r="K309" s="231"/>
      <c r="L309" s="231"/>
      <c r="M309" s="231"/>
      <c r="N309" s="231"/>
      <c r="O309" s="231"/>
      <c r="P309" s="231"/>
      <c r="Q309" s="231"/>
      <c r="R309" s="231"/>
      <c r="S309" s="231"/>
      <c r="T309" s="231"/>
      <c r="U309" s="231"/>
      <c r="V309" s="231"/>
      <c r="W309" s="231"/>
      <c r="X309" s="231"/>
      <c r="Y309" s="231"/>
      <c r="Z309" s="231"/>
      <c r="AA309" s="231"/>
      <c r="AB309" s="231"/>
      <c r="AC309" s="231"/>
      <c r="AD309" s="231"/>
      <c r="AE309" s="231"/>
      <c r="AF309" s="231"/>
    </row>
    <row r="310" spans="1:32" s="203" customFormat="1">
      <c r="A310" s="110" t="s">
        <v>84</v>
      </c>
      <c r="B310" s="116"/>
      <c r="C310" s="116"/>
      <c r="D310" s="116"/>
      <c r="E310" s="262"/>
      <c r="F310" s="146"/>
      <c r="G310" s="118"/>
      <c r="H310" s="146"/>
      <c r="I310" s="21"/>
      <c r="J310" s="231"/>
      <c r="K310" s="231"/>
      <c r="L310" s="231"/>
      <c r="M310" s="231"/>
      <c r="N310" s="231"/>
      <c r="O310" s="231"/>
      <c r="P310" s="231"/>
      <c r="Q310" s="231"/>
      <c r="R310" s="231"/>
      <c r="S310" s="231"/>
      <c r="T310" s="231"/>
      <c r="U310" s="231"/>
      <c r="V310" s="231"/>
      <c r="W310" s="231"/>
      <c r="X310" s="231"/>
      <c r="Y310" s="231"/>
      <c r="Z310" s="231"/>
      <c r="AA310" s="231"/>
      <c r="AB310" s="231"/>
      <c r="AC310" s="231"/>
      <c r="AD310" s="231"/>
      <c r="AE310" s="231"/>
      <c r="AF310" s="231"/>
    </row>
    <row r="311" spans="1:32" s="203" customFormat="1">
      <c r="A311" s="120">
        <v>1</v>
      </c>
      <c r="B311" s="47" t="s">
        <v>258</v>
      </c>
      <c r="C311" s="47"/>
      <c r="D311" s="186"/>
      <c r="E311" s="74">
        <v>0</v>
      </c>
      <c r="F311" s="52">
        <v>0</v>
      </c>
      <c r="G311" s="43"/>
      <c r="H311" s="52">
        <v>0</v>
      </c>
      <c r="I311" s="21"/>
      <c r="J311" s="231"/>
      <c r="K311" s="231"/>
      <c r="L311" s="231"/>
      <c r="M311" s="231"/>
      <c r="N311" s="231"/>
      <c r="O311" s="231"/>
      <c r="P311" s="231"/>
      <c r="Q311" s="231"/>
      <c r="R311" s="231"/>
      <c r="S311" s="231"/>
      <c r="T311" s="231"/>
      <c r="U311" s="231"/>
      <c r="V311" s="231"/>
      <c r="W311" s="231"/>
      <c r="X311" s="231"/>
      <c r="Y311" s="231"/>
      <c r="Z311" s="231"/>
      <c r="AA311" s="231"/>
      <c r="AB311" s="231"/>
      <c r="AC311" s="231"/>
      <c r="AD311" s="231"/>
      <c r="AE311" s="231"/>
      <c r="AF311" s="231"/>
    </row>
    <row r="312" spans="1:32" s="203" customFormat="1">
      <c r="A312" s="120">
        <v>2</v>
      </c>
      <c r="B312" s="47" t="s">
        <v>234</v>
      </c>
      <c r="C312" s="47"/>
      <c r="D312" s="186"/>
      <c r="E312" s="114">
        <v>0</v>
      </c>
      <c r="F312" s="52">
        <v>57</v>
      </c>
      <c r="G312" s="43"/>
      <c r="H312" s="52">
        <v>-125</v>
      </c>
      <c r="I312" s="21"/>
      <c r="J312" s="231"/>
      <c r="K312" s="231"/>
      <c r="L312" s="231"/>
      <c r="M312" s="231"/>
      <c r="N312" s="231"/>
      <c r="O312" s="231"/>
      <c r="P312" s="231"/>
      <c r="Q312" s="231"/>
      <c r="R312" s="231"/>
      <c r="S312" s="231"/>
      <c r="T312" s="231"/>
      <c r="U312" s="231"/>
      <c r="V312" s="231"/>
      <c r="W312" s="231"/>
      <c r="X312" s="231"/>
      <c r="Y312" s="231"/>
      <c r="Z312" s="231"/>
      <c r="AA312" s="231"/>
      <c r="AB312" s="231"/>
      <c r="AC312" s="231"/>
      <c r="AD312" s="231"/>
      <c r="AE312" s="231"/>
      <c r="AF312" s="231"/>
    </row>
    <row r="313" spans="1:32" s="203" customFormat="1">
      <c r="A313" s="120">
        <v>3</v>
      </c>
      <c r="B313" s="47" t="s">
        <v>259</v>
      </c>
      <c r="C313" s="47"/>
      <c r="D313" s="186"/>
      <c r="E313" s="114">
        <v>0</v>
      </c>
      <c r="F313" s="52">
        <v>-150</v>
      </c>
      <c r="G313" s="43"/>
      <c r="H313" s="52">
        <v>-150</v>
      </c>
      <c r="I313" s="21"/>
      <c r="J313" s="231"/>
      <c r="K313" s="231"/>
      <c r="L313" s="231"/>
      <c r="M313" s="231"/>
      <c r="N313" s="231"/>
      <c r="O313" s="231"/>
      <c r="P313" s="231"/>
      <c r="Q313" s="231"/>
      <c r="R313" s="231"/>
      <c r="S313" s="231"/>
      <c r="T313" s="231"/>
      <c r="U313" s="231"/>
      <c r="V313" s="231"/>
      <c r="W313" s="231"/>
      <c r="X313" s="231"/>
      <c r="Y313" s="231"/>
      <c r="Z313" s="231"/>
      <c r="AA313" s="231"/>
      <c r="AB313" s="231"/>
      <c r="AC313" s="231"/>
      <c r="AD313" s="231"/>
      <c r="AE313" s="231"/>
      <c r="AF313" s="231"/>
    </row>
    <row r="314" spans="1:32" s="203" customFormat="1">
      <c r="A314" s="120">
        <v>4</v>
      </c>
      <c r="B314" s="47" t="s">
        <v>235</v>
      </c>
      <c r="C314" s="47"/>
      <c r="D314" s="186"/>
      <c r="E314" s="114">
        <v>14748</v>
      </c>
      <c r="F314" s="52">
        <v>14272</v>
      </c>
      <c r="G314" s="43"/>
      <c r="H314" s="52">
        <v>14584</v>
      </c>
      <c r="I314" s="21"/>
      <c r="J314" s="231"/>
      <c r="K314" s="231"/>
      <c r="L314" s="231"/>
      <c r="M314" s="231"/>
      <c r="N314" s="231"/>
      <c r="O314" s="231"/>
      <c r="P314" s="231"/>
      <c r="Q314" s="231"/>
      <c r="R314" s="231"/>
      <c r="S314" s="231"/>
      <c r="T314" s="231"/>
      <c r="U314" s="231"/>
      <c r="V314" s="231"/>
      <c r="W314" s="231"/>
      <c r="X314" s="231"/>
      <c r="Y314" s="231"/>
      <c r="Z314" s="231"/>
      <c r="AA314" s="231"/>
      <c r="AB314" s="231"/>
      <c r="AC314" s="231"/>
      <c r="AD314" s="231"/>
      <c r="AE314" s="231"/>
      <c r="AF314" s="231"/>
    </row>
    <row r="315" spans="1:32" s="203" customFormat="1">
      <c r="A315" s="120">
        <v>5</v>
      </c>
      <c r="B315" s="47" t="s">
        <v>236</v>
      </c>
      <c r="C315" s="47"/>
      <c r="D315" s="186"/>
      <c r="E315" s="114">
        <v>2632</v>
      </c>
      <c r="F315" s="52">
        <v>2308</v>
      </c>
      <c r="G315" s="187"/>
      <c r="H315" s="52">
        <v>2142</v>
      </c>
      <c r="I315" s="21"/>
      <c r="J315" s="231"/>
      <c r="K315" s="231"/>
      <c r="L315" s="231"/>
      <c r="M315" s="231"/>
      <c r="N315" s="231"/>
      <c r="O315" s="231"/>
      <c r="P315" s="231"/>
      <c r="Q315" s="231"/>
      <c r="R315" s="231"/>
      <c r="S315" s="231"/>
      <c r="T315" s="231"/>
      <c r="U315" s="231"/>
      <c r="V315" s="231"/>
      <c r="W315" s="231"/>
      <c r="X315" s="231"/>
      <c r="Y315" s="231"/>
      <c r="Z315" s="231"/>
      <c r="AA315" s="231"/>
      <c r="AB315" s="231"/>
      <c r="AC315" s="231"/>
      <c r="AD315" s="231"/>
      <c r="AE315" s="231"/>
      <c r="AF315" s="231"/>
    </row>
    <row r="316" spans="1:32" s="203" customFormat="1">
      <c r="A316" s="120">
        <v>6</v>
      </c>
      <c r="B316" s="47" t="s">
        <v>237</v>
      </c>
      <c r="C316" s="47"/>
      <c r="D316" s="186"/>
      <c r="E316" s="114">
        <v>18641</v>
      </c>
      <c r="F316" s="52">
        <v>16570</v>
      </c>
      <c r="G316" s="43"/>
      <c r="H316" s="52">
        <v>17110</v>
      </c>
      <c r="I316" s="21"/>
      <c r="J316" s="231"/>
      <c r="K316" s="231"/>
      <c r="L316" s="231"/>
      <c r="M316" s="231"/>
      <c r="N316" s="231"/>
      <c r="O316" s="231"/>
      <c r="P316" s="231"/>
      <c r="Q316" s="231"/>
      <c r="R316" s="231"/>
      <c r="S316" s="231"/>
      <c r="T316" s="231"/>
      <c r="U316" s="231"/>
      <c r="V316" s="231"/>
      <c r="W316" s="231"/>
      <c r="X316" s="231"/>
      <c r="Y316" s="231"/>
      <c r="Z316" s="231"/>
      <c r="AA316" s="231"/>
      <c r="AB316" s="231"/>
      <c r="AC316" s="231"/>
      <c r="AD316" s="231"/>
      <c r="AE316" s="231"/>
      <c r="AF316" s="231"/>
    </row>
    <row r="317" spans="1:32" s="203" customFormat="1">
      <c r="A317" s="120">
        <v>7</v>
      </c>
      <c r="B317" s="47" t="s">
        <v>238</v>
      </c>
      <c r="C317" s="47"/>
      <c r="D317" s="186"/>
      <c r="E317" s="114">
        <v>0</v>
      </c>
      <c r="F317" s="52">
        <v>77</v>
      </c>
      <c r="G317" s="43"/>
      <c r="H317" s="52">
        <v>77</v>
      </c>
      <c r="I317" s="21"/>
      <c r="J317" s="231"/>
      <c r="K317" s="231"/>
      <c r="L317" s="231"/>
      <c r="M317" s="231"/>
      <c r="N317" s="231"/>
      <c r="O317" s="231"/>
      <c r="P317" s="231"/>
      <c r="Q317" s="231"/>
      <c r="R317" s="231"/>
      <c r="S317" s="231"/>
      <c r="T317" s="231"/>
      <c r="U317" s="231"/>
      <c r="V317" s="231"/>
      <c r="W317" s="231"/>
      <c r="X317" s="231"/>
      <c r="Y317" s="231"/>
      <c r="Z317" s="231"/>
      <c r="AA317" s="231"/>
      <c r="AB317" s="231"/>
      <c r="AC317" s="231"/>
      <c r="AD317" s="231"/>
      <c r="AE317" s="231"/>
      <c r="AF317" s="231"/>
    </row>
    <row r="318" spans="1:32" s="203" customFormat="1">
      <c r="A318" s="120">
        <v>8</v>
      </c>
      <c r="B318" s="47" t="s">
        <v>239</v>
      </c>
      <c r="C318" s="47"/>
      <c r="D318" s="186"/>
      <c r="E318" s="114">
        <v>100</v>
      </c>
      <c r="F318" s="52">
        <v>143</v>
      </c>
      <c r="G318" s="43"/>
      <c r="H318" s="52">
        <v>155</v>
      </c>
      <c r="I318" s="21"/>
      <c r="J318" s="231"/>
      <c r="K318" s="231"/>
      <c r="L318" s="231"/>
      <c r="M318" s="231"/>
      <c r="N318" s="231"/>
      <c r="O318" s="231"/>
      <c r="P318" s="231"/>
      <c r="Q318" s="231"/>
      <c r="R318" s="231"/>
      <c r="S318" s="231"/>
      <c r="T318" s="231"/>
      <c r="U318" s="231"/>
      <c r="V318" s="231"/>
      <c r="W318" s="231"/>
      <c r="X318" s="231"/>
      <c r="Y318" s="231"/>
      <c r="Z318" s="231"/>
      <c r="AA318" s="231"/>
      <c r="AB318" s="231"/>
      <c r="AC318" s="231"/>
      <c r="AD318" s="231"/>
      <c r="AE318" s="231"/>
      <c r="AF318" s="231"/>
    </row>
    <row r="319" spans="1:32" s="203" customFormat="1">
      <c r="A319" s="788">
        <v>9</v>
      </c>
      <c r="B319" s="90" t="s">
        <v>260</v>
      </c>
      <c r="C319" s="47"/>
      <c r="D319" s="47"/>
      <c r="E319" s="114">
        <v>0</v>
      </c>
      <c r="F319" s="188"/>
      <c r="G319" s="43"/>
      <c r="H319" s="189">
        <v>0</v>
      </c>
      <c r="I319" s="21"/>
      <c r="J319" s="231"/>
      <c r="K319" s="231"/>
      <c r="L319" s="231"/>
      <c r="M319" s="231"/>
      <c r="N319" s="231"/>
      <c r="O319" s="231"/>
      <c r="P319" s="231"/>
      <c r="Q319" s="231"/>
      <c r="R319" s="231"/>
      <c r="S319" s="231"/>
      <c r="T319" s="231"/>
      <c r="U319" s="231"/>
      <c r="V319" s="231"/>
      <c r="W319" s="231"/>
      <c r="X319" s="231"/>
      <c r="Y319" s="231"/>
      <c r="Z319" s="231"/>
      <c r="AA319" s="231"/>
      <c r="AB319" s="231"/>
      <c r="AC319" s="231"/>
      <c r="AD319" s="231"/>
      <c r="AE319" s="231"/>
      <c r="AF319" s="231"/>
    </row>
    <row r="320" spans="1:32" s="203" customFormat="1">
      <c r="A320" s="124">
        <v>10</v>
      </c>
      <c r="B320" s="94" t="s">
        <v>62</v>
      </c>
      <c r="C320" s="94"/>
      <c r="D320" s="94"/>
      <c r="E320" s="159">
        <v>36121</v>
      </c>
      <c r="F320" s="61">
        <f>F311+F312+F313+F314+F315+F316+F317+F318</f>
        <v>33277</v>
      </c>
      <c r="G320" s="118"/>
      <c r="H320" s="61">
        <f>H311+H312+H313+H314+H315+H316+H317+H318+H319</f>
        <v>33793</v>
      </c>
      <c r="I320" s="183"/>
      <c r="J320" s="231"/>
      <c r="K320" s="231"/>
      <c r="L320" s="231"/>
      <c r="M320" s="231"/>
      <c r="N320" s="231"/>
      <c r="O320" s="231"/>
      <c r="P320" s="231"/>
      <c r="Q320" s="231"/>
      <c r="R320" s="231"/>
      <c r="S320" s="231"/>
      <c r="T320" s="231"/>
      <c r="U320" s="231"/>
      <c r="V320" s="231"/>
      <c r="W320" s="231"/>
      <c r="X320" s="231"/>
      <c r="Y320" s="231"/>
      <c r="Z320" s="231"/>
      <c r="AA320" s="231"/>
      <c r="AB320" s="231"/>
      <c r="AC320" s="231"/>
      <c r="AD320" s="231"/>
      <c r="AE320" s="231"/>
      <c r="AF320" s="231"/>
    </row>
    <row r="321" spans="1:32" s="203" customFormat="1">
      <c r="A321" s="179"/>
      <c r="B321" s="180"/>
      <c r="C321" s="180"/>
      <c r="D321" s="180"/>
      <c r="E321" s="180"/>
      <c r="F321" s="183"/>
      <c r="G321" s="21"/>
      <c r="H321" s="183"/>
      <c r="I321" s="183"/>
      <c r="J321" s="231"/>
      <c r="K321" s="231"/>
      <c r="L321" s="231"/>
      <c r="M321" s="231"/>
      <c r="N321" s="231"/>
      <c r="O321" s="231"/>
      <c r="P321" s="231"/>
      <c r="Q321" s="231"/>
      <c r="R321" s="231"/>
      <c r="S321" s="231"/>
      <c r="T321" s="231"/>
      <c r="U321" s="231"/>
      <c r="V321" s="231"/>
      <c r="W321" s="231"/>
      <c r="X321" s="231"/>
      <c r="Y321" s="231"/>
      <c r="Z321" s="231"/>
      <c r="AA321" s="231"/>
      <c r="AB321" s="231"/>
      <c r="AC321" s="231"/>
      <c r="AD321" s="231"/>
      <c r="AE321" s="231"/>
      <c r="AF321" s="231"/>
    </row>
    <row r="322" spans="1:32" s="203" customFormat="1">
      <c r="A322" s="148"/>
      <c r="B322" s="207"/>
      <c r="C322" s="207"/>
      <c r="D322" s="29"/>
      <c r="E322" s="29"/>
      <c r="F322" s="29"/>
      <c r="G322" s="29"/>
      <c r="H322" s="31" t="s">
        <v>27</v>
      </c>
      <c r="I322" s="2"/>
      <c r="J322" s="231"/>
      <c r="K322" s="231"/>
      <c r="L322" s="231"/>
      <c r="M322" s="231"/>
      <c r="N322" s="231"/>
      <c r="O322" s="231"/>
      <c r="P322" s="231"/>
      <c r="Q322" s="231"/>
      <c r="R322" s="231"/>
      <c r="S322" s="231"/>
      <c r="T322" s="231"/>
      <c r="U322" s="231"/>
      <c r="V322" s="231"/>
      <c r="W322" s="231"/>
      <c r="X322" s="231"/>
      <c r="Y322" s="231"/>
      <c r="Z322" s="231"/>
      <c r="AA322" s="231"/>
      <c r="AB322" s="231"/>
      <c r="AC322" s="231"/>
      <c r="AD322" s="231"/>
      <c r="AE322" s="231"/>
      <c r="AF322" s="231"/>
    </row>
    <row r="323" spans="1:32" s="203" customFormat="1">
      <c r="A323" s="190" t="s">
        <v>240</v>
      </c>
      <c r="B323" s="263"/>
      <c r="C323" s="861" t="s">
        <v>405</v>
      </c>
      <c r="D323" s="862"/>
      <c r="E323" s="862"/>
      <c r="F323" s="862"/>
      <c r="G323" s="862"/>
      <c r="H323" s="863"/>
      <c r="I323" s="210"/>
      <c r="J323" s="231"/>
      <c r="K323" s="231"/>
      <c r="L323" s="231"/>
      <c r="M323" s="231"/>
      <c r="N323" s="231"/>
      <c r="O323" s="231"/>
      <c r="P323" s="231"/>
      <c r="Q323" s="231"/>
      <c r="R323" s="231"/>
      <c r="S323" s="231"/>
      <c r="T323" s="231"/>
      <c r="U323" s="231"/>
      <c r="V323" s="231"/>
      <c r="W323" s="231"/>
      <c r="X323" s="231"/>
      <c r="Y323" s="231"/>
      <c r="Z323" s="231"/>
      <c r="AA323" s="231"/>
      <c r="AB323" s="231"/>
      <c r="AC323" s="231"/>
      <c r="AD323" s="231"/>
      <c r="AE323" s="231"/>
      <c r="AF323" s="231"/>
    </row>
    <row r="324" spans="1:32" s="203" customFormat="1" ht="39" thickBot="1">
      <c r="A324" s="110" t="s">
        <v>84</v>
      </c>
      <c r="B324" s="116"/>
      <c r="C324" s="35" t="s">
        <v>52</v>
      </c>
      <c r="D324" s="35" t="s">
        <v>53</v>
      </c>
      <c r="E324" s="37" t="s">
        <v>54</v>
      </c>
      <c r="F324" s="37" t="s">
        <v>55</v>
      </c>
      <c r="G324" s="37" t="s">
        <v>241</v>
      </c>
      <c r="H324" s="35" t="s">
        <v>121</v>
      </c>
      <c r="I324" s="29"/>
      <c r="J324" s="231"/>
      <c r="K324" s="231"/>
      <c r="L324" s="231"/>
      <c r="M324" s="231"/>
      <c r="N324" s="231"/>
      <c r="O324" s="231"/>
      <c r="P324" s="231"/>
      <c r="Q324" s="231"/>
      <c r="R324" s="231"/>
      <c r="S324" s="231"/>
      <c r="T324" s="231"/>
      <c r="U324" s="231"/>
      <c r="V324" s="231"/>
      <c r="W324" s="231"/>
      <c r="X324" s="231"/>
      <c r="Y324" s="231"/>
      <c r="Z324" s="231"/>
      <c r="AA324" s="231"/>
      <c r="AB324" s="231"/>
      <c r="AC324" s="231"/>
      <c r="AD324" s="231"/>
      <c r="AE324" s="231"/>
      <c r="AF324" s="231"/>
    </row>
    <row r="325" spans="1:32" s="203" customFormat="1" ht="13.5" thickBot="1">
      <c r="A325" s="788">
        <v>1</v>
      </c>
      <c r="B325" s="116" t="s">
        <v>242</v>
      </c>
      <c r="C325" s="193">
        <f t="shared" ref="C325:H325" si="0">SUM(C326:C329)</f>
        <v>15058</v>
      </c>
      <c r="D325" s="193">
        <f t="shared" si="0"/>
        <v>0</v>
      </c>
      <c r="E325" s="193">
        <v>0</v>
      </c>
      <c r="F325" s="193">
        <f t="shared" si="0"/>
        <v>4194</v>
      </c>
      <c r="G325" s="193">
        <f>SUM(G326:G329)</f>
        <v>0</v>
      </c>
      <c r="H325" s="193">
        <f t="shared" si="0"/>
        <v>0</v>
      </c>
      <c r="I325" s="207"/>
      <c r="J325" s="231"/>
      <c r="K325" s="231"/>
      <c r="L325" s="231"/>
      <c r="M325" s="231"/>
      <c r="N325" s="231"/>
      <c r="O325" s="231"/>
      <c r="P325" s="231"/>
      <c r="Q325" s="231"/>
      <c r="R325" s="231"/>
      <c r="S325" s="231"/>
      <c r="T325" s="231"/>
      <c r="U325" s="231"/>
      <c r="V325" s="231"/>
      <c r="W325" s="231"/>
      <c r="X325" s="231"/>
      <c r="Y325" s="231"/>
      <c r="Z325" s="231"/>
      <c r="AA325" s="231"/>
      <c r="AB325" s="231"/>
      <c r="AC325" s="231"/>
      <c r="AD325" s="231"/>
      <c r="AE325" s="231"/>
      <c r="AF325" s="231"/>
    </row>
    <row r="326" spans="1:32" s="203" customFormat="1">
      <c r="A326" s="788">
        <v>2</v>
      </c>
      <c r="B326" s="47" t="s">
        <v>243</v>
      </c>
      <c r="C326" s="169">
        <v>6305</v>
      </c>
      <c r="D326" s="169">
        <v>0</v>
      </c>
      <c r="E326" s="169">
        <v>0</v>
      </c>
      <c r="F326" s="169">
        <v>2530</v>
      </c>
      <c r="G326" s="169">
        <v>0</v>
      </c>
      <c r="H326" s="169">
        <v>0</v>
      </c>
      <c r="I326" s="207"/>
      <c r="J326" s="231"/>
      <c r="K326" s="231"/>
      <c r="L326" s="231"/>
      <c r="M326" s="231"/>
      <c r="N326" s="231"/>
      <c r="O326" s="231"/>
      <c r="P326" s="231"/>
      <c r="Q326" s="231"/>
      <c r="R326" s="231"/>
      <c r="S326" s="231"/>
      <c r="T326" s="231"/>
      <c r="U326" s="231"/>
      <c r="V326" s="231"/>
      <c r="W326" s="231"/>
      <c r="X326" s="231"/>
      <c r="Y326" s="231"/>
      <c r="Z326" s="231"/>
      <c r="AA326" s="231"/>
      <c r="AB326" s="231"/>
      <c r="AC326" s="231"/>
      <c r="AD326" s="231"/>
      <c r="AE326" s="231"/>
      <c r="AF326" s="231"/>
    </row>
    <row r="327" spans="1:32" s="203" customFormat="1">
      <c r="A327" s="788">
        <v>3</v>
      </c>
      <c r="B327" s="47" t="s">
        <v>244</v>
      </c>
      <c r="C327" s="99">
        <v>6676</v>
      </c>
      <c r="D327" s="99">
        <v>0</v>
      </c>
      <c r="E327" s="99">
        <v>0</v>
      </c>
      <c r="F327" s="99">
        <v>1433</v>
      </c>
      <c r="G327" s="99">
        <v>0</v>
      </c>
      <c r="H327" s="99">
        <v>0</v>
      </c>
      <c r="I327" s="207"/>
      <c r="J327" s="231"/>
      <c r="K327" s="231"/>
      <c r="L327" s="231"/>
      <c r="M327" s="231"/>
      <c r="N327" s="231"/>
      <c r="O327" s="231"/>
      <c r="P327" s="231"/>
      <c r="Q327" s="231"/>
      <c r="R327" s="231"/>
      <c r="S327" s="231"/>
      <c r="T327" s="231"/>
      <c r="U327" s="231"/>
      <c r="V327" s="231"/>
      <c r="W327" s="231"/>
      <c r="X327" s="231"/>
      <c r="Y327" s="231"/>
      <c r="Z327" s="231"/>
      <c r="AA327" s="231"/>
      <c r="AB327" s="231"/>
      <c r="AC327" s="231"/>
      <c r="AD327" s="231"/>
      <c r="AE327" s="231"/>
      <c r="AF327" s="231"/>
    </row>
    <row r="328" spans="1:32" s="203" customFormat="1">
      <c r="A328" s="788">
        <v>4</v>
      </c>
      <c r="B328" s="47" t="s">
        <v>245</v>
      </c>
      <c r="C328" s="99">
        <v>2077</v>
      </c>
      <c r="D328" s="99">
        <v>0</v>
      </c>
      <c r="E328" s="99">
        <v>0</v>
      </c>
      <c r="F328" s="99">
        <v>231</v>
      </c>
      <c r="G328" s="99">
        <v>0</v>
      </c>
      <c r="H328" s="99">
        <v>0</v>
      </c>
      <c r="I328" s="207"/>
      <c r="J328" s="231"/>
      <c r="K328" s="231"/>
      <c r="L328" s="231"/>
      <c r="M328" s="231"/>
      <c r="N328" s="231"/>
      <c r="O328" s="231"/>
      <c r="P328" s="231"/>
      <c r="Q328" s="231"/>
      <c r="R328" s="231"/>
      <c r="S328" s="231"/>
      <c r="T328" s="231"/>
      <c r="U328" s="231"/>
      <c r="V328" s="231"/>
      <c r="W328" s="231"/>
      <c r="X328" s="231"/>
      <c r="Y328" s="231"/>
      <c r="Z328" s="231"/>
      <c r="AA328" s="231"/>
      <c r="AB328" s="231"/>
      <c r="AC328" s="231"/>
      <c r="AD328" s="231"/>
      <c r="AE328" s="231"/>
      <c r="AF328" s="231"/>
    </row>
    <row r="329" spans="1:32" s="203" customFormat="1">
      <c r="A329" s="789">
        <v>5</v>
      </c>
      <c r="B329" s="54" t="s">
        <v>246</v>
      </c>
      <c r="C329" s="100">
        <v>0</v>
      </c>
      <c r="D329" s="100">
        <v>0</v>
      </c>
      <c r="E329" s="100">
        <v>0</v>
      </c>
      <c r="F329" s="100">
        <v>0</v>
      </c>
      <c r="G329" s="100">
        <v>0</v>
      </c>
      <c r="H329" s="100">
        <v>0</v>
      </c>
      <c r="I329" s="207"/>
      <c r="J329" s="231"/>
      <c r="K329" s="231"/>
      <c r="L329" s="231"/>
      <c r="M329" s="231"/>
      <c r="N329" s="231"/>
      <c r="O329" s="231"/>
      <c r="P329" s="231"/>
      <c r="Q329" s="231"/>
      <c r="R329" s="231"/>
      <c r="S329" s="231"/>
      <c r="T329" s="231"/>
      <c r="U329" s="231"/>
      <c r="V329" s="231"/>
      <c r="W329" s="231"/>
      <c r="X329" s="231"/>
      <c r="Y329" s="231"/>
      <c r="Z329" s="231"/>
      <c r="AA329" s="231"/>
      <c r="AB329" s="231"/>
      <c r="AC329" s="231"/>
      <c r="AD329" s="231"/>
      <c r="AE329" s="231"/>
      <c r="AF329" s="231"/>
    </row>
    <row r="330" spans="1:32" s="203" customFormat="1">
      <c r="A330" s="788"/>
      <c r="B330" s="47"/>
      <c r="C330" s="864" t="s">
        <v>404</v>
      </c>
      <c r="D330" s="865"/>
      <c r="E330" s="865"/>
      <c r="F330" s="865"/>
      <c r="G330" s="865"/>
      <c r="H330" s="866"/>
      <c r="I330" s="207"/>
      <c r="J330" s="231"/>
      <c r="K330" s="231"/>
      <c r="L330" s="231"/>
      <c r="M330" s="231"/>
      <c r="N330" s="231"/>
      <c r="O330" s="231"/>
      <c r="P330" s="231"/>
      <c r="Q330" s="231"/>
      <c r="R330" s="231"/>
      <c r="S330" s="231"/>
      <c r="T330" s="231"/>
      <c r="U330" s="231"/>
      <c r="V330" s="231"/>
      <c r="W330" s="231"/>
      <c r="X330" s="231"/>
      <c r="Y330" s="231"/>
      <c r="Z330" s="231"/>
      <c r="AA330" s="231"/>
      <c r="AB330" s="231"/>
      <c r="AC330" s="231"/>
      <c r="AD330" s="231"/>
      <c r="AE330" s="231"/>
      <c r="AF330" s="231"/>
    </row>
    <row r="331" spans="1:32" s="203" customFormat="1" ht="39" thickBot="1">
      <c r="A331" s="110" t="s">
        <v>84</v>
      </c>
      <c r="B331" s="116"/>
      <c r="C331" s="35" t="s">
        <v>52</v>
      </c>
      <c r="D331" s="35" t="s">
        <v>53</v>
      </c>
      <c r="E331" s="37" t="s">
        <v>54</v>
      </c>
      <c r="F331" s="37" t="s">
        <v>55</v>
      </c>
      <c r="G331" s="37" t="s">
        <v>241</v>
      </c>
      <c r="H331" s="35" t="s">
        <v>121</v>
      </c>
      <c r="I331" s="207"/>
      <c r="J331" s="231"/>
      <c r="K331" s="231"/>
      <c r="L331" s="231"/>
      <c r="M331" s="231"/>
      <c r="N331" s="231"/>
      <c r="O331" s="231"/>
      <c r="P331" s="231"/>
      <c r="Q331" s="231"/>
      <c r="R331" s="231"/>
      <c r="S331" s="231"/>
      <c r="T331" s="231"/>
      <c r="U331" s="231"/>
      <c r="V331" s="231"/>
      <c r="W331" s="231"/>
      <c r="X331" s="231"/>
      <c r="Y331" s="231"/>
      <c r="Z331" s="231"/>
      <c r="AA331" s="231"/>
      <c r="AB331" s="231"/>
      <c r="AC331" s="231"/>
      <c r="AD331" s="231"/>
      <c r="AE331" s="231"/>
      <c r="AF331" s="231"/>
    </row>
    <row r="332" spans="1:32" s="203" customFormat="1" ht="13.5" thickBot="1">
      <c r="A332" s="788">
        <v>1</v>
      </c>
      <c r="B332" s="116" t="s">
        <v>242</v>
      </c>
      <c r="C332" s="193">
        <f t="shared" ref="C332:H332" si="1">SUM(C333:C336)</f>
        <v>15484</v>
      </c>
      <c r="D332" s="193">
        <f t="shared" si="1"/>
        <v>0</v>
      </c>
      <c r="E332" s="193">
        <v>0</v>
      </c>
      <c r="F332" s="193">
        <f t="shared" si="1"/>
        <v>0</v>
      </c>
      <c r="G332" s="193">
        <f>SUM(G333:G336)</f>
        <v>0</v>
      </c>
      <c r="H332" s="193">
        <f t="shared" si="1"/>
        <v>0</v>
      </c>
      <c r="I332" s="207"/>
      <c r="J332" s="231"/>
      <c r="K332" s="231"/>
      <c r="L332" s="231"/>
      <c r="M332" s="231"/>
      <c r="N332" s="231"/>
      <c r="O332" s="231"/>
      <c r="P332" s="231"/>
      <c r="Q332" s="231"/>
      <c r="R332" s="231"/>
      <c r="S332" s="231"/>
      <c r="T332" s="231"/>
      <c r="U332" s="231"/>
      <c r="V332" s="231"/>
      <c r="W332" s="231"/>
      <c r="X332" s="231"/>
      <c r="Y332" s="231"/>
      <c r="Z332" s="231"/>
      <c r="AA332" s="231"/>
      <c r="AB332" s="231"/>
      <c r="AC332" s="231"/>
      <c r="AD332" s="231"/>
      <c r="AE332" s="231"/>
      <c r="AF332" s="231"/>
    </row>
    <row r="333" spans="1:32" s="203" customFormat="1">
      <c r="A333" s="788">
        <v>2</v>
      </c>
      <c r="B333" s="47" t="s">
        <v>243</v>
      </c>
      <c r="C333" s="169">
        <v>6345</v>
      </c>
      <c r="D333" s="169">
        <v>0</v>
      </c>
      <c r="E333" s="169">
        <v>0</v>
      </c>
      <c r="F333" s="169">
        <v>0</v>
      </c>
      <c r="G333" s="169">
        <v>0</v>
      </c>
      <c r="H333" s="169">
        <v>0</v>
      </c>
      <c r="I333" s="207"/>
      <c r="J333" s="231"/>
      <c r="K333" s="231"/>
      <c r="L333" s="231"/>
      <c r="M333" s="231"/>
      <c r="N333" s="231"/>
      <c r="O333" s="231"/>
      <c r="P333" s="231"/>
      <c r="Q333" s="231"/>
      <c r="R333" s="231"/>
      <c r="S333" s="231"/>
      <c r="T333" s="231"/>
      <c r="U333" s="231"/>
      <c r="V333" s="231"/>
      <c r="W333" s="231"/>
      <c r="X333" s="231"/>
      <c r="Y333" s="231"/>
      <c r="Z333" s="231"/>
      <c r="AA333" s="231"/>
      <c r="AB333" s="231"/>
      <c r="AC333" s="231"/>
      <c r="AD333" s="231"/>
      <c r="AE333" s="231"/>
      <c r="AF333" s="231"/>
    </row>
    <row r="334" spans="1:32" s="203" customFormat="1">
      <c r="A334" s="788">
        <v>3</v>
      </c>
      <c r="B334" s="47" t="s">
        <v>244</v>
      </c>
      <c r="C334" s="99">
        <v>6997</v>
      </c>
      <c r="D334" s="99">
        <v>0</v>
      </c>
      <c r="E334" s="99">
        <v>0</v>
      </c>
      <c r="F334" s="99">
        <v>0</v>
      </c>
      <c r="G334" s="99">
        <v>0</v>
      </c>
      <c r="H334" s="99">
        <v>0</v>
      </c>
      <c r="I334" s="207"/>
      <c r="J334" s="231"/>
      <c r="K334" s="231"/>
      <c r="L334" s="231"/>
      <c r="M334" s="231"/>
      <c r="N334" s="231"/>
      <c r="O334" s="231"/>
      <c r="P334" s="231"/>
      <c r="Q334" s="231"/>
      <c r="R334" s="231"/>
      <c r="S334" s="231"/>
      <c r="T334" s="231"/>
      <c r="U334" s="231"/>
      <c r="V334" s="231"/>
      <c r="W334" s="231"/>
      <c r="X334" s="231"/>
      <c r="Y334" s="231"/>
      <c r="Z334" s="231"/>
      <c r="AA334" s="231"/>
      <c r="AB334" s="231"/>
      <c r="AC334" s="231"/>
      <c r="AD334" s="231"/>
      <c r="AE334" s="231"/>
      <c r="AF334" s="231"/>
    </row>
    <row r="335" spans="1:32" s="203" customFormat="1">
      <c r="A335" s="788">
        <v>4</v>
      </c>
      <c r="B335" s="47" t="s">
        <v>245</v>
      </c>
      <c r="C335" s="99">
        <v>2142</v>
      </c>
      <c r="D335" s="99">
        <v>0</v>
      </c>
      <c r="E335" s="99">
        <v>0</v>
      </c>
      <c r="F335" s="99">
        <v>0</v>
      </c>
      <c r="G335" s="99">
        <v>0</v>
      </c>
      <c r="H335" s="99">
        <v>0</v>
      </c>
      <c r="I335" s="207"/>
      <c r="J335" s="231"/>
      <c r="K335" s="231"/>
      <c r="L335" s="231"/>
      <c r="M335" s="231"/>
      <c r="N335" s="231"/>
      <c r="O335" s="231"/>
      <c r="P335" s="231"/>
      <c r="Q335" s="231"/>
      <c r="R335" s="231"/>
      <c r="S335" s="231"/>
      <c r="T335" s="231"/>
      <c r="U335" s="231"/>
      <c r="V335" s="231"/>
      <c r="W335" s="231"/>
      <c r="X335" s="231"/>
      <c r="Y335" s="231"/>
      <c r="Z335" s="231"/>
      <c r="AA335" s="231"/>
      <c r="AB335" s="231"/>
      <c r="AC335" s="231"/>
      <c r="AD335" s="231"/>
      <c r="AE335" s="231"/>
      <c r="AF335" s="231"/>
    </row>
    <row r="336" spans="1:32" s="203" customFormat="1">
      <c r="A336" s="789">
        <v>5</v>
      </c>
      <c r="B336" s="54" t="s">
        <v>246</v>
      </c>
      <c r="C336" s="100">
        <v>0</v>
      </c>
      <c r="D336" s="100">
        <v>0</v>
      </c>
      <c r="E336" s="100">
        <v>0</v>
      </c>
      <c r="F336" s="100">
        <v>0</v>
      </c>
      <c r="G336" s="100">
        <v>0</v>
      </c>
      <c r="H336" s="100">
        <v>0</v>
      </c>
      <c r="I336" s="207"/>
      <c r="J336" s="231"/>
      <c r="K336" s="231"/>
      <c r="L336" s="231"/>
      <c r="M336" s="231"/>
      <c r="N336" s="231"/>
      <c r="O336" s="231"/>
      <c r="P336" s="231"/>
      <c r="Q336" s="231"/>
      <c r="R336" s="231"/>
      <c r="S336" s="231"/>
      <c r="T336" s="231"/>
      <c r="U336" s="231"/>
      <c r="V336" s="231"/>
      <c r="W336" s="231"/>
      <c r="X336" s="231"/>
      <c r="Y336" s="231"/>
      <c r="Z336" s="231"/>
      <c r="AA336" s="231"/>
      <c r="AB336" s="231"/>
      <c r="AC336" s="231"/>
      <c r="AD336" s="231"/>
      <c r="AE336" s="231"/>
      <c r="AF336" s="231"/>
    </row>
    <row r="337" spans="1:32" s="203" customFormat="1">
      <c r="A337" s="23"/>
      <c r="B337" s="207"/>
      <c r="C337" s="207"/>
      <c r="D337" s="207"/>
      <c r="E337" s="207"/>
      <c r="F337" s="207"/>
      <c r="G337" s="207"/>
      <c r="H337" s="21"/>
      <c r="I337" s="21"/>
      <c r="J337" s="231"/>
      <c r="K337" s="231"/>
      <c r="L337" s="231"/>
      <c r="M337" s="231"/>
      <c r="N337" s="231"/>
      <c r="O337" s="231"/>
      <c r="P337" s="231"/>
      <c r="Q337" s="231"/>
      <c r="R337" s="231"/>
      <c r="S337" s="231"/>
      <c r="T337" s="231"/>
      <c r="U337" s="231"/>
      <c r="V337" s="231"/>
      <c r="W337" s="231"/>
      <c r="X337" s="231"/>
      <c r="Y337" s="231"/>
      <c r="Z337" s="231"/>
      <c r="AA337" s="231"/>
      <c r="AB337" s="231"/>
      <c r="AC337" s="231"/>
      <c r="AD337" s="231"/>
      <c r="AE337" s="231"/>
      <c r="AF337" s="231"/>
    </row>
    <row r="338" spans="1:32" s="203" customFormat="1" ht="12.75" customHeight="1">
      <c r="A338" s="23"/>
      <c r="B338" s="207"/>
      <c r="C338" s="207"/>
      <c r="D338" s="207"/>
      <c r="E338" s="207"/>
      <c r="F338" s="207"/>
      <c r="G338" s="207"/>
      <c r="H338" s="21"/>
      <c r="I338" s="21"/>
      <c r="J338" s="231"/>
      <c r="K338" s="231"/>
      <c r="L338" s="231"/>
      <c r="M338" s="231"/>
      <c r="N338" s="231"/>
      <c r="O338" s="231"/>
      <c r="P338" s="231"/>
      <c r="Q338" s="231"/>
      <c r="R338" s="231"/>
      <c r="S338" s="231"/>
      <c r="T338" s="231"/>
      <c r="U338" s="231"/>
      <c r="V338" s="231"/>
      <c r="W338" s="231"/>
      <c r="X338" s="231"/>
      <c r="Y338" s="231"/>
      <c r="Z338" s="231"/>
      <c r="AA338" s="231"/>
      <c r="AB338" s="231"/>
      <c r="AC338" s="231"/>
      <c r="AD338" s="231"/>
      <c r="AE338" s="231"/>
      <c r="AF338" s="231"/>
    </row>
    <row r="339" spans="1:32" s="203" customFormat="1">
      <c r="A339" s="23"/>
      <c r="B339" s="207"/>
      <c r="C339" s="207"/>
      <c r="D339" s="207"/>
      <c r="E339" s="207"/>
      <c r="F339" s="207"/>
      <c r="G339" s="207"/>
      <c r="H339" s="21"/>
      <c r="I339" s="21"/>
      <c r="J339" s="231"/>
      <c r="K339" s="231"/>
      <c r="L339" s="231"/>
      <c r="M339" s="231"/>
      <c r="N339" s="231"/>
      <c r="O339" s="231"/>
      <c r="P339" s="231"/>
      <c r="Q339" s="231"/>
      <c r="R339" s="231"/>
      <c r="S339" s="231"/>
      <c r="T339" s="231"/>
      <c r="U339" s="231"/>
      <c r="V339" s="231"/>
      <c r="W339" s="231"/>
      <c r="X339" s="231"/>
      <c r="Y339" s="231"/>
      <c r="Z339" s="231"/>
      <c r="AA339" s="231"/>
      <c r="AB339" s="231"/>
      <c r="AC339" s="231"/>
      <c r="AD339" s="231"/>
      <c r="AE339" s="231"/>
      <c r="AF339" s="231"/>
    </row>
    <row r="340" spans="1:32" s="203" customFormat="1">
      <c r="A340" s="23"/>
      <c r="B340" s="207"/>
      <c r="C340" s="207"/>
      <c r="D340" s="207"/>
      <c r="E340" s="207"/>
      <c r="F340" s="207"/>
      <c r="G340" s="207"/>
      <c r="H340" s="131" t="s">
        <v>27</v>
      </c>
      <c r="I340" s="21"/>
      <c r="J340" s="231"/>
      <c r="K340" s="231"/>
      <c r="L340" s="231"/>
      <c r="M340" s="231"/>
      <c r="N340" s="231"/>
      <c r="O340" s="231"/>
      <c r="P340" s="231"/>
      <c r="Q340" s="231"/>
      <c r="R340" s="231"/>
      <c r="S340" s="231"/>
      <c r="T340" s="231"/>
      <c r="U340" s="231"/>
      <c r="V340" s="231"/>
      <c r="W340" s="231"/>
      <c r="X340" s="231"/>
      <c r="Y340" s="231"/>
      <c r="Z340" s="231"/>
      <c r="AA340" s="231"/>
      <c r="AB340" s="231"/>
      <c r="AC340" s="231"/>
      <c r="AD340" s="231"/>
      <c r="AE340" s="231"/>
      <c r="AF340" s="231"/>
    </row>
    <row r="341" spans="1:32" s="203" customFormat="1">
      <c r="A341" s="197"/>
      <c r="B341" s="69"/>
      <c r="C341" s="69"/>
      <c r="D341" s="69"/>
      <c r="E341" s="856" t="s">
        <v>377</v>
      </c>
      <c r="F341" s="853" t="s">
        <v>402</v>
      </c>
      <c r="G341" s="207"/>
      <c r="H341" s="856" t="s">
        <v>403</v>
      </c>
      <c r="I341" s="21"/>
      <c r="J341" s="231"/>
      <c r="K341" s="231"/>
      <c r="L341" s="231"/>
      <c r="M341" s="231"/>
      <c r="N341" s="231"/>
      <c r="O341" s="231"/>
      <c r="P341" s="231"/>
      <c r="Q341" s="231"/>
      <c r="R341" s="231"/>
      <c r="S341" s="231"/>
      <c r="T341" s="231"/>
      <c r="U341" s="231"/>
      <c r="V341" s="231"/>
      <c r="W341" s="231"/>
      <c r="X341" s="231"/>
      <c r="Y341" s="231"/>
      <c r="Z341" s="231"/>
      <c r="AA341" s="231"/>
      <c r="AB341" s="231"/>
      <c r="AC341" s="231"/>
      <c r="AD341" s="231"/>
      <c r="AE341" s="231"/>
      <c r="AF341" s="231"/>
    </row>
    <row r="342" spans="1:32" s="203" customFormat="1">
      <c r="A342" s="144" t="s">
        <v>261</v>
      </c>
      <c r="B342" s="116"/>
      <c r="C342" s="116"/>
      <c r="D342" s="116"/>
      <c r="E342" s="859"/>
      <c r="F342" s="854"/>
      <c r="G342" s="207"/>
      <c r="H342" s="857"/>
      <c r="I342" s="21"/>
      <c r="J342" s="231"/>
      <c r="K342" s="231"/>
      <c r="L342" s="231"/>
      <c r="M342" s="231"/>
      <c r="N342" s="231"/>
      <c r="O342" s="231"/>
      <c r="P342" s="231"/>
      <c r="Q342" s="231"/>
      <c r="R342" s="231"/>
      <c r="S342" s="231"/>
      <c r="T342" s="231"/>
      <c r="U342" s="231"/>
      <c r="V342" s="231"/>
      <c r="W342" s="231"/>
      <c r="X342" s="231"/>
      <c r="Y342" s="231"/>
      <c r="Z342" s="231"/>
      <c r="AA342" s="231"/>
      <c r="AB342" s="231"/>
      <c r="AC342" s="231"/>
      <c r="AD342" s="231"/>
      <c r="AE342" s="231"/>
      <c r="AF342" s="231"/>
    </row>
    <row r="343" spans="1:32" s="203" customFormat="1">
      <c r="A343" s="119"/>
      <c r="B343" s="116"/>
      <c r="C343" s="116"/>
      <c r="D343" s="116"/>
      <c r="E343" s="859"/>
      <c r="F343" s="854"/>
      <c r="G343" s="207"/>
      <c r="H343" s="857"/>
      <c r="I343" s="21"/>
      <c r="J343" s="231"/>
      <c r="K343" s="231"/>
      <c r="L343" s="231"/>
      <c r="M343" s="231"/>
      <c r="N343" s="231"/>
      <c r="O343" s="231"/>
      <c r="P343" s="231"/>
      <c r="Q343" s="231"/>
      <c r="R343" s="231"/>
      <c r="S343" s="231"/>
      <c r="T343" s="231"/>
      <c r="U343" s="231"/>
      <c r="V343" s="231"/>
      <c r="W343" s="231"/>
      <c r="X343" s="231"/>
      <c r="Y343" s="231"/>
      <c r="Z343" s="231"/>
      <c r="AA343" s="231"/>
      <c r="AB343" s="231"/>
      <c r="AC343" s="231"/>
      <c r="AD343" s="231"/>
      <c r="AE343" s="231"/>
      <c r="AF343" s="231"/>
    </row>
    <row r="344" spans="1:32" s="203" customFormat="1">
      <c r="A344" s="198" t="s">
        <v>262</v>
      </c>
      <c r="B344" s="116"/>
      <c r="C344" s="116"/>
      <c r="D344" s="116"/>
      <c r="E344" s="859"/>
      <c r="F344" s="854"/>
      <c r="G344" s="207"/>
      <c r="H344" s="857"/>
      <c r="I344" s="21"/>
      <c r="J344" s="231"/>
      <c r="K344" s="231"/>
      <c r="L344" s="231"/>
      <c r="M344" s="231"/>
      <c r="N344" s="231"/>
      <c r="O344" s="231"/>
      <c r="P344" s="231"/>
      <c r="Q344" s="231"/>
      <c r="R344" s="231"/>
      <c r="S344" s="231"/>
      <c r="T344" s="231"/>
      <c r="U344" s="231"/>
      <c r="V344" s="231"/>
      <c r="W344" s="231"/>
      <c r="X344" s="231"/>
      <c r="Y344" s="231"/>
      <c r="Z344" s="231"/>
      <c r="AA344" s="231"/>
      <c r="AB344" s="231"/>
      <c r="AC344" s="231"/>
      <c r="AD344" s="231"/>
      <c r="AE344" s="231"/>
      <c r="AF344" s="231"/>
    </row>
    <row r="345" spans="1:32" s="203" customFormat="1">
      <c r="A345" s="198" t="s">
        <v>330</v>
      </c>
      <c r="B345" s="116"/>
      <c r="C345" s="116"/>
      <c r="D345" s="116"/>
      <c r="E345" s="860"/>
      <c r="F345" s="855"/>
      <c r="G345" s="207"/>
      <c r="H345" s="858"/>
      <c r="I345" s="21"/>
      <c r="J345" s="231"/>
      <c r="K345" s="231"/>
      <c r="L345" s="231"/>
      <c r="M345" s="231"/>
      <c r="N345" s="231"/>
      <c r="O345" s="231"/>
      <c r="P345" s="231"/>
      <c r="Q345" s="231"/>
      <c r="R345" s="231"/>
      <c r="S345" s="231"/>
      <c r="T345" s="231"/>
      <c r="U345" s="231"/>
      <c r="V345" s="231"/>
      <c r="W345" s="231"/>
      <c r="X345" s="231"/>
      <c r="Y345" s="231"/>
      <c r="Z345" s="231"/>
      <c r="AA345" s="231"/>
      <c r="AB345" s="231"/>
      <c r="AC345" s="231"/>
      <c r="AD345" s="231"/>
      <c r="AE345" s="231"/>
      <c r="AF345" s="231"/>
    </row>
    <row r="346" spans="1:32" s="203" customFormat="1">
      <c r="A346" s="119"/>
      <c r="B346" s="47"/>
      <c r="C346" s="116"/>
      <c r="D346" s="116"/>
      <c r="E346" s="178"/>
      <c r="F346" s="146"/>
      <c r="G346" s="23"/>
      <c r="H346" s="264"/>
      <c r="I346" s="21"/>
      <c r="J346" s="231"/>
      <c r="K346" s="231"/>
      <c r="L346" s="231"/>
      <c r="M346" s="231"/>
      <c r="N346" s="231"/>
      <c r="O346" s="231"/>
      <c r="P346" s="231"/>
      <c r="Q346" s="231"/>
      <c r="R346" s="231"/>
      <c r="S346" s="231"/>
      <c r="T346" s="231"/>
      <c r="U346" s="231"/>
      <c r="V346" s="231"/>
      <c r="W346" s="231"/>
      <c r="X346" s="231"/>
      <c r="Y346" s="231"/>
      <c r="Z346" s="231"/>
      <c r="AA346" s="231"/>
      <c r="AB346" s="231"/>
      <c r="AC346" s="231"/>
      <c r="AD346" s="231"/>
      <c r="AE346" s="231"/>
      <c r="AF346" s="231"/>
    </row>
    <row r="347" spans="1:32" s="203" customFormat="1">
      <c r="A347" s="788">
        <v>1</v>
      </c>
      <c r="B347" s="47" t="s">
        <v>263</v>
      </c>
      <c r="C347" s="116"/>
      <c r="D347" s="116"/>
      <c r="E347" s="354">
        <v>8936</v>
      </c>
      <c r="F347" s="265">
        <v>8496</v>
      </c>
      <c r="G347" s="43"/>
      <c r="H347" s="126">
        <v>9011</v>
      </c>
      <c r="I347" s="86"/>
      <c r="J347" s="231"/>
      <c r="K347" s="231"/>
      <c r="L347" s="231"/>
      <c r="M347" s="231"/>
      <c r="N347" s="231"/>
      <c r="O347" s="231"/>
      <c r="P347" s="231"/>
      <c r="Q347" s="231"/>
      <c r="R347" s="231"/>
      <c r="S347" s="231"/>
      <c r="T347" s="231"/>
      <c r="U347" s="231"/>
      <c r="V347" s="231"/>
      <c r="W347" s="231"/>
      <c r="X347" s="231"/>
      <c r="Y347" s="231"/>
      <c r="Z347" s="231"/>
      <c r="AA347" s="231"/>
      <c r="AB347" s="231"/>
      <c r="AC347" s="231"/>
      <c r="AD347" s="231"/>
      <c r="AE347" s="231"/>
      <c r="AF347" s="231"/>
    </row>
    <row r="348" spans="1:32" s="203" customFormat="1">
      <c r="A348" s="788"/>
      <c r="B348" s="47"/>
      <c r="C348" s="116"/>
      <c r="D348" s="116"/>
      <c r="E348" s="355"/>
      <c r="F348" s="188"/>
      <c r="G348" s="43"/>
      <c r="H348" s="188"/>
      <c r="I348" s="86"/>
      <c r="J348" s="231"/>
      <c r="K348" s="231"/>
      <c r="L348" s="231"/>
      <c r="M348" s="231"/>
      <c r="N348" s="231"/>
      <c r="O348" s="231"/>
      <c r="P348" s="231"/>
      <c r="Q348" s="231"/>
      <c r="R348" s="231"/>
      <c r="S348" s="231"/>
      <c r="T348" s="231"/>
      <c r="U348" s="231"/>
      <c r="V348" s="231"/>
      <c r="W348" s="231"/>
      <c r="X348" s="231"/>
      <c r="Y348" s="231"/>
      <c r="Z348" s="231"/>
      <c r="AA348" s="231"/>
      <c r="AB348" s="231"/>
      <c r="AC348" s="231"/>
      <c r="AD348" s="231"/>
      <c r="AE348" s="231"/>
      <c r="AF348" s="231"/>
    </row>
    <row r="349" spans="1:32" s="203" customFormat="1">
      <c r="A349" s="108" t="s">
        <v>378</v>
      </c>
      <c r="B349" s="47"/>
      <c r="C349" s="116"/>
      <c r="D349" s="116"/>
      <c r="E349" s="355"/>
      <c r="F349" s="188"/>
      <c r="G349" s="43"/>
      <c r="H349" s="188"/>
      <c r="I349" s="86"/>
      <c r="J349" s="231"/>
      <c r="K349" s="231"/>
      <c r="L349" s="231"/>
      <c r="M349" s="231"/>
      <c r="N349" s="231"/>
      <c r="O349" s="231"/>
      <c r="P349" s="231"/>
      <c r="Q349" s="231"/>
      <c r="R349" s="231"/>
      <c r="S349" s="231"/>
      <c r="T349" s="231"/>
      <c r="U349" s="231"/>
      <c r="V349" s="231"/>
      <c r="W349" s="231"/>
      <c r="X349" s="231"/>
      <c r="Y349" s="231"/>
      <c r="Z349" s="231"/>
      <c r="AA349" s="231"/>
      <c r="AB349" s="231"/>
      <c r="AC349" s="231"/>
      <c r="AD349" s="231"/>
      <c r="AE349" s="231"/>
      <c r="AF349" s="231"/>
    </row>
    <row r="350" spans="1:32" s="203" customFormat="1">
      <c r="A350" s="788"/>
      <c r="B350" s="47"/>
      <c r="C350" s="116"/>
      <c r="D350" s="116"/>
      <c r="E350" s="355"/>
      <c r="F350" s="188"/>
      <c r="G350" s="43"/>
      <c r="H350" s="188"/>
      <c r="I350" s="86"/>
      <c r="J350" s="231"/>
      <c r="K350" s="231"/>
      <c r="L350" s="231"/>
      <c r="M350" s="231"/>
      <c r="N350" s="231"/>
      <c r="O350" s="231"/>
      <c r="P350" s="231"/>
      <c r="Q350" s="231"/>
      <c r="R350" s="231"/>
      <c r="S350" s="231"/>
      <c r="T350" s="231"/>
      <c r="U350" s="231"/>
      <c r="V350" s="231"/>
      <c r="W350" s="231"/>
      <c r="X350" s="231"/>
      <c r="Y350" s="231"/>
      <c r="Z350" s="231"/>
      <c r="AA350" s="231"/>
      <c r="AB350" s="231"/>
      <c r="AC350" s="231"/>
      <c r="AD350" s="231"/>
      <c r="AE350" s="231"/>
      <c r="AF350" s="231"/>
    </row>
    <row r="351" spans="1:32" s="203" customFormat="1">
      <c r="A351" s="198" t="s">
        <v>379</v>
      </c>
      <c r="B351" s="47"/>
      <c r="C351" s="116"/>
      <c r="D351" s="116"/>
      <c r="E351" s="355"/>
      <c r="F351" s="188"/>
      <c r="G351" s="43"/>
      <c r="H351" s="188"/>
      <c r="I351" s="86"/>
      <c r="J351" s="231"/>
      <c r="K351" s="231"/>
      <c r="L351" s="231"/>
      <c r="M351" s="231"/>
      <c r="N351" s="231"/>
      <c r="O351" s="231"/>
      <c r="P351" s="231"/>
      <c r="Q351" s="231"/>
      <c r="R351" s="231"/>
      <c r="S351" s="231"/>
      <c r="T351" s="231"/>
      <c r="U351" s="231"/>
      <c r="V351" s="231"/>
      <c r="W351" s="231"/>
      <c r="X351" s="231"/>
      <c r="Y351" s="231"/>
      <c r="Z351" s="231"/>
      <c r="AA351" s="231"/>
      <c r="AB351" s="231"/>
      <c r="AC351" s="231"/>
      <c r="AD351" s="231"/>
      <c r="AE351" s="231"/>
      <c r="AF351" s="231"/>
    </row>
    <row r="352" spans="1:32" s="203" customFormat="1">
      <c r="A352" s="788"/>
      <c r="B352" s="47"/>
      <c r="C352" s="116"/>
      <c r="D352" s="116"/>
      <c r="E352" s="355"/>
      <c r="F352" s="188"/>
      <c r="G352" s="43"/>
      <c r="H352" s="188"/>
      <c r="I352" s="86"/>
      <c r="J352" s="231"/>
      <c r="K352" s="231"/>
      <c r="L352" s="231"/>
      <c r="M352" s="231"/>
      <c r="N352" s="231"/>
      <c r="O352" s="231"/>
      <c r="P352" s="231"/>
      <c r="Q352" s="231"/>
      <c r="R352" s="231"/>
      <c r="S352" s="231"/>
      <c r="T352" s="231"/>
      <c r="U352" s="231"/>
      <c r="V352" s="231"/>
      <c r="W352" s="231"/>
      <c r="X352" s="231"/>
      <c r="Y352" s="231"/>
      <c r="Z352" s="231"/>
      <c r="AA352" s="231"/>
      <c r="AB352" s="231"/>
      <c r="AC352" s="231"/>
      <c r="AD352" s="231"/>
      <c r="AE352" s="231"/>
      <c r="AF352" s="231"/>
    </row>
    <row r="353" spans="1:32" s="203" customFormat="1">
      <c r="A353" s="788">
        <v>2</v>
      </c>
      <c r="B353" s="47" t="s">
        <v>52</v>
      </c>
      <c r="C353" s="116"/>
      <c r="D353" s="116"/>
      <c r="E353" s="74">
        <v>0</v>
      </c>
      <c r="F353" s="265">
        <v>60</v>
      </c>
      <c r="G353" s="43"/>
      <c r="H353" s="126">
        <v>0</v>
      </c>
      <c r="I353" s="86"/>
      <c r="J353" s="231"/>
      <c r="K353" s="231"/>
      <c r="L353" s="231"/>
      <c r="M353" s="231"/>
      <c r="N353" s="231"/>
      <c r="O353" s="231"/>
      <c r="P353" s="231"/>
      <c r="Q353" s="231"/>
      <c r="R353" s="231"/>
      <c r="S353" s="231"/>
      <c r="T353" s="231"/>
      <c r="U353" s="231"/>
      <c r="V353" s="231"/>
      <c r="W353" s="231"/>
      <c r="X353" s="231"/>
      <c r="Y353" s="231"/>
      <c r="Z353" s="231"/>
      <c r="AA353" s="231"/>
      <c r="AB353" s="231"/>
      <c r="AC353" s="231"/>
      <c r="AD353" s="231"/>
      <c r="AE353" s="231"/>
      <c r="AF353" s="231"/>
    </row>
    <row r="354" spans="1:32" s="203" customFormat="1">
      <c r="A354" s="788">
        <v>3</v>
      </c>
      <c r="B354" s="47" t="s">
        <v>53</v>
      </c>
      <c r="C354" s="116"/>
      <c r="D354" s="116"/>
      <c r="E354" s="49">
        <v>0</v>
      </c>
      <c r="F354" s="265">
        <v>21</v>
      </c>
      <c r="G354" s="43"/>
      <c r="H354" s="126">
        <v>0</v>
      </c>
      <c r="I354" s="86"/>
      <c r="J354" s="231"/>
      <c r="K354" s="231"/>
      <c r="L354" s="231"/>
      <c r="M354" s="231"/>
      <c r="N354" s="231"/>
      <c r="O354" s="231"/>
      <c r="P354" s="231"/>
      <c r="Q354" s="231"/>
      <c r="R354" s="231"/>
      <c r="S354" s="231"/>
      <c r="T354" s="231"/>
      <c r="U354" s="231"/>
      <c r="V354" s="231"/>
      <c r="W354" s="231"/>
      <c r="X354" s="231"/>
      <c r="Y354" s="231"/>
      <c r="Z354" s="231"/>
      <c r="AA354" s="231"/>
      <c r="AB354" s="231"/>
      <c r="AC354" s="231"/>
      <c r="AD354" s="231"/>
      <c r="AE354" s="231"/>
      <c r="AF354" s="231"/>
    </row>
    <row r="355" spans="1:32" s="203" customFormat="1">
      <c r="A355" s="788">
        <v>4</v>
      </c>
      <c r="B355" s="47" t="s">
        <v>54</v>
      </c>
      <c r="C355" s="116"/>
      <c r="D355" s="116"/>
      <c r="E355" s="49">
        <v>0</v>
      </c>
      <c r="F355" s="265">
        <v>18</v>
      </c>
      <c r="G355" s="43"/>
      <c r="H355" s="126">
        <v>0</v>
      </c>
      <c r="I355" s="86"/>
      <c r="J355" s="231"/>
      <c r="K355" s="231"/>
      <c r="L355" s="231"/>
      <c r="M355" s="231"/>
      <c r="N355" s="231"/>
      <c r="O355" s="231"/>
      <c r="P355" s="231"/>
      <c r="Q355" s="231"/>
      <c r="R355" s="231"/>
      <c r="S355" s="231"/>
      <c r="T355" s="231"/>
      <c r="U355" s="231"/>
      <c r="V355" s="231"/>
      <c r="W355" s="231"/>
      <c r="X355" s="231"/>
      <c r="Y355" s="231"/>
      <c r="Z355" s="231"/>
      <c r="AA355" s="231"/>
      <c r="AB355" s="231"/>
      <c r="AC355" s="231"/>
      <c r="AD355" s="231"/>
      <c r="AE355" s="231"/>
      <c r="AF355" s="231"/>
    </row>
    <row r="356" spans="1:32" s="203" customFormat="1">
      <c r="A356" s="788">
        <v>5</v>
      </c>
      <c r="B356" s="47" t="s">
        <v>55</v>
      </c>
      <c r="C356" s="116"/>
      <c r="D356" s="116"/>
      <c r="E356" s="49">
        <v>0</v>
      </c>
      <c r="F356" s="265">
        <v>127</v>
      </c>
      <c r="G356" s="43"/>
      <c r="H356" s="126">
        <v>0</v>
      </c>
      <c r="I356" s="86"/>
      <c r="J356" s="231"/>
      <c r="K356" s="231"/>
      <c r="L356" s="231"/>
      <c r="M356" s="231"/>
      <c r="N356" s="231"/>
      <c r="O356" s="231"/>
      <c r="P356" s="231"/>
      <c r="Q356" s="231"/>
      <c r="R356" s="231"/>
      <c r="S356" s="231"/>
      <c r="T356" s="231"/>
      <c r="U356" s="231"/>
      <c r="V356" s="231"/>
      <c r="W356" s="231"/>
      <c r="X356" s="231"/>
      <c r="Y356" s="231"/>
      <c r="Z356" s="231"/>
      <c r="AA356" s="231"/>
      <c r="AB356" s="231"/>
      <c r="AC356" s="231"/>
      <c r="AD356" s="231"/>
      <c r="AE356" s="231"/>
      <c r="AF356" s="231"/>
    </row>
    <row r="357" spans="1:32" s="203" customFormat="1">
      <c r="A357" s="788">
        <v>6</v>
      </c>
      <c r="B357" s="47" t="s">
        <v>56</v>
      </c>
      <c r="C357" s="116"/>
      <c r="D357" s="116"/>
      <c r="E357" s="49">
        <v>0</v>
      </c>
      <c r="F357" s="265">
        <v>0</v>
      </c>
      <c r="G357" s="43"/>
      <c r="H357" s="126">
        <v>0</v>
      </c>
      <c r="I357" s="86"/>
      <c r="J357" s="231"/>
      <c r="K357" s="231"/>
      <c r="L357" s="231"/>
      <c r="M357" s="231"/>
      <c r="N357" s="231"/>
      <c r="O357" s="231"/>
      <c r="P357" s="231"/>
      <c r="Q357" s="231"/>
      <c r="R357" s="231"/>
      <c r="S357" s="231"/>
      <c r="T357" s="231"/>
      <c r="U357" s="231"/>
      <c r="V357" s="231"/>
      <c r="W357" s="231"/>
      <c r="X357" s="231"/>
      <c r="Y357" s="231"/>
      <c r="Z357" s="231"/>
      <c r="AA357" s="231"/>
      <c r="AB357" s="231"/>
      <c r="AC357" s="231"/>
      <c r="AD357" s="231"/>
      <c r="AE357" s="231"/>
      <c r="AF357" s="231"/>
    </row>
    <row r="358" spans="1:32" s="203" customFormat="1">
      <c r="A358" s="788">
        <v>7</v>
      </c>
      <c r="B358" s="47" t="s">
        <v>57</v>
      </c>
      <c r="C358" s="116"/>
      <c r="D358" s="116"/>
      <c r="E358" s="49">
        <v>0</v>
      </c>
      <c r="F358" s="265">
        <v>275</v>
      </c>
      <c r="G358" s="43"/>
      <c r="H358" s="126">
        <v>0</v>
      </c>
      <c r="I358" s="86"/>
      <c r="J358" s="231"/>
      <c r="K358" s="231"/>
      <c r="L358" s="231"/>
      <c r="M358" s="231"/>
      <c r="N358" s="231"/>
      <c r="O358" s="231"/>
      <c r="P358" s="231"/>
      <c r="Q358" s="231"/>
      <c r="R358" s="231"/>
      <c r="S358" s="231"/>
      <c r="T358" s="231"/>
      <c r="U358" s="231"/>
      <c r="V358" s="231"/>
      <c r="W358" s="231"/>
      <c r="X358" s="231"/>
      <c r="Y358" s="231"/>
      <c r="Z358" s="231"/>
      <c r="AA358" s="231"/>
      <c r="AB358" s="231"/>
      <c r="AC358" s="231"/>
      <c r="AD358" s="231"/>
      <c r="AE358" s="231"/>
      <c r="AF358" s="231"/>
    </row>
    <row r="359" spans="1:32" s="203" customFormat="1">
      <c r="A359" s="788">
        <v>8</v>
      </c>
      <c r="B359" s="47" t="s">
        <v>58</v>
      </c>
      <c r="C359" s="116"/>
      <c r="D359" s="116"/>
      <c r="E359" s="49">
        <v>0</v>
      </c>
      <c r="F359" s="265">
        <v>20</v>
      </c>
      <c r="G359" s="43"/>
      <c r="H359" s="126">
        <v>0</v>
      </c>
      <c r="I359" s="86"/>
      <c r="J359" s="231"/>
      <c r="K359" s="231"/>
      <c r="L359" s="231"/>
      <c r="M359" s="231"/>
      <c r="N359" s="231"/>
      <c r="O359" s="231"/>
      <c r="P359" s="231"/>
      <c r="Q359" s="231"/>
      <c r="R359" s="231"/>
      <c r="S359" s="231"/>
      <c r="T359" s="231"/>
      <c r="U359" s="231"/>
      <c r="V359" s="231"/>
      <c r="W359" s="231"/>
      <c r="X359" s="231"/>
      <c r="Y359" s="231"/>
      <c r="Z359" s="231"/>
      <c r="AA359" s="231"/>
      <c r="AB359" s="231"/>
      <c r="AC359" s="231"/>
      <c r="AD359" s="231"/>
      <c r="AE359" s="231"/>
      <c r="AF359" s="231"/>
    </row>
    <row r="360" spans="1:32" s="203" customFormat="1">
      <c r="A360" s="788">
        <v>9</v>
      </c>
      <c r="B360" s="47" t="s">
        <v>59</v>
      </c>
      <c r="C360" s="116"/>
      <c r="D360" s="116"/>
      <c r="E360" s="49">
        <v>0</v>
      </c>
      <c r="F360" s="265">
        <v>0</v>
      </c>
      <c r="G360" s="43"/>
      <c r="H360" s="126">
        <v>0</v>
      </c>
      <c r="I360" s="86"/>
      <c r="J360" s="231"/>
      <c r="K360" s="231"/>
      <c r="L360" s="231"/>
      <c r="M360" s="231"/>
      <c r="N360" s="231"/>
      <c r="O360" s="231"/>
      <c r="P360" s="231"/>
      <c r="Q360" s="231"/>
      <c r="R360" s="231"/>
      <c r="S360" s="231"/>
      <c r="T360" s="231"/>
      <c r="U360" s="231"/>
      <c r="V360" s="231"/>
      <c r="W360" s="231"/>
      <c r="X360" s="231"/>
      <c r="Y360" s="231"/>
      <c r="Z360" s="231"/>
      <c r="AA360" s="231"/>
      <c r="AB360" s="231"/>
      <c r="AC360" s="231"/>
      <c r="AD360" s="231"/>
      <c r="AE360" s="231"/>
      <c r="AF360" s="231"/>
    </row>
    <row r="361" spans="1:32" s="203" customFormat="1">
      <c r="A361" s="788">
        <v>10</v>
      </c>
      <c r="B361" s="47" t="s">
        <v>60</v>
      </c>
      <c r="C361" s="116"/>
      <c r="D361" s="116"/>
      <c r="E361" s="49">
        <v>0</v>
      </c>
      <c r="F361" s="265">
        <v>0</v>
      </c>
      <c r="G361" s="43"/>
      <c r="H361" s="126">
        <v>0</v>
      </c>
      <c r="I361" s="86"/>
      <c r="J361" s="231"/>
      <c r="K361" s="231"/>
      <c r="L361" s="231"/>
      <c r="M361" s="231"/>
      <c r="N361" s="231"/>
      <c r="O361" s="231"/>
      <c r="P361" s="231"/>
      <c r="Q361" s="231"/>
      <c r="R361" s="231"/>
      <c r="S361" s="231"/>
      <c r="T361" s="231"/>
      <c r="U361" s="231"/>
      <c r="V361" s="231"/>
      <c r="W361" s="231"/>
      <c r="X361" s="231"/>
      <c r="Y361" s="231"/>
      <c r="Z361" s="231"/>
      <c r="AA361" s="231"/>
      <c r="AB361" s="231"/>
      <c r="AC361" s="231"/>
      <c r="AD361" s="231"/>
      <c r="AE361" s="231"/>
      <c r="AF361" s="231"/>
    </row>
    <row r="362" spans="1:32" s="203" customFormat="1">
      <c r="A362" s="788">
        <v>11</v>
      </c>
      <c r="B362" s="47" t="s">
        <v>61</v>
      </c>
      <c r="C362" s="116"/>
      <c r="D362" s="116"/>
      <c r="E362" s="49">
        <v>0</v>
      </c>
      <c r="F362" s="265">
        <v>0</v>
      </c>
      <c r="G362" s="43"/>
      <c r="H362" s="126">
        <v>0</v>
      </c>
      <c r="I362" s="86"/>
      <c r="J362" s="231"/>
      <c r="K362" s="231"/>
      <c r="L362" s="231"/>
      <c r="M362" s="231"/>
      <c r="N362" s="231"/>
      <c r="O362" s="231"/>
      <c r="P362" s="231"/>
      <c r="Q362" s="231"/>
      <c r="R362" s="231"/>
      <c r="S362" s="231"/>
      <c r="T362" s="231"/>
      <c r="U362" s="231"/>
      <c r="V362" s="231"/>
      <c r="W362" s="231"/>
      <c r="X362" s="231"/>
      <c r="Y362" s="231"/>
      <c r="Z362" s="231"/>
      <c r="AA362" s="231"/>
      <c r="AB362" s="231"/>
      <c r="AC362" s="231"/>
      <c r="AD362" s="231"/>
      <c r="AE362" s="231"/>
      <c r="AF362" s="231"/>
    </row>
    <row r="363" spans="1:32" s="203" customFormat="1">
      <c r="A363" s="789">
        <v>12</v>
      </c>
      <c r="B363" s="54" t="s">
        <v>380</v>
      </c>
      <c r="C363" s="94"/>
      <c r="D363" s="94"/>
      <c r="E363" s="135">
        <v>0</v>
      </c>
      <c r="F363" s="61">
        <f>SUM(F353:F362)</f>
        <v>521</v>
      </c>
      <c r="G363" s="43"/>
      <c r="H363" s="61">
        <f>SUM(H353:H362)</f>
        <v>0</v>
      </c>
      <c r="I363" s="86"/>
      <c r="J363" s="231"/>
      <c r="K363" s="231"/>
      <c r="L363" s="231"/>
      <c r="M363" s="231"/>
      <c r="N363" s="231"/>
      <c r="O363" s="231"/>
      <c r="P363" s="231"/>
      <c r="Q363" s="231"/>
      <c r="R363" s="231"/>
      <c r="S363" s="231"/>
      <c r="T363" s="231"/>
      <c r="U363" s="231"/>
      <c r="V363" s="231"/>
      <c r="W363" s="231"/>
      <c r="X363" s="231"/>
      <c r="Y363" s="231"/>
      <c r="Z363" s="231"/>
      <c r="AA363" s="231"/>
      <c r="AB363" s="231"/>
      <c r="AC363" s="231"/>
      <c r="AD363" s="231"/>
      <c r="AE363" s="231"/>
      <c r="AF363" s="231"/>
    </row>
    <row r="364" spans="1:32" s="203" customFormat="1">
      <c r="A364" s="199"/>
      <c r="B364" s="15"/>
      <c r="C364" s="15"/>
      <c r="D364" s="15"/>
      <c r="E364" s="15"/>
      <c r="F364" s="15"/>
      <c r="G364" s="15"/>
      <c r="H364" s="15"/>
      <c r="I364" s="86"/>
      <c r="J364" s="231"/>
      <c r="K364" s="231"/>
      <c r="L364" s="231"/>
      <c r="M364" s="231"/>
      <c r="N364" s="231"/>
      <c r="O364" s="231"/>
      <c r="P364" s="231"/>
      <c r="Q364" s="231"/>
      <c r="R364" s="231"/>
      <c r="S364" s="231"/>
      <c r="T364" s="231"/>
      <c r="U364" s="231"/>
      <c r="V364" s="231"/>
      <c r="W364" s="231"/>
      <c r="X364" s="231"/>
      <c r="Y364" s="231"/>
      <c r="Z364" s="231"/>
      <c r="AA364" s="231"/>
      <c r="AB364" s="231"/>
      <c r="AC364" s="231"/>
      <c r="AD364" s="231"/>
      <c r="AE364" s="231"/>
      <c r="AF364" s="231"/>
    </row>
    <row r="365" spans="1:32" s="203" customFormat="1">
      <c r="A365" s="199"/>
      <c r="B365" s="15"/>
      <c r="C365" s="15"/>
      <c r="D365" s="15"/>
      <c r="E365" s="15"/>
      <c r="F365" s="15"/>
      <c r="G365" s="15"/>
      <c r="H365" s="86"/>
      <c r="I365" s="86"/>
      <c r="J365" s="231"/>
      <c r="K365" s="231"/>
      <c r="L365" s="231"/>
      <c r="M365" s="231"/>
      <c r="N365" s="231"/>
      <c r="O365" s="231"/>
      <c r="P365" s="231"/>
      <c r="Q365" s="231"/>
      <c r="R365" s="231"/>
      <c r="S365" s="231"/>
      <c r="T365" s="231"/>
      <c r="U365" s="231"/>
      <c r="V365" s="231"/>
      <c r="W365" s="231"/>
      <c r="X365" s="231"/>
      <c r="Y365" s="231"/>
      <c r="Z365" s="231"/>
      <c r="AA365" s="231"/>
      <c r="AB365" s="231"/>
      <c r="AC365" s="231"/>
      <c r="AD365" s="231"/>
      <c r="AE365" s="231"/>
      <c r="AF365" s="231"/>
    </row>
    <row r="366" spans="1:32" s="203" customFormat="1">
      <c r="A366" s="199"/>
      <c r="B366" s="15"/>
      <c r="C366" s="15"/>
      <c r="D366" s="15"/>
      <c r="E366" s="15"/>
      <c r="F366" s="15"/>
      <c r="G366" s="15"/>
      <c r="H366" s="86"/>
      <c r="I366" s="86"/>
      <c r="J366" s="231"/>
      <c r="K366" s="231"/>
      <c r="L366" s="231"/>
      <c r="M366" s="231"/>
      <c r="N366" s="231"/>
      <c r="O366" s="231"/>
      <c r="P366" s="231"/>
      <c r="Q366" s="231"/>
      <c r="R366" s="231"/>
      <c r="S366" s="231"/>
      <c r="T366" s="231"/>
      <c r="U366" s="231"/>
      <c r="V366" s="231"/>
      <c r="W366" s="231"/>
      <c r="X366" s="231"/>
      <c r="Y366" s="231"/>
      <c r="Z366" s="231"/>
      <c r="AA366" s="231"/>
      <c r="AB366" s="231"/>
      <c r="AC366" s="231"/>
      <c r="AD366" s="231"/>
      <c r="AE366" s="231"/>
      <c r="AF366" s="231"/>
    </row>
    <row r="367" spans="1:32" s="8" customFormat="1"/>
    <row r="368" spans="1:32" s="8" customFormat="1"/>
    <row r="369" s="8" customFormat="1"/>
    <row r="370" s="8" customFormat="1"/>
    <row r="371" s="8" customFormat="1"/>
    <row r="372" s="8" customFormat="1"/>
    <row r="373" s="8" customFormat="1"/>
    <row r="374" s="8" customFormat="1"/>
    <row r="375" s="8" customFormat="1"/>
    <row r="376" s="8" customFormat="1"/>
    <row r="377" s="8" customFormat="1"/>
    <row r="378" s="8" customFormat="1"/>
    <row r="379" s="8" customFormat="1"/>
    <row r="380" s="8" customFormat="1"/>
    <row r="381" s="8" customFormat="1"/>
    <row r="382" s="8" customFormat="1"/>
    <row r="383" s="8" customFormat="1"/>
    <row r="384" s="8" customFormat="1"/>
    <row r="385" spans="1:9" s="8" customFormat="1"/>
    <row r="386" spans="1:9" s="8" customFormat="1"/>
    <row r="387" spans="1:9" s="8" customFormat="1"/>
    <row r="388" spans="1:9" s="8" customFormat="1"/>
    <row r="389" spans="1:9" s="8" customFormat="1"/>
    <row r="390" spans="1:9" s="8" customFormat="1"/>
    <row r="391" spans="1:9" s="8" customFormat="1"/>
    <row r="392" spans="1:9" s="8" customFormat="1"/>
    <row r="393" spans="1:9" s="8" customFormat="1"/>
    <row r="394" spans="1:9" s="8" customFormat="1"/>
    <row r="395" spans="1:9" s="8" customFormat="1"/>
    <row r="396" spans="1:9" s="8" customFormat="1"/>
    <row r="397" spans="1:9" s="8" customFormat="1"/>
    <row r="398" spans="1:9">
      <c r="A398" s="8"/>
      <c r="B398" s="8"/>
      <c r="C398" s="8"/>
      <c r="D398" s="8"/>
      <c r="E398" s="8"/>
      <c r="F398" s="8"/>
      <c r="G398" s="8"/>
      <c r="H398" s="8"/>
      <c r="I398" s="8"/>
    </row>
    <row r="399" spans="1:9">
      <c r="A399" s="8"/>
      <c r="B399" s="8"/>
      <c r="C399" s="8"/>
      <c r="D399" s="8"/>
      <c r="E399" s="8"/>
      <c r="F399" s="8"/>
      <c r="G399" s="8"/>
      <c r="H399" s="8"/>
      <c r="I399" s="8"/>
    </row>
    <row r="400" spans="1:9">
      <c r="A400" s="8"/>
      <c r="B400" s="8"/>
      <c r="C400" s="8"/>
      <c r="D400" s="8"/>
      <c r="E400" s="8"/>
      <c r="F400" s="8"/>
      <c r="G400" s="8"/>
      <c r="H400" s="8"/>
      <c r="I400" s="8"/>
    </row>
    <row r="401" spans="1:9">
      <c r="A401" s="8"/>
      <c r="B401" s="8"/>
      <c r="C401" s="8"/>
      <c r="D401" s="8"/>
      <c r="E401" s="8"/>
      <c r="F401" s="8"/>
      <c r="G401" s="8"/>
      <c r="H401" s="8"/>
      <c r="I401" s="8"/>
    </row>
    <row r="402" spans="1:9">
      <c r="A402" s="8"/>
      <c r="B402" s="8"/>
      <c r="C402" s="8"/>
      <c r="D402" s="8"/>
      <c r="E402" s="8"/>
      <c r="F402" s="8"/>
      <c r="G402" s="8"/>
      <c r="H402" s="8"/>
      <c r="I402" s="8"/>
    </row>
    <row r="403" spans="1:9">
      <c r="A403" s="8"/>
      <c r="B403" s="8"/>
      <c r="C403" s="8"/>
      <c r="D403" s="8"/>
      <c r="E403" s="8"/>
      <c r="F403" s="8"/>
      <c r="G403" s="8"/>
      <c r="H403" s="8"/>
      <c r="I403" s="8"/>
    </row>
    <row r="404" spans="1:9">
      <c r="A404" s="8"/>
      <c r="B404" s="8"/>
      <c r="C404" s="8"/>
      <c r="D404" s="8"/>
      <c r="E404" s="8"/>
      <c r="F404" s="8"/>
      <c r="G404" s="8"/>
      <c r="H404" s="8"/>
      <c r="I404" s="8"/>
    </row>
    <row r="405" spans="1:9">
      <c r="A405" s="8"/>
      <c r="B405" s="8"/>
      <c r="C405" s="8"/>
      <c r="D405" s="8"/>
      <c r="E405" s="8"/>
      <c r="F405" s="8"/>
      <c r="G405" s="8"/>
      <c r="H405" s="8"/>
      <c r="I405" s="8"/>
    </row>
    <row r="406" spans="1:9">
      <c r="A406" s="8"/>
      <c r="B406" s="8"/>
      <c r="C406" s="8"/>
      <c r="D406" s="8"/>
      <c r="E406" s="8"/>
      <c r="F406" s="8"/>
      <c r="G406" s="8"/>
      <c r="H406" s="8"/>
      <c r="I406" s="8"/>
    </row>
    <row r="407" spans="1:9">
      <c r="A407" s="8"/>
      <c r="B407" s="8"/>
      <c r="C407" s="8"/>
      <c r="D407" s="8"/>
      <c r="E407" s="8"/>
      <c r="F407" s="8"/>
      <c r="G407" s="8"/>
      <c r="H407" s="8"/>
      <c r="I407" s="8"/>
    </row>
    <row r="408" spans="1:9">
      <c r="A408" s="8"/>
      <c r="B408" s="8"/>
      <c r="C408" s="8"/>
      <c r="D408" s="8"/>
      <c r="E408" s="8"/>
      <c r="F408" s="8"/>
      <c r="G408" s="8"/>
      <c r="H408" s="8"/>
      <c r="I408" s="8"/>
    </row>
    <row r="409" spans="1:9">
      <c r="A409" s="8"/>
      <c r="B409" s="8"/>
      <c r="C409" s="8"/>
      <c r="D409" s="8"/>
      <c r="E409" s="8"/>
      <c r="F409" s="8"/>
      <c r="G409" s="8"/>
      <c r="H409" s="8"/>
      <c r="I409" s="8"/>
    </row>
    <row r="410" spans="1:9">
      <c r="A410" s="8"/>
      <c r="B410" s="8"/>
      <c r="C410" s="8"/>
      <c r="D410" s="8"/>
      <c r="E410" s="8"/>
      <c r="F410" s="8"/>
      <c r="G410" s="8"/>
      <c r="H410" s="8"/>
      <c r="I410" s="8"/>
    </row>
    <row r="411" spans="1:9">
      <c r="A411" s="8"/>
      <c r="B411" s="8"/>
      <c r="C411" s="8"/>
      <c r="D411" s="8"/>
      <c r="E411" s="8"/>
      <c r="F411" s="8"/>
      <c r="G411" s="8"/>
      <c r="H411" s="8"/>
      <c r="I411" s="8"/>
    </row>
    <row r="412" spans="1:9">
      <c r="A412" s="8"/>
      <c r="B412" s="8"/>
      <c r="C412" s="8"/>
      <c r="D412" s="8"/>
      <c r="E412" s="8"/>
      <c r="F412" s="8"/>
      <c r="G412" s="8"/>
      <c r="H412" s="8"/>
      <c r="I412" s="8"/>
    </row>
  </sheetData>
  <mergeCells count="59">
    <mergeCell ref="C19:F19"/>
    <mergeCell ref="B3:B4"/>
    <mergeCell ref="C3:D4"/>
    <mergeCell ref="A5:B5"/>
    <mergeCell ref="D6:H6"/>
    <mergeCell ref="A9:I9"/>
    <mergeCell ref="D10:F10"/>
    <mergeCell ref="C14:F14"/>
    <mergeCell ref="C15:F15"/>
    <mergeCell ref="C16:F16"/>
    <mergeCell ref="C17:F17"/>
    <mergeCell ref="C18:F18"/>
    <mergeCell ref="A23:D24"/>
    <mergeCell ref="E23:E24"/>
    <mergeCell ref="F23:F24"/>
    <mergeCell ref="H23:H24"/>
    <mergeCell ref="A25:A27"/>
    <mergeCell ref="B25:D27"/>
    <mergeCell ref="E25:E27"/>
    <mergeCell ref="F25:F27"/>
    <mergeCell ref="H25:H27"/>
    <mergeCell ref="A40:D41"/>
    <mergeCell ref="E40:E41"/>
    <mergeCell ref="F40:F41"/>
    <mergeCell ref="H40:H41"/>
    <mergeCell ref="E66:E70"/>
    <mergeCell ref="F66:F70"/>
    <mergeCell ref="G66:G70"/>
    <mergeCell ref="H66:H70"/>
    <mergeCell ref="I66:I70"/>
    <mergeCell ref="F91:F95"/>
    <mergeCell ref="H91:H95"/>
    <mergeCell ref="E193:E197"/>
    <mergeCell ref="F193:F197"/>
    <mergeCell ref="H193:H197"/>
    <mergeCell ref="E153:E157"/>
    <mergeCell ref="F153:F157"/>
    <mergeCell ref="H153:H157"/>
    <mergeCell ref="E91:E95"/>
    <mergeCell ref="E221:E225"/>
    <mergeCell ref="F221:F225"/>
    <mergeCell ref="H221:H225"/>
    <mergeCell ref="E234:E238"/>
    <mergeCell ref="F234:F238"/>
    <mergeCell ref="H234:H238"/>
    <mergeCell ref="E261:E265"/>
    <mergeCell ref="F261:F265"/>
    <mergeCell ref="H261:H265"/>
    <mergeCell ref="E280:E284"/>
    <mergeCell ref="F280:F284"/>
    <mergeCell ref="H280:H284"/>
    <mergeCell ref="E341:E345"/>
    <mergeCell ref="F341:F345"/>
    <mergeCell ref="H341:H345"/>
    <mergeCell ref="E305:E309"/>
    <mergeCell ref="F305:F309"/>
    <mergeCell ref="H305:H309"/>
    <mergeCell ref="C323:H323"/>
    <mergeCell ref="C330:H330"/>
  </mergeCells>
  <phoneticPr fontId="10" type="noConversion"/>
  <conditionalFormatting sqref="F71:F76 F286:F301 F311:F318 F80:F88 F96:F97 F103:F104 F106 F110:F114 F118:F124 F128:F134 F138:F142 F146:F149 F159:F162 F166:F168 F171:F172 F175:F177 F183:F190 F199:F200 F204:F206 F210:F213 F217:F218 F226:F230 F240:F241 F245:F246 F250:F253 F256 F267:F276 H250">
    <cfRule type="expression" dxfId="54" priority="255" stopIfTrue="1">
      <formula>ISBLANK(F71)</formula>
    </cfRule>
    <cfRule type="expression" dxfId="53" priority="256" stopIfTrue="1">
      <formula>IF(AND(OR(F71-E71&gt;500,F71-E71&lt;-500),OR(#REF!&gt;0.1,#REF!&lt;-0.1)),TRUE,FALSE)</formula>
    </cfRule>
  </conditionalFormatting>
  <dataValidations count="1">
    <dataValidation type="list" errorStyle="information" allowBlank="1" showInputMessage="1" showErrorMessage="1" errorTitle="POBE 2006" error="Please select from the drop-down menu..." prompt="Please select your Authority from the drop-down menu..." sqref="C3:D4">
      <formula1>#REF!</formula1>
    </dataValidation>
  </dataValidations>
  <hyperlinks>
    <hyperlink ref="F7" r:id="rId1" display="lgfstats@scotland.gsi.gov.uk"/>
    <hyperlink ref="D6" r:id="rId2"/>
    <hyperlink ref="D10" r:id="rId3" display="^lgfstats@gov.scot"/>
    <hyperlink ref="B14" location="'POBE 2017'!A28" display="PART 1 - Expenditure"/>
    <hyperlink ref="C19:F19" location="'POBE 2017'!A323" display="Sheet 10. - PUBLIC PRIVATE PARTNERSHIPS/PRIVATE FINANCE INITIATIVES"/>
    <hyperlink ref="B15" location="'POBE 2017'!A40" display="PART 2 - Income and Balances"/>
    <hyperlink ref="B16" location="'POBE 2017'!A66" display="Sheet 1. EDUCATION"/>
    <hyperlink ref="B17" location="'POBE 2017'!A91" display="Sheet 2. SOCIAL WORK"/>
    <hyperlink ref="B18" location="'POBE 2017'!A153" display="Sheet 3. ROADS AND TRANSPORT"/>
    <hyperlink ref="B19" location="'POBE 2017'!A193" display="Sheet 4. ENVIRONMENTAL SERVICES"/>
    <hyperlink ref="C14:F14" location="'POBE 2017'!A221" display="Sheet 5. PLANNING AND DEVELOPMENT SERVICES"/>
    <hyperlink ref="C15:F15" location="'POBE 2017'!A234" display="Sheet 6. CULTURAL AND RELATED SERVICES"/>
    <hyperlink ref="C16:F16" location="'POBE 2017'!A261" display="Sheet 7. HOUSING"/>
    <hyperlink ref="C17:F17" location="'POBE 2017'!A280" display="Sheet 8. CENTRAL SERVICES"/>
    <hyperlink ref="C18:F18" location="'POBE 2017'!A305" display="Sheet 9. OTHER EXPENDITURE"/>
  </hyperlinks>
  <pageMargins left="0.75" right="0.75" top="1" bottom="1" header="0.5" footer="0.5"/>
  <pageSetup paperSize="9" orientation="portrait" r:id="rId4"/>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AN413"/>
  <sheetViews>
    <sheetView topLeftCell="A181" zoomScale="80" zoomScaleNormal="80" workbookViewId="0">
      <selection activeCell="G189" sqref="G189"/>
    </sheetView>
  </sheetViews>
  <sheetFormatPr defaultColWidth="9.140625" defaultRowHeight="12.75"/>
  <cols>
    <col min="1" max="1" width="10.5703125" style="1" customWidth="1"/>
    <col min="2" max="2" width="43" style="1" customWidth="1"/>
    <col min="3" max="3" width="24.5703125" style="1" customWidth="1"/>
    <col min="4" max="4" width="14.7109375" style="1" customWidth="1"/>
    <col min="5" max="5" width="21.5703125" style="1" customWidth="1"/>
    <col min="6" max="6" width="19.140625" style="1" customWidth="1"/>
    <col min="7" max="7" width="17.42578125" style="1" customWidth="1"/>
    <col min="8" max="8" width="19.28515625" style="1" customWidth="1"/>
    <col min="9" max="9" width="17.85546875" style="1" customWidth="1"/>
    <col min="10" max="22" width="9.140625" style="8" customWidth="1"/>
    <col min="23" max="33" width="9.140625" style="8"/>
    <col min="34" max="34" width="0" style="8" hidden="1" customWidth="1"/>
    <col min="35" max="40" width="9.140625" style="8"/>
    <col min="41" max="16384" width="9.140625" style="1"/>
  </cols>
  <sheetData>
    <row r="1" spans="1:40" s="203" customFormat="1" ht="51" customHeight="1">
      <c r="A1" s="3" t="s">
        <v>410</v>
      </c>
      <c r="B1" s="4"/>
      <c r="C1" s="224"/>
      <c r="D1" s="224"/>
      <c r="E1" s="224"/>
      <c r="F1" s="224"/>
      <c r="G1" s="225"/>
      <c r="H1" s="226"/>
      <c r="I1" s="227"/>
      <c r="J1" s="231"/>
      <c r="K1" s="231"/>
      <c r="L1" s="231"/>
      <c r="M1" s="231"/>
      <c r="N1" s="231"/>
      <c r="O1" s="231"/>
      <c r="P1" s="231"/>
      <c r="Q1" s="231"/>
      <c r="R1" s="231"/>
      <c r="S1" s="231"/>
      <c r="T1" s="231"/>
      <c r="U1" s="231"/>
      <c r="V1" s="231"/>
      <c r="W1" s="231"/>
      <c r="X1" s="231"/>
      <c r="Y1" s="231"/>
      <c r="Z1" s="231"/>
      <c r="AA1" s="231"/>
      <c r="AB1" s="231"/>
      <c r="AC1" s="231"/>
      <c r="AD1" s="231"/>
      <c r="AE1" s="231"/>
      <c r="AF1" s="231"/>
      <c r="AG1" s="231"/>
      <c r="AH1" s="231"/>
      <c r="AI1" s="231"/>
      <c r="AJ1" s="231"/>
      <c r="AK1" s="231"/>
      <c r="AL1" s="231"/>
      <c r="AM1" s="231"/>
      <c r="AN1" s="231"/>
    </row>
    <row r="2" spans="1:40" s="203" customFormat="1" ht="35.25">
      <c r="A2" s="9"/>
      <c r="B2" s="10"/>
      <c r="C2" s="232"/>
      <c r="D2" s="232"/>
      <c r="E2" s="232"/>
      <c r="F2" s="11"/>
      <c r="G2" s="11"/>
      <c r="H2" s="11"/>
      <c r="I2" s="11"/>
      <c r="J2" s="231"/>
      <c r="K2" s="231"/>
      <c r="L2" s="231"/>
      <c r="M2" s="231"/>
      <c r="N2" s="231"/>
      <c r="O2" s="231"/>
      <c r="P2" s="231"/>
      <c r="Q2" s="231"/>
      <c r="R2" s="231"/>
      <c r="S2" s="231"/>
      <c r="T2" s="231"/>
      <c r="U2" s="231"/>
      <c r="V2" s="231"/>
      <c r="W2" s="231"/>
      <c r="X2" s="231"/>
      <c r="Y2" s="231"/>
      <c r="Z2" s="231"/>
      <c r="AA2" s="231"/>
      <c r="AB2" s="231"/>
      <c r="AC2" s="231"/>
      <c r="AD2" s="231"/>
      <c r="AE2" s="231"/>
      <c r="AF2" s="231"/>
      <c r="AG2" s="231"/>
      <c r="AH2" s="231"/>
      <c r="AI2" s="231"/>
      <c r="AJ2" s="231"/>
      <c r="AK2" s="231"/>
      <c r="AL2" s="231"/>
      <c r="AM2" s="231"/>
      <c r="AN2" s="231"/>
    </row>
    <row r="3" spans="1:40" s="203" customFormat="1" ht="15">
      <c r="A3" s="12"/>
      <c r="B3" s="882" t="s">
        <v>0</v>
      </c>
      <c r="C3" s="884" t="s">
        <v>11</v>
      </c>
      <c r="D3" s="885"/>
      <c r="E3" s="13"/>
      <c r="F3" s="14"/>
      <c r="G3" s="14"/>
      <c r="H3" s="15"/>
      <c r="I3" s="14"/>
      <c r="J3" s="231"/>
      <c r="K3" s="231"/>
      <c r="L3" s="231"/>
      <c r="M3" s="231"/>
      <c r="N3" s="231"/>
      <c r="O3" s="231"/>
      <c r="P3" s="231"/>
      <c r="Q3" s="231"/>
      <c r="R3" s="231"/>
      <c r="S3" s="231"/>
      <c r="T3" s="231"/>
      <c r="U3" s="231"/>
      <c r="V3" s="231"/>
      <c r="W3" s="231"/>
      <c r="X3" s="231"/>
      <c r="Y3" s="231"/>
      <c r="Z3" s="231"/>
      <c r="AA3" s="231"/>
      <c r="AB3" s="231"/>
      <c r="AC3" s="231"/>
      <c r="AD3" s="231"/>
      <c r="AE3" s="231"/>
      <c r="AF3" s="231"/>
      <c r="AG3" s="231"/>
      <c r="AH3" s="231"/>
      <c r="AI3" s="231"/>
      <c r="AJ3" s="231"/>
      <c r="AK3" s="231"/>
      <c r="AL3" s="231"/>
      <c r="AM3" s="231"/>
      <c r="AN3" s="231"/>
    </row>
    <row r="4" spans="1:40" s="203" customFormat="1" ht="15">
      <c r="A4" s="17"/>
      <c r="B4" s="883"/>
      <c r="C4" s="886"/>
      <c r="D4" s="887"/>
      <c r="E4" s="13"/>
      <c r="F4" s="14"/>
      <c r="G4" s="14"/>
      <c r="H4" s="15"/>
      <c r="I4" s="14"/>
      <c r="J4" s="231"/>
      <c r="K4" s="231"/>
      <c r="L4" s="231"/>
      <c r="M4" s="231"/>
      <c r="N4" s="231"/>
      <c r="O4" s="231"/>
      <c r="P4" s="231"/>
      <c r="Q4" s="231"/>
      <c r="R4" s="231"/>
      <c r="S4" s="231"/>
      <c r="T4" s="231"/>
      <c r="U4" s="231"/>
      <c r="V4" s="231"/>
      <c r="W4" s="231"/>
      <c r="X4" s="231"/>
      <c r="Y4" s="231"/>
      <c r="Z4" s="231"/>
      <c r="AA4" s="231"/>
      <c r="AB4" s="231"/>
      <c r="AC4" s="231"/>
      <c r="AD4" s="231"/>
      <c r="AE4" s="231"/>
      <c r="AF4" s="231"/>
      <c r="AG4" s="231"/>
      <c r="AH4" s="231"/>
      <c r="AI4" s="231"/>
      <c r="AJ4" s="231"/>
      <c r="AK4" s="231"/>
      <c r="AL4" s="231"/>
      <c r="AM4" s="231"/>
      <c r="AN4" s="231"/>
    </row>
    <row r="5" spans="1:40" s="203" customFormat="1" ht="15">
      <c r="A5" s="888"/>
      <c r="B5" s="889"/>
      <c r="C5" s="18"/>
      <c r="D5" s="206"/>
      <c r="E5" s="206"/>
      <c r="F5" s="14"/>
      <c r="G5" s="14"/>
      <c r="H5" s="14"/>
      <c r="I5" s="234"/>
      <c r="J5" s="231"/>
      <c r="K5" s="231"/>
      <c r="L5" s="231"/>
      <c r="M5" s="231"/>
      <c r="N5" s="231"/>
      <c r="O5" s="231"/>
      <c r="P5" s="231"/>
      <c r="Q5" s="231"/>
      <c r="R5" s="231"/>
      <c r="S5" s="231"/>
      <c r="T5" s="231"/>
      <c r="U5" s="231"/>
      <c r="V5" s="231"/>
      <c r="W5" s="231"/>
      <c r="X5" s="231"/>
      <c r="Y5" s="231"/>
      <c r="Z5" s="231"/>
      <c r="AA5" s="231"/>
      <c r="AB5" s="231"/>
      <c r="AC5" s="231"/>
      <c r="AD5" s="231"/>
      <c r="AE5" s="231"/>
      <c r="AF5" s="231"/>
      <c r="AG5" s="231"/>
      <c r="AH5" s="231"/>
      <c r="AI5" s="231"/>
      <c r="AJ5" s="231"/>
      <c r="AK5" s="231"/>
      <c r="AL5" s="231"/>
      <c r="AM5" s="231"/>
      <c r="AN5" s="231"/>
    </row>
    <row r="6" spans="1:40" s="203" customFormat="1" ht="23.25" customHeight="1">
      <c r="A6" s="19" t="s">
        <v>1</v>
      </c>
      <c r="B6" s="207"/>
      <c r="C6" s="20"/>
      <c r="D6" s="890" t="s">
        <v>249</v>
      </c>
      <c r="E6" s="890"/>
      <c r="F6" s="890"/>
      <c r="G6" s="890"/>
      <c r="H6" s="890"/>
      <c r="I6" s="29"/>
      <c r="J6" s="231"/>
      <c r="K6" s="231"/>
      <c r="L6" s="231"/>
      <c r="M6" s="231"/>
      <c r="N6" s="231"/>
      <c r="O6" s="231"/>
      <c r="P6" s="231"/>
      <c r="Q6" s="231"/>
      <c r="R6" s="231"/>
      <c r="S6" s="231"/>
      <c r="T6" s="231"/>
      <c r="U6" s="231"/>
      <c r="V6" s="231"/>
      <c r="W6" s="231"/>
      <c r="X6" s="231"/>
      <c r="Y6" s="231"/>
      <c r="Z6" s="231"/>
      <c r="AA6" s="231"/>
      <c r="AB6" s="231"/>
      <c r="AC6" s="231"/>
      <c r="AD6" s="231"/>
      <c r="AE6" s="231"/>
      <c r="AF6" s="231"/>
      <c r="AG6" s="231"/>
      <c r="AH6" s="231"/>
      <c r="AI6" s="231"/>
      <c r="AJ6" s="231"/>
      <c r="AK6" s="231"/>
      <c r="AL6" s="231"/>
      <c r="AM6" s="231"/>
      <c r="AN6" s="231"/>
    </row>
    <row r="7" spans="1:40" s="203" customFormat="1" ht="18.75" customHeight="1">
      <c r="A7" s="19" t="s">
        <v>419</v>
      </c>
      <c r="B7" s="207"/>
      <c r="C7" s="207"/>
      <c r="D7" s="207"/>
      <c r="E7" s="207"/>
      <c r="F7" s="362" t="s">
        <v>250</v>
      </c>
      <c r="G7" s="1"/>
      <c r="H7" s="21"/>
      <c r="I7" s="29"/>
      <c r="J7" s="231"/>
      <c r="K7" s="231"/>
      <c r="L7" s="231"/>
      <c r="M7" s="231"/>
      <c r="N7" s="231"/>
      <c r="O7" s="231"/>
      <c r="P7" s="231"/>
      <c r="Q7" s="231"/>
      <c r="R7" s="231"/>
      <c r="S7" s="231"/>
      <c r="T7" s="231"/>
      <c r="U7" s="231"/>
      <c r="V7" s="231"/>
      <c r="W7" s="231"/>
      <c r="X7" s="231"/>
      <c r="Y7" s="231"/>
      <c r="Z7" s="231"/>
      <c r="AA7" s="231"/>
      <c r="AB7" s="231"/>
      <c r="AC7" s="231"/>
      <c r="AD7" s="231"/>
      <c r="AE7" s="231"/>
      <c r="AF7" s="231"/>
      <c r="AG7" s="231"/>
      <c r="AH7" s="231"/>
      <c r="AI7" s="231"/>
      <c r="AJ7" s="231"/>
      <c r="AK7" s="231"/>
      <c r="AL7" s="231"/>
      <c r="AM7" s="231"/>
      <c r="AN7" s="231"/>
    </row>
    <row r="8" spans="1:40" s="203" customFormat="1" ht="24" customHeight="1">
      <c r="A8" s="22" t="s">
        <v>408</v>
      </c>
      <c r="B8" s="207"/>
      <c r="C8" s="207"/>
      <c r="D8" s="207"/>
      <c r="E8" s="207"/>
      <c r="F8" s="207"/>
      <c r="G8" s="736"/>
      <c r="H8" s="21"/>
      <c r="I8" s="29"/>
      <c r="J8" s="231"/>
      <c r="K8" s="231"/>
      <c r="L8" s="231"/>
      <c r="M8" s="231"/>
      <c r="N8" s="231"/>
      <c r="O8" s="231"/>
      <c r="P8" s="231"/>
      <c r="Q8" s="231"/>
      <c r="R8" s="231"/>
      <c r="S8" s="231"/>
      <c r="T8" s="231"/>
      <c r="U8" s="231"/>
      <c r="V8" s="231"/>
      <c r="W8" s="231"/>
      <c r="X8" s="231"/>
      <c r="Y8" s="231"/>
      <c r="Z8" s="231"/>
      <c r="AA8" s="231"/>
      <c r="AB8" s="231"/>
      <c r="AC8" s="231"/>
      <c r="AD8" s="231"/>
      <c r="AE8" s="231"/>
      <c r="AF8" s="231"/>
      <c r="AG8" s="231"/>
      <c r="AH8" s="231"/>
      <c r="AI8" s="231"/>
      <c r="AJ8" s="231"/>
      <c r="AK8" s="231"/>
      <c r="AL8" s="231"/>
      <c r="AM8" s="231"/>
      <c r="AN8" s="231"/>
    </row>
    <row r="9" spans="1:40" s="203" customFormat="1" ht="30.75" customHeight="1">
      <c r="A9" s="891" t="s">
        <v>420</v>
      </c>
      <c r="B9" s="892"/>
      <c r="C9" s="892"/>
      <c r="D9" s="892"/>
      <c r="E9" s="892"/>
      <c r="F9" s="892"/>
      <c r="G9" s="892"/>
      <c r="H9" s="892"/>
      <c r="I9" s="892"/>
      <c r="J9" s="231"/>
      <c r="K9" s="231"/>
      <c r="L9" s="231"/>
      <c r="M9" s="231"/>
      <c r="N9" s="231"/>
      <c r="O9" s="231"/>
      <c r="P9" s="231"/>
      <c r="Q9" s="231"/>
      <c r="R9" s="231"/>
      <c r="S9" s="231"/>
      <c r="T9" s="231"/>
      <c r="U9" s="231"/>
      <c r="V9" s="231"/>
      <c r="W9" s="231"/>
      <c r="X9" s="231"/>
      <c r="Y9" s="231"/>
      <c r="Z9" s="231"/>
      <c r="AA9" s="231"/>
      <c r="AB9" s="231"/>
      <c r="AC9" s="231"/>
      <c r="AD9" s="231"/>
      <c r="AE9" s="231"/>
      <c r="AF9" s="231"/>
      <c r="AG9" s="231"/>
      <c r="AH9" s="231"/>
      <c r="AI9" s="231"/>
      <c r="AJ9" s="231"/>
      <c r="AK9" s="231"/>
      <c r="AL9" s="231"/>
      <c r="AM9" s="231"/>
      <c r="AN9" s="231"/>
    </row>
    <row r="10" spans="1:40" s="203" customFormat="1" ht="12.75" customHeight="1">
      <c r="A10" s="22" t="s">
        <v>409</v>
      </c>
      <c r="B10" s="19"/>
      <c r="C10" s="1"/>
      <c r="D10" s="880" t="s">
        <v>250</v>
      </c>
      <c r="E10" s="881"/>
      <c r="F10" s="881"/>
      <c r="G10" s="207"/>
      <c r="H10" s="207"/>
      <c r="I10" s="29"/>
      <c r="J10" s="231"/>
      <c r="K10" s="231"/>
      <c r="L10" s="231"/>
      <c r="M10" s="231"/>
      <c r="N10" s="231"/>
      <c r="O10" s="231"/>
      <c r="P10" s="231"/>
      <c r="Q10" s="231"/>
      <c r="R10" s="231"/>
      <c r="S10" s="231"/>
      <c r="T10" s="231"/>
      <c r="U10" s="231"/>
      <c r="V10" s="231"/>
      <c r="W10" s="231"/>
      <c r="X10" s="231"/>
      <c r="Y10" s="231"/>
      <c r="Z10" s="231"/>
      <c r="AA10" s="231"/>
      <c r="AB10" s="231"/>
      <c r="AC10" s="231"/>
      <c r="AD10" s="231"/>
      <c r="AE10" s="231"/>
      <c r="AF10" s="231"/>
      <c r="AG10" s="231"/>
      <c r="AH10" s="231"/>
      <c r="AI10" s="231"/>
      <c r="AJ10" s="231"/>
      <c r="AK10" s="231"/>
      <c r="AL10" s="231"/>
      <c r="AM10" s="231"/>
      <c r="AN10" s="231"/>
    </row>
    <row r="11" spans="1:40" s="203" customFormat="1">
      <c r="A11" s="23"/>
      <c r="B11" s="207"/>
      <c r="C11" s="207"/>
      <c r="D11" s="207"/>
      <c r="E11" s="207"/>
      <c r="F11" s="207"/>
      <c r="G11" s="21"/>
      <c r="H11" s="21"/>
      <c r="I11" s="29"/>
      <c r="J11" s="231"/>
      <c r="K11" s="231"/>
      <c r="L11" s="231"/>
      <c r="M11" s="231"/>
      <c r="N11" s="231"/>
      <c r="O11" s="231"/>
      <c r="P11" s="231"/>
      <c r="Q11" s="231"/>
      <c r="R11" s="231"/>
      <c r="S11" s="231"/>
      <c r="T11" s="231"/>
      <c r="U11" s="231"/>
      <c r="V11" s="231"/>
      <c r="W11" s="231"/>
      <c r="X11" s="231"/>
      <c r="Y11" s="231"/>
      <c r="Z11" s="231"/>
      <c r="AA11" s="231"/>
      <c r="AB11" s="231"/>
      <c r="AC11" s="231"/>
      <c r="AD11" s="231"/>
      <c r="AE11" s="231"/>
      <c r="AF11" s="231"/>
      <c r="AG11" s="231"/>
      <c r="AH11" s="231"/>
      <c r="AI11" s="231"/>
      <c r="AJ11" s="231"/>
      <c r="AK11" s="231"/>
      <c r="AL11" s="231"/>
      <c r="AM11" s="231"/>
      <c r="AN11" s="231"/>
    </row>
    <row r="12" spans="1:40" s="203" customFormat="1">
      <c r="A12" s="24"/>
      <c r="B12" s="25" t="s">
        <v>7</v>
      </c>
      <c r="C12" s="26"/>
      <c r="D12" s="356"/>
      <c r="E12" s="356"/>
      <c r="F12" s="357"/>
      <c r="G12" s="21"/>
      <c r="H12" s="21"/>
      <c r="I12" s="29"/>
      <c r="J12" s="231"/>
      <c r="K12" s="231"/>
      <c r="L12" s="231"/>
      <c r="M12" s="231"/>
      <c r="N12" s="231"/>
      <c r="O12" s="231"/>
      <c r="P12" s="231"/>
      <c r="Q12" s="231"/>
      <c r="R12" s="231"/>
      <c r="S12" s="231"/>
      <c r="T12" s="231"/>
      <c r="U12" s="231"/>
      <c r="V12" s="231"/>
      <c r="W12" s="231"/>
      <c r="X12" s="231"/>
      <c r="Y12" s="231"/>
      <c r="Z12" s="231"/>
      <c r="AA12" s="231"/>
      <c r="AB12" s="231"/>
      <c r="AC12" s="231"/>
      <c r="AD12" s="231"/>
      <c r="AE12" s="231"/>
      <c r="AF12" s="231"/>
      <c r="AG12" s="231"/>
      <c r="AH12" s="231"/>
      <c r="AI12" s="231"/>
      <c r="AJ12" s="231"/>
      <c r="AK12" s="231"/>
      <c r="AL12" s="231"/>
      <c r="AM12" s="231"/>
      <c r="AN12" s="231"/>
    </row>
    <row r="13" spans="1:40" s="203" customFormat="1">
      <c r="A13" s="23"/>
      <c r="B13" s="27"/>
      <c r="C13" s="358"/>
      <c r="D13" s="15"/>
      <c r="E13" s="15"/>
      <c r="F13" s="359"/>
      <c r="G13" s="207"/>
      <c r="H13" s="21"/>
      <c r="I13" s="29"/>
      <c r="J13" s="231"/>
      <c r="K13" s="231"/>
      <c r="L13" s="231"/>
      <c r="M13" s="231"/>
      <c r="N13" s="231"/>
      <c r="O13" s="231"/>
      <c r="P13" s="231"/>
      <c r="Q13" s="231"/>
      <c r="R13" s="231"/>
      <c r="S13" s="231"/>
      <c r="T13" s="231"/>
      <c r="U13" s="231"/>
      <c r="V13" s="231"/>
      <c r="W13" s="231"/>
      <c r="X13" s="231"/>
      <c r="Y13" s="231"/>
      <c r="Z13" s="231"/>
      <c r="AA13" s="231"/>
      <c r="AB13" s="231"/>
      <c r="AC13" s="231"/>
      <c r="AD13" s="231"/>
      <c r="AE13" s="231"/>
      <c r="AF13" s="231"/>
      <c r="AG13" s="231"/>
      <c r="AH13" s="231"/>
      <c r="AI13" s="231"/>
      <c r="AJ13" s="231"/>
      <c r="AK13" s="231"/>
      <c r="AL13" s="231"/>
      <c r="AM13" s="231"/>
      <c r="AN13" s="231"/>
    </row>
    <row r="14" spans="1:40" s="203" customFormat="1">
      <c r="A14" s="23"/>
      <c r="B14" s="363" t="s">
        <v>328</v>
      </c>
      <c r="C14" s="870" t="s">
        <v>10</v>
      </c>
      <c r="D14" s="870"/>
      <c r="E14" s="870"/>
      <c r="F14" s="871"/>
      <c r="G14" s="207"/>
      <c r="H14" s="21"/>
      <c r="I14" s="29"/>
      <c r="J14" s="231"/>
      <c r="K14" s="231"/>
      <c r="L14" s="231"/>
      <c r="M14" s="231"/>
      <c r="N14" s="231"/>
      <c r="O14" s="231"/>
      <c r="P14" s="231"/>
      <c r="Q14" s="231"/>
      <c r="R14" s="231"/>
      <c r="S14" s="231"/>
      <c r="T14" s="231"/>
      <c r="U14" s="231"/>
      <c r="V14" s="231"/>
      <c r="W14" s="231"/>
      <c r="X14" s="231"/>
      <c r="Y14" s="231"/>
      <c r="Z14" s="231"/>
      <c r="AA14" s="231"/>
      <c r="AB14" s="231"/>
      <c r="AC14" s="231"/>
      <c r="AD14" s="231"/>
      <c r="AE14" s="231"/>
      <c r="AF14" s="231"/>
      <c r="AG14" s="231"/>
      <c r="AH14" s="231"/>
      <c r="AI14" s="231"/>
      <c r="AJ14" s="231"/>
      <c r="AK14" s="231"/>
      <c r="AL14" s="231"/>
      <c r="AM14" s="231"/>
      <c r="AN14" s="231"/>
    </row>
    <row r="15" spans="1:40" s="203" customFormat="1">
      <c r="A15" s="23"/>
      <c r="B15" s="363" t="s">
        <v>329</v>
      </c>
      <c r="C15" s="870" t="s">
        <v>12</v>
      </c>
      <c r="D15" s="870"/>
      <c r="E15" s="870"/>
      <c r="F15" s="871"/>
      <c r="G15" s="207"/>
      <c r="H15" s="21"/>
      <c r="I15" s="29"/>
      <c r="J15" s="231"/>
      <c r="K15" s="231"/>
      <c r="L15" s="231"/>
      <c r="M15" s="231"/>
      <c r="N15" s="231"/>
      <c r="O15" s="231"/>
      <c r="P15" s="231"/>
      <c r="Q15" s="231"/>
      <c r="R15" s="231"/>
      <c r="S15" s="231"/>
      <c r="T15" s="231"/>
      <c r="U15" s="231"/>
      <c r="V15" s="231"/>
      <c r="W15" s="231"/>
      <c r="X15" s="231"/>
      <c r="Y15" s="231"/>
      <c r="Z15" s="231"/>
      <c r="AA15" s="231"/>
      <c r="AB15" s="231"/>
      <c r="AC15" s="231"/>
      <c r="AD15" s="231"/>
      <c r="AE15" s="231"/>
      <c r="AF15" s="231"/>
      <c r="AG15" s="231"/>
      <c r="AH15" s="231"/>
      <c r="AI15" s="231"/>
      <c r="AJ15" s="231"/>
      <c r="AK15" s="231"/>
      <c r="AL15" s="231"/>
      <c r="AM15" s="231"/>
      <c r="AN15" s="231"/>
    </row>
    <row r="16" spans="1:40" s="203" customFormat="1">
      <c r="A16" s="23"/>
      <c r="B16" s="360" t="s">
        <v>14</v>
      </c>
      <c r="C16" s="870" t="s">
        <v>15</v>
      </c>
      <c r="D16" s="870"/>
      <c r="E16" s="870"/>
      <c r="F16" s="871"/>
      <c r="G16" s="207"/>
      <c r="H16" s="21"/>
      <c r="I16" s="29"/>
      <c r="J16" s="231"/>
      <c r="K16" s="231"/>
      <c r="L16" s="231"/>
      <c r="M16" s="231"/>
      <c r="N16" s="231"/>
      <c r="O16" s="231"/>
      <c r="P16" s="231"/>
      <c r="Q16" s="231"/>
      <c r="R16" s="231"/>
      <c r="S16" s="231"/>
      <c r="T16" s="231"/>
      <c r="U16" s="231"/>
      <c r="V16" s="231"/>
      <c r="W16" s="231"/>
      <c r="X16" s="231"/>
      <c r="Y16" s="231"/>
      <c r="Z16" s="231"/>
      <c r="AA16" s="231"/>
      <c r="AB16" s="231"/>
      <c r="AC16" s="231"/>
      <c r="AD16" s="231"/>
      <c r="AE16" s="231"/>
      <c r="AF16" s="231"/>
      <c r="AG16" s="231"/>
      <c r="AH16" s="231"/>
      <c r="AI16" s="231"/>
      <c r="AJ16" s="231"/>
      <c r="AK16" s="231"/>
      <c r="AL16" s="231"/>
      <c r="AM16" s="231"/>
      <c r="AN16" s="231"/>
    </row>
    <row r="17" spans="1:40" s="203" customFormat="1">
      <c r="A17" s="23"/>
      <c r="B17" s="360" t="s">
        <v>17</v>
      </c>
      <c r="C17" s="870" t="s">
        <v>18</v>
      </c>
      <c r="D17" s="870"/>
      <c r="E17" s="870"/>
      <c r="F17" s="871"/>
      <c r="G17" s="207"/>
      <c r="H17" s="21"/>
      <c r="I17" s="29"/>
      <c r="J17" s="231"/>
      <c r="K17" s="231"/>
      <c r="L17" s="231"/>
      <c r="M17" s="231"/>
      <c r="N17" s="231"/>
      <c r="O17" s="231"/>
      <c r="P17" s="231"/>
      <c r="Q17" s="231"/>
      <c r="R17" s="231"/>
      <c r="S17" s="231"/>
      <c r="T17" s="231"/>
      <c r="U17" s="231"/>
      <c r="V17" s="231"/>
      <c r="W17" s="231"/>
      <c r="X17" s="231"/>
      <c r="Y17" s="231"/>
      <c r="Z17" s="231"/>
      <c r="AA17" s="231"/>
      <c r="AB17" s="231"/>
      <c r="AC17" s="231"/>
      <c r="AD17" s="231"/>
      <c r="AE17" s="231"/>
      <c r="AF17" s="231"/>
      <c r="AG17" s="231"/>
      <c r="AH17" s="231"/>
      <c r="AI17" s="231"/>
      <c r="AJ17" s="231"/>
      <c r="AK17" s="231"/>
      <c r="AL17" s="231"/>
      <c r="AM17" s="231"/>
      <c r="AN17" s="231"/>
    </row>
    <row r="18" spans="1:40" s="203" customFormat="1">
      <c r="A18" s="23"/>
      <c r="B18" s="360" t="s">
        <v>20</v>
      </c>
      <c r="C18" s="870" t="s">
        <v>21</v>
      </c>
      <c r="D18" s="870"/>
      <c r="E18" s="870"/>
      <c r="F18" s="871"/>
      <c r="G18" s="207"/>
      <c r="H18" s="21"/>
      <c r="I18" s="29"/>
      <c r="J18" s="231"/>
      <c r="K18" s="231"/>
      <c r="L18" s="231"/>
      <c r="M18" s="231"/>
      <c r="N18" s="231"/>
      <c r="O18" s="231"/>
      <c r="P18" s="231"/>
      <c r="Q18" s="231"/>
      <c r="R18" s="231"/>
      <c r="S18" s="231"/>
      <c r="T18" s="231"/>
      <c r="U18" s="231"/>
      <c r="V18" s="231"/>
      <c r="W18" s="231"/>
      <c r="X18" s="231"/>
      <c r="Y18" s="231"/>
      <c r="Z18" s="231"/>
      <c r="AA18" s="231"/>
      <c r="AB18" s="231"/>
      <c r="AC18" s="231"/>
      <c r="AD18" s="231"/>
      <c r="AE18" s="231"/>
      <c r="AF18" s="231"/>
      <c r="AG18" s="231"/>
      <c r="AH18" s="231"/>
      <c r="AI18" s="231"/>
      <c r="AJ18" s="231"/>
      <c r="AK18" s="231"/>
      <c r="AL18" s="231"/>
      <c r="AM18" s="231"/>
      <c r="AN18" s="231"/>
    </row>
    <row r="19" spans="1:40" s="203" customFormat="1">
      <c r="A19" s="23"/>
      <c r="B19" s="361" t="s">
        <v>23</v>
      </c>
      <c r="C19" s="872" t="s">
        <v>24</v>
      </c>
      <c r="D19" s="872"/>
      <c r="E19" s="872"/>
      <c r="F19" s="873"/>
      <c r="G19" s="21"/>
      <c r="H19" s="21"/>
      <c r="I19" s="29"/>
      <c r="J19" s="231"/>
      <c r="K19" s="231"/>
      <c r="L19" s="231"/>
      <c r="M19" s="231"/>
      <c r="N19" s="231"/>
      <c r="O19" s="231"/>
      <c r="P19" s="231"/>
      <c r="Q19" s="231"/>
      <c r="R19" s="231"/>
      <c r="S19" s="231"/>
      <c r="T19" s="231"/>
      <c r="U19" s="231"/>
      <c r="V19" s="231"/>
      <c r="W19" s="231"/>
      <c r="X19" s="231"/>
      <c r="Y19" s="231"/>
      <c r="Z19" s="231"/>
      <c r="AA19" s="231"/>
      <c r="AB19" s="231"/>
      <c r="AC19" s="231"/>
      <c r="AD19" s="231"/>
      <c r="AE19" s="231"/>
      <c r="AF19" s="231"/>
      <c r="AG19" s="231"/>
      <c r="AH19" s="231"/>
      <c r="AI19" s="231"/>
      <c r="AJ19" s="231"/>
      <c r="AK19" s="231"/>
      <c r="AL19" s="231"/>
      <c r="AM19" s="231"/>
      <c r="AN19" s="231"/>
    </row>
    <row r="20" spans="1:40" s="203" customFormat="1">
      <c r="A20" s="236"/>
      <c r="B20" s="206"/>
      <c r="C20" s="206"/>
      <c r="D20" s="206"/>
      <c r="E20" s="206"/>
      <c r="F20" s="206"/>
      <c r="G20" s="206"/>
      <c r="H20" s="206"/>
      <c r="I20" s="206"/>
      <c r="J20" s="231"/>
      <c r="K20" s="231"/>
      <c r="L20" s="231"/>
      <c r="M20" s="231"/>
      <c r="N20" s="231"/>
      <c r="O20" s="231"/>
      <c r="P20" s="231"/>
      <c r="Q20" s="231"/>
      <c r="R20" s="231"/>
      <c r="S20" s="231"/>
      <c r="T20" s="231"/>
      <c r="U20" s="231"/>
      <c r="V20" s="231"/>
      <c r="W20" s="231"/>
      <c r="X20" s="231"/>
      <c r="Y20" s="231"/>
      <c r="Z20" s="231"/>
      <c r="AA20" s="231"/>
      <c r="AB20" s="231"/>
      <c r="AC20" s="231"/>
      <c r="AD20" s="231"/>
      <c r="AE20" s="231"/>
      <c r="AF20" s="231"/>
      <c r="AG20" s="231"/>
      <c r="AH20" s="231"/>
      <c r="AI20" s="231"/>
      <c r="AJ20" s="231"/>
      <c r="AK20" s="231"/>
      <c r="AL20" s="231"/>
      <c r="AM20" s="231"/>
      <c r="AN20" s="231"/>
    </row>
    <row r="21" spans="1:40" s="203" customFormat="1" ht="19.5">
      <c r="A21" s="30"/>
      <c r="B21" s="13"/>
      <c r="C21" s="13"/>
      <c r="D21" s="13"/>
      <c r="E21" s="13"/>
      <c r="F21" s="13"/>
      <c r="G21" s="13"/>
      <c r="H21" s="31" t="s">
        <v>27</v>
      </c>
      <c r="I21" s="237"/>
      <c r="J21" s="231"/>
      <c r="K21" s="231"/>
      <c r="L21" s="231"/>
      <c r="M21" s="231"/>
      <c r="N21" s="231"/>
      <c r="O21" s="231"/>
      <c r="P21" s="231"/>
      <c r="Q21" s="231"/>
      <c r="R21" s="231"/>
      <c r="S21" s="231"/>
      <c r="T21" s="231"/>
      <c r="U21" s="231"/>
      <c r="V21" s="231"/>
      <c r="W21" s="231"/>
      <c r="X21" s="231"/>
      <c r="Y21" s="231"/>
      <c r="Z21" s="231"/>
      <c r="AA21" s="231"/>
      <c r="AB21" s="231"/>
      <c r="AC21" s="231"/>
      <c r="AD21" s="231"/>
      <c r="AE21" s="231"/>
      <c r="AF21" s="231"/>
      <c r="AG21" s="231"/>
      <c r="AH21" s="231"/>
      <c r="AI21" s="231"/>
      <c r="AJ21" s="231"/>
      <c r="AK21" s="231"/>
      <c r="AL21" s="231"/>
      <c r="AM21" s="231"/>
      <c r="AN21" s="231"/>
    </row>
    <row r="22" spans="1:40" s="203" customFormat="1" ht="18.75" customHeight="1">
      <c r="A22" s="32"/>
      <c r="B22" s="29"/>
      <c r="C22" s="29"/>
      <c r="D22" s="29"/>
      <c r="E22" s="29"/>
      <c r="F22" s="33">
        <v>1</v>
      </c>
      <c r="G22" s="34"/>
      <c r="H22" s="33">
        <v>2</v>
      </c>
      <c r="I22" s="34"/>
      <c r="J22" s="231"/>
      <c r="K22" s="231"/>
      <c r="L22" s="231"/>
      <c r="M22" s="231"/>
      <c r="N22" s="231"/>
      <c r="O22" s="231"/>
      <c r="P22" s="231"/>
      <c r="Q22" s="231"/>
      <c r="R22" s="231"/>
      <c r="S22" s="231"/>
      <c r="T22" s="231"/>
      <c r="U22" s="231"/>
      <c r="V22" s="231"/>
      <c r="W22" s="231"/>
      <c r="X22" s="231"/>
      <c r="Y22" s="231"/>
      <c r="Z22" s="231"/>
      <c r="AA22" s="231"/>
      <c r="AB22" s="231"/>
      <c r="AC22" s="231"/>
      <c r="AD22" s="231"/>
      <c r="AE22" s="231"/>
      <c r="AF22" s="231"/>
      <c r="AG22" s="231"/>
      <c r="AH22" s="231"/>
      <c r="AI22" s="231"/>
      <c r="AJ22" s="231"/>
      <c r="AK22" s="231"/>
      <c r="AL22" s="231"/>
      <c r="AM22" s="231"/>
      <c r="AN22" s="231"/>
    </row>
    <row r="23" spans="1:40" s="203" customFormat="1" ht="21.95" customHeight="1">
      <c r="A23" s="874" t="s">
        <v>30</v>
      </c>
      <c r="B23" s="875"/>
      <c r="C23" s="875"/>
      <c r="D23" s="875"/>
      <c r="E23" s="878" t="s">
        <v>376</v>
      </c>
      <c r="F23" s="856" t="s">
        <v>407</v>
      </c>
      <c r="G23" s="36"/>
      <c r="H23" s="878" t="s">
        <v>406</v>
      </c>
      <c r="I23" s="36"/>
      <c r="J23" s="231"/>
      <c r="K23" s="231"/>
      <c r="L23" s="231"/>
      <c r="M23" s="231"/>
      <c r="N23" s="231"/>
      <c r="O23" s="231"/>
      <c r="P23" s="231"/>
      <c r="Q23" s="231"/>
      <c r="R23" s="231"/>
      <c r="S23" s="231"/>
      <c r="T23" s="231"/>
      <c r="U23" s="231"/>
      <c r="V23" s="231"/>
      <c r="W23" s="231"/>
      <c r="X23" s="231"/>
      <c r="Y23" s="231"/>
      <c r="Z23" s="231"/>
      <c r="AA23" s="231"/>
      <c r="AB23" s="231"/>
      <c r="AC23" s="231"/>
      <c r="AD23" s="231"/>
      <c r="AE23" s="231"/>
      <c r="AF23" s="231"/>
      <c r="AG23" s="231"/>
      <c r="AH23" s="231"/>
      <c r="AI23" s="231"/>
      <c r="AJ23" s="231"/>
      <c r="AK23" s="231"/>
      <c r="AL23" s="231"/>
      <c r="AM23" s="231"/>
      <c r="AN23" s="231"/>
    </row>
    <row r="24" spans="1:40" s="203" customFormat="1" ht="21.95" customHeight="1">
      <c r="A24" s="876"/>
      <c r="B24" s="877"/>
      <c r="C24" s="877"/>
      <c r="D24" s="877"/>
      <c r="E24" s="879"/>
      <c r="F24" s="860"/>
      <c r="G24" s="23"/>
      <c r="H24" s="879"/>
      <c r="I24" s="36"/>
      <c r="J24" s="231"/>
      <c r="K24" s="231"/>
      <c r="L24" s="231"/>
      <c r="M24" s="231"/>
      <c r="N24" s="231"/>
      <c r="O24" s="231"/>
      <c r="P24" s="231"/>
      <c r="Q24" s="231"/>
      <c r="R24" s="231"/>
      <c r="S24" s="231"/>
      <c r="T24" s="231"/>
      <c r="U24" s="231"/>
      <c r="V24" s="231"/>
      <c r="W24" s="231"/>
      <c r="X24" s="231"/>
      <c r="Y24" s="231"/>
      <c r="Z24" s="231"/>
      <c r="AA24" s="231"/>
      <c r="AB24" s="231"/>
      <c r="AC24" s="231"/>
      <c r="AD24" s="231"/>
      <c r="AE24" s="231"/>
      <c r="AF24" s="231"/>
      <c r="AG24" s="231"/>
      <c r="AH24" s="231"/>
      <c r="AI24" s="231"/>
      <c r="AJ24" s="231"/>
      <c r="AK24" s="231"/>
      <c r="AL24" s="231"/>
      <c r="AM24" s="231"/>
      <c r="AN24" s="231"/>
    </row>
    <row r="25" spans="1:40" s="203" customFormat="1" ht="21.95" customHeight="1">
      <c r="A25" s="898" t="s">
        <v>48</v>
      </c>
      <c r="B25" s="901" t="s">
        <v>49</v>
      </c>
      <c r="C25" s="901"/>
      <c r="D25" s="902"/>
      <c r="E25" s="907" t="s">
        <v>50</v>
      </c>
      <c r="F25" s="909" t="s">
        <v>51</v>
      </c>
      <c r="G25" s="34"/>
      <c r="H25" s="907" t="s">
        <v>50</v>
      </c>
      <c r="I25" s="36"/>
      <c r="J25" s="231"/>
      <c r="K25" s="231"/>
      <c r="L25" s="231"/>
      <c r="M25" s="231"/>
      <c r="N25" s="231"/>
      <c r="O25" s="231"/>
      <c r="P25" s="231"/>
      <c r="Q25" s="231"/>
      <c r="R25" s="231"/>
      <c r="S25" s="231"/>
      <c r="T25" s="231"/>
      <c r="U25" s="231"/>
      <c r="V25" s="231"/>
      <c r="W25" s="231"/>
      <c r="X25" s="231"/>
      <c r="Y25" s="231"/>
      <c r="Z25" s="231"/>
      <c r="AA25" s="231"/>
      <c r="AB25" s="231"/>
      <c r="AC25" s="231"/>
      <c r="AD25" s="231"/>
      <c r="AE25" s="231"/>
      <c r="AF25" s="231"/>
      <c r="AG25" s="231"/>
      <c r="AH25" s="231"/>
      <c r="AI25" s="231"/>
      <c r="AJ25" s="231"/>
      <c r="AK25" s="231"/>
      <c r="AL25" s="231"/>
      <c r="AM25" s="231"/>
      <c r="AN25" s="231"/>
    </row>
    <row r="26" spans="1:40" s="203" customFormat="1" ht="21.95" customHeight="1">
      <c r="A26" s="899"/>
      <c r="B26" s="903"/>
      <c r="C26" s="903"/>
      <c r="D26" s="904"/>
      <c r="E26" s="908"/>
      <c r="F26" s="859"/>
      <c r="G26" s="34"/>
      <c r="H26" s="908"/>
      <c r="I26" s="36"/>
      <c r="J26" s="231"/>
      <c r="K26" s="231"/>
      <c r="L26" s="231"/>
      <c r="M26" s="231"/>
      <c r="N26" s="231"/>
      <c r="O26" s="231"/>
      <c r="P26" s="231"/>
      <c r="Q26" s="231"/>
      <c r="R26" s="231"/>
      <c r="S26" s="231"/>
      <c r="T26" s="231"/>
      <c r="U26" s="231"/>
      <c r="V26" s="231"/>
      <c r="W26" s="231"/>
      <c r="X26" s="231"/>
      <c r="Y26" s="231"/>
      <c r="Z26" s="231"/>
      <c r="AA26" s="231"/>
      <c r="AB26" s="231"/>
      <c r="AC26" s="231"/>
      <c r="AD26" s="231"/>
      <c r="AE26" s="231"/>
      <c r="AF26" s="231"/>
      <c r="AG26" s="231"/>
      <c r="AH26" s="231"/>
      <c r="AI26" s="231"/>
      <c r="AJ26" s="231"/>
      <c r="AK26" s="231"/>
      <c r="AL26" s="231"/>
      <c r="AM26" s="231"/>
      <c r="AN26" s="231"/>
    </row>
    <row r="27" spans="1:40" s="203" customFormat="1" ht="21.95" customHeight="1">
      <c r="A27" s="900"/>
      <c r="B27" s="905"/>
      <c r="C27" s="905"/>
      <c r="D27" s="906"/>
      <c r="E27" s="879"/>
      <c r="F27" s="860"/>
      <c r="G27" s="34"/>
      <c r="H27" s="879"/>
      <c r="I27" s="36"/>
      <c r="J27" s="231"/>
      <c r="K27" s="231"/>
      <c r="L27" s="231"/>
      <c r="M27" s="231"/>
      <c r="N27" s="231"/>
      <c r="O27" s="231"/>
      <c r="P27" s="231"/>
      <c r="Q27" s="231"/>
      <c r="R27" s="231"/>
      <c r="S27" s="231"/>
      <c r="T27" s="231"/>
      <c r="U27" s="231"/>
      <c r="V27" s="231"/>
      <c r="W27" s="231"/>
      <c r="X27" s="231"/>
      <c r="Y27" s="231"/>
      <c r="Z27" s="231"/>
      <c r="AA27" s="231"/>
      <c r="AB27" s="231"/>
      <c r="AC27" s="231"/>
      <c r="AD27" s="231"/>
      <c r="AE27" s="231"/>
      <c r="AF27" s="231"/>
      <c r="AG27" s="231"/>
      <c r="AH27" s="231"/>
      <c r="AI27" s="231"/>
      <c r="AJ27" s="231"/>
      <c r="AK27" s="231"/>
      <c r="AL27" s="231"/>
      <c r="AM27" s="231"/>
      <c r="AN27" s="231"/>
    </row>
    <row r="28" spans="1:40" s="203" customFormat="1">
      <c r="A28" s="38">
        <v>1</v>
      </c>
      <c r="B28" s="39" t="s">
        <v>52</v>
      </c>
      <c r="C28" s="39"/>
      <c r="D28" s="40"/>
      <c r="E28" s="41">
        <v>134891</v>
      </c>
      <c r="F28" s="42">
        <f>F77</f>
        <v>137253</v>
      </c>
      <c r="G28" s="43"/>
      <c r="H28" s="44">
        <f>H77</f>
        <v>145877</v>
      </c>
      <c r="I28" s="43"/>
      <c r="J28" s="231"/>
      <c r="K28" s="231"/>
      <c r="L28" s="231"/>
      <c r="M28" s="231"/>
      <c r="N28" s="231"/>
      <c r="O28" s="231"/>
      <c r="P28" s="231"/>
      <c r="Q28" s="231"/>
      <c r="R28" s="231"/>
      <c r="S28" s="231"/>
      <c r="T28" s="231"/>
      <c r="U28" s="231"/>
      <c r="V28" s="231"/>
      <c r="W28" s="231"/>
      <c r="X28" s="231"/>
      <c r="Y28" s="231"/>
      <c r="Z28" s="231"/>
      <c r="AA28" s="231"/>
      <c r="AB28" s="231"/>
      <c r="AC28" s="231"/>
      <c r="AD28" s="231"/>
      <c r="AE28" s="231"/>
      <c r="AF28" s="231"/>
      <c r="AG28" s="231"/>
      <c r="AH28" s="231"/>
      <c r="AI28" s="231"/>
      <c r="AJ28" s="231"/>
      <c r="AK28" s="231"/>
      <c r="AL28" s="231"/>
      <c r="AM28" s="231"/>
      <c r="AN28" s="231"/>
    </row>
    <row r="29" spans="1:40" s="203" customFormat="1">
      <c r="A29" s="46">
        <v>2</v>
      </c>
      <c r="B29" s="47" t="s">
        <v>53</v>
      </c>
      <c r="C29" s="47"/>
      <c r="D29" s="48"/>
      <c r="E29" s="49">
        <v>118704</v>
      </c>
      <c r="F29" s="50">
        <f>F105</f>
        <v>115940</v>
      </c>
      <c r="G29" s="43"/>
      <c r="H29" s="51">
        <f>H105</f>
        <v>117376</v>
      </c>
      <c r="I29" s="43"/>
      <c r="J29" s="231"/>
      <c r="K29" s="231"/>
      <c r="L29" s="231"/>
      <c r="M29" s="231"/>
      <c r="N29" s="231"/>
      <c r="O29" s="231"/>
      <c r="P29" s="231"/>
      <c r="Q29" s="231"/>
      <c r="R29" s="231"/>
      <c r="S29" s="231"/>
      <c r="T29" s="231"/>
      <c r="U29" s="231"/>
      <c r="V29" s="231"/>
      <c r="W29" s="231"/>
      <c r="X29" s="231"/>
      <c r="Y29" s="231"/>
      <c r="Z29" s="231"/>
      <c r="AA29" s="231"/>
      <c r="AB29" s="231"/>
      <c r="AC29" s="231"/>
      <c r="AD29" s="231"/>
      <c r="AE29" s="231"/>
      <c r="AF29" s="231"/>
      <c r="AG29" s="231"/>
      <c r="AH29" s="231"/>
      <c r="AI29" s="231"/>
      <c r="AJ29" s="231"/>
      <c r="AK29" s="231"/>
      <c r="AL29" s="231"/>
      <c r="AM29" s="231"/>
      <c r="AN29" s="231"/>
    </row>
    <row r="30" spans="1:40" s="203" customFormat="1">
      <c r="A30" s="46">
        <v>3</v>
      </c>
      <c r="B30" s="47" t="s">
        <v>54</v>
      </c>
      <c r="C30" s="47"/>
      <c r="D30" s="48"/>
      <c r="E30" s="49">
        <v>4031</v>
      </c>
      <c r="F30" s="50">
        <f>F180</f>
        <v>5680</v>
      </c>
      <c r="G30" s="43"/>
      <c r="H30" s="51">
        <f>H180</f>
        <v>3714</v>
      </c>
      <c r="I30" s="43"/>
      <c r="J30" s="231"/>
      <c r="K30" s="231"/>
      <c r="L30" s="231"/>
      <c r="M30" s="231"/>
      <c r="N30" s="231"/>
      <c r="O30" s="231"/>
      <c r="P30" s="231"/>
      <c r="Q30" s="231"/>
      <c r="R30" s="231"/>
      <c r="S30" s="231"/>
      <c r="T30" s="231"/>
      <c r="U30" s="231"/>
      <c r="V30" s="231"/>
      <c r="W30" s="231"/>
      <c r="X30" s="231"/>
      <c r="Y30" s="231"/>
      <c r="Z30" s="231"/>
      <c r="AA30" s="231"/>
      <c r="AB30" s="231"/>
      <c r="AC30" s="231"/>
      <c r="AD30" s="231"/>
      <c r="AE30" s="231"/>
      <c r="AF30" s="231"/>
      <c r="AG30" s="231"/>
      <c r="AH30" s="231"/>
      <c r="AI30" s="231"/>
      <c r="AJ30" s="231"/>
      <c r="AK30" s="231"/>
      <c r="AL30" s="231"/>
      <c r="AM30" s="231"/>
      <c r="AN30" s="231"/>
    </row>
    <row r="31" spans="1:40" s="203" customFormat="1">
      <c r="A31" s="46">
        <v>4</v>
      </c>
      <c r="B31" s="47" t="s">
        <v>55</v>
      </c>
      <c r="C31" s="47"/>
      <c r="D31" s="48"/>
      <c r="E31" s="49">
        <v>19501</v>
      </c>
      <c r="F31" s="50">
        <f>F214</f>
        <v>20294</v>
      </c>
      <c r="G31" s="43"/>
      <c r="H31" s="51">
        <f>H214</f>
        <v>20453</v>
      </c>
      <c r="I31" s="43"/>
      <c r="J31" s="231"/>
      <c r="K31" s="231"/>
      <c r="L31" s="231"/>
      <c r="M31" s="231"/>
      <c r="N31" s="231"/>
      <c r="O31" s="231"/>
      <c r="P31" s="231"/>
      <c r="Q31" s="231"/>
      <c r="R31" s="231"/>
      <c r="S31" s="231"/>
      <c r="T31" s="231"/>
      <c r="U31" s="231"/>
      <c r="V31" s="231"/>
      <c r="W31" s="231"/>
      <c r="X31" s="231"/>
      <c r="Y31" s="231"/>
      <c r="Z31" s="231"/>
      <c r="AA31" s="231"/>
      <c r="AB31" s="231"/>
      <c r="AC31" s="231"/>
      <c r="AD31" s="231"/>
      <c r="AE31" s="231"/>
      <c r="AF31" s="231"/>
      <c r="AG31" s="231"/>
      <c r="AH31" s="231"/>
      <c r="AI31" s="231"/>
      <c r="AJ31" s="231"/>
      <c r="AK31" s="231"/>
      <c r="AL31" s="231"/>
      <c r="AM31" s="231"/>
      <c r="AN31" s="231"/>
    </row>
    <row r="32" spans="1:40" s="203" customFormat="1">
      <c r="A32" s="46">
        <v>5</v>
      </c>
      <c r="B32" s="47" t="s">
        <v>56</v>
      </c>
      <c r="C32" s="47"/>
      <c r="D32" s="48"/>
      <c r="E32" s="49">
        <v>7924</v>
      </c>
      <c r="F32" s="50">
        <f>F231</f>
        <v>10351</v>
      </c>
      <c r="G32" s="43"/>
      <c r="H32" s="51">
        <f>H231</f>
        <v>8862</v>
      </c>
      <c r="I32" s="43"/>
      <c r="J32" s="231"/>
      <c r="K32" s="231"/>
      <c r="L32" s="231"/>
      <c r="M32" s="231"/>
      <c r="N32" s="231"/>
      <c r="O32" s="231"/>
      <c r="P32" s="231"/>
      <c r="Q32" s="231"/>
      <c r="R32" s="231"/>
      <c r="S32" s="231"/>
      <c r="T32" s="231"/>
      <c r="U32" s="231"/>
      <c r="V32" s="231"/>
      <c r="W32" s="231"/>
      <c r="X32" s="231"/>
      <c r="Y32" s="231"/>
      <c r="Z32" s="231"/>
      <c r="AA32" s="231"/>
      <c r="AB32" s="231"/>
      <c r="AC32" s="231"/>
      <c r="AD32" s="231"/>
      <c r="AE32" s="231"/>
      <c r="AF32" s="231"/>
      <c r="AG32" s="231"/>
      <c r="AH32" s="231"/>
      <c r="AI32" s="231"/>
      <c r="AJ32" s="231"/>
      <c r="AK32" s="231"/>
      <c r="AL32" s="231"/>
      <c r="AM32" s="231"/>
      <c r="AN32" s="231"/>
    </row>
    <row r="33" spans="1:40" s="203" customFormat="1">
      <c r="A33" s="46">
        <v>6</v>
      </c>
      <c r="B33" s="47" t="s">
        <v>57</v>
      </c>
      <c r="C33" s="47"/>
      <c r="D33" s="48"/>
      <c r="E33" s="49">
        <v>16583</v>
      </c>
      <c r="F33" s="50">
        <f>F257</f>
        <v>16276</v>
      </c>
      <c r="G33" s="43"/>
      <c r="H33" s="51">
        <f>H257</f>
        <v>17669</v>
      </c>
      <c r="I33" s="43"/>
      <c r="J33" s="231"/>
      <c r="K33" s="231"/>
      <c r="L33" s="231"/>
      <c r="M33" s="231"/>
      <c r="N33" s="231"/>
      <c r="O33" s="231"/>
      <c r="P33" s="231"/>
      <c r="Q33" s="231"/>
      <c r="R33" s="231"/>
      <c r="S33" s="231"/>
      <c r="T33" s="231"/>
      <c r="U33" s="231"/>
      <c r="V33" s="231"/>
      <c r="W33" s="231"/>
      <c r="X33" s="231"/>
      <c r="Y33" s="231"/>
      <c r="Z33" s="231"/>
      <c r="AA33" s="231"/>
      <c r="AB33" s="231"/>
      <c r="AC33" s="231"/>
      <c r="AD33" s="231"/>
      <c r="AE33" s="231"/>
      <c r="AF33" s="231"/>
      <c r="AG33" s="231"/>
      <c r="AH33" s="231"/>
      <c r="AI33" s="231"/>
      <c r="AJ33" s="231"/>
      <c r="AK33" s="231"/>
      <c r="AL33" s="231"/>
      <c r="AM33" s="231"/>
      <c r="AN33" s="231"/>
    </row>
    <row r="34" spans="1:40" s="203" customFormat="1">
      <c r="A34" s="46">
        <v>7</v>
      </c>
      <c r="B34" s="47" t="s">
        <v>58</v>
      </c>
      <c r="C34" s="47"/>
      <c r="D34" s="48"/>
      <c r="E34" s="49">
        <v>5929</v>
      </c>
      <c r="F34" s="50">
        <f>F277</f>
        <v>7665</v>
      </c>
      <c r="G34" s="43"/>
      <c r="H34" s="50">
        <f>H277</f>
        <v>6543</v>
      </c>
      <c r="I34" s="43"/>
      <c r="J34" s="231"/>
      <c r="K34" s="231"/>
      <c r="L34" s="231"/>
      <c r="M34" s="231"/>
      <c r="N34" s="231"/>
      <c r="O34" s="231"/>
      <c r="P34" s="231"/>
      <c r="Q34" s="231"/>
      <c r="R34" s="231"/>
      <c r="S34" s="231"/>
      <c r="T34" s="231"/>
      <c r="U34" s="231"/>
      <c r="V34" s="231"/>
      <c r="W34" s="231"/>
      <c r="X34" s="231"/>
      <c r="Y34" s="231"/>
      <c r="Z34" s="231"/>
      <c r="AA34" s="231"/>
      <c r="AB34" s="231"/>
      <c r="AC34" s="231"/>
      <c r="AD34" s="231"/>
      <c r="AE34" s="231"/>
      <c r="AF34" s="231"/>
      <c r="AG34" s="231"/>
      <c r="AH34" s="231"/>
      <c r="AI34" s="231"/>
      <c r="AJ34" s="231"/>
      <c r="AK34" s="231"/>
      <c r="AL34" s="231"/>
      <c r="AM34" s="231"/>
      <c r="AN34" s="231"/>
    </row>
    <row r="35" spans="1:40" s="203" customFormat="1">
      <c r="A35" s="46">
        <v>8</v>
      </c>
      <c r="B35" s="47" t="s">
        <v>59</v>
      </c>
      <c r="C35" s="47"/>
      <c r="D35" s="48"/>
      <c r="E35" s="49">
        <v>3794</v>
      </c>
      <c r="F35" s="50">
        <f>F302</f>
        <v>4401</v>
      </c>
      <c r="G35" s="43"/>
      <c r="H35" s="50">
        <f>H302</f>
        <v>1564</v>
      </c>
      <c r="I35" s="21"/>
      <c r="J35" s="231"/>
      <c r="K35" s="231"/>
      <c r="L35" s="231"/>
      <c r="M35" s="231"/>
      <c r="N35" s="231"/>
      <c r="O35" s="231"/>
      <c r="P35" s="231"/>
      <c r="Q35" s="231"/>
      <c r="R35" s="231"/>
      <c r="S35" s="231"/>
      <c r="T35" s="231"/>
      <c r="U35" s="231"/>
      <c r="V35" s="231"/>
      <c r="W35" s="231"/>
      <c r="X35" s="231"/>
      <c r="Y35" s="231"/>
      <c r="Z35" s="231"/>
      <c r="AA35" s="231"/>
      <c r="AB35" s="231"/>
      <c r="AC35" s="231"/>
      <c r="AD35" s="231"/>
      <c r="AE35" s="231"/>
      <c r="AF35" s="231"/>
      <c r="AG35" s="231"/>
      <c r="AH35" s="231"/>
      <c r="AI35" s="231"/>
      <c r="AJ35" s="231"/>
      <c r="AK35" s="231"/>
      <c r="AL35" s="231"/>
      <c r="AM35" s="231"/>
      <c r="AN35" s="231"/>
    </row>
    <row r="36" spans="1:40" s="203" customFormat="1">
      <c r="A36" s="46">
        <v>9</v>
      </c>
      <c r="B36" s="47" t="s">
        <v>60</v>
      </c>
      <c r="C36" s="47"/>
      <c r="D36" s="48"/>
      <c r="E36" s="49">
        <v>414</v>
      </c>
      <c r="F36" s="52">
        <v>414</v>
      </c>
      <c r="G36" s="43"/>
      <c r="H36" s="52">
        <v>383</v>
      </c>
      <c r="I36" s="21"/>
      <c r="J36" s="231"/>
      <c r="K36" s="231"/>
      <c r="L36" s="231"/>
      <c r="M36" s="231"/>
      <c r="N36" s="231"/>
      <c r="O36" s="231"/>
      <c r="P36" s="231"/>
      <c r="Q36" s="231"/>
      <c r="R36" s="231"/>
      <c r="S36" s="231"/>
      <c r="T36" s="231"/>
      <c r="U36" s="231"/>
      <c r="V36" s="231"/>
      <c r="W36" s="231"/>
      <c r="X36" s="231"/>
      <c r="Y36" s="231"/>
      <c r="Z36" s="231"/>
      <c r="AA36" s="231"/>
      <c r="AB36" s="231"/>
      <c r="AC36" s="231"/>
      <c r="AD36" s="231"/>
      <c r="AE36" s="231"/>
      <c r="AF36" s="231"/>
      <c r="AG36" s="231"/>
      <c r="AH36" s="231"/>
      <c r="AI36" s="231"/>
      <c r="AJ36" s="231"/>
      <c r="AK36" s="231"/>
      <c r="AL36" s="231"/>
      <c r="AM36" s="231"/>
      <c r="AN36" s="231"/>
    </row>
    <row r="37" spans="1:40" s="203" customFormat="1">
      <c r="A37" s="53">
        <v>10</v>
      </c>
      <c r="B37" s="54" t="s">
        <v>61</v>
      </c>
      <c r="C37" s="54"/>
      <c r="D37" s="55"/>
      <c r="E37" s="56">
        <v>35752.085719034636</v>
      </c>
      <c r="F37" s="57">
        <f>F320</f>
        <v>33620</v>
      </c>
      <c r="G37" s="43"/>
      <c r="H37" s="57">
        <f>H320</f>
        <v>33933</v>
      </c>
      <c r="I37" s="21"/>
      <c r="J37" s="231"/>
      <c r="K37" s="231"/>
      <c r="L37" s="231"/>
      <c r="M37" s="231"/>
      <c r="N37" s="231"/>
      <c r="O37" s="231"/>
      <c r="P37" s="231"/>
      <c r="Q37" s="231"/>
      <c r="R37" s="231"/>
      <c r="S37" s="231"/>
      <c r="T37" s="231"/>
      <c r="U37" s="231"/>
      <c r="V37" s="231"/>
      <c r="W37" s="231"/>
      <c r="X37" s="231"/>
      <c r="Y37" s="231"/>
      <c r="Z37" s="231"/>
      <c r="AA37" s="231"/>
      <c r="AB37" s="231"/>
      <c r="AC37" s="231"/>
      <c r="AD37" s="231"/>
      <c r="AE37" s="231"/>
      <c r="AF37" s="231"/>
      <c r="AG37" s="231"/>
      <c r="AH37" s="231"/>
      <c r="AI37" s="231"/>
      <c r="AJ37" s="231"/>
      <c r="AK37" s="231"/>
      <c r="AL37" s="231"/>
      <c r="AM37" s="231"/>
      <c r="AN37" s="231"/>
    </row>
    <row r="38" spans="1:40" s="203" customFormat="1">
      <c r="A38" s="33">
        <v>11</v>
      </c>
      <c r="B38" s="58" t="s">
        <v>62</v>
      </c>
      <c r="C38" s="58"/>
      <c r="D38" s="59"/>
      <c r="E38" s="60">
        <v>347523.08571903466</v>
      </c>
      <c r="F38" s="61">
        <f>SUM(F28:F37)</f>
        <v>351894</v>
      </c>
      <c r="G38" s="43"/>
      <c r="H38" s="61">
        <f>SUM(H28:H37)</f>
        <v>356374</v>
      </c>
      <c r="I38" s="68"/>
      <c r="J38" s="231"/>
      <c r="K38" s="231"/>
      <c r="L38" s="231"/>
      <c r="M38" s="231"/>
      <c r="N38" s="231"/>
      <c r="O38" s="231"/>
      <c r="P38" s="231"/>
      <c r="Q38" s="231"/>
      <c r="R38" s="231"/>
      <c r="S38" s="231"/>
      <c r="T38" s="231"/>
      <c r="U38" s="231"/>
      <c r="V38" s="231"/>
      <c r="W38" s="231"/>
      <c r="X38" s="231"/>
      <c r="Y38" s="231"/>
      <c r="Z38" s="231"/>
      <c r="AA38" s="231"/>
      <c r="AB38" s="231"/>
      <c r="AC38" s="231"/>
      <c r="AD38" s="231"/>
      <c r="AE38" s="231"/>
      <c r="AF38" s="231"/>
      <c r="AG38" s="231"/>
      <c r="AH38" s="231"/>
      <c r="AI38" s="231"/>
      <c r="AJ38" s="231"/>
      <c r="AK38" s="231"/>
      <c r="AL38" s="231"/>
      <c r="AM38" s="231"/>
      <c r="AN38" s="231"/>
    </row>
    <row r="39" spans="1:40" s="203" customFormat="1" ht="12.75" customHeight="1">
      <c r="A39" s="63"/>
      <c r="B39" s="64"/>
      <c r="C39" s="64"/>
      <c r="D39" s="65"/>
      <c r="E39" s="66"/>
      <c r="F39" s="67"/>
      <c r="G39" s="21"/>
      <c r="H39" s="67"/>
      <c r="I39" s="68"/>
      <c r="J39" s="231"/>
      <c r="K39" s="231"/>
      <c r="L39" s="231"/>
      <c r="M39" s="231"/>
      <c r="N39" s="231"/>
      <c r="O39" s="231"/>
      <c r="P39" s="231"/>
      <c r="Q39" s="231"/>
      <c r="R39" s="231"/>
      <c r="S39" s="231"/>
      <c r="T39" s="231"/>
      <c r="U39" s="231"/>
      <c r="V39" s="231"/>
      <c r="W39" s="231"/>
      <c r="X39" s="231"/>
      <c r="Y39" s="231"/>
      <c r="Z39" s="231"/>
      <c r="AA39" s="231"/>
      <c r="AB39" s="231"/>
      <c r="AC39" s="231"/>
      <c r="AD39" s="231"/>
      <c r="AE39" s="231"/>
      <c r="AF39" s="231"/>
      <c r="AG39" s="231"/>
      <c r="AH39" s="231"/>
      <c r="AI39" s="231"/>
      <c r="AJ39" s="231"/>
      <c r="AK39" s="231"/>
      <c r="AL39" s="231"/>
      <c r="AM39" s="231"/>
      <c r="AN39" s="231"/>
    </row>
    <row r="40" spans="1:40" s="203" customFormat="1" ht="12.75" customHeight="1">
      <c r="A40" s="893" t="s">
        <v>63</v>
      </c>
      <c r="B40" s="894"/>
      <c r="C40" s="894"/>
      <c r="D40" s="895"/>
      <c r="E40" s="878" t="s">
        <v>376</v>
      </c>
      <c r="F40" s="856" t="s">
        <v>407</v>
      </c>
      <c r="G40" s="36"/>
      <c r="H40" s="878" t="s">
        <v>406</v>
      </c>
      <c r="I40" s="43"/>
      <c r="J40" s="231"/>
      <c r="K40" s="231"/>
      <c r="L40" s="231"/>
      <c r="M40" s="231"/>
      <c r="N40" s="231"/>
      <c r="O40" s="231"/>
      <c r="P40" s="231"/>
      <c r="Q40" s="231"/>
      <c r="R40" s="231"/>
      <c r="S40" s="231"/>
      <c r="T40" s="231"/>
      <c r="U40" s="231"/>
      <c r="V40" s="231"/>
      <c r="W40" s="231"/>
      <c r="X40" s="231"/>
      <c r="Y40" s="231"/>
      <c r="Z40" s="231"/>
      <c r="AA40" s="231"/>
      <c r="AB40" s="231"/>
      <c r="AC40" s="231"/>
      <c r="AD40" s="231"/>
      <c r="AE40" s="231"/>
      <c r="AF40" s="231"/>
      <c r="AG40" s="231"/>
      <c r="AH40" s="231"/>
      <c r="AI40" s="231"/>
      <c r="AJ40" s="231"/>
      <c r="AK40" s="231"/>
      <c r="AL40" s="231"/>
      <c r="AM40" s="231"/>
      <c r="AN40" s="231"/>
    </row>
    <row r="41" spans="1:40" s="203" customFormat="1" ht="27.75" customHeight="1">
      <c r="A41" s="876"/>
      <c r="B41" s="877"/>
      <c r="C41" s="877"/>
      <c r="D41" s="896"/>
      <c r="E41" s="879"/>
      <c r="F41" s="860"/>
      <c r="G41" s="23"/>
      <c r="H41" s="879"/>
      <c r="I41" s="43"/>
      <c r="J41" s="231"/>
      <c r="K41" s="231"/>
      <c r="L41" s="231"/>
      <c r="M41" s="231"/>
      <c r="N41" s="231"/>
      <c r="O41" s="231"/>
      <c r="P41" s="231"/>
      <c r="Q41" s="231"/>
      <c r="R41" s="231"/>
      <c r="S41" s="231"/>
      <c r="T41" s="231"/>
      <c r="U41" s="231"/>
      <c r="V41" s="231"/>
      <c r="W41" s="231"/>
      <c r="X41" s="231"/>
      <c r="Y41" s="231"/>
      <c r="Z41" s="231"/>
      <c r="AA41" s="231"/>
      <c r="AB41" s="231"/>
      <c r="AC41" s="231"/>
      <c r="AD41" s="231"/>
      <c r="AE41" s="231"/>
      <c r="AF41" s="231"/>
      <c r="AG41" s="231"/>
      <c r="AH41" s="231"/>
      <c r="AI41" s="231"/>
      <c r="AJ41" s="231"/>
      <c r="AK41" s="231"/>
      <c r="AL41" s="231"/>
      <c r="AM41" s="231"/>
      <c r="AN41" s="231"/>
    </row>
    <row r="42" spans="1:40" s="203" customFormat="1">
      <c r="A42" s="732" t="s">
        <v>64</v>
      </c>
      <c r="B42" s="69" t="s">
        <v>65</v>
      </c>
      <c r="C42" s="69"/>
      <c r="D42" s="70"/>
      <c r="E42" s="71"/>
      <c r="F42" s="72" t="str">
        <f>IF(OR(F43&lt;0,F44&lt;0,F47&lt;0,F48&lt;0,H43&lt;0,H44&lt;0,H47&lt;0,H48&lt;0),"Funding should be recorded as positive figures",".")</f>
        <v>.</v>
      </c>
      <c r="G42" s="45"/>
      <c r="H42" s="73"/>
      <c r="I42" s="43"/>
      <c r="J42" s="231"/>
      <c r="K42" s="231"/>
      <c r="L42" s="231"/>
      <c r="M42" s="231"/>
      <c r="N42" s="231"/>
      <c r="O42" s="231"/>
      <c r="P42" s="231"/>
      <c r="Q42" s="231"/>
      <c r="R42" s="231"/>
      <c r="S42" s="231"/>
      <c r="T42" s="231"/>
      <c r="U42" s="231"/>
      <c r="V42" s="231"/>
      <c r="W42" s="231"/>
      <c r="X42" s="231"/>
      <c r="Y42" s="231"/>
      <c r="Z42" s="231"/>
      <c r="AA42" s="231"/>
      <c r="AB42" s="231"/>
      <c r="AC42" s="231"/>
      <c r="AD42" s="231"/>
      <c r="AE42" s="231"/>
      <c r="AF42" s="231"/>
      <c r="AG42" s="231"/>
      <c r="AH42" s="231"/>
      <c r="AI42" s="231"/>
      <c r="AJ42" s="231"/>
      <c r="AK42" s="231"/>
      <c r="AL42" s="231"/>
      <c r="AM42" s="231"/>
      <c r="AN42" s="231"/>
    </row>
    <row r="43" spans="1:40" s="203" customFormat="1">
      <c r="A43" s="46">
        <v>1</v>
      </c>
      <c r="B43" s="47" t="s">
        <v>66</v>
      </c>
      <c r="C43" s="47"/>
      <c r="D43" s="48"/>
      <c r="E43" s="74">
        <v>229044</v>
      </c>
      <c r="F43" s="241">
        <v>232528</v>
      </c>
      <c r="G43" s="45"/>
      <c r="H43" s="75">
        <v>220963</v>
      </c>
      <c r="I43" s="43"/>
      <c r="J43" s="231"/>
      <c r="K43" s="231"/>
      <c r="L43" s="231"/>
      <c r="M43" s="231"/>
      <c r="N43" s="231"/>
      <c r="O43" s="231"/>
      <c r="P43" s="231"/>
      <c r="Q43" s="231"/>
      <c r="R43" s="231"/>
      <c r="S43" s="231"/>
      <c r="T43" s="231"/>
      <c r="U43" s="231"/>
      <c r="V43" s="231"/>
      <c r="W43" s="231"/>
      <c r="X43" s="231"/>
      <c r="Y43" s="231"/>
      <c r="Z43" s="231"/>
      <c r="AA43" s="231"/>
      <c r="AB43" s="231"/>
      <c r="AC43" s="231"/>
      <c r="AD43" s="231"/>
      <c r="AE43" s="231"/>
      <c r="AF43" s="231"/>
      <c r="AG43" s="231"/>
      <c r="AH43" s="231"/>
      <c r="AI43" s="231"/>
      <c r="AJ43" s="231"/>
      <c r="AK43" s="231"/>
      <c r="AL43" s="231"/>
      <c r="AM43" s="231"/>
      <c r="AN43" s="231"/>
    </row>
    <row r="44" spans="1:40" s="203" customFormat="1">
      <c r="A44" s="46">
        <v>2</v>
      </c>
      <c r="B44" s="47" t="s">
        <v>67</v>
      </c>
      <c r="C44" s="47"/>
      <c r="D44" s="48"/>
      <c r="E44" s="49">
        <v>55553</v>
      </c>
      <c r="F44" s="241">
        <v>55553</v>
      </c>
      <c r="G44" s="45"/>
      <c r="H44" s="75">
        <v>64307</v>
      </c>
      <c r="I44" s="43"/>
      <c r="J44" s="231"/>
      <c r="K44" s="231"/>
      <c r="L44" s="231"/>
      <c r="M44" s="231"/>
      <c r="N44" s="231"/>
      <c r="O44" s="231"/>
      <c r="P44" s="231"/>
      <c r="Q44" s="231"/>
      <c r="R44" s="231"/>
      <c r="S44" s="231"/>
      <c r="T44" s="231"/>
      <c r="U44" s="231"/>
      <c r="V44" s="231"/>
      <c r="W44" s="231"/>
      <c r="X44" s="231"/>
      <c r="Y44" s="231"/>
      <c r="Z44" s="231"/>
      <c r="AA44" s="231"/>
      <c r="AB44" s="231"/>
      <c r="AC44" s="231"/>
      <c r="AD44" s="231"/>
      <c r="AE44" s="231"/>
      <c r="AF44" s="231"/>
      <c r="AG44" s="231"/>
      <c r="AH44" s="231"/>
      <c r="AI44" s="231"/>
      <c r="AJ44" s="231"/>
      <c r="AK44" s="231"/>
      <c r="AL44" s="231"/>
      <c r="AM44" s="231"/>
      <c r="AN44" s="231"/>
    </row>
    <row r="45" spans="1:40" s="203" customFormat="1">
      <c r="A45" s="46">
        <v>3</v>
      </c>
      <c r="B45" s="47" t="s">
        <v>68</v>
      </c>
      <c r="C45" s="47"/>
      <c r="D45" s="48"/>
      <c r="E45" s="49">
        <v>0</v>
      </c>
      <c r="F45" s="52">
        <v>0</v>
      </c>
      <c r="G45" s="45"/>
      <c r="H45" s="75">
        <v>0</v>
      </c>
      <c r="I45" s="43"/>
      <c r="J45" s="231"/>
      <c r="K45" s="231"/>
      <c r="L45" s="231"/>
      <c r="M45" s="231"/>
      <c r="N45" s="231"/>
      <c r="O45" s="231"/>
      <c r="P45" s="231"/>
      <c r="Q45" s="231"/>
      <c r="R45" s="231"/>
      <c r="S45" s="231"/>
      <c r="T45" s="231"/>
      <c r="U45" s="231"/>
      <c r="V45" s="231"/>
      <c r="W45" s="231"/>
      <c r="X45" s="231"/>
      <c r="Y45" s="231"/>
      <c r="Z45" s="231"/>
      <c r="AA45" s="231"/>
      <c r="AB45" s="231"/>
      <c r="AC45" s="231"/>
      <c r="AD45" s="231"/>
      <c r="AE45" s="231"/>
      <c r="AF45" s="231"/>
      <c r="AG45" s="231"/>
      <c r="AH45" s="231"/>
      <c r="AI45" s="231"/>
      <c r="AJ45" s="231"/>
      <c r="AK45" s="231"/>
      <c r="AL45" s="231"/>
      <c r="AM45" s="231"/>
      <c r="AN45" s="231"/>
    </row>
    <row r="46" spans="1:40" s="203" customFormat="1">
      <c r="A46" s="46">
        <v>4</v>
      </c>
      <c r="B46" s="47" t="s">
        <v>70</v>
      </c>
      <c r="C46" s="47"/>
      <c r="D46" s="48"/>
      <c r="E46" s="49">
        <v>0</v>
      </c>
      <c r="F46" s="52">
        <v>0</v>
      </c>
      <c r="G46" s="45"/>
      <c r="H46" s="75">
        <v>0</v>
      </c>
      <c r="I46" s="43"/>
      <c r="J46" s="231"/>
      <c r="K46" s="231"/>
      <c r="L46" s="231"/>
      <c r="M46" s="231"/>
      <c r="N46" s="231"/>
      <c r="O46" s="231"/>
      <c r="P46" s="231"/>
      <c r="Q46" s="231"/>
      <c r="R46" s="231"/>
      <c r="S46" s="231"/>
      <c r="T46" s="231"/>
      <c r="U46" s="231"/>
      <c r="V46" s="231"/>
      <c r="W46" s="231"/>
      <c r="X46" s="231"/>
      <c r="Y46" s="231"/>
      <c r="Z46" s="231"/>
      <c r="AA46" s="231"/>
      <c r="AB46" s="231"/>
      <c r="AC46" s="231"/>
      <c r="AD46" s="231"/>
      <c r="AE46" s="231"/>
      <c r="AF46" s="231"/>
      <c r="AG46" s="231"/>
      <c r="AH46" s="231"/>
      <c r="AI46" s="231"/>
      <c r="AJ46" s="231"/>
      <c r="AK46" s="231"/>
      <c r="AL46" s="231"/>
      <c r="AM46" s="231"/>
      <c r="AN46" s="231"/>
    </row>
    <row r="47" spans="1:40" s="203" customFormat="1">
      <c r="A47" s="46">
        <v>5</v>
      </c>
      <c r="B47" s="47" t="s">
        <v>69</v>
      </c>
      <c r="C47" s="47"/>
      <c r="D47" s="48"/>
      <c r="E47" s="49">
        <v>10987</v>
      </c>
      <c r="F47" s="52">
        <v>10468</v>
      </c>
      <c r="G47" s="45"/>
      <c r="H47" s="76">
        <v>17188</v>
      </c>
      <c r="I47" s="43"/>
      <c r="J47" s="231"/>
      <c r="K47" s="231"/>
      <c r="L47" s="231"/>
      <c r="M47" s="231"/>
      <c r="N47" s="231"/>
      <c r="O47" s="231"/>
      <c r="P47" s="231"/>
      <c r="Q47" s="231"/>
      <c r="R47" s="231"/>
      <c r="S47" s="231"/>
      <c r="T47" s="231"/>
      <c r="U47" s="231"/>
      <c r="V47" s="231"/>
      <c r="W47" s="231"/>
      <c r="X47" s="231"/>
      <c r="Y47" s="231"/>
      <c r="Z47" s="231"/>
      <c r="AA47" s="231"/>
      <c r="AB47" s="231"/>
      <c r="AC47" s="231"/>
      <c r="AD47" s="231"/>
      <c r="AE47" s="231"/>
      <c r="AF47" s="231"/>
      <c r="AG47" s="231"/>
      <c r="AH47" s="231"/>
      <c r="AI47" s="231"/>
      <c r="AJ47" s="231"/>
      <c r="AK47" s="231"/>
      <c r="AL47" s="231"/>
      <c r="AM47" s="231"/>
      <c r="AN47" s="231"/>
    </row>
    <row r="48" spans="1:40" s="203" customFormat="1">
      <c r="A48" s="46">
        <v>6</v>
      </c>
      <c r="B48" s="90" t="s">
        <v>253</v>
      </c>
      <c r="C48" s="47"/>
      <c r="D48" s="195"/>
      <c r="E48" s="49">
        <v>51939</v>
      </c>
      <c r="F48" s="52">
        <v>52351</v>
      </c>
      <c r="G48" s="45"/>
      <c r="H48" s="52">
        <v>53916</v>
      </c>
      <c r="I48" s="43"/>
      <c r="J48" s="231"/>
      <c r="K48" s="231"/>
      <c r="L48" s="231"/>
      <c r="M48" s="231"/>
      <c r="N48" s="231"/>
      <c r="O48" s="231"/>
      <c r="P48" s="231"/>
      <c r="Q48" s="231"/>
      <c r="R48" s="231"/>
      <c r="S48" s="231"/>
      <c r="T48" s="231"/>
      <c r="U48" s="231"/>
      <c r="V48" s="231"/>
      <c r="W48" s="231"/>
      <c r="X48" s="231"/>
      <c r="Y48" s="231"/>
      <c r="Z48" s="231"/>
      <c r="AA48" s="231"/>
      <c r="AB48" s="231"/>
      <c r="AC48" s="231"/>
      <c r="AD48" s="231"/>
      <c r="AE48" s="231"/>
      <c r="AF48" s="231"/>
      <c r="AG48" s="231"/>
      <c r="AH48" s="231"/>
      <c r="AI48" s="231"/>
      <c r="AJ48" s="231"/>
      <c r="AK48" s="231"/>
      <c r="AL48" s="231"/>
      <c r="AM48" s="231"/>
      <c r="AN48" s="231"/>
    </row>
    <row r="49" spans="1:40" s="203" customFormat="1">
      <c r="A49" s="77">
        <v>7</v>
      </c>
      <c r="B49" s="78" t="s">
        <v>71</v>
      </c>
      <c r="C49" s="58"/>
      <c r="D49" s="79"/>
      <c r="E49" s="80">
        <v>347523</v>
      </c>
      <c r="F49" s="81">
        <f>SUM(F43:F48)</f>
        <v>350900</v>
      </c>
      <c r="G49" s="82"/>
      <c r="H49" s="62">
        <f>SUM(H43:H48)</f>
        <v>356374</v>
      </c>
      <c r="I49" s="242"/>
      <c r="J49" s="231"/>
      <c r="K49" s="231"/>
      <c r="L49" s="231"/>
      <c r="M49" s="231"/>
      <c r="N49" s="231"/>
      <c r="O49" s="231"/>
      <c r="P49" s="231"/>
      <c r="Q49" s="231"/>
      <c r="R49" s="231"/>
      <c r="S49" s="231"/>
      <c r="T49" s="231"/>
      <c r="U49" s="231"/>
      <c r="V49" s="231"/>
      <c r="W49" s="231"/>
      <c r="X49" s="231"/>
      <c r="Y49" s="231"/>
      <c r="Z49" s="231"/>
      <c r="AA49" s="231"/>
      <c r="AB49" s="231"/>
      <c r="AC49" s="231"/>
      <c r="AD49" s="231"/>
      <c r="AE49" s="231"/>
      <c r="AF49" s="231"/>
      <c r="AG49" s="231"/>
      <c r="AH49" s="231"/>
      <c r="AI49" s="231"/>
      <c r="AJ49" s="231"/>
      <c r="AK49" s="231"/>
      <c r="AL49" s="231"/>
      <c r="AM49" s="231"/>
      <c r="AN49" s="231"/>
    </row>
    <row r="50" spans="1:40" s="203" customFormat="1">
      <c r="A50" s="83"/>
      <c r="B50" s="244"/>
      <c r="C50" s="244"/>
      <c r="D50" s="244"/>
      <c r="E50" s="85"/>
      <c r="F50" s="244"/>
      <c r="G50" s="86"/>
      <c r="H50" s="86"/>
      <c r="I50" s="21"/>
      <c r="J50" s="231"/>
      <c r="K50" s="231"/>
      <c r="L50" s="231"/>
      <c r="M50" s="231"/>
      <c r="N50" s="231"/>
      <c r="O50" s="231"/>
      <c r="P50" s="231"/>
      <c r="Q50" s="231"/>
      <c r="R50" s="231"/>
      <c r="S50" s="231"/>
      <c r="T50" s="231"/>
      <c r="U50" s="231"/>
      <c r="V50" s="231"/>
      <c r="W50" s="231"/>
      <c r="X50" s="231"/>
      <c r="Y50" s="231"/>
      <c r="Z50" s="231"/>
      <c r="AA50" s="231"/>
      <c r="AB50" s="231"/>
      <c r="AC50" s="231"/>
      <c r="AD50" s="231"/>
      <c r="AE50" s="231"/>
      <c r="AF50" s="231"/>
      <c r="AG50" s="231"/>
      <c r="AH50" s="231"/>
      <c r="AI50" s="231"/>
      <c r="AJ50" s="231"/>
      <c r="AK50" s="231"/>
      <c r="AL50" s="231"/>
      <c r="AM50" s="231"/>
      <c r="AN50" s="231"/>
    </row>
    <row r="51" spans="1:40" s="203" customFormat="1">
      <c r="A51" s="732" t="s">
        <v>72</v>
      </c>
      <c r="B51" s="196" t="s">
        <v>254</v>
      </c>
      <c r="C51" s="69"/>
      <c r="D51" s="70"/>
      <c r="E51" s="87"/>
      <c r="F51" s="88"/>
      <c r="G51" s="45"/>
      <c r="H51" s="89"/>
      <c r="I51" s="43"/>
      <c r="J51" s="231"/>
      <c r="K51" s="231"/>
      <c r="L51" s="231"/>
      <c r="M51" s="231"/>
      <c r="N51" s="231"/>
      <c r="O51" s="231"/>
      <c r="P51" s="231"/>
      <c r="Q51" s="231"/>
      <c r="R51" s="231"/>
      <c r="S51" s="231"/>
      <c r="T51" s="231"/>
      <c r="U51" s="231"/>
      <c r="V51" s="231"/>
      <c r="W51" s="231"/>
      <c r="X51" s="231"/>
      <c r="Y51" s="231"/>
      <c r="Z51" s="231"/>
      <c r="AA51" s="231"/>
      <c r="AB51" s="231"/>
      <c r="AC51" s="231"/>
      <c r="AD51" s="231"/>
      <c r="AE51" s="231"/>
      <c r="AF51" s="231"/>
      <c r="AG51" s="231"/>
      <c r="AH51" s="231"/>
      <c r="AI51" s="231"/>
      <c r="AJ51" s="231"/>
      <c r="AK51" s="231"/>
      <c r="AL51" s="231"/>
      <c r="AM51" s="231"/>
      <c r="AN51" s="231"/>
    </row>
    <row r="52" spans="1:40" s="203" customFormat="1">
      <c r="A52" s="46">
        <v>8</v>
      </c>
      <c r="B52" s="90" t="s">
        <v>73</v>
      </c>
      <c r="C52" s="47"/>
      <c r="D52" s="48"/>
      <c r="E52" s="74">
        <v>347523.08571903466</v>
      </c>
      <c r="F52" s="50">
        <f>F38</f>
        <v>351894</v>
      </c>
      <c r="G52" s="45"/>
      <c r="H52" s="91">
        <f>H38</f>
        <v>356374</v>
      </c>
      <c r="I52" s="43"/>
      <c r="J52" s="231"/>
      <c r="K52" s="231"/>
      <c r="L52" s="231"/>
      <c r="M52" s="231"/>
      <c r="N52" s="231"/>
      <c r="O52" s="231"/>
      <c r="P52" s="231"/>
      <c r="Q52" s="231"/>
      <c r="R52" s="231"/>
      <c r="S52" s="231"/>
      <c r="T52" s="231"/>
      <c r="U52" s="231"/>
      <c r="V52" s="231"/>
      <c r="W52" s="231"/>
      <c r="X52" s="231"/>
      <c r="Y52" s="231"/>
      <c r="Z52" s="231"/>
      <c r="AA52" s="231"/>
      <c r="AB52" s="231"/>
      <c r="AC52" s="231"/>
      <c r="AD52" s="231"/>
      <c r="AE52" s="231"/>
      <c r="AF52" s="231"/>
      <c r="AG52" s="231"/>
      <c r="AH52" s="231"/>
      <c r="AI52" s="231"/>
      <c r="AJ52" s="231"/>
      <c r="AK52" s="231"/>
      <c r="AL52" s="231"/>
      <c r="AM52" s="231"/>
      <c r="AN52" s="231"/>
    </row>
    <row r="53" spans="1:40" s="203" customFormat="1">
      <c r="A53" s="46">
        <v>9</v>
      </c>
      <c r="B53" s="90" t="s">
        <v>74</v>
      </c>
      <c r="C53" s="47"/>
      <c r="D53" s="48"/>
      <c r="E53" s="49">
        <v>347523</v>
      </c>
      <c r="F53" s="92">
        <f>F49</f>
        <v>350900</v>
      </c>
      <c r="G53" s="45"/>
      <c r="H53" s="91">
        <f>H49</f>
        <v>356374</v>
      </c>
      <c r="I53" s="43"/>
      <c r="J53" s="231"/>
      <c r="K53" s="231"/>
      <c r="L53" s="231"/>
      <c r="M53" s="231"/>
      <c r="N53" s="231"/>
      <c r="O53" s="231"/>
      <c r="P53" s="231"/>
      <c r="Q53" s="231"/>
      <c r="R53" s="231"/>
      <c r="S53" s="231"/>
      <c r="T53" s="231"/>
      <c r="U53" s="231"/>
      <c r="V53" s="231"/>
      <c r="W53" s="231"/>
      <c r="X53" s="231"/>
      <c r="Y53" s="231"/>
      <c r="Z53" s="231"/>
      <c r="AA53" s="231"/>
      <c r="AB53" s="231"/>
      <c r="AC53" s="231"/>
      <c r="AD53" s="231"/>
      <c r="AE53" s="231"/>
      <c r="AF53" s="231"/>
      <c r="AG53" s="231"/>
      <c r="AH53" s="231"/>
      <c r="AI53" s="231"/>
      <c r="AJ53" s="231"/>
      <c r="AK53" s="231"/>
      <c r="AL53" s="231"/>
      <c r="AM53" s="231"/>
      <c r="AN53" s="231"/>
    </row>
    <row r="54" spans="1:40" s="203" customFormat="1">
      <c r="A54" s="734">
        <v>10</v>
      </c>
      <c r="B54" s="93" t="s">
        <v>255</v>
      </c>
      <c r="C54" s="94"/>
      <c r="D54" s="55"/>
      <c r="E54" s="95">
        <v>-8.5719034657813609E-2</v>
      </c>
      <c r="F54" s="96">
        <f>F53-F52</f>
        <v>-994</v>
      </c>
      <c r="G54" s="45"/>
      <c r="H54" s="97">
        <f>H53-H52</f>
        <v>0</v>
      </c>
      <c r="I54" s="43"/>
      <c r="J54" s="231"/>
      <c r="K54" s="231"/>
      <c r="L54" s="231"/>
      <c r="M54" s="231"/>
      <c r="N54" s="231"/>
      <c r="O54" s="231"/>
      <c r="P54" s="231"/>
      <c r="Q54" s="231"/>
      <c r="R54" s="231"/>
      <c r="S54" s="231"/>
      <c r="T54" s="231"/>
      <c r="U54" s="231"/>
      <c r="V54" s="231"/>
      <c r="W54" s="231"/>
      <c r="X54" s="231"/>
      <c r="Y54" s="231"/>
      <c r="Z54" s="231"/>
      <c r="AA54" s="231"/>
      <c r="AB54" s="231"/>
      <c r="AC54" s="231"/>
      <c r="AD54" s="231"/>
      <c r="AE54" s="231"/>
      <c r="AF54" s="231"/>
      <c r="AG54" s="231"/>
      <c r="AH54" s="231"/>
      <c r="AI54" s="231"/>
      <c r="AJ54" s="231"/>
      <c r="AK54" s="231"/>
      <c r="AL54" s="231"/>
      <c r="AM54" s="231"/>
      <c r="AN54" s="231"/>
    </row>
    <row r="55" spans="1:40" s="203" customFormat="1">
      <c r="A55" s="83"/>
      <c r="B55" s="244"/>
      <c r="C55" s="244"/>
      <c r="D55" s="244"/>
      <c r="E55" s="85"/>
      <c r="F55" s="244"/>
      <c r="G55" s="86"/>
      <c r="H55" s="86"/>
      <c r="I55" s="21"/>
      <c r="J55" s="231"/>
      <c r="K55" s="231"/>
      <c r="L55" s="231"/>
      <c r="M55" s="231"/>
      <c r="N55" s="231"/>
      <c r="O55" s="231"/>
      <c r="P55" s="231"/>
      <c r="Q55" s="231"/>
      <c r="R55" s="231"/>
      <c r="S55" s="231"/>
      <c r="T55" s="231"/>
      <c r="U55" s="231"/>
      <c r="V55" s="231"/>
      <c r="W55" s="231"/>
      <c r="X55" s="231"/>
      <c r="Y55" s="231"/>
      <c r="Z55" s="231"/>
      <c r="AA55" s="231"/>
      <c r="AB55" s="231"/>
      <c r="AC55" s="231"/>
      <c r="AD55" s="231"/>
      <c r="AE55" s="231"/>
      <c r="AF55" s="231"/>
      <c r="AG55" s="231"/>
      <c r="AH55" s="231"/>
      <c r="AI55" s="231"/>
      <c r="AJ55" s="231"/>
      <c r="AK55" s="231"/>
      <c r="AL55" s="231"/>
      <c r="AM55" s="231"/>
      <c r="AN55" s="231"/>
    </row>
    <row r="56" spans="1:40" s="203" customFormat="1">
      <c r="A56" s="732" t="s">
        <v>75</v>
      </c>
      <c r="B56" s="69" t="s">
        <v>256</v>
      </c>
      <c r="C56" s="69"/>
      <c r="D56" s="70"/>
      <c r="E56" s="87"/>
      <c r="F56" s="88"/>
      <c r="G56" s="45"/>
      <c r="H56" s="89"/>
      <c r="I56" s="43"/>
      <c r="J56" s="231"/>
      <c r="K56" s="231"/>
      <c r="L56" s="231"/>
      <c r="M56" s="231"/>
      <c r="N56" s="231"/>
      <c r="O56" s="231"/>
      <c r="P56" s="231"/>
      <c r="Q56" s="231"/>
      <c r="R56" s="231"/>
      <c r="S56" s="231"/>
      <c r="T56" s="231"/>
      <c r="U56" s="231"/>
      <c r="V56" s="231"/>
      <c r="W56" s="231"/>
      <c r="X56" s="231"/>
      <c r="Y56" s="231"/>
      <c r="Z56" s="231"/>
      <c r="AA56" s="231"/>
      <c r="AB56" s="231"/>
      <c r="AC56" s="231"/>
      <c r="AD56" s="231"/>
      <c r="AE56" s="231"/>
      <c r="AF56" s="231"/>
      <c r="AG56" s="231"/>
      <c r="AH56" s="231"/>
      <c r="AI56" s="231"/>
      <c r="AJ56" s="231"/>
      <c r="AK56" s="231"/>
      <c r="AL56" s="231"/>
      <c r="AM56" s="231"/>
      <c r="AN56" s="231"/>
    </row>
    <row r="57" spans="1:40" s="203" customFormat="1">
      <c r="A57" s="46">
        <v>11</v>
      </c>
      <c r="B57" s="47" t="s">
        <v>76</v>
      </c>
      <c r="C57" s="47"/>
      <c r="D57" s="48"/>
      <c r="E57" s="74">
        <v>11099</v>
      </c>
      <c r="F57" s="52">
        <v>11227</v>
      </c>
      <c r="G57" s="45"/>
      <c r="H57" s="91">
        <f>F61</f>
        <v>9293</v>
      </c>
      <c r="I57" s="43"/>
      <c r="J57" s="231"/>
      <c r="K57" s="231"/>
      <c r="L57" s="231"/>
      <c r="M57" s="231"/>
      <c r="N57" s="231"/>
      <c r="O57" s="231"/>
      <c r="P57" s="231"/>
      <c r="Q57" s="231"/>
      <c r="R57" s="231"/>
      <c r="S57" s="231"/>
      <c r="T57" s="231"/>
      <c r="U57" s="231"/>
      <c r="V57" s="231"/>
      <c r="W57" s="231"/>
      <c r="X57" s="231"/>
      <c r="Y57" s="231"/>
      <c r="Z57" s="231"/>
      <c r="AA57" s="231"/>
      <c r="AB57" s="231"/>
      <c r="AC57" s="231"/>
      <c r="AD57" s="231"/>
      <c r="AE57" s="231"/>
      <c r="AF57" s="231"/>
      <c r="AG57" s="231"/>
      <c r="AH57" s="231"/>
      <c r="AI57" s="231"/>
      <c r="AJ57" s="231"/>
      <c r="AK57" s="231"/>
      <c r="AL57" s="231"/>
      <c r="AM57" s="231"/>
      <c r="AN57" s="231"/>
    </row>
    <row r="58" spans="1:40" s="203" customFormat="1">
      <c r="A58" s="46">
        <v>12</v>
      </c>
      <c r="B58" s="90" t="s">
        <v>257</v>
      </c>
      <c r="C58" s="47"/>
      <c r="D58" s="48"/>
      <c r="E58" s="49">
        <v>-8.5719034657813609E-2</v>
      </c>
      <c r="F58" s="92">
        <f>F54</f>
        <v>-994</v>
      </c>
      <c r="G58" s="45"/>
      <c r="H58" s="98">
        <f>H54</f>
        <v>0</v>
      </c>
      <c r="I58" s="43"/>
      <c r="J58" s="231"/>
      <c r="K58" s="231"/>
      <c r="L58" s="231"/>
      <c r="M58" s="231"/>
      <c r="N58" s="231"/>
      <c r="O58" s="231"/>
      <c r="P58" s="231"/>
      <c r="Q58" s="231"/>
      <c r="R58" s="231"/>
      <c r="S58" s="231"/>
      <c r="T58" s="231"/>
      <c r="U58" s="231"/>
      <c r="V58" s="231"/>
      <c r="W58" s="231"/>
      <c r="X58" s="231"/>
      <c r="Y58" s="231"/>
      <c r="Z58" s="231"/>
      <c r="AA58" s="231"/>
      <c r="AB58" s="231"/>
      <c r="AC58" s="231"/>
      <c r="AD58" s="231"/>
      <c r="AE58" s="231"/>
      <c r="AF58" s="231"/>
      <c r="AG58" s="231"/>
      <c r="AH58" s="231"/>
      <c r="AI58" s="231"/>
      <c r="AJ58" s="231"/>
      <c r="AK58" s="231"/>
      <c r="AL58" s="231"/>
      <c r="AM58" s="231"/>
      <c r="AN58" s="231"/>
    </row>
    <row r="59" spans="1:40" s="203" customFormat="1">
      <c r="A59" s="46">
        <v>13</v>
      </c>
      <c r="B59" s="47" t="s">
        <v>77</v>
      </c>
      <c r="C59" s="47"/>
      <c r="D59" s="48"/>
      <c r="E59" s="49">
        <v>0</v>
      </c>
      <c r="F59" s="52">
        <v>0</v>
      </c>
      <c r="G59" s="45"/>
      <c r="H59" s="99">
        <v>0</v>
      </c>
      <c r="I59" s="43"/>
      <c r="J59" s="231"/>
      <c r="K59" s="231"/>
      <c r="L59" s="231"/>
      <c r="M59" s="231"/>
      <c r="N59" s="231"/>
      <c r="O59" s="231"/>
      <c r="P59" s="231"/>
      <c r="Q59" s="231"/>
      <c r="R59" s="231"/>
      <c r="S59" s="231"/>
      <c r="T59" s="231"/>
      <c r="U59" s="231"/>
      <c r="V59" s="231"/>
      <c r="W59" s="231"/>
      <c r="X59" s="231"/>
      <c r="Y59" s="231"/>
      <c r="Z59" s="231"/>
      <c r="AA59" s="231"/>
      <c r="AB59" s="231"/>
      <c r="AC59" s="231"/>
      <c r="AD59" s="231"/>
      <c r="AE59" s="231"/>
      <c r="AF59" s="231"/>
      <c r="AG59" s="231"/>
      <c r="AH59" s="231"/>
      <c r="AI59" s="231"/>
      <c r="AJ59" s="231"/>
      <c r="AK59" s="231"/>
      <c r="AL59" s="231"/>
      <c r="AM59" s="231"/>
      <c r="AN59" s="231"/>
    </row>
    <row r="60" spans="1:40" s="203" customFormat="1">
      <c r="A60" s="46">
        <v>14</v>
      </c>
      <c r="B60" s="47" t="s">
        <v>78</v>
      </c>
      <c r="C60" s="47"/>
      <c r="D60" s="48"/>
      <c r="E60" s="49">
        <v>0</v>
      </c>
      <c r="F60" s="52">
        <f>1360-1100-1200</f>
        <v>-940</v>
      </c>
      <c r="G60" s="45"/>
      <c r="H60" s="100">
        <v>0</v>
      </c>
      <c r="I60" s="43"/>
      <c r="J60" s="231"/>
      <c r="K60" s="231"/>
      <c r="L60" s="231"/>
      <c r="M60" s="231"/>
      <c r="N60" s="231"/>
      <c r="O60" s="231"/>
      <c r="P60" s="231"/>
      <c r="Q60" s="231"/>
      <c r="R60" s="231"/>
      <c r="S60" s="231"/>
      <c r="T60" s="231"/>
      <c r="U60" s="231"/>
      <c r="V60" s="231"/>
      <c r="W60" s="231"/>
      <c r="X60" s="231"/>
      <c r="Y60" s="231"/>
      <c r="Z60" s="231"/>
      <c r="AA60" s="231"/>
      <c r="AB60" s="231"/>
      <c r="AC60" s="231"/>
      <c r="AD60" s="231"/>
      <c r="AE60" s="231"/>
      <c r="AF60" s="231"/>
      <c r="AG60" s="231"/>
      <c r="AH60" s="231"/>
      <c r="AI60" s="231"/>
      <c r="AJ60" s="231"/>
      <c r="AK60" s="231"/>
      <c r="AL60" s="231"/>
      <c r="AM60" s="231"/>
      <c r="AN60" s="231"/>
    </row>
    <row r="61" spans="1:40" s="203" customFormat="1">
      <c r="A61" s="53">
        <v>15</v>
      </c>
      <c r="B61" s="54" t="s">
        <v>79</v>
      </c>
      <c r="C61" s="54"/>
      <c r="D61" s="55"/>
      <c r="E61" s="56">
        <v>11098.914280965342</v>
      </c>
      <c r="F61" s="96">
        <f>F57+F58+F59+F60</f>
        <v>9293</v>
      </c>
      <c r="G61" s="45"/>
      <c r="H61" s="101">
        <f>H57+H58+H59+H60</f>
        <v>9293</v>
      </c>
      <c r="I61" s="43"/>
      <c r="J61" s="231"/>
      <c r="K61" s="231"/>
      <c r="L61" s="231"/>
      <c r="M61" s="231"/>
      <c r="N61" s="231"/>
      <c r="O61" s="231"/>
      <c r="P61" s="231"/>
      <c r="Q61" s="231"/>
      <c r="R61" s="231"/>
      <c r="S61" s="231"/>
      <c r="T61" s="231"/>
      <c r="U61" s="231"/>
      <c r="V61" s="231"/>
      <c r="W61" s="231"/>
      <c r="X61" s="231"/>
      <c r="Y61" s="231"/>
      <c r="Z61" s="231"/>
      <c r="AA61" s="231"/>
      <c r="AB61" s="231"/>
      <c r="AC61" s="231"/>
      <c r="AD61" s="231"/>
      <c r="AE61" s="231"/>
      <c r="AF61" s="231"/>
      <c r="AG61" s="231"/>
      <c r="AH61" s="231"/>
      <c r="AI61" s="231"/>
      <c r="AJ61" s="231"/>
      <c r="AK61" s="231"/>
      <c r="AL61" s="231"/>
      <c r="AM61" s="231"/>
      <c r="AN61" s="231"/>
    </row>
    <row r="62" spans="1:40" s="203" customFormat="1">
      <c r="A62" s="102"/>
      <c r="B62" s="207"/>
      <c r="C62" s="207"/>
      <c r="D62" s="207"/>
      <c r="E62" s="103"/>
      <c r="F62" s="21"/>
      <c r="G62" s="21"/>
      <c r="H62" s="21"/>
      <c r="I62" s="21"/>
      <c r="J62" s="231"/>
      <c r="K62" s="231"/>
      <c r="L62" s="231"/>
      <c r="M62" s="231"/>
      <c r="N62" s="231"/>
      <c r="O62" s="231"/>
      <c r="P62" s="231"/>
      <c r="Q62" s="231"/>
      <c r="R62" s="231"/>
      <c r="S62" s="231"/>
      <c r="T62" s="231"/>
      <c r="U62" s="231"/>
      <c r="V62" s="231"/>
      <c r="W62" s="231"/>
      <c r="X62" s="231"/>
      <c r="Y62" s="231"/>
      <c r="Z62" s="231"/>
      <c r="AA62" s="231"/>
      <c r="AB62" s="231"/>
      <c r="AC62" s="231"/>
      <c r="AD62" s="231"/>
      <c r="AE62" s="231"/>
      <c r="AF62" s="231"/>
      <c r="AG62" s="231"/>
      <c r="AH62" s="231"/>
      <c r="AI62" s="231"/>
      <c r="AJ62" s="231"/>
      <c r="AK62" s="231"/>
      <c r="AL62" s="231"/>
      <c r="AM62" s="231"/>
      <c r="AN62" s="231"/>
    </row>
    <row r="63" spans="1:40" s="203" customFormat="1" ht="12.75" customHeight="1">
      <c r="A63" s="23"/>
      <c r="B63" s="207"/>
      <c r="C63" s="207"/>
      <c r="D63" s="207"/>
      <c r="E63" s="15"/>
      <c r="F63" s="207"/>
      <c r="G63" s="207"/>
      <c r="H63" s="21"/>
      <c r="I63" s="21"/>
      <c r="J63" s="231"/>
      <c r="K63" s="231"/>
      <c r="L63" s="231"/>
      <c r="M63" s="231"/>
      <c r="N63" s="231"/>
      <c r="O63" s="231"/>
      <c r="P63" s="231"/>
      <c r="Q63" s="231"/>
      <c r="R63" s="231"/>
      <c r="S63" s="231"/>
      <c r="T63" s="231"/>
      <c r="U63" s="231"/>
      <c r="V63" s="231"/>
      <c r="W63" s="231"/>
      <c r="X63" s="231"/>
      <c r="Y63" s="231"/>
      <c r="Z63" s="231"/>
      <c r="AA63" s="231"/>
      <c r="AB63" s="231"/>
      <c r="AC63" s="231"/>
      <c r="AD63" s="231"/>
      <c r="AE63" s="231"/>
      <c r="AF63" s="231"/>
      <c r="AG63" s="231"/>
      <c r="AH63" s="231"/>
      <c r="AI63" s="231"/>
      <c r="AJ63" s="231"/>
      <c r="AK63" s="231"/>
      <c r="AL63" s="231"/>
      <c r="AM63" s="231"/>
      <c r="AN63" s="231"/>
    </row>
    <row r="64" spans="1:40" s="203" customFormat="1" ht="15">
      <c r="A64" s="104" t="s">
        <v>80</v>
      </c>
      <c r="B64" s="29"/>
      <c r="C64" s="29"/>
      <c r="D64" s="29"/>
      <c r="E64" s="15"/>
      <c r="F64" s="29"/>
      <c r="G64" s="29"/>
      <c r="H64" s="29"/>
      <c r="I64" s="29"/>
      <c r="J64" s="231"/>
      <c r="K64" s="231"/>
      <c r="L64" s="231"/>
      <c r="M64" s="231"/>
      <c r="N64" s="231"/>
      <c r="O64" s="231"/>
      <c r="P64" s="231"/>
      <c r="Q64" s="231"/>
      <c r="R64" s="231"/>
      <c r="S64" s="231"/>
      <c r="T64" s="231"/>
      <c r="U64" s="231"/>
      <c r="V64" s="231"/>
      <c r="W64" s="231"/>
      <c r="X64" s="231"/>
      <c r="Y64" s="231"/>
      <c r="Z64" s="231"/>
      <c r="AA64" s="231"/>
      <c r="AB64" s="231"/>
      <c r="AC64" s="231"/>
      <c r="AD64" s="231"/>
      <c r="AE64" s="231"/>
      <c r="AF64" s="231"/>
      <c r="AG64" s="231"/>
      <c r="AH64" s="231"/>
      <c r="AI64" s="231"/>
      <c r="AJ64" s="231"/>
      <c r="AK64" s="231"/>
      <c r="AL64" s="231"/>
      <c r="AM64" s="231"/>
      <c r="AN64" s="231"/>
    </row>
    <row r="65" spans="1:40" s="203" customFormat="1">
      <c r="A65" s="32"/>
      <c r="B65" s="29"/>
      <c r="C65" s="29"/>
      <c r="D65" s="29"/>
      <c r="E65" s="105"/>
      <c r="F65" s="29"/>
      <c r="G65" s="29"/>
      <c r="H65" s="29"/>
      <c r="I65" s="131" t="s">
        <v>27</v>
      </c>
      <c r="J65" s="231"/>
      <c r="K65" s="231"/>
      <c r="L65" s="231"/>
      <c r="M65" s="231"/>
      <c r="N65" s="231"/>
      <c r="O65" s="231"/>
      <c r="P65" s="231"/>
      <c r="Q65" s="231"/>
      <c r="R65" s="231"/>
      <c r="S65" s="231"/>
      <c r="T65" s="231"/>
      <c r="U65" s="231"/>
      <c r="V65" s="231"/>
      <c r="W65" s="231"/>
      <c r="X65" s="231"/>
      <c r="Y65" s="231"/>
      <c r="Z65" s="231"/>
      <c r="AA65" s="231"/>
      <c r="AB65" s="231"/>
      <c r="AC65" s="231"/>
      <c r="AD65" s="231"/>
      <c r="AE65" s="231"/>
      <c r="AF65" s="231"/>
      <c r="AG65" s="231"/>
      <c r="AH65" s="231"/>
      <c r="AI65" s="231"/>
      <c r="AJ65" s="231"/>
      <c r="AK65" s="231"/>
      <c r="AL65" s="231"/>
      <c r="AM65" s="231"/>
      <c r="AN65" s="231"/>
    </row>
    <row r="66" spans="1:40" s="203" customFormat="1">
      <c r="A66" s="106" t="s">
        <v>14</v>
      </c>
      <c r="B66" s="107"/>
      <c r="C66" s="107"/>
      <c r="D66" s="107"/>
      <c r="E66" s="856" t="s">
        <v>377</v>
      </c>
      <c r="F66" s="962" t="s">
        <v>402</v>
      </c>
      <c r="G66" s="867" t="s">
        <v>81</v>
      </c>
      <c r="H66" s="962" t="s">
        <v>403</v>
      </c>
      <c r="I66" s="867" t="s">
        <v>81</v>
      </c>
      <c r="J66" s="231"/>
      <c r="K66" s="231"/>
      <c r="L66" s="231"/>
      <c r="M66" s="231"/>
      <c r="N66" s="231"/>
      <c r="O66" s="231"/>
      <c r="P66" s="231"/>
      <c r="Q66" s="231"/>
      <c r="R66" s="231"/>
      <c r="S66" s="231"/>
      <c r="T66" s="231"/>
      <c r="U66" s="231"/>
      <c r="V66" s="231"/>
      <c r="W66" s="231"/>
      <c r="X66" s="231"/>
      <c r="Y66" s="231"/>
      <c r="Z66" s="231"/>
      <c r="AA66" s="231"/>
      <c r="AB66" s="231"/>
      <c r="AC66" s="231"/>
      <c r="AD66" s="231"/>
      <c r="AE66" s="231"/>
      <c r="AF66" s="231"/>
      <c r="AG66" s="231"/>
      <c r="AH66" s="231"/>
      <c r="AI66" s="231"/>
      <c r="AJ66" s="231"/>
      <c r="AK66" s="231"/>
      <c r="AL66" s="231"/>
      <c r="AM66" s="231"/>
      <c r="AN66" s="231"/>
    </row>
    <row r="67" spans="1:40" s="203" customFormat="1" ht="21" customHeight="1">
      <c r="A67" s="108"/>
      <c r="B67" s="47"/>
      <c r="C67" s="47"/>
      <c r="D67" s="47"/>
      <c r="E67" s="859"/>
      <c r="F67" s="963"/>
      <c r="G67" s="868"/>
      <c r="H67" s="963"/>
      <c r="I67" s="868"/>
      <c r="J67" s="231"/>
      <c r="K67" s="231"/>
      <c r="L67" s="231"/>
      <c r="M67" s="231"/>
      <c r="N67" s="231"/>
      <c r="O67" s="231"/>
      <c r="P67" s="231"/>
      <c r="Q67" s="231"/>
      <c r="R67" s="231"/>
      <c r="S67" s="231"/>
      <c r="T67" s="231"/>
      <c r="U67" s="231"/>
      <c r="V67" s="231"/>
      <c r="W67" s="231"/>
      <c r="X67" s="231"/>
      <c r="Y67" s="231"/>
      <c r="Z67" s="231"/>
      <c r="AA67" s="231"/>
      <c r="AB67" s="231"/>
      <c r="AC67" s="231"/>
      <c r="AD67" s="231"/>
      <c r="AE67" s="231"/>
      <c r="AF67" s="231"/>
      <c r="AG67" s="231"/>
      <c r="AH67" s="231"/>
      <c r="AI67" s="231"/>
      <c r="AJ67" s="231"/>
      <c r="AK67" s="231"/>
      <c r="AL67" s="231"/>
      <c r="AM67" s="231"/>
      <c r="AN67" s="231"/>
    </row>
    <row r="68" spans="1:40" s="203" customFormat="1">
      <c r="A68" s="109" t="s">
        <v>82</v>
      </c>
      <c r="B68" s="47"/>
      <c r="C68" s="47"/>
      <c r="D68" s="47"/>
      <c r="E68" s="859"/>
      <c r="F68" s="963"/>
      <c r="G68" s="868"/>
      <c r="H68" s="963"/>
      <c r="I68" s="868"/>
      <c r="J68" s="231"/>
      <c r="K68" s="231"/>
      <c r="L68" s="231"/>
      <c r="M68" s="231"/>
      <c r="N68" s="231"/>
      <c r="O68" s="231"/>
      <c r="P68" s="231"/>
      <c r="Q68" s="231"/>
      <c r="R68" s="231"/>
      <c r="S68" s="231"/>
      <c r="T68" s="231"/>
      <c r="U68" s="231"/>
      <c r="V68" s="231"/>
      <c r="W68" s="231"/>
      <c r="X68" s="231"/>
      <c r="Y68" s="231"/>
      <c r="Z68" s="231"/>
      <c r="AA68" s="231"/>
      <c r="AB68" s="231"/>
      <c r="AC68" s="231"/>
      <c r="AD68" s="231"/>
      <c r="AE68" s="231"/>
      <c r="AF68" s="231"/>
      <c r="AG68" s="231"/>
      <c r="AH68" s="231"/>
      <c r="AI68" s="231"/>
      <c r="AJ68" s="231"/>
      <c r="AK68" s="231"/>
      <c r="AL68" s="231"/>
      <c r="AM68" s="231"/>
      <c r="AN68" s="231"/>
    </row>
    <row r="69" spans="1:40" s="203" customFormat="1">
      <c r="A69" s="109" t="s">
        <v>83</v>
      </c>
      <c r="B69" s="47"/>
      <c r="C69" s="47"/>
      <c r="D69" s="47"/>
      <c r="E69" s="859"/>
      <c r="F69" s="963"/>
      <c r="G69" s="868"/>
      <c r="H69" s="963"/>
      <c r="I69" s="868"/>
      <c r="J69" s="231"/>
      <c r="K69" s="231"/>
      <c r="L69" s="231"/>
      <c r="M69" s="231"/>
      <c r="N69" s="231"/>
      <c r="O69" s="231"/>
      <c r="P69" s="231"/>
      <c r="Q69" s="231"/>
      <c r="R69" s="231"/>
      <c r="S69" s="231"/>
      <c r="T69" s="231"/>
      <c r="U69" s="231"/>
      <c r="V69" s="231"/>
      <c r="W69" s="231"/>
      <c r="X69" s="231"/>
      <c r="Y69" s="231"/>
      <c r="Z69" s="231"/>
      <c r="AA69" s="231"/>
      <c r="AB69" s="231"/>
      <c r="AC69" s="231"/>
      <c r="AD69" s="231"/>
      <c r="AE69" s="231"/>
      <c r="AF69" s="231"/>
      <c r="AG69" s="231"/>
      <c r="AH69" s="231"/>
      <c r="AI69" s="231"/>
      <c r="AJ69" s="231"/>
      <c r="AK69" s="231"/>
      <c r="AL69" s="231"/>
      <c r="AM69" s="231"/>
      <c r="AN69" s="231"/>
    </row>
    <row r="70" spans="1:40" s="203" customFormat="1">
      <c r="A70" s="110" t="s">
        <v>84</v>
      </c>
      <c r="B70" s="47"/>
      <c r="C70" s="47"/>
      <c r="D70" s="47"/>
      <c r="E70" s="860"/>
      <c r="F70" s="964"/>
      <c r="G70" s="869"/>
      <c r="H70" s="964"/>
      <c r="I70" s="869"/>
      <c r="J70" s="231"/>
      <c r="K70" s="231"/>
      <c r="L70" s="231"/>
      <c r="M70" s="231"/>
      <c r="N70" s="231"/>
      <c r="O70" s="231"/>
      <c r="P70" s="231"/>
      <c r="Q70" s="231"/>
      <c r="R70" s="231"/>
      <c r="S70" s="231"/>
      <c r="T70" s="231"/>
      <c r="U70" s="231"/>
      <c r="V70" s="231"/>
      <c r="W70" s="231"/>
      <c r="X70" s="231"/>
      <c r="Y70" s="231"/>
      <c r="Z70" s="231"/>
      <c r="AA70" s="231"/>
      <c r="AB70" s="231"/>
      <c r="AC70" s="231"/>
      <c r="AD70" s="231"/>
      <c r="AE70" s="231"/>
      <c r="AF70" s="231"/>
      <c r="AG70" s="231"/>
      <c r="AH70" s="231"/>
      <c r="AI70" s="231"/>
      <c r="AJ70" s="231"/>
      <c r="AK70" s="231"/>
      <c r="AL70" s="231"/>
      <c r="AM70" s="231"/>
      <c r="AN70" s="231"/>
    </row>
    <row r="71" spans="1:40" s="203" customFormat="1">
      <c r="A71" s="111">
        <v>1</v>
      </c>
      <c r="B71" s="47" t="s">
        <v>85</v>
      </c>
      <c r="C71" s="47"/>
      <c r="D71" s="47"/>
      <c r="E71" s="41">
        <v>13527</v>
      </c>
      <c r="F71" s="247">
        <v>12397</v>
      </c>
      <c r="G71" s="112">
        <v>8402</v>
      </c>
      <c r="H71" s="248">
        <v>21514</v>
      </c>
      <c r="I71" s="112">
        <v>8888</v>
      </c>
      <c r="J71" s="231"/>
      <c r="K71" s="231"/>
      <c r="L71" s="231"/>
      <c r="M71" s="231"/>
      <c r="N71" s="231"/>
      <c r="O71" s="231"/>
      <c r="P71" s="231"/>
      <c r="Q71" s="231"/>
      <c r="R71" s="231"/>
      <c r="S71" s="231"/>
      <c r="T71" s="231"/>
      <c r="U71" s="231"/>
      <c r="V71" s="231"/>
      <c r="W71" s="231"/>
      <c r="X71" s="231"/>
      <c r="Y71" s="231"/>
      <c r="Z71" s="231"/>
      <c r="AA71" s="231"/>
      <c r="AB71" s="231"/>
      <c r="AC71" s="231"/>
      <c r="AD71" s="231"/>
      <c r="AE71" s="231"/>
      <c r="AF71" s="231"/>
      <c r="AG71" s="231"/>
      <c r="AH71" s="231"/>
      <c r="AI71" s="231"/>
      <c r="AJ71" s="231"/>
      <c r="AK71" s="231"/>
      <c r="AL71" s="231"/>
      <c r="AM71" s="231"/>
      <c r="AN71" s="231"/>
    </row>
    <row r="72" spans="1:40" s="203" customFormat="1">
      <c r="A72" s="111">
        <v>2</v>
      </c>
      <c r="B72" s="47" t="s">
        <v>86</v>
      </c>
      <c r="C72" s="47"/>
      <c r="D72" s="47"/>
      <c r="E72" s="49">
        <v>51214</v>
      </c>
      <c r="F72" s="247">
        <v>52002</v>
      </c>
      <c r="G72" s="113">
        <v>36264</v>
      </c>
      <c r="H72" s="123">
        <f>51908+1</f>
        <v>51909</v>
      </c>
      <c r="I72" s="113">
        <v>34984</v>
      </c>
      <c r="J72" s="231"/>
      <c r="K72" s="231"/>
      <c r="L72" s="231"/>
      <c r="M72" s="231"/>
      <c r="N72" s="231"/>
      <c r="O72" s="231"/>
      <c r="P72" s="231"/>
      <c r="Q72" s="231"/>
      <c r="R72" s="231"/>
      <c r="S72" s="231"/>
      <c r="T72" s="231"/>
      <c r="U72" s="231"/>
      <c r="V72" s="231"/>
      <c r="W72" s="231"/>
      <c r="X72" s="231"/>
      <c r="Y72" s="231"/>
      <c r="Z72" s="231"/>
      <c r="AA72" s="231"/>
      <c r="AB72" s="231"/>
      <c r="AC72" s="231"/>
      <c r="AD72" s="231"/>
      <c r="AE72" s="231"/>
      <c r="AF72" s="231"/>
      <c r="AG72" s="231"/>
      <c r="AH72" s="231"/>
      <c r="AI72" s="231"/>
      <c r="AJ72" s="231"/>
      <c r="AK72" s="231"/>
      <c r="AL72" s="231"/>
      <c r="AM72" s="231"/>
      <c r="AN72" s="231"/>
    </row>
    <row r="73" spans="1:40" s="203" customFormat="1">
      <c r="A73" s="111">
        <v>3</v>
      </c>
      <c r="B73" s="47" t="s">
        <v>87</v>
      </c>
      <c r="C73" s="47"/>
      <c r="D73" s="47"/>
      <c r="E73" s="114">
        <v>49433</v>
      </c>
      <c r="F73" s="247">
        <v>48793</v>
      </c>
      <c r="G73" s="113">
        <v>37531</v>
      </c>
      <c r="H73" s="123">
        <v>50018</v>
      </c>
      <c r="I73" s="113">
        <v>36579</v>
      </c>
      <c r="J73" s="231"/>
      <c r="K73" s="231"/>
      <c r="L73" s="231"/>
      <c r="M73" s="231"/>
      <c r="N73" s="231"/>
      <c r="O73" s="231"/>
      <c r="P73" s="231"/>
      <c r="Q73" s="231"/>
      <c r="R73" s="231"/>
      <c r="S73" s="231"/>
      <c r="T73" s="231"/>
      <c r="U73" s="231"/>
      <c r="V73" s="231"/>
      <c r="W73" s="231"/>
      <c r="X73" s="231"/>
      <c r="Y73" s="231"/>
      <c r="Z73" s="231"/>
      <c r="AA73" s="231"/>
      <c r="AB73" s="231"/>
      <c r="AC73" s="231"/>
      <c r="AD73" s="231"/>
      <c r="AE73" s="231"/>
      <c r="AF73" s="231"/>
      <c r="AG73" s="231"/>
      <c r="AH73" s="231"/>
      <c r="AI73" s="231"/>
      <c r="AJ73" s="231"/>
      <c r="AK73" s="231"/>
      <c r="AL73" s="231"/>
      <c r="AM73" s="231"/>
      <c r="AN73" s="231"/>
    </row>
    <row r="74" spans="1:40" s="203" customFormat="1">
      <c r="A74" s="111">
        <v>4</v>
      </c>
      <c r="B74" s="47" t="s">
        <v>88</v>
      </c>
      <c r="C74" s="47"/>
      <c r="D74" s="47"/>
      <c r="E74" s="114">
        <v>15473</v>
      </c>
      <c r="F74" s="247">
        <v>18591</v>
      </c>
      <c r="G74" s="113">
        <v>6932</v>
      </c>
      <c r="H74" s="123">
        <v>17114</v>
      </c>
      <c r="I74" s="113">
        <v>6863</v>
      </c>
      <c r="J74" s="231"/>
      <c r="K74" s="231"/>
      <c r="L74" s="231"/>
      <c r="M74" s="231"/>
      <c r="N74" s="231"/>
      <c r="O74" s="231"/>
      <c r="P74" s="231"/>
      <c r="Q74" s="231"/>
      <c r="R74" s="231"/>
      <c r="S74" s="231"/>
      <c r="T74" s="231"/>
      <c r="U74" s="231"/>
      <c r="V74" s="231"/>
      <c r="W74" s="231"/>
      <c r="X74" s="231"/>
      <c r="Y74" s="231"/>
      <c r="Z74" s="231"/>
      <c r="AA74" s="231"/>
      <c r="AB74" s="231"/>
      <c r="AC74" s="231"/>
      <c r="AD74" s="231"/>
      <c r="AE74" s="231"/>
      <c r="AF74" s="231"/>
      <c r="AG74" s="231"/>
      <c r="AH74" s="231"/>
      <c r="AI74" s="231"/>
      <c r="AJ74" s="231"/>
      <c r="AK74" s="231"/>
      <c r="AL74" s="231"/>
      <c r="AM74" s="231"/>
      <c r="AN74" s="231"/>
    </row>
    <row r="75" spans="1:40" s="203" customFormat="1">
      <c r="A75" s="111">
        <v>5</v>
      </c>
      <c r="B75" s="47" t="s">
        <v>89</v>
      </c>
      <c r="C75" s="47" t="s">
        <v>90</v>
      </c>
      <c r="D75" s="47"/>
      <c r="E75" s="114">
        <v>5244</v>
      </c>
      <c r="F75" s="247">
        <v>5470</v>
      </c>
      <c r="G75" s="113">
        <v>0</v>
      </c>
      <c r="H75" s="123">
        <v>5322</v>
      </c>
      <c r="I75" s="113">
        <v>0</v>
      </c>
      <c r="J75" s="231"/>
      <c r="K75" s="231"/>
      <c r="L75" s="231"/>
      <c r="M75" s="231"/>
      <c r="N75" s="231"/>
      <c r="O75" s="231"/>
      <c r="P75" s="231"/>
      <c r="Q75" s="231"/>
      <c r="R75" s="231"/>
      <c r="S75" s="231"/>
      <c r="T75" s="231"/>
      <c r="U75" s="231"/>
      <c r="V75" s="231"/>
      <c r="W75" s="231"/>
      <c r="X75" s="231"/>
      <c r="Y75" s="231"/>
      <c r="Z75" s="231"/>
      <c r="AA75" s="231"/>
      <c r="AB75" s="231"/>
      <c r="AC75" s="231"/>
      <c r="AD75" s="231"/>
      <c r="AE75" s="231"/>
      <c r="AF75" s="231"/>
      <c r="AG75" s="231"/>
      <c r="AH75" s="231"/>
      <c r="AI75" s="231"/>
      <c r="AJ75" s="231"/>
      <c r="AK75" s="231"/>
      <c r="AL75" s="231"/>
      <c r="AM75" s="231"/>
      <c r="AN75" s="231"/>
    </row>
    <row r="76" spans="1:40" s="203" customFormat="1">
      <c r="A76" s="733"/>
      <c r="B76" s="735"/>
      <c r="C76" s="47" t="s">
        <v>91</v>
      </c>
      <c r="D76" s="47"/>
      <c r="E76" s="114">
        <v>0</v>
      </c>
      <c r="F76" s="247">
        <v>0</v>
      </c>
      <c r="G76" s="115">
        <v>0</v>
      </c>
      <c r="H76" s="249">
        <v>0</v>
      </c>
      <c r="I76" s="115">
        <v>0</v>
      </c>
      <c r="J76" s="231"/>
      <c r="K76" s="231"/>
      <c r="L76" s="231"/>
      <c r="M76" s="231"/>
      <c r="N76" s="231"/>
      <c r="O76" s="231"/>
      <c r="P76" s="231"/>
      <c r="Q76" s="231"/>
      <c r="R76" s="231"/>
      <c r="S76" s="231"/>
      <c r="T76" s="231"/>
      <c r="U76" s="231"/>
      <c r="V76" s="231"/>
      <c r="W76" s="231"/>
      <c r="X76" s="231"/>
      <c r="Y76" s="231"/>
      <c r="Z76" s="231"/>
      <c r="AA76" s="231"/>
      <c r="AB76" s="231"/>
      <c r="AC76" s="231"/>
      <c r="AD76" s="231"/>
      <c r="AE76" s="231"/>
      <c r="AF76" s="231"/>
      <c r="AG76" s="231"/>
      <c r="AH76" s="231"/>
      <c r="AI76" s="231"/>
      <c r="AJ76" s="231"/>
      <c r="AK76" s="231"/>
      <c r="AL76" s="231"/>
      <c r="AM76" s="231"/>
      <c r="AN76" s="231"/>
    </row>
    <row r="77" spans="1:40" s="203" customFormat="1">
      <c r="A77" s="111">
        <v>6</v>
      </c>
      <c r="B77" s="116" t="s">
        <v>92</v>
      </c>
      <c r="C77" s="116"/>
      <c r="D77" s="47"/>
      <c r="E77" s="80">
        <v>134891</v>
      </c>
      <c r="F77" s="250">
        <f>SUM(F71:F76)</f>
        <v>137253</v>
      </c>
      <c r="G77" s="251">
        <f>SUM(G71:G76)</f>
        <v>89129</v>
      </c>
      <c r="H77" s="252">
        <f>SUM(H71:H76)</f>
        <v>145877</v>
      </c>
      <c r="I77" s="251">
        <f>SUM(I71:I76)</f>
        <v>87314</v>
      </c>
      <c r="J77" s="231"/>
      <c r="K77" s="231"/>
      <c r="L77" s="231"/>
      <c r="M77" s="231"/>
      <c r="N77" s="231"/>
      <c r="O77" s="231"/>
      <c r="P77" s="231"/>
      <c r="Q77" s="231"/>
      <c r="R77" s="231"/>
      <c r="S77" s="231"/>
      <c r="T77" s="231"/>
      <c r="U77" s="231"/>
      <c r="V77" s="231"/>
      <c r="W77" s="231"/>
      <c r="X77" s="231"/>
      <c r="Y77" s="231"/>
      <c r="Z77" s="231"/>
      <c r="AA77" s="231"/>
      <c r="AB77" s="231"/>
      <c r="AC77" s="231"/>
      <c r="AD77" s="231"/>
      <c r="AE77" s="231"/>
      <c r="AF77" s="231"/>
      <c r="AG77" s="231"/>
      <c r="AH77" s="231"/>
      <c r="AI77" s="231"/>
      <c r="AJ77" s="231"/>
      <c r="AK77" s="231"/>
      <c r="AL77" s="231"/>
      <c r="AM77" s="231"/>
      <c r="AN77" s="231"/>
    </row>
    <row r="78" spans="1:40" s="203" customFormat="1">
      <c r="A78" s="733"/>
      <c r="B78" s="47"/>
      <c r="C78" s="47"/>
      <c r="D78" s="47"/>
      <c r="E78" s="117"/>
      <c r="F78" s="118"/>
      <c r="G78" s="118"/>
      <c r="H78" s="118"/>
      <c r="I78" s="118"/>
      <c r="J78" s="231"/>
      <c r="K78" s="231"/>
      <c r="L78" s="231"/>
      <c r="M78" s="231"/>
      <c r="N78" s="231"/>
      <c r="O78" s="231"/>
      <c r="P78" s="231"/>
      <c r="Q78" s="231"/>
      <c r="R78" s="231"/>
      <c r="S78" s="231"/>
      <c r="T78" s="231"/>
      <c r="U78" s="231"/>
      <c r="V78" s="231"/>
      <c r="W78" s="231"/>
      <c r="X78" s="231"/>
      <c r="Y78" s="231"/>
      <c r="Z78" s="231"/>
      <c r="AA78" s="231"/>
      <c r="AB78" s="231"/>
      <c r="AC78" s="231"/>
      <c r="AD78" s="231"/>
      <c r="AE78" s="231"/>
      <c r="AF78" s="231"/>
      <c r="AG78" s="231"/>
      <c r="AH78" s="231"/>
      <c r="AI78" s="231"/>
      <c r="AJ78" s="231"/>
      <c r="AK78" s="231"/>
      <c r="AL78" s="231"/>
      <c r="AM78" s="231"/>
      <c r="AN78" s="231"/>
    </row>
    <row r="79" spans="1:40" s="203" customFormat="1">
      <c r="A79" s="119" t="s">
        <v>93</v>
      </c>
      <c r="B79" s="116"/>
      <c r="C79" s="116"/>
      <c r="D79" s="116"/>
      <c r="E79" s="117"/>
      <c r="F79" s="118"/>
      <c r="G79" s="118"/>
      <c r="H79" s="118"/>
      <c r="I79" s="118"/>
      <c r="J79" s="231"/>
      <c r="K79" s="231"/>
      <c r="L79" s="231"/>
      <c r="M79" s="231"/>
      <c r="N79" s="231"/>
      <c r="O79" s="231"/>
      <c r="P79" s="231"/>
      <c r="Q79" s="231"/>
      <c r="R79" s="231"/>
      <c r="S79" s="231"/>
      <c r="T79" s="231"/>
      <c r="U79" s="231"/>
      <c r="V79" s="231"/>
      <c r="W79" s="231"/>
      <c r="X79" s="231"/>
      <c r="Y79" s="231"/>
      <c r="Z79" s="231"/>
      <c r="AA79" s="231"/>
      <c r="AB79" s="231"/>
      <c r="AC79" s="231"/>
      <c r="AD79" s="231"/>
      <c r="AE79" s="231"/>
      <c r="AF79" s="231"/>
      <c r="AG79" s="231"/>
      <c r="AH79" s="231"/>
      <c r="AI79" s="231"/>
      <c r="AJ79" s="231"/>
      <c r="AK79" s="231"/>
      <c r="AL79" s="231"/>
      <c r="AM79" s="231"/>
      <c r="AN79" s="231"/>
    </row>
    <row r="80" spans="1:40" s="203" customFormat="1">
      <c r="A80" s="120">
        <v>7</v>
      </c>
      <c r="B80" s="47" t="s">
        <v>94</v>
      </c>
      <c r="C80" s="47"/>
      <c r="D80" s="47"/>
      <c r="E80" s="41">
        <v>2373</v>
      </c>
      <c r="F80" s="253">
        <v>2060</v>
      </c>
      <c r="G80" s="112">
        <v>0</v>
      </c>
      <c r="H80" s="248">
        <v>2305</v>
      </c>
      <c r="I80" s="112">
        <v>0</v>
      </c>
      <c r="J80" s="231"/>
      <c r="K80" s="231"/>
      <c r="L80" s="231"/>
      <c r="M80" s="231"/>
      <c r="N80" s="231"/>
      <c r="O80" s="231"/>
      <c r="P80" s="231"/>
      <c r="Q80" s="231"/>
      <c r="R80" s="231"/>
      <c r="S80" s="231"/>
      <c r="T80" s="231"/>
      <c r="U80" s="231"/>
      <c r="V80" s="231"/>
      <c r="W80" s="231"/>
      <c r="X80" s="231"/>
      <c r="Y80" s="231"/>
      <c r="Z80" s="231"/>
      <c r="AA80" s="231"/>
      <c r="AB80" s="231"/>
      <c r="AC80" s="231"/>
      <c r="AD80" s="231"/>
      <c r="AE80" s="231"/>
      <c r="AF80" s="231"/>
      <c r="AG80" s="231"/>
      <c r="AH80" s="231"/>
      <c r="AI80" s="231"/>
      <c r="AJ80" s="231"/>
      <c r="AK80" s="231"/>
      <c r="AL80" s="231"/>
      <c r="AM80" s="231"/>
      <c r="AN80" s="231"/>
    </row>
    <row r="81" spans="1:40" s="203" customFormat="1">
      <c r="A81" s="120">
        <v>8</v>
      </c>
      <c r="B81" s="47" t="s">
        <v>95</v>
      </c>
      <c r="C81" s="47"/>
      <c r="D81" s="47"/>
      <c r="E81" s="49">
        <v>28015</v>
      </c>
      <c r="F81" s="247">
        <v>30054</v>
      </c>
      <c r="G81" s="113">
        <v>0</v>
      </c>
      <c r="H81" s="123">
        <v>29252</v>
      </c>
      <c r="I81" s="113">
        <v>0</v>
      </c>
      <c r="J81" s="231"/>
      <c r="K81" s="231"/>
      <c r="L81" s="231"/>
      <c r="M81" s="231"/>
      <c r="N81" s="231"/>
      <c r="O81" s="231"/>
      <c r="P81" s="231"/>
      <c r="Q81" s="231"/>
      <c r="R81" s="231"/>
      <c r="S81" s="231"/>
      <c r="T81" s="231"/>
      <c r="U81" s="231"/>
      <c r="V81" s="231"/>
      <c r="W81" s="231"/>
      <c r="X81" s="231"/>
      <c r="Y81" s="231"/>
      <c r="Z81" s="231"/>
      <c r="AA81" s="231"/>
      <c r="AB81" s="231"/>
      <c r="AC81" s="231"/>
      <c r="AD81" s="231"/>
      <c r="AE81" s="231"/>
      <c r="AF81" s="231"/>
      <c r="AG81" s="231"/>
      <c r="AH81" s="231"/>
      <c r="AI81" s="231"/>
      <c r="AJ81" s="231"/>
      <c r="AK81" s="231"/>
      <c r="AL81" s="231"/>
      <c r="AM81" s="231"/>
      <c r="AN81" s="231"/>
    </row>
    <row r="82" spans="1:40" s="203" customFormat="1">
      <c r="A82" s="120">
        <v>9</v>
      </c>
      <c r="B82" s="47" t="s">
        <v>96</v>
      </c>
      <c r="C82" s="47"/>
      <c r="D82" s="47"/>
      <c r="E82" s="49">
        <v>31514</v>
      </c>
      <c r="F82" s="247">
        <v>33338</v>
      </c>
      <c r="G82" s="113">
        <v>0</v>
      </c>
      <c r="H82" s="123">
        <v>32876</v>
      </c>
      <c r="I82" s="113">
        <v>0</v>
      </c>
      <c r="J82" s="231"/>
      <c r="K82" s="231"/>
      <c r="L82" s="231"/>
      <c r="M82" s="231"/>
      <c r="N82" s="231"/>
      <c r="O82" s="231"/>
      <c r="P82" s="231"/>
      <c r="Q82" s="231"/>
      <c r="R82" s="231"/>
      <c r="S82" s="231"/>
      <c r="T82" s="231"/>
      <c r="U82" s="231"/>
      <c r="V82" s="231"/>
      <c r="W82" s="231"/>
      <c r="X82" s="231"/>
      <c r="Y82" s="231"/>
      <c r="Z82" s="231"/>
      <c r="AA82" s="231"/>
      <c r="AB82" s="231"/>
      <c r="AC82" s="231"/>
      <c r="AD82" s="231"/>
      <c r="AE82" s="231"/>
      <c r="AF82" s="231"/>
      <c r="AG82" s="231"/>
      <c r="AH82" s="231"/>
      <c r="AI82" s="231"/>
      <c r="AJ82" s="231"/>
      <c r="AK82" s="231"/>
      <c r="AL82" s="231"/>
      <c r="AM82" s="231"/>
      <c r="AN82" s="231"/>
    </row>
    <row r="83" spans="1:40" s="203" customFormat="1">
      <c r="A83" s="120">
        <v>10</v>
      </c>
      <c r="B83" s="90" t="s">
        <v>97</v>
      </c>
      <c r="C83" s="47"/>
      <c r="D83" s="47"/>
      <c r="E83" s="49">
        <v>15339</v>
      </c>
      <c r="F83" s="247">
        <v>18508</v>
      </c>
      <c r="G83" s="113">
        <v>0</v>
      </c>
      <c r="H83" s="123">
        <v>17034</v>
      </c>
      <c r="I83" s="113">
        <v>0</v>
      </c>
      <c r="J83" s="231"/>
      <c r="K83" s="231"/>
      <c r="L83" s="231"/>
      <c r="M83" s="231"/>
      <c r="N83" s="231"/>
      <c r="O83" s="231"/>
      <c r="P83" s="231"/>
      <c r="Q83" s="231"/>
      <c r="R83" s="231"/>
      <c r="S83" s="231"/>
      <c r="T83" s="231"/>
      <c r="U83" s="231"/>
      <c r="V83" s="231"/>
      <c r="W83" s="231"/>
      <c r="X83" s="231"/>
      <c r="Y83" s="231"/>
      <c r="Z83" s="231"/>
      <c r="AA83" s="231"/>
      <c r="AB83" s="231"/>
      <c r="AC83" s="231"/>
      <c r="AD83" s="231"/>
      <c r="AE83" s="231"/>
      <c r="AF83" s="231"/>
      <c r="AG83" s="231"/>
      <c r="AH83" s="231"/>
      <c r="AI83" s="231"/>
      <c r="AJ83" s="231"/>
      <c r="AK83" s="231"/>
      <c r="AL83" s="231"/>
      <c r="AM83" s="231"/>
      <c r="AN83" s="231"/>
    </row>
    <row r="84" spans="1:40" s="203" customFormat="1">
      <c r="A84" s="120">
        <v>11</v>
      </c>
      <c r="B84" s="90" t="s">
        <v>98</v>
      </c>
      <c r="C84" s="47"/>
      <c r="D84" s="47"/>
      <c r="E84" s="49">
        <v>1615</v>
      </c>
      <c r="F84" s="247">
        <v>1557</v>
      </c>
      <c r="G84" s="113">
        <v>0</v>
      </c>
      <c r="H84" s="123">
        <v>1276</v>
      </c>
      <c r="I84" s="113">
        <v>0</v>
      </c>
      <c r="J84" s="231"/>
      <c r="K84" s="231"/>
      <c r="L84" s="231"/>
      <c r="M84" s="231"/>
      <c r="N84" s="231"/>
      <c r="O84" s="231"/>
      <c r="P84" s="231"/>
      <c r="Q84" s="231"/>
      <c r="R84" s="231"/>
      <c r="S84" s="231"/>
      <c r="T84" s="231"/>
      <c r="U84" s="231"/>
      <c r="V84" s="231"/>
      <c r="W84" s="231"/>
      <c r="X84" s="231"/>
      <c r="Y84" s="231"/>
      <c r="Z84" s="231"/>
      <c r="AA84" s="231"/>
      <c r="AB84" s="231"/>
      <c r="AC84" s="231"/>
      <c r="AD84" s="231"/>
      <c r="AE84" s="231"/>
      <c r="AF84" s="231"/>
      <c r="AG84" s="231"/>
      <c r="AH84" s="231"/>
      <c r="AI84" s="231"/>
      <c r="AJ84" s="231"/>
      <c r="AK84" s="231"/>
      <c r="AL84" s="231"/>
      <c r="AM84" s="231"/>
      <c r="AN84" s="231"/>
    </row>
    <row r="85" spans="1:40" s="203" customFormat="1">
      <c r="A85" s="120">
        <v>12</v>
      </c>
      <c r="B85" s="47" t="s">
        <v>99</v>
      </c>
      <c r="C85" s="47"/>
      <c r="D85" s="47"/>
      <c r="E85" s="49">
        <v>4289</v>
      </c>
      <c r="F85" s="247">
        <v>4458</v>
      </c>
      <c r="G85" s="113">
        <v>0</v>
      </c>
      <c r="H85" s="123">
        <v>4825</v>
      </c>
      <c r="I85" s="113">
        <v>0</v>
      </c>
      <c r="J85" s="231"/>
      <c r="K85" s="231"/>
      <c r="L85" s="231"/>
      <c r="M85" s="231"/>
      <c r="N85" s="231"/>
      <c r="O85" s="231"/>
      <c r="P85" s="231"/>
      <c r="Q85" s="231"/>
      <c r="R85" s="231"/>
      <c r="S85" s="231"/>
      <c r="T85" s="231"/>
      <c r="U85" s="231"/>
      <c r="V85" s="231"/>
      <c r="W85" s="231"/>
      <c r="X85" s="231"/>
      <c r="Y85" s="231"/>
      <c r="Z85" s="231"/>
      <c r="AA85" s="231"/>
      <c r="AB85" s="231"/>
      <c r="AC85" s="231"/>
      <c r="AD85" s="231"/>
      <c r="AE85" s="231"/>
      <c r="AF85" s="231"/>
      <c r="AG85" s="231"/>
      <c r="AH85" s="231"/>
      <c r="AI85" s="231"/>
      <c r="AJ85" s="231"/>
      <c r="AK85" s="231"/>
      <c r="AL85" s="231"/>
      <c r="AM85" s="231"/>
      <c r="AN85" s="231"/>
    </row>
    <row r="86" spans="1:40" s="203" customFormat="1">
      <c r="A86" s="120">
        <v>13</v>
      </c>
      <c r="B86" s="47" t="s">
        <v>100</v>
      </c>
      <c r="C86" s="47"/>
      <c r="D86" s="47"/>
      <c r="E86" s="49">
        <v>23748</v>
      </c>
      <c r="F86" s="247">
        <v>25956</v>
      </c>
      <c r="G86" s="113">
        <v>0</v>
      </c>
      <c r="H86" s="123">
        <v>26165</v>
      </c>
      <c r="I86" s="113">
        <v>0</v>
      </c>
      <c r="J86" s="231"/>
      <c r="K86" s="231"/>
      <c r="L86" s="231"/>
      <c r="M86" s="231"/>
      <c r="N86" s="231"/>
      <c r="O86" s="231"/>
      <c r="P86" s="231"/>
      <c r="Q86" s="231"/>
      <c r="R86" s="231"/>
      <c r="S86" s="231"/>
      <c r="T86" s="231"/>
      <c r="U86" s="231"/>
      <c r="V86" s="231"/>
      <c r="W86" s="231"/>
      <c r="X86" s="231"/>
      <c r="Y86" s="231"/>
      <c r="Z86" s="231"/>
      <c r="AA86" s="231"/>
      <c r="AB86" s="231"/>
      <c r="AC86" s="231"/>
      <c r="AD86" s="231"/>
      <c r="AE86" s="231"/>
      <c r="AF86" s="231"/>
      <c r="AG86" s="231"/>
      <c r="AH86" s="231"/>
      <c r="AI86" s="231"/>
      <c r="AJ86" s="231"/>
      <c r="AK86" s="231"/>
      <c r="AL86" s="231"/>
      <c r="AM86" s="231"/>
      <c r="AN86" s="231"/>
    </row>
    <row r="87" spans="1:40" s="203" customFormat="1">
      <c r="A87" s="120">
        <v>14</v>
      </c>
      <c r="B87" s="47" t="s">
        <v>101</v>
      </c>
      <c r="C87" s="47"/>
      <c r="D87" s="47"/>
      <c r="E87" s="49">
        <v>0</v>
      </c>
      <c r="F87" s="247">
        <v>0</v>
      </c>
      <c r="G87" s="113">
        <v>0</v>
      </c>
      <c r="H87" s="123">
        <v>0</v>
      </c>
      <c r="I87" s="113">
        <v>0</v>
      </c>
      <c r="J87" s="231"/>
      <c r="K87" s="231"/>
      <c r="L87" s="231"/>
      <c r="M87" s="231"/>
      <c r="N87" s="231"/>
      <c r="O87" s="231"/>
      <c r="P87" s="231"/>
      <c r="Q87" s="231"/>
      <c r="R87" s="231"/>
      <c r="S87" s="231"/>
      <c r="T87" s="231"/>
      <c r="U87" s="231"/>
      <c r="V87" s="231"/>
      <c r="W87" s="231"/>
      <c r="X87" s="231"/>
      <c r="Y87" s="231"/>
      <c r="Z87" s="231"/>
      <c r="AA87" s="231"/>
      <c r="AB87" s="231"/>
      <c r="AC87" s="231"/>
      <c r="AD87" s="231"/>
      <c r="AE87" s="231"/>
      <c r="AF87" s="231"/>
      <c r="AG87" s="231"/>
      <c r="AH87" s="231"/>
      <c r="AI87" s="231"/>
      <c r="AJ87" s="231"/>
      <c r="AK87" s="231"/>
      <c r="AL87" s="231"/>
      <c r="AM87" s="231"/>
      <c r="AN87" s="231"/>
    </row>
    <row r="88" spans="1:40" s="203" customFormat="1">
      <c r="A88" s="124">
        <v>15</v>
      </c>
      <c r="B88" s="125" t="s">
        <v>102</v>
      </c>
      <c r="C88" s="54"/>
      <c r="D88" s="54"/>
      <c r="E88" s="56">
        <v>0</v>
      </c>
      <c r="F88" s="254">
        <v>0</v>
      </c>
      <c r="G88" s="127">
        <v>0</v>
      </c>
      <c r="H88" s="255">
        <v>0</v>
      </c>
      <c r="I88" s="127">
        <v>0</v>
      </c>
      <c r="J88" s="231"/>
      <c r="K88" s="231"/>
      <c r="L88" s="231"/>
      <c r="M88" s="231"/>
      <c r="N88" s="231"/>
      <c r="O88" s="231"/>
      <c r="P88" s="231"/>
      <c r="Q88" s="231"/>
      <c r="R88" s="231"/>
      <c r="S88" s="231"/>
      <c r="T88" s="231"/>
      <c r="U88" s="231"/>
      <c r="V88" s="231"/>
      <c r="W88" s="231"/>
      <c r="X88" s="231"/>
      <c r="Y88" s="231"/>
      <c r="Z88" s="231"/>
      <c r="AA88" s="231"/>
      <c r="AB88" s="231"/>
      <c r="AC88" s="231"/>
      <c r="AD88" s="231"/>
      <c r="AE88" s="231"/>
      <c r="AF88" s="231"/>
      <c r="AG88" s="231"/>
      <c r="AH88" s="231"/>
      <c r="AI88" s="231"/>
      <c r="AJ88" s="231"/>
      <c r="AK88" s="231"/>
      <c r="AL88" s="231"/>
      <c r="AM88" s="231"/>
      <c r="AN88" s="231"/>
    </row>
    <row r="89" spans="1:40" s="203" customFormat="1">
      <c r="A89" s="128"/>
      <c r="B89" s="129"/>
      <c r="C89" s="129"/>
      <c r="D89" s="129"/>
      <c r="E89" s="15"/>
      <c r="F89" s="130"/>
      <c r="G89" s="29"/>
      <c r="H89" s="207"/>
      <c r="I89" s="29"/>
      <c r="J89" s="231"/>
      <c r="K89" s="231"/>
      <c r="L89" s="231"/>
      <c r="M89" s="231"/>
      <c r="N89" s="231"/>
      <c r="O89" s="231"/>
      <c r="P89" s="231"/>
      <c r="Q89" s="231"/>
      <c r="R89" s="231"/>
      <c r="S89" s="231"/>
      <c r="T89" s="231"/>
      <c r="U89" s="231"/>
      <c r="V89" s="231"/>
      <c r="W89" s="231"/>
      <c r="X89" s="231"/>
      <c r="Y89" s="231"/>
      <c r="Z89" s="231"/>
      <c r="AA89" s="231"/>
      <c r="AB89" s="231"/>
      <c r="AC89" s="231"/>
      <c r="AD89" s="231"/>
      <c r="AE89" s="231"/>
      <c r="AF89" s="231"/>
      <c r="AG89" s="231"/>
      <c r="AH89" s="231"/>
      <c r="AI89" s="231"/>
      <c r="AJ89" s="231"/>
      <c r="AK89" s="231"/>
      <c r="AL89" s="231"/>
      <c r="AM89" s="231"/>
      <c r="AN89" s="231"/>
    </row>
    <row r="90" spans="1:40" s="203" customFormat="1">
      <c r="A90" s="128"/>
      <c r="B90" s="129"/>
      <c r="C90" s="129"/>
      <c r="D90" s="129"/>
      <c r="E90" s="105"/>
      <c r="F90" s="130"/>
      <c r="G90" s="29"/>
      <c r="H90" s="131" t="s">
        <v>27</v>
      </c>
      <c r="I90" s="29"/>
      <c r="J90" s="231"/>
      <c r="K90" s="231"/>
      <c r="L90" s="231"/>
      <c r="M90" s="231"/>
      <c r="N90" s="231"/>
      <c r="O90" s="231"/>
      <c r="P90" s="231"/>
      <c r="Q90" s="231"/>
      <c r="R90" s="231"/>
      <c r="S90" s="231"/>
      <c r="T90" s="231"/>
      <c r="U90" s="231"/>
      <c r="V90" s="231"/>
      <c r="W90" s="231"/>
      <c r="X90" s="231"/>
      <c r="Y90" s="231"/>
      <c r="Z90" s="231"/>
      <c r="AA90" s="231"/>
      <c r="AB90" s="231"/>
      <c r="AC90" s="231"/>
      <c r="AD90" s="231"/>
      <c r="AE90" s="231"/>
      <c r="AF90" s="231"/>
      <c r="AG90" s="231"/>
      <c r="AH90" s="231"/>
      <c r="AI90" s="231"/>
      <c r="AJ90" s="231"/>
      <c r="AK90" s="231"/>
      <c r="AL90" s="231"/>
      <c r="AM90" s="231"/>
      <c r="AN90" s="231"/>
    </row>
    <row r="91" spans="1:40" s="203" customFormat="1">
      <c r="A91" s="106" t="s">
        <v>17</v>
      </c>
      <c r="B91" s="107"/>
      <c r="C91" s="107"/>
      <c r="D91" s="107"/>
      <c r="E91" s="856" t="s">
        <v>421</v>
      </c>
      <c r="F91" s="856" t="s">
        <v>402</v>
      </c>
      <c r="G91" s="257"/>
      <c r="H91" s="856" t="s">
        <v>403</v>
      </c>
      <c r="I91" s="29"/>
      <c r="J91" s="231"/>
      <c r="K91" s="231"/>
      <c r="L91" s="231"/>
      <c r="M91" s="231"/>
      <c r="N91" s="231"/>
      <c r="O91" s="231"/>
      <c r="P91" s="231"/>
      <c r="Q91" s="231"/>
      <c r="R91" s="231"/>
      <c r="S91" s="231"/>
      <c r="T91" s="231"/>
      <c r="U91" s="231"/>
      <c r="V91" s="231"/>
      <c r="W91" s="231"/>
      <c r="X91" s="231"/>
      <c r="Y91" s="231"/>
      <c r="Z91" s="231"/>
      <c r="AA91" s="231"/>
      <c r="AB91" s="231"/>
      <c r="AC91" s="231"/>
      <c r="AD91" s="231"/>
      <c r="AE91" s="231"/>
      <c r="AF91" s="231"/>
      <c r="AG91" s="231"/>
      <c r="AH91" s="231"/>
      <c r="AI91" s="231"/>
      <c r="AJ91" s="231"/>
      <c r="AK91" s="231"/>
      <c r="AL91" s="231"/>
      <c r="AM91" s="231"/>
      <c r="AN91" s="231"/>
    </row>
    <row r="92" spans="1:40" s="203" customFormat="1" ht="12.75" customHeight="1">
      <c r="A92" s="109"/>
      <c r="B92" s="132"/>
      <c r="C92" s="132"/>
      <c r="D92" s="132"/>
      <c r="E92" s="859"/>
      <c r="F92" s="859"/>
      <c r="G92" s="29"/>
      <c r="H92" s="859"/>
      <c r="I92" s="29"/>
      <c r="J92" s="231"/>
      <c r="K92" s="231"/>
      <c r="L92" s="231"/>
      <c r="M92" s="231"/>
      <c r="N92" s="231"/>
      <c r="O92" s="231"/>
      <c r="P92" s="231"/>
      <c r="Q92" s="231"/>
      <c r="R92" s="231"/>
      <c r="S92" s="231"/>
      <c r="T92" s="231"/>
      <c r="U92" s="231"/>
      <c r="V92" s="231"/>
      <c r="W92" s="231"/>
      <c r="X92" s="231"/>
      <c r="Y92" s="231"/>
      <c r="Z92" s="231"/>
      <c r="AA92" s="231"/>
      <c r="AB92" s="231"/>
      <c r="AC92" s="231"/>
      <c r="AD92" s="231"/>
      <c r="AE92" s="231"/>
      <c r="AF92" s="231"/>
      <c r="AG92" s="231"/>
      <c r="AH92" s="231"/>
      <c r="AI92" s="231"/>
      <c r="AJ92" s="231"/>
      <c r="AK92" s="231"/>
      <c r="AL92" s="231"/>
      <c r="AM92" s="231"/>
      <c r="AN92" s="231"/>
    </row>
    <row r="93" spans="1:40" s="203" customFormat="1">
      <c r="A93" s="109" t="s">
        <v>103</v>
      </c>
      <c r="B93" s="132"/>
      <c r="C93" s="132"/>
      <c r="D93" s="132"/>
      <c r="E93" s="859"/>
      <c r="F93" s="859"/>
      <c r="G93" s="29"/>
      <c r="H93" s="859"/>
      <c r="I93" s="29"/>
      <c r="J93" s="231"/>
      <c r="K93" s="231"/>
      <c r="L93" s="231"/>
      <c r="M93" s="231"/>
      <c r="N93" s="231"/>
      <c r="O93" s="231"/>
      <c r="P93" s="231"/>
      <c r="Q93" s="231"/>
      <c r="R93" s="231"/>
      <c r="S93" s="231"/>
      <c r="T93" s="231"/>
      <c r="U93" s="231"/>
      <c r="V93" s="231"/>
      <c r="W93" s="231"/>
      <c r="X93" s="231"/>
      <c r="Y93" s="231"/>
      <c r="Z93" s="231"/>
      <c r="AA93" s="231"/>
      <c r="AB93" s="231"/>
      <c r="AC93" s="231"/>
      <c r="AD93" s="231"/>
      <c r="AE93" s="231"/>
      <c r="AF93" s="231"/>
      <c r="AG93" s="231"/>
      <c r="AH93" s="231"/>
      <c r="AI93" s="231"/>
      <c r="AJ93" s="231"/>
      <c r="AK93" s="231"/>
      <c r="AL93" s="231"/>
      <c r="AM93" s="231"/>
      <c r="AN93" s="231"/>
    </row>
    <row r="94" spans="1:40" s="203" customFormat="1">
      <c r="A94" s="109" t="s">
        <v>83</v>
      </c>
      <c r="B94" s="132"/>
      <c r="C94" s="132"/>
      <c r="D94" s="132"/>
      <c r="E94" s="859"/>
      <c r="F94" s="859"/>
      <c r="G94" s="130"/>
      <c r="H94" s="859"/>
      <c r="I94" s="29"/>
      <c r="J94" s="231"/>
      <c r="K94" s="231"/>
      <c r="L94" s="231"/>
      <c r="M94" s="231"/>
      <c r="N94" s="231"/>
      <c r="O94" s="231"/>
      <c r="P94" s="231"/>
      <c r="Q94" s="231"/>
      <c r="R94" s="231"/>
      <c r="S94" s="231"/>
      <c r="T94" s="231"/>
      <c r="U94" s="231"/>
      <c r="V94" s="231"/>
      <c r="W94" s="231"/>
      <c r="X94" s="231"/>
      <c r="Y94" s="231"/>
      <c r="Z94" s="231"/>
      <c r="AA94" s="231"/>
      <c r="AB94" s="231"/>
      <c r="AC94" s="231"/>
      <c r="AD94" s="231"/>
      <c r="AE94" s="231"/>
      <c r="AF94" s="231"/>
      <c r="AG94" s="231"/>
      <c r="AH94" s="231"/>
      <c r="AI94" s="231"/>
      <c r="AJ94" s="231"/>
      <c r="AK94" s="231"/>
      <c r="AL94" s="231"/>
      <c r="AM94" s="231"/>
      <c r="AN94" s="231"/>
    </row>
    <row r="95" spans="1:40" s="203" customFormat="1">
      <c r="A95" s="110" t="s">
        <v>84</v>
      </c>
      <c r="B95" s="132"/>
      <c r="C95" s="132"/>
      <c r="D95" s="132"/>
      <c r="E95" s="860"/>
      <c r="F95" s="860"/>
      <c r="G95" s="130"/>
      <c r="H95" s="860"/>
      <c r="I95" s="130"/>
      <c r="J95" s="231"/>
      <c r="K95" s="231"/>
      <c r="L95" s="231"/>
      <c r="M95" s="231"/>
      <c r="N95" s="231"/>
      <c r="O95" s="231"/>
      <c r="P95" s="231"/>
      <c r="Q95" s="231"/>
      <c r="R95" s="231"/>
      <c r="S95" s="231"/>
      <c r="T95" s="231"/>
      <c r="U95" s="231"/>
      <c r="V95" s="231"/>
      <c r="W95" s="231"/>
      <c r="X95" s="231"/>
      <c r="Y95" s="231"/>
      <c r="Z95" s="231"/>
      <c r="AA95" s="231"/>
      <c r="AB95" s="231"/>
      <c r="AC95" s="231"/>
      <c r="AD95" s="231"/>
      <c r="AE95" s="231"/>
      <c r="AF95" s="231"/>
      <c r="AG95" s="231"/>
      <c r="AH95" s="231"/>
      <c r="AI95" s="231"/>
      <c r="AJ95" s="231"/>
      <c r="AK95" s="231"/>
      <c r="AL95" s="231"/>
      <c r="AM95" s="231"/>
      <c r="AN95" s="231"/>
    </row>
    <row r="96" spans="1:40" s="203" customFormat="1">
      <c r="A96" s="120">
        <v>1</v>
      </c>
      <c r="B96" s="47" t="s">
        <v>104</v>
      </c>
      <c r="C96" s="47"/>
      <c r="D96" s="47"/>
      <c r="E96" s="41">
        <v>705</v>
      </c>
      <c r="F96" s="52">
        <v>723</v>
      </c>
      <c r="G96" s="118"/>
      <c r="H96" s="133">
        <v>999</v>
      </c>
      <c r="I96" s="139"/>
      <c r="J96" s="231"/>
      <c r="K96" s="231"/>
      <c r="L96" s="231"/>
      <c r="M96" s="231"/>
      <c r="N96" s="231"/>
      <c r="O96" s="231"/>
      <c r="P96" s="231"/>
      <c r="Q96" s="231"/>
      <c r="R96" s="231"/>
      <c r="S96" s="231"/>
      <c r="T96" s="231"/>
      <c r="U96" s="231"/>
      <c r="V96" s="231"/>
      <c r="W96" s="231"/>
      <c r="X96" s="231"/>
      <c r="Y96" s="231"/>
      <c r="Z96" s="231"/>
      <c r="AA96" s="231"/>
      <c r="AB96" s="231"/>
      <c r="AC96" s="231"/>
      <c r="AD96" s="231"/>
      <c r="AE96" s="231"/>
      <c r="AF96" s="231"/>
      <c r="AG96" s="231"/>
      <c r="AH96" s="231"/>
      <c r="AI96" s="231"/>
      <c r="AJ96" s="231"/>
      <c r="AK96" s="231"/>
      <c r="AL96" s="231"/>
      <c r="AM96" s="231"/>
      <c r="AN96" s="231"/>
    </row>
    <row r="97" spans="1:40" s="203" customFormat="1">
      <c r="A97" s="120">
        <v>2</v>
      </c>
      <c r="B97" s="47" t="s">
        <v>105</v>
      </c>
      <c r="C97" s="47"/>
      <c r="D97" s="47"/>
      <c r="E97" s="49">
        <v>67</v>
      </c>
      <c r="F97" s="52">
        <v>47</v>
      </c>
      <c r="G97" s="118"/>
      <c r="H97" s="122">
        <v>52</v>
      </c>
      <c r="I97" s="139"/>
      <c r="J97" s="231"/>
      <c r="K97" s="231"/>
      <c r="L97" s="231"/>
      <c r="M97" s="231"/>
      <c r="N97" s="231"/>
      <c r="O97" s="231"/>
      <c r="P97" s="231"/>
      <c r="Q97" s="231"/>
      <c r="R97" s="231"/>
      <c r="S97" s="231"/>
      <c r="T97" s="231"/>
      <c r="U97" s="231"/>
      <c r="V97" s="231"/>
      <c r="W97" s="231"/>
      <c r="X97" s="231"/>
      <c r="Y97" s="231"/>
      <c r="Z97" s="231"/>
      <c r="AA97" s="231"/>
      <c r="AB97" s="231"/>
      <c r="AC97" s="231"/>
      <c r="AD97" s="231"/>
      <c r="AE97" s="231"/>
      <c r="AF97" s="231"/>
      <c r="AG97" s="231"/>
      <c r="AH97" s="231"/>
      <c r="AI97" s="231"/>
      <c r="AJ97" s="231"/>
      <c r="AK97" s="231"/>
      <c r="AL97" s="231"/>
      <c r="AM97" s="231"/>
      <c r="AN97" s="231"/>
    </row>
    <row r="98" spans="1:40" s="203" customFormat="1">
      <c r="A98" s="120">
        <v>3</v>
      </c>
      <c r="B98" s="47" t="s">
        <v>106</v>
      </c>
      <c r="C98" s="47"/>
      <c r="D98" s="47"/>
      <c r="E98" s="114">
        <v>35880</v>
      </c>
      <c r="F98" s="50">
        <f>F115</f>
        <v>34006</v>
      </c>
      <c r="G98" s="118"/>
      <c r="H98" s="50">
        <f>H115</f>
        <v>33774</v>
      </c>
      <c r="I98" s="139"/>
      <c r="J98" s="231"/>
      <c r="K98" s="231"/>
      <c r="L98" s="231"/>
      <c r="M98" s="231"/>
      <c r="N98" s="231"/>
      <c r="O98" s="231"/>
      <c r="P98" s="231"/>
      <c r="Q98" s="231"/>
      <c r="R98" s="231"/>
      <c r="S98" s="231"/>
      <c r="T98" s="231"/>
      <c r="U98" s="231"/>
      <c r="V98" s="231"/>
      <c r="W98" s="231"/>
      <c r="X98" s="231"/>
      <c r="Y98" s="231"/>
      <c r="Z98" s="231"/>
      <c r="AA98" s="231"/>
      <c r="AB98" s="231"/>
      <c r="AC98" s="231"/>
      <c r="AD98" s="231"/>
      <c r="AE98" s="231"/>
      <c r="AF98" s="231"/>
      <c r="AG98" s="231"/>
      <c r="AH98" s="231"/>
      <c r="AI98" s="231"/>
      <c r="AJ98" s="231"/>
      <c r="AK98" s="231"/>
      <c r="AL98" s="231"/>
      <c r="AM98" s="231"/>
      <c r="AN98" s="231"/>
    </row>
    <row r="99" spans="1:40" s="203" customFormat="1">
      <c r="A99" s="120">
        <v>4</v>
      </c>
      <c r="B99" s="47" t="s">
        <v>107</v>
      </c>
      <c r="C99" s="47"/>
      <c r="D99" s="47"/>
      <c r="E99" s="114">
        <v>40373</v>
      </c>
      <c r="F99" s="50">
        <f>F125</f>
        <v>39945</v>
      </c>
      <c r="G99" s="118"/>
      <c r="H99" s="50">
        <f>H125</f>
        <v>40841</v>
      </c>
      <c r="I99" s="139"/>
      <c r="J99" s="231"/>
      <c r="K99" s="231"/>
      <c r="L99" s="231"/>
      <c r="M99" s="231"/>
      <c r="N99" s="231"/>
      <c r="O99" s="231"/>
      <c r="P99" s="231"/>
      <c r="Q99" s="231"/>
      <c r="R99" s="231"/>
      <c r="S99" s="231"/>
      <c r="T99" s="231"/>
      <c r="U99" s="231"/>
      <c r="V99" s="231"/>
      <c r="W99" s="231"/>
      <c r="X99" s="231"/>
      <c r="Y99" s="231"/>
      <c r="Z99" s="231"/>
      <c r="AA99" s="231"/>
      <c r="AB99" s="231"/>
      <c r="AC99" s="231"/>
      <c r="AD99" s="231"/>
      <c r="AE99" s="231"/>
      <c r="AF99" s="231"/>
      <c r="AG99" s="231"/>
      <c r="AH99" s="231"/>
      <c r="AI99" s="231"/>
      <c r="AJ99" s="231"/>
      <c r="AK99" s="231"/>
      <c r="AL99" s="231"/>
      <c r="AM99" s="231"/>
      <c r="AN99" s="231"/>
    </row>
    <row r="100" spans="1:40" s="203" customFormat="1">
      <c r="A100" s="120">
        <v>5</v>
      </c>
      <c r="B100" s="47" t="s">
        <v>108</v>
      </c>
      <c r="C100" s="47"/>
      <c r="D100" s="47"/>
      <c r="E100" s="114">
        <v>7707</v>
      </c>
      <c r="F100" s="50">
        <f>F135</f>
        <v>7671</v>
      </c>
      <c r="G100" s="118"/>
      <c r="H100" s="50">
        <f>H135</f>
        <v>7798</v>
      </c>
      <c r="I100" s="139"/>
      <c r="J100" s="231"/>
      <c r="K100" s="231"/>
      <c r="L100" s="231"/>
      <c r="M100" s="231"/>
      <c r="N100" s="231"/>
      <c r="O100" s="231"/>
      <c r="P100" s="231"/>
      <c r="Q100" s="231"/>
      <c r="R100" s="231"/>
      <c r="S100" s="231"/>
      <c r="T100" s="231"/>
      <c r="U100" s="231"/>
      <c r="V100" s="231"/>
      <c r="W100" s="231"/>
      <c r="X100" s="231"/>
      <c r="Y100" s="231"/>
      <c r="Z100" s="231"/>
      <c r="AA100" s="231"/>
      <c r="AB100" s="231"/>
      <c r="AC100" s="231"/>
      <c r="AD100" s="231"/>
      <c r="AE100" s="231"/>
      <c r="AF100" s="231"/>
      <c r="AG100" s="231"/>
      <c r="AH100" s="231"/>
      <c r="AI100" s="231"/>
      <c r="AJ100" s="231"/>
      <c r="AK100" s="231"/>
      <c r="AL100" s="231"/>
      <c r="AM100" s="231"/>
      <c r="AN100" s="231"/>
    </row>
    <row r="101" spans="1:40" s="203" customFormat="1">
      <c r="A101" s="120">
        <v>6</v>
      </c>
      <c r="B101" s="47" t="s">
        <v>109</v>
      </c>
      <c r="C101" s="47"/>
      <c r="D101" s="47"/>
      <c r="E101" s="114">
        <v>23608</v>
      </c>
      <c r="F101" s="50">
        <f>F143</f>
        <v>23551</v>
      </c>
      <c r="G101" s="118"/>
      <c r="H101" s="50">
        <f>H143</f>
        <v>24046</v>
      </c>
      <c r="I101" s="139"/>
      <c r="J101" s="231"/>
      <c r="K101" s="231"/>
      <c r="L101" s="231"/>
      <c r="M101" s="231"/>
      <c r="N101" s="231"/>
      <c r="O101" s="231"/>
      <c r="P101" s="231"/>
      <c r="Q101" s="231"/>
      <c r="R101" s="231"/>
      <c r="S101" s="231"/>
      <c r="T101" s="231"/>
      <c r="U101" s="231"/>
      <c r="V101" s="231"/>
      <c r="W101" s="231"/>
      <c r="X101" s="231"/>
      <c r="Y101" s="231"/>
      <c r="Z101" s="231"/>
      <c r="AA101" s="231"/>
      <c r="AB101" s="231"/>
      <c r="AC101" s="231"/>
      <c r="AD101" s="231"/>
      <c r="AE101" s="231"/>
      <c r="AF101" s="231"/>
      <c r="AG101" s="231"/>
      <c r="AH101" s="231"/>
      <c r="AI101" s="231"/>
      <c r="AJ101" s="231"/>
      <c r="AK101" s="231"/>
      <c r="AL101" s="231"/>
      <c r="AM101" s="231"/>
      <c r="AN101" s="231"/>
    </row>
    <row r="102" spans="1:40" s="203" customFormat="1">
      <c r="A102" s="120">
        <v>7</v>
      </c>
      <c r="B102" s="47" t="s">
        <v>110</v>
      </c>
      <c r="C102" s="47"/>
      <c r="D102" s="47"/>
      <c r="E102" s="114">
        <v>4992</v>
      </c>
      <c r="F102" s="50">
        <f>F150</f>
        <v>4931</v>
      </c>
      <c r="G102" s="118"/>
      <c r="H102" s="50">
        <f>H150</f>
        <v>5086</v>
      </c>
      <c r="I102" s="139"/>
      <c r="J102" s="231"/>
      <c r="K102" s="231"/>
      <c r="L102" s="231"/>
      <c r="M102" s="231"/>
      <c r="N102" s="231"/>
      <c r="O102" s="231"/>
      <c r="P102" s="231"/>
      <c r="Q102" s="231"/>
      <c r="R102" s="231"/>
      <c r="S102" s="231"/>
      <c r="T102" s="231"/>
      <c r="U102" s="231"/>
      <c r="V102" s="231"/>
      <c r="W102" s="231"/>
      <c r="X102" s="231"/>
      <c r="Y102" s="231"/>
      <c r="Z102" s="231"/>
      <c r="AA102" s="231"/>
      <c r="AB102" s="231"/>
      <c r="AC102" s="231"/>
      <c r="AD102" s="231"/>
      <c r="AE102" s="231"/>
      <c r="AF102" s="231"/>
      <c r="AG102" s="231"/>
      <c r="AH102" s="231"/>
      <c r="AI102" s="231"/>
      <c r="AJ102" s="231"/>
      <c r="AK102" s="231"/>
      <c r="AL102" s="231"/>
      <c r="AM102" s="231"/>
      <c r="AN102" s="231"/>
    </row>
    <row r="103" spans="1:40" s="203" customFormat="1">
      <c r="A103" s="120">
        <v>8</v>
      </c>
      <c r="B103" s="47" t="s">
        <v>111</v>
      </c>
      <c r="C103" s="47"/>
      <c r="D103" s="47"/>
      <c r="E103" s="114">
        <v>871</v>
      </c>
      <c r="F103" s="52">
        <v>912</v>
      </c>
      <c r="G103" s="118"/>
      <c r="H103" s="122">
        <v>951</v>
      </c>
      <c r="I103" s="139"/>
      <c r="J103" s="231"/>
      <c r="K103" s="231"/>
      <c r="L103" s="231"/>
      <c r="M103" s="231"/>
      <c r="N103" s="231"/>
      <c r="O103" s="231"/>
      <c r="P103" s="231"/>
      <c r="Q103" s="231"/>
      <c r="R103" s="231"/>
      <c r="S103" s="231"/>
      <c r="T103" s="231"/>
      <c r="U103" s="231"/>
      <c r="V103" s="231"/>
      <c r="W103" s="231"/>
      <c r="X103" s="231"/>
      <c r="Y103" s="231"/>
      <c r="Z103" s="231"/>
      <c r="AA103" s="231"/>
      <c r="AB103" s="231"/>
      <c r="AC103" s="231"/>
      <c r="AD103" s="231"/>
      <c r="AE103" s="231"/>
      <c r="AF103" s="231"/>
      <c r="AG103" s="231"/>
      <c r="AH103" s="231"/>
      <c r="AI103" s="231"/>
      <c r="AJ103" s="231"/>
      <c r="AK103" s="231"/>
      <c r="AL103" s="231"/>
      <c r="AM103" s="231"/>
      <c r="AN103" s="231"/>
    </row>
    <row r="104" spans="1:40" s="203" customFormat="1">
      <c r="A104" s="120">
        <v>9</v>
      </c>
      <c r="B104" s="47" t="s">
        <v>112</v>
      </c>
      <c r="C104" s="47"/>
      <c r="D104" s="47"/>
      <c r="E104" s="114">
        <v>4501</v>
      </c>
      <c r="F104" s="52">
        <v>4154</v>
      </c>
      <c r="G104" s="118"/>
      <c r="H104" s="122">
        <v>3829</v>
      </c>
      <c r="I104" s="139"/>
      <c r="J104" s="231"/>
      <c r="K104" s="231"/>
      <c r="L104" s="231"/>
      <c r="M104" s="231"/>
      <c r="N104" s="231"/>
      <c r="O104" s="231"/>
      <c r="P104" s="231"/>
      <c r="Q104" s="231"/>
      <c r="R104" s="231"/>
      <c r="S104" s="231"/>
      <c r="T104" s="231"/>
      <c r="U104" s="231"/>
      <c r="V104" s="231"/>
      <c r="W104" s="231"/>
      <c r="X104" s="231"/>
      <c r="Y104" s="231"/>
      <c r="Z104" s="231"/>
      <c r="AA104" s="231"/>
      <c r="AB104" s="231"/>
      <c r="AC104" s="231"/>
      <c r="AD104" s="231"/>
      <c r="AE104" s="231"/>
      <c r="AF104" s="231"/>
      <c r="AG104" s="231"/>
      <c r="AH104" s="231"/>
      <c r="AI104" s="231"/>
      <c r="AJ104" s="231"/>
      <c r="AK104" s="231"/>
      <c r="AL104" s="231"/>
      <c r="AM104" s="231"/>
      <c r="AN104" s="231"/>
    </row>
    <row r="105" spans="1:40" s="203" customFormat="1">
      <c r="A105" s="111" t="s">
        <v>113</v>
      </c>
      <c r="B105" s="116" t="s">
        <v>114</v>
      </c>
      <c r="C105" s="116"/>
      <c r="D105" s="47"/>
      <c r="E105" s="134">
        <v>118704</v>
      </c>
      <c r="F105" s="61">
        <f>SUM(F96:F104)</f>
        <v>115940</v>
      </c>
      <c r="G105" s="118"/>
      <c r="H105" s="61">
        <f>SUM(H96:H104)</f>
        <v>117376</v>
      </c>
      <c r="I105" s="139"/>
      <c r="J105" s="231"/>
      <c r="K105" s="231"/>
      <c r="L105" s="231"/>
      <c r="M105" s="231"/>
      <c r="N105" s="231"/>
      <c r="O105" s="231"/>
      <c r="P105" s="231"/>
      <c r="Q105" s="231"/>
      <c r="R105" s="231"/>
      <c r="S105" s="231"/>
      <c r="T105" s="231"/>
      <c r="U105" s="231"/>
      <c r="V105" s="231"/>
      <c r="W105" s="231"/>
      <c r="X105" s="231"/>
      <c r="Y105" s="231"/>
      <c r="Z105" s="231"/>
      <c r="AA105" s="231"/>
      <c r="AB105" s="231"/>
      <c r="AC105" s="231"/>
      <c r="AD105" s="231"/>
      <c r="AE105" s="231"/>
      <c r="AF105" s="231"/>
      <c r="AG105" s="231"/>
      <c r="AH105" s="231"/>
      <c r="AI105" s="231"/>
      <c r="AJ105" s="231"/>
      <c r="AK105" s="231"/>
      <c r="AL105" s="231"/>
      <c r="AM105" s="231"/>
      <c r="AN105" s="231"/>
    </row>
    <row r="106" spans="1:40" s="203" customFormat="1">
      <c r="A106" s="120">
        <v>11</v>
      </c>
      <c r="B106" s="90" t="s">
        <v>115</v>
      </c>
      <c r="C106" s="47"/>
      <c r="D106" s="47"/>
      <c r="E106" s="135">
        <v>0</v>
      </c>
      <c r="F106" s="136">
        <v>329</v>
      </c>
      <c r="G106" s="118"/>
      <c r="H106" s="137">
        <v>361</v>
      </c>
      <c r="I106" s="139"/>
      <c r="J106" s="231"/>
      <c r="K106" s="231"/>
      <c r="L106" s="231"/>
      <c r="M106" s="231"/>
      <c r="N106" s="231"/>
      <c r="O106" s="231"/>
      <c r="P106" s="231"/>
      <c r="Q106" s="231"/>
      <c r="R106" s="231"/>
      <c r="S106" s="231"/>
      <c r="T106" s="231"/>
      <c r="U106" s="231"/>
      <c r="V106" s="231"/>
      <c r="W106" s="231"/>
      <c r="X106" s="231"/>
      <c r="Y106" s="231"/>
      <c r="Z106" s="231"/>
      <c r="AA106" s="231"/>
      <c r="AB106" s="231"/>
      <c r="AC106" s="231"/>
      <c r="AD106" s="231"/>
      <c r="AE106" s="231"/>
      <c r="AF106" s="231"/>
      <c r="AG106" s="231"/>
      <c r="AH106" s="231"/>
      <c r="AI106" s="231"/>
      <c r="AJ106" s="231"/>
      <c r="AK106" s="231"/>
      <c r="AL106" s="231"/>
      <c r="AM106" s="231"/>
      <c r="AN106" s="231"/>
    </row>
    <row r="107" spans="1:40" s="203" customFormat="1">
      <c r="A107" s="111"/>
      <c r="B107" s="47"/>
      <c r="C107" s="47"/>
      <c r="D107" s="138"/>
      <c r="E107" s="117"/>
      <c r="F107" s="139"/>
      <c r="G107" s="139"/>
      <c r="H107" s="139"/>
      <c r="I107" s="139"/>
      <c r="J107" s="231"/>
      <c r="K107" s="231"/>
      <c r="L107" s="231"/>
      <c r="M107" s="231"/>
      <c r="N107" s="231"/>
      <c r="O107" s="231"/>
      <c r="P107" s="231"/>
      <c r="Q107" s="231"/>
      <c r="R107" s="231"/>
      <c r="S107" s="231"/>
      <c r="T107" s="231"/>
      <c r="U107" s="231"/>
      <c r="V107" s="231"/>
      <c r="W107" s="231"/>
      <c r="X107" s="231"/>
      <c r="Y107" s="231"/>
      <c r="Z107" s="231"/>
      <c r="AA107" s="231"/>
      <c r="AB107" s="231"/>
      <c r="AC107" s="231"/>
      <c r="AD107" s="231"/>
      <c r="AE107" s="231"/>
      <c r="AF107" s="231"/>
      <c r="AG107" s="231"/>
      <c r="AH107" s="231"/>
      <c r="AI107" s="231"/>
      <c r="AJ107" s="231"/>
      <c r="AK107" s="231"/>
      <c r="AL107" s="231"/>
      <c r="AM107" s="231"/>
      <c r="AN107" s="231"/>
    </row>
    <row r="108" spans="1:40" s="203" customFormat="1">
      <c r="A108" s="119" t="s">
        <v>116</v>
      </c>
      <c r="B108" s="47"/>
      <c r="C108" s="47"/>
      <c r="D108" s="47"/>
      <c r="E108" s="117"/>
      <c r="F108" s="139"/>
      <c r="G108" s="139"/>
      <c r="H108" s="139"/>
      <c r="I108" s="139"/>
      <c r="J108" s="231"/>
      <c r="K108" s="231"/>
      <c r="L108" s="231"/>
      <c r="M108" s="231"/>
      <c r="N108" s="231"/>
      <c r="O108" s="231"/>
      <c r="P108" s="231"/>
      <c r="Q108" s="231"/>
      <c r="R108" s="231"/>
      <c r="S108" s="231"/>
      <c r="T108" s="231"/>
      <c r="U108" s="231"/>
      <c r="V108" s="231"/>
      <c r="W108" s="231"/>
      <c r="X108" s="231"/>
      <c r="Y108" s="231"/>
      <c r="Z108" s="231"/>
      <c r="AA108" s="231"/>
      <c r="AB108" s="231"/>
      <c r="AC108" s="231"/>
      <c r="AD108" s="231"/>
      <c r="AE108" s="231"/>
      <c r="AF108" s="231"/>
      <c r="AG108" s="231"/>
      <c r="AH108" s="231"/>
      <c r="AI108" s="231"/>
      <c r="AJ108" s="231"/>
      <c r="AK108" s="231"/>
      <c r="AL108" s="231"/>
      <c r="AM108" s="231"/>
      <c r="AN108" s="231"/>
    </row>
    <row r="109" spans="1:40" s="203" customFormat="1">
      <c r="A109" s="119" t="s">
        <v>106</v>
      </c>
      <c r="B109" s="47"/>
      <c r="C109" s="47"/>
      <c r="D109" s="47"/>
      <c r="E109" s="140"/>
      <c r="F109" s="141"/>
      <c r="G109" s="139"/>
      <c r="H109" s="141"/>
      <c r="I109" s="139"/>
      <c r="J109" s="231"/>
      <c r="K109" s="231"/>
      <c r="L109" s="231"/>
      <c r="M109" s="231"/>
      <c r="N109" s="231"/>
      <c r="O109" s="231"/>
      <c r="P109" s="231"/>
      <c r="Q109" s="231"/>
      <c r="R109" s="231"/>
      <c r="S109" s="231"/>
      <c r="T109" s="231"/>
      <c r="U109" s="231"/>
      <c r="V109" s="231"/>
      <c r="W109" s="231"/>
      <c r="X109" s="231"/>
      <c r="Y109" s="231"/>
      <c r="Z109" s="231"/>
      <c r="AA109" s="231"/>
      <c r="AB109" s="231"/>
      <c r="AC109" s="231"/>
      <c r="AD109" s="231"/>
      <c r="AE109" s="231"/>
      <c r="AF109" s="231"/>
      <c r="AG109" s="231"/>
      <c r="AH109" s="231"/>
      <c r="AI109" s="231"/>
      <c r="AJ109" s="231"/>
      <c r="AK109" s="231"/>
      <c r="AL109" s="231"/>
      <c r="AM109" s="231"/>
      <c r="AN109" s="231"/>
    </row>
    <row r="110" spans="1:40" s="203" customFormat="1">
      <c r="A110" s="120">
        <v>12</v>
      </c>
      <c r="B110" s="47" t="s">
        <v>117</v>
      </c>
      <c r="C110" s="47"/>
      <c r="D110" s="47"/>
      <c r="E110" s="49">
        <v>6423</v>
      </c>
      <c r="F110" s="52">
        <v>6314</v>
      </c>
      <c r="G110" s="118"/>
      <c r="H110" s="122">
        <v>5691</v>
      </c>
      <c r="I110" s="139"/>
      <c r="J110" s="231"/>
      <c r="K110" s="231"/>
      <c r="L110" s="231"/>
      <c r="M110" s="231"/>
      <c r="N110" s="231"/>
      <c r="O110" s="231"/>
      <c r="P110" s="231"/>
      <c r="Q110" s="231"/>
      <c r="R110" s="231"/>
      <c r="S110" s="231"/>
      <c r="T110" s="231"/>
      <c r="U110" s="231"/>
      <c r="V110" s="231"/>
      <c r="W110" s="231"/>
      <c r="X110" s="231"/>
      <c r="Y110" s="231"/>
      <c r="Z110" s="231"/>
      <c r="AA110" s="231"/>
      <c r="AB110" s="231"/>
      <c r="AC110" s="231"/>
      <c r="AD110" s="231"/>
      <c r="AE110" s="231"/>
      <c r="AF110" s="231"/>
      <c r="AG110" s="231"/>
      <c r="AH110" s="231"/>
      <c r="AI110" s="231"/>
      <c r="AJ110" s="231"/>
      <c r="AK110" s="231"/>
      <c r="AL110" s="231"/>
      <c r="AM110" s="231"/>
      <c r="AN110" s="231"/>
    </row>
    <row r="111" spans="1:40" s="203" customFormat="1">
      <c r="A111" s="120">
        <v>13</v>
      </c>
      <c r="B111" s="47" t="s">
        <v>118</v>
      </c>
      <c r="C111" s="47"/>
      <c r="D111" s="47"/>
      <c r="E111" s="49">
        <v>10899</v>
      </c>
      <c r="F111" s="52">
        <v>11009</v>
      </c>
      <c r="G111" s="118"/>
      <c r="H111" s="122">
        <v>11164</v>
      </c>
      <c r="I111" s="139"/>
      <c r="J111" s="231"/>
      <c r="K111" s="231"/>
      <c r="L111" s="231"/>
      <c r="M111" s="231"/>
      <c r="N111" s="231"/>
      <c r="O111" s="231"/>
      <c r="P111" s="231"/>
      <c r="Q111" s="231"/>
      <c r="R111" s="231"/>
      <c r="S111" s="231"/>
      <c r="T111" s="231"/>
      <c r="U111" s="231"/>
      <c r="V111" s="231"/>
      <c r="W111" s="231"/>
      <c r="X111" s="231"/>
      <c r="Y111" s="231"/>
      <c r="Z111" s="231"/>
      <c r="AA111" s="231"/>
      <c r="AB111" s="231"/>
      <c r="AC111" s="231"/>
      <c r="AD111" s="231"/>
      <c r="AE111" s="231"/>
      <c r="AF111" s="231"/>
      <c r="AG111" s="231"/>
      <c r="AH111" s="231"/>
      <c r="AI111" s="231"/>
      <c r="AJ111" s="231"/>
      <c r="AK111" s="231"/>
      <c r="AL111" s="231"/>
      <c r="AM111" s="231"/>
      <c r="AN111" s="231"/>
    </row>
    <row r="112" spans="1:40" s="203" customFormat="1">
      <c r="A112" s="120">
        <v>14</v>
      </c>
      <c r="B112" s="47" t="s">
        <v>119</v>
      </c>
      <c r="C112" s="47"/>
      <c r="D112" s="47"/>
      <c r="E112" s="49">
        <v>14394</v>
      </c>
      <c r="F112" s="52">
        <v>12558</v>
      </c>
      <c r="G112" s="118"/>
      <c r="H112" s="122">
        <v>12973</v>
      </c>
      <c r="I112" s="139"/>
      <c r="J112" s="231"/>
      <c r="K112" s="231"/>
      <c r="L112" s="231"/>
      <c r="M112" s="231"/>
      <c r="N112" s="231"/>
      <c r="O112" s="231"/>
      <c r="P112" s="231"/>
      <c r="Q112" s="231"/>
      <c r="R112" s="231"/>
      <c r="S112" s="231"/>
      <c r="T112" s="231"/>
      <c r="U112" s="231"/>
      <c r="V112" s="231"/>
      <c r="W112" s="231"/>
      <c r="X112" s="231"/>
      <c r="Y112" s="231"/>
      <c r="Z112" s="231"/>
      <c r="AA112" s="231"/>
      <c r="AB112" s="231"/>
      <c r="AC112" s="231"/>
      <c r="AD112" s="231"/>
      <c r="AE112" s="231"/>
      <c r="AF112" s="231"/>
      <c r="AG112" s="231"/>
      <c r="AH112" s="231"/>
      <c r="AI112" s="231"/>
      <c r="AJ112" s="231"/>
      <c r="AK112" s="231"/>
      <c r="AL112" s="231"/>
      <c r="AM112" s="231"/>
      <c r="AN112" s="231"/>
    </row>
    <row r="113" spans="1:40" s="203" customFormat="1">
      <c r="A113" s="120">
        <v>15</v>
      </c>
      <c r="B113" s="47" t="s">
        <v>120</v>
      </c>
      <c r="C113" s="47"/>
      <c r="D113" s="47"/>
      <c r="E113" s="49">
        <v>2742</v>
      </c>
      <c r="F113" s="52">
        <v>2684</v>
      </c>
      <c r="G113" s="118"/>
      <c r="H113" s="122">
        <v>2591</v>
      </c>
      <c r="I113" s="139"/>
      <c r="J113" s="231"/>
      <c r="K113" s="231"/>
      <c r="L113" s="231"/>
      <c r="M113" s="231"/>
      <c r="N113" s="231"/>
      <c r="O113" s="231"/>
      <c r="P113" s="231"/>
      <c r="Q113" s="231"/>
      <c r="R113" s="231"/>
      <c r="S113" s="231"/>
      <c r="T113" s="231"/>
      <c r="U113" s="231"/>
      <c r="V113" s="231"/>
      <c r="W113" s="231"/>
      <c r="X113" s="231"/>
      <c r="Y113" s="231"/>
      <c r="Z113" s="231"/>
      <c r="AA113" s="231"/>
      <c r="AB113" s="231"/>
      <c r="AC113" s="231"/>
      <c r="AD113" s="231"/>
      <c r="AE113" s="231"/>
      <c r="AF113" s="231"/>
      <c r="AG113" s="231"/>
      <c r="AH113" s="231"/>
      <c r="AI113" s="231"/>
      <c r="AJ113" s="231"/>
      <c r="AK113" s="231"/>
      <c r="AL113" s="231"/>
      <c r="AM113" s="231"/>
      <c r="AN113" s="231"/>
    </row>
    <row r="114" spans="1:40" s="203" customFormat="1">
      <c r="A114" s="120">
        <v>16</v>
      </c>
      <c r="B114" s="47" t="s">
        <v>121</v>
      </c>
      <c r="C114" s="47"/>
      <c r="D114" s="47"/>
      <c r="E114" s="49">
        <v>1422</v>
      </c>
      <c r="F114" s="52">
        <v>1441</v>
      </c>
      <c r="G114" s="118"/>
      <c r="H114" s="100">
        <v>1355</v>
      </c>
      <c r="I114" s="139"/>
      <c r="J114" s="231"/>
      <c r="K114" s="231"/>
      <c r="L114" s="231"/>
      <c r="M114" s="231"/>
      <c r="N114" s="231"/>
      <c r="O114" s="231"/>
      <c r="P114" s="231"/>
      <c r="Q114" s="231"/>
      <c r="R114" s="231"/>
      <c r="S114" s="231"/>
      <c r="T114" s="231"/>
      <c r="U114" s="231"/>
      <c r="V114" s="231"/>
      <c r="W114" s="231"/>
      <c r="X114" s="231"/>
      <c r="Y114" s="231"/>
      <c r="Z114" s="231"/>
      <c r="AA114" s="231"/>
      <c r="AB114" s="231"/>
      <c r="AC114" s="231"/>
      <c r="AD114" s="231"/>
      <c r="AE114" s="231"/>
      <c r="AF114" s="231"/>
      <c r="AG114" s="231"/>
      <c r="AH114" s="231"/>
      <c r="AI114" s="231"/>
      <c r="AJ114" s="231"/>
      <c r="AK114" s="231"/>
      <c r="AL114" s="231"/>
      <c r="AM114" s="231"/>
      <c r="AN114" s="231"/>
    </row>
    <row r="115" spans="1:40" s="203" customFormat="1">
      <c r="A115" s="120">
        <v>17</v>
      </c>
      <c r="B115" s="116" t="s">
        <v>122</v>
      </c>
      <c r="C115" s="116"/>
      <c r="D115" s="116"/>
      <c r="E115" s="80">
        <v>35880</v>
      </c>
      <c r="F115" s="142">
        <f>SUM(F110:F114)</f>
        <v>34006</v>
      </c>
      <c r="G115" s="118"/>
      <c r="H115" s="142">
        <f>SUM(H110:H114)</f>
        <v>33774</v>
      </c>
      <c r="I115" s="139"/>
      <c r="J115" s="231"/>
      <c r="K115" s="231"/>
      <c r="L115" s="231"/>
      <c r="M115" s="231"/>
      <c r="N115" s="231"/>
      <c r="O115" s="231"/>
      <c r="P115" s="231"/>
      <c r="Q115" s="231"/>
      <c r="R115" s="231"/>
      <c r="S115" s="231"/>
      <c r="T115" s="231"/>
      <c r="U115" s="231"/>
      <c r="V115" s="231"/>
      <c r="W115" s="231"/>
      <c r="X115" s="231"/>
      <c r="Y115" s="231"/>
      <c r="Z115" s="231"/>
      <c r="AA115" s="231"/>
      <c r="AB115" s="231"/>
      <c r="AC115" s="231"/>
      <c r="AD115" s="231"/>
      <c r="AE115" s="231"/>
      <c r="AF115" s="231"/>
      <c r="AG115" s="231"/>
      <c r="AH115" s="231"/>
      <c r="AI115" s="231"/>
      <c r="AJ115" s="231"/>
      <c r="AK115" s="231"/>
      <c r="AL115" s="231"/>
      <c r="AM115" s="231"/>
      <c r="AN115" s="231"/>
    </row>
    <row r="116" spans="1:40" s="203" customFormat="1">
      <c r="A116" s="111"/>
      <c r="B116" s="116"/>
      <c r="C116" s="116"/>
      <c r="D116" s="116"/>
      <c r="E116" s="143"/>
      <c r="F116" s="118"/>
      <c r="G116" s="118"/>
      <c r="H116" s="118"/>
      <c r="I116" s="139"/>
      <c r="J116" s="231"/>
      <c r="K116" s="231"/>
      <c r="L116" s="231"/>
      <c r="M116" s="231"/>
      <c r="N116" s="231"/>
      <c r="O116" s="231"/>
      <c r="P116" s="231"/>
      <c r="Q116" s="231"/>
      <c r="R116" s="231"/>
      <c r="S116" s="231"/>
      <c r="T116" s="231"/>
      <c r="U116" s="231"/>
      <c r="V116" s="231"/>
      <c r="W116" s="231"/>
      <c r="X116" s="231"/>
      <c r="Y116" s="231"/>
      <c r="Z116" s="231"/>
      <c r="AA116" s="231"/>
      <c r="AB116" s="231"/>
      <c r="AC116" s="231"/>
      <c r="AD116" s="231"/>
      <c r="AE116" s="231"/>
      <c r="AF116" s="231"/>
      <c r="AG116" s="231"/>
      <c r="AH116" s="231"/>
      <c r="AI116" s="231"/>
      <c r="AJ116" s="231"/>
      <c r="AK116" s="231"/>
      <c r="AL116" s="231"/>
      <c r="AM116" s="231"/>
      <c r="AN116" s="231"/>
    </row>
    <row r="117" spans="1:40" s="203" customFormat="1">
      <c r="A117" s="144" t="s">
        <v>107</v>
      </c>
      <c r="B117" s="116"/>
      <c r="C117" s="116"/>
      <c r="D117" s="116"/>
      <c r="E117" s="145"/>
      <c r="F117" s="146"/>
      <c r="G117" s="118"/>
      <c r="H117" s="146"/>
      <c r="I117" s="139"/>
      <c r="J117" s="231"/>
      <c r="K117" s="231"/>
      <c r="L117" s="231"/>
      <c r="M117" s="231"/>
      <c r="N117" s="231"/>
      <c r="O117" s="231"/>
      <c r="P117" s="231"/>
      <c r="Q117" s="231"/>
      <c r="R117" s="231"/>
      <c r="S117" s="231"/>
      <c r="T117" s="231"/>
      <c r="U117" s="231"/>
      <c r="V117" s="231"/>
      <c r="W117" s="231"/>
      <c r="X117" s="231"/>
      <c r="Y117" s="231"/>
      <c r="Z117" s="231"/>
      <c r="AA117" s="231"/>
      <c r="AB117" s="231"/>
      <c r="AC117" s="231"/>
      <c r="AD117" s="231"/>
      <c r="AE117" s="231"/>
      <c r="AF117" s="231"/>
      <c r="AG117" s="231"/>
      <c r="AH117" s="231"/>
      <c r="AI117" s="231"/>
      <c r="AJ117" s="231"/>
      <c r="AK117" s="231"/>
      <c r="AL117" s="231"/>
      <c r="AM117" s="231"/>
      <c r="AN117" s="231"/>
    </row>
    <row r="118" spans="1:40" s="203" customFormat="1">
      <c r="A118" s="120">
        <v>18</v>
      </c>
      <c r="B118" s="47" t="s">
        <v>123</v>
      </c>
      <c r="C118" s="47"/>
      <c r="D118" s="47"/>
      <c r="E118" s="49">
        <v>2306</v>
      </c>
      <c r="F118" s="52">
        <v>2279</v>
      </c>
      <c r="G118" s="118"/>
      <c r="H118" s="122">
        <v>2187</v>
      </c>
      <c r="I118" s="139"/>
      <c r="J118" s="231"/>
      <c r="K118" s="231"/>
      <c r="L118" s="231"/>
      <c r="M118" s="231"/>
      <c r="N118" s="231"/>
      <c r="O118" s="231"/>
      <c r="P118" s="231"/>
      <c r="Q118" s="231"/>
      <c r="R118" s="231"/>
      <c r="S118" s="231"/>
      <c r="T118" s="231"/>
      <c r="U118" s="231"/>
      <c r="V118" s="231"/>
      <c r="W118" s="231"/>
      <c r="X118" s="231"/>
      <c r="Y118" s="231"/>
      <c r="Z118" s="231"/>
      <c r="AA118" s="231"/>
      <c r="AB118" s="231"/>
      <c r="AC118" s="231"/>
      <c r="AD118" s="231"/>
      <c r="AE118" s="231"/>
      <c r="AF118" s="231"/>
      <c r="AG118" s="231"/>
      <c r="AH118" s="231"/>
      <c r="AI118" s="231"/>
      <c r="AJ118" s="231"/>
      <c r="AK118" s="231"/>
      <c r="AL118" s="231"/>
      <c r="AM118" s="231"/>
      <c r="AN118" s="231"/>
    </row>
    <row r="119" spans="1:40" s="203" customFormat="1">
      <c r="A119" s="120">
        <v>19</v>
      </c>
      <c r="B119" s="47" t="s">
        <v>124</v>
      </c>
      <c r="C119" s="47"/>
      <c r="D119" s="47"/>
      <c r="E119" s="49">
        <v>12539</v>
      </c>
      <c r="F119" s="52">
        <f>12350-151</f>
        <v>12199</v>
      </c>
      <c r="G119" s="118"/>
      <c r="H119" s="122">
        <f>12759-150</f>
        <v>12609</v>
      </c>
      <c r="I119" s="139"/>
      <c r="J119" s="231"/>
      <c r="K119" s="231"/>
      <c r="L119" s="231"/>
      <c r="M119" s="231"/>
      <c r="N119" s="231"/>
      <c r="O119" s="231"/>
      <c r="P119" s="231"/>
      <c r="Q119" s="231"/>
      <c r="R119" s="231"/>
      <c r="S119" s="231"/>
      <c r="T119" s="231"/>
      <c r="U119" s="231"/>
      <c r="V119" s="231"/>
      <c r="W119" s="231"/>
      <c r="X119" s="231"/>
      <c r="Y119" s="231"/>
      <c r="Z119" s="231"/>
      <c r="AA119" s="231"/>
      <c r="AB119" s="231"/>
      <c r="AC119" s="231"/>
      <c r="AD119" s="231"/>
      <c r="AE119" s="231"/>
      <c r="AF119" s="231"/>
      <c r="AG119" s="231"/>
      <c r="AH119" s="231"/>
      <c r="AI119" s="231"/>
      <c r="AJ119" s="231"/>
      <c r="AK119" s="231"/>
      <c r="AL119" s="231"/>
      <c r="AM119" s="231"/>
      <c r="AN119" s="231"/>
    </row>
    <row r="120" spans="1:40" s="203" customFormat="1">
      <c r="A120" s="120">
        <v>20</v>
      </c>
      <c r="B120" s="47" t="s">
        <v>119</v>
      </c>
      <c r="C120" s="47"/>
      <c r="D120" s="47"/>
      <c r="E120" s="49">
        <v>23809</v>
      </c>
      <c r="F120" s="52">
        <f>23803-399</f>
        <v>23404</v>
      </c>
      <c r="G120" s="118"/>
      <c r="H120" s="122">
        <f>24354+1-399</f>
        <v>23956</v>
      </c>
      <c r="I120" s="139"/>
      <c r="J120" s="231"/>
      <c r="K120" s="231"/>
      <c r="L120" s="231"/>
      <c r="M120" s="231"/>
      <c r="N120" s="231"/>
      <c r="O120" s="231"/>
      <c r="P120" s="231"/>
      <c r="Q120" s="231"/>
      <c r="R120" s="231"/>
      <c r="S120" s="231"/>
      <c r="T120" s="231"/>
      <c r="U120" s="231"/>
      <c r="V120" s="231"/>
      <c r="W120" s="231"/>
      <c r="X120" s="231"/>
      <c r="Y120" s="231"/>
      <c r="Z120" s="231"/>
      <c r="AA120" s="231"/>
      <c r="AB120" s="231"/>
      <c r="AC120" s="231"/>
      <c r="AD120" s="231"/>
      <c r="AE120" s="231"/>
      <c r="AF120" s="231"/>
      <c r="AG120" s="231"/>
      <c r="AH120" s="231"/>
      <c r="AI120" s="231"/>
      <c r="AJ120" s="231"/>
      <c r="AK120" s="231"/>
      <c r="AL120" s="231"/>
      <c r="AM120" s="231"/>
      <c r="AN120" s="231"/>
    </row>
    <row r="121" spans="1:40" s="203" customFormat="1">
      <c r="A121" s="120">
        <v>21</v>
      </c>
      <c r="B121" s="47" t="s">
        <v>120</v>
      </c>
      <c r="C121" s="47"/>
      <c r="D121" s="47"/>
      <c r="E121" s="49">
        <v>1078</v>
      </c>
      <c r="F121" s="52">
        <v>1093</v>
      </c>
      <c r="G121" s="118"/>
      <c r="H121" s="122">
        <v>1119</v>
      </c>
      <c r="I121" s="139"/>
      <c r="J121" s="231"/>
      <c r="K121" s="231"/>
      <c r="L121" s="231"/>
      <c r="M121" s="231"/>
      <c r="N121" s="231"/>
      <c r="O121" s="231"/>
      <c r="P121" s="231"/>
      <c r="Q121" s="231"/>
      <c r="R121" s="231"/>
      <c r="S121" s="231"/>
      <c r="T121" s="231"/>
      <c r="U121" s="231"/>
      <c r="V121" s="231"/>
      <c r="W121" s="231"/>
      <c r="X121" s="231"/>
      <c r="Y121" s="231"/>
      <c r="Z121" s="231"/>
      <c r="AA121" s="231"/>
      <c r="AB121" s="231"/>
      <c r="AC121" s="231"/>
      <c r="AD121" s="231"/>
      <c r="AE121" s="231"/>
      <c r="AF121" s="231"/>
      <c r="AG121" s="231"/>
      <c r="AH121" s="231"/>
      <c r="AI121" s="231"/>
      <c r="AJ121" s="231"/>
      <c r="AK121" s="231"/>
      <c r="AL121" s="231"/>
      <c r="AM121" s="231"/>
      <c r="AN121" s="231"/>
    </row>
    <row r="122" spans="1:40" s="203" customFormat="1">
      <c r="A122" s="120">
        <v>22</v>
      </c>
      <c r="B122" s="47" t="s">
        <v>125</v>
      </c>
      <c r="C122" s="47"/>
      <c r="D122" s="47"/>
      <c r="E122" s="49">
        <v>618</v>
      </c>
      <c r="F122" s="52">
        <v>664</v>
      </c>
      <c r="G122" s="118"/>
      <c r="H122" s="122">
        <v>664</v>
      </c>
      <c r="I122" s="139"/>
      <c r="J122" s="231"/>
      <c r="K122" s="231"/>
      <c r="L122" s="231"/>
      <c r="M122" s="231"/>
      <c r="N122" s="231"/>
      <c r="O122" s="231"/>
      <c r="P122" s="231"/>
      <c r="Q122" s="231"/>
      <c r="R122" s="231"/>
      <c r="S122" s="231"/>
      <c r="T122" s="231"/>
      <c r="U122" s="231"/>
      <c r="V122" s="231"/>
      <c r="W122" s="231"/>
      <c r="X122" s="231"/>
      <c r="Y122" s="231"/>
      <c r="Z122" s="231"/>
      <c r="AA122" s="231"/>
      <c r="AB122" s="231"/>
      <c r="AC122" s="231"/>
      <c r="AD122" s="231"/>
      <c r="AE122" s="231"/>
      <c r="AF122" s="231"/>
      <c r="AG122" s="231"/>
      <c r="AH122" s="231"/>
      <c r="AI122" s="231"/>
      <c r="AJ122" s="231"/>
      <c r="AK122" s="231"/>
      <c r="AL122" s="231"/>
      <c r="AM122" s="231"/>
      <c r="AN122" s="231"/>
    </row>
    <row r="123" spans="1:40" s="203" customFormat="1">
      <c r="A123" s="120">
        <v>23</v>
      </c>
      <c r="B123" s="90" t="s">
        <v>126</v>
      </c>
      <c r="C123" s="47"/>
      <c r="D123" s="47"/>
      <c r="E123" s="49">
        <v>23</v>
      </c>
      <c r="F123" s="52">
        <v>306</v>
      </c>
      <c r="G123" s="118"/>
      <c r="H123" s="99">
        <v>306</v>
      </c>
      <c r="I123" s="139"/>
      <c r="J123" s="231"/>
      <c r="K123" s="231"/>
      <c r="L123" s="231"/>
      <c r="M123" s="231"/>
      <c r="N123" s="231"/>
      <c r="O123" s="231"/>
      <c r="P123" s="231"/>
      <c r="Q123" s="231"/>
      <c r="R123" s="231"/>
      <c r="S123" s="231"/>
      <c r="T123" s="231"/>
      <c r="U123" s="231"/>
      <c r="V123" s="231"/>
      <c r="W123" s="231"/>
      <c r="X123" s="231"/>
      <c r="Y123" s="231"/>
      <c r="Z123" s="231"/>
      <c r="AA123" s="231"/>
      <c r="AB123" s="231"/>
      <c r="AC123" s="231"/>
      <c r="AD123" s="231"/>
      <c r="AE123" s="231"/>
      <c r="AF123" s="231"/>
      <c r="AG123" s="231"/>
      <c r="AH123" s="231"/>
      <c r="AI123" s="231"/>
      <c r="AJ123" s="231"/>
      <c r="AK123" s="231"/>
      <c r="AL123" s="231"/>
      <c r="AM123" s="231"/>
      <c r="AN123" s="231"/>
    </row>
    <row r="124" spans="1:40" s="203" customFormat="1">
      <c r="A124" s="120">
        <v>24</v>
      </c>
      <c r="B124" s="47" t="s">
        <v>121</v>
      </c>
      <c r="C124" s="47"/>
      <c r="D124" s="47"/>
      <c r="E124" s="49">
        <v>0</v>
      </c>
      <c r="F124" s="52">
        <v>0</v>
      </c>
      <c r="G124" s="118"/>
      <c r="H124" s="100">
        <v>0</v>
      </c>
      <c r="I124" s="139"/>
      <c r="J124" s="231"/>
      <c r="K124" s="231"/>
      <c r="L124" s="231"/>
      <c r="M124" s="231"/>
      <c r="N124" s="231"/>
      <c r="O124" s="231"/>
      <c r="P124" s="231"/>
      <c r="Q124" s="231"/>
      <c r="R124" s="231"/>
      <c r="S124" s="231"/>
      <c r="T124" s="231"/>
      <c r="U124" s="231"/>
      <c r="V124" s="231"/>
      <c r="W124" s="231"/>
      <c r="X124" s="231"/>
      <c r="Y124" s="231"/>
      <c r="Z124" s="231"/>
      <c r="AA124" s="231"/>
      <c r="AB124" s="231"/>
      <c r="AC124" s="231"/>
      <c r="AD124" s="231"/>
      <c r="AE124" s="231"/>
      <c r="AF124" s="231"/>
      <c r="AG124" s="231"/>
      <c r="AH124" s="231"/>
      <c r="AI124" s="231"/>
      <c r="AJ124" s="231"/>
      <c r="AK124" s="231"/>
      <c r="AL124" s="231"/>
      <c r="AM124" s="231"/>
      <c r="AN124" s="231"/>
    </row>
    <row r="125" spans="1:40" s="203" customFormat="1">
      <c r="A125" s="120">
        <v>25</v>
      </c>
      <c r="B125" s="147" t="s">
        <v>127</v>
      </c>
      <c r="C125" s="147"/>
      <c r="D125" s="147"/>
      <c r="E125" s="80">
        <v>40373</v>
      </c>
      <c r="F125" s="142">
        <f>SUM(F118:F124)</f>
        <v>39945</v>
      </c>
      <c r="G125" s="118"/>
      <c r="H125" s="142">
        <f>SUM(H118:H124)</f>
        <v>40841</v>
      </c>
      <c r="I125" s="139"/>
      <c r="J125" s="231"/>
      <c r="K125" s="231"/>
      <c r="L125" s="231"/>
      <c r="M125" s="231"/>
      <c r="N125" s="231"/>
      <c r="O125" s="231"/>
      <c r="P125" s="231"/>
      <c r="Q125" s="231"/>
      <c r="R125" s="231"/>
      <c r="S125" s="231"/>
      <c r="T125" s="231"/>
      <c r="U125" s="231"/>
      <c r="V125" s="231"/>
      <c r="W125" s="231"/>
      <c r="X125" s="231"/>
      <c r="Y125" s="231"/>
      <c r="Z125" s="231"/>
      <c r="AA125" s="231"/>
      <c r="AB125" s="231"/>
      <c r="AC125" s="231"/>
      <c r="AD125" s="231"/>
      <c r="AE125" s="231"/>
      <c r="AF125" s="231"/>
      <c r="AG125" s="231"/>
      <c r="AH125" s="231"/>
      <c r="AI125" s="231"/>
      <c r="AJ125" s="231"/>
      <c r="AK125" s="231"/>
      <c r="AL125" s="231"/>
      <c r="AM125" s="231"/>
      <c r="AN125" s="231"/>
    </row>
    <row r="126" spans="1:40" s="203" customFormat="1">
      <c r="A126" s="111"/>
      <c r="B126" s="47"/>
      <c r="C126" s="47"/>
      <c r="D126" s="47"/>
      <c r="E126" s="117"/>
      <c r="F126" s="118"/>
      <c r="G126" s="118"/>
      <c r="H126" s="118"/>
      <c r="I126" s="139"/>
      <c r="J126" s="231"/>
      <c r="K126" s="231"/>
      <c r="L126" s="231"/>
      <c r="M126" s="231"/>
      <c r="N126" s="231"/>
      <c r="O126" s="231"/>
      <c r="P126" s="231"/>
      <c r="Q126" s="231"/>
      <c r="R126" s="231"/>
      <c r="S126" s="231"/>
      <c r="T126" s="231"/>
      <c r="U126" s="231"/>
      <c r="V126" s="231"/>
      <c r="W126" s="231"/>
      <c r="X126" s="231"/>
      <c r="Y126" s="231"/>
      <c r="Z126" s="231"/>
      <c r="AA126" s="231"/>
      <c r="AB126" s="231"/>
      <c r="AC126" s="231"/>
      <c r="AD126" s="231"/>
      <c r="AE126" s="231"/>
      <c r="AF126" s="231"/>
      <c r="AG126" s="231"/>
      <c r="AH126" s="231"/>
      <c r="AI126" s="231"/>
      <c r="AJ126" s="231"/>
      <c r="AK126" s="231"/>
      <c r="AL126" s="231"/>
      <c r="AM126" s="231"/>
      <c r="AN126" s="231"/>
    </row>
    <row r="127" spans="1:40" s="203" customFormat="1">
      <c r="A127" s="119" t="s">
        <v>108</v>
      </c>
      <c r="B127" s="147"/>
      <c r="C127" s="147"/>
      <c r="D127" s="147"/>
      <c r="E127" s="140"/>
      <c r="F127" s="146"/>
      <c r="G127" s="118"/>
      <c r="H127" s="146"/>
      <c r="I127" s="139"/>
      <c r="J127" s="231"/>
      <c r="K127" s="231"/>
      <c r="L127" s="231"/>
      <c r="M127" s="231"/>
      <c r="N127" s="231"/>
      <c r="O127" s="231"/>
      <c r="P127" s="231"/>
      <c r="Q127" s="231"/>
      <c r="R127" s="231"/>
      <c r="S127" s="231"/>
      <c r="T127" s="231"/>
      <c r="U127" s="231"/>
      <c r="V127" s="231"/>
      <c r="W127" s="231"/>
      <c r="X127" s="231"/>
      <c r="Y127" s="231"/>
      <c r="Z127" s="231"/>
      <c r="AA127" s="231"/>
      <c r="AB127" s="231"/>
      <c r="AC127" s="231"/>
      <c r="AD127" s="231"/>
      <c r="AE127" s="231"/>
      <c r="AF127" s="231"/>
      <c r="AG127" s="231"/>
      <c r="AH127" s="231"/>
      <c r="AI127" s="231"/>
      <c r="AJ127" s="231"/>
      <c r="AK127" s="231"/>
      <c r="AL127" s="231"/>
      <c r="AM127" s="231"/>
      <c r="AN127" s="231"/>
    </row>
    <row r="128" spans="1:40" s="203" customFormat="1">
      <c r="A128" s="120">
        <v>26</v>
      </c>
      <c r="B128" s="47" t="s">
        <v>123</v>
      </c>
      <c r="C128" s="47"/>
      <c r="D128" s="47"/>
      <c r="E128" s="74">
        <v>1514</v>
      </c>
      <c r="F128" s="52">
        <v>1480</v>
      </c>
      <c r="G128" s="118"/>
      <c r="H128" s="122">
        <v>1505</v>
      </c>
      <c r="I128" s="139"/>
      <c r="J128" s="231"/>
      <c r="K128" s="231"/>
      <c r="L128" s="231"/>
      <c r="M128" s="231"/>
      <c r="N128" s="231"/>
      <c r="O128" s="231"/>
      <c r="P128" s="231"/>
      <c r="Q128" s="231"/>
      <c r="R128" s="231"/>
      <c r="S128" s="231"/>
      <c r="T128" s="231"/>
      <c r="U128" s="231"/>
      <c r="V128" s="231"/>
      <c r="W128" s="231"/>
      <c r="X128" s="231"/>
      <c r="Y128" s="231"/>
      <c r="Z128" s="231"/>
      <c r="AA128" s="231"/>
      <c r="AB128" s="231"/>
      <c r="AC128" s="231"/>
      <c r="AD128" s="231"/>
      <c r="AE128" s="231"/>
      <c r="AF128" s="231"/>
      <c r="AG128" s="231"/>
      <c r="AH128" s="231"/>
      <c r="AI128" s="231"/>
      <c r="AJ128" s="231"/>
      <c r="AK128" s="231"/>
      <c r="AL128" s="231"/>
      <c r="AM128" s="231"/>
      <c r="AN128" s="231"/>
    </row>
    <row r="129" spans="1:40" s="203" customFormat="1">
      <c r="A129" s="120">
        <v>27</v>
      </c>
      <c r="B129" s="47" t="s">
        <v>124</v>
      </c>
      <c r="C129" s="47"/>
      <c r="D129" s="47"/>
      <c r="E129" s="49">
        <v>787</v>
      </c>
      <c r="F129" s="52">
        <v>821</v>
      </c>
      <c r="G129" s="118"/>
      <c r="H129" s="122">
        <v>822</v>
      </c>
      <c r="I129" s="139"/>
      <c r="J129" s="231"/>
      <c r="K129" s="231"/>
      <c r="L129" s="231"/>
      <c r="M129" s="231"/>
      <c r="N129" s="231"/>
      <c r="O129" s="231"/>
      <c r="P129" s="231"/>
      <c r="Q129" s="231"/>
      <c r="R129" s="231"/>
      <c r="S129" s="231"/>
      <c r="T129" s="231"/>
      <c r="U129" s="231"/>
      <c r="V129" s="231"/>
      <c r="W129" s="231"/>
      <c r="X129" s="231"/>
      <c r="Y129" s="231"/>
      <c r="Z129" s="231"/>
      <c r="AA129" s="231"/>
      <c r="AB129" s="231"/>
      <c r="AC129" s="231"/>
      <c r="AD129" s="231"/>
      <c r="AE129" s="231"/>
      <c r="AF129" s="231"/>
      <c r="AG129" s="231"/>
      <c r="AH129" s="231"/>
      <c r="AI129" s="231"/>
      <c r="AJ129" s="231"/>
      <c r="AK129" s="231"/>
      <c r="AL129" s="231"/>
      <c r="AM129" s="231"/>
      <c r="AN129" s="231"/>
    </row>
    <row r="130" spans="1:40" s="203" customFormat="1">
      <c r="A130" s="120">
        <v>28</v>
      </c>
      <c r="B130" s="47" t="s">
        <v>119</v>
      </c>
      <c r="C130" s="47"/>
      <c r="D130" s="47"/>
      <c r="E130" s="49">
        <v>3934</v>
      </c>
      <c r="F130" s="52">
        <f>3741-168</f>
        <v>3573</v>
      </c>
      <c r="G130" s="118"/>
      <c r="H130" s="122">
        <f>3841-169</f>
        <v>3672</v>
      </c>
      <c r="I130" s="139"/>
      <c r="J130" s="231"/>
      <c r="K130" s="231"/>
      <c r="L130" s="231"/>
      <c r="M130" s="231"/>
      <c r="N130" s="231"/>
      <c r="O130" s="231"/>
      <c r="P130" s="231"/>
      <c r="Q130" s="231"/>
      <c r="R130" s="231"/>
      <c r="S130" s="231"/>
      <c r="T130" s="231"/>
      <c r="U130" s="231"/>
      <c r="V130" s="231"/>
      <c r="W130" s="231"/>
      <c r="X130" s="231"/>
      <c r="Y130" s="231"/>
      <c r="Z130" s="231"/>
      <c r="AA130" s="231"/>
      <c r="AB130" s="231"/>
      <c r="AC130" s="231"/>
      <c r="AD130" s="231"/>
      <c r="AE130" s="231"/>
      <c r="AF130" s="231"/>
      <c r="AG130" s="231"/>
      <c r="AH130" s="231"/>
      <c r="AI130" s="231"/>
      <c r="AJ130" s="231"/>
      <c r="AK130" s="231"/>
      <c r="AL130" s="231"/>
      <c r="AM130" s="231"/>
      <c r="AN130" s="231"/>
    </row>
    <row r="131" spans="1:40" s="203" customFormat="1">
      <c r="A131" s="120">
        <v>29</v>
      </c>
      <c r="B131" s="47" t="s">
        <v>120</v>
      </c>
      <c r="C131" s="47"/>
      <c r="D131" s="47"/>
      <c r="E131" s="49">
        <v>860</v>
      </c>
      <c r="F131" s="52">
        <v>845</v>
      </c>
      <c r="G131" s="118"/>
      <c r="H131" s="122">
        <v>845</v>
      </c>
      <c r="I131" s="139"/>
      <c r="J131" s="231"/>
      <c r="K131" s="231"/>
      <c r="L131" s="231"/>
      <c r="M131" s="231"/>
      <c r="N131" s="231"/>
      <c r="O131" s="231"/>
      <c r="P131" s="231"/>
      <c r="Q131" s="231"/>
      <c r="R131" s="231"/>
      <c r="S131" s="231"/>
      <c r="T131" s="231"/>
      <c r="U131" s="231"/>
      <c r="V131" s="231"/>
      <c r="W131" s="231"/>
      <c r="X131" s="231"/>
      <c r="Y131" s="231"/>
      <c r="Z131" s="231"/>
      <c r="AA131" s="231"/>
      <c r="AB131" s="231"/>
      <c r="AC131" s="231"/>
      <c r="AD131" s="231"/>
      <c r="AE131" s="231"/>
      <c r="AF131" s="231"/>
      <c r="AG131" s="231"/>
      <c r="AH131" s="231"/>
      <c r="AI131" s="231"/>
      <c r="AJ131" s="231"/>
      <c r="AK131" s="231"/>
      <c r="AL131" s="231"/>
      <c r="AM131" s="231"/>
      <c r="AN131" s="231"/>
    </row>
    <row r="132" spans="1:40" s="203" customFormat="1">
      <c r="A132" s="120">
        <v>30</v>
      </c>
      <c r="B132" s="47" t="s">
        <v>125</v>
      </c>
      <c r="C132" s="47"/>
      <c r="D132" s="47"/>
      <c r="E132" s="49">
        <v>298</v>
      </c>
      <c r="F132" s="52">
        <v>363</v>
      </c>
      <c r="G132" s="118"/>
      <c r="H132" s="122">
        <v>363</v>
      </c>
      <c r="I132" s="139"/>
      <c r="J132" s="231"/>
      <c r="K132" s="231"/>
      <c r="L132" s="231"/>
      <c r="M132" s="231"/>
      <c r="N132" s="231"/>
      <c r="O132" s="231"/>
      <c r="P132" s="231"/>
      <c r="Q132" s="231"/>
      <c r="R132" s="231"/>
      <c r="S132" s="231"/>
      <c r="T132" s="231"/>
      <c r="U132" s="231"/>
      <c r="V132" s="231"/>
      <c r="W132" s="231"/>
      <c r="X132" s="231"/>
      <c r="Y132" s="231"/>
      <c r="Z132" s="231"/>
      <c r="AA132" s="231"/>
      <c r="AB132" s="231"/>
      <c r="AC132" s="231"/>
      <c r="AD132" s="231"/>
      <c r="AE132" s="231"/>
      <c r="AF132" s="231"/>
      <c r="AG132" s="231"/>
      <c r="AH132" s="231"/>
      <c r="AI132" s="231"/>
      <c r="AJ132" s="231"/>
      <c r="AK132" s="231"/>
      <c r="AL132" s="231"/>
      <c r="AM132" s="231"/>
      <c r="AN132" s="231"/>
    </row>
    <row r="133" spans="1:40" s="203" customFormat="1">
      <c r="A133" s="120">
        <v>31</v>
      </c>
      <c r="B133" s="90" t="s">
        <v>126</v>
      </c>
      <c r="C133" s="47"/>
      <c r="D133" s="47"/>
      <c r="E133" s="49">
        <v>48</v>
      </c>
      <c r="F133" s="52">
        <v>589</v>
      </c>
      <c r="G133" s="118"/>
      <c r="H133" s="122">
        <v>589</v>
      </c>
      <c r="I133" s="139"/>
      <c r="J133" s="231"/>
      <c r="K133" s="231"/>
      <c r="L133" s="231"/>
      <c r="M133" s="231"/>
      <c r="N133" s="231"/>
      <c r="O133" s="231"/>
      <c r="P133" s="231"/>
      <c r="Q133" s="231"/>
      <c r="R133" s="231"/>
      <c r="S133" s="231"/>
      <c r="T133" s="231"/>
      <c r="U133" s="231"/>
      <c r="V133" s="231"/>
      <c r="W133" s="231"/>
      <c r="X133" s="231"/>
      <c r="Y133" s="231"/>
      <c r="Z133" s="231"/>
      <c r="AA133" s="231"/>
      <c r="AB133" s="231"/>
      <c r="AC133" s="231"/>
      <c r="AD133" s="231"/>
      <c r="AE133" s="231"/>
      <c r="AF133" s="231"/>
      <c r="AG133" s="231"/>
      <c r="AH133" s="231"/>
      <c r="AI133" s="231"/>
      <c r="AJ133" s="231"/>
      <c r="AK133" s="231"/>
      <c r="AL133" s="231"/>
      <c r="AM133" s="231"/>
      <c r="AN133" s="231"/>
    </row>
    <row r="134" spans="1:40" s="203" customFormat="1">
      <c r="A134" s="120">
        <v>32</v>
      </c>
      <c r="B134" s="47" t="s">
        <v>121</v>
      </c>
      <c r="C134" s="47"/>
      <c r="D134" s="47"/>
      <c r="E134" s="49">
        <v>266</v>
      </c>
      <c r="F134" s="52">
        <v>0</v>
      </c>
      <c r="G134" s="118"/>
      <c r="H134" s="100">
        <v>2</v>
      </c>
      <c r="I134" s="139"/>
      <c r="J134" s="231"/>
      <c r="K134" s="231"/>
      <c r="L134" s="231"/>
      <c r="M134" s="231"/>
      <c r="N134" s="231"/>
      <c r="O134" s="231"/>
      <c r="P134" s="231"/>
      <c r="Q134" s="231"/>
      <c r="R134" s="231"/>
      <c r="S134" s="231"/>
      <c r="T134" s="231"/>
      <c r="U134" s="231"/>
      <c r="V134" s="231"/>
      <c r="W134" s="231"/>
      <c r="X134" s="231"/>
      <c r="Y134" s="231"/>
      <c r="Z134" s="231"/>
      <c r="AA134" s="231"/>
      <c r="AB134" s="231"/>
      <c r="AC134" s="231"/>
      <c r="AD134" s="231"/>
      <c r="AE134" s="231"/>
      <c r="AF134" s="231"/>
      <c r="AG134" s="231"/>
      <c r="AH134" s="231"/>
      <c r="AI134" s="231"/>
      <c r="AJ134" s="231"/>
      <c r="AK134" s="231"/>
      <c r="AL134" s="231"/>
      <c r="AM134" s="231"/>
      <c r="AN134" s="231"/>
    </row>
    <row r="135" spans="1:40" s="203" customFormat="1">
      <c r="A135" s="120">
        <v>33</v>
      </c>
      <c r="B135" s="116" t="s">
        <v>128</v>
      </c>
      <c r="C135" s="116"/>
      <c r="D135" s="116"/>
      <c r="E135" s="80">
        <v>7707</v>
      </c>
      <c r="F135" s="142">
        <f>SUM(F128:F134)</f>
        <v>7671</v>
      </c>
      <c r="G135" s="118"/>
      <c r="H135" s="142">
        <f>SUM(H128:H134)</f>
        <v>7798</v>
      </c>
      <c r="I135" s="139"/>
      <c r="J135" s="231"/>
      <c r="K135" s="231"/>
      <c r="L135" s="231"/>
      <c r="M135" s="231"/>
      <c r="N135" s="231"/>
      <c r="O135" s="231"/>
      <c r="P135" s="231"/>
      <c r="Q135" s="231"/>
      <c r="R135" s="231"/>
      <c r="S135" s="231"/>
      <c r="T135" s="231"/>
      <c r="U135" s="231"/>
      <c r="V135" s="231"/>
      <c r="W135" s="231"/>
      <c r="X135" s="231"/>
      <c r="Y135" s="231"/>
      <c r="Z135" s="231"/>
      <c r="AA135" s="231"/>
      <c r="AB135" s="231"/>
      <c r="AC135" s="231"/>
      <c r="AD135" s="231"/>
      <c r="AE135" s="231"/>
      <c r="AF135" s="231"/>
      <c r="AG135" s="231"/>
      <c r="AH135" s="231"/>
      <c r="AI135" s="231"/>
      <c r="AJ135" s="231"/>
      <c r="AK135" s="231"/>
      <c r="AL135" s="231"/>
      <c r="AM135" s="231"/>
      <c r="AN135" s="231"/>
    </row>
    <row r="136" spans="1:40" s="203" customFormat="1">
      <c r="A136" s="111"/>
      <c r="B136" s="47"/>
      <c r="C136" s="47"/>
      <c r="D136" s="138"/>
      <c r="E136" s="117"/>
      <c r="F136" s="118"/>
      <c r="G136" s="118"/>
      <c r="H136" s="118"/>
      <c r="I136" s="139"/>
      <c r="J136" s="231"/>
      <c r="K136" s="231"/>
      <c r="L136" s="231"/>
      <c r="M136" s="231"/>
      <c r="N136" s="231"/>
      <c r="O136" s="231"/>
      <c r="P136" s="231"/>
      <c r="Q136" s="231"/>
      <c r="R136" s="231"/>
      <c r="S136" s="231"/>
      <c r="T136" s="231"/>
      <c r="U136" s="231"/>
      <c r="V136" s="231"/>
      <c r="W136" s="231"/>
      <c r="X136" s="231"/>
      <c r="Y136" s="231"/>
      <c r="Z136" s="231"/>
      <c r="AA136" s="231"/>
      <c r="AB136" s="231"/>
      <c r="AC136" s="231"/>
      <c r="AD136" s="231"/>
      <c r="AE136" s="231"/>
      <c r="AF136" s="231"/>
      <c r="AG136" s="231"/>
      <c r="AH136" s="231"/>
      <c r="AI136" s="231"/>
      <c r="AJ136" s="231"/>
      <c r="AK136" s="231"/>
      <c r="AL136" s="231"/>
      <c r="AM136" s="231"/>
      <c r="AN136" s="231"/>
    </row>
    <row r="137" spans="1:40" s="203" customFormat="1">
      <c r="A137" s="119" t="s">
        <v>109</v>
      </c>
      <c r="B137" s="116"/>
      <c r="C137" s="116"/>
      <c r="D137" s="116"/>
      <c r="E137" s="140"/>
      <c r="F137" s="146"/>
      <c r="G137" s="118"/>
      <c r="H137" s="146"/>
      <c r="I137" s="139"/>
      <c r="J137" s="231"/>
      <c r="K137" s="231"/>
      <c r="L137" s="231"/>
      <c r="M137" s="231"/>
      <c r="N137" s="231"/>
      <c r="O137" s="231"/>
      <c r="P137" s="231"/>
      <c r="Q137" s="231"/>
      <c r="R137" s="231"/>
      <c r="S137" s="231"/>
      <c r="T137" s="231"/>
      <c r="U137" s="231"/>
      <c r="V137" s="231"/>
      <c r="W137" s="231"/>
      <c r="X137" s="231"/>
      <c r="Y137" s="231"/>
      <c r="Z137" s="231"/>
      <c r="AA137" s="231"/>
      <c r="AB137" s="231"/>
      <c r="AC137" s="231"/>
      <c r="AD137" s="231"/>
      <c r="AE137" s="231"/>
      <c r="AF137" s="231"/>
      <c r="AG137" s="231"/>
      <c r="AH137" s="231"/>
      <c r="AI137" s="231"/>
      <c r="AJ137" s="231"/>
      <c r="AK137" s="231"/>
      <c r="AL137" s="231"/>
      <c r="AM137" s="231"/>
      <c r="AN137" s="231"/>
    </row>
    <row r="138" spans="1:40" s="203" customFormat="1">
      <c r="A138" s="120">
        <v>34</v>
      </c>
      <c r="B138" s="47" t="s">
        <v>123</v>
      </c>
      <c r="C138" s="47"/>
      <c r="D138" s="47"/>
      <c r="E138" s="49">
        <v>1763</v>
      </c>
      <c r="F138" s="52">
        <v>1690</v>
      </c>
      <c r="G138" s="118"/>
      <c r="H138" s="122">
        <v>1620</v>
      </c>
      <c r="I138" s="139"/>
      <c r="J138" s="231"/>
      <c r="K138" s="231"/>
      <c r="L138" s="231"/>
      <c r="M138" s="231"/>
      <c r="N138" s="231"/>
      <c r="O138" s="231"/>
      <c r="P138" s="231"/>
      <c r="Q138" s="231"/>
      <c r="R138" s="231"/>
      <c r="S138" s="231"/>
      <c r="T138" s="231"/>
      <c r="U138" s="231"/>
      <c r="V138" s="231"/>
      <c r="W138" s="231"/>
      <c r="X138" s="231"/>
      <c r="Y138" s="231"/>
      <c r="Z138" s="231"/>
      <c r="AA138" s="231"/>
      <c r="AB138" s="231"/>
      <c r="AC138" s="231"/>
      <c r="AD138" s="231"/>
      <c r="AE138" s="231"/>
      <c r="AF138" s="231"/>
      <c r="AG138" s="231"/>
      <c r="AH138" s="231"/>
      <c r="AI138" s="231"/>
      <c r="AJ138" s="231"/>
      <c r="AK138" s="231"/>
      <c r="AL138" s="231"/>
      <c r="AM138" s="231"/>
      <c r="AN138" s="231"/>
    </row>
    <row r="139" spans="1:40" s="203" customFormat="1">
      <c r="A139" s="120">
        <v>35</v>
      </c>
      <c r="B139" s="47" t="s">
        <v>119</v>
      </c>
      <c r="C139" s="47"/>
      <c r="D139" s="47"/>
      <c r="E139" s="49">
        <v>18246</v>
      </c>
      <c r="F139" s="52">
        <f>18228-150</f>
        <v>18078</v>
      </c>
      <c r="G139" s="118"/>
      <c r="H139" s="122">
        <f>18723-150</f>
        <v>18573</v>
      </c>
      <c r="I139" s="139"/>
      <c r="J139" s="231"/>
      <c r="K139" s="231"/>
      <c r="L139" s="231"/>
      <c r="M139" s="231"/>
      <c r="N139" s="231"/>
      <c r="O139" s="231"/>
      <c r="P139" s="231"/>
      <c r="Q139" s="231"/>
      <c r="R139" s="231"/>
      <c r="S139" s="231"/>
      <c r="T139" s="231"/>
      <c r="U139" s="231"/>
      <c r="V139" s="231"/>
      <c r="W139" s="231"/>
      <c r="X139" s="231"/>
      <c r="Y139" s="231"/>
      <c r="Z139" s="231"/>
      <c r="AA139" s="231"/>
      <c r="AB139" s="231"/>
      <c r="AC139" s="231"/>
      <c r="AD139" s="231"/>
      <c r="AE139" s="231"/>
      <c r="AF139" s="231"/>
      <c r="AG139" s="231"/>
      <c r="AH139" s="231"/>
      <c r="AI139" s="231"/>
      <c r="AJ139" s="231"/>
      <c r="AK139" s="231"/>
      <c r="AL139" s="231"/>
      <c r="AM139" s="231"/>
      <c r="AN139" s="231"/>
    </row>
    <row r="140" spans="1:40" s="203" customFormat="1">
      <c r="A140" s="120">
        <v>36</v>
      </c>
      <c r="B140" s="47" t="s">
        <v>120</v>
      </c>
      <c r="C140" s="47"/>
      <c r="D140" s="47"/>
      <c r="E140" s="49">
        <v>3351</v>
      </c>
      <c r="F140" s="52">
        <v>3341</v>
      </c>
      <c r="G140" s="118"/>
      <c r="H140" s="122">
        <v>3411</v>
      </c>
      <c r="I140" s="139"/>
      <c r="J140" s="231"/>
      <c r="K140" s="231"/>
      <c r="L140" s="231"/>
      <c r="M140" s="231"/>
      <c r="N140" s="231"/>
      <c r="O140" s="231"/>
      <c r="P140" s="231"/>
      <c r="Q140" s="231"/>
      <c r="R140" s="231"/>
      <c r="S140" s="231"/>
      <c r="T140" s="231"/>
      <c r="U140" s="231"/>
      <c r="V140" s="231"/>
      <c r="W140" s="231"/>
      <c r="X140" s="231"/>
      <c r="Y140" s="231"/>
      <c r="Z140" s="231"/>
      <c r="AA140" s="231"/>
      <c r="AB140" s="231"/>
      <c r="AC140" s="231"/>
      <c r="AD140" s="231"/>
      <c r="AE140" s="231"/>
      <c r="AF140" s="231"/>
      <c r="AG140" s="231"/>
      <c r="AH140" s="231"/>
      <c r="AI140" s="231"/>
      <c r="AJ140" s="231"/>
      <c r="AK140" s="231"/>
      <c r="AL140" s="231"/>
      <c r="AM140" s="231"/>
      <c r="AN140" s="231"/>
    </row>
    <row r="141" spans="1:40" s="203" customFormat="1">
      <c r="A141" s="120">
        <v>37</v>
      </c>
      <c r="B141" s="90" t="s">
        <v>126</v>
      </c>
      <c r="C141" s="47"/>
      <c r="D141" s="47"/>
      <c r="E141" s="49">
        <v>22</v>
      </c>
      <c r="F141" s="52">
        <v>442</v>
      </c>
      <c r="G141" s="118"/>
      <c r="H141" s="99">
        <v>442</v>
      </c>
      <c r="I141" s="139"/>
      <c r="J141" s="231"/>
      <c r="K141" s="231"/>
      <c r="L141" s="231"/>
      <c r="M141" s="231"/>
      <c r="N141" s="231"/>
      <c r="O141" s="231"/>
      <c r="P141" s="231"/>
      <c r="Q141" s="231"/>
      <c r="R141" s="231"/>
      <c r="S141" s="231"/>
      <c r="T141" s="231"/>
      <c r="U141" s="231"/>
      <c r="V141" s="231"/>
      <c r="W141" s="231"/>
      <c r="X141" s="231"/>
      <c r="Y141" s="231"/>
      <c r="Z141" s="231"/>
      <c r="AA141" s="231"/>
      <c r="AB141" s="231"/>
      <c r="AC141" s="231"/>
      <c r="AD141" s="231"/>
      <c r="AE141" s="231"/>
      <c r="AF141" s="231"/>
      <c r="AG141" s="231"/>
      <c r="AH141" s="231"/>
      <c r="AI141" s="231"/>
      <c r="AJ141" s="231"/>
      <c r="AK141" s="231"/>
      <c r="AL141" s="231"/>
      <c r="AM141" s="231"/>
      <c r="AN141" s="231"/>
    </row>
    <row r="142" spans="1:40" s="203" customFormat="1">
      <c r="A142" s="120">
        <v>38</v>
      </c>
      <c r="B142" s="47" t="s">
        <v>121</v>
      </c>
      <c r="C142" s="47"/>
      <c r="D142" s="47"/>
      <c r="E142" s="49">
        <v>226</v>
      </c>
      <c r="F142" s="52">
        <v>0</v>
      </c>
      <c r="G142" s="118"/>
      <c r="H142" s="100">
        <v>0</v>
      </c>
      <c r="I142" s="139"/>
      <c r="J142" s="231"/>
      <c r="K142" s="231"/>
      <c r="L142" s="231"/>
      <c r="M142" s="231"/>
      <c r="N142" s="231"/>
      <c r="O142" s="231"/>
      <c r="P142" s="231"/>
      <c r="Q142" s="231"/>
      <c r="R142" s="231"/>
      <c r="S142" s="231"/>
      <c r="T142" s="231"/>
      <c r="U142" s="231"/>
      <c r="V142" s="231"/>
      <c r="W142" s="231"/>
      <c r="X142" s="231"/>
      <c r="Y142" s="231"/>
      <c r="Z142" s="231"/>
      <c r="AA142" s="231"/>
      <c r="AB142" s="231"/>
      <c r="AC142" s="231"/>
      <c r="AD142" s="231"/>
      <c r="AE142" s="231"/>
      <c r="AF142" s="231"/>
      <c r="AG142" s="231"/>
      <c r="AH142" s="231"/>
      <c r="AI142" s="231"/>
      <c r="AJ142" s="231"/>
      <c r="AK142" s="231"/>
      <c r="AL142" s="231"/>
      <c r="AM142" s="231"/>
      <c r="AN142" s="231"/>
    </row>
    <row r="143" spans="1:40" s="203" customFormat="1">
      <c r="A143" s="120">
        <v>39</v>
      </c>
      <c r="B143" s="116" t="s">
        <v>129</v>
      </c>
      <c r="C143" s="116"/>
      <c r="D143" s="116"/>
      <c r="E143" s="80">
        <v>23608</v>
      </c>
      <c r="F143" s="142">
        <f>SUM(F138:F142)</f>
        <v>23551</v>
      </c>
      <c r="G143" s="118"/>
      <c r="H143" s="142">
        <f>SUM(H138:H142)</f>
        <v>24046</v>
      </c>
      <c r="I143" s="139"/>
      <c r="J143" s="231"/>
      <c r="K143" s="231"/>
      <c r="L143" s="231"/>
      <c r="M143" s="231"/>
      <c r="N143" s="231"/>
      <c r="O143" s="231"/>
      <c r="P143" s="231"/>
      <c r="Q143" s="231"/>
      <c r="R143" s="231"/>
      <c r="S143" s="231"/>
      <c r="T143" s="231"/>
      <c r="U143" s="231"/>
      <c r="V143" s="231"/>
      <c r="W143" s="231"/>
      <c r="X143" s="231"/>
      <c r="Y143" s="231"/>
      <c r="Z143" s="231"/>
      <c r="AA143" s="231"/>
      <c r="AB143" s="231"/>
      <c r="AC143" s="231"/>
      <c r="AD143" s="231"/>
      <c r="AE143" s="231"/>
      <c r="AF143" s="231"/>
      <c r="AG143" s="231"/>
      <c r="AH143" s="231"/>
      <c r="AI143" s="231"/>
      <c r="AJ143" s="231"/>
      <c r="AK143" s="231"/>
      <c r="AL143" s="231"/>
      <c r="AM143" s="231"/>
      <c r="AN143" s="231"/>
    </row>
    <row r="144" spans="1:40" s="203" customFormat="1">
      <c r="A144" s="111"/>
      <c r="B144" s="47"/>
      <c r="C144" s="47"/>
      <c r="D144" s="47"/>
      <c r="E144" s="117"/>
      <c r="F144" s="118"/>
      <c r="G144" s="118"/>
      <c r="H144" s="118"/>
      <c r="I144" s="139"/>
      <c r="J144" s="231"/>
      <c r="K144" s="231"/>
      <c r="L144" s="231"/>
      <c r="M144" s="231"/>
      <c r="N144" s="231"/>
      <c r="O144" s="231"/>
      <c r="P144" s="231"/>
      <c r="Q144" s="231"/>
      <c r="R144" s="231"/>
      <c r="S144" s="231"/>
      <c r="T144" s="231"/>
      <c r="U144" s="231"/>
      <c r="V144" s="231"/>
      <c r="W144" s="231"/>
      <c r="X144" s="231"/>
      <c r="Y144" s="231"/>
      <c r="Z144" s="231"/>
      <c r="AA144" s="231"/>
      <c r="AB144" s="231"/>
      <c r="AC144" s="231"/>
      <c r="AD144" s="231"/>
      <c r="AE144" s="231"/>
      <c r="AF144" s="231"/>
      <c r="AG144" s="231"/>
      <c r="AH144" s="231"/>
      <c r="AI144" s="231"/>
      <c r="AJ144" s="231"/>
      <c r="AK144" s="231"/>
      <c r="AL144" s="231"/>
      <c r="AM144" s="231"/>
      <c r="AN144" s="231"/>
    </row>
    <row r="145" spans="1:40" s="203" customFormat="1">
      <c r="A145" s="119" t="s">
        <v>110</v>
      </c>
      <c r="B145" s="116"/>
      <c r="C145" s="116"/>
      <c r="D145" s="116"/>
      <c r="E145" s="140"/>
      <c r="F145" s="146"/>
      <c r="G145" s="118"/>
      <c r="H145" s="146"/>
      <c r="I145" s="139"/>
      <c r="J145" s="231"/>
      <c r="K145" s="231"/>
      <c r="L145" s="231"/>
      <c r="M145" s="231"/>
      <c r="N145" s="231"/>
      <c r="O145" s="231"/>
      <c r="P145" s="231"/>
      <c r="Q145" s="231"/>
      <c r="R145" s="231"/>
      <c r="S145" s="231"/>
      <c r="T145" s="231"/>
      <c r="U145" s="231"/>
      <c r="V145" s="231"/>
      <c r="W145" s="231"/>
      <c r="X145" s="231"/>
      <c r="Y145" s="231"/>
      <c r="Z145" s="231"/>
      <c r="AA145" s="231"/>
      <c r="AB145" s="231"/>
      <c r="AC145" s="231"/>
      <c r="AD145" s="231"/>
      <c r="AE145" s="231"/>
      <c r="AF145" s="231"/>
      <c r="AG145" s="231"/>
      <c r="AH145" s="231"/>
      <c r="AI145" s="231"/>
      <c r="AJ145" s="231"/>
      <c r="AK145" s="231"/>
      <c r="AL145" s="231"/>
      <c r="AM145" s="231"/>
      <c r="AN145" s="231"/>
    </row>
    <row r="146" spans="1:40" s="203" customFormat="1">
      <c r="A146" s="120">
        <v>40</v>
      </c>
      <c r="B146" s="47" t="s">
        <v>123</v>
      </c>
      <c r="C146" s="47"/>
      <c r="D146" s="47"/>
      <c r="E146" s="49">
        <v>962</v>
      </c>
      <c r="F146" s="52">
        <v>997</v>
      </c>
      <c r="G146" s="118"/>
      <c r="H146" s="122">
        <v>1008</v>
      </c>
      <c r="I146" s="139"/>
      <c r="J146" s="231"/>
      <c r="K146" s="231"/>
      <c r="L146" s="231"/>
      <c r="M146" s="231"/>
      <c r="N146" s="231"/>
      <c r="O146" s="231"/>
      <c r="P146" s="231"/>
      <c r="Q146" s="231"/>
      <c r="R146" s="231"/>
      <c r="S146" s="231"/>
      <c r="T146" s="231"/>
      <c r="U146" s="231"/>
      <c r="V146" s="231"/>
      <c r="W146" s="231"/>
      <c r="X146" s="231"/>
      <c r="Y146" s="231"/>
      <c r="Z146" s="231"/>
      <c r="AA146" s="231"/>
      <c r="AB146" s="231"/>
      <c r="AC146" s="231"/>
      <c r="AD146" s="231"/>
      <c r="AE146" s="231"/>
      <c r="AF146" s="231"/>
      <c r="AG146" s="231"/>
      <c r="AH146" s="231"/>
      <c r="AI146" s="231"/>
      <c r="AJ146" s="231"/>
      <c r="AK146" s="231"/>
      <c r="AL146" s="231"/>
      <c r="AM146" s="231"/>
      <c r="AN146" s="231"/>
    </row>
    <row r="147" spans="1:40" s="203" customFormat="1">
      <c r="A147" s="120">
        <v>41</v>
      </c>
      <c r="B147" s="47" t="s">
        <v>119</v>
      </c>
      <c r="C147" s="47"/>
      <c r="D147" s="47"/>
      <c r="E147" s="49">
        <v>3474</v>
      </c>
      <c r="F147" s="52">
        <v>3422</v>
      </c>
      <c r="G147" s="118"/>
      <c r="H147" s="122">
        <v>3559</v>
      </c>
      <c r="I147" s="139"/>
      <c r="J147" s="231"/>
      <c r="K147" s="231"/>
      <c r="L147" s="231"/>
      <c r="M147" s="231"/>
      <c r="N147" s="231"/>
      <c r="O147" s="231"/>
      <c r="P147" s="231"/>
      <c r="Q147" s="231"/>
      <c r="R147" s="231"/>
      <c r="S147" s="231"/>
      <c r="T147" s="231"/>
      <c r="U147" s="231"/>
      <c r="V147" s="231"/>
      <c r="W147" s="231"/>
      <c r="X147" s="231"/>
      <c r="Y147" s="231"/>
      <c r="Z147" s="231"/>
      <c r="AA147" s="231"/>
      <c r="AB147" s="231"/>
      <c r="AC147" s="231"/>
      <c r="AD147" s="231"/>
      <c r="AE147" s="231"/>
      <c r="AF147" s="231"/>
      <c r="AG147" s="231"/>
      <c r="AH147" s="231"/>
      <c r="AI147" s="231"/>
      <c r="AJ147" s="231"/>
      <c r="AK147" s="231"/>
      <c r="AL147" s="231"/>
      <c r="AM147" s="231"/>
      <c r="AN147" s="231"/>
    </row>
    <row r="148" spans="1:40" s="203" customFormat="1">
      <c r="A148" s="120">
        <v>42</v>
      </c>
      <c r="B148" s="47" t="s">
        <v>120</v>
      </c>
      <c r="C148" s="47"/>
      <c r="D148" s="47"/>
      <c r="E148" s="49">
        <v>249</v>
      </c>
      <c r="F148" s="52">
        <v>248</v>
      </c>
      <c r="G148" s="118"/>
      <c r="H148" s="122">
        <v>255</v>
      </c>
      <c r="I148" s="139"/>
      <c r="J148" s="231"/>
      <c r="K148" s="231"/>
      <c r="L148" s="231"/>
      <c r="M148" s="231"/>
      <c r="N148" s="231"/>
      <c r="O148" s="231"/>
      <c r="P148" s="231"/>
      <c r="Q148" s="231"/>
      <c r="R148" s="231"/>
      <c r="S148" s="231"/>
      <c r="T148" s="231"/>
      <c r="U148" s="231"/>
      <c r="V148" s="231"/>
      <c r="W148" s="231"/>
      <c r="X148" s="231"/>
      <c r="Y148" s="231"/>
      <c r="Z148" s="231"/>
      <c r="AA148" s="231"/>
      <c r="AB148" s="231"/>
      <c r="AC148" s="231"/>
      <c r="AD148" s="231"/>
      <c r="AE148" s="231"/>
      <c r="AF148" s="231"/>
      <c r="AG148" s="231"/>
      <c r="AH148" s="231"/>
      <c r="AI148" s="231"/>
      <c r="AJ148" s="231"/>
      <c r="AK148" s="231"/>
      <c r="AL148" s="231"/>
      <c r="AM148" s="231"/>
      <c r="AN148" s="231"/>
    </row>
    <row r="149" spans="1:40" s="203" customFormat="1">
      <c r="A149" s="120">
        <v>43</v>
      </c>
      <c r="B149" s="47" t="s">
        <v>121</v>
      </c>
      <c r="C149" s="47"/>
      <c r="D149" s="47"/>
      <c r="E149" s="49">
        <v>307</v>
      </c>
      <c r="F149" s="52">
        <v>264</v>
      </c>
      <c r="G149" s="118"/>
      <c r="H149" s="100">
        <v>264</v>
      </c>
      <c r="I149" s="139"/>
      <c r="J149" s="231"/>
      <c r="K149" s="231"/>
      <c r="L149" s="231"/>
      <c r="M149" s="231"/>
      <c r="N149" s="231"/>
      <c r="O149" s="231"/>
      <c r="P149" s="231"/>
      <c r="Q149" s="231"/>
      <c r="R149" s="231"/>
      <c r="S149" s="231"/>
      <c r="T149" s="231"/>
      <c r="U149" s="231"/>
      <c r="V149" s="231"/>
      <c r="W149" s="231"/>
      <c r="X149" s="231"/>
      <c r="Y149" s="231"/>
      <c r="Z149" s="231"/>
      <c r="AA149" s="231"/>
      <c r="AB149" s="231"/>
      <c r="AC149" s="231"/>
      <c r="AD149" s="231"/>
      <c r="AE149" s="231"/>
      <c r="AF149" s="231"/>
      <c r="AG149" s="231"/>
      <c r="AH149" s="231"/>
      <c r="AI149" s="231"/>
      <c r="AJ149" s="231"/>
      <c r="AK149" s="231"/>
      <c r="AL149" s="231"/>
      <c r="AM149" s="231"/>
      <c r="AN149" s="231"/>
    </row>
    <row r="150" spans="1:40" s="203" customFormat="1">
      <c r="A150" s="124">
        <v>44</v>
      </c>
      <c r="B150" s="94" t="s">
        <v>130</v>
      </c>
      <c r="C150" s="94"/>
      <c r="D150" s="94"/>
      <c r="E150" s="80">
        <v>4992</v>
      </c>
      <c r="F150" s="142">
        <f>SUM(F146:F149)</f>
        <v>4931</v>
      </c>
      <c r="G150" s="259"/>
      <c r="H150" s="142">
        <f>SUM(H146:H149)</f>
        <v>5086</v>
      </c>
      <c r="I150" s="139"/>
      <c r="J150" s="231"/>
      <c r="K150" s="231"/>
      <c r="L150" s="231"/>
      <c r="M150" s="231"/>
      <c r="N150" s="231"/>
      <c r="O150" s="231"/>
      <c r="P150" s="231"/>
      <c r="Q150" s="231"/>
      <c r="R150" s="231"/>
      <c r="S150" s="231"/>
      <c r="T150" s="231"/>
      <c r="U150" s="231"/>
      <c r="V150" s="231"/>
      <c r="W150" s="231"/>
      <c r="X150" s="231"/>
      <c r="Y150" s="231"/>
      <c r="Z150" s="231"/>
      <c r="AA150" s="231"/>
      <c r="AB150" s="231"/>
      <c r="AC150" s="231"/>
      <c r="AD150" s="231"/>
      <c r="AE150" s="231"/>
      <c r="AF150" s="231"/>
      <c r="AG150" s="231"/>
      <c r="AH150" s="231"/>
      <c r="AI150" s="231"/>
      <c r="AJ150" s="231"/>
      <c r="AK150" s="231"/>
      <c r="AL150" s="231"/>
      <c r="AM150" s="231"/>
      <c r="AN150" s="231"/>
    </row>
    <row r="151" spans="1:40" s="203" customFormat="1">
      <c r="A151" s="148"/>
      <c r="B151" s="129"/>
      <c r="C151" s="129"/>
      <c r="D151" s="149"/>
      <c r="E151" s="150"/>
      <c r="F151" s="29"/>
      <c r="G151" s="29"/>
      <c r="H151" s="207"/>
      <c r="I151" s="29"/>
      <c r="J151" s="231"/>
      <c r="K151" s="231"/>
      <c r="L151" s="231"/>
      <c r="M151" s="231"/>
      <c r="N151" s="231"/>
      <c r="O151" s="231"/>
      <c r="P151" s="231"/>
      <c r="Q151" s="231"/>
      <c r="R151" s="231"/>
      <c r="S151" s="231"/>
      <c r="T151" s="231"/>
      <c r="U151" s="231"/>
      <c r="V151" s="231"/>
      <c r="W151" s="231"/>
      <c r="X151" s="231"/>
      <c r="Y151" s="231"/>
      <c r="Z151" s="231"/>
      <c r="AA151" s="231"/>
      <c r="AB151" s="231"/>
      <c r="AC151" s="231"/>
      <c r="AD151" s="231"/>
      <c r="AE151" s="231"/>
      <c r="AF151" s="231"/>
      <c r="AG151" s="231"/>
      <c r="AH151" s="231"/>
      <c r="AI151" s="231"/>
      <c r="AJ151" s="231"/>
      <c r="AK151" s="231"/>
      <c r="AL151" s="231"/>
      <c r="AM151" s="231"/>
      <c r="AN151" s="231"/>
    </row>
    <row r="152" spans="1:40" s="203" customFormat="1">
      <c r="A152" s="148"/>
      <c r="B152" s="129"/>
      <c r="C152" s="129"/>
      <c r="D152" s="151"/>
      <c r="E152" s="152"/>
      <c r="F152" s="29"/>
      <c r="G152" s="29"/>
      <c r="H152" s="131" t="s">
        <v>27</v>
      </c>
      <c r="I152" s="29"/>
      <c r="J152" s="231"/>
      <c r="K152" s="231"/>
      <c r="L152" s="231"/>
      <c r="M152" s="231"/>
      <c r="N152" s="231"/>
      <c r="O152" s="231"/>
      <c r="P152" s="231"/>
      <c r="Q152" s="231"/>
      <c r="R152" s="231"/>
      <c r="S152" s="231"/>
      <c r="T152" s="231"/>
      <c r="U152" s="231"/>
      <c r="V152" s="231"/>
      <c r="W152" s="231"/>
      <c r="X152" s="231"/>
      <c r="Y152" s="231"/>
      <c r="Z152" s="231"/>
      <c r="AA152" s="231"/>
      <c r="AB152" s="231"/>
      <c r="AC152" s="231"/>
      <c r="AD152" s="231"/>
      <c r="AE152" s="231"/>
      <c r="AF152" s="231"/>
      <c r="AG152" s="231"/>
      <c r="AH152" s="231"/>
      <c r="AI152" s="231"/>
      <c r="AJ152" s="231"/>
      <c r="AK152" s="231"/>
      <c r="AL152" s="231"/>
      <c r="AM152" s="231"/>
      <c r="AN152" s="231"/>
    </row>
    <row r="153" spans="1:40" s="203" customFormat="1">
      <c r="A153" s="106" t="s">
        <v>20</v>
      </c>
      <c r="B153" s="107"/>
      <c r="C153" s="107"/>
      <c r="D153" s="107"/>
      <c r="E153" s="856" t="s">
        <v>377</v>
      </c>
      <c r="F153" s="856" t="s">
        <v>402</v>
      </c>
      <c r="G153" s="130"/>
      <c r="H153" s="856" t="s">
        <v>403</v>
      </c>
      <c r="I153" s="130"/>
      <c r="J153" s="231"/>
      <c r="K153" s="231"/>
      <c r="L153" s="231"/>
      <c r="M153" s="231"/>
      <c r="N153" s="231"/>
      <c r="O153" s="231"/>
      <c r="P153" s="231"/>
      <c r="Q153" s="231"/>
      <c r="R153" s="231"/>
      <c r="S153" s="231"/>
      <c r="T153" s="231"/>
      <c r="U153" s="231"/>
      <c r="V153" s="231"/>
      <c r="W153" s="231"/>
      <c r="X153" s="231"/>
      <c r="Y153" s="231"/>
      <c r="Z153" s="231"/>
      <c r="AA153" s="231"/>
      <c r="AB153" s="231"/>
      <c r="AC153" s="231"/>
      <c r="AD153" s="231"/>
      <c r="AE153" s="231"/>
      <c r="AF153" s="231"/>
      <c r="AG153" s="231"/>
      <c r="AH153" s="231"/>
      <c r="AI153" s="231"/>
      <c r="AJ153" s="231"/>
      <c r="AK153" s="231"/>
      <c r="AL153" s="231"/>
      <c r="AM153" s="231"/>
      <c r="AN153" s="231"/>
    </row>
    <row r="154" spans="1:40" s="203" customFormat="1">
      <c r="A154" s="153"/>
      <c r="B154" s="132"/>
      <c r="C154" s="132"/>
      <c r="D154" s="132"/>
      <c r="E154" s="859"/>
      <c r="F154" s="859"/>
      <c r="G154" s="130"/>
      <c r="H154" s="859"/>
      <c r="I154" s="130"/>
      <c r="J154" s="231"/>
      <c r="K154" s="231"/>
      <c r="L154" s="231"/>
      <c r="M154" s="231"/>
      <c r="N154" s="231"/>
      <c r="O154" s="231"/>
      <c r="P154" s="231"/>
      <c r="Q154" s="231"/>
      <c r="R154" s="231"/>
      <c r="S154" s="231"/>
      <c r="T154" s="231"/>
      <c r="U154" s="231"/>
      <c r="V154" s="231"/>
      <c r="W154" s="231"/>
      <c r="X154" s="231"/>
      <c r="Y154" s="231"/>
      <c r="Z154" s="231"/>
      <c r="AA154" s="231"/>
      <c r="AB154" s="231"/>
      <c r="AC154" s="231"/>
      <c r="AD154" s="231"/>
      <c r="AE154" s="231"/>
      <c r="AF154" s="231"/>
      <c r="AG154" s="231"/>
      <c r="AH154" s="231"/>
      <c r="AI154" s="231"/>
      <c r="AJ154" s="231"/>
      <c r="AK154" s="231"/>
      <c r="AL154" s="231"/>
      <c r="AM154" s="231"/>
      <c r="AN154" s="231"/>
    </row>
    <row r="155" spans="1:40" s="203" customFormat="1">
      <c r="A155" s="154" t="s">
        <v>131</v>
      </c>
      <c r="B155" s="116"/>
      <c r="C155" s="116"/>
      <c r="D155" s="116"/>
      <c r="E155" s="859"/>
      <c r="F155" s="859"/>
      <c r="G155" s="130"/>
      <c r="H155" s="859"/>
      <c r="I155" s="130"/>
      <c r="J155" s="231"/>
      <c r="K155" s="231"/>
      <c r="L155" s="231"/>
      <c r="M155" s="231"/>
      <c r="N155" s="231"/>
      <c r="O155" s="231"/>
      <c r="P155" s="231"/>
      <c r="Q155" s="231"/>
      <c r="R155" s="231"/>
      <c r="S155" s="231"/>
      <c r="T155" s="231"/>
      <c r="U155" s="231"/>
      <c r="V155" s="231"/>
      <c r="W155" s="231"/>
      <c r="X155" s="231"/>
      <c r="Y155" s="231"/>
      <c r="Z155" s="231"/>
      <c r="AA155" s="231"/>
      <c r="AB155" s="231"/>
      <c r="AC155" s="231"/>
      <c r="AD155" s="231"/>
      <c r="AE155" s="231"/>
      <c r="AF155" s="231"/>
      <c r="AG155" s="231"/>
      <c r="AH155" s="231"/>
      <c r="AI155" s="231"/>
      <c r="AJ155" s="231"/>
      <c r="AK155" s="231"/>
      <c r="AL155" s="231"/>
      <c r="AM155" s="231"/>
      <c r="AN155" s="231"/>
    </row>
    <row r="156" spans="1:40" s="203" customFormat="1" ht="12.75" customHeight="1">
      <c r="A156" s="109" t="s">
        <v>83</v>
      </c>
      <c r="B156" s="47"/>
      <c r="C156" s="47"/>
      <c r="D156" s="47"/>
      <c r="E156" s="859"/>
      <c r="F156" s="859"/>
      <c r="G156" s="130"/>
      <c r="H156" s="859"/>
      <c r="I156" s="130"/>
      <c r="J156" s="231"/>
      <c r="K156" s="231"/>
      <c r="L156" s="231"/>
      <c r="M156" s="231"/>
      <c r="N156" s="231"/>
      <c r="O156" s="231"/>
      <c r="P156" s="231"/>
      <c r="Q156" s="231"/>
      <c r="R156" s="231"/>
      <c r="S156" s="231"/>
      <c r="T156" s="231"/>
      <c r="U156" s="231"/>
      <c r="V156" s="231"/>
      <c r="W156" s="231"/>
      <c r="X156" s="231"/>
      <c r="Y156" s="231"/>
      <c r="Z156" s="231"/>
      <c r="AA156" s="231"/>
      <c r="AB156" s="231"/>
      <c r="AC156" s="231"/>
      <c r="AD156" s="231"/>
      <c r="AE156" s="231"/>
      <c r="AF156" s="231"/>
      <c r="AG156" s="231"/>
      <c r="AH156" s="231"/>
      <c r="AI156" s="231"/>
      <c r="AJ156" s="231"/>
      <c r="AK156" s="231"/>
      <c r="AL156" s="231"/>
      <c r="AM156" s="231"/>
      <c r="AN156" s="231"/>
    </row>
    <row r="157" spans="1:40" s="203" customFormat="1">
      <c r="A157" s="110" t="s">
        <v>84</v>
      </c>
      <c r="B157" s="132"/>
      <c r="C157" s="132"/>
      <c r="D157" s="132"/>
      <c r="E157" s="860"/>
      <c r="F157" s="860"/>
      <c r="G157" s="130"/>
      <c r="H157" s="860"/>
      <c r="I157" s="130"/>
      <c r="J157" s="231"/>
      <c r="K157" s="231"/>
      <c r="L157" s="231"/>
      <c r="M157" s="231"/>
      <c r="N157" s="231"/>
      <c r="O157" s="231"/>
      <c r="P157" s="231"/>
      <c r="Q157" s="231"/>
      <c r="R157" s="231"/>
      <c r="S157" s="231"/>
      <c r="T157" s="231"/>
      <c r="U157" s="231"/>
      <c r="V157" s="231"/>
      <c r="W157" s="231"/>
      <c r="X157" s="231"/>
      <c r="Y157" s="231"/>
      <c r="Z157" s="231"/>
      <c r="AA157" s="231"/>
      <c r="AB157" s="231"/>
      <c r="AC157" s="231"/>
      <c r="AD157" s="231"/>
      <c r="AE157" s="231"/>
      <c r="AF157" s="231"/>
      <c r="AG157" s="231"/>
      <c r="AH157" s="231"/>
      <c r="AI157" s="231"/>
      <c r="AJ157" s="231"/>
      <c r="AK157" s="231"/>
      <c r="AL157" s="231"/>
      <c r="AM157" s="231"/>
      <c r="AN157" s="231"/>
    </row>
    <row r="158" spans="1:40" s="203" customFormat="1">
      <c r="A158" s="119" t="s">
        <v>132</v>
      </c>
      <c r="B158" s="47"/>
      <c r="C158" s="47"/>
      <c r="D158" s="47"/>
      <c r="E158" s="155"/>
      <c r="F158" s="146" t="s">
        <v>133</v>
      </c>
      <c r="G158" s="118"/>
      <c r="H158" s="146"/>
      <c r="I158" s="29"/>
      <c r="J158" s="231"/>
      <c r="K158" s="231"/>
      <c r="L158" s="231"/>
      <c r="M158" s="231"/>
      <c r="N158" s="231"/>
      <c r="O158" s="231"/>
      <c r="P158" s="231"/>
      <c r="Q158" s="231"/>
      <c r="R158" s="231"/>
      <c r="S158" s="231"/>
      <c r="T158" s="231"/>
      <c r="U158" s="231"/>
      <c r="V158" s="231"/>
      <c r="W158" s="231"/>
      <c r="X158" s="231"/>
      <c r="Y158" s="231"/>
      <c r="Z158" s="231"/>
      <c r="AA158" s="231"/>
      <c r="AB158" s="231"/>
      <c r="AC158" s="231"/>
      <c r="AD158" s="231"/>
      <c r="AE158" s="231"/>
      <c r="AF158" s="231"/>
      <c r="AG158" s="231"/>
      <c r="AH158" s="231"/>
      <c r="AI158" s="231"/>
      <c r="AJ158" s="231"/>
      <c r="AK158" s="231"/>
      <c r="AL158" s="231"/>
      <c r="AM158" s="231"/>
      <c r="AN158" s="231"/>
    </row>
    <row r="159" spans="1:40" s="203" customFormat="1">
      <c r="A159" s="120">
        <v>1</v>
      </c>
      <c r="B159" s="47" t="s">
        <v>134</v>
      </c>
      <c r="C159" s="47"/>
      <c r="D159" s="47"/>
      <c r="E159" s="74">
        <v>0</v>
      </c>
      <c r="F159" s="52">
        <v>0</v>
      </c>
      <c r="G159" s="118"/>
      <c r="H159" s="122">
        <v>0</v>
      </c>
      <c r="I159" s="29"/>
      <c r="J159" s="231"/>
      <c r="K159" s="231"/>
      <c r="L159" s="231"/>
      <c r="M159" s="231"/>
      <c r="N159" s="231"/>
      <c r="O159" s="231"/>
      <c r="P159" s="231"/>
      <c r="Q159" s="231"/>
      <c r="R159" s="231"/>
      <c r="S159" s="231"/>
      <c r="T159" s="231"/>
      <c r="U159" s="231"/>
      <c r="V159" s="231"/>
      <c r="W159" s="231"/>
      <c r="X159" s="231"/>
      <c r="Y159" s="231"/>
      <c r="Z159" s="231"/>
      <c r="AA159" s="231"/>
      <c r="AB159" s="231"/>
      <c r="AC159" s="231"/>
      <c r="AD159" s="231"/>
      <c r="AE159" s="231"/>
      <c r="AF159" s="231"/>
      <c r="AG159" s="231"/>
      <c r="AH159" s="231"/>
      <c r="AI159" s="231"/>
      <c r="AJ159" s="231"/>
      <c r="AK159" s="231"/>
      <c r="AL159" s="231"/>
      <c r="AM159" s="231"/>
      <c r="AN159" s="231"/>
    </row>
    <row r="160" spans="1:40" s="203" customFormat="1">
      <c r="A160" s="120">
        <v>2</v>
      </c>
      <c r="B160" s="47" t="s">
        <v>135</v>
      </c>
      <c r="C160" s="47"/>
      <c r="D160" s="47"/>
      <c r="E160" s="49">
        <v>1323</v>
      </c>
      <c r="F160" s="52">
        <v>1321</v>
      </c>
      <c r="G160" s="118"/>
      <c r="H160" s="122">
        <v>1342</v>
      </c>
      <c r="I160" s="29"/>
      <c r="J160" s="231"/>
      <c r="K160" s="231"/>
      <c r="L160" s="231"/>
      <c r="M160" s="231"/>
      <c r="N160" s="231"/>
      <c r="O160" s="231"/>
      <c r="P160" s="231"/>
      <c r="Q160" s="231"/>
      <c r="R160" s="231"/>
      <c r="S160" s="231"/>
      <c r="T160" s="231"/>
      <c r="U160" s="231"/>
      <c r="V160" s="231"/>
      <c r="W160" s="231"/>
      <c r="X160" s="231"/>
      <c r="Y160" s="231"/>
      <c r="Z160" s="231"/>
      <c r="AA160" s="231"/>
      <c r="AB160" s="231"/>
      <c r="AC160" s="231"/>
      <c r="AD160" s="231"/>
      <c r="AE160" s="231"/>
      <c r="AF160" s="231"/>
      <c r="AG160" s="231"/>
      <c r="AH160" s="231"/>
      <c r="AI160" s="231"/>
      <c r="AJ160" s="231"/>
      <c r="AK160" s="231"/>
      <c r="AL160" s="231"/>
      <c r="AM160" s="231"/>
      <c r="AN160" s="231"/>
    </row>
    <row r="161" spans="1:40" s="203" customFormat="1">
      <c r="A161" s="120">
        <v>3</v>
      </c>
      <c r="B161" s="47" t="s">
        <v>136</v>
      </c>
      <c r="C161" s="47"/>
      <c r="D161" s="47"/>
      <c r="E161" s="114">
        <v>1489</v>
      </c>
      <c r="F161" s="52">
        <v>1483</v>
      </c>
      <c r="G161" s="118"/>
      <c r="H161" s="122">
        <v>1496</v>
      </c>
      <c r="I161" s="29"/>
      <c r="J161" s="231"/>
      <c r="K161" s="231"/>
      <c r="L161" s="231"/>
      <c r="M161" s="231"/>
      <c r="N161" s="231"/>
      <c r="O161" s="231"/>
      <c r="P161" s="231"/>
      <c r="Q161" s="231"/>
      <c r="R161" s="231"/>
      <c r="S161" s="231"/>
      <c r="T161" s="231"/>
      <c r="U161" s="231"/>
      <c r="V161" s="231"/>
      <c r="W161" s="231"/>
      <c r="X161" s="231"/>
      <c r="Y161" s="231"/>
      <c r="Z161" s="231"/>
      <c r="AA161" s="231"/>
      <c r="AB161" s="231"/>
      <c r="AC161" s="231"/>
      <c r="AD161" s="231"/>
      <c r="AE161" s="231"/>
      <c r="AF161" s="231"/>
      <c r="AG161" s="231"/>
      <c r="AH161" s="231"/>
      <c r="AI161" s="231"/>
      <c r="AJ161" s="231"/>
      <c r="AK161" s="231"/>
      <c r="AL161" s="231"/>
      <c r="AM161" s="231"/>
      <c r="AN161" s="231"/>
    </row>
    <row r="162" spans="1:40" s="203" customFormat="1">
      <c r="A162" s="120">
        <v>4</v>
      </c>
      <c r="B162" s="47" t="s">
        <v>137</v>
      </c>
      <c r="C162" s="47"/>
      <c r="D162" s="47"/>
      <c r="E162" s="114">
        <v>829</v>
      </c>
      <c r="F162" s="52">
        <v>1094</v>
      </c>
      <c r="G162" s="118"/>
      <c r="H162" s="100">
        <v>564</v>
      </c>
      <c r="I162" s="29"/>
      <c r="J162" s="231"/>
      <c r="K162" s="231"/>
      <c r="L162" s="231"/>
      <c r="M162" s="231"/>
      <c r="N162" s="231"/>
      <c r="O162" s="231"/>
      <c r="P162" s="231"/>
      <c r="Q162" s="231"/>
      <c r="R162" s="231"/>
      <c r="S162" s="231"/>
      <c r="T162" s="231"/>
      <c r="U162" s="231"/>
      <c r="V162" s="231"/>
      <c r="W162" s="231"/>
      <c r="X162" s="231"/>
      <c r="Y162" s="231"/>
      <c r="Z162" s="231"/>
      <c r="AA162" s="231"/>
      <c r="AB162" s="231"/>
      <c r="AC162" s="231"/>
      <c r="AD162" s="231"/>
      <c r="AE162" s="231"/>
      <c r="AF162" s="231"/>
      <c r="AG162" s="231"/>
      <c r="AH162" s="231"/>
      <c r="AI162" s="231"/>
      <c r="AJ162" s="231"/>
      <c r="AK162" s="231"/>
      <c r="AL162" s="231"/>
      <c r="AM162" s="231"/>
      <c r="AN162" s="231"/>
    </row>
    <row r="163" spans="1:40" s="203" customFormat="1">
      <c r="A163" s="120">
        <v>5</v>
      </c>
      <c r="B163" s="116" t="s">
        <v>138</v>
      </c>
      <c r="C163" s="116"/>
      <c r="D163" s="116"/>
      <c r="E163" s="80">
        <v>3641</v>
      </c>
      <c r="F163" s="142">
        <f>SUM(F159:F162)</f>
        <v>3898</v>
      </c>
      <c r="G163" s="118"/>
      <c r="H163" s="142">
        <f>SUM(H159:H162)</f>
        <v>3402</v>
      </c>
      <c r="I163" s="29"/>
      <c r="J163" s="231"/>
      <c r="K163" s="231"/>
      <c r="L163" s="231"/>
      <c r="M163" s="231"/>
      <c r="N163" s="231"/>
      <c r="O163" s="231"/>
      <c r="P163" s="231"/>
      <c r="Q163" s="231"/>
      <c r="R163" s="231"/>
      <c r="S163" s="231"/>
      <c r="T163" s="231"/>
      <c r="U163" s="231"/>
      <c r="V163" s="231"/>
      <c r="W163" s="231"/>
      <c r="X163" s="231"/>
      <c r="Y163" s="231"/>
      <c r="Z163" s="231"/>
      <c r="AA163" s="231"/>
      <c r="AB163" s="231"/>
      <c r="AC163" s="231"/>
      <c r="AD163" s="231"/>
      <c r="AE163" s="231"/>
      <c r="AF163" s="231"/>
      <c r="AG163" s="231"/>
      <c r="AH163" s="231"/>
      <c r="AI163" s="231"/>
      <c r="AJ163" s="231"/>
      <c r="AK163" s="231"/>
      <c r="AL163" s="231"/>
      <c r="AM163" s="231"/>
      <c r="AN163" s="231"/>
    </row>
    <row r="164" spans="1:40" s="203" customFormat="1">
      <c r="A164" s="46"/>
      <c r="B164" s="132"/>
      <c r="C164" s="132"/>
      <c r="D164" s="132"/>
      <c r="E164" s="156"/>
      <c r="F164" s="139"/>
      <c r="G164" s="139"/>
      <c r="H164" s="139"/>
      <c r="I164" s="29"/>
      <c r="J164" s="231"/>
      <c r="K164" s="231"/>
      <c r="L164" s="231"/>
      <c r="M164" s="231"/>
      <c r="N164" s="231"/>
      <c r="O164" s="231"/>
      <c r="P164" s="231"/>
      <c r="Q164" s="231"/>
      <c r="R164" s="231"/>
      <c r="S164" s="231"/>
      <c r="T164" s="231"/>
      <c r="U164" s="231"/>
      <c r="V164" s="231"/>
      <c r="W164" s="231"/>
      <c r="X164" s="231"/>
      <c r="Y164" s="231"/>
      <c r="Z164" s="231"/>
      <c r="AA164" s="231"/>
      <c r="AB164" s="231"/>
      <c r="AC164" s="231"/>
      <c r="AD164" s="231"/>
      <c r="AE164" s="231"/>
      <c r="AF164" s="231"/>
      <c r="AG164" s="231"/>
      <c r="AH164" s="231"/>
      <c r="AI164" s="231"/>
      <c r="AJ164" s="231"/>
      <c r="AK164" s="231"/>
      <c r="AL164" s="231"/>
      <c r="AM164" s="231"/>
      <c r="AN164" s="231"/>
    </row>
    <row r="165" spans="1:40" s="203" customFormat="1">
      <c r="A165" s="119" t="s">
        <v>139</v>
      </c>
      <c r="B165" s="47"/>
      <c r="C165" s="47"/>
      <c r="D165" s="47"/>
      <c r="E165" s="140"/>
      <c r="F165" s="146"/>
      <c r="G165" s="118"/>
      <c r="H165" s="146"/>
      <c r="I165" s="29"/>
      <c r="J165" s="231"/>
      <c r="K165" s="231"/>
      <c r="L165" s="231"/>
      <c r="M165" s="231"/>
      <c r="N165" s="231"/>
      <c r="O165" s="231"/>
      <c r="P165" s="231"/>
      <c r="Q165" s="231"/>
      <c r="R165" s="231"/>
      <c r="S165" s="231"/>
      <c r="T165" s="231"/>
      <c r="U165" s="231"/>
      <c r="V165" s="231"/>
      <c r="W165" s="231"/>
      <c r="X165" s="231"/>
      <c r="Y165" s="231"/>
      <c r="Z165" s="231"/>
      <c r="AA165" s="231"/>
      <c r="AB165" s="231"/>
      <c r="AC165" s="231"/>
      <c r="AD165" s="231"/>
      <c r="AE165" s="231"/>
      <c r="AF165" s="231"/>
      <c r="AG165" s="231"/>
      <c r="AH165" s="231"/>
      <c r="AI165" s="231"/>
      <c r="AJ165" s="231"/>
      <c r="AK165" s="231"/>
      <c r="AL165" s="231"/>
      <c r="AM165" s="231"/>
      <c r="AN165" s="231"/>
    </row>
    <row r="166" spans="1:40" s="203" customFormat="1">
      <c r="A166" s="120">
        <v>6</v>
      </c>
      <c r="B166" s="47" t="s">
        <v>140</v>
      </c>
      <c r="C166" s="47"/>
      <c r="D166" s="47"/>
      <c r="E166" s="74">
        <v>0</v>
      </c>
      <c r="F166" s="52">
        <v>0</v>
      </c>
      <c r="G166" s="118"/>
      <c r="H166" s="122">
        <v>0</v>
      </c>
      <c r="I166" s="29"/>
      <c r="J166" s="231"/>
      <c r="K166" s="231"/>
      <c r="L166" s="231"/>
      <c r="M166" s="231"/>
      <c r="N166" s="231"/>
      <c r="O166" s="231"/>
      <c r="P166" s="231"/>
      <c r="Q166" s="231"/>
      <c r="R166" s="231"/>
      <c r="S166" s="231"/>
      <c r="T166" s="231"/>
      <c r="U166" s="231"/>
      <c r="V166" s="231"/>
      <c r="W166" s="231"/>
      <c r="X166" s="231"/>
      <c r="Y166" s="231"/>
      <c r="Z166" s="231"/>
      <c r="AA166" s="231"/>
      <c r="AB166" s="231"/>
      <c r="AC166" s="231"/>
      <c r="AD166" s="231"/>
      <c r="AE166" s="231"/>
      <c r="AF166" s="231"/>
      <c r="AG166" s="231"/>
      <c r="AH166" s="231"/>
      <c r="AI166" s="231"/>
      <c r="AJ166" s="231"/>
      <c r="AK166" s="231"/>
      <c r="AL166" s="231"/>
      <c r="AM166" s="231"/>
      <c r="AN166" s="231"/>
    </row>
    <row r="167" spans="1:40" s="203" customFormat="1">
      <c r="A167" s="120">
        <v>7</v>
      </c>
      <c r="B167" s="47" t="s">
        <v>141</v>
      </c>
      <c r="C167" s="47"/>
      <c r="D167" s="47"/>
      <c r="E167" s="49">
        <v>1328</v>
      </c>
      <c r="F167" s="52">
        <v>1298</v>
      </c>
      <c r="G167" s="118"/>
      <c r="H167" s="122">
        <v>1334</v>
      </c>
      <c r="I167" s="29"/>
      <c r="J167" s="231"/>
      <c r="K167" s="231"/>
      <c r="L167" s="231"/>
      <c r="M167" s="231"/>
      <c r="N167" s="231"/>
      <c r="O167" s="231"/>
      <c r="P167" s="231"/>
      <c r="Q167" s="231"/>
      <c r="R167" s="231"/>
      <c r="S167" s="231"/>
      <c r="T167" s="231"/>
      <c r="U167" s="231"/>
      <c r="V167" s="231"/>
      <c r="W167" s="231"/>
      <c r="X167" s="231"/>
      <c r="Y167" s="231"/>
      <c r="Z167" s="231"/>
      <c r="AA167" s="231"/>
      <c r="AB167" s="231"/>
      <c r="AC167" s="231"/>
      <c r="AD167" s="231"/>
      <c r="AE167" s="231"/>
      <c r="AF167" s="231"/>
      <c r="AG167" s="231"/>
      <c r="AH167" s="231"/>
      <c r="AI167" s="231"/>
      <c r="AJ167" s="231"/>
      <c r="AK167" s="231"/>
      <c r="AL167" s="231"/>
      <c r="AM167" s="231"/>
      <c r="AN167" s="231"/>
    </row>
    <row r="168" spans="1:40" s="203" customFormat="1">
      <c r="A168" s="120">
        <v>8</v>
      </c>
      <c r="B168" s="47" t="s">
        <v>121</v>
      </c>
      <c r="C168" s="47"/>
      <c r="D168" s="47"/>
      <c r="E168" s="49">
        <v>0</v>
      </c>
      <c r="F168" s="52">
        <v>0</v>
      </c>
      <c r="G168" s="118"/>
      <c r="H168" s="100">
        <v>0</v>
      </c>
      <c r="I168" s="29"/>
      <c r="J168" s="231"/>
      <c r="K168" s="231"/>
      <c r="L168" s="231"/>
      <c r="M168" s="231"/>
      <c r="N168" s="231"/>
      <c r="O168" s="231"/>
      <c r="P168" s="231"/>
      <c r="Q168" s="231"/>
      <c r="R168" s="231"/>
      <c r="S168" s="231"/>
      <c r="T168" s="231"/>
      <c r="U168" s="231"/>
      <c r="V168" s="231"/>
      <c r="W168" s="231"/>
      <c r="X168" s="231"/>
      <c r="Y168" s="231"/>
      <c r="Z168" s="231"/>
      <c r="AA168" s="231"/>
      <c r="AB168" s="231"/>
      <c r="AC168" s="231"/>
      <c r="AD168" s="231"/>
      <c r="AE168" s="231"/>
      <c r="AF168" s="231"/>
      <c r="AG168" s="231"/>
      <c r="AH168" s="231"/>
      <c r="AI168" s="231"/>
      <c r="AJ168" s="231"/>
      <c r="AK168" s="231"/>
      <c r="AL168" s="231"/>
      <c r="AM168" s="231"/>
      <c r="AN168" s="231"/>
    </row>
    <row r="169" spans="1:40" s="203" customFormat="1">
      <c r="A169" s="120">
        <v>9</v>
      </c>
      <c r="B169" s="116" t="s">
        <v>142</v>
      </c>
      <c r="C169" s="116"/>
      <c r="D169" s="116"/>
      <c r="E169" s="80">
        <v>1328</v>
      </c>
      <c r="F169" s="142">
        <f>SUM(F166:F168)</f>
        <v>1298</v>
      </c>
      <c r="G169" s="118"/>
      <c r="H169" s="142">
        <f>SUM(H166:H168)</f>
        <v>1334</v>
      </c>
      <c r="I169" s="29"/>
      <c r="J169" s="231"/>
      <c r="K169" s="231"/>
      <c r="L169" s="231"/>
      <c r="M169" s="231"/>
      <c r="N169" s="231"/>
      <c r="O169" s="231"/>
      <c r="P169" s="231"/>
      <c r="Q169" s="231"/>
      <c r="R169" s="231"/>
      <c r="S169" s="231"/>
      <c r="T169" s="231"/>
      <c r="U169" s="231"/>
      <c r="V169" s="231"/>
      <c r="W169" s="231"/>
      <c r="X169" s="231"/>
      <c r="Y169" s="231"/>
      <c r="Z169" s="231"/>
      <c r="AA169" s="231"/>
      <c r="AB169" s="231"/>
      <c r="AC169" s="231"/>
      <c r="AD169" s="231"/>
      <c r="AE169" s="231"/>
      <c r="AF169" s="231"/>
      <c r="AG169" s="231"/>
      <c r="AH169" s="231"/>
      <c r="AI169" s="231"/>
      <c r="AJ169" s="231"/>
      <c r="AK169" s="231"/>
      <c r="AL169" s="231"/>
      <c r="AM169" s="231"/>
      <c r="AN169" s="231"/>
    </row>
    <row r="170" spans="1:40" s="203" customFormat="1">
      <c r="A170" s="46"/>
      <c r="B170" s="132"/>
      <c r="C170" s="132"/>
      <c r="D170" s="132"/>
      <c r="E170" s="156"/>
      <c r="F170" s="139"/>
      <c r="G170" s="139"/>
      <c r="H170" s="139"/>
      <c r="I170" s="29"/>
      <c r="J170" s="231"/>
      <c r="K170" s="231"/>
      <c r="L170" s="231"/>
      <c r="M170" s="231"/>
      <c r="N170" s="231"/>
      <c r="O170" s="231"/>
      <c r="P170" s="231"/>
      <c r="Q170" s="231"/>
      <c r="R170" s="231"/>
      <c r="S170" s="231"/>
      <c r="T170" s="231"/>
      <c r="U170" s="231"/>
      <c r="V170" s="231"/>
      <c r="W170" s="231"/>
      <c r="X170" s="231"/>
      <c r="Y170" s="231"/>
      <c r="Z170" s="231"/>
      <c r="AA170" s="231"/>
      <c r="AB170" s="231"/>
      <c r="AC170" s="231"/>
      <c r="AD170" s="231"/>
      <c r="AE170" s="231"/>
      <c r="AF170" s="231"/>
      <c r="AG170" s="231"/>
      <c r="AH170" s="231"/>
      <c r="AI170" s="231"/>
      <c r="AJ170" s="231"/>
      <c r="AK170" s="231"/>
      <c r="AL170" s="231"/>
      <c r="AM170" s="231"/>
      <c r="AN170" s="231"/>
    </row>
    <row r="171" spans="1:40" s="203" customFormat="1">
      <c r="A171" s="120">
        <v>10</v>
      </c>
      <c r="B171" s="47" t="s">
        <v>143</v>
      </c>
      <c r="C171" s="47"/>
      <c r="D171" s="47"/>
      <c r="E171" s="41">
        <v>-1917</v>
      </c>
      <c r="F171" s="121">
        <v>-1590</v>
      </c>
      <c r="G171" s="118"/>
      <c r="H171" s="133">
        <v>-1987</v>
      </c>
      <c r="I171" s="29"/>
      <c r="J171" s="231"/>
      <c r="K171" s="231"/>
      <c r="L171" s="231"/>
      <c r="M171" s="231"/>
      <c r="N171" s="231"/>
      <c r="O171" s="231"/>
      <c r="P171" s="231"/>
      <c r="Q171" s="231"/>
      <c r="R171" s="231"/>
      <c r="S171" s="231"/>
      <c r="T171" s="231"/>
      <c r="U171" s="231"/>
      <c r="V171" s="231"/>
      <c r="W171" s="231"/>
      <c r="X171" s="231"/>
      <c r="Y171" s="231"/>
      <c r="Z171" s="231"/>
      <c r="AA171" s="231"/>
      <c r="AB171" s="231"/>
      <c r="AC171" s="231"/>
      <c r="AD171" s="231"/>
      <c r="AE171" s="231"/>
      <c r="AF171" s="231"/>
      <c r="AG171" s="231"/>
      <c r="AH171" s="231"/>
      <c r="AI171" s="231"/>
      <c r="AJ171" s="231"/>
      <c r="AK171" s="231"/>
      <c r="AL171" s="231"/>
      <c r="AM171" s="231"/>
      <c r="AN171" s="231"/>
    </row>
    <row r="172" spans="1:40" s="203" customFormat="1">
      <c r="A172" s="120">
        <v>11</v>
      </c>
      <c r="B172" s="47" t="s">
        <v>144</v>
      </c>
      <c r="C172" s="47"/>
      <c r="D172" s="47"/>
      <c r="E172" s="56">
        <v>0</v>
      </c>
      <c r="F172" s="126">
        <v>0</v>
      </c>
      <c r="G172" s="118"/>
      <c r="H172" s="100">
        <v>0</v>
      </c>
      <c r="I172" s="29"/>
      <c r="J172" s="231"/>
      <c r="K172" s="231"/>
      <c r="L172" s="231"/>
      <c r="M172" s="231"/>
      <c r="N172" s="231"/>
      <c r="O172" s="231"/>
      <c r="P172" s="231"/>
      <c r="Q172" s="231"/>
      <c r="R172" s="231"/>
      <c r="S172" s="231"/>
      <c r="T172" s="231"/>
      <c r="U172" s="231"/>
      <c r="V172" s="231"/>
      <c r="W172" s="231"/>
      <c r="X172" s="231"/>
      <c r="Y172" s="231"/>
      <c r="Z172" s="231"/>
      <c r="AA172" s="231"/>
      <c r="AB172" s="231"/>
      <c r="AC172" s="231"/>
      <c r="AD172" s="231"/>
      <c r="AE172" s="231"/>
      <c r="AF172" s="231"/>
      <c r="AG172" s="231"/>
      <c r="AH172" s="231"/>
      <c r="AI172" s="231"/>
      <c r="AJ172" s="231"/>
      <c r="AK172" s="231"/>
      <c r="AL172" s="231"/>
      <c r="AM172" s="231"/>
      <c r="AN172" s="231"/>
    </row>
    <row r="173" spans="1:40" s="203" customFormat="1">
      <c r="A173" s="46"/>
      <c r="B173" s="132"/>
      <c r="C173" s="132"/>
      <c r="D173" s="132"/>
      <c r="E173" s="156"/>
      <c r="F173" s="139"/>
      <c r="G173" s="139"/>
      <c r="H173" s="139"/>
      <c r="I173" s="29"/>
      <c r="J173" s="231"/>
      <c r="K173" s="231"/>
      <c r="L173" s="231"/>
      <c r="M173" s="231"/>
      <c r="N173" s="231"/>
      <c r="O173" s="231"/>
      <c r="P173" s="231"/>
      <c r="Q173" s="231"/>
      <c r="R173" s="231"/>
      <c r="S173" s="231"/>
      <c r="T173" s="231"/>
      <c r="U173" s="231"/>
      <c r="V173" s="231"/>
      <c r="W173" s="231"/>
      <c r="X173" s="231"/>
      <c r="Y173" s="231"/>
      <c r="Z173" s="231"/>
      <c r="AA173" s="231"/>
      <c r="AB173" s="231"/>
      <c r="AC173" s="231"/>
      <c r="AD173" s="231"/>
      <c r="AE173" s="231"/>
      <c r="AF173" s="231"/>
      <c r="AG173" s="231"/>
      <c r="AH173" s="231"/>
      <c r="AI173" s="231"/>
      <c r="AJ173" s="231"/>
      <c r="AK173" s="231"/>
      <c r="AL173" s="231"/>
      <c r="AM173" s="231"/>
      <c r="AN173" s="231"/>
    </row>
    <row r="174" spans="1:40" s="203" customFormat="1">
      <c r="A174" s="119" t="s">
        <v>145</v>
      </c>
      <c r="B174" s="47"/>
      <c r="C174" s="47"/>
      <c r="D174" s="47"/>
      <c r="E174" s="157"/>
      <c r="F174" s="146"/>
      <c r="G174" s="118"/>
      <c r="H174" s="146"/>
      <c r="I174" s="29"/>
      <c r="J174" s="231"/>
      <c r="K174" s="231"/>
      <c r="L174" s="231"/>
      <c r="M174" s="231"/>
      <c r="N174" s="231"/>
      <c r="O174" s="231"/>
      <c r="P174" s="231"/>
      <c r="Q174" s="231"/>
      <c r="R174" s="231"/>
      <c r="S174" s="231"/>
      <c r="T174" s="231"/>
      <c r="U174" s="231"/>
      <c r="V174" s="231"/>
      <c r="W174" s="231"/>
      <c r="X174" s="231"/>
      <c r="Y174" s="231"/>
      <c r="Z174" s="231"/>
      <c r="AA174" s="231"/>
      <c r="AB174" s="231"/>
      <c r="AC174" s="231"/>
      <c r="AD174" s="231"/>
      <c r="AE174" s="231"/>
      <c r="AF174" s="231"/>
      <c r="AG174" s="231"/>
      <c r="AH174" s="231"/>
      <c r="AI174" s="231"/>
      <c r="AJ174" s="231"/>
      <c r="AK174" s="231"/>
      <c r="AL174" s="231"/>
      <c r="AM174" s="231"/>
      <c r="AN174" s="231"/>
    </row>
    <row r="175" spans="1:40" s="203" customFormat="1">
      <c r="A175" s="120">
        <v>12</v>
      </c>
      <c r="B175" s="47" t="s">
        <v>146</v>
      </c>
      <c r="C175" s="47"/>
      <c r="D175" s="47"/>
      <c r="E175" s="74">
        <v>20</v>
      </c>
      <c r="F175" s="52">
        <v>52</v>
      </c>
      <c r="G175" s="118"/>
      <c r="H175" s="122">
        <v>20</v>
      </c>
      <c r="I175" s="29"/>
      <c r="J175" s="231"/>
      <c r="K175" s="231"/>
      <c r="L175" s="231"/>
      <c r="M175" s="231"/>
      <c r="N175" s="231"/>
      <c r="O175" s="231"/>
      <c r="P175" s="231"/>
      <c r="Q175" s="231"/>
      <c r="R175" s="231"/>
      <c r="S175" s="231"/>
      <c r="T175" s="231"/>
      <c r="U175" s="231"/>
      <c r="V175" s="231"/>
      <c r="W175" s="231"/>
      <c r="X175" s="231"/>
      <c r="Y175" s="231"/>
      <c r="Z175" s="231"/>
      <c r="AA175" s="231"/>
      <c r="AB175" s="231"/>
      <c r="AC175" s="231"/>
      <c r="AD175" s="231"/>
      <c r="AE175" s="231"/>
      <c r="AF175" s="231"/>
      <c r="AG175" s="231"/>
      <c r="AH175" s="231"/>
      <c r="AI175" s="231"/>
      <c r="AJ175" s="231"/>
      <c r="AK175" s="231"/>
      <c r="AL175" s="231"/>
      <c r="AM175" s="231"/>
      <c r="AN175" s="231"/>
    </row>
    <row r="176" spans="1:40" s="203" customFormat="1">
      <c r="A176" s="120">
        <v>13</v>
      </c>
      <c r="B176" s="47" t="s">
        <v>147</v>
      </c>
      <c r="C176" s="47"/>
      <c r="D176" s="47"/>
      <c r="E176" s="49">
        <v>776</v>
      </c>
      <c r="F176" s="52">
        <v>1866</v>
      </c>
      <c r="G176" s="118"/>
      <c r="H176" s="122">
        <v>766</v>
      </c>
      <c r="I176" s="29"/>
      <c r="J176" s="231"/>
      <c r="K176" s="231"/>
      <c r="L176" s="231"/>
      <c r="M176" s="231"/>
      <c r="N176" s="231"/>
      <c r="O176" s="231"/>
      <c r="P176" s="231"/>
      <c r="Q176" s="231"/>
      <c r="R176" s="231"/>
      <c r="S176" s="231"/>
      <c r="T176" s="231"/>
      <c r="U176" s="231"/>
      <c r="V176" s="231"/>
      <c r="W176" s="231"/>
      <c r="X176" s="231"/>
      <c r="Y176" s="231"/>
      <c r="Z176" s="231"/>
      <c r="AA176" s="231"/>
      <c r="AB176" s="231"/>
      <c r="AC176" s="231"/>
      <c r="AD176" s="231"/>
      <c r="AE176" s="231"/>
      <c r="AF176" s="231"/>
      <c r="AG176" s="231"/>
      <c r="AH176" s="231"/>
      <c r="AI176" s="231"/>
      <c r="AJ176" s="231"/>
      <c r="AK176" s="231"/>
      <c r="AL176" s="231"/>
      <c r="AM176" s="231"/>
      <c r="AN176" s="231"/>
    </row>
    <row r="177" spans="1:40" s="203" customFormat="1">
      <c r="A177" s="120">
        <v>14</v>
      </c>
      <c r="B177" s="47" t="s">
        <v>148</v>
      </c>
      <c r="C177" s="47"/>
      <c r="D177" s="47"/>
      <c r="E177" s="56">
        <v>183</v>
      </c>
      <c r="F177" s="52">
        <v>156</v>
      </c>
      <c r="G177" s="118"/>
      <c r="H177" s="100">
        <v>179</v>
      </c>
      <c r="I177" s="29"/>
      <c r="J177" s="231"/>
      <c r="K177" s="231"/>
      <c r="L177" s="231"/>
      <c r="M177" s="231"/>
      <c r="N177" s="231"/>
      <c r="O177" s="231"/>
      <c r="P177" s="231"/>
      <c r="Q177" s="231"/>
      <c r="R177" s="231"/>
      <c r="S177" s="231"/>
      <c r="T177" s="231"/>
      <c r="U177" s="231"/>
      <c r="V177" s="231"/>
      <c r="W177" s="231"/>
      <c r="X177" s="231"/>
      <c r="Y177" s="231"/>
      <c r="Z177" s="231"/>
      <c r="AA177" s="231"/>
      <c r="AB177" s="231"/>
      <c r="AC177" s="231"/>
      <c r="AD177" s="231"/>
      <c r="AE177" s="231"/>
      <c r="AF177" s="231"/>
      <c r="AG177" s="231"/>
      <c r="AH177" s="231"/>
      <c r="AI177" s="231"/>
      <c r="AJ177" s="231"/>
      <c r="AK177" s="231"/>
      <c r="AL177" s="231"/>
      <c r="AM177" s="231"/>
      <c r="AN177" s="231"/>
    </row>
    <row r="178" spans="1:40" s="203" customFormat="1">
      <c r="A178" s="120">
        <v>15</v>
      </c>
      <c r="B178" s="116" t="s">
        <v>149</v>
      </c>
      <c r="C178" s="116"/>
      <c r="D178" s="116"/>
      <c r="E178" s="80">
        <v>979</v>
      </c>
      <c r="F178" s="142">
        <f>SUM(F175:F177)</f>
        <v>2074</v>
      </c>
      <c r="G178" s="118"/>
      <c r="H178" s="142">
        <f>SUM(H175:H177)</f>
        <v>965</v>
      </c>
      <c r="I178" s="29"/>
      <c r="J178" s="231"/>
      <c r="K178" s="231"/>
      <c r="L178" s="231"/>
      <c r="M178" s="231"/>
      <c r="N178" s="231"/>
      <c r="O178" s="231"/>
      <c r="P178" s="231"/>
      <c r="Q178" s="231"/>
      <c r="R178" s="231"/>
      <c r="S178" s="231"/>
      <c r="T178" s="231"/>
      <c r="U178" s="231"/>
      <c r="V178" s="231"/>
      <c r="W178" s="231"/>
      <c r="X178" s="231"/>
      <c r="Y178" s="231"/>
      <c r="Z178" s="231"/>
      <c r="AA178" s="231"/>
      <c r="AB178" s="231"/>
      <c r="AC178" s="231"/>
      <c r="AD178" s="231"/>
      <c r="AE178" s="231"/>
      <c r="AF178" s="231"/>
      <c r="AG178" s="231"/>
      <c r="AH178" s="231"/>
      <c r="AI178" s="231"/>
      <c r="AJ178" s="231"/>
      <c r="AK178" s="231"/>
      <c r="AL178" s="231"/>
      <c r="AM178" s="231"/>
      <c r="AN178" s="231"/>
    </row>
    <row r="179" spans="1:40" s="203" customFormat="1">
      <c r="A179" s="120">
        <v>16</v>
      </c>
      <c r="B179" s="116" t="s">
        <v>150</v>
      </c>
      <c r="C179" s="116"/>
      <c r="D179" s="116"/>
      <c r="E179" s="80">
        <v>979</v>
      </c>
      <c r="F179" s="158">
        <f>F172+F178</f>
        <v>2074</v>
      </c>
      <c r="G179" s="118"/>
      <c r="H179" s="158">
        <f>H172+H178</f>
        <v>965</v>
      </c>
      <c r="I179" s="29"/>
      <c r="J179" s="231"/>
      <c r="K179" s="231"/>
      <c r="L179" s="231"/>
      <c r="M179" s="231"/>
      <c r="N179" s="231"/>
      <c r="O179" s="231"/>
      <c r="P179" s="231"/>
      <c r="Q179" s="231"/>
      <c r="R179" s="231"/>
      <c r="S179" s="231"/>
      <c r="T179" s="231"/>
      <c r="U179" s="231"/>
      <c r="V179" s="231"/>
      <c r="W179" s="231"/>
      <c r="X179" s="231"/>
      <c r="Y179" s="231"/>
      <c r="Z179" s="231"/>
      <c r="AA179" s="231"/>
      <c r="AB179" s="231"/>
      <c r="AC179" s="231"/>
      <c r="AD179" s="231"/>
      <c r="AE179" s="231"/>
      <c r="AF179" s="231"/>
      <c r="AG179" s="231"/>
      <c r="AH179" s="231"/>
      <c r="AI179" s="231"/>
      <c r="AJ179" s="231"/>
      <c r="AK179" s="231"/>
      <c r="AL179" s="231"/>
      <c r="AM179" s="231"/>
      <c r="AN179" s="231"/>
    </row>
    <row r="180" spans="1:40" s="203" customFormat="1">
      <c r="A180" s="120">
        <v>17</v>
      </c>
      <c r="B180" s="116" t="s">
        <v>151</v>
      </c>
      <c r="C180" s="116"/>
      <c r="D180" s="116"/>
      <c r="E180" s="159">
        <v>4031</v>
      </c>
      <c r="F180" s="61">
        <f>SUM(F163+F169+F171+F179)</f>
        <v>5680</v>
      </c>
      <c r="G180" s="118"/>
      <c r="H180" s="61">
        <f>SUM(H163+H169+H171+H179)</f>
        <v>3714</v>
      </c>
      <c r="I180" s="29"/>
      <c r="J180" s="231"/>
      <c r="K180" s="231"/>
      <c r="L180" s="231"/>
      <c r="M180" s="231"/>
      <c r="N180" s="231"/>
      <c r="O180" s="231"/>
      <c r="P180" s="231"/>
      <c r="Q180" s="231"/>
      <c r="R180" s="231"/>
      <c r="S180" s="231"/>
      <c r="T180" s="231"/>
      <c r="U180" s="231"/>
      <c r="V180" s="231"/>
      <c r="W180" s="231"/>
      <c r="X180" s="231"/>
      <c r="Y180" s="231"/>
      <c r="Z180" s="231"/>
      <c r="AA180" s="231"/>
      <c r="AB180" s="231"/>
      <c r="AC180" s="231"/>
      <c r="AD180" s="231"/>
      <c r="AE180" s="231"/>
      <c r="AF180" s="231"/>
      <c r="AG180" s="231"/>
      <c r="AH180" s="231"/>
      <c r="AI180" s="231"/>
      <c r="AJ180" s="231"/>
      <c r="AK180" s="231"/>
      <c r="AL180" s="231"/>
      <c r="AM180" s="231"/>
      <c r="AN180" s="231"/>
    </row>
    <row r="181" spans="1:40" s="203" customFormat="1">
      <c r="A181" s="46"/>
      <c r="B181" s="132"/>
      <c r="C181" s="132"/>
      <c r="D181" s="132"/>
      <c r="E181" s="156"/>
      <c r="F181" s="139"/>
      <c r="G181" s="139"/>
      <c r="H181" s="139"/>
      <c r="I181" s="29"/>
      <c r="J181" s="231"/>
      <c r="K181" s="231"/>
      <c r="L181" s="231"/>
      <c r="M181" s="231"/>
      <c r="N181" s="231"/>
      <c r="O181" s="231"/>
      <c r="P181" s="231"/>
      <c r="Q181" s="231"/>
      <c r="R181" s="231"/>
      <c r="S181" s="231"/>
      <c r="T181" s="231"/>
      <c r="U181" s="231"/>
      <c r="V181" s="231"/>
      <c r="W181" s="231"/>
      <c r="X181" s="231"/>
      <c r="Y181" s="231"/>
      <c r="Z181" s="231"/>
      <c r="AA181" s="231"/>
      <c r="AB181" s="231"/>
      <c r="AC181" s="231"/>
      <c r="AD181" s="231"/>
      <c r="AE181" s="231"/>
      <c r="AF181" s="231"/>
      <c r="AG181" s="231"/>
      <c r="AH181" s="231"/>
      <c r="AI181" s="231"/>
      <c r="AJ181" s="231"/>
      <c r="AK181" s="231"/>
      <c r="AL181" s="231"/>
      <c r="AM181" s="231"/>
      <c r="AN181" s="231"/>
    </row>
    <row r="182" spans="1:40" s="203" customFormat="1">
      <c r="A182" s="119" t="s">
        <v>152</v>
      </c>
      <c r="B182" s="47"/>
      <c r="C182" s="47"/>
      <c r="D182" s="116"/>
      <c r="E182" s="117"/>
      <c r="F182" s="118"/>
      <c r="G182" s="118"/>
      <c r="H182" s="118"/>
      <c r="I182" s="29"/>
      <c r="J182" s="231"/>
      <c r="K182" s="231"/>
      <c r="L182" s="231"/>
      <c r="M182" s="231"/>
      <c r="N182" s="231"/>
      <c r="O182" s="231"/>
      <c r="P182" s="231"/>
      <c r="Q182" s="231"/>
      <c r="R182" s="231"/>
      <c r="S182" s="231"/>
      <c r="T182" s="231"/>
      <c r="U182" s="231"/>
      <c r="V182" s="231"/>
      <c r="W182" s="231"/>
      <c r="X182" s="231"/>
      <c r="Y182" s="231"/>
      <c r="Z182" s="231"/>
      <c r="AA182" s="231"/>
      <c r="AB182" s="231"/>
      <c r="AC182" s="231"/>
      <c r="AD182" s="231"/>
      <c r="AE182" s="231"/>
      <c r="AF182" s="231"/>
      <c r="AG182" s="231"/>
      <c r="AH182" s="231"/>
      <c r="AI182" s="231"/>
      <c r="AJ182" s="231"/>
      <c r="AK182" s="231"/>
      <c r="AL182" s="231"/>
      <c r="AM182" s="231"/>
      <c r="AN182" s="231"/>
    </row>
    <row r="183" spans="1:40" s="203" customFormat="1">
      <c r="A183" s="120">
        <v>18</v>
      </c>
      <c r="B183" s="47" t="s">
        <v>153</v>
      </c>
      <c r="C183" s="47"/>
      <c r="D183" s="47"/>
      <c r="E183" s="41">
        <v>489</v>
      </c>
      <c r="F183" s="121">
        <v>302</v>
      </c>
      <c r="G183" s="118"/>
      <c r="H183" s="133">
        <v>300</v>
      </c>
      <c r="I183" s="29"/>
      <c r="J183" s="231"/>
      <c r="K183" s="231"/>
      <c r="L183" s="231"/>
      <c r="M183" s="231"/>
      <c r="N183" s="231"/>
      <c r="O183" s="231"/>
      <c r="P183" s="231"/>
      <c r="Q183" s="231"/>
      <c r="R183" s="231"/>
      <c r="S183" s="231"/>
      <c r="T183" s="231"/>
      <c r="U183" s="231"/>
      <c r="V183" s="231"/>
      <c r="W183" s="231"/>
      <c r="X183" s="231"/>
      <c r="Y183" s="231"/>
      <c r="Z183" s="231"/>
      <c r="AA183" s="231"/>
      <c r="AB183" s="231"/>
      <c r="AC183" s="231"/>
      <c r="AD183" s="231"/>
      <c r="AE183" s="231"/>
      <c r="AF183" s="231"/>
      <c r="AG183" s="231"/>
      <c r="AH183" s="231"/>
      <c r="AI183" s="231"/>
      <c r="AJ183" s="231"/>
      <c r="AK183" s="231"/>
      <c r="AL183" s="231"/>
      <c r="AM183" s="231"/>
      <c r="AN183" s="231"/>
    </row>
    <row r="184" spans="1:40" s="203" customFormat="1">
      <c r="A184" s="120">
        <v>19</v>
      </c>
      <c r="B184" s="47" t="s">
        <v>154</v>
      </c>
      <c r="C184" s="47"/>
      <c r="D184" s="47"/>
      <c r="E184" s="49">
        <v>101</v>
      </c>
      <c r="F184" s="52">
        <v>135</v>
      </c>
      <c r="G184" s="118"/>
      <c r="H184" s="122">
        <v>108</v>
      </c>
      <c r="I184" s="29"/>
      <c r="J184" s="231"/>
      <c r="K184" s="231"/>
      <c r="L184" s="231"/>
      <c r="M184" s="231"/>
      <c r="N184" s="231"/>
      <c r="O184" s="231"/>
      <c r="P184" s="231"/>
      <c r="Q184" s="231"/>
      <c r="R184" s="231"/>
      <c r="S184" s="231"/>
      <c r="T184" s="231"/>
      <c r="U184" s="231"/>
      <c r="V184" s="231"/>
      <c r="W184" s="231"/>
      <c r="X184" s="231"/>
      <c r="Y184" s="231"/>
      <c r="Z184" s="231"/>
      <c r="AA184" s="231"/>
      <c r="AB184" s="231"/>
      <c r="AC184" s="231"/>
      <c r="AD184" s="231"/>
      <c r="AE184" s="231"/>
      <c r="AF184" s="231"/>
      <c r="AG184" s="231"/>
      <c r="AH184" s="231"/>
      <c r="AI184" s="231"/>
      <c r="AJ184" s="231"/>
      <c r="AK184" s="231"/>
      <c r="AL184" s="231"/>
      <c r="AM184" s="231"/>
      <c r="AN184" s="231"/>
    </row>
    <row r="185" spans="1:40" s="203" customFormat="1">
      <c r="A185" s="120">
        <v>20</v>
      </c>
      <c r="B185" s="47" t="s">
        <v>155</v>
      </c>
      <c r="C185" s="47"/>
      <c r="D185" s="47"/>
      <c r="E185" s="49">
        <v>0</v>
      </c>
      <c r="F185" s="52">
        <v>0</v>
      </c>
      <c r="G185" s="118"/>
      <c r="H185" s="122">
        <v>0</v>
      </c>
      <c r="I185" s="29"/>
      <c r="J185" s="231"/>
      <c r="K185" s="231"/>
      <c r="L185" s="231"/>
      <c r="M185" s="231"/>
      <c r="N185" s="231"/>
      <c r="O185" s="231"/>
      <c r="P185" s="231"/>
      <c r="Q185" s="231"/>
      <c r="R185" s="231"/>
      <c r="S185" s="231"/>
      <c r="T185" s="231"/>
      <c r="U185" s="231"/>
      <c r="V185" s="231"/>
      <c r="W185" s="231"/>
      <c r="X185" s="231"/>
      <c r="Y185" s="231"/>
      <c r="Z185" s="231"/>
      <c r="AA185" s="231"/>
      <c r="AB185" s="231"/>
      <c r="AC185" s="231"/>
      <c r="AD185" s="231"/>
      <c r="AE185" s="231"/>
      <c r="AF185" s="231"/>
      <c r="AG185" s="231"/>
      <c r="AH185" s="231"/>
      <c r="AI185" s="231"/>
      <c r="AJ185" s="231"/>
      <c r="AK185" s="231"/>
      <c r="AL185" s="231"/>
      <c r="AM185" s="231"/>
      <c r="AN185" s="231"/>
    </row>
    <row r="186" spans="1:40" s="203" customFormat="1">
      <c r="A186" s="120">
        <v>21</v>
      </c>
      <c r="B186" s="47" t="s">
        <v>156</v>
      </c>
      <c r="C186" s="47"/>
      <c r="D186" s="47"/>
      <c r="E186" s="49">
        <v>0</v>
      </c>
      <c r="F186" s="52">
        <v>0</v>
      </c>
      <c r="G186" s="118"/>
      <c r="H186" s="122">
        <v>0</v>
      </c>
      <c r="I186" s="29"/>
      <c r="J186" s="231"/>
      <c r="K186" s="231"/>
      <c r="L186" s="231"/>
      <c r="M186" s="231"/>
      <c r="N186" s="231"/>
      <c r="O186" s="231"/>
      <c r="P186" s="231"/>
      <c r="Q186" s="231"/>
      <c r="R186" s="231"/>
      <c r="S186" s="231"/>
      <c r="T186" s="231"/>
      <c r="U186" s="231"/>
      <c r="V186" s="231"/>
      <c r="W186" s="231"/>
      <c r="X186" s="231"/>
      <c r="Y186" s="231"/>
      <c r="Z186" s="231"/>
      <c r="AA186" s="231"/>
      <c r="AB186" s="231"/>
      <c r="AC186" s="231"/>
      <c r="AD186" s="231"/>
      <c r="AE186" s="231"/>
      <c r="AF186" s="231"/>
      <c r="AG186" s="231"/>
      <c r="AH186" s="231"/>
      <c r="AI186" s="231"/>
      <c r="AJ186" s="231"/>
      <c r="AK186" s="231"/>
      <c r="AL186" s="231"/>
      <c r="AM186" s="231"/>
      <c r="AN186" s="231"/>
    </row>
    <row r="187" spans="1:40" s="203" customFormat="1">
      <c r="A187" s="120">
        <v>22</v>
      </c>
      <c r="B187" s="47" t="s">
        <v>157</v>
      </c>
      <c r="C187" s="47"/>
      <c r="D187" s="47"/>
      <c r="E187" s="49">
        <v>0</v>
      </c>
      <c r="F187" s="52">
        <v>0</v>
      </c>
      <c r="G187" s="118"/>
      <c r="H187" s="122">
        <v>0</v>
      </c>
      <c r="I187" s="29"/>
      <c r="J187" s="231"/>
      <c r="K187" s="231"/>
      <c r="L187" s="231"/>
      <c r="M187" s="231"/>
      <c r="N187" s="231"/>
      <c r="O187" s="231"/>
      <c r="P187" s="231"/>
      <c r="Q187" s="231"/>
      <c r="R187" s="231"/>
      <c r="S187" s="231"/>
      <c r="T187" s="231"/>
      <c r="U187" s="231"/>
      <c r="V187" s="231"/>
      <c r="W187" s="231"/>
      <c r="X187" s="231"/>
      <c r="Y187" s="231"/>
      <c r="Z187" s="231"/>
      <c r="AA187" s="231"/>
      <c r="AB187" s="231"/>
      <c r="AC187" s="231"/>
      <c r="AD187" s="231"/>
      <c r="AE187" s="231"/>
      <c r="AF187" s="231"/>
      <c r="AG187" s="231"/>
      <c r="AH187" s="231"/>
      <c r="AI187" s="231"/>
      <c r="AJ187" s="231"/>
      <c r="AK187" s="231"/>
      <c r="AL187" s="231"/>
      <c r="AM187" s="231"/>
      <c r="AN187" s="231"/>
    </row>
    <row r="188" spans="1:40" s="203" customFormat="1">
      <c r="A188" s="120">
        <v>23</v>
      </c>
      <c r="B188" s="47" t="s">
        <v>158</v>
      </c>
      <c r="C188" s="47"/>
      <c r="D188" s="47"/>
      <c r="E188" s="49">
        <v>77</v>
      </c>
      <c r="F188" s="52">
        <v>1015</v>
      </c>
      <c r="G188" s="118"/>
      <c r="H188" s="122">
        <v>320</v>
      </c>
      <c r="I188" s="29"/>
      <c r="J188" s="231"/>
      <c r="K188" s="231"/>
      <c r="L188" s="231"/>
      <c r="M188" s="231"/>
      <c r="N188" s="231"/>
      <c r="O188" s="231"/>
      <c r="P188" s="231"/>
      <c r="Q188" s="231"/>
      <c r="R188" s="231"/>
      <c r="S188" s="231"/>
      <c r="T188" s="231"/>
      <c r="U188" s="231"/>
      <c r="V188" s="231"/>
      <c r="W188" s="231"/>
      <c r="X188" s="231"/>
      <c r="Y188" s="231"/>
      <c r="Z188" s="231"/>
      <c r="AA188" s="231"/>
      <c r="AB188" s="231"/>
      <c r="AC188" s="231"/>
      <c r="AD188" s="231"/>
      <c r="AE188" s="231"/>
      <c r="AF188" s="231"/>
      <c r="AG188" s="231"/>
      <c r="AH188" s="231"/>
      <c r="AI188" s="231"/>
      <c r="AJ188" s="231"/>
      <c r="AK188" s="231"/>
      <c r="AL188" s="231"/>
      <c r="AM188" s="231"/>
      <c r="AN188" s="231"/>
    </row>
    <row r="189" spans="1:40" s="203" customFormat="1">
      <c r="A189" s="120">
        <v>24</v>
      </c>
      <c r="B189" s="47" t="s">
        <v>159</v>
      </c>
      <c r="C189" s="47"/>
      <c r="D189" s="47"/>
      <c r="E189" s="49">
        <v>0</v>
      </c>
      <c r="F189" s="52">
        <v>0</v>
      </c>
      <c r="G189" s="118"/>
      <c r="H189" s="122">
        <v>0</v>
      </c>
      <c r="I189" s="29"/>
      <c r="J189" s="231"/>
      <c r="K189" s="231"/>
      <c r="L189" s="231"/>
      <c r="M189" s="231"/>
      <c r="N189" s="231"/>
      <c r="O189" s="231"/>
      <c r="P189" s="231"/>
      <c r="Q189" s="231"/>
      <c r="R189" s="231"/>
      <c r="S189" s="231"/>
      <c r="T189" s="231"/>
      <c r="U189" s="231"/>
      <c r="V189" s="231"/>
      <c r="W189" s="231"/>
      <c r="X189" s="231"/>
      <c r="Y189" s="231"/>
      <c r="Z189" s="231"/>
      <c r="AA189" s="231"/>
      <c r="AB189" s="231"/>
      <c r="AC189" s="231"/>
      <c r="AD189" s="231"/>
      <c r="AE189" s="231"/>
      <c r="AF189" s="231"/>
      <c r="AG189" s="231"/>
      <c r="AH189" s="231"/>
      <c r="AI189" s="231"/>
      <c r="AJ189" s="231"/>
      <c r="AK189" s="231"/>
      <c r="AL189" s="231"/>
      <c r="AM189" s="231"/>
      <c r="AN189" s="231"/>
    </row>
    <row r="190" spans="1:40" s="203" customFormat="1">
      <c r="A190" s="124">
        <v>25</v>
      </c>
      <c r="B190" s="54" t="s">
        <v>160</v>
      </c>
      <c r="C190" s="54"/>
      <c r="D190" s="54"/>
      <c r="E190" s="56">
        <v>0</v>
      </c>
      <c r="F190" s="126">
        <v>0</v>
      </c>
      <c r="G190" s="118"/>
      <c r="H190" s="100">
        <v>0</v>
      </c>
      <c r="I190" s="24"/>
      <c r="J190" s="231"/>
      <c r="K190" s="231"/>
      <c r="L190" s="231"/>
      <c r="M190" s="231"/>
      <c r="N190" s="231"/>
      <c r="O190" s="231"/>
      <c r="P190" s="231"/>
      <c r="Q190" s="231"/>
      <c r="R190" s="231"/>
      <c r="S190" s="231"/>
      <c r="T190" s="231"/>
      <c r="U190" s="231"/>
      <c r="V190" s="231"/>
      <c r="W190" s="231"/>
      <c r="X190" s="231"/>
      <c r="Y190" s="231"/>
      <c r="Z190" s="231"/>
      <c r="AA190" s="231"/>
      <c r="AB190" s="231"/>
      <c r="AC190" s="231"/>
      <c r="AD190" s="231"/>
      <c r="AE190" s="231"/>
      <c r="AF190" s="231"/>
      <c r="AG190" s="231"/>
      <c r="AH190" s="231"/>
      <c r="AI190" s="231"/>
      <c r="AJ190" s="231"/>
      <c r="AK190" s="231"/>
      <c r="AL190" s="231"/>
      <c r="AM190" s="231"/>
      <c r="AN190" s="231"/>
    </row>
    <row r="191" spans="1:40" s="203" customFormat="1">
      <c r="A191" s="161"/>
      <c r="B191" s="129"/>
      <c r="C191" s="129"/>
      <c r="D191" s="149"/>
      <c r="E191" s="162"/>
      <c r="F191" s="29"/>
      <c r="G191" s="29"/>
      <c r="H191" s="207"/>
      <c r="I191" s="29"/>
      <c r="J191" s="231"/>
      <c r="K191" s="231"/>
      <c r="L191" s="231"/>
      <c r="M191" s="231"/>
      <c r="N191" s="231"/>
      <c r="O191" s="231"/>
      <c r="P191" s="231"/>
      <c r="Q191" s="231"/>
      <c r="R191" s="231"/>
      <c r="S191" s="231"/>
      <c r="T191" s="231"/>
      <c r="U191" s="231"/>
      <c r="V191" s="231"/>
      <c r="W191" s="231"/>
      <c r="X191" s="231"/>
      <c r="Y191" s="231"/>
      <c r="Z191" s="231"/>
      <c r="AA191" s="231"/>
      <c r="AB191" s="231"/>
      <c r="AC191" s="231"/>
      <c r="AD191" s="231"/>
      <c r="AE191" s="231"/>
      <c r="AF191" s="231"/>
      <c r="AG191" s="231"/>
      <c r="AH191" s="231"/>
      <c r="AI191" s="231"/>
      <c r="AJ191" s="231"/>
      <c r="AK191" s="231"/>
      <c r="AL191" s="231"/>
      <c r="AM191" s="231"/>
      <c r="AN191" s="231"/>
    </row>
    <row r="192" spans="1:40" s="203" customFormat="1">
      <c r="A192" s="161"/>
      <c r="B192" s="129"/>
      <c r="C192" s="129"/>
      <c r="D192" s="151"/>
      <c r="E192" s="163"/>
      <c r="F192" s="29"/>
      <c r="G192" s="29"/>
      <c r="H192" s="131" t="s">
        <v>27</v>
      </c>
      <c r="I192" s="29"/>
      <c r="J192" s="231"/>
      <c r="K192" s="231"/>
      <c r="L192" s="231"/>
      <c r="M192" s="231"/>
      <c r="N192" s="231"/>
      <c r="O192" s="231"/>
      <c r="P192" s="231"/>
      <c r="Q192" s="231"/>
      <c r="R192" s="231"/>
      <c r="S192" s="231"/>
      <c r="T192" s="231"/>
      <c r="U192" s="231"/>
      <c r="V192" s="231"/>
      <c r="W192" s="231"/>
      <c r="X192" s="231"/>
      <c r="Y192" s="231"/>
      <c r="Z192" s="231"/>
      <c r="AA192" s="231"/>
      <c r="AB192" s="231"/>
      <c r="AC192" s="231"/>
      <c r="AD192" s="231"/>
      <c r="AE192" s="231"/>
      <c r="AF192" s="231"/>
      <c r="AG192" s="231"/>
      <c r="AH192" s="231"/>
      <c r="AI192" s="231"/>
      <c r="AJ192" s="231"/>
      <c r="AK192" s="231"/>
      <c r="AL192" s="231"/>
      <c r="AM192" s="231"/>
      <c r="AN192" s="231"/>
    </row>
    <row r="193" spans="1:40" s="203" customFormat="1" ht="12.75" customHeight="1">
      <c r="A193" s="106" t="s">
        <v>23</v>
      </c>
      <c r="B193" s="164"/>
      <c r="C193" s="164"/>
      <c r="D193" s="164"/>
      <c r="E193" s="856" t="s">
        <v>377</v>
      </c>
      <c r="F193" s="856" t="s">
        <v>402</v>
      </c>
      <c r="G193" s="130"/>
      <c r="H193" s="856" t="s">
        <v>403</v>
      </c>
      <c r="I193" s="130"/>
      <c r="J193" s="231"/>
      <c r="K193" s="231"/>
      <c r="L193" s="231"/>
      <c r="M193" s="231"/>
      <c r="N193" s="231"/>
      <c r="O193" s="231"/>
      <c r="P193" s="231"/>
      <c r="Q193" s="231"/>
      <c r="R193" s="231"/>
      <c r="S193" s="231"/>
      <c r="T193" s="231"/>
      <c r="U193" s="231"/>
      <c r="V193" s="231"/>
      <c r="W193" s="231"/>
      <c r="X193" s="231"/>
      <c r="Y193" s="231"/>
      <c r="Z193" s="231"/>
      <c r="AA193" s="231"/>
      <c r="AB193" s="231"/>
      <c r="AC193" s="231"/>
      <c r="AD193" s="231"/>
      <c r="AE193" s="231"/>
      <c r="AF193" s="231"/>
      <c r="AG193" s="231"/>
      <c r="AH193" s="231"/>
      <c r="AI193" s="231"/>
      <c r="AJ193" s="231"/>
      <c r="AK193" s="231"/>
      <c r="AL193" s="231"/>
      <c r="AM193" s="231"/>
      <c r="AN193" s="231"/>
    </row>
    <row r="194" spans="1:40" s="203" customFormat="1" ht="23.25" customHeight="1">
      <c r="A194" s="165"/>
      <c r="B194" s="132"/>
      <c r="C194" s="132"/>
      <c r="D194" s="132"/>
      <c r="E194" s="859"/>
      <c r="F194" s="859"/>
      <c r="G194" s="130"/>
      <c r="H194" s="859"/>
      <c r="I194" s="130"/>
      <c r="J194" s="231"/>
      <c r="K194" s="231"/>
      <c r="L194" s="231"/>
      <c r="M194" s="231"/>
      <c r="N194" s="231"/>
      <c r="O194" s="231"/>
      <c r="P194" s="231"/>
      <c r="Q194" s="231"/>
      <c r="R194" s="231"/>
      <c r="S194" s="231"/>
      <c r="T194" s="231"/>
      <c r="U194" s="231"/>
      <c r="V194" s="231"/>
      <c r="W194" s="231"/>
      <c r="X194" s="231"/>
      <c r="Y194" s="231"/>
      <c r="Z194" s="231"/>
      <c r="AA194" s="231"/>
      <c r="AB194" s="231"/>
      <c r="AC194" s="231"/>
      <c r="AD194" s="231"/>
      <c r="AE194" s="231"/>
      <c r="AF194" s="231"/>
      <c r="AG194" s="231"/>
      <c r="AH194" s="231"/>
      <c r="AI194" s="231"/>
      <c r="AJ194" s="231"/>
      <c r="AK194" s="231"/>
      <c r="AL194" s="231"/>
      <c r="AM194" s="231"/>
      <c r="AN194" s="231"/>
    </row>
    <row r="195" spans="1:40" s="203" customFormat="1">
      <c r="A195" s="154" t="s">
        <v>161</v>
      </c>
      <c r="B195" s="116"/>
      <c r="C195" s="116"/>
      <c r="D195" s="116"/>
      <c r="E195" s="859"/>
      <c r="F195" s="859"/>
      <c r="G195" s="130"/>
      <c r="H195" s="859"/>
      <c r="I195" s="130"/>
      <c r="J195" s="231"/>
      <c r="K195" s="231"/>
      <c r="L195" s="231"/>
      <c r="M195" s="231"/>
      <c r="N195" s="231"/>
      <c r="O195" s="231"/>
      <c r="P195" s="231"/>
      <c r="Q195" s="231"/>
      <c r="R195" s="231"/>
      <c r="S195" s="231"/>
      <c r="T195" s="231"/>
      <c r="U195" s="231"/>
      <c r="V195" s="231"/>
      <c r="W195" s="231"/>
      <c r="X195" s="231"/>
      <c r="Y195" s="231"/>
      <c r="Z195" s="231"/>
      <c r="AA195" s="231"/>
      <c r="AB195" s="231"/>
      <c r="AC195" s="231"/>
      <c r="AD195" s="231"/>
      <c r="AE195" s="231"/>
      <c r="AF195" s="231"/>
      <c r="AG195" s="231"/>
      <c r="AH195" s="231"/>
      <c r="AI195" s="231"/>
      <c r="AJ195" s="231"/>
      <c r="AK195" s="231"/>
      <c r="AL195" s="231"/>
      <c r="AM195" s="231"/>
      <c r="AN195" s="231"/>
    </row>
    <row r="196" spans="1:40" s="203" customFormat="1">
      <c r="A196" s="109" t="s">
        <v>83</v>
      </c>
      <c r="B196" s="47"/>
      <c r="C196" s="47"/>
      <c r="D196" s="47"/>
      <c r="E196" s="859"/>
      <c r="F196" s="859"/>
      <c r="G196" s="130"/>
      <c r="H196" s="859"/>
      <c r="I196" s="130"/>
      <c r="J196" s="231"/>
      <c r="K196" s="231"/>
      <c r="L196" s="231"/>
      <c r="M196" s="231"/>
      <c r="N196" s="231"/>
      <c r="O196" s="231"/>
      <c r="P196" s="231"/>
      <c r="Q196" s="231"/>
      <c r="R196" s="231"/>
      <c r="S196" s="231"/>
      <c r="T196" s="231"/>
      <c r="U196" s="231"/>
      <c r="V196" s="231"/>
      <c r="W196" s="231"/>
      <c r="X196" s="231"/>
      <c r="Y196" s="231"/>
      <c r="Z196" s="231"/>
      <c r="AA196" s="231"/>
      <c r="AB196" s="231"/>
      <c r="AC196" s="231"/>
      <c r="AD196" s="231"/>
      <c r="AE196" s="231"/>
      <c r="AF196" s="231"/>
      <c r="AG196" s="231"/>
      <c r="AH196" s="231"/>
      <c r="AI196" s="231"/>
      <c r="AJ196" s="231"/>
      <c r="AK196" s="231"/>
      <c r="AL196" s="231"/>
      <c r="AM196" s="231"/>
      <c r="AN196" s="231"/>
    </row>
    <row r="197" spans="1:40" s="203" customFormat="1">
      <c r="A197" s="110" t="s">
        <v>84</v>
      </c>
      <c r="B197" s="132"/>
      <c r="C197" s="132"/>
      <c r="D197" s="132"/>
      <c r="E197" s="860"/>
      <c r="F197" s="860"/>
      <c r="G197" s="130"/>
      <c r="H197" s="860"/>
      <c r="I197" s="130"/>
      <c r="J197" s="231"/>
      <c r="K197" s="231"/>
      <c r="L197" s="231"/>
      <c r="M197" s="231"/>
      <c r="N197" s="231"/>
      <c r="O197" s="231"/>
      <c r="P197" s="231"/>
      <c r="Q197" s="231"/>
      <c r="R197" s="231"/>
      <c r="S197" s="231"/>
      <c r="T197" s="231"/>
      <c r="U197" s="231"/>
      <c r="V197" s="231"/>
      <c r="W197" s="231"/>
      <c r="X197" s="231"/>
      <c r="Y197" s="231"/>
      <c r="Z197" s="231"/>
      <c r="AA197" s="231"/>
      <c r="AB197" s="231"/>
      <c r="AC197" s="231"/>
      <c r="AD197" s="231"/>
      <c r="AE197" s="231"/>
      <c r="AF197" s="231"/>
      <c r="AG197" s="231"/>
      <c r="AH197" s="231"/>
      <c r="AI197" s="231"/>
      <c r="AJ197" s="231"/>
      <c r="AK197" s="231"/>
      <c r="AL197" s="231"/>
      <c r="AM197" s="231"/>
      <c r="AN197" s="231"/>
    </row>
    <row r="198" spans="1:40" s="203" customFormat="1">
      <c r="A198" s="153" t="s">
        <v>162</v>
      </c>
      <c r="B198" s="166"/>
      <c r="C198" s="166"/>
      <c r="D198" s="166"/>
      <c r="E198" s="167"/>
      <c r="F198" s="146"/>
      <c r="G198" s="118"/>
      <c r="H198" s="146"/>
      <c r="I198" s="29"/>
      <c r="J198" s="231"/>
      <c r="K198" s="231"/>
      <c r="L198" s="231"/>
      <c r="M198" s="231"/>
      <c r="N198" s="231"/>
      <c r="O198" s="231"/>
      <c r="P198" s="231"/>
      <c r="Q198" s="231"/>
      <c r="R198" s="231"/>
      <c r="S198" s="231"/>
      <c r="T198" s="231"/>
      <c r="U198" s="231"/>
      <c r="V198" s="231"/>
      <c r="W198" s="231"/>
      <c r="X198" s="231"/>
      <c r="Y198" s="231"/>
      <c r="Z198" s="231"/>
      <c r="AA198" s="231"/>
      <c r="AB198" s="231"/>
      <c r="AC198" s="231"/>
      <c r="AD198" s="231"/>
      <c r="AE198" s="231"/>
      <c r="AF198" s="231"/>
      <c r="AG198" s="231"/>
      <c r="AH198" s="231"/>
      <c r="AI198" s="231"/>
      <c r="AJ198" s="231"/>
      <c r="AK198" s="231"/>
      <c r="AL198" s="231"/>
      <c r="AM198" s="231"/>
      <c r="AN198" s="231"/>
    </row>
    <row r="199" spans="1:40" s="203" customFormat="1">
      <c r="A199" s="120">
        <v>1</v>
      </c>
      <c r="B199" s="47" t="s">
        <v>163</v>
      </c>
      <c r="C199" s="47"/>
      <c r="D199" s="47"/>
      <c r="E199" s="74">
        <v>0</v>
      </c>
      <c r="F199" s="52">
        <v>169</v>
      </c>
      <c r="G199" s="118"/>
      <c r="H199" s="122">
        <v>161</v>
      </c>
      <c r="I199" s="29"/>
      <c r="J199" s="231"/>
      <c r="K199" s="231"/>
      <c r="L199" s="231"/>
      <c r="M199" s="231"/>
      <c r="N199" s="231"/>
      <c r="O199" s="231"/>
      <c r="P199" s="231"/>
      <c r="Q199" s="231"/>
      <c r="R199" s="231"/>
      <c r="S199" s="231"/>
      <c r="T199" s="231"/>
      <c r="U199" s="231"/>
      <c r="V199" s="231"/>
      <c r="W199" s="231"/>
      <c r="X199" s="231"/>
      <c r="Y199" s="231"/>
      <c r="Z199" s="231"/>
      <c r="AA199" s="231"/>
      <c r="AB199" s="231"/>
      <c r="AC199" s="231"/>
      <c r="AD199" s="231"/>
      <c r="AE199" s="231"/>
      <c r="AF199" s="231"/>
      <c r="AG199" s="231"/>
      <c r="AH199" s="231"/>
      <c r="AI199" s="231"/>
      <c r="AJ199" s="231"/>
      <c r="AK199" s="231"/>
      <c r="AL199" s="231"/>
      <c r="AM199" s="231"/>
      <c r="AN199" s="231"/>
    </row>
    <row r="200" spans="1:40" s="203" customFormat="1">
      <c r="A200" s="120">
        <v>2</v>
      </c>
      <c r="B200" s="47" t="s">
        <v>164</v>
      </c>
      <c r="C200" s="47"/>
      <c r="D200" s="47"/>
      <c r="E200" s="56">
        <v>278</v>
      </c>
      <c r="F200" s="52">
        <v>327</v>
      </c>
      <c r="G200" s="118"/>
      <c r="H200" s="100">
        <v>315</v>
      </c>
      <c r="I200" s="29"/>
      <c r="J200" s="231"/>
      <c r="K200" s="231"/>
      <c r="L200" s="231"/>
      <c r="M200" s="231"/>
      <c r="N200" s="231"/>
      <c r="O200" s="231"/>
      <c r="P200" s="231"/>
      <c r="Q200" s="231"/>
      <c r="R200" s="231"/>
      <c r="S200" s="231"/>
      <c r="T200" s="231"/>
      <c r="U200" s="231"/>
      <c r="V200" s="231"/>
      <c r="W200" s="231"/>
      <c r="X200" s="231"/>
      <c r="Y200" s="231"/>
      <c r="Z200" s="231"/>
      <c r="AA200" s="231"/>
      <c r="AB200" s="231"/>
      <c r="AC200" s="231"/>
      <c r="AD200" s="231"/>
      <c r="AE200" s="231"/>
      <c r="AF200" s="231"/>
      <c r="AG200" s="231"/>
      <c r="AH200" s="231"/>
      <c r="AI200" s="231"/>
      <c r="AJ200" s="231"/>
      <c r="AK200" s="231"/>
      <c r="AL200" s="231"/>
      <c r="AM200" s="231"/>
      <c r="AN200" s="231"/>
    </row>
    <row r="201" spans="1:40" s="203" customFormat="1">
      <c r="A201" s="120">
        <v>3</v>
      </c>
      <c r="B201" s="116" t="s">
        <v>165</v>
      </c>
      <c r="C201" s="116"/>
      <c r="D201" s="116"/>
      <c r="E201" s="80">
        <v>278</v>
      </c>
      <c r="F201" s="142">
        <f>SUM(F199:F200)</f>
        <v>496</v>
      </c>
      <c r="G201" s="118"/>
      <c r="H201" s="142">
        <f>SUM(H199:H200)</f>
        <v>476</v>
      </c>
      <c r="I201" s="29"/>
      <c r="J201" s="231"/>
      <c r="K201" s="231"/>
      <c r="L201" s="231"/>
      <c r="M201" s="231"/>
      <c r="N201" s="231"/>
      <c r="O201" s="231"/>
      <c r="P201" s="231"/>
      <c r="Q201" s="231"/>
      <c r="R201" s="231"/>
      <c r="S201" s="231"/>
      <c r="T201" s="231"/>
      <c r="U201" s="231"/>
      <c r="V201" s="231"/>
      <c r="W201" s="231"/>
      <c r="X201" s="231"/>
      <c r="Y201" s="231"/>
      <c r="Z201" s="231"/>
      <c r="AA201" s="231"/>
      <c r="AB201" s="231"/>
      <c r="AC201" s="231"/>
      <c r="AD201" s="231"/>
      <c r="AE201" s="231"/>
      <c r="AF201" s="231"/>
      <c r="AG201" s="231"/>
      <c r="AH201" s="231"/>
      <c r="AI201" s="231"/>
      <c r="AJ201" s="231"/>
      <c r="AK201" s="231"/>
      <c r="AL201" s="231"/>
      <c r="AM201" s="231"/>
      <c r="AN201" s="231"/>
    </row>
    <row r="202" spans="1:40" s="203" customFormat="1">
      <c r="A202" s="46"/>
      <c r="B202" s="132"/>
      <c r="C202" s="132"/>
      <c r="D202" s="132"/>
      <c r="E202" s="156"/>
      <c r="F202" s="139"/>
      <c r="G202" s="139"/>
      <c r="H202" s="139"/>
      <c r="I202" s="29"/>
      <c r="J202" s="231"/>
      <c r="K202" s="231"/>
      <c r="L202" s="231"/>
      <c r="M202" s="231"/>
      <c r="N202" s="231"/>
      <c r="O202" s="231"/>
      <c r="P202" s="231"/>
      <c r="Q202" s="231"/>
      <c r="R202" s="231"/>
      <c r="S202" s="231"/>
      <c r="T202" s="231"/>
      <c r="U202" s="231"/>
      <c r="V202" s="231"/>
      <c r="W202" s="231"/>
      <c r="X202" s="231"/>
      <c r="Y202" s="231"/>
      <c r="Z202" s="231"/>
      <c r="AA202" s="231"/>
      <c r="AB202" s="231"/>
      <c r="AC202" s="231"/>
      <c r="AD202" s="231"/>
      <c r="AE202" s="231"/>
      <c r="AF202" s="231"/>
      <c r="AG202" s="231"/>
      <c r="AH202" s="231"/>
      <c r="AI202" s="231"/>
      <c r="AJ202" s="231"/>
      <c r="AK202" s="231"/>
      <c r="AL202" s="231"/>
      <c r="AM202" s="231"/>
      <c r="AN202" s="231"/>
    </row>
    <row r="203" spans="1:40" s="203" customFormat="1">
      <c r="A203" s="153" t="s">
        <v>166</v>
      </c>
      <c r="B203" s="116"/>
      <c r="C203" s="116"/>
      <c r="D203" s="116"/>
      <c r="E203" s="140"/>
      <c r="F203" s="146"/>
      <c r="G203" s="118"/>
      <c r="H203" s="146"/>
      <c r="I203" s="29"/>
      <c r="J203" s="231"/>
      <c r="K203" s="231"/>
      <c r="L203" s="231"/>
      <c r="M203" s="231"/>
      <c r="N203" s="231"/>
      <c r="O203" s="231"/>
      <c r="P203" s="231"/>
      <c r="Q203" s="231"/>
      <c r="R203" s="231"/>
      <c r="S203" s="231"/>
      <c r="T203" s="231"/>
      <c r="U203" s="231"/>
      <c r="V203" s="231"/>
      <c r="W203" s="231"/>
      <c r="X203" s="231"/>
      <c r="Y203" s="231"/>
      <c r="Z203" s="231"/>
      <c r="AA203" s="231"/>
      <c r="AB203" s="231"/>
      <c r="AC203" s="231"/>
      <c r="AD203" s="231"/>
      <c r="AE203" s="231"/>
      <c r="AF203" s="231"/>
      <c r="AG203" s="231"/>
      <c r="AH203" s="231"/>
      <c r="AI203" s="231"/>
      <c r="AJ203" s="231"/>
      <c r="AK203" s="231"/>
      <c r="AL203" s="231"/>
      <c r="AM203" s="231"/>
      <c r="AN203" s="231"/>
    </row>
    <row r="204" spans="1:40" s="203" customFormat="1">
      <c r="A204" s="120">
        <v>4</v>
      </c>
      <c r="B204" s="47" t="s">
        <v>167</v>
      </c>
      <c r="C204" s="47"/>
      <c r="D204" s="47"/>
      <c r="E204" s="74">
        <v>4177</v>
      </c>
      <c r="F204" s="52">
        <v>4353</v>
      </c>
      <c r="G204" s="118"/>
      <c r="H204" s="122">
        <v>4377</v>
      </c>
      <c r="I204" s="29"/>
      <c r="J204" s="231"/>
      <c r="K204" s="231"/>
      <c r="L204" s="231"/>
      <c r="M204" s="231"/>
      <c r="N204" s="231"/>
      <c r="O204" s="231"/>
      <c r="P204" s="231"/>
      <c r="Q204" s="231"/>
      <c r="R204" s="231"/>
      <c r="S204" s="231"/>
      <c r="T204" s="231"/>
      <c r="U204" s="231"/>
      <c r="V204" s="231"/>
      <c r="W204" s="231"/>
      <c r="X204" s="231"/>
      <c r="Y204" s="231"/>
      <c r="Z204" s="231"/>
      <c r="AA204" s="231"/>
      <c r="AB204" s="231"/>
      <c r="AC204" s="231"/>
      <c r="AD204" s="231"/>
      <c r="AE204" s="231"/>
      <c r="AF204" s="231"/>
      <c r="AG204" s="231"/>
      <c r="AH204" s="231"/>
      <c r="AI204" s="231"/>
      <c r="AJ204" s="231"/>
      <c r="AK204" s="231"/>
      <c r="AL204" s="231"/>
      <c r="AM204" s="231"/>
      <c r="AN204" s="231"/>
    </row>
    <row r="205" spans="1:40" s="203" customFormat="1">
      <c r="A205" s="120">
        <v>5</v>
      </c>
      <c r="B205" s="47" t="s">
        <v>168</v>
      </c>
      <c r="C205" s="47"/>
      <c r="D205" s="47"/>
      <c r="E205" s="49">
        <v>9964</v>
      </c>
      <c r="F205" s="52">
        <v>10125</v>
      </c>
      <c r="G205" s="118"/>
      <c r="H205" s="122">
        <v>10223</v>
      </c>
      <c r="I205" s="29"/>
      <c r="J205" s="231"/>
      <c r="K205" s="231"/>
      <c r="L205" s="231"/>
      <c r="M205" s="231"/>
      <c r="N205" s="231"/>
      <c r="O205" s="231"/>
      <c r="P205" s="231"/>
      <c r="Q205" s="231"/>
      <c r="R205" s="231"/>
      <c r="S205" s="231"/>
      <c r="T205" s="231"/>
      <c r="U205" s="231"/>
      <c r="V205" s="231"/>
      <c r="W205" s="231"/>
      <c r="X205" s="231"/>
      <c r="Y205" s="231"/>
      <c r="Z205" s="231"/>
      <c r="AA205" s="231"/>
      <c r="AB205" s="231"/>
      <c r="AC205" s="231"/>
      <c r="AD205" s="231"/>
      <c r="AE205" s="231"/>
      <c r="AF205" s="231"/>
      <c r="AG205" s="231"/>
      <c r="AH205" s="231"/>
      <c r="AI205" s="231"/>
      <c r="AJ205" s="231"/>
      <c r="AK205" s="231"/>
      <c r="AL205" s="231"/>
      <c r="AM205" s="231"/>
      <c r="AN205" s="231"/>
    </row>
    <row r="206" spans="1:40" s="203" customFormat="1">
      <c r="A206" s="120">
        <v>6</v>
      </c>
      <c r="B206" s="47" t="s">
        <v>169</v>
      </c>
      <c r="C206" s="47"/>
      <c r="D206" s="47"/>
      <c r="E206" s="49">
        <v>2706</v>
      </c>
      <c r="F206" s="52">
        <v>2865</v>
      </c>
      <c r="G206" s="118"/>
      <c r="H206" s="100">
        <v>2913</v>
      </c>
      <c r="I206" s="29"/>
      <c r="J206" s="231"/>
      <c r="K206" s="231"/>
      <c r="L206" s="231"/>
      <c r="M206" s="231"/>
      <c r="N206" s="231"/>
      <c r="O206" s="231"/>
      <c r="P206" s="231"/>
      <c r="Q206" s="231"/>
      <c r="R206" s="231"/>
      <c r="S206" s="231"/>
      <c r="T206" s="231"/>
      <c r="U206" s="231"/>
      <c r="V206" s="231"/>
      <c r="W206" s="231"/>
      <c r="X206" s="231"/>
      <c r="Y206" s="231"/>
      <c r="Z206" s="231"/>
      <c r="AA206" s="231"/>
      <c r="AB206" s="231"/>
      <c r="AC206" s="231"/>
      <c r="AD206" s="231"/>
      <c r="AE206" s="231"/>
      <c r="AF206" s="231"/>
      <c r="AG206" s="231"/>
      <c r="AH206" s="231"/>
      <c r="AI206" s="231"/>
      <c r="AJ206" s="231"/>
      <c r="AK206" s="231"/>
      <c r="AL206" s="231"/>
      <c r="AM206" s="231"/>
      <c r="AN206" s="231"/>
    </row>
    <row r="207" spans="1:40" s="203" customFormat="1">
      <c r="A207" s="120">
        <v>7</v>
      </c>
      <c r="B207" s="116" t="s">
        <v>170</v>
      </c>
      <c r="C207" s="116"/>
      <c r="D207" s="116"/>
      <c r="E207" s="80">
        <v>16847</v>
      </c>
      <c r="F207" s="142">
        <f>SUM(F204:F206)</f>
        <v>17343</v>
      </c>
      <c r="G207" s="118"/>
      <c r="H207" s="142">
        <f>SUM(H204:H206)</f>
        <v>17513</v>
      </c>
      <c r="I207" s="29"/>
      <c r="J207" s="231"/>
      <c r="K207" s="231"/>
      <c r="L207" s="231"/>
      <c r="M207" s="231"/>
      <c r="N207" s="231"/>
      <c r="O207" s="231"/>
      <c r="P207" s="231"/>
      <c r="Q207" s="231"/>
      <c r="R207" s="231"/>
      <c r="S207" s="231"/>
      <c r="T207" s="231"/>
      <c r="U207" s="231"/>
      <c r="V207" s="231"/>
      <c r="W207" s="231"/>
      <c r="X207" s="231"/>
      <c r="Y207" s="231"/>
      <c r="Z207" s="231"/>
      <c r="AA207" s="231"/>
      <c r="AB207" s="231"/>
      <c r="AC207" s="231"/>
      <c r="AD207" s="231"/>
      <c r="AE207" s="231"/>
      <c r="AF207" s="231"/>
      <c r="AG207" s="231"/>
      <c r="AH207" s="231"/>
      <c r="AI207" s="231"/>
      <c r="AJ207" s="231"/>
      <c r="AK207" s="231"/>
      <c r="AL207" s="231"/>
      <c r="AM207" s="231"/>
      <c r="AN207" s="231"/>
    </row>
    <row r="208" spans="1:40" s="203" customFormat="1">
      <c r="A208" s="46"/>
      <c r="B208" s="132"/>
      <c r="C208" s="132"/>
      <c r="D208" s="132"/>
      <c r="E208" s="156"/>
      <c r="F208" s="139"/>
      <c r="G208" s="139"/>
      <c r="H208" s="139"/>
      <c r="I208" s="29"/>
      <c r="J208" s="231"/>
      <c r="K208" s="231"/>
      <c r="L208" s="231"/>
      <c r="M208" s="231"/>
      <c r="N208" s="231"/>
      <c r="O208" s="231"/>
      <c r="P208" s="231"/>
      <c r="Q208" s="231"/>
      <c r="R208" s="231"/>
      <c r="S208" s="231"/>
      <c r="T208" s="231"/>
      <c r="U208" s="231"/>
      <c r="V208" s="231"/>
      <c r="W208" s="231"/>
      <c r="X208" s="231"/>
      <c r="Y208" s="231"/>
      <c r="Z208" s="231"/>
      <c r="AA208" s="231"/>
      <c r="AB208" s="231"/>
      <c r="AC208" s="231"/>
      <c r="AD208" s="231"/>
      <c r="AE208" s="231"/>
      <c r="AF208" s="231"/>
      <c r="AG208" s="231"/>
      <c r="AH208" s="231"/>
      <c r="AI208" s="231"/>
      <c r="AJ208" s="231"/>
      <c r="AK208" s="231"/>
      <c r="AL208" s="231"/>
      <c r="AM208" s="231"/>
      <c r="AN208" s="231"/>
    </row>
    <row r="209" spans="1:40" s="203" customFormat="1">
      <c r="A209" s="153" t="s">
        <v>121</v>
      </c>
      <c r="B209" s="168"/>
      <c r="C209" s="168"/>
      <c r="D209" s="168"/>
      <c r="E209" s="140"/>
      <c r="F209" s="146"/>
      <c r="G209" s="118"/>
      <c r="H209" s="146"/>
      <c r="I209" s="29"/>
      <c r="J209" s="231"/>
      <c r="K209" s="231"/>
      <c r="L209" s="231"/>
      <c r="M209" s="231"/>
      <c r="N209" s="231"/>
      <c r="O209" s="231"/>
      <c r="P209" s="231"/>
      <c r="Q209" s="231"/>
      <c r="R209" s="231"/>
      <c r="S209" s="231"/>
      <c r="T209" s="231"/>
      <c r="U209" s="231"/>
      <c r="V209" s="231"/>
      <c r="W209" s="231"/>
      <c r="X209" s="231"/>
      <c r="Y209" s="231"/>
      <c r="Z209" s="231"/>
      <c r="AA209" s="231"/>
      <c r="AB209" s="231"/>
      <c r="AC209" s="231"/>
      <c r="AD209" s="231"/>
      <c r="AE209" s="231"/>
      <c r="AF209" s="231"/>
      <c r="AG209" s="231"/>
      <c r="AH209" s="231"/>
      <c r="AI209" s="231"/>
      <c r="AJ209" s="231"/>
      <c r="AK209" s="231"/>
      <c r="AL209" s="231"/>
      <c r="AM209" s="231"/>
      <c r="AN209" s="231"/>
    </row>
    <row r="210" spans="1:40" s="203" customFormat="1">
      <c r="A210" s="120">
        <v>8</v>
      </c>
      <c r="B210" s="47" t="s">
        <v>171</v>
      </c>
      <c r="C210" s="47"/>
      <c r="D210" s="47"/>
      <c r="E210" s="74">
        <v>213</v>
      </c>
      <c r="F210" s="52">
        <v>258</v>
      </c>
      <c r="G210" s="118"/>
      <c r="H210" s="122">
        <v>235</v>
      </c>
      <c r="I210" s="29"/>
      <c r="J210" s="231"/>
      <c r="K210" s="231"/>
      <c r="L210" s="231"/>
      <c r="M210" s="231"/>
      <c r="N210" s="231"/>
      <c r="O210" s="231"/>
      <c r="P210" s="231"/>
      <c r="Q210" s="231"/>
      <c r="R210" s="231"/>
      <c r="S210" s="231"/>
      <c r="T210" s="231"/>
      <c r="U210" s="231"/>
      <c r="V210" s="231"/>
      <c r="W210" s="231"/>
      <c r="X210" s="231"/>
      <c r="Y210" s="231"/>
      <c r="Z210" s="231"/>
      <c r="AA210" s="231"/>
      <c r="AB210" s="231"/>
      <c r="AC210" s="231"/>
      <c r="AD210" s="231"/>
      <c r="AE210" s="231"/>
      <c r="AF210" s="231"/>
      <c r="AG210" s="231"/>
      <c r="AH210" s="231"/>
      <c r="AI210" s="231"/>
      <c r="AJ210" s="231"/>
      <c r="AK210" s="231"/>
      <c r="AL210" s="231"/>
      <c r="AM210" s="231"/>
      <c r="AN210" s="231"/>
    </row>
    <row r="211" spans="1:40" s="203" customFormat="1">
      <c r="A211" s="120">
        <v>9</v>
      </c>
      <c r="B211" s="47" t="s">
        <v>172</v>
      </c>
      <c r="C211" s="47"/>
      <c r="D211" s="47"/>
      <c r="E211" s="49">
        <v>5</v>
      </c>
      <c r="F211" s="52">
        <v>5</v>
      </c>
      <c r="G211" s="118"/>
      <c r="H211" s="122">
        <v>5</v>
      </c>
      <c r="I211" s="29"/>
      <c r="J211" s="231"/>
      <c r="K211" s="231"/>
      <c r="L211" s="231"/>
      <c r="M211" s="231"/>
      <c r="N211" s="231"/>
      <c r="O211" s="231"/>
      <c r="P211" s="231"/>
      <c r="Q211" s="231"/>
      <c r="R211" s="231"/>
      <c r="S211" s="231"/>
      <c r="T211" s="231"/>
      <c r="U211" s="231"/>
      <c r="V211" s="231"/>
      <c r="W211" s="231"/>
      <c r="X211" s="231"/>
      <c r="Y211" s="231"/>
      <c r="Z211" s="231"/>
      <c r="AA211" s="231"/>
      <c r="AB211" s="231"/>
      <c r="AC211" s="231"/>
      <c r="AD211" s="231"/>
      <c r="AE211" s="231"/>
      <c r="AF211" s="231"/>
      <c r="AG211" s="231"/>
      <c r="AH211" s="231"/>
      <c r="AI211" s="231"/>
      <c r="AJ211" s="231"/>
      <c r="AK211" s="231"/>
      <c r="AL211" s="231"/>
      <c r="AM211" s="231"/>
      <c r="AN211" s="231"/>
    </row>
    <row r="212" spans="1:40" s="203" customFormat="1">
      <c r="A212" s="120">
        <v>10</v>
      </c>
      <c r="B212" s="47" t="s">
        <v>173</v>
      </c>
      <c r="C212" s="47"/>
      <c r="D212" s="47"/>
      <c r="E212" s="49">
        <v>156</v>
      </c>
      <c r="F212" s="52">
        <v>156</v>
      </c>
      <c r="G212" s="118"/>
      <c r="H212" s="122">
        <v>156</v>
      </c>
      <c r="I212" s="29"/>
      <c r="J212" s="231"/>
      <c r="K212" s="231"/>
      <c r="L212" s="231"/>
      <c r="M212" s="231"/>
      <c r="N212" s="231"/>
      <c r="O212" s="231"/>
      <c r="P212" s="231"/>
      <c r="Q212" s="231"/>
      <c r="R212" s="231"/>
      <c r="S212" s="231"/>
      <c r="T212" s="231"/>
      <c r="U212" s="231"/>
      <c r="V212" s="231"/>
      <c r="W212" s="231"/>
      <c r="X212" s="231"/>
      <c r="Y212" s="231"/>
      <c r="Z212" s="231"/>
      <c r="AA212" s="231"/>
      <c r="AB212" s="231"/>
      <c r="AC212" s="231"/>
      <c r="AD212" s="231"/>
      <c r="AE212" s="231"/>
      <c r="AF212" s="231"/>
      <c r="AG212" s="231"/>
      <c r="AH212" s="231"/>
      <c r="AI212" s="231"/>
      <c r="AJ212" s="231"/>
      <c r="AK212" s="231"/>
      <c r="AL212" s="231"/>
      <c r="AM212" s="231"/>
      <c r="AN212" s="231"/>
    </row>
    <row r="213" spans="1:40" s="203" customFormat="1">
      <c r="A213" s="120">
        <v>11</v>
      </c>
      <c r="B213" s="47" t="s">
        <v>174</v>
      </c>
      <c r="C213" s="47"/>
      <c r="D213" s="47"/>
      <c r="E213" s="49">
        <v>2002</v>
      </c>
      <c r="F213" s="52">
        <v>2036</v>
      </c>
      <c r="G213" s="118"/>
      <c r="H213" s="99">
        <v>2068</v>
      </c>
      <c r="I213" s="29"/>
      <c r="J213" s="231"/>
      <c r="K213" s="231"/>
      <c r="L213" s="231"/>
      <c r="M213" s="231"/>
      <c r="N213" s="231"/>
      <c r="O213" s="231"/>
      <c r="P213" s="231"/>
      <c r="Q213" s="231"/>
      <c r="R213" s="231"/>
      <c r="S213" s="231"/>
      <c r="T213" s="231"/>
      <c r="U213" s="231"/>
      <c r="V213" s="231"/>
      <c r="W213" s="231"/>
      <c r="X213" s="231"/>
      <c r="Y213" s="231"/>
      <c r="Z213" s="231"/>
      <c r="AA213" s="231"/>
      <c r="AB213" s="231"/>
      <c r="AC213" s="231"/>
      <c r="AD213" s="231"/>
      <c r="AE213" s="231"/>
      <c r="AF213" s="231"/>
      <c r="AG213" s="231"/>
      <c r="AH213" s="231"/>
      <c r="AI213" s="231"/>
      <c r="AJ213" s="231"/>
      <c r="AK213" s="231"/>
      <c r="AL213" s="231"/>
      <c r="AM213" s="231"/>
      <c r="AN213" s="231"/>
    </row>
    <row r="214" spans="1:40" s="203" customFormat="1">
      <c r="A214" s="120">
        <v>12</v>
      </c>
      <c r="B214" s="116" t="s">
        <v>175</v>
      </c>
      <c r="C214" s="116"/>
      <c r="D214" s="116"/>
      <c r="E214" s="159">
        <v>19501</v>
      </c>
      <c r="F214" s="61">
        <f>F201+F207+SUM(F210:F213)</f>
        <v>20294</v>
      </c>
      <c r="G214" s="118"/>
      <c r="H214" s="61">
        <f>H201+H207+SUM(H210:H213)</f>
        <v>20453</v>
      </c>
      <c r="I214" s="29"/>
      <c r="J214" s="231"/>
      <c r="K214" s="231"/>
      <c r="L214" s="231"/>
      <c r="M214" s="231"/>
      <c r="N214" s="231"/>
      <c r="O214" s="231"/>
      <c r="P214" s="231"/>
      <c r="Q214" s="231"/>
      <c r="R214" s="231"/>
      <c r="S214" s="231"/>
      <c r="T214" s="231"/>
      <c r="U214" s="231"/>
      <c r="V214" s="231"/>
      <c r="W214" s="231"/>
      <c r="X214" s="231"/>
      <c r="Y214" s="231"/>
      <c r="Z214" s="231"/>
      <c r="AA214" s="231"/>
      <c r="AB214" s="231"/>
      <c r="AC214" s="231"/>
      <c r="AD214" s="231"/>
      <c r="AE214" s="231"/>
      <c r="AF214" s="231"/>
      <c r="AG214" s="231"/>
      <c r="AH214" s="231"/>
      <c r="AI214" s="231"/>
      <c r="AJ214" s="231"/>
      <c r="AK214" s="231"/>
      <c r="AL214" s="231"/>
      <c r="AM214" s="231"/>
      <c r="AN214" s="231"/>
    </row>
    <row r="215" spans="1:40" s="203" customFormat="1">
      <c r="A215" s="111"/>
      <c r="B215" s="47"/>
      <c r="C215" s="47"/>
      <c r="D215" s="47"/>
      <c r="E215" s="117"/>
      <c r="F215" s="118"/>
      <c r="G215" s="118"/>
      <c r="H215" s="118"/>
      <c r="I215" s="29"/>
      <c r="J215" s="231"/>
      <c r="K215" s="231"/>
      <c r="L215" s="231"/>
      <c r="M215" s="231"/>
      <c r="N215" s="231"/>
      <c r="O215" s="231"/>
      <c r="P215" s="231"/>
      <c r="Q215" s="231"/>
      <c r="R215" s="231"/>
      <c r="S215" s="231"/>
      <c r="T215" s="231"/>
      <c r="U215" s="231"/>
      <c r="V215" s="231"/>
      <c r="W215" s="231"/>
      <c r="X215" s="231"/>
      <c r="Y215" s="231"/>
      <c r="Z215" s="231"/>
      <c r="AA215" s="231"/>
      <c r="AB215" s="231"/>
      <c r="AC215" s="231"/>
      <c r="AD215" s="231"/>
      <c r="AE215" s="231"/>
      <c r="AF215" s="231"/>
      <c r="AG215" s="231"/>
      <c r="AH215" s="231"/>
      <c r="AI215" s="231"/>
      <c r="AJ215" s="231"/>
      <c r="AK215" s="231"/>
      <c r="AL215" s="231"/>
      <c r="AM215" s="231"/>
      <c r="AN215" s="231"/>
    </row>
    <row r="216" spans="1:40" s="203" customFormat="1">
      <c r="A216" s="119" t="s">
        <v>176</v>
      </c>
      <c r="B216" s="116"/>
      <c r="C216" s="116"/>
      <c r="D216" s="116"/>
      <c r="E216" s="117"/>
      <c r="F216" s="160"/>
      <c r="G216" s="118"/>
      <c r="H216" s="160"/>
      <c r="I216" s="29"/>
      <c r="J216" s="231"/>
      <c r="K216" s="231"/>
      <c r="L216" s="231"/>
      <c r="M216" s="231"/>
      <c r="N216" s="231"/>
      <c r="O216" s="231"/>
      <c r="P216" s="231"/>
      <c r="Q216" s="231"/>
      <c r="R216" s="231"/>
      <c r="S216" s="231"/>
      <c r="T216" s="231"/>
      <c r="U216" s="231"/>
      <c r="V216" s="231"/>
      <c r="W216" s="231"/>
      <c r="X216" s="231"/>
      <c r="Y216" s="231"/>
      <c r="Z216" s="231"/>
      <c r="AA216" s="231"/>
      <c r="AB216" s="231"/>
      <c r="AC216" s="231"/>
      <c r="AD216" s="231"/>
      <c r="AE216" s="231"/>
      <c r="AF216" s="231"/>
      <c r="AG216" s="231"/>
      <c r="AH216" s="231"/>
      <c r="AI216" s="231"/>
      <c r="AJ216" s="231"/>
      <c r="AK216" s="231"/>
      <c r="AL216" s="231"/>
      <c r="AM216" s="231"/>
      <c r="AN216" s="231"/>
    </row>
    <row r="217" spans="1:40" s="203" customFormat="1">
      <c r="A217" s="120">
        <v>13</v>
      </c>
      <c r="B217" s="47" t="s">
        <v>177</v>
      </c>
      <c r="C217" s="47"/>
      <c r="D217" s="47"/>
      <c r="E217" s="41">
        <v>92</v>
      </c>
      <c r="F217" s="121">
        <v>100</v>
      </c>
      <c r="G217" s="118"/>
      <c r="H217" s="169">
        <v>93</v>
      </c>
      <c r="I217" s="29"/>
      <c r="J217" s="231"/>
      <c r="K217" s="231"/>
      <c r="L217" s="231"/>
      <c r="M217" s="231"/>
      <c r="N217" s="231"/>
      <c r="O217" s="231"/>
      <c r="P217" s="231"/>
      <c r="Q217" s="231"/>
      <c r="R217" s="231"/>
      <c r="S217" s="231"/>
      <c r="T217" s="231"/>
      <c r="U217" s="231"/>
      <c r="V217" s="231"/>
      <c r="W217" s="231"/>
      <c r="X217" s="231"/>
      <c r="Y217" s="231"/>
      <c r="Z217" s="231"/>
      <c r="AA217" s="231"/>
      <c r="AB217" s="231"/>
      <c r="AC217" s="231"/>
      <c r="AD217" s="231"/>
      <c r="AE217" s="231"/>
      <c r="AF217" s="231"/>
      <c r="AG217" s="231"/>
      <c r="AH217" s="231"/>
      <c r="AI217" s="231"/>
      <c r="AJ217" s="231"/>
      <c r="AK217" s="231"/>
      <c r="AL217" s="231"/>
      <c r="AM217" s="231"/>
      <c r="AN217" s="231"/>
    </row>
    <row r="218" spans="1:40" s="203" customFormat="1">
      <c r="A218" s="124">
        <v>14</v>
      </c>
      <c r="B218" s="54" t="s">
        <v>178</v>
      </c>
      <c r="C218" s="54"/>
      <c r="D218" s="54"/>
      <c r="E218" s="56">
        <v>3244</v>
      </c>
      <c r="F218" s="126">
        <v>3305</v>
      </c>
      <c r="G218" s="118"/>
      <c r="H218" s="100">
        <v>3339</v>
      </c>
      <c r="I218" s="29"/>
      <c r="J218" s="231"/>
      <c r="K218" s="231"/>
      <c r="L218" s="231"/>
      <c r="M218" s="231"/>
      <c r="N218" s="231"/>
      <c r="O218" s="231"/>
      <c r="P218" s="231"/>
      <c r="Q218" s="231"/>
      <c r="R218" s="231"/>
      <c r="S218" s="231"/>
      <c r="T218" s="231"/>
      <c r="U218" s="231"/>
      <c r="V218" s="231"/>
      <c r="W218" s="231"/>
      <c r="X218" s="231"/>
      <c r="Y218" s="231"/>
      <c r="Z218" s="231"/>
      <c r="AA218" s="231"/>
      <c r="AB218" s="231"/>
      <c r="AC218" s="231"/>
      <c r="AD218" s="231"/>
      <c r="AE218" s="231"/>
      <c r="AF218" s="231"/>
      <c r="AG218" s="231"/>
      <c r="AH218" s="231"/>
      <c r="AI218" s="231"/>
      <c r="AJ218" s="231"/>
      <c r="AK218" s="231"/>
      <c r="AL218" s="231"/>
      <c r="AM218" s="231"/>
      <c r="AN218" s="231"/>
    </row>
    <row r="219" spans="1:40" s="203" customFormat="1">
      <c r="A219" s="148"/>
      <c r="B219" s="29"/>
      <c r="C219" s="29"/>
      <c r="D219" s="170"/>
      <c r="E219" s="171"/>
      <c r="F219" s="29"/>
      <c r="G219" s="29"/>
      <c r="H219" s="207"/>
      <c r="I219" s="29"/>
      <c r="J219" s="231"/>
      <c r="K219" s="231"/>
      <c r="L219" s="231"/>
      <c r="M219" s="231"/>
      <c r="N219" s="231"/>
      <c r="O219" s="231"/>
      <c r="P219" s="231"/>
      <c r="Q219" s="231"/>
      <c r="R219" s="231"/>
      <c r="S219" s="231"/>
      <c r="T219" s="231"/>
      <c r="U219" s="231"/>
      <c r="V219" s="231"/>
      <c r="W219" s="231"/>
      <c r="X219" s="231"/>
      <c r="Y219" s="231"/>
      <c r="Z219" s="231"/>
      <c r="AA219" s="231"/>
      <c r="AB219" s="231"/>
      <c r="AC219" s="231"/>
      <c r="AD219" s="231"/>
      <c r="AE219" s="231"/>
      <c r="AF219" s="231"/>
      <c r="AG219" s="231"/>
      <c r="AH219" s="231"/>
      <c r="AI219" s="231"/>
      <c r="AJ219" s="231"/>
      <c r="AK219" s="231"/>
      <c r="AL219" s="231"/>
      <c r="AM219" s="231"/>
      <c r="AN219" s="231"/>
    </row>
    <row r="220" spans="1:40" s="203" customFormat="1">
      <c r="A220" s="148"/>
      <c r="B220" s="29"/>
      <c r="C220" s="29"/>
      <c r="D220" s="172"/>
      <c r="E220" s="152"/>
      <c r="F220" s="29"/>
      <c r="G220" s="29"/>
      <c r="H220" s="131" t="s">
        <v>27</v>
      </c>
      <c r="I220" s="29"/>
      <c r="J220" s="231"/>
      <c r="K220" s="231"/>
      <c r="L220" s="231"/>
      <c r="M220" s="231"/>
      <c r="N220" s="231"/>
      <c r="O220" s="231"/>
      <c r="P220" s="231"/>
      <c r="Q220" s="231"/>
      <c r="R220" s="231"/>
      <c r="S220" s="231"/>
      <c r="T220" s="231"/>
      <c r="U220" s="231"/>
      <c r="V220" s="231"/>
      <c r="W220" s="231"/>
      <c r="X220" s="231"/>
      <c r="Y220" s="231"/>
      <c r="Z220" s="231"/>
      <c r="AA220" s="231"/>
      <c r="AB220" s="231"/>
      <c r="AC220" s="231"/>
      <c r="AD220" s="231"/>
      <c r="AE220" s="231"/>
      <c r="AF220" s="231"/>
      <c r="AG220" s="231"/>
      <c r="AH220" s="231"/>
      <c r="AI220" s="231"/>
      <c r="AJ220" s="231"/>
      <c r="AK220" s="231"/>
      <c r="AL220" s="231"/>
      <c r="AM220" s="231"/>
      <c r="AN220" s="231"/>
    </row>
    <row r="221" spans="1:40" s="203" customFormat="1" ht="12.75" customHeight="1">
      <c r="A221" s="106" t="s">
        <v>10</v>
      </c>
      <c r="B221" s="164"/>
      <c r="C221" s="164"/>
      <c r="D221" s="164"/>
      <c r="E221" s="856" t="s">
        <v>377</v>
      </c>
      <c r="F221" s="856" t="s">
        <v>402</v>
      </c>
      <c r="G221" s="130"/>
      <c r="H221" s="856" t="s">
        <v>403</v>
      </c>
      <c r="I221" s="130"/>
      <c r="J221" s="231"/>
      <c r="K221" s="231"/>
      <c r="L221" s="231"/>
      <c r="M221" s="231"/>
      <c r="N221" s="231"/>
      <c r="O221" s="231"/>
      <c r="P221" s="231"/>
      <c r="Q221" s="231"/>
      <c r="R221" s="231"/>
      <c r="S221" s="231"/>
      <c r="T221" s="231"/>
      <c r="U221" s="231"/>
      <c r="V221" s="231"/>
      <c r="W221" s="231"/>
      <c r="X221" s="231"/>
      <c r="Y221" s="231"/>
      <c r="Z221" s="231"/>
      <c r="AA221" s="231"/>
      <c r="AB221" s="231"/>
      <c r="AC221" s="231"/>
      <c r="AD221" s="231"/>
      <c r="AE221" s="231"/>
      <c r="AF221" s="231"/>
      <c r="AG221" s="231"/>
      <c r="AH221" s="231"/>
      <c r="AI221" s="231"/>
      <c r="AJ221" s="231"/>
      <c r="AK221" s="231"/>
      <c r="AL221" s="231"/>
      <c r="AM221" s="231"/>
      <c r="AN221" s="231"/>
    </row>
    <row r="222" spans="1:40" s="203" customFormat="1">
      <c r="A222" s="109"/>
      <c r="B222" s="132"/>
      <c r="C222" s="132"/>
      <c r="D222" s="132"/>
      <c r="E222" s="859"/>
      <c r="F222" s="859"/>
      <c r="G222" s="130"/>
      <c r="H222" s="859"/>
      <c r="I222" s="130"/>
      <c r="J222" s="231"/>
      <c r="K222" s="231"/>
      <c r="L222" s="231"/>
      <c r="M222" s="231"/>
      <c r="N222" s="231"/>
      <c r="O222" s="231"/>
      <c r="P222" s="231"/>
      <c r="Q222" s="231"/>
      <c r="R222" s="231"/>
      <c r="S222" s="231"/>
      <c r="T222" s="231"/>
      <c r="U222" s="231"/>
      <c r="V222" s="231"/>
      <c r="W222" s="231"/>
      <c r="X222" s="231"/>
      <c r="Y222" s="231"/>
      <c r="Z222" s="231"/>
      <c r="AA222" s="231"/>
      <c r="AB222" s="231"/>
      <c r="AC222" s="231"/>
      <c r="AD222" s="231"/>
      <c r="AE222" s="231"/>
      <c r="AF222" s="231"/>
      <c r="AG222" s="231"/>
      <c r="AH222" s="231"/>
      <c r="AI222" s="231"/>
      <c r="AJ222" s="231"/>
      <c r="AK222" s="231"/>
      <c r="AL222" s="231"/>
      <c r="AM222" s="231"/>
      <c r="AN222" s="231"/>
    </row>
    <row r="223" spans="1:40" s="203" customFormat="1">
      <c r="A223" s="154" t="s">
        <v>179</v>
      </c>
      <c r="B223" s="116"/>
      <c r="C223" s="116"/>
      <c r="D223" s="116"/>
      <c r="E223" s="859"/>
      <c r="F223" s="859"/>
      <c r="G223" s="130"/>
      <c r="H223" s="859"/>
      <c r="I223" s="130"/>
      <c r="J223" s="231"/>
      <c r="K223" s="231"/>
      <c r="L223" s="231"/>
      <c r="M223" s="231"/>
      <c r="N223" s="231"/>
      <c r="O223" s="231"/>
      <c r="P223" s="231"/>
      <c r="Q223" s="231"/>
      <c r="R223" s="231"/>
      <c r="S223" s="231"/>
      <c r="T223" s="231"/>
      <c r="U223" s="231"/>
      <c r="V223" s="231"/>
      <c r="W223" s="231"/>
      <c r="X223" s="231"/>
      <c r="Y223" s="231"/>
      <c r="Z223" s="231"/>
      <c r="AA223" s="231"/>
      <c r="AB223" s="231"/>
      <c r="AC223" s="231"/>
      <c r="AD223" s="231"/>
      <c r="AE223" s="231"/>
      <c r="AF223" s="231"/>
      <c r="AG223" s="231"/>
      <c r="AH223" s="231"/>
      <c r="AI223" s="231"/>
      <c r="AJ223" s="231"/>
      <c r="AK223" s="231"/>
      <c r="AL223" s="231"/>
      <c r="AM223" s="231"/>
      <c r="AN223" s="231"/>
    </row>
    <row r="224" spans="1:40" s="203" customFormat="1">
      <c r="A224" s="109" t="s">
        <v>83</v>
      </c>
      <c r="B224" s="47"/>
      <c r="C224" s="47"/>
      <c r="D224" s="47"/>
      <c r="E224" s="859"/>
      <c r="F224" s="859"/>
      <c r="G224" s="130"/>
      <c r="H224" s="859"/>
      <c r="I224" s="130"/>
      <c r="J224" s="231"/>
      <c r="K224" s="231"/>
      <c r="L224" s="231"/>
      <c r="M224" s="231"/>
      <c r="N224" s="231"/>
      <c r="O224" s="231"/>
      <c r="P224" s="231"/>
      <c r="Q224" s="231"/>
      <c r="R224" s="231"/>
      <c r="S224" s="231"/>
      <c r="T224" s="231"/>
      <c r="U224" s="231"/>
      <c r="V224" s="231"/>
      <c r="W224" s="231"/>
      <c r="X224" s="231"/>
      <c r="Y224" s="231"/>
      <c r="Z224" s="231"/>
      <c r="AA224" s="231"/>
      <c r="AB224" s="231"/>
      <c r="AC224" s="231"/>
      <c r="AD224" s="231"/>
      <c r="AE224" s="231"/>
      <c r="AF224" s="231"/>
      <c r="AG224" s="231"/>
      <c r="AH224" s="231"/>
      <c r="AI224" s="231"/>
      <c r="AJ224" s="231"/>
      <c r="AK224" s="231"/>
      <c r="AL224" s="231"/>
      <c r="AM224" s="231"/>
      <c r="AN224" s="231"/>
    </row>
    <row r="225" spans="1:40" s="203" customFormat="1">
      <c r="A225" s="110" t="s">
        <v>84</v>
      </c>
      <c r="B225" s="132"/>
      <c r="C225" s="132"/>
      <c r="D225" s="132"/>
      <c r="E225" s="860"/>
      <c r="F225" s="860"/>
      <c r="G225" s="130"/>
      <c r="H225" s="860"/>
      <c r="I225" s="130"/>
      <c r="J225" s="231"/>
      <c r="K225" s="231"/>
      <c r="L225" s="231"/>
      <c r="M225" s="231"/>
      <c r="N225" s="231"/>
      <c r="O225" s="231"/>
      <c r="P225" s="231"/>
      <c r="Q225" s="231"/>
      <c r="R225" s="231"/>
      <c r="S225" s="231"/>
      <c r="T225" s="231"/>
      <c r="U225" s="231"/>
      <c r="V225" s="231"/>
      <c r="W225" s="231"/>
      <c r="X225" s="231"/>
      <c r="Y225" s="231"/>
      <c r="Z225" s="231"/>
      <c r="AA225" s="231"/>
      <c r="AB225" s="231"/>
      <c r="AC225" s="231"/>
      <c r="AD225" s="231"/>
      <c r="AE225" s="231"/>
      <c r="AF225" s="231"/>
      <c r="AG225" s="231"/>
      <c r="AH225" s="231"/>
      <c r="AI225" s="231"/>
      <c r="AJ225" s="231"/>
      <c r="AK225" s="231"/>
      <c r="AL225" s="231"/>
      <c r="AM225" s="231"/>
      <c r="AN225" s="231"/>
    </row>
    <row r="226" spans="1:40" s="203" customFormat="1">
      <c r="A226" s="120">
        <v>1</v>
      </c>
      <c r="B226" s="47" t="s">
        <v>180</v>
      </c>
      <c r="C226" s="47"/>
      <c r="D226" s="47"/>
      <c r="E226" s="41">
        <v>-183</v>
      </c>
      <c r="F226" s="52">
        <v>-149</v>
      </c>
      <c r="G226" s="118"/>
      <c r="H226" s="133">
        <v>-263</v>
      </c>
      <c r="I226" s="29"/>
      <c r="J226" s="231"/>
      <c r="K226" s="231"/>
      <c r="L226" s="231"/>
      <c r="M226" s="231"/>
      <c r="N226" s="231"/>
      <c r="O226" s="231"/>
      <c r="P226" s="231"/>
      <c r="Q226" s="231"/>
      <c r="R226" s="231"/>
      <c r="S226" s="231"/>
      <c r="T226" s="231"/>
      <c r="U226" s="231"/>
      <c r="V226" s="231"/>
      <c r="W226" s="231"/>
      <c r="X226" s="231"/>
      <c r="Y226" s="231"/>
      <c r="Z226" s="231"/>
      <c r="AA226" s="231"/>
      <c r="AB226" s="231"/>
      <c r="AC226" s="231"/>
      <c r="AD226" s="231"/>
      <c r="AE226" s="231"/>
      <c r="AF226" s="231"/>
      <c r="AG226" s="231"/>
      <c r="AH226" s="231"/>
      <c r="AI226" s="231"/>
      <c r="AJ226" s="231"/>
      <c r="AK226" s="231"/>
      <c r="AL226" s="231"/>
      <c r="AM226" s="231"/>
      <c r="AN226" s="231"/>
    </row>
    <row r="227" spans="1:40" s="203" customFormat="1">
      <c r="A227" s="120">
        <v>2</v>
      </c>
      <c r="B227" s="47" t="s">
        <v>181</v>
      </c>
      <c r="C227" s="47"/>
      <c r="D227" s="47"/>
      <c r="E227" s="49">
        <v>-55</v>
      </c>
      <c r="F227" s="52">
        <v>-182</v>
      </c>
      <c r="G227" s="118"/>
      <c r="H227" s="122">
        <v>-112</v>
      </c>
      <c r="I227" s="29"/>
      <c r="J227" s="231"/>
      <c r="K227" s="231"/>
      <c r="L227" s="231"/>
      <c r="M227" s="231"/>
      <c r="N227" s="231"/>
      <c r="O227" s="231"/>
      <c r="P227" s="231"/>
      <c r="Q227" s="231"/>
      <c r="R227" s="231"/>
      <c r="S227" s="231"/>
      <c r="T227" s="231"/>
      <c r="U227" s="231"/>
      <c r="V227" s="231"/>
      <c r="W227" s="231"/>
      <c r="X227" s="231"/>
      <c r="Y227" s="231"/>
      <c r="Z227" s="231"/>
      <c r="AA227" s="231"/>
      <c r="AB227" s="231"/>
      <c r="AC227" s="231"/>
      <c r="AD227" s="231"/>
      <c r="AE227" s="231"/>
      <c r="AF227" s="231"/>
      <c r="AG227" s="231"/>
      <c r="AH227" s="231"/>
      <c r="AI227" s="231"/>
      <c r="AJ227" s="231"/>
      <c r="AK227" s="231"/>
      <c r="AL227" s="231"/>
      <c r="AM227" s="231"/>
      <c r="AN227" s="231"/>
    </row>
    <row r="228" spans="1:40" s="203" customFormat="1">
      <c r="A228" s="120">
        <v>3</v>
      </c>
      <c r="B228" s="47" t="s">
        <v>182</v>
      </c>
      <c r="C228" s="47"/>
      <c r="D228" s="47"/>
      <c r="E228" s="114">
        <v>867</v>
      </c>
      <c r="F228" s="52">
        <v>904</v>
      </c>
      <c r="G228" s="118"/>
      <c r="H228" s="122">
        <v>921</v>
      </c>
      <c r="I228" s="29"/>
      <c r="J228" s="231"/>
      <c r="K228" s="231"/>
      <c r="L228" s="231"/>
      <c r="M228" s="231"/>
      <c r="N228" s="231"/>
      <c r="O228" s="231"/>
      <c r="P228" s="231"/>
      <c r="Q228" s="231"/>
      <c r="R228" s="231"/>
      <c r="S228" s="231"/>
      <c r="T228" s="231"/>
      <c r="U228" s="231"/>
      <c r="V228" s="231"/>
      <c r="W228" s="231"/>
      <c r="X228" s="231"/>
      <c r="Y228" s="231"/>
      <c r="Z228" s="231"/>
      <c r="AA228" s="231"/>
      <c r="AB228" s="231"/>
      <c r="AC228" s="231"/>
      <c r="AD228" s="231"/>
      <c r="AE228" s="231"/>
      <c r="AF228" s="231"/>
      <c r="AG228" s="231"/>
      <c r="AH228" s="231"/>
      <c r="AI228" s="231"/>
      <c r="AJ228" s="231"/>
      <c r="AK228" s="231"/>
      <c r="AL228" s="231"/>
      <c r="AM228" s="231"/>
      <c r="AN228" s="231"/>
    </row>
    <row r="229" spans="1:40" s="203" customFormat="1">
      <c r="A229" s="120">
        <v>4</v>
      </c>
      <c r="B229" s="47" t="s">
        <v>183</v>
      </c>
      <c r="C229" s="47"/>
      <c r="D229" s="47"/>
      <c r="E229" s="114">
        <v>0</v>
      </c>
      <c r="F229" s="52">
        <v>0</v>
      </c>
      <c r="G229" s="118"/>
      <c r="H229" s="122">
        <v>0</v>
      </c>
      <c r="I229" s="29"/>
      <c r="J229" s="231"/>
      <c r="K229" s="231"/>
      <c r="L229" s="231"/>
      <c r="M229" s="231"/>
      <c r="N229" s="231"/>
      <c r="O229" s="231"/>
      <c r="P229" s="231"/>
      <c r="Q229" s="231"/>
      <c r="R229" s="231"/>
      <c r="S229" s="231"/>
      <c r="T229" s="231"/>
      <c r="U229" s="231"/>
      <c r="V229" s="231"/>
      <c r="W229" s="231"/>
      <c r="X229" s="231"/>
      <c r="Y229" s="231"/>
      <c r="Z229" s="231"/>
      <c r="AA229" s="231"/>
      <c r="AB229" s="231"/>
      <c r="AC229" s="231"/>
      <c r="AD229" s="231"/>
      <c r="AE229" s="231"/>
      <c r="AF229" s="231"/>
      <c r="AG229" s="231"/>
      <c r="AH229" s="231"/>
      <c r="AI229" s="231"/>
      <c r="AJ229" s="231"/>
      <c r="AK229" s="231"/>
      <c r="AL229" s="231"/>
      <c r="AM229" s="231"/>
      <c r="AN229" s="231"/>
    </row>
    <row r="230" spans="1:40" s="203" customFormat="1">
      <c r="A230" s="120">
        <v>5</v>
      </c>
      <c r="B230" s="47" t="s">
        <v>184</v>
      </c>
      <c r="C230" s="47"/>
      <c r="D230" s="47"/>
      <c r="E230" s="114">
        <v>7295</v>
      </c>
      <c r="F230" s="52">
        <v>9778</v>
      </c>
      <c r="G230" s="118"/>
      <c r="H230" s="99">
        <v>8316</v>
      </c>
      <c r="I230" s="29"/>
      <c r="J230" s="231"/>
      <c r="K230" s="231"/>
      <c r="L230" s="231"/>
      <c r="M230" s="231"/>
      <c r="N230" s="231"/>
      <c r="O230" s="231"/>
      <c r="P230" s="231"/>
      <c r="Q230" s="231"/>
      <c r="R230" s="231"/>
      <c r="S230" s="231"/>
      <c r="T230" s="231"/>
      <c r="U230" s="231"/>
      <c r="V230" s="231"/>
      <c r="W230" s="231"/>
      <c r="X230" s="231"/>
      <c r="Y230" s="231"/>
      <c r="Z230" s="231"/>
      <c r="AA230" s="231"/>
      <c r="AB230" s="231"/>
      <c r="AC230" s="231"/>
      <c r="AD230" s="231"/>
      <c r="AE230" s="231"/>
      <c r="AF230" s="231"/>
      <c r="AG230" s="231"/>
      <c r="AH230" s="231"/>
      <c r="AI230" s="231"/>
      <c r="AJ230" s="231"/>
      <c r="AK230" s="231"/>
      <c r="AL230" s="231"/>
      <c r="AM230" s="231"/>
      <c r="AN230" s="231"/>
    </row>
    <row r="231" spans="1:40" s="203" customFormat="1">
      <c r="A231" s="124">
        <v>6</v>
      </c>
      <c r="B231" s="173" t="s">
        <v>185</v>
      </c>
      <c r="C231" s="173"/>
      <c r="D231" s="173"/>
      <c r="E231" s="159">
        <v>7924</v>
      </c>
      <c r="F231" s="61">
        <f>SUM(F226:F230)</f>
        <v>10351</v>
      </c>
      <c r="G231" s="118"/>
      <c r="H231" s="61">
        <f>SUM(H226:H230)</f>
        <v>8862</v>
      </c>
      <c r="I231" s="29"/>
      <c r="J231" s="231"/>
      <c r="K231" s="231"/>
      <c r="L231" s="231"/>
      <c r="M231" s="231"/>
      <c r="N231" s="231"/>
      <c r="O231" s="231"/>
      <c r="P231" s="231"/>
      <c r="Q231" s="231"/>
      <c r="R231" s="231"/>
      <c r="S231" s="231"/>
      <c r="T231" s="231"/>
      <c r="U231" s="231"/>
      <c r="V231" s="231"/>
      <c r="W231" s="231"/>
      <c r="X231" s="231"/>
      <c r="Y231" s="231"/>
      <c r="Z231" s="231"/>
      <c r="AA231" s="231"/>
      <c r="AB231" s="231"/>
      <c r="AC231" s="231"/>
      <c r="AD231" s="231"/>
      <c r="AE231" s="231"/>
      <c r="AF231" s="231"/>
      <c r="AG231" s="231"/>
      <c r="AH231" s="231"/>
      <c r="AI231" s="231"/>
      <c r="AJ231" s="231"/>
      <c r="AK231" s="231"/>
      <c r="AL231" s="231"/>
      <c r="AM231" s="231"/>
      <c r="AN231" s="231"/>
    </row>
    <row r="232" spans="1:40" s="203" customFormat="1">
      <c r="A232" s="148"/>
      <c r="B232" s="29"/>
      <c r="C232" s="29"/>
      <c r="D232" s="170"/>
      <c r="E232" s="150"/>
      <c r="F232" s="29"/>
      <c r="G232" s="29"/>
      <c r="H232" s="207"/>
      <c r="I232" s="29"/>
      <c r="J232" s="231"/>
      <c r="K232" s="231"/>
      <c r="L232" s="231"/>
      <c r="M232" s="231"/>
      <c r="N232" s="231"/>
      <c r="O232" s="231"/>
      <c r="P232" s="231"/>
      <c r="Q232" s="231"/>
      <c r="R232" s="231"/>
      <c r="S232" s="231"/>
      <c r="T232" s="231"/>
      <c r="U232" s="231"/>
      <c r="V232" s="231"/>
      <c r="W232" s="231"/>
      <c r="X232" s="231"/>
      <c r="Y232" s="231"/>
      <c r="Z232" s="231"/>
      <c r="AA232" s="231"/>
      <c r="AB232" s="231"/>
      <c r="AC232" s="231"/>
      <c r="AD232" s="231"/>
      <c r="AE232" s="231"/>
      <c r="AF232" s="231"/>
      <c r="AG232" s="231"/>
      <c r="AH232" s="231"/>
      <c r="AI232" s="231"/>
      <c r="AJ232" s="231"/>
      <c r="AK232" s="231"/>
      <c r="AL232" s="231"/>
      <c r="AM232" s="231"/>
      <c r="AN232" s="231"/>
    </row>
    <row r="233" spans="1:40" s="203" customFormat="1">
      <c r="A233" s="148"/>
      <c r="B233" s="29"/>
      <c r="C233" s="29"/>
      <c r="D233" s="172"/>
      <c r="E233" s="152"/>
      <c r="F233" s="29"/>
      <c r="G233" s="29"/>
      <c r="H233" s="131" t="s">
        <v>27</v>
      </c>
      <c r="I233" s="29"/>
      <c r="J233" s="231"/>
      <c r="K233" s="231"/>
      <c r="L233" s="231"/>
      <c r="M233" s="231"/>
      <c r="N233" s="231"/>
      <c r="O233" s="231"/>
      <c r="P233" s="231"/>
      <c r="Q233" s="231"/>
      <c r="R233" s="231"/>
      <c r="S233" s="231"/>
      <c r="T233" s="231"/>
      <c r="U233" s="231"/>
      <c r="V233" s="231"/>
      <c r="W233" s="231"/>
      <c r="X233" s="231"/>
      <c r="Y233" s="231"/>
      <c r="Z233" s="231"/>
      <c r="AA233" s="231"/>
      <c r="AB233" s="231"/>
      <c r="AC233" s="231"/>
      <c r="AD233" s="231"/>
      <c r="AE233" s="231"/>
      <c r="AF233" s="231"/>
      <c r="AG233" s="231"/>
      <c r="AH233" s="231"/>
      <c r="AI233" s="231"/>
      <c r="AJ233" s="231"/>
      <c r="AK233" s="231"/>
      <c r="AL233" s="231"/>
      <c r="AM233" s="231"/>
      <c r="AN233" s="231"/>
    </row>
    <row r="234" spans="1:40" s="203" customFormat="1" ht="12.75" customHeight="1">
      <c r="A234" s="106" t="s">
        <v>12</v>
      </c>
      <c r="B234" s="164"/>
      <c r="C234" s="164"/>
      <c r="D234" s="164"/>
      <c r="E234" s="856" t="s">
        <v>377</v>
      </c>
      <c r="F234" s="856" t="s">
        <v>402</v>
      </c>
      <c r="G234" s="130"/>
      <c r="H234" s="856" t="s">
        <v>403</v>
      </c>
      <c r="I234" s="130"/>
      <c r="J234" s="231"/>
      <c r="K234" s="231"/>
      <c r="L234" s="231"/>
      <c r="M234" s="231"/>
      <c r="N234" s="231"/>
      <c r="O234" s="231"/>
      <c r="P234" s="231"/>
      <c r="Q234" s="231"/>
      <c r="R234" s="231"/>
      <c r="S234" s="231"/>
      <c r="T234" s="231"/>
      <c r="U234" s="231"/>
      <c r="V234" s="231"/>
      <c r="W234" s="231"/>
      <c r="X234" s="231"/>
      <c r="Y234" s="231"/>
      <c r="Z234" s="231"/>
      <c r="AA234" s="231"/>
      <c r="AB234" s="231"/>
      <c r="AC234" s="231"/>
      <c r="AD234" s="231"/>
      <c r="AE234" s="231"/>
      <c r="AF234" s="231"/>
      <c r="AG234" s="231"/>
      <c r="AH234" s="231"/>
      <c r="AI234" s="231"/>
      <c r="AJ234" s="231"/>
      <c r="AK234" s="231"/>
      <c r="AL234" s="231"/>
      <c r="AM234" s="231"/>
      <c r="AN234" s="231"/>
    </row>
    <row r="235" spans="1:40" s="203" customFormat="1">
      <c r="A235" s="165"/>
      <c r="B235" s="47"/>
      <c r="C235" s="47"/>
      <c r="D235" s="47"/>
      <c r="E235" s="859"/>
      <c r="F235" s="859"/>
      <c r="G235" s="130"/>
      <c r="H235" s="859"/>
      <c r="I235" s="130"/>
      <c r="J235" s="231"/>
      <c r="K235" s="231"/>
      <c r="L235" s="231"/>
      <c r="M235" s="231"/>
      <c r="N235" s="231"/>
      <c r="O235" s="231"/>
      <c r="P235" s="231"/>
      <c r="Q235" s="231"/>
      <c r="R235" s="231"/>
      <c r="S235" s="231"/>
      <c r="T235" s="231"/>
      <c r="U235" s="231"/>
      <c r="V235" s="231"/>
      <c r="W235" s="231"/>
      <c r="X235" s="231"/>
      <c r="Y235" s="231"/>
      <c r="Z235" s="231"/>
      <c r="AA235" s="231"/>
      <c r="AB235" s="231"/>
      <c r="AC235" s="231"/>
      <c r="AD235" s="231"/>
      <c r="AE235" s="231"/>
      <c r="AF235" s="231"/>
      <c r="AG235" s="231"/>
      <c r="AH235" s="231"/>
      <c r="AI235" s="231"/>
      <c r="AJ235" s="231"/>
      <c r="AK235" s="231"/>
      <c r="AL235" s="231"/>
      <c r="AM235" s="231"/>
      <c r="AN235" s="231"/>
    </row>
    <row r="236" spans="1:40" s="203" customFormat="1">
      <c r="A236" s="154" t="s">
        <v>186</v>
      </c>
      <c r="B236" s="174"/>
      <c r="C236" s="174"/>
      <c r="D236" s="174"/>
      <c r="E236" s="859"/>
      <c r="F236" s="859"/>
      <c r="G236" s="130"/>
      <c r="H236" s="859"/>
      <c r="I236" s="130"/>
      <c r="J236" s="231"/>
      <c r="K236" s="231"/>
      <c r="L236" s="231"/>
      <c r="M236" s="231"/>
      <c r="N236" s="231"/>
      <c r="O236" s="231"/>
      <c r="P236" s="231"/>
      <c r="Q236" s="231"/>
      <c r="R236" s="231"/>
      <c r="S236" s="231"/>
      <c r="T236" s="231"/>
      <c r="U236" s="231"/>
      <c r="V236" s="231"/>
      <c r="W236" s="231"/>
      <c r="X236" s="231"/>
      <c r="Y236" s="231"/>
      <c r="Z236" s="231"/>
      <c r="AA236" s="231"/>
      <c r="AB236" s="231"/>
      <c r="AC236" s="231"/>
      <c r="AD236" s="231"/>
      <c r="AE236" s="231"/>
      <c r="AF236" s="231"/>
      <c r="AG236" s="231"/>
      <c r="AH236" s="231"/>
      <c r="AI236" s="231"/>
      <c r="AJ236" s="231"/>
      <c r="AK236" s="231"/>
      <c r="AL236" s="231"/>
      <c r="AM236" s="231"/>
      <c r="AN236" s="231"/>
    </row>
    <row r="237" spans="1:40" s="203" customFormat="1">
      <c r="A237" s="109" t="s">
        <v>83</v>
      </c>
      <c r="B237" s="47"/>
      <c r="C237" s="47"/>
      <c r="D237" s="47"/>
      <c r="E237" s="859"/>
      <c r="F237" s="859"/>
      <c r="G237" s="130"/>
      <c r="H237" s="859"/>
      <c r="I237" s="130"/>
      <c r="J237" s="231"/>
      <c r="K237" s="231"/>
      <c r="L237" s="231"/>
      <c r="M237" s="231"/>
      <c r="N237" s="231"/>
      <c r="O237" s="231"/>
      <c r="P237" s="231"/>
      <c r="Q237" s="231"/>
      <c r="R237" s="231"/>
      <c r="S237" s="231"/>
      <c r="T237" s="231"/>
      <c r="U237" s="231"/>
      <c r="V237" s="231"/>
      <c r="W237" s="231"/>
      <c r="X237" s="231"/>
      <c r="Y237" s="231"/>
      <c r="Z237" s="231"/>
      <c r="AA237" s="231"/>
      <c r="AB237" s="231"/>
      <c r="AC237" s="231"/>
      <c r="AD237" s="231"/>
      <c r="AE237" s="231"/>
      <c r="AF237" s="231"/>
      <c r="AG237" s="231"/>
      <c r="AH237" s="231"/>
      <c r="AI237" s="231"/>
      <c r="AJ237" s="231"/>
      <c r="AK237" s="231"/>
      <c r="AL237" s="231"/>
      <c r="AM237" s="231"/>
      <c r="AN237" s="231"/>
    </row>
    <row r="238" spans="1:40" s="203" customFormat="1">
      <c r="A238" s="110" t="s">
        <v>84</v>
      </c>
      <c r="B238" s="174"/>
      <c r="C238" s="174"/>
      <c r="D238" s="174"/>
      <c r="E238" s="860"/>
      <c r="F238" s="860"/>
      <c r="G238" s="130"/>
      <c r="H238" s="860"/>
      <c r="I238" s="130"/>
      <c r="J238" s="231"/>
      <c r="K238" s="231"/>
      <c r="L238" s="231"/>
      <c r="M238" s="231"/>
      <c r="N238" s="231"/>
      <c r="O238" s="231"/>
      <c r="P238" s="231"/>
      <c r="Q238" s="231"/>
      <c r="R238" s="231"/>
      <c r="S238" s="231"/>
      <c r="T238" s="231"/>
      <c r="U238" s="231"/>
      <c r="V238" s="231"/>
      <c r="W238" s="231"/>
      <c r="X238" s="231"/>
      <c r="Y238" s="231"/>
      <c r="Z238" s="231"/>
      <c r="AA238" s="231"/>
      <c r="AB238" s="231"/>
      <c r="AC238" s="231"/>
      <c r="AD238" s="231"/>
      <c r="AE238" s="231"/>
      <c r="AF238" s="231"/>
      <c r="AG238" s="231"/>
      <c r="AH238" s="231"/>
      <c r="AI238" s="231"/>
      <c r="AJ238" s="231"/>
      <c r="AK238" s="231"/>
      <c r="AL238" s="231"/>
      <c r="AM238" s="231"/>
      <c r="AN238" s="231"/>
    </row>
    <row r="239" spans="1:40" s="203" customFormat="1">
      <c r="A239" s="153" t="s">
        <v>187</v>
      </c>
      <c r="B239" s="116"/>
      <c r="C239" s="116"/>
      <c r="D239" s="116"/>
      <c r="E239" s="167"/>
      <c r="F239" s="146"/>
      <c r="G239" s="118"/>
      <c r="H239" s="146"/>
      <c r="I239" s="29"/>
      <c r="J239" s="231"/>
      <c r="K239" s="231"/>
      <c r="L239" s="231"/>
      <c r="M239" s="231"/>
      <c r="N239" s="231"/>
      <c r="O239" s="231"/>
      <c r="P239" s="231"/>
      <c r="Q239" s="231"/>
      <c r="R239" s="231"/>
      <c r="S239" s="231"/>
      <c r="T239" s="231"/>
      <c r="U239" s="231"/>
      <c r="V239" s="231"/>
      <c r="W239" s="231"/>
      <c r="X239" s="231"/>
      <c r="Y239" s="231"/>
      <c r="Z239" s="231"/>
      <c r="AA239" s="231"/>
      <c r="AB239" s="231"/>
      <c r="AC239" s="231"/>
      <c r="AD239" s="231"/>
      <c r="AE239" s="231"/>
      <c r="AF239" s="231"/>
      <c r="AG239" s="231"/>
      <c r="AH239" s="231"/>
      <c r="AI239" s="231"/>
      <c r="AJ239" s="231"/>
      <c r="AK239" s="231"/>
      <c r="AL239" s="231"/>
      <c r="AM239" s="231"/>
      <c r="AN239" s="231"/>
    </row>
    <row r="240" spans="1:40" s="203" customFormat="1">
      <c r="A240" s="120">
        <v>1</v>
      </c>
      <c r="B240" s="47" t="s">
        <v>188</v>
      </c>
      <c r="C240" s="47"/>
      <c r="D240" s="47"/>
      <c r="E240" s="74">
        <v>1648</v>
      </c>
      <c r="F240" s="52">
        <v>2093</v>
      </c>
      <c r="G240" s="118"/>
      <c r="H240" s="122">
        <v>2112</v>
      </c>
      <c r="I240" s="29"/>
      <c r="J240" s="231"/>
      <c r="K240" s="231"/>
      <c r="L240" s="231"/>
      <c r="M240" s="231"/>
      <c r="N240" s="231"/>
      <c r="O240" s="231"/>
      <c r="P240" s="231"/>
      <c r="Q240" s="231"/>
      <c r="R240" s="231"/>
      <c r="S240" s="231"/>
      <c r="T240" s="231"/>
      <c r="U240" s="231"/>
      <c r="V240" s="231"/>
      <c r="W240" s="231"/>
      <c r="X240" s="231"/>
      <c r="Y240" s="231"/>
      <c r="Z240" s="231"/>
      <c r="AA240" s="231"/>
      <c r="AB240" s="231"/>
      <c r="AC240" s="231"/>
      <c r="AD240" s="231"/>
      <c r="AE240" s="231"/>
      <c r="AF240" s="231"/>
      <c r="AG240" s="231"/>
      <c r="AH240" s="231"/>
      <c r="AI240" s="231"/>
      <c r="AJ240" s="231"/>
      <c r="AK240" s="231"/>
      <c r="AL240" s="231"/>
      <c r="AM240" s="231"/>
      <c r="AN240" s="231"/>
    </row>
    <row r="241" spans="1:40" s="203" customFormat="1">
      <c r="A241" s="733">
        <v>2</v>
      </c>
      <c r="B241" s="47" t="s">
        <v>189</v>
      </c>
      <c r="C241" s="47"/>
      <c r="D241" s="47"/>
      <c r="E241" s="114">
        <v>1964</v>
      </c>
      <c r="F241" s="52">
        <v>1886</v>
      </c>
      <c r="G241" s="118"/>
      <c r="H241" s="100">
        <v>1774</v>
      </c>
      <c r="I241" s="29"/>
      <c r="J241" s="231"/>
      <c r="K241" s="231"/>
      <c r="L241" s="231"/>
      <c r="M241" s="231"/>
      <c r="N241" s="231"/>
      <c r="O241" s="231"/>
      <c r="P241" s="231"/>
      <c r="Q241" s="231"/>
      <c r="R241" s="231"/>
      <c r="S241" s="231"/>
      <c r="T241" s="231"/>
      <c r="U241" s="231"/>
      <c r="V241" s="231"/>
      <c r="W241" s="231"/>
      <c r="X241" s="231"/>
      <c r="Y241" s="231"/>
      <c r="Z241" s="231"/>
      <c r="AA241" s="231"/>
      <c r="AB241" s="231"/>
      <c r="AC241" s="231"/>
      <c r="AD241" s="231"/>
      <c r="AE241" s="231"/>
      <c r="AF241" s="231"/>
      <c r="AG241" s="231"/>
      <c r="AH241" s="231"/>
      <c r="AI241" s="231"/>
      <c r="AJ241" s="231"/>
      <c r="AK241" s="231"/>
      <c r="AL241" s="231"/>
      <c r="AM241" s="231"/>
      <c r="AN241" s="231"/>
    </row>
    <row r="242" spans="1:40" s="203" customFormat="1">
      <c r="A242" s="733">
        <v>3</v>
      </c>
      <c r="B242" s="168" t="s">
        <v>190</v>
      </c>
      <c r="C242" s="168"/>
      <c r="D242" s="168"/>
      <c r="E242" s="80">
        <v>3612</v>
      </c>
      <c r="F242" s="142">
        <f>SUM(F240:F241)</f>
        <v>3979</v>
      </c>
      <c r="G242" s="118"/>
      <c r="H242" s="142">
        <f>SUM(H240:H241)</f>
        <v>3886</v>
      </c>
      <c r="I242" s="29"/>
      <c r="J242" s="231"/>
      <c r="K242" s="231"/>
      <c r="L242" s="231"/>
      <c r="M242" s="231"/>
      <c r="N242" s="231"/>
      <c r="O242" s="231"/>
      <c r="P242" s="231"/>
      <c r="Q242" s="231"/>
      <c r="R242" s="231"/>
      <c r="S242" s="231"/>
      <c r="T242" s="231"/>
      <c r="U242" s="231"/>
      <c r="V242" s="231"/>
      <c r="W242" s="231"/>
      <c r="X242" s="231"/>
      <c r="Y242" s="231"/>
      <c r="Z242" s="231"/>
      <c r="AA242" s="231"/>
      <c r="AB242" s="231"/>
      <c r="AC242" s="231"/>
      <c r="AD242" s="231"/>
      <c r="AE242" s="231"/>
      <c r="AF242" s="231"/>
      <c r="AG242" s="231"/>
      <c r="AH242" s="231"/>
      <c r="AI242" s="231"/>
      <c r="AJ242" s="231"/>
      <c r="AK242" s="231"/>
      <c r="AL242" s="231"/>
      <c r="AM242" s="231"/>
      <c r="AN242" s="231"/>
    </row>
    <row r="243" spans="1:40" s="203" customFormat="1">
      <c r="A243" s="733"/>
      <c r="B243" s="116"/>
      <c r="C243" s="116"/>
      <c r="D243" s="116"/>
      <c r="E243" s="117"/>
      <c r="F243" s="118"/>
      <c r="G243" s="118"/>
      <c r="H243" s="118"/>
      <c r="I243" s="29"/>
      <c r="J243" s="231"/>
      <c r="K243" s="231"/>
      <c r="L243" s="231"/>
      <c r="M243" s="231"/>
      <c r="N243" s="231"/>
      <c r="O243" s="231"/>
      <c r="P243" s="231"/>
      <c r="Q243" s="231"/>
      <c r="R243" s="231"/>
      <c r="S243" s="231"/>
      <c r="T243" s="231"/>
      <c r="U243" s="231"/>
      <c r="V243" s="231"/>
      <c r="W243" s="231"/>
      <c r="X243" s="231"/>
      <c r="Y243" s="231"/>
      <c r="Z243" s="231"/>
      <c r="AA243" s="231"/>
      <c r="AB243" s="231"/>
      <c r="AC243" s="231"/>
      <c r="AD243" s="231"/>
      <c r="AE243" s="231"/>
      <c r="AF243" s="231"/>
      <c r="AG243" s="231"/>
      <c r="AH243" s="231"/>
      <c r="AI243" s="231"/>
      <c r="AJ243" s="231"/>
      <c r="AK243" s="231"/>
      <c r="AL243" s="231"/>
      <c r="AM243" s="231"/>
      <c r="AN243" s="231"/>
    </row>
    <row r="244" spans="1:40" s="203" customFormat="1">
      <c r="A244" s="108" t="s">
        <v>191</v>
      </c>
      <c r="B244" s="47"/>
      <c r="C244" s="47"/>
      <c r="D244" s="47"/>
      <c r="E244" s="140"/>
      <c r="F244" s="146"/>
      <c r="G244" s="118"/>
      <c r="H244" s="146"/>
      <c r="I244" s="29"/>
      <c r="J244" s="231"/>
      <c r="K244" s="231"/>
      <c r="L244" s="231"/>
      <c r="M244" s="231"/>
      <c r="N244" s="231"/>
      <c r="O244" s="231"/>
      <c r="P244" s="231"/>
      <c r="Q244" s="231"/>
      <c r="R244" s="231"/>
      <c r="S244" s="231"/>
      <c r="T244" s="231"/>
      <c r="U244" s="231"/>
      <c r="V244" s="231"/>
      <c r="W244" s="231"/>
      <c r="X244" s="231"/>
      <c r="Y244" s="231"/>
      <c r="Z244" s="231"/>
      <c r="AA244" s="231"/>
      <c r="AB244" s="231"/>
      <c r="AC244" s="231"/>
      <c r="AD244" s="231"/>
      <c r="AE244" s="231"/>
      <c r="AF244" s="231"/>
      <c r="AG244" s="231"/>
      <c r="AH244" s="231"/>
      <c r="AI244" s="231"/>
      <c r="AJ244" s="231"/>
      <c r="AK244" s="231"/>
      <c r="AL244" s="231"/>
      <c r="AM244" s="231"/>
      <c r="AN244" s="231"/>
    </row>
    <row r="245" spans="1:40" s="203" customFormat="1">
      <c r="A245" s="733">
        <v>4</v>
      </c>
      <c r="B245" s="47" t="s">
        <v>192</v>
      </c>
      <c r="C245" s="47"/>
      <c r="D245" s="47"/>
      <c r="E245" s="74">
        <v>0</v>
      </c>
      <c r="F245" s="52">
        <v>0</v>
      </c>
      <c r="G245" s="118"/>
      <c r="H245" s="122">
        <v>0</v>
      </c>
      <c r="I245" s="29"/>
      <c r="J245" s="231"/>
      <c r="K245" s="231"/>
      <c r="L245" s="231"/>
      <c r="M245" s="231"/>
      <c r="N245" s="231"/>
      <c r="O245" s="231"/>
      <c r="P245" s="231"/>
      <c r="Q245" s="231"/>
      <c r="R245" s="231"/>
      <c r="S245" s="231"/>
      <c r="T245" s="231"/>
      <c r="U245" s="231"/>
      <c r="V245" s="231"/>
      <c r="W245" s="231"/>
      <c r="X245" s="231"/>
      <c r="Y245" s="231"/>
      <c r="Z245" s="231"/>
      <c r="AA245" s="231"/>
      <c r="AB245" s="231"/>
      <c r="AC245" s="231"/>
      <c r="AD245" s="231"/>
      <c r="AE245" s="231"/>
      <c r="AF245" s="231"/>
      <c r="AG245" s="231"/>
      <c r="AH245" s="231"/>
      <c r="AI245" s="231"/>
      <c r="AJ245" s="231"/>
      <c r="AK245" s="231"/>
      <c r="AL245" s="231"/>
      <c r="AM245" s="231"/>
      <c r="AN245" s="231"/>
    </row>
    <row r="246" spans="1:40" s="203" customFormat="1">
      <c r="A246" s="733">
        <v>5</v>
      </c>
      <c r="B246" s="47" t="s">
        <v>193</v>
      </c>
      <c r="C246" s="47"/>
      <c r="D246" s="47"/>
      <c r="E246" s="49">
        <v>349</v>
      </c>
      <c r="F246" s="52">
        <v>306</v>
      </c>
      <c r="G246" s="118"/>
      <c r="H246" s="100">
        <v>349</v>
      </c>
      <c r="I246" s="29"/>
      <c r="J246" s="231"/>
      <c r="K246" s="231"/>
      <c r="L246" s="231"/>
      <c r="M246" s="231"/>
      <c r="N246" s="231"/>
      <c r="O246" s="231"/>
      <c r="P246" s="231"/>
      <c r="Q246" s="231"/>
      <c r="R246" s="231"/>
      <c r="S246" s="231"/>
      <c r="T246" s="231"/>
      <c r="U246" s="231"/>
      <c r="V246" s="231"/>
      <c r="W246" s="231"/>
      <c r="X246" s="231"/>
      <c r="Y246" s="231"/>
      <c r="Z246" s="231"/>
      <c r="AA246" s="231"/>
      <c r="AB246" s="231"/>
      <c r="AC246" s="231"/>
      <c r="AD246" s="231"/>
      <c r="AE246" s="231"/>
      <c r="AF246" s="231"/>
      <c r="AG246" s="231"/>
      <c r="AH246" s="231"/>
      <c r="AI246" s="231"/>
      <c r="AJ246" s="231"/>
      <c r="AK246" s="231"/>
      <c r="AL246" s="231"/>
      <c r="AM246" s="231"/>
      <c r="AN246" s="231"/>
    </row>
    <row r="247" spans="1:40" s="203" customFormat="1">
      <c r="A247" s="733">
        <v>6</v>
      </c>
      <c r="B247" s="116" t="s">
        <v>194</v>
      </c>
      <c r="C247" s="116"/>
      <c r="D247" s="116"/>
      <c r="E247" s="80">
        <v>349</v>
      </c>
      <c r="F247" s="142">
        <f>SUM(F245:F246)</f>
        <v>306</v>
      </c>
      <c r="G247" s="118"/>
      <c r="H247" s="142">
        <f>SUM(H245:H246)</f>
        <v>349</v>
      </c>
      <c r="I247" s="29"/>
      <c r="J247" s="231"/>
      <c r="K247" s="231"/>
      <c r="L247" s="231"/>
      <c r="M247" s="231"/>
      <c r="N247" s="231"/>
      <c r="O247" s="231"/>
      <c r="P247" s="231"/>
      <c r="Q247" s="231"/>
      <c r="R247" s="231"/>
      <c r="S247" s="231"/>
      <c r="T247" s="231"/>
      <c r="U247" s="231"/>
      <c r="V247" s="231"/>
      <c r="W247" s="231"/>
      <c r="X247" s="231"/>
      <c r="Y247" s="231"/>
      <c r="Z247" s="231"/>
      <c r="AA247" s="231"/>
      <c r="AB247" s="231"/>
      <c r="AC247" s="231"/>
      <c r="AD247" s="231"/>
      <c r="AE247" s="231"/>
      <c r="AF247" s="231"/>
      <c r="AG247" s="231"/>
      <c r="AH247" s="231"/>
      <c r="AI247" s="231"/>
      <c r="AJ247" s="231"/>
      <c r="AK247" s="231"/>
      <c r="AL247" s="231"/>
      <c r="AM247" s="231"/>
      <c r="AN247" s="231"/>
    </row>
    <row r="248" spans="1:40" s="203" customFormat="1">
      <c r="A248" s="733"/>
      <c r="B248" s="116"/>
      <c r="C248" s="116"/>
      <c r="D248" s="116"/>
      <c r="E248" s="117"/>
      <c r="F248" s="118"/>
      <c r="G248" s="118"/>
      <c r="H248" s="118"/>
      <c r="I248" s="29"/>
      <c r="J248" s="231"/>
      <c r="K248" s="231"/>
      <c r="L248" s="231"/>
      <c r="M248" s="231"/>
      <c r="N248" s="231"/>
      <c r="O248" s="231"/>
      <c r="P248" s="231"/>
      <c r="Q248" s="231"/>
      <c r="R248" s="231"/>
      <c r="S248" s="231"/>
      <c r="T248" s="231"/>
      <c r="U248" s="231"/>
      <c r="V248" s="231"/>
      <c r="W248" s="231"/>
      <c r="X248" s="231"/>
      <c r="Y248" s="231"/>
      <c r="Z248" s="231"/>
      <c r="AA248" s="231"/>
      <c r="AB248" s="231"/>
      <c r="AC248" s="231"/>
      <c r="AD248" s="231"/>
      <c r="AE248" s="231"/>
      <c r="AF248" s="231"/>
      <c r="AG248" s="231"/>
      <c r="AH248" s="231"/>
      <c r="AI248" s="231"/>
      <c r="AJ248" s="231"/>
      <c r="AK248" s="231"/>
      <c r="AL248" s="231"/>
      <c r="AM248" s="231"/>
      <c r="AN248" s="231"/>
    </row>
    <row r="249" spans="1:40" s="203" customFormat="1">
      <c r="A249" s="108" t="s">
        <v>195</v>
      </c>
      <c r="B249" s="116"/>
      <c r="C249" s="116"/>
      <c r="D249" s="116"/>
      <c r="E249" s="140"/>
      <c r="F249" s="146"/>
      <c r="G249" s="118"/>
      <c r="H249" s="146"/>
      <c r="I249" s="29"/>
      <c r="J249" s="231"/>
      <c r="K249" s="231"/>
      <c r="L249" s="231"/>
      <c r="M249" s="231"/>
      <c r="N249" s="231"/>
      <c r="O249" s="231"/>
      <c r="P249" s="231"/>
      <c r="Q249" s="231"/>
      <c r="R249" s="231"/>
      <c r="S249" s="231"/>
      <c r="T249" s="231"/>
      <c r="U249" s="231"/>
      <c r="V249" s="231"/>
      <c r="W249" s="231"/>
      <c r="X249" s="231"/>
      <c r="Y249" s="231"/>
      <c r="Z249" s="231"/>
      <c r="AA249" s="231"/>
      <c r="AB249" s="231"/>
      <c r="AC249" s="231"/>
      <c r="AD249" s="231"/>
      <c r="AE249" s="231"/>
      <c r="AF249" s="231"/>
      <c r="AG249" s="231"/>
      <c r="AH249" s="231"/>
      <c r="AI249" s="231"/>
      <c r="AJ249" s="231"/>
      <c r="AK249" s="231"/>
      <c r="AL249" s="231"/>
      <c r="AM249" s="231"/>
      <c r="AN249" s="231"/>
    </row>
    <row r="250" spans="1:40" s="203" customFormat="1">
      <c r="A250" s="733">
        <v>7</v>
      </c>
      <c r="B250" s="47" t="s">
        <v>196</v>
      </c>
      <c r="C250" s="47"/>
      <c r="D250" s="47"/>
      <c r="E250" s="74">
        <v>1166</v>
      </c>
      <c r="F250" s="52">
        <v>1159</v>
      </c>
      <c r="G250" s="118"/>
      <c r="H250" s="52">
        <v>1198</v>
      </c>
      <c r="I250" s="29"/>
      <c r="J250" s="231"/>
      <c r="K250" s="231"/>
      <c r="L250" s="231"/>
      <c r="M250" s="231"/>
      <c r="N250" s="231"/>
      <c r="O250" s="231"/>
      <c r="P250" s="231"/>
      <c r="Q250" s="231"/>
      <c r="R250" s="231"/>
      <c r="S250" s="231"/>
      <c r="T250" s="231"/>
      <c r="U250" s="231"/>
      <c r="V250" s="231"/>
      <c r="W250" s="231"/>
      <c r="X250" s="231"/>
      <c r="Y250" s="231"/>
      <c r="Z250" s="231"/>
      <c r="AA250" s="231"/>
      <c r="AB250" s="231"/>
      <c r="AC250" s="231"/>
      <c r="AD250" s="231"/>
      <c r="AE250" s="231"/>
      <c r="AF250" s="231"/>
      <c r="AG250" s="231"/>
      <c r="AH250" s="231"/>
      <c r="AI250" s="231"/>
      <c r="AJ250" s="231"/>
      <c r="AK250" s="231"/>
      <c r="AL250" s="231"/>
      <c r="AM250" s="231"/>
      <c r="AN250" s="231"/>
    </row>
    <row r="251" spans="1:40" s="203" customFormat="1">
      <c r="A251" s="733">
        <v>8</v>
      </c>
      <c r="B251" s="47" t="s">
        <v>197</v>
      </c>
      <c r="C251" s="47"/>
      <c r="D251" s="47"/>
      <c r="E251" s="49">
        <v>3046</v>
      </c>
      <c r="F251" s="52">
        <v>2892</v>
      </c>
      <c r="G251" s="118"/>
      <c r="H251" s="122">
        <v>3715</v>
      </c>
      <c r="I251" s="29"/>
      <c r="J251" s="231"/>
      <c r="K251" s="231"/>
      <c r="L251" s="231"/>
      <c r="M251" s="231"/>
      <c r="N251" s="231"/>
      <c r="O251" s="231"/>
      <c r="P251" s="231"/>
      <c r="Q251" s="231"/>
      <c r="R251" s="231"/>
      <c r="S251" s="231"/>
      <c r="T251" s="231"/>
      <c r="U251" s="231"/>
      <c r="V251" s="231"/>
      <c r="W251" s="231"/>
      <c r="X251" s="231"/>
      <c r="Y251" s="231"/>
      <c r="Z251" s="231"/>
      <c r="AA251" s="231"/>
      <c r="AB251" s="231"/>
      <c r="AC251" s="231"/>
      <c r="AD251" s="231"/>
      <c r="AE251" s="231"/>
      <c r="AF251" s="231"/>
      <c r="AG251" s="231"/>
      <c r="AH251" s="231"/>
      <c r="AI251" s="231"/>
      <c r="AJ251" s="231"/>
      <c r="AK251" s="231"/>
      <c r="AL251" s="231"/>
      <c r="AM251" s="231"/>
      <c r="AN251" s="231"/>
    </row>
    <row r="252" spans="1:40" s="203" customFormat="1">
      <c r="A252" s="733">
        <v>9</v>
      </c>
      <c r="B252" s="47" t="s">
        <v>198</v>
      </c>
      <c r="C252" s="47"/>
      <c r="D252" s="47"/>
      <c r="E252" s="49">
        <v>1912</v>
      </c>
      <c r="F252" s="52">
        <v>1627</v>
      </c>
      <c r="G252" s="118"/>
      <c r="H252" s="122">
        <v>1923</v>
      </c>
      <c r="I252" s="29"/>
      <c r="J252" s="231"/>
      <c r="K252" s="231"/>
      <c r="L252" s="231"/>
      <c r="M252" s="231"/>
      <c r="N252" s="231"/>
      <c r="O252" s="231"/>
      <c r="P252" s="231"/>
      <c r="Q252" s="231"/>
      <c r="R252" s="231"/>
      <c r="S252" s="231"/>
      <c r="T252" s="231"/>
      <c r="U252" s="231"/>
      <c r="V252" s="231"/>
      <c r="W252" s="231"/>
      <c r="X252" s="231"/>
      <c r="Y252" s="231"/>
      <c r="Z252" s="231"/>
      <c r="AA252" s="231"/>
      <c r="AB252" s="231"/>
      <c r="AC252" s="231"/>
      <c r="AD252" s="231"/>
      <c r="AE252" s="231"/>
      <c r="AF252" s="231"/>
      <c r="AG252" s="231"/>
      <c r="AH252" s="231"/>
      <c r="AI252" s="231"/>
      <c r="AJ252" s="231"/>
      <c r="AK252" s="231"/>
      <c r="AL252" s="231"/>
      <c r="AM252" s="231"/>
      <c r="AN252" s="231"/>
    </row>
    <row r="253" spans="1:40" s="203" customFormat="1">
      <c r="A253" s="733">
        <v>10</v>
      </c>
      <c r="B253" s="47" t="s">
        <v>199</v>
      </c>
      <c r="C253" s="47"/>
      <c r="D253" s="47"/>
      <c r="E253" s="49">
        <v>1690</v>
      </c>
      <c r="F253" s="52">
        <v>1488</v>
      </c>
      <c r="G253" s="118"/>
      <c r="H253" s="100">
        <v>1673</v>
      </c>
      <c r="I253" s="29"/>
      <c r="J253" s="231"/>
      <c r="K253" s="231"/>
      <c r="L253" s="231"/>
      <c r="M253" s="231"/>
      <c r="N253" s="231"/>
      <c r="O253" s="231"/>
      <c r="P253" s="231"/>
      <c r="Q253" s="231"/>
      <c r="R253" s="231"/>
      <c r="S253" s="231"/>
      <c r="T253" s="231"/>
      <c r="U253" s="231"/>
      <c r="V253" s="231"/>
      <c r="W253" s="231"/>
      <c r="X253" s="231"/>
      <c r="Y253" s="231"/>
      <c r="Z253" s="231"/>
      <c r="AA253" s="231"/>
      <c r="AB253" s="231"/>
      <c r="AC253" s="231"/>
      <c r="AD253" s="231"/>
      <c r="AE253" s="231"/>
      <c r="AF253" s="231"/>
      <c r="AG253" s="231"/>
      <c r="AH253" s="231"/>
      <c r="AI253" s="231"/>
      <c r="AJ253" s="231"/>
      <c r="AK253" s="231"/>
      <c r="AL253" s="231"/>
      <c r="AM253" s="231"/>
      <c r="AN253" s="231"/>
    </row>
    <row r="254" spans="1:40" s="203" customFormat="1">
      <c r="A254" s="733">
        <v>11</v>
      </c>
      <c r="B254" s="116" t="s">
        <v>200</v>
      </c>
      <c r="C254" s="116"/>
      <c r="D254" s="116"/>
      <c r="E254" s="80">
        <v>7814</v>
      </c>
      <c r="F254" s="142">
        <f>SUM(F250:F253)</f>
        <v>7166</v>
      </c>
      <c r="G254" s="118"/>
      <c r="H254" s="142">
        <f>SUM(H250:H253)</f>
        <v>8509</v>
      </c>
      <c r="I254" s="260"/>
      <c r="J254" s="231"/>
      <c r="K254" s="231"/>
      <c r="L254" s="231"/>
      <c r="M254" s="231"/>
      <c r="N254" s="231"/>
      <c r="O254" s="231"/>
      <c r="P254" s="231"/>
      <c r="Q254" s="231"/>
      <c r="R254" s="231"/>
      <c r="S254" s="231"/>
      <c r="T254" s="231"/>
      <c r="U254" s="231"/>
      <c r="V254" s="231"/>
      <c r="W254" s="231"/>
      <c r="X254" s="231"/>
      <c r="Y254" s="231"/>
      <c r="Z254" s="231"/>
      <c r="AA254" s="231"/>
      <c r="AB254" s="231"/>
      <c r="AC254" s="231"/>
      <c r="AD254" s="231"/>
      <c r="AE254" s="231"/>
      <c r="AF254" s="231"/>
      <c r="AG254" s="231"/>
      <c r="AH254" s="231"/>
      <c r="AI254" s="231"/>
      <c r="AJ254" s="231"/>
      <c r="AK254" s="231"/>
      <c r="AL254" s="231"/>
      <c r="AM254" s="231"/>
      <c r="AN254" s="231"/>
    </row>
    <row r="255" spans="1:40" s="203" customFormat="1">
      <c r="A255" s="733"/>
      <c r="B255" s="116"/>
      <c r="C255" s="116"/>
      <c r="D255" s="116"/>
      <c r="E255" s="117"/>
      <c r="F255" s="118"/>
      <c r="G255" s="118"/>
      <c r="H255" s="118"/>
      <c r="I255" s="29"/>
      <c r="J255" s="231"/>
      <c r="K255" s="231"/>
      <c r="L255" s="231"/>
      <c r="M255" s="231"/>
      <c r="N255" s="231"/>
      <c r="O255" s="231"/>
      <c r="P255" s="231"/>
      <c r="Q255" s="231"/>
      <c r="R255" s="231"/>
      <c r="S255" s="231"/>
      <c r="T255" s="231"/>
      <c r="U255" s="231"/>
      <c r="V255" s="231"/>
      <c r="W255" s="231"/>
      <c r="X255" s="231"/>
      <c r="Y255" s="231"/>
      <c r="Z255" s="231"/>
      <c r="AA255" s="231"/>
      <c r="AB255" s="231"/>
      <c r="AC255" s="231"/>
      <c r="AD255" s="231"/>
      <c r="AE255" s="231"/>
      <c r="AF255" s="231"/>
      <c r="AG255" s="231"/>
      <c r="AH255" s="231"/>
      <c r="AI255" s="231"/>
      <c r="AJ255" s="231"/>
      <c r="AK255" s="231"/>
      <c r="AL255" s="231"/>
      <c r="AM255" s="231"/>
      <c r="AN255" s="231"/>
    </row>
    <row r="256" spans="1:40" s="203" customFormat="1">
      <c r="A256" s="733">
        <v>12</v>
      </c>
      <c r="B256" s="47" t="s">
        <v>201</v>
      </c>
      <c r="C256" s="47"/>
      <c r="D256" s="47"/>
      <c r="E256" s="176">
        <v>4808</v>
      </c>
      <c r="F256" s="136">
        <v>4825</v>
      </c>
      <c r="G256" s="118"/>
      <c r="H256" s="177">
        <v>4925</v>
      </c>
      <c r="I256" s="260"/>
      <c r="J256" s="231"/>
      <c r="K256" s="231"/>
      <c r="L256" s="231"/>
      <c r="M256" s="231"/>
      <c r="N256" s="231"/>
      <c r="O256" s="231"/>
      <c r="P256" s="231"/>
      <c r="Q256" s="231"/>
      <c r="R256" s="231"/>
      <c r="S256" s="231"/>
      <c r="T256" s="231"/>
      <c r="U256" s="231"/>
      <c r="V256" s="231"/>
      <c r="W256" s="231"/>
      <c r="X256" s="231"/>
      <c r="Y256" s="231"/>
      <c r="Z256" s="231"/>
      <c r="AA256" s="231"/>
      <c r="AB256" s="231"/>
      <c r="AC256" s="231"/>
      <c r="AD256" s="231"/>
      <c r="AE256" s="231"/>
      <c r="AF256" s="231"/>
      <c r="AG256" s="231"/>
      <c r="AH256" s="231"/>
      <c r="AI256" s="231"/>
      <c r="AJ256" s="231"/>
      <c r="AK256" s="231"/>
      <c r="AL256" s="231"/>
      <c r="AM256" s="231"/>
      <c r="AN256" s="231"/>
    </row>
    <row r="257" spans="1:40" s="203" customFormat="1">
      <c r="A257" s="124">
        <v>13</v>
      </c>
      <c r="B257" s="94" t="s">
        <v>202</v>
      </c>
      <c r="C257" s="94"/>
      <c r="D257" s="94"/>
      <c r="E257" s="159">
        <v>16583</v>
      </c>
      <c r="F257" s="61">
        <f>F242+F247+F254+F256</f>
        <v>16276</v>
      </c>
      <c r="G257" s="118"/>
      <c r="H257" s="61">
        <f>H242+H247+H254+H256</f>
        <v>17669</v>
      </c>
      <c r="I257" s="21"/>
      <c r="J257" s="231"/>
      <c r="K257" s="231"/>
      <c r="L257" s="231"/>
      <c r="M257" s="231"/>
      <c r="N257" s="231"/>
      <c r="O257" s="231"/>
      <c r="P257" s="231"/>
      <c r="Q257" s="231"/>
      <c r="R257" s="231"/>
      <c r="S257" s="231"/>
      <c r="T257" s="231"/>
      <c r="U257" s="231"/>
      <c r="V257" s="231"/>
      <c r="W257" s="231"/>
      <c r="X257" s="231"/>
      <c r="Y257" s="231"/>
      <c r="Z257" s="231"/>
      <c r="AA257" s="231"/>
      <c r="AB257" s="231"/>
      <c r="AC257" s="231"/>
      <c r="AD257" s="231"/>
      <c r="AE257" s="231"/>
      <c r="AF257" s="231"/>
      <c r="AG257" s="231"/>
      <c r="AH257" s="231"/>
      <c r="AI257" s="231"/>
      <c r="AJ257" s="231"/>
      <c r="AK257" s="231"/>
      <c r="AL257" s="231"/>
      <c r="AM257" s="231"/>
      <c r="AN257" s="231"/>
    </row>
    <row r="258" spans="1:40" s="203" customFormat="1">
      <c r="A258" s="207"/>
      <c r="B258" s="207"/>
      <c r="C258" s="207"/>
      <c r="D258" s="208"/>
      <c r="E258" s="208"/>
      <c r="F258" s="207"/>
      <c r="G258" s="207"/>
      <c r="H258" s="207"/>
      <c r="I258" s="21"/>
      <c r="J258" s="231"/>
      <c r="K258" s="231"/>
      <c r="L258" s="231"/>
      <c r="M258" s="231"/>
      <c r="N258" s="231"/>
      <c r="O258" s="231"/>
      <c r="P258" s="231"/>
      <c r="Q258" s="231"/>
      <c r="R258" s="231"/>
      <c r="S258" s="231"/>
      <c r="T258" s="231"/>
      <c r="U258" s="231"/>
      <c r="V258" s="231"/>
      <c r="W258" s="231"/>
      <c r="X258" s="231"/>
      <c r="Y258" s="231"/>
      <c r="Z258" s="231"/>
      <c r="AA258" s="231"/>
      <c r="AB258" s="231"/>
      <c r="AC258" s="231"/>
      <c r="AD258" s="231"/>
      <c r="AE258" s="231"/>
      <c r="AF258" s="231"/>
      <c r="AG258" s="231"/>
      <c r="AH258" s="231"/>
      <c r="AI258" s="231"/>
      <c r="AJ258" s="231"/>
      <c r="AK258" s="231"/>
      <c r="AL258" s="231"/>
      <c r="AM258" s="231"/>
      <c r="AN258" s="231"/>
    </row>
    <row r="259" spans="1:40" s="203" customFormat="1">
      <c r="A259" s="23"/>
      <c r="B259" s="207"/>
      <c r="C259" s="207"/>
      <c r="D259" s="207"/>
      <c r="E259" s="207"/>
      <c r="F259" s="207"/>
      <c r="G259" s="207"/>
      <c r="H259" s="21"/>
      <c r="I259" s="21"/>
      <c r="J259" s="231"/>
      <c r="K259" s="231"/>
      <c r="L259" s="231"/>
      <c r="M259" s="231"/>
      <c r="N259" s="231"/>
      <c r="O259" s="231"/>
      <c r="P259" s="231"/>
      <c r="Q259" s="231"/>
      <c r="R259" s="231"/>
      <c r="S259" s="231"/>
      <c r="T259" s="231"/>
      <c r="U259" s="231"/>
      <c r="V259" s="231"/>
      <c r="W259" s="231"/>
      <c r="X259" s="231"/>
      <c r="Y259" s="231"/>
      <c r="Z259" s="231"/>
      <c r="AA259" s="231"/>
      <c r="AB259" s="231"/>
      <c r="AC259" s="231"/>
      <c r="AD259" s="231"/>
      <c r="AE259" s="231"/>
      <c r="AF259" s="231"/>
      <c r="AG259" s="231"/>
      <c r="AH259" s="231"/>
      <c r="AI259" s="231"/>
      <c r="AJ259" s="231"/>
      <c r="AK259" s="231"/>
      <c r="AL259" s="231"/>
      <c r="AM259" s="231"/>
      <c r="AN259" s="231"/>
    </row>
    <row r="260" spans="1:40" s="203" customFormat="1">
      <c r="A260" s="148"/>
      <c r="B260" s="29"/>
      <c r="C260" s="29"/>
      <c r="D260" s="172"/>
      <c r="E260" s="152"/>
      <c r="F260" s="29"/>
      <c r="G260" s="29"/>
      <c r="H260" s="131" t="s">
        <v>27</v>
      </c>
      <c r="I260" s="21"/>
      <c r="J260" s="231"/>
      <c r="K260" s="231"/>
      <c r="L260" s="231"/>
      <c r="M260" s="231"/>
      <c r="N260" s="231"/>
      <c r="O260" s="231"/>
      <c r="P260" s="231"/>
      <c r="Q260" s="231"/>
      <c r="R260" s="231"/>
      <c r="S260" s="231"/>
      <c r="T260" s="231"/>
      <c r="U260" s="231"/>
      <c r="V260" s="231"/>
      <c r="W260" s="231"/>
      <c r="X260" s="231"/>
      <c r="Y260" s="231"/>
      <c r="Z260" s="231"/>
      <c r="AA260" s="231"/>
      <c r="AB260" s="231"/>
      <c r="AC260" s="231"/>
      <c r="AD260" s="231"/>
      <c r="AE260" s="231"/>
      <c r="AF260" s="231"/>
      <c r="AG260" s="231"/>
      <c r="AH260" s="231"/>
      <c r="AI260" s="231"/>
      <c r="AJ260" s="231"/>
      <c r="AK260" s="231"/>
      <c r="AL260" s="231"/>
      <c r="AM260" s="231"/>
      <c r="AN260" s="231"/>
    </row>
    <row r="261" spans="1:40" s="203" customFormat="1" ht="12.75" customHeight="1">
      <c r="A261" s="106" t="s">
        <v>15</v>
      </c>
      <c r="B261" s="164"/>
      <c r="C261" s="164"/>
      <c r="D261" s="164"/>
      <c r="E261" s="856" t="s">
        <v>377</v>
      </c>
      <c r="F261" s="856" t="s">
        <v>402</v>
      </c>
      <c r="G261" s="130"/>
      <c r="H261" s="856" t="s">
        <v>403</v>
      </c>
      <c r="I261" s="21"/>
      <c r="J261" s="231"/>
      <c r="K261" s="231"/>
      <c r="L261" s="231"/>
      <c r="M261" s="231"/>
      <c r="N261" s="231"/>
      <c r="O261" s="231"/>
      <c r="P261" s="231"/>
      <c r="Q261" s="231"/>
      <c r="R261" s="231"/>
      <c r="S261" s="231"/>
      <c r="T261" s="231"/>
      <c r="U261" s="231"/>
      <c r="V261" s="231"/>
      <c r="W261" s="231"/>
      <c r="X261" s="231"/>
      <c r="Y261" s="231"/>
      <c r="Z261" s="231"/>
      <c r="AA261" s="231"/>
      <c r="AB261" s="231"/>
      <c r="AC261" s="231"/>
      <c r="AD261" s="231"/>
      <c r="AE261" s="231"/>
      <c r="AF261" s="231"/>
      <c r="AG261" s="231"/>
      <c r="AH261" s="231"/>
      <c r="AI261" s="231"/>
      <c r="AJ261" s="231"/>
      <c r="AK261" s="231"/>
      <c r="AL261" s="231"/>
      <c r="AM261" s="231"/>
      <c r="AN261" s="231"/>
    </row>
    <row r="262" spans="1:40" s="203" customFormat="1">
      <c r="A262" s="165"/>
      <c r="B262" s="47"/>
      <c r="C262" s="47"/>
      <c r="D262" s="47"/>
      <c r="E262" s="859"/>
      <c r="F262" s="859"/>
      <c r="G262" s="130"/>
      <c r="H262" s="859"/>
      <c r="I262" s="21"/>
      <c r="J262" s="231"/>
      <c r="K262" s="231"/>
      <c r="L262" s="231"/>
      <c r="M262" s="231"/>
      <c r="N262" s="231"/>
      <c r="O262" s="231"/>
      <c r="P262" s="231"/>
      <c r="Q262" s="231"/>
      <c r="R262" s="231"/>
      <c r="S262" s="231"/>
      <c r="T262" s="231"/>
      <c r="U262" s="231"/>
      <c r="V262" s="231"/>
      <c r="W262" s="231"/>
      <c r="X262" s="231"/>
      <c r="Y262" s="231"/>
      <c r="Z262" s="231"/>
      <c r="AA262" s="231"/>
      <c r="AB262" s="231"/>
      <c r="AC262" s="231"/>
      <c r="AD262" s="231"/>
      <c r="AE262" s="231"/>
      <c r="AF262" s="231"/>
      <c r="AG262" s="231"/>
      <c r="AH262" s="231"/>
      <c r="AI262" s="231"/>
      <c r="AJ262" s="231"/>
      <c r="AK262" s="231"/>
      <c r="AL262" s="231"/>
      <c r="AM262" s="231"/>
      <c r="AN262" s="231"/>
    </row>
    <row r="263" spans="1:40" s="203" customFormat="1">
      <c r="A263" s="109"/>
      <c r="B263" s="174"/>
      <c r="C263" s="174"/>
      <c r="D263" s="174"/>
      <c r="E263" s="859"/>
      <c r="F263" s="859"/>
      <c r="G263" s="130"/>
      <c r="H263" s="859"/>
      <c r="I263" s="21"/>
      <c r="J263" s="231"/>
      <c r="K263" s="231"/>
      <c r="L263" s="231"/>
      <c r="M263" s="231"/>
      <c r="N263" s="231"/>
      <c r="O263" s="231"/>
      <c r="P263" s="231"/>
      <c r="Q263" s="231"/>
      <c r="R263" s="231"/>
      <c r="S263" s="231"/>
      <c r="T263" s="231"/>
      <c r="U263" s="231"/>
      <c r="V263" s="231"/>
      <c r="W263" s="231"/>
      <c r="X263" s="231"/>
      <c r="Y263" s="231"/>
      <c r="Z263" s="231"/>
      <c r="AA263" s="231"/>
      <c r="AB263" s="231"/>
      <c r="AC263" s="231"/>
      <c r="AD263" s="231"/>
      <c r="AE263" s="231"/>
      <c r="AF263" s="231"/>
      <c r="AG263" s="231"/>
      <c r="AH263" s="231"/>
      <c r="AI263" s="231"/>
      <c r="AJ263" s="231"/>
      <c r="AK263" s="231"/>
      <c r="AL263" s="231"/>
      <c r="AM263" s="231"/>
      <c r="AN263" s="231"/>
    </row>
    <row r="264" spans="1:40" s="203" customFormat="1">
      <c r="A264" s="154" t="s">
        <v>203</v>
      </c>
      <c r="B264" s="47"/>
      <c r="C264" s="47"/>
      <c r="D264" s="47"/>
      <c r="E264" s="859"/>
      <c r="F264" s="859"/>
      <c r="G264" s="130"/>
      <c r="H264" s="859"/>
      <c r="I264" s="21"/>
      <c r="J264" s="231"/>
      <c r="K264" s="231"/>
      <c r="L264" s="231"/>
      <c r="M264" s="231"/>
      <c r="N264" s="231"/>
      <c r="O264" s="231"/>
      <c r="P264" s="231"/>
      <c r="Q264" s="231"/>
      <c r="R264" s="231"/>
      <c r="S264" s="231"/>
      <c r="T264" s="231"/>
      <c r="U264" s="231"/>
      <c r="V264" s="231"/>
      <c r="W264" s="231"/>
      <c r="X264" s="231"/>
      <c r="Y264" s="231"/>
      <c r="Z264" s="231"/>
      <c r="AA264" s="231"/>
      <c r="AB264" s="231"/>
      <c r="AC264" s="231"/>
      <c r="AD264" s="231"/>
      <c r="AE264" s="231"/>
      <c r="AF264" s="231"/>
      <c r="AG264" s="231"/>
      <c r="AH264" s="231"/>
      <c r="AI264" s="231"/>
      <c r="AJ264" s="231"/>
      <c r="AK264" s="231"/>
      <c r="AL264" s="231"/>
      <c r="AM264" s="231"/>
      <c r="AN264" s="231"/>
    </row>
    <row r="265" spans="1:40" s="203" customFormat="1">
      <c r="A265" s="109" t="s">
        <v>83</v>
      </c>
      <c r="B265" s="174"/>
      <c r="C265" s="174"/>
      <c r="D265" s="174"/>
      <c r="E265" s="860"/>
      <c r="F265" s="860"/>
      <c r="G265" s="130"/>
      <c r="H265" s="860"/>
      <c r="I265" s="21"/>
      <c r="J265" s="231"/>
      <c r="K265" s="231"/>
      <c r="L265" s="231"/>
      <c r="M265" s="231"/>
      <c r="N265" s="231"/>
      <c r="O265" s="231"/>
      <c r="P265" s="231"/>
      <c r="Q265" s="231"/>
      <c r="R265" s="231"/>
      <c r="S265" s="231"/>
      <c r="T265" s="231"/>
      <c r="U265" s="231"/>
      <c r="V265" s="231"/>
      <c r="W265" s="231"/>
      <c r="X265" s="231"/>
      <c r="Y265" s="231"/>
      <c r="Z265" s="231"/>
      <c r="AA265" s="231"/>
      <c r="AB265" s="231"/>
      <c r="AC265" s="231"/>
      <c r="AD265" s="231"/>
      <c r="AE265" s="231"/>
      <c r="AF265" s="231"/>
      <c r="AG265" s="231"/>
      <c r="AH265" s="231"/>
      <c r="AI265" s="231"/>
      <c r="AJ265" s="231"/>
      <c r="AK265" s="231"/>
      <c r="AL265" s="231"/>
      <c r="AM265" s="231"/>
      <c r="AN265" s="231"/>
    </row>
    <row r="266" spans="1:40" s="203" customFormat="1">
      <c r="A266" s="110" t="s">
        <v>84</v>
      </c>
      <c r="B266" s="116"/>
      <c r="C266" s="116"/>
      <c r="D266" s="116"/>
      <c r="E266" s="178"/>
      <c r="F266" s="146"/>
      <c r="G266" s="118"/>
      <c r="H266" s="146"/>
      <c r="I266" s="21"/>
      <c r="J266" s="231"/>
      <c r="K266" s="231"/>
      <c r="L266" s="231"/>
      <c r="M266" s="231"/>
      <c r="N266" s="231"/>
      <c r="O266" s="231"/>
      <c r="P266" s="231"/>
      <c r="Q266" s="231"/>
      <c r="R266" s="231"/>
      <c r="S266" s="231"/>
      <c r="T266" s="231"/>
      <c r="U266" s="231"/>
      <c r="V266" s="231"/>
      <c r="W266" s="231"/>
      <c r="X266" s="231"/>
      <c r="Y266" s="231"/>
      <c r="Z266" s="231"/>
      <c r="AA266" s="231"/>
      <c r="AB266" s="231"/>
      <c r="AC266" s="231"/>
      <c r="AD266" s="231"/>
      <c r="AE266" s="231"/>
      <c r="AF266" s="231"/>
      <c r="AG266" s="231"/>
      <c r="AH266" s="231"/>
      <c r="AI266" s="231"/>
      <c r="AJ266" s="231"/>
      <c r="AK266" s="231"/>
      <c r="AL266" s="231"/>
      <c r="AM266" s="231"/>
      <c r="AN266" s="231"/>
    </row>
    <row r="267" spans="1:40" s="203" customFormat="1">
      <c r="A267" s="120">
        <v>1</v>
      </c>
      <c r="B267" s="47" t="s">
        <v>204</v>
      </c>
      <c r="C267" s="47"/>
      <c r="D267" s="47"/>
      <c r="E267" s="74">
        <v>0</v>
      </c>
      <c r="F267" s="52">
        <v>0</v>
      </c>
      <c r="G267" s="118"/>
      <c r="H267" s="122">
        <v>0</v>
      </c>
      <c r="I267" s="21"/>
      <c r="J267" s="231"/>
      <c r="K267" s="231"/>
      <c r="L267" s="231"/>
      <c r="M267" s="231"/>
      <c r="N267" s="231"/>
      <c r="O267" s="231"/>
      <c r="P267" s="231"/>
      <c r="Q267" s="231"/>
      <c r="R267" s="231"/>
      <c r="S267" s="231"/>
      <c r="T267" s="231"/>
      <c r="U267" s="231"/>
      <c r="V267" s="231"/>
      <c r="W267" s="231"/>
      <c r="X267" s="231"/>
      <c r="Y267" s="231"/>
      <c r="Z267" s="231"/>
      <c r="AA267" s="231"/>
      <c r="AB267" s="231"/>
      <c r="AC267" s="231"/>
      <c r="AD267" s="231"/>
      <c r="AE267" s="231"/>
      <c r="AF267" s="231"/>
      <c r="AG267" s="231"/>
      <c r="AH267" s="231"/>
      <c r="AI267" s="231"/>
      <c r="AJ267" s="231"/>
      <c r="AK267" s="231"/>
      <c r="AL267" s="231"/>
      <c r="AM267" s="231"/>
      <c r="AN267" s="231"/>
    </row>
    <row r="268" spans="1:40" s="203" customFormat="1">
      <c r="A268" s="733">
        <v>2</v>
      </c>
      <c r="B268" s="166" t="s">
        <v>205</v>
      </c>
      <c r="C268" s="166"/>
      <c r="D268" s="47"/>
      <c r="E268" s="114">
        <v>0</v>
      </c>
      <c r="F268" s="52">
        <v>0</v>
      </c>
      <c r="G268" s="118"/>
      <c r="H268" s="122">
        <v>0</v>
      </c>
      <c r="I268" s="21"/>
      <c r="J268" s="231"/>
      <c r="K268" s="231"/>
      <c r="L268" s="231"/>
      <c r="M268" s="231"/>
      <c r="N268" s="231"/>
      <c r="O268" s="231"/>
      <c r="P268" s="231"/>
      <c r="Q268" s="231"/>
      <c r="R268" s="231"/>
      <c r="S268" s="231"/>
      <c r="T268" s="231"/>
      <c r="U268" s="231"/>
      <c r="V268" s="231"/>
      <c r="W268" s="231"/>
      <c r="X268" s="231"/>
      <c r="Y268" s="231"/>
      <c r="Z268" s="231"/>
      <c r="AA268" s="231"/>
      <c r="AB268" s="231"/>
      <c r="AC268" s="231"/>
      <c r="AD268" s="231"/>
      <c r="AE268" s="231"/>
      <c r="AF268" s="231"/>
      <c r="AG268" s="231"/>
      <c r="AH268" s="231"/>
      <c r="AI268" s="231"/>
      <c r="AJ268" s="231"/>
      <c r="AK268" s="231"/>
      <c r="AL268" s="231"/>
      <c r="AM268" s="231"/>
      <c r="AN268" s="231"/>
    </row>
    <row r="269" spans="1:40" s="203" customFormat="1">
      <c r="A269" s="120">
        <v>3</v>
      </c>
      <c r="B269" s="47" t="s">
        <v>206</v>
      </c>
      <c r="C269" s="47"/>
      <c r="D269" s="168"/>
      <c r="E269" s="114">
        <v>0</v>
      </c>
      <c r="F269" s="52">
        <v>0</v>
      </c>
      <c r="G269" s="118"/>
      <c r="H269" s="122">
        <v>0</v>
      </c>
      <c r="I269" s="21"/>
      <c r="J269" s="231"/>
      <c r="K269" s="231"/>
      <c r="L269" s="231"/>
      <c r="M269" s="231"/>
      <c r="N269" s="231"/>
      <c r="O269" s="231"/>
      <c r="P269" s="231"/>
      <c r="Q269" s="231"/>
      <c r="R269" s="231"/>
      <c r="S269" s="231"/>
      <c r="T269" s="231"/>
      <c r="U269" s="231"/>
      <c r="V269" s="231"/>
      <c r="W269" s="231"/>
      <c r="X269" s="231"/>
      <c r="Y269" s="231"/>
      <c r="Z269" s="231"/>
      <c r="AA269" s="231"/>
      <c r="AB269" s="231"/>
      <c r="AC269" s="231"/>
      <c r="AD269" s="231"/>
      <c r="AE269" s="231"/>
      <c r="AF269" s="231"/>
      <c r="AG269" s="231"/>
      <c r="AH269" s="231"/>
      <c r="AI269" s="231"/>
      <c r="AJ269" s="231"/>
      <c r="AK269" s="231"/>
      <c r="AL269" s="231"/>
      <c r="AM269" s="231"/>
      <c r="AN269" s="231"/>
    </row>
    <row r="270" spans="1:40" s="203" customFormat="1">
      <c r="A270" s="733">
        <v>4</v>
      </c>
      <c r="B270" s="47" t="s">
        <v>207</v>
      </c>
      <c r="C270" s="47"/>
      <c r="D270" s="116"/>
      <c r="E270" s="114">
        <v>1045</v>
      </c>
      <c r="F270" s="52">
        <v>1499</v>
      </c>
      <c r="G270" s="118"/>
      <c r="H270" s="122">
        <v>1267</v>
      </c>
      <c r="I270" s="21"/>
      <c r="J270" s="231"/>
      <c r="K270" s="231"/>
      <c r="L270" s="231"/>
      <c r="M270" s="231"/>
      <c r="N270" s="231"/>
      <c r="O270" s="231"/>
      <c r="P270" s="231"/>
      <c r="Q270" s="231"/>
      <c r="R270" s="231"/>
      <c r="S270" s="231"/>
      <c r="T270" s="231"/>
      <c r="U270" s="231"/>
      <c r="V270" s="231"/>
      <c r="W270" s="231"/>
      <c r="X270" s="231"/>
      <c r="Y270" s="231"/>
      <c r="Z270" s="231"/>
      <c r="AA270" s="231"/>
      <c r="AB270" s="231"/>
      <c r="AC270" s="231"/>
      <c r="AD270" s="231"/>
      <c r="AE270" s="231"/>
      <c r="AF270" s="231"/>
      <c r="AG270" s="231"/>
      <c r="AH270" s="231"/>
      <c r="AI270" s="231"/>
      <c r="AJ270" s="231"/>
      <c r="AK270" s="231"/>
      <c r="AL270" s="231"/>
      <c r="AM270" s="231"/>
      <c r="AN270" s="231"/>
    </row>
    <row r="271" spans="1:40" s="203" customFormat="1">
      <c r="A271" s="120">
        <v>5</v>
      </c>
      <c r="B271" s="47" t="s">
        <v>208</v>
      </c>
      <c r="C271" s="47"/>
      <c r="D271" s="47"/>
      <c r="E271" s="114">
        <v>1019</v>
      </c>
      <c r="F271" s="52">
        <v>1388</v>
      </c>
      <c r="G271" s="118"/>
      <c r="H271" s="122">
        <v>871</v>
      </c>
      <c r="I271" s="21"/>
      <c r="J271" s="231"/>
      <c r="K271" s="231"/>
      <c r="L271" s="231"/>
      <c r="M271" s="231"/>
      <c r="N271" s="231"/>
      <c r="O271" s="231"/>
      <c r="P271" s="231"/>
      <c r="Q271" s="231"/>
      <c r="R271" s="231"/>
      <c r="S271" s="231"/>
      <c r="T271" s="231"/>
      <c r="U271" s="231"/>
      <c r="V271" s="231"/>
      <c r="W271" s="231"/>
      <c r="X271" s="231"/>
      <c r="Y271" s="231"/>
      <c r="Z271" s="231"/>
      <c r="AA271" s="231"/>
      <c r="AB271" s="231"/>
      <c r="AC271" s="231"/>
      <c r="AD271" s="231"/>
      <c r="AE271" s="231"/>
      <c r="AF271" s="231"/>
      <c r="AG271" s="231"/>
      <c r="AH271" s="231"/>
      <c r="AI271" s="231"/>
      <c r="AJ271" s="231"/>
      <c r="AK271" s="231"/>
      <c r="AL271" s="231"/>
      <c r="AM271" s="231"/>
      <c r="AN271" s="231"/>
    </row>
    <row r="272" spans="1:40" s="203" customFormat="1">
      <c r="A272" s="733">
        <v>6</v>
      </c>
      <c r="B272" s="47" t="s">
        <v>209</v>
      </c>
      <c r="C272" s="47"/>
      <c r="D272" s="47"/>
      <c r="E272" s="114">
        <v>853</v>
      </c>
      <c r="F272" s="52">
        <v>1161</v>
      </c>
      <c r="G272" s="118"/>
      <c r="H272" s="122">
        <v>729</v>
      </c>
      <c r="I272" s="21"/>
      <c r="J272" s="231"/>
      <c r="K272" s="231"/>
      <c r="L272" s="231"/>
      <c r="M272" s="231"/>
      <c r="N272" s="231"/>
      <c r="O272" s="231"/>
      <c r="P272" s="231"/>
      <c r="Q272" s="231"/>
      <c r="R272" s="231"/>
      <c r="S272" s="231"/>
      <c r="T272" s="231"/>
      <c r="U272" s="231"/>
      <c r="V272" s="231"/>
      <c r="W272" s="231"/>
      <c r="X272" s="231"/>
      <c r="Y272" s="231"/>
      <c r="Z272" s="231"/>
      <c r="AA272" s="231"/>
      <c r="AB272" s="231"/>
      <c r="AC272" s="231"/>
      <c r="AD272" s="231"/>
      <c r="AE272" s="231"/>
      <c r="AF272" s="231"/>
      <c r="AG272" s="231"/>
      <c r="AH272" s="231"/>
      <c r="AI272" s="231"/>
      <c r="AJ272" s="231"/>
      <c r="AK272" s="231"/>
      <c r="AL272" s="231"/>
      <c r="AM272" s="231"/>
      <c r="AN272" s="231"/>
    </row>
    <row r="273" spans="1:40" s="203" customFormat="1">
      <c r="A273" s="120">
        <v>7</v>
      </c>
      <c r="B273" s="47" t="s">
        <v>210</v>
      </c>
      <c r="C273" s="47"/>
      <c r="D273" s="47"/>
      <c r="E273" s="114">
        <v>1716</v>
      </c>
      <c r="F273" s="52">
        <f>1014+868</f>
        <v>1882</v>
      </c>
      <c r="G273" s="118"/>
      <c r="H273" s="122">
        <f>2106-1180+868</f>
        <v>1794</v>
      </c>
      <c r="I273" s="21"/>
      <c r="J273" s="231"/>
      <c r="K273" s="231"/>
      <c r="L273" s="231"/>
      <c r="M273" s="231"/>
      <c r="N273" s="231"/>
      <c r="O273" s="231"/>
      <c r="P273" s="231"/>
      <c r="Q273" s="231"/>
      <c r="R273" s="231"/>
      <c r="S273" s="231"/>
      <c r="T273" s="231"/>
      <c r="U273" s="231"/>
      <c r="V273" s="231"/>
      <c r="W273" s="231"/>
      <c r="X273" s="231"/>
      <c r="Y273" s="231"/>
      <c r="Z273" s="231"/>
      <c r="AA273" s="231"/>
      <c r="AB273" s="231"/>
      <c r="AC273" s="231"/>
      <c r="AD273" s="231"/>
      <c r="AE273" s="231"/>
      <c r="AF273" s="231"/>
      <c r="AG273" s="231"/>
      <c r="AH273" s="231"/>
      <c r="AI273" s="231"/>
      <c r="AJ273" s="231"/>
      <c r="AK273" s="231"/>
      <c r="AL273" s="231"/>
      <c r="AM273" s="231"/>
      <c r="AN273" s="231"/>
    </row>
    <row r="274" spans="1:40" s="203" customFormat="1">
      <c r="A274" s="733">
        <v>8</v>
      </c>
      <c r="B274" s="47" t="s">
        <v>211</v>
      </c>
      <c r="C274" s="47"/>
      <c r="D274" s="47"/>
      <c r="E274" s="114">
        <v>653</v>
      </c>
      <c r="F274" s="52">
        <v>1481</v>
      </c>
      <c r="G274" s="118"/>
      <c r="H274" s="122">
        <f>1180+387</f>
        <v>1567</v>
      </c>
      <c r="I274" s="21"/>
      <c r="J274" s="231"/>
      <c r="K274" s="231"/>
      <c r="L274" s="231"/>
      <c r="M274" s="231"/>
      <c r="N274" s="231"/>
      <c r="O274" s="231"/>
      <c r="P274" s="231"/>
      <c r="Q274" s="231"/>
      <c r="R274" s="231"/>
      <c r="S274" s="231"/>
      <c r="T274" s="231"/>
      <c r="U274" s="231"/>
      <c r="V274" s="231"/>
      <c r="W274" s="231"/>
      <c r="X274" s="231"/>
      <c r="Y274" s="231"/>
      <c r="Z274" s="231"/>
      <c r="AA274" s="231"/>
      <c r="AB274" s="231"/>
      <c r="AC274" s="231"/>
      <c r="AD274" s="231"/>
      <c r="AE274" s="231"/>
      <c r="AF274" s="231"/>
      <c r="AG274" s="231"/>
      <c r="AH274" s="231"/>
      <c r="AI274" s="231"/>
      <c r="AJ274" s="231"/>
      <c r="AK274" s="231"/>
      <c r="AL274" s="231"/>
      <c r="AM274" s="231"/>
      <c r="AN274" s="231"/>
    </row>
    <row r="275" spans="1:40" s="203" customFormat="1">
      <c r="A275" s="120">
        <v>9</v>
      </c>
      <c r="B275" s="47" t="s">
        <v>212</v>
      </c>
      <c r="C275" s="47"/>
      <c r="D275" s="47"/>
      <c r="E275" s="114">
        <v>0</v>
      </c>
      <c r="F275" s="52">
        <v>0</v>
      </c>
      <c r="G275" s="118"/>
      <c r="H275" s="122">
        <v>0</v>
      </c>
      <c r="I275" s="21"/>
      <c r="J275" s="231"/>
      <c r="K275" s="231"/>
      <c r="L275" s="231"/>
      <c r="M275" s="231"/>
      <c r="N275" s="231"/>
      <c r="O275" s="231"/>
      <c r="P275" s="231"/>
      <c r="Q275" s="231"/>
      <c r="R275" s="231"/>
      <c r="S275" s="231"/>
      <c r="T275" s="231"/>
      <c r="U275" s="231"/>
      <c r="V275" s="231"/>
      <c r="W275" s="231"/>
      <c r="X275" s="231"/>
      <c r="Y275" s="231"/>
      <c r="Z275" s="231"/>
      <c r="AA275" s="231"/>
      <c r="AB275" s="231"/>
      <c r="AC275" s="231"/>
      <c r="AD275" s="231"/>
      <c r="AE275" s="231"/>
      <c r="AF275" s="231"/>
      <c r="AG275" s="231"/>
      <c r="AH275" s="231"/>
      <c r="AI275" s="231"/>
      <c r="AJ275" s="231"/>
      <c r="AK275" s="231"/>
      <c r="AL275" s="231"/>
      <c r="AM275" s="231"/>
      <c r="AN275" s="231"/>
    </row>
    <row r="276" spans="1:40" s="203" customFormat="1">
      <c r="A276" s="733">
        <v>10</v>
      </c>
      <c r="B276" s="47" t="s">
        <v>213</v>
      </c>
      <c r="C276" s="47"/>
      <c r="D276" s="47"/>
      <c r="E276" s="114">
        <v>643</v>
      </c>
      <c r="F276" s="52">
        <v>254</v>
      </c>
      <c r="G276" s="118"/>
      <c r="H276" s="99">
        <v>315</v>
      </c>
      <c r="I276" s="21"/>
      <c r="J276" s="231"/>
      <c r="K276" s="231"/>
      <c r="L276" s="231"/>
      <c r="M276" s="231"/>
      <c r="N276" s="231"/>
      <c r="O276" s="231"/>
      <c r="P276" s="231"/>
      <c r="Q276" s="231"/>
      <c r="R276" s="231"/>
      <c r="S276" s="231"/>
      <c r="T276" s="231"/>
      <c r="U276" s="231"/>
      <c r="V276" s="231"/>
      <c r="W276" s="231"/>
      <c r="X276" s="231"/>
      <c r="Y276" s="231"/>
      <c r="Z276" s="231"/>
      <c r="AA276" s="231"/>
      <c r="AB276" s="231"/>
      <c r="AC276" s="231"/>
      <c r="AD276" s="231"/>
      <c r="AE276" s="231"/>
      <c r="AF276" s="231"/>
      <c r="AG276" s="231"/>
      <c r="AH276" s="231"/>
      <c r="AI276" s="231"/>
      <c r="AJ276" s="231"/>
      <c r="AK276" s="231"/>
      <c r="AL276" s="231"/>
      <c r="AM276" s="231"/>
      <c r="AN276" s="231"/>
    </row>
    <row r="277" spans="1:40" s="203" customFormat="1">
      <c r="A277" s="124">
        <v>11</v>
      </c>
      <c r="B277" s="94" t="s">
        <v>214</v>
      </c>
      <c r="C277" s="94"/>
      <c r="D277" s="94"/>
      <c r="E277" s="159">
        <v>5929</v>
      </c>
      <c r="F277" s="61">
        <f>SUM(F267:F276)</f>
        <v>7665</v>
      </c>
      <c r="G277" s="118"/>
      <c r="H277" s="61">
        <f>SUM(H267:H276)</f>
        <v>6543</v>
      </c>
      <c r="I277" s="21"/>
      <c r="J277" s="231"/>
      <c r="K277" s="231"/>
      <c r="L277" s="231"/>
      <c r="M277" s="231"/>
      <c r="N277" s="231"/>
      <c r="O277" s="231"/>
      <c r="P277" s="231"/>
      <c r="Q277" s="231"/>
      <c r="R277" s="231"/>
      <c r="S277" s="231"/>
      <c r="T277" s="231"/>
      <c r="U277" s="231"/>
      <c r="V277" s="231"/>
      <c r="W277" s="231"/>
      <c r="X277" s="231"/>
      <c r="Y277" s="231"/>
      <c r="Z277" s="231"/>
      <c r="AA277" s="231"/>
      <c r="AB277" s="231"/>
      <c r="AC277" s="231"/>
      <c r="AD277" s="231"/>
      <c r="AE277" s="231"/>
      <c r="AF277" s="231"/>
      <c r="AG277" s="231"/>
      <c r="AH277" s="231"/>
      <c r="AI277" s="231"/>
      <c r="AJ277" s="231"/>
      <c r="AK277" s="231"/>
      <c r="AL277" s="231"/>
      <c r="AM277" s="231"/>
      <c r="AN277" s="231"/>
    </row>
    <row r="278" spans="1:40" s="203" customFormat="1">
      <c r="A278" s="207"/>
      <c r="B278" s="207"/>
      <c r="C278" s="207"/>
      <c r="D278" s="207"/>
      <c r="E278" s="207"/>
      <c r="F278" s="207"/>
      <c r="G278" s="207"/>
      <c r="H278" s="207"/>
      <c r="I278" s="21"/>
      <c r="J278" s="231"/>
      <c r="K278" s="231"/>
      <c r="L278" s="231"/>
      <c r="M278" s="231"/>
      <c r="N278" s="231"/>
      <c r="O278" s="231"/>
      <c r="P278" s="231"/>
      <c r="Q278" s="231"/>
      <c r="R278" s="231"/>
      <c r="S278" s="231"/>
      <c r="T278" s="231"/>
      <c r="U278" s="231"/>
      <c r="V278" s="231"/>
      <c r="W278" s="231"/>
      <c r="X278" s="231"/>
      <c r="Y278" s="231"/>
      <c r="Z278" s="231"/>
      <c r="AA278" s="231"/>
      <c r="AB278" s="231"/>
      <c r="AC278" s="231"/>
      <c r="AD278" s="231"/>
      <c r="AE278" s="231"/>
      <c r="AF278" s="231"/>
      <c r="AG278" s="231"/>
      <c r="AH278" s="231"/>
      <c r="AI278" s="231"/>
      <c r="AJ278" s="231"/>
      <c r="AK278" s="231"/>
      <c r="AL278" s="231"/>
      <c r="AM278" s="231"/>
      <c r="AN278" s="231"/>
    </row>
    <row r="279" spans="1:40" s="203" customFormat="1">
      <c r="A279" s="207"/>
      <c r="B279" s="207"/>
      <c r="C279" s="207"/>
      <c r="D279" s="207"/>
      <c r="E279" s="207"/>
      <c r="F279" s="207"/>
      <c r="G279" s="207"/>
      <c r="H279" s="131" t="s">
        <v>27</v>
      </c>
      <c r="I279" s="21"/>
      <c r="J279" s="231"/>
      <c r="K279" s="231"/>
      <c r="L279" s="231"/>
      <c r="M279" s="231"/>
      <c r="N279" s="231"/>
      <c r="O279" s="231"/>
      <c r="P279" s="231"/>
      <c r="Q279" s="231"/>
      <c r="R279" s="231"/>
      <c r="S279" s="231"/>
      <c r="T279" s="231"/>
      <c r="U279" s="231"/>
      <c r="V279" s="231"/>
      <c r="W279" s="231"/>
      <c r="X279" s="231"/>
      <c r="Y279" s="231"/>
      <c r="Z279" s="231"/>
      <c r="AA279" s="231"/>
      <c r="AB279" s="231"/>
      <c r="AC279" s="231"/>
      <c r="AD279" s="231"/>
      <c r="AE279" s="231"/>
      <c r="AF279" s="231"/>
      <c r="AG279" s="231"/>
      <c r="AH279" s="231"/>
      <c r="AI279" s="231"/>
      <c r="AJ279" s="231"/>
      <c r="AK279" s="231"/>
      <c r="AL279" s="231"/>
      <c r="AM279" s="231"/>
      <c r="AN279" s="231"/>
    </row>
    <row r="280" spans="1:40" s="203" customFormat="1" ht="12.75" customHeight="1">
      <c r="A280" s="106" t="s">
        <v>18</v>
      </c>
      <c r="B280" s="164"/>
      <c r="C280" s="164"/>
      <c r="D280" s="164"/>
      <c r="E280" s="856" t="s">
        <v>377</v>
      </c>
      <c r="F280" s="856" t="s">
        <v>402</v>
      </c>
      <c r="G280" s="130"/>
      <c r="H280" s="856" t="s">
        <v>403</v>
      </c>
      <c r="I280" s="21"/>
      <c r="J280" s="231"/>
      <c r="K280" s="231"/>
      <c r="L280" s="231"/>
      <c r="M280" s="231"/>
      <c r="N280" s="231"/>
      <c r="O280" s="231"/>
      <c r="P280" s="231"/>
      <c r="Q280" s="231"/>
      <c r="R280" s="231"/>
      <c r="S280" s="231"/>
      <c r="T280" s="231"/>
      <c r="U280" s="231"/>
      <c r="V280" s="231"/>
      <c r="W280" s="231"/>
      <c r="X280" s="231"/>
      <c r="Y280" s="231"/>
      <c r="Z280" s="231"/>
      <c r="AA280" s="231"/>
      <c r="AB280" s="231"/>
      <c r="AC280" s="231"/>
      <c r="AD280" s="231"/>
      <c r="AE280" s="231"/>
      <c r="AF280" s="231"/>
      <c r="AG280" s="231"/>
      <c r="AH280" s="231"/>
      <c r="AI280" s="231"/>
      <c r="AJ280" s="231"/>
      <c r="AK280" s="231"/>
      <c r="AL280" s="231"/>
      <c r="AM280" s="231"/>
      <c r="AN280" s="231"/>
    </row>
    <row r="281" spans="1:40" s="203" customFormat="1">
      <c r="A281" s="165"/>
      <c r="B281" s="47"/>
      <c r="C281" s="47"/>
      <c r="D281" s="47"/>
      <c r="E281" s="859"/>
      <c r="F281" s="859"/>
      <c r="G281" s="130"/>
      <c r="H281" s="859"/>
      <c r="I281" s="21"/>
      <c r="J281" s="231"/>
      <c r="K281" s="231"/>
      <c r="L281" s="231"/>
      <c r="M281" s="231"/>
      <c r="N281" s="231"/>
      <c r="O281" s="231"/>
      <c r="P281" s="231"/>
      <c r="Q281" s="231"/>
      <c r="R281" s="231"/>
      <c r="S281" s="231"/>
      <c r="T281" s="231"/>
      <c r="U281" s="231"/>
      <c r="V281" s="231"/>
      <c r="W281" s="231"/>
      <c r="X281" s="231"/>
      <c r="Y281" s="231"/>
      <c r="Z281" s="231"/>
      <c r="AA281" s="231"/>
      <c r="AB281" s="231"/>
      <c r="AC281" s="231"/>
      <c r="AD281" s="231"/>
      <c r="AE281" s="231"/>
      <c r="AF281" s="231"/>
      <c r="AG281" s="231"/>
      <c r="AH281" s="231"/>
      <c r="AI281" s="231"/>
      <c r="AJ281" s="231"/>
      <c r="AK281" s="231"/>
      <c r="AL281" s="231"/>
      <c r="AM281" s="231"/>
      <c r="AN281" s="231"/>
    </row>
    <row r="282" spans="1:40" s="203" customFormat="1" ht="21.75" customHeight="1">
      <c r="A282" s="109"/>
      <c r="B282" s="174"/>
      <c r="C282" s="174"/>
      <c r="D282" s="174"/>
      <c r="E282" s="859"/>
      <c r="F282" s="859"/>
      <c r="G282" s="130"/>
      <c r="H282" s="859"/>
      <c r="I282" s="21"/>
      <c r="J282" s="231"/>
      <c r="K282" s="231"/>
      <c r="L282" s="231"/>
      <c r="M282" s="231"/>
      <c r="N282" s="231"/>
      <c r="O282" s="231"/>
      <c r="P282" s="231"/>
      <c r="Q282" s="231"/>
      <c r="R282" s="231"/>
      <c r="S282" s="231"/>
      <c r="T282" s="231"/>
      <c r="U282" s="231"/>
      <c r="V282" s="231"/>
      <c r="W282" s="231"/>
      <c r="X282" s="231"/>
      <c r="Y282" s="231"/>
      <c r="Z282" s="231"/>
      <c r="AA282" s="231"/>
      <c r="AB282" s="231"/>
      <c r="AC282" s="231"/>
      <c r="AD282" s="231"/>
      <c r="AE282" s="231"/>
      <c r="AF282" s="231"/>
      <c r="AG282" s="231"/>
      <c r="AH282" s="231"/>
      <c r="AI282" s="231"/>
      <c r="AJ282" s="231"/>
      <c r="AK282" s="231"/>
      <c r="AL282" s="231"/>
      <c r="AM282" s="231"/>
      <c r="AN282" s="231"/>
    </row>
    <row r="283" spans="1:40" s="203" customFormat="1">
      <c r="A283" s="154" t="s">
        <v>215</v>
      </c>
      <c r="B283" s="47"/>
      <c r="C283" s="47"/>
      <c r="D283" s="47"/>
      <c r="E283" s="859"/>
      <c r="F283" s="859"/>
      <c r="G283" s="130"/>
      <c r="H283" s="859"/>
      <c r="I283" s="21"/>
      <c r="J283" s="231"/>
      <c r="K283" s="231"/>
      <c r="L283" s="231"/>
      <c r="M283" s="231"/>
      <c r="N283" s="231"/>
      <c r="O283" s="231"/>
      <c r="P283" s="231"/>
      <c r="Q283" s="231"/>
      <c r="R283" s="231"/>
      <c r="S283" s="231"/>
      <c r="T283" s="231"/>
      <c r="U283" s="231"/>
      <c r="V283" s="231"/>
      <c r="W283" s="231"/>
      <c r="X283" s="231"/>
      <c r="Y283" s="231"/>
      <c r="Z283" s="231"/>
      <c r="AA283" s="231"/>
      <c r="AB283" s="231"/>
      <c r="AC283" s="231"/>
      <c r="AD283" s="231"/>
      <c r="AE283" s="231"/>
      <c r="AF283" s="231"/>
      <c r="AG283" s="231"/>
      <c r="AH283" s="231"/>
      <c r="AI283" s="231"/>
      <c r="AJ283" s="231"/>
      <c r="AK283" s="231"/>
      <c r="AL283" s="231"/>
      <c r="AM283" s="231"/>
      <c r="AN283" s="231"/>
    </row>
    <row r="284" spans="1:40" s="203" customFormat="1">
      <c r="A284" s="109" t="s">
        <v>83</v>
      </c>
      <c r="B284" s="174"/>
      <c r="C284" s="174"/>
      <c r="D284" s="174"/>
      <c r="E284" s="860"/>
      <c r="F284" s="860"/>
      <c r="G284" s="130"/>
      <c r="H284" s="860"/>
      <c r="I284" s="21"/>
      <c r="J284" s="231"/>
      <c r="K284" s="231"/>
      <c r="L284" s="231"/>
      <c r="M284" s="231"/>
      <c r="N284" s="231"/>
      <c r="O284" s="231"/>
      <c r="P284" s="231"/>
      <c r="Q284" s="231"/>
      <c r="R284" s="231"/>
      <c r="S284" s="231"/>
      <c r="T284" s="231"/>
      <c r="U284" s="231"/>
      <c r="V284" s="231"/>
      <c r="W284" s="231"/>
      <c r="X284" s="231"/>
      <c r="Y284" s="231"/>
      <c r="Z284" s="231"/>
      <c r="AA284" s="231"/>
      <c r="AB284" s="231"/>
      <c r="AC284" s="231"/>
      <c r="AD284" s="231"/>
      <c r="AE284" s="231"/>
      <c r="AF284" s="231"/>
      <c r="AG284" s="231"/>
      <c r="AH284" s="231"/>
      <c r="AI284" s="231"/>
      <c r="AJ284" s="231"/>
      <c r="AK284" s="231"/>
      <c r="AL284" s="231"/>
      <c r="AM284" s="231"/>
      <c r="AN284" s="231"/>
    </row>
    <row r="285" spans="1:40" s="203" customFormat="1">
      <c r="A285" s="110" t="s">
        <v>84</v>
      </c>
      <c r="B285" s="116"/>
      <c r="C285" s="116"/>
      <c r="D285" s="116"/>
      <c r="E285" s="178"/>
      <c r="F285" s="146"/>
      <c r="G285" s="118"/>
      <c r="H285" s="146"/>
      <c r="I285" s="21"/>
      <c r="J285" s="231"/>
      <c r="K285" s="231"/>
      <c r="L285" s="231"/>
      <c r="M285" s="231"/>
      <c r="N285" s="231"/>
      <c r="O285" s="231"/>
      <c r="P285" s="231"/>
      <c r="Q285" s="231"/>
      <c r="R285" s="231"/>
      <c r="S285" s="231"/>
      <c r="T285" s="231"/>
      <c r="U285" s="231"/>
      <c r="V285" s="231"/>
      <c r="W285" s="231"/>
      <c r="X285" s="231"/>
      <c r="Y285" s="231"/>
      <c r="Z285" s="231"/>
      <c r="AA285" s="231"/>
      <c r="AB285" s="231"/>
      <c r="AC285" s="231"/>
      <c r="AD285" s="231"/>
      <c r="AE285" s="231"/>
      <c r="AF285" s="231"/>
      <c r="AG285" s="231"/>
      <c r="AH285" s="231"/>
      <c r="AI285" s="231"/>
      <c r="AJ285" s="231"/>
      <c r="AK285" s="231"/>
      <c r="AL285" s="231"/>
      <c r="AM285" s="231"/>
      <c r="AN285" s="231"/>
    </row>
    <row r="286" spans="1:40" s="203" customFormat="1">
      <c r="A286" s="120">
        <v>1</v>
      </c>
      <c r="B286" s="47" t="s">
        <v>216</v>
      </c>
      <c r="C286" s="47"/>
      <c r="D286" s="47"/>
      <c r="E286" s="74">
        <v>669</v>
      </c>
      <c r="F286" s="52">
        <v>645</v>
      </c>
      <c r="G286" s="118"/>
      <c r="H286" s="122">
        <v>512</v>
      </c>
      <c r="I286" s="21"/>
      <c r="J286" s="231"/>
      <c r="K286" s="231"/>
      <c r="L286" s="231"/>
      <c r="M286" s="231"/>
      <c r="N286" s="231"/>
      <c r="O286" s="231"/>
      <c r="P286" s="231"/>
      <c r="Q286" s="231"/>
      <c r="R286" s="231"/>
      <c r="S286" s="231"/>
      <c r="T286" s="231"/>
      <c r="U286" s="231"/>
      <c r="V286" s="231"/>
      <c r="W286" s="231"/>
      <c r="X286" s="231"/>
      <c r="Y286" s="231"/>
      <c r="Z286" s="231"/>
      <c r="AA286" s="231"/>
      <c r="AB286" s="231"/>
      <c r="AC286" s="231"/>
      <c r="AD286" s="231"/>
      <c r="AE286" s="231"/>
      <c r="AF286" s="231"/>
      <c r="AG286" s="231"/>
      <c r="AH286" s="231"/>
      <c r="AI286" s="231"/>
      <c r="AJ286" s="231"/>
      <c r="AK286" s="231"/>
      <c r="AL286" s="231"/>
      <c r="AM286" s="231"/>
      <c r="AN286" s="231"/>
    </row>
    <row r="287" spans="1:40" s="203" customFormat="1">
      <c r="A287" s="733">
        <v>2</v>
      </c>
      <c r="B287" s="47" t="s">
        <v>217</v>
      </c>
      <c r="C287" s="47"/>
      <c r="D287" s="47"/>
      <c r="E287" s="114">
        <v>142</v>
      </c>
      <c r="F287" s="52">
        <v>225</v>
      </c>
      <c r="G287" s="118"/>
      <c r="H287" s="122">
        <v>235</v>
      </c>
      <c r="I287" s="21"/>
      <c r="J287" s="231"/>
      <c r="K287" s="231"/>
      <c r="L287" s="231"/>
      <c r="M287" s="231"/>
      <c r="N287" s="231"/>
      <c r="O287" s="231"/>
      <c r="P287" s="231"/>
      <c r="Q287" s="231"/>
      <c r="R287" s="231"/>
      <c r="S287" s="231"/>
      <c r="T287" s="231"/>
      <c r="U287" s="231"/>
      <c r="V287" s="231"/>
      <c r="W287" s="231"/>
      <c r="X287" s="231"/>
      <c r="Y287" s="231"/>
      <c r="Z287" s="231"/>
      <c r="AA287" s="231"/>
      <c r="AB287" s="231"/>
      <c r="AC287" s="231"/>
      <c r="AD287" s="231"/>
      <c r="AE287" s="231"/>
      <c r="AF287" s="231"/>
      <c r="AG287" s="231"/>
      <c r="AH287" s="231"/>
      <c r="AI287" s="231"/>
      <c r="AJ287" s="231"/>
      <c r="AK287" s="231"/>
      <c r="AL287" s="231"/>
      <c r="AM287" s="231"/>
      <c r="AN287" s="231"/>
    </row>
    <row r="288" spans="1:40" s="203" customFormat="1">
      <c r="A288" s="120">
        <v>3</v>
      </c>
      <c r="B288" s="90" t="s">
        <v>218</v>
      </c>
      <c r="C288" s="166"/>
      <c r="D288" s="168"/>
      <c r="E288" s="114">
        <v>2086</v>
      </c>
      <c r="F288" s="52">
        <v>2304</v>
      </c>
      <c r="G288" s="118"/>
      <c r="H288" s="122">
        <v>2925</v>
      </c>
      <c r="I288" s="21"/>
      <c r="J288" s="231"/>
      <c r="K288" s="231"/>
      <c r="L288" s="231"/>
      <c r="M288" s="231"/>
      <c r="N288" s="231"/>
      <c r="O288" s="231"/>
      <c r="P288" s="231"/>
      <c r="Q288" s="231"/>
      <c r="R288" s="231"/>
      <c r="S288" s="231"/>
      <c r="T288" s="231"/>
      <c r="U288" s="231"/>
      <c r="V288" s="231"/>
      <c r="W288" s="231"/>
      <c r="X288" s="231"/>
      <c r="Y288" s="231"/>
      <c r="Z288" s="231"/>
      <c r="AA288" s="231"/>
      <c r="AB288" s="231"/>
      <c r="AC288" s="231"/>
      <c r="AD288" s="231"/>
      <c r="AE288" s="231"/>
      <c r="AF288" s="231"/>
      <c r="AG288" s="231"/>
      <c r="AH288" s="231"/>
      <c r="AI288" s="231"/>
      <c r="AJ288" s="231"/>
      <c r="AK288" s="231"/>
      <c r="AL288" s="231"/>
      <c r="AM288" s="231"/>
      <c r="AN288" s="231"/>
    </row>
    <row r="289" spans="1:40" s="203" customFormat="1">
      <c r="A289" s="733">
        <v>4</v>
      </c>
      <c r="B289" s="47" t="s">
        <v>219</v>
      </c>
      <c r="C289" s="47"/>
      <c r="D289" s="116"/>
      <c r="E289" s="114">
        <v>0</v>
      </c>
      <c r="F289" s="52">
        <v>0</v>
      </c>
      <c r="G289" s="118"/>
      <c r="H289" s="122">
        <v>0</v>
      </c>
      <c r="I289" s="21"/>
      <c r="J289" s="231"/>
      <c r="K289" s="231"/>
      <c r="L289" s="231"/>
      <c r="M289" s="231"/>
      <c r="N289" s="231"/>
      <c r="O289" s="231"/>
      <c r="P289" s="231"/>
      <c r="Q289" s="231"/>
      <c r="R289" s="231"/>
      <c r="S289" s="231"/>
      <c r="T289" s="231"/>
      <c r="U289" s="231"/>
      <c r="V289" s="231"/>
      <c r="W289" s="231"/>
      <c r="X289" s="231"/>
      <c r="Y289" s="231"/>
      <c r="Z289" s="231"/>
      <c r="AA289" s="231"/>
      <c r="AB289" s="231"/>
      <c r="AC289" s="231"/>
      <c r="AD289" s="231"/>
      <c r="AE289" s="231"/>
      <c r="AF289" s="231"/>
      <c r="AG289" s="231"/>
      <c r="AH289" s="231"/>
      <c r="AI289" s="231"/>
      <c r="AJ289" s="231"/>
      <c r="AK289" s="231"/>
      <c r="AL289" s="231"/>
      <c r="AM289" s="231"/>
      <c r="AN289" s="231"/>
    </row>
    <row r="290" spans="1:40" s="203" customFormat="1">
      <c r="A290" s="733">
        <v>5</v>
      </c>
      <c r="B290" s="47" t="s">
        <v>220</v>
      </c>
      <c r="C290" s="47"/>
      <c r="D290" s="47"/>
      <c r="E290" s="114">
        <v>-256</v>
      </c>
      <c r="F290" s="52">
        <v>-277</v>
      </c>
      <c r="G290" s="118"/>
      <c r="H290" s="122">
        <v>-250</v>
      </c>
      <c r="I290" s="21"/>
      <c r="J290" s="231"/>
      <c r="K290" s="231"/>
      <c r="L290" s="231"/>
      <c r="M290" s="231"/>
      <c r="N290" s="231"/>
      <c r="O290" s="231"/>
      <c r="P290" s="231"/>
      <c r="Q290" s="231"/>
      <c r="R290" s="231"/>
      <c r="S290" s="231"/>
      <c r="T290" s="231"/>
      <c r="U290" s="231"/>
      <c r="V290" s="231"/>
      <c r="W290" s="231"/>
      <c r="X290" s="231"/>
      <c r="Y290" s="231"/>
      <c r="Z290" s="231"/>
      <c r="AA290" s="231"/>
      <c r="AB290" s="231"/>
      <c r="AC290" s="231"/>
      <c r="AD290" s="231"/>
      <c r="AE290" s="231"/>
      <c r="AF290" s="231"/>
      <c r="AG290" s="231"/>
      <c r="AH290" s="231"/>
      <c r="AI290" s="231"/>
      <c r="AJ290" s="231"/>
      <c r="AK290" s="231"/>
      <c r="AL290" s="231"/>
      <c r="AM290" s="231"/>
      <c r="AN290" s="231"/>
    </row>
    <row r="291" spans="1:40" s="203" customFormat="1">
      <c r="A291" s="120">
        <v>6</v>
      </c>
      <c r="B291" s="47" t="s">
        <v>221</v>
      </c>
      <c r="C291" s="47"/>
      <c r="D291" s="47"/>
      <c r="E291" s="114">
        <v>20</v>
      </c>
      <c r="F291" s="52">
        <v>72</v>
      </c>
      <c r="G291" s="118"/>
      <c r="H291" s="122">
        <v>73</v>
      </c>
      <c r="I291" s="21"/>
      <c r="J291" s="231"/>
      <c r="K291" s="231"/>
      <c r="L291" s="231"/>
      <c r="M291" s="231"/>
      <c r="N291" s="231"/>
      <c r="O291" s="231"/>
      <c r="P291" s="231"/>
      <c r="Q291" s="231"/>
      <c r="R291" s="231"/>
      <c r="S291" s="231"/>
      <c r="T291" s="231"/>
      <c r="U291" s="231"/>
      <c r="V291" s="231"/>
      <c r="W291" s="231"/>
      <c r="X291" s="231"/>
      <c r="Y291" s="231"/>
      <c r="Z291" s="231"/>
      <c r="AA291" s="231"/>
      <c r="AB291" s="231"/>
      <c r="AC291" s="231"/>
      <c r="AD291" s="231"/>
      <c r="AE291" s="231"/>
      <c r="AF291" s="231"/>
      <c r="AG291" s="231"/>
      <c r="AH291" s="231"/>
      <c r="AI291" s="231"/>
      <c r="AJ291" s="231"/>
      <c r="AK291" s="231"/>
      <c r="AL291" s="231"/>
      <c r="AM291" s="231"/>
      <c r="AN291" s="231"/>
    </row>
    <row r="292" spans="1:40" s="203" customFormat="1">
      <c r="A292" s="733">
        <v>7</v>
      </c>
      <c r="B292" s="47" t="s">
        <v>222</v>
      </c>
      <c r="C292" s="47"/>
      <c r="D292" s="116"/>
      <c r="E292" s="114">
        <v>162</v>
      </c>
      <c r="F292" s="52">
        <v>110</v>
      </c>
      <c r="G292" s="118"/>
      <c r="H292" s="122">
        <v>123</v>
      </c>
      <c r="I292" s="21"/>
      <c r="J292" s="231"/>
      <c r="K292" s="231"/>
      <c r="L292" s="231"/>
      <c r="M292" s="231"/>
      <c r="N292" s="231"/>
      <c r="O292" s="231"/>
      <c r="P292" s="231"/>
      <c r="Q292" s="231"/>
      <c r="R292" s="231"/>
      <c r="S292" s="231"/>
      <c r="T292" s="231"/>
      <c r="U292" s="231"/>
      <c r="V292" s="231"/>
      <c r="W292" s="231"/>
      <c r="X292" s="231"/>
      <c r="Y292" s="231"/>
      <c r="Z292" s="231"/>
      <c r="AA292" s="231"/>
      <c r="AB292" s="231"/>
      <c r="AC292" s="231"/>
      <c r="AD292" s="231"/>
      <c r="AE292" s="231"/>
      <c r="AF292" s="231"/>
      <c r="AG292" s="231"/>
      <c r="AH292" s="231"/>
      <c r="AI292" s="231"/>
      <c r="AJ292" s="231"/>
      <c r="AK292" s="231"/>
      <c r="AL292" s="231"/>
      <c r="AM292" s="231"/>
      <c r="AN292" s="231"/>
    </row>
    <row r="293" spans="1:40" s="203" customFormat="1">
      <c r="A293" s="120">
        <v>8</v>
      </c>
      <c r="B293" s="47" t="s">
        <v>223</v>
      </c>
      <c r="C293" s="47"/>
      <c r="D293" s="116"/>
      <c r="E293" s="114">
        <v>551.96460000000002</v>
      </c>
      <c r="F293" s="52">
        <v>548</v>
      </c>
      <c r="G293" s="118"/>
      <c r="H293" s="122">
        <v>518</v>
      </c>
      <c r="I293" s="21"/>
      <c r="J293" s="231"/>
      <c r="K293" s="231"/>
      <c r="L293" s="231"/>
      <c r="M293" s="231"/>
      <c r="N293" s="231"/>
      <c r="O293" s="231"/>
      <c r="P293" s="231"/>
      <c r="Q293" s="231"/>
      <c r="R293" s="231"/>
      <c r="S293" s="231"/>
      <c r="T293" s="231"/>
      <c r="U293" s="231"/>
      <c r="V293" s="231"/>
      <c r="W293" s="231"/>
      <c r="X293" s="231"/>
      <c r="Y293" s="231"/>
      <c r="Z293" s="231"/>
      <c r="AA293" s="231"/>
      <c r="AB293" s="231"/>
      <c r="AC293" s="231"/>
      <c r="AD293" s="231"/>
      <c r="AE293" s="231"/>
      <c r="AF293" s="231"/>
      <c r="AG293" s="231"/>
      <c r="AH293" s="231"/>
      <c r="AI293" s="231"/>
      <c r="AJ293" s="231"/>
      <c r="AK293" s="231"/>
      <c r="AL293" s="231"/>
      <c r="AM293" s="231"/>
      <c r="AN293" s="231"/>
    </row>
    <row r="294" spans="1:40" s="203" customFormat="1">
      <c r="A294" s="733">
        <v>9</v>
      </c>
      <c r="B294" s="47" t="s">
        <v>224</v>
      </c>
      <c r="C294" s="47"/>
      <c r="D294" s="116"/>
      <c r="E294" s="114">
        <v>362.03539999999998</v>
      </c>
      <c r="F294" s="52">
        <v>366</v>
      </c>
      <c r="G294" s="118"/>
      <c r="H294" s="122">
        <v>346</v>
      </c>
      <c r="I294" s="21"/>
      <c r="J294" s="231"/>
      <c r="K294" s="231"/>
      <c r="L294" s="231"/>
      <c r="M294" s="231"/>
      <c r="N294" s="231"/>
      <c r="O294" s="231"/>
      <c r="P294" s="231"/>
      <c r="Q294" s="231"/>
      <c r="R294" s="231"/>
      <c r="S294" s="231"/>
      <c r="T294" s="231"/>
      <c r="U294" s="231"/>
      <c r="V294" s="231"/>
      <c r="W294" s="231"/>
      <c r="X294" s="231"/>
      <c r="Y294" s="231"/>
      <c r="Z294" s="231"/>
      <c r="AA294" s="231"/>
      <c r="AB294" s="231"/>
      <c r="AC294" s="231"/>
      <c r="AD294" s="231"/>
      <c r="AE294" s="231"/>
      <c r="AF294" s="231"/>
      <c r="AG294" s="231"/>
      <c r="AH294" s="231"/>
      <c r="AI294" s="231"/>
      <c r="AJ294" s="231"/>
      <c r="AK294" s="231"/>
      <c r="AL294" s="231"/>
      <c r="AM294" s="231"/>
      <c r="AN294" s="231"/>
    </row>
    <row r="295" spans="1:40" s="203" customFormat="1">
      <c r="A295" s="120">
        <v>10</v>
      </c>
      <c r="B295" s="47" t="s">
        <v>225</v>
      </c>
      <c r="C295" s="47"/>
      <c r="D295" s="47"/>
      <c r="E295" s="114">
        <v>555</v>
      </c>
      <c r="F295" s="52">
        <v>729</v>
      </c>
      <c r="G295" s="118"/>
      <c r="H295" s="122">
        <v>376</v>
      </c>
      <c r="I295" s="21"/>
      <c r="J295" s="231"/>
      <c r="K295" s="231"/>
      <c r="L295" s="231"/>
      <c r="M295" s="231"/>
      <c r="N295" s="231"/>
      <c r="O295" s="231"/>
      <c r="P295" s="231"/>
      <c r="Q295" s="231"/>
      <c r="R295" s="231"/>
      <c r="S295" s="231"/>
      <c r="T295" s="231"/>
      <c r="U295" s="231"/>
      <c r="V295" s="231"/>
      <c r="W295" s="231"/>
      <c r="X295" s="231"/>
      <c r="Y295" s="231"/>
      <c r="Z295" s="231"/>
      <c r="AA295" s="231"/>
      <c r="AB295" s="231"/>
      <c r="AC295" s="231"/>
      <c r="AD295" s="231"/>
      <c r="AE295" s="231"/>
      <c r="AF295" s="231"/>
      <c r="AG295" s="231"/>
      <c r="AH295" s="231"/>
      <c r="AI295" s="231"/>
      <c r="AJ295" s="231"/>
      <c r="AK295" s="231"/>
      <c r="AL295" s="231"/>
      <c r="AM295" s="231"/>
      <c r="AN295" s="231"/>
    </row>
    <row r="296" spans="1:40" s="203" customFormat="1">
      <c r="A296" s="733">
        <v>11</v>
      </c>
      <c r="B296" s="47" t="s">
        <v>226</v>
      </c>
      <c r="C296" s="47"/>
      <c r="D296" s="47"/>
      <c r="E296" s="114">
        <v>0</v>
      </c>
      <c r="F296" s="52">
        <v>0</v>
      </c>
      <c r="G296" s="118"/>
      <c r="H296" s="122">
        <v>0</v>
      </c>
      <c r="I296" s="21"/>
      <c r="J296" s="231"/>
      <c r="K296" s="231"/>
      <c r="L296" s="231"/>
      <c r="M296" s="231"/>
      <c r="N296" s="231"/>
      <c r="O296" s="231"/>
      <c r="P296" s="231"/>
      <c r="Q296" s="231"/>
      <c r="R296" s="231"/>
      <c r="S296" s="231"/>
      <c r="T296" s="231"/>
      <c r="U296" s="231"/>
      <c r="V296" s="231"/>
      <c r="W296" s="231"/>
      <c r="X296" s="231"/>
      <c r="Y296" s="231"/>
      <c r="Z296" s="231"/>
      <c r="AA296" s="231"/>
      <c r="AB296" s="231"/>
      <c r="AC296" s="231"/>
      <c r="AD296" s="231"/>
      <c r="AE296" s="231"/>
      <c r="AF296" s="231"/>
      <c r="AG296" s="231"/>
      <c r="AH296" s="231"/>
      <c r="AI296" s="231"/>
      <c r="AJ296" s="231"/>
      <c r="AK296" s="231"/>
      <c r="AL296" s="231"/>
      <c r="AM296" s="231"/>
      <c r="AN296" s="231"/>
    </row>
    <row r="297" spans="1:40" s="203" customFormat="1">
      <c r="A297" s="120">
        <v>12</v>
      </c>
      <c r="B297" s="47" t="s">
        <v>227</v>
      </c>
      <c r="C297" s="47"/>
      <c r="D297" s="47"/>
      <c r="E297" s="114">
        <v>10</v>
      </c>
      <c r="F297" s="52">
        <v>39</v>
      </c>
      <c r="G297" s="118"/>
      <c r="H297" s="122">
        <v>9</v>
      </c>
      <c r="I297" s="21"/>
      <c r="J297" s="231"/>
      <c r="K297" s="231"/>
      <c r="L297" s="231"/>
      <c r="M297" s="231"/>
      <c r="N297" s="231"/>
      <c r="O297" s="231"/>
      <c r="P297" s="231"/>
      <c r="Q297" s="231"/>
      <c r="R297" s="231"/>
      <c r="S297" s="231"/>
      <c r="T297" s="231"/>
      <c r="U297" s="231"/>
      <c r="V297" s="231"/>
      <c r="W297" s="231"/>
      <c r="X297" s="231"/>
      <c r="Y297" s="231"/>
      <c r="Z297" s="231"/>
      <c r="AA297" s="231"/>
      <c r="AB297" s="231"/>
      <c r="AC297" s="231"/>
      <c r="AD297" s="231"/>
      <c r="AE297" s="231"/>
      <c r="AF297" s="231"/>
      <c r="AG297" s="231"/>
      <c r="AH297" s="231"/>
      <c r="AI297" s="231"/>
      <c r="AJ297" s="231"/>
      <c r="AK297" s="231"/>
      <c r="AL297" s="231"/>
      <c r="AM297" s="231"/>
      <c r="AN297" s="231"/>
    </row>
    <row r="298" spans="1:40" s="203" customFormat="1">
      <c r="A298" s="733">
        <v>13</v>
      </c>
      <c r="B298" s="47" t="s">
        <v>228</v>
      </c>
      <c r="C298" s="47"/>
      <c r="D298" s="47"/>
      <c r="E298" s="114">
        <v>3119</v>
      </c>
      <c r="F298" s="52">
        <f>2640-572-35+884</f>
        <v>2917</v>
      </c>
      <c r="G298" s="118"/>
      <c r="H298" s="122">
        <f>3611-696-41+5</f>
        <v>2879</v>
      </c>
      <c r="I298" s="21"/>
      <c r="J298" s="231"/>
      <c r="K298" s="231"/>
      <c r="L298" s="231"/>
      <c r="M298" s="231"/>
      <c r="N298" s="231"/>
      <c r="O298" s="231"/>
      <c r="P298" s="231"/>
      <c r="Q298" s="231"/>
      <c r="R298" s="231"/>
      <c r="S298" s="231"/>
      <c r="T298" s="231"/>
      <c r="U298" s="231"/>
      <c r="V298" s="231"/>
      <c r="W298" s="231"/>
      <c r="X298" s="231"/>
      <c r="Y298" s="231"/>
      <c r="Z298" s="231"/>
      <c r="AA298" s="231"/>
      <c r="AB298" s="231"/>
      <c r="AC298" s="231"/>
      <c r="AD298" s="231"/>
      <c r="AE298" s="231"/>
      <c r="AF298" s="231"/>
      <c r="AG298" s="231"/>
      <c r="AH298" s="231"/>
      <c r="AI298" s="231"/>
      <c r="AJ298" s="231"/>
      <c r="AK298" s="231"/>
      <c r="AL298" s="231"/>
      <c r="AM298" s="231"/>
      <c r="AN298" s="231"/>
    </row>
    <row r="299" spans="1:40" s="203" customFormat="1">
      <c r="A299" s="120">
        <v>14</v>
      </c>
      <c r="B299" s="47" t="s">
        <v>229</v>
      </c>
      <c r="C299" s="47"/>
      <c r="D299" s="116"/>
      <c r="E299" s="114">
        <v>0</v>
      </c>
      <c r="F299" s="52">
        <v>0</v>
      </c>
      <c r="G299" s="118"/>
      <c r="H299" s="122">
        <v>0</v>
      </c>
      <c r="I299" s="21"/>
      <c r="J299" s="231"/>
      <c r="K299" s="231"/>
      <c r="L299" s="231"/>
      <c r="M299" s="231"/>
      <c r="N299" s="231"/>
      <c r="O299" s="231"/>
      <c r="P299" s="231"/>
      <c r="Q299" s="231"/>
      <c r="R299" s="231"/>
      <c r="S299" s="231"/>
      <c r="T299" s="231"/>
      <c r="U299" s="231"/>
      <c r="V299" s="231"/>
      <c r="W299" s="231"/>
      <c r="X299" s="231"/>
      <c r="Y299" s="231"/>
      <c r="Z299" s="231"/>
      <c r="AA299" s="231"/>
      <c r="AB299" s="231"/>
      <c r="AC299" s="231"/>
      <c r="AD299" s="231"/>
      <c r="AE299" s="231"/>
      <c r="AF299" s="231"/>
      <c r="AG299" s="231"/>
      <c r="AH299" s="231"/>
      <c r="AI299" s="231"/>
      <c r="AJ299" s="231"/>
      <c r="AK299" s="231"/>
      <c r="AL299" s="231"/>
      <c r="AM299" s="231"/>
      <c r="AN299" s="231"/>
    </row>
    <row r="300" spans="1:40" s="203" customFormat="1">
      <c r="A300" s="733">
        <v>15</v>
      </c>
      <c r="B300" s="47" t="s">
        <v>230</v>
      </c>
      <c r="C300" s="47"/>
      <c r="D300" s="116"/>
      <c r="E300" s="114">
        <v>2478</v>
      </c>
      <c r="F300" s="52">
        <v>2480</v>
      </c>
      <c r="G300" s="118"/>
      <c r="H300" s="122">
        <v>2516</v>
      </c>
      <c r="I300" s="21"/>
      <c r="J300" s="231"/>
      <c r="K300" s="231"/>
      <c r="L300" s="231"/>
      <c r="M300" s="231"/>
      <c r="N300" s="231"/>
      <c r="O300" s="231"/>
      <c r="P300" s="231"/>
      <c r="Q300" s="231"/>
      <c r="R300" s="231"/>
      <c r="S300" s="231"/>
      <c r="T300" s="231"/>
      <c r="U300" s="231"/>
      <c r="V300" s="231"/>
      <c r="W300" s="231"/>
      <c r="X300" s="231"/>
      <c r="Y300" s="231"/>
      <c r="Z300" s="231"/>
      <c r="AA300" s="231"/>
      <c r="AB300" s="231"/>
      <c r="AC300" s="231"/>
      <c r="AD300" s="231"/>
      <c r="AE300" s="231"/>
      <c r="AF300" s="231"/>
      <c r="AG300" s="231"/>
      <c r="AH300" s="231"/>
      <c r="AI300" s="231"/>
      <c r="AJ300" s="231"/>
      <c r="AK300" s="231"/>
      <c r="AL300" s="231"/>
      <c r="AM300" s="231"/>
      <c r="AN300" s="231"/>
    </row>
    <row r="301" spans="1:40" s="203" customFormat="1">
      <c r="A301" s="120">
        <v>17</v>
      </c>
      <c r="B301" s="47" t="s">
        <v>231</v>
      </c>
      <c r="C301" s="47"/>
      <c r="D301" s="47"/>
      <c r="E301" s="114">
        <v>-6105</v>
      </c>
      <c r="F301" s="52">
        <f>-6364+572+35</f>
        <v>-5757</v>
      </c>
      <c r="G301" s="118"/>
      <c r="H301" s="99">
        <f>-9430+696+41-5</f>
        <v>-8698</v>
      </c>
      <c r="I301" s="21"/>
      <c r="J301" s="231"/>
      <c r="K301" s="231"/>
      <c r="L301" s="231"/>
      <c r="M301" s="231"/>
      <c r="N301" s="231"/>
      <c r="O301" s="231"/>
      <c r="P301" s="231"/>
      <c r="Q301" s="231"/>
      <c r="R301" s="231"/>
      <c r="S301" s="231"/>
      <c r="T301" s="231"/>
      <c r="U301" s="231"/>
      <c r="V301" s="231"/>
      <c r="W301" s="231"/>
      <c r="X301" s="231"/>
      <c r="Y301" s="231"/>
      <c r="Z301" s="231"/>
      <c r="AA301" s="231"/>
      <c r="AB301" s="231"/>
      <c r="AC301" s="231"/>
      <c r="AD301" s="231"/>
      <c r="AE301" s="231"/>
      <c r="AF301" s="231"/>
      <c r="AG301" s="231"/>
      <c r="AH301" s="231"/>
      <c r="AI301" s="231"/>
      <c r="AJ301" s="231"/>
      <c r="AK301" s="231"/>
      <c r="AL301" s="231"/>
      <c r="AM301" s="231"/>
      <c r="AN301" s="231"/>
    </row>
    <row r="302" spans="1:40" s="203" customFormat="1">
      <c r="A302" s="734">
        <v>18</v>
      </c>
      <c r="B302" s="94" t="s">
        <v>232</v>
      </c>
      <c r="C302" s="94"/>
      <c r="D302" s="94"/>
      <c r="E302" s="159">
        <v>3794</v>
      </c>
      <c r="F302" s="61">
        <f>SUM(F286:F301)</f>
        <v>4401</v>
      </c>
      <c r="G302" s="118"/>
      <c r="H302" s="61">
        <f>SUM(H286:H301)</f>
        <v>1564</v>
      </c>
      <c r="I302" s="21"/>
      <c r="J302" s="231"/>
      <c r="K302" s="231"/>
      <c r="L302" s="231"/>
      <c r="M302" s="231"/>
      <c r="N302" s="231"/>
      <c r="O302" s="231"/>
      <c r="P302" s="231"/>
      <c r="Q302" s="231"/>
      <c r="R302" s="231"/>
      <c r="S302" s="231"/>
      <c r="T302" s="231"/>
      <c r="U302" s="231"/>
      <c r="V302" s="231"/>
      <c r="W302" s="231"/>
      <c r="X302" s="231"/>
      <c r="Y302" s="231"/>
      <c r="Z302" s="231"/>
      <c r="AA302" s="231"/>
      <c r="AB302" s="231"/>
      <c r="AC302" s="231"/>
      <c r="AD302" s="231"/>
      <c r="AE302" s="231"/>
      <c r="AF302" s="231"/>
      <c r="AG302" s="231"/>
      <c r="AH302" s="231"/>
      <c r="AI302" s="231"/>
      <c r="AJ302" s="231"/>
      <c r="AK302" s="231"/>
      <c r="AL302" s="231"/>
      <c r="AM302" s="231"/>
      <c r="AN302" s="231"/>
    </row>
    <row r="303" spans="1:40" s="203" customFormat="1">
      <c r="A303" s="179"/>
      <c r="B303" s="180"/>
      <c r="C303" s="180"/>
      <c r="D303" s="181"/>
      <c r="E303" s="182"/>
      <c r="F303" s="183"/>
      <c r="G303" s="21"/>
      <c r="H303" s="183"/>
      <c r="I303" s="21"/>
      <c r="J303" s="231"/>
      <c r="K303" s="231"/>
      <c r="L303" s="231"/>
      <c r="M303" s="231"/>
      <c r="N303" s="231"/>
      <c r="O303" s="231"/>
      <c r="P303" s="231"/>
      <c r="Q303" s="231"/>
      <c r="R303" s="231"/>
      <c r="S303" s="231"/>
      <c r="T303" s="231"/>
      <c r="U303" s="231"/>
      <c r="V303" s="231"/>
      <c r="W303" s="231"/>
      <c r="X303" s="231"/>
      <c r="Y303" s="231"/>
      <c r="Z303" s="231"/>
      <c r="AA303" s="231"/>
      <c r="AB303" s="231"/>
      <c r="AC303" s="231"/>
      <c r="AD303" s="231"/>
      <c r="AE303" s="231"/>
      <c r="AF303" s="231"/>
      <c r="AG303" s="231"/>
      <c r="AH303" s="231"/>
      <c r="AI303" s="231"/>
      <c r="AJ303" s="231"/>
      <c r="AK303" s="231"/>
      <c r="AL303" s="231"/>
      <c r="AM303" s="231"/>
      <c r="AN303" s="231"/>
    </row>
    <row r="304" spans="1:40" s="203" customFormat="1">
      <c r="A304" s="184"/>
      <c r="B304" s="207"/>
      <c r="C304" s="207"/>
      <c r="D304" s="209"/>
      <c r="E304" s="185"/>
      <c r="F304" s="207"/>
      <c r="G304" s="207"/>
      <c r="H304" s="131" t="s">
        <v>27</v>
      </c>
      <c r="I304" s="21"/>
      <c r="J304" s="231"/>
      <c r="K304" s="231"/>
      <c r="L304" s="231"/>
      <c r="M304" s="231"/>
      <c r="N304" s="231"/>
      <c r="O304" s="231"/>
      <c r="P304" s="231"/>
      <c r="Q304" s="231"/>
      <c r="R304" s="231"/>
      <c r="S304" s="231"/>
      <c r="T304" s="231"/>
      <c r="U304" s="231"/>
      <c r="V304" s="231"/>
      <c r="W304" s="231"/>
      <c r="X304" s="231"/>
      <c r="Y304" s="231"/>
      <c r="Z304" s="231"/>
      <c r="AA304" s="231"/>
      <c r="AB304" s="231"/>
      <c r="AC304" s="231"/>
      <c r="AD304" s="231"/>
      <c r="AE304" s="231"/>
      <c r="AF304" s="231"/>
      <c r="AG304" s="231"/>
      <c r="AH304" s="231"/>
      <c r="AI304" s="231"/>
      <c r="AJ304" s="231"/>
      <c r="AK304" s="231"/>
      <c r="AL304" s="231"/>
      <c r="AM304" s="231"/>
      <c r="AN304" s="231"/>
    </row>
    <row r="305" spans="1:40" s="203" customFormat="1" ht="12.75" customHeight="1">
      <c r="A305" s="106" t="s">
        <v>21</v>
      </c>
      <c r="B305" s="164"/>
      <c r="C305" s="164"/>
      <c r="D305" s="164"/>
      <c r="E305" s="856" t="s">
        <v>377</v>
      </c>
      <c r="F305" s="856" t="s">
        <v>402</v>
      </c>
      <c r="G305" s="130"/>
      <c r="H305" s="856" t="s">
        <v>403</v>
      </c>
      <c r="I305" s="21"/>
      <c r="J305" s="231"/>
      <c r="K305" s="231"/>
      <c r="L305" s="231"/>
      <c r="M305" s="231"/>
      <c r="N305" s="231"/>
      <c r="O305" s="231"/>
      <c r="P305" s="231"/>
      <c r="Q305" s="231"/>
      <c r="R305" s="231"/>
      <c r="S305" s="231"/>
      <c r="T305" s="231"/>
      <c r="U305" s="231"/>
      <c r="V305" s="231"/>
      <c r="W305" s="231"/>
      <c r="X305" s="231"/>
      <c r="Y305" s="231"/>
      <c r="Z305" s="231"/>
      <c r="AA305" s="231"/>
      <c r="AB305" s="231"/>
      <c r="AC305" s="231"/>
      <c r="AD305" s="231"/>
      <c r="AE305" s="231"/>
      <c r="AF305" s="231"/>
      <c r="AG305" s="231"/>
      <c r="AH305" s="231"/>
      <c r="AI305" s="231"/>
      <c r="AJ305" s="231"/>
      <c r="AK305" s="231"/>
      <c r="AL305" s="231"/>
      <c r="AM305" s="231"/>
      <c r="AN305" s="231"/>
    </row>
    <row r="306" spans="1:40" s="203" customFormat="1">
      <c r="A306" s="165"/>
      <c r="B306" s="47"/>
      <c r="C306" s="47"/>
      <c r="D306" s="47"/>
      <c r="E306" s="859"/>
      <c r="F306" s="859"/>
      <c r="G306" s="130"/>
      <c r="H306" s="859"/>
      <c r="I306" s="21"/>
      <c r="J306" s="231"/>
      <c r="K306" s="231"/>
      <c r="L306" s="231"/>
      <c r="M306" s="231"/>
      <c r="N306" s="231"/>
      <c r="O306" s="231"/>
      <c r="P306" s="231"/>
      <c r="Q306" s="231"/>
      <c r="R306" s="231"/>
      <c r="S306" s="231"/>
      <c r="T306" s="231"/>
      <c r="U306" s="231"/>
      <c r="V306" s="231"/>
      <c r="W306" s="231"/>
      <c r="X306" s="231"/>
      <c r="Y306" s="231"/>
      <c r="Z306" s="231"/>
      <c r="AA306" s="231"/>
      <c r="AB306" s="231"/>
      <c r="AC306" s="231"/>
      <c r="AD306" s="231"/>
      <c r="AE306" s="231"/>
      <c r="AF306" s="231"/>
      <c r="AG306" s="231"/>
      <c r="AH306" s="231"/>
      <c r="AI306" s="231"/>
      <c r="AJ306" s="231"/>
      <c r="AK306" s="231"/>
      <c r="AL306" s="231"/>
      <c r="AM306" s="231"/>
      <c r="AN306" s="231"/>
    </row>
    <row r="307" spans="1:40" s="203" customFormat="1" ht="12.75" customHeight="1">
      <c r="A307" s="109"/>
      <c r="B307" s="174"/>
      <c r="C307" s="174"/>
      <c r="D307" s="174"/>
      <c r="E307" s="859"/>
      <c r="F307" s="859"/>
      <c r="G307" s="130"/>
      <c r="H307" s="859"/>
      <c r="I307" s="21"/>
      <c r="J307" s="231"/>
      <c r="K307" s="231"/>
      <c r="L307" s="231"/>
      <c r="M307" s="231"/>
      <c r="N307" s="231"/>
      <c r="O307" s="231"/>
      <c r="P307" s="231"/>
      <c r="Q307" s="231"/>
      <c r="R307" s="231"/>
      <c r="S307" s="231"/>
      <c r="T307" s="231"/>
      <c r="U307" s="231"/>
      <c r="V307" s="231"/>
      <c r="W307" s="231"/>
      <c r="X307" s="231"/>
      <c r="Y307" s="231"/>
      <c r="Z307" s="231"/>
      <c r="AA307" s="231"/>
      <c r="AB307" s="231"/>
      <c r="AC307" s="231"/>
      <c r="AD307" s="231"/>
      <c r="AE307" s="231"/>
      <c r="AF307" s="231"/>
      <c r="AG307" s="231"/>
      <c r="AH307" s="231"/>
      <c r="AI307" s="231"/>
      <c r="AJ307" s="231"/>
      <c r="AK307" s="231"/>
      <c r="AL307" s="231"/>
      <c r="AM307" s="231"/>
      <c r="AN307" s="231"/>
    </row>
    <row r="308" spans="1:40" s="203" customFormat="1">
      <c r="A308" s="154" t="s">
        <v>233</v>
      </c>
      <c r="B308" s="47"/>
      <c r="C308" s="47"/>
      <c r="D308" s="47"/>
      <c r="E308" s="859"/>
      <c r="F308" s="859"/>
      <c r="G308" s="130"/>
      <c r="H308" s="859"/>
      <c r="I308" s="21"/>
      <c r="J308" s="231"/>
      <c r="K308" s="231"/>
      <c r="L308" s="231"/>
      <c r="M308" s="231"/>
      <c r="N308" s="231"/>
      <c r="O308" s="231"/>
      <c r="P308" s="231"/>
      <c r="Q308" s="231"/>
      <c r="R308" s="231"/>
      <c r="S308" s="231"/>
      <c r="T308" s="231"/>
      <c r="U308" s="231"/>
      <c r="V308" s="231"/>
      <c r="W308" s="231"/>
      <c r="X308" s="231"/>
      <c r="Y308" s="231"/>
      <c r="Z308" s="231"/>
      <c r="AA308" s="231"/>
      <c r="AB308" s="231"/>
      <c r="AC308" s="231"/>
      <c r="AD308" s="231"/>
      <c r="AE308" s="231"/>
      <c r="AF308" s="231"/>
      <c r="AG308" s="231"/>
      <c r="AH308" s="231"/>
      <c r="AI308" s="231"/>
      <c r="AJ308" s="231"/>
      <c r="AK308" s="231"/>
      <c r="AL308" s="231"/>
      <c r="AM308" s="231"/>
      <c r="AN308" s="231"/>
    </row>
    <row r="309" spans="1:40" s="203" customFormat="1">
      <c r="A309" s="109" t="s">
        <v>83</v>
      </c>
      <c r="B309" s="174"/>
      <c r="C309" s="174"/>
      <c r="D309" s="174"/>
      <c r="E309" s="860"/>
      <c r="F309" s="860"/>
      <c r="G309" s="130"/>
      <c r="H309" s="860"/>
      <c r="I309" s="21"/>
      <c r="J309" s="231"/>
      <c r="K309" s="231"/>
      <c r="L309" s="231"/>
      <c r="M309" s="231"/>
      <c r="N309" s="231"/>
      <c r="O309" s="231"/>
      <c r="P309" s="231"/>
      <c r="Q309" s="231"/>
      <c r="R309" s="231"/>
      <c r="S309" s="231"/>
      <c r="T309" s="231"/>
      <c r="U309" s="231"/>
      <c r="V309" s="231"/>
      <c r="W309" s="231"/>
      <c r="X309" s="231"/>
      <c r="Y309" s="231"/>
      <c r="Z309" s="231"/>
      <c r="AA309" s="231"/>
      <c r="AB309" s="231"/>
      <c r="AC309" s="231"/>
      <c r="AD309" s="231"/>
      <c r="AE309" s="231"/>
      <c r="AF309" s="231"/>
      <c r="AG309" s="231"/>
      <c r="AH309" s="231"/>
      <c r="AI309" s="231"/>
      <c r="AJ309" s="231"/>
      <c r="AK309" s="231"/>
      <c r="AL309" s="231"/>
      <c r="AM309" s="231"/>
      <c r="AN309" s="231"/>
    </row>
    <row r="310" spans="1:40" s="203" customFormat="1">
      <c r="A310" s="110" t="s">
        <v>84</v>
      </c>
      <c r="B310" s="116"/>
      <c r="C310" s="116"/>
      <c r="D310" s="116"/>
      <c r="E310" s="262"/>
      <c r="F310" s="146"/>
      <c r="G310" s="118"/>
      <c r="H310" s="146"/>
      <c r="I310" s="21"/>
      <c r="J310" s="231"/>
      <c r="K310" s="231"/>
      <c r="L310" s="231"/>
      <c r="M310" s="231"/>
      <c r="N310" s="231"/>
      <c r="O310" s="231"/>
      <c r="P310" s="231"/>
      <c r="Q310" s="231"/>
      <c r="R310" s="231"/>
      <c r="S310" s="231"/>
      <c r="T310" s="231"/>
      <c r="U310" s="231"/>
      <c r="V310" s="231"/>
      <c r="W310" s="231"/>
      <c r="X310" s="231"/>
      <c r="Y310" s="231"/>
      <c r="Z310" s="231"/>
      <c r="AA310" s="231"/>
      <c r="AB310" s="231"/>
      <c r="AC310" s="231"/>
      <c r="AD310" s="231"/>
      <c r="AE310" s="231"/>
      <c r="AF310" s="231"/>
      <c r="AG310" s="231"/>
      <c r="AH310" s="231"/>
      <c r="AI310" s="231"/>
      <c r="AJ310" s="231"/>
      <c r="AK310" s="231"/>
      <c r="AL310" s="231"/>
      <c r="AM310" s="231"/>
      <c r="AN310" s="231"/>
    </row>
    <row r="311" spans="1:40" s="203" customFormat="1">
      <c r="A311" s="120">
        <v>1</v>
      </c>
      <c r="B311" s="47" t="s">
        <v>258</v>
      </c>
      <c r="C311" s="47"/>
      <c r="D311" s="186"/>
      <c r="E311" s="74">
        <v>-296</v>
      </c>
      <c r="F311" s="52">
        <v>-296</v>
      </c>
      <c r="G311" s="43"/>
      <c r="H311" s="52">
        <v>-296</v>
      </c>
      <c r="I311" s="21"/>
      <c r="J311" s="231"/>
      <c r="K311" s="231"/>
      <c r="L311" s="231"/>
      <c r="M311" s="231"/>
      <c r="N311" s="231"/>
      <c r="O311" s="231"/>
      <c r="P311" s="231"/>
      <c r="Q311" s="231"/>
      <c r="R311" s="231"/>
      <c r="S311" s="231"/>
      <c r="T311" s="231"/>
      <c r="U311" s="231"/>
      <c r="V311" s="231"/>
      <c r="W311" s="231"/>
      <c r="X311" s="231"/>
      <c r="Y311" s="231"/>
      <c r="Z311" s="231"/>
      <c r="AA311" s="231"/>
      <c r="AB311" s="231"/>
      <c r="AC311" s="231"/>
      <c r="AD311" s="231"/>
      <c r="AE311" s="231"/>
      <c r="AF311" s="231"/>
      <c r="AG311" s="231"/>
      <c r="AH311" s="231"/>
      <c r="AI311" s="231"/>
      <c r="AJ311" s="231"/>
      <c r="AK311" s="231"/>
      <c r="AL311" s="231"/>
      <c r="AM311" s="231"/>
      <c r="AN311" s="231"/>
    </row>
    <row r="312" spans="1:40" s="203" customFormat="1">
      <c r="A312" s="120">
        <v>2</v>
      </c>
      <c r="B312" s="47" t="s">
        <v>234</v>
      </c>
      <c r="C312" s="47"/>
      <c r="D312" s="186"/>
      <c r="E312" s="114">
        <v>1445</v>
      </c>
      <c r="F312" s="52">
        <v>1483</v>
      </c>
      <c r="G312" s="43"/>
      <c r="H312" s="52">
        <v>2002</v>
      </c>
      <c r="I312" s="21"/>
      <c r="J312" s="231"/>
      <c r="K312" s="231"/>
      <c r="L312" s="231"/>
      <c r="M312" s="231"/>
      <c r="N312" s="231"/>
      <c r="O312" s="231"/>
      <c r="P312" s="231"/>
      <c r="Q312" s="231"/>
      <c r="R312" s="231"/>
      <c r="S312" s="231"/>
      <c r="T312" s="231"/>
      <c r="U312" s="231"/>
      <c r="V312" s="231"/>
      <c r="W312" s="231"/>
      <c r="X312" s="231"/>
      <c r="Y312" s="231"/>
      <c r="Z312" s="231"/>
      <c r="AA312" s="231"/>
      <c r="AB312" s="231"/>
      <c r="AC312" s="231"/>
      <c r="AD312" s="231"/>
      <c r="AE312" s="231"/>
      <c r="AF312" s="231"/>
      <c r="AG312" s="231"/>
      <c r="AH312" s="231"/>
      <c r="AI312" s="231"/>
      <c r="AJ312" s="231"/>
      <c r="AK312" s="231"/>
      <c r="AL312" s="231"/>
      <c r="AM312" s="231"/>
      <c r="AN312" s="231"/>
    </row>
    <row r="313" spans="1:40" s="203" customFormat="1">
      <c r="A313" s="120">
        <v>3</v>
      </c>
      <c r="B313" s="47" t="s">
        <v>259</v>
      </c>
      <c r="C313" s="47"/>
      <c r="D313" s="186"/>
      <c r="E313" s="114">
        <v>-150</v>
      </c>
      <c r="F313" s="52">
        <v>-350</v>
      </c>
      <c r="G313" s="43"/>
      <c r="H313" s="52">
        <v>-150</v>
      </c>
      <c r="I313" s="21"/>
      <c r="J313" s="231"/>
      <c r="K313" s="231"/>
      <c r="L313" s="231"/>
      <c r="M313" s="231"/>
      <c r="N313" s="231"/>
      <c r="O313" s="231"/>
      <c r="P313" s="231"/>
      <c r="Q313" s="231"/>
      <c r="R313" s="231"/>
      <c r="S313" s="231"/>
      <c r="T313" s="231"/>
      <c r="U313" s="231"/>
      <c r="V313" s="231"/>
      <c r="W313" s="231"/>
      <c r="X313" s="231"/>
      <c r="Y313" s="231"/>
      <c r="Z313" s="231"/>
      <c r="AA313" s="231"/>
      <c r="AB313" s="231"/>
      <c r="AC313" s="231"/>
      <c r="AD313" s="231"/>
      <c r="AE313" s="231"/>
      <c r="AF313" s="231"/>
      <c r="AG313" s="231"/>
      <c r="AH313" s="231"/>
      <c r="AI313" s="231"/>
      <c r="AJ313" s="231"/>
      <c r="AK313" s="231"/>
      <c r="AL313" s="231"/>
      <c r="AM313" s="231"/>
      <c r="AN313" s="231"/>
    </row>
    <row r="314" spans="1:40" s="203" customFormat="1">
      <c r="A314" s="120">
        <v>4</v>
      </c>
      <c r="B314" s="47" t="s">
        <v>235</v>
      </c>
      <c r="C314" s="47"/>
      <c r="D314" s="186"/>
      <c r="E314" s="114">
        <v>9073.2578144320632</v>
      </c>
      <c r="F314" s="52">
        <f>9229-263</f>
        <v>8966</v>
      </c>
      <c r="G314" s="43"/>
      <c r="H314" s="52">
        <f>6865-242</f>
        <v>6623</v>
      </c>
      <c r="I314" s="21"/>
      <c r="J314" s="231"/>
      <c r="K314" s="231"/>
      <c r="L314" s="231"/>
      <c r="M314" s="231"/>
      <c r="N314" s="231"/>
      <c r="O314" s="231"/>
      <c r="P314" s="231"/>
      <c r="Q314" s="231"/>
      <c r="R314" s="231"/>
      <c r="S314" s="231"/>
      <c r="T314" s="231"/>
      <c r="U314" s="231"/>
      <c r="V314" s="231"/>
      <c r="W314" s="231"/>
      <c r="X314" s="231"/>
      <c r="Y314" s="231"/>
      <c r="Z314" s="231"/>
      <c r="AA314" s="231"/>
      <c r="AB314" s="231"/>
      <c r="AC314" s="231"/>
      <c r="AD314" s="231"/>
      <c r="AE314" s="231"/>
      <c r="AF314" s="231"/>
      <c r="AG314" s="231"/>
      <c r="AH314" s="231"/>
      <c r="AI314" s="231"/>
      <c r="AJ314" s="231"/>
      <c r="AK314" s="231"/>
      <c r="AL314" s="231"/>
      <c r="AM314" s="231"/>
      <c r="AN314" s="231"/>
    </row>
    <row r="315" spans="1:40" s="203" customFormat="1">
      <c r="A315" s="120">
        <v>5</v>
      </c>
      <c r="B315" s="47" t="s">
        <v>236</v>
      </c>
      <c r="C315" s="47"/>
      <c r="D315" s="186"/>
      <c r="E315" s="114">
        <v>3033</v>
      </c>
      <c r="F315" s="52">
        <v>3032</v>
      </c>
      <c r="G315" s="187"/>
      <c r="H315" s="52">
        <v>2804</v>
      </c>
      <c r="I315" s="21"/>
      <c r="J315" s="231"/>
      <c r="K315" s="231"/>
      <c r="L315" s="231"/>
      <c r="M315" s="231"/>
      <c r="N315" s="231"/>
      <c r="O315" s="231"/>
      <c r="P315" s="231"/>
      <c r="Q315" s="231"/>
      <c r="R315" s="231"/>
      <c r="S315" s="231"/>
      <c r="T315" s="231"/>
      <c r="U315" s="231"/>
      <c r="V315" s="231"/>
      <c r="W315" s="231"/>
      <c r="X315" s="231"/>
      <c r="Y315" s="231"/>
      <c r="Z315" s="231"/>
      <c r="AA315" s="231"/>
      <c r="AB315" s="231"/>
      <c r="AC315" s="231"/>
      <c r="AD315" s="231"/>
      <c r="AE315" s="231"/>
      <c r="AF315" s="231"/>
      <c r="AG315" s="231"/>
      <c r="AH315" s="231"/>
      <c r="AI315" s="231"/>
      <c r="AJ315" s="231"/>
      <c r="AK315" s="231"/>
      <c r="AL315" s="231"/>
      <c r="AM315" s="231"/>
      <c r="AN315" s="231"/>
    </row>
    <row r="316" spans="1:40" s="203" customFormat="1">
      <c r="A316" s="120">
        <v>6</v>
      </c>
      <c r="B316" s="47" t="s">
        <v>237</v>
      </c>
      <c r="C316" s="47"/>
      <c r="D316" s="186"/>
      <c r="E316" s="114">
        <v>22056.827904602575</v>
      </c>
      <c r="F316" s="52">
        <f>20799-151</f>
        <v>20648</v>
      </c>
      <c r="G316" s="43"/>
      <c r="H316" s="52">
        <f>22374-141</f>
        <v>22233</v>
      </c>
      <c r="I316" s="21"/>
      <c r="J316" s="231"/>
      <c r="K316" s="231"/>
      <c r="L316" s="231"/>
      <c r="M316" s="231"/>
      <c r="N316" s="231"/>
      <c r="O316" s="231"/>
      <c r="P316" s="231"/>
      <c r="Q316" s="231"/>
      <c r="R316" s="231"/>
      <c r="S316" s="231"/>
      <c r="T316" s="231"/>
      <c r="U316" s="231"/>
      <c r="V316" s="231"/>
      <c r="W316" s="231"/>
      <c r="X316" s="231"/>
      <c r="Y316" s="231"/>
      <c r="Z316" s="231"/>
      <c r="AA316" s="231"/>
      <c r="AB316" s="231"/>
      <c r="AC316" s="231"/>
      <c r="AD316" s="231"/>
      <c r="AE316" s="231"/>
      <c r="AF316" s="231"/>
      <c r="AG316" s="231"/>
      <c r="AH316" s="231"/>
      <c r="AI316" s="231"/>
      <c r="AJ316" s="231"/>
      <c r="AK316" s="231"/>
      <c r="AL316" s="231"/>
      <c r="AM316" s="231"/>
      <c r="AN316" s="231"/>
    </row>
    <row r="317" spans="1:40" s="203" customFormat="1">
      <c r="A317" s="120">
        <v>7</v>
      </c>
      <c r="B317" s="47" t="s">
        <v>238</v>
      </c>
      <c r="C317" s="47"/>
      <c r="D317" s="186"/>
      <c r="E317" s="114">
        <v>0</v>
      </c>
      <c r="F317" s="52">
        <v>0</v>
      </c>
      <c r="G317" s="43"/>
      <c r="H317" s="52">
        <v>0</v>
      </c>
      <c r="I317" s="21"/>
      <c r="J317" s="231"/>
      <c r="K317" s="231"/>
      <c r="L317" s="231"/>
      <c r="M317" s="231"/>
      <c r="N317" s="231"/>
      <c r="O317" s="231"/>
      <c r="P317" s="231"/>
      <c r="Q317" s="231"/>
      <c r="R317" s="231"/>
      <c r="S317" s="231"/>
      <c r="T317" s="231"/>
      <c r="U317" s="231"/>
      <c r="V317" s="231"/>
      <c r="W317" s="231"/>
      <c r="X317" s="231"/>
      <c r="Y317" s="231"/>
      <c r="Z317" s="231"/>
      <c r="AA317" s="231"/>
      <c r="AB317" s="231"/>
      <c r="AC317" s="231"/>
      <c r="AD317" s="231"/>
      <c r="AE317" s="231"/>
      <c r="AF317" s="231"/>
      <c r="AG317" s="231"/>
      <c r="AH317" s="231"/>
      <c r="AI317" s="231"/>
      <c r="AJ317" s="231"/>
      <c r="AK317" s="231"/>
      <c r="AL317" s="231"/>
      <c r="AM317" s="231"/>
      <c r="AN317" s="231"/>
    </row>
    <row r="318" spans="1:40" s="203" customFormat="1">
      <c r="A318" s="120">
        <v>8</v>
      </c>
      <c r="B318" s="47" t="s">
        <v>239</v>
      </c>
      <c r="C318" s="47"/>
      <c r="D318" s="186"/>
      <c r="E318" s="114">
        <v>101</v>
      </c>
      <c r="F318" s="52">
        <v>137</v>
      </c>
      <c r="G318" s="43"/>
      <c r="H318" s="52">
        <v>106</v>
      </c>
      <c r="I318" s="21"/>
      <c r="J318" s="231"/>
      <c r="K318" s="231"/>
      <c r="L318" s="231"/>
      <c r="M318" s="231"/>
      <c r="N318" s="231"/>
      <c r="O318" s="231"/>
      <c r="P318" s="231"/>
      <c r="Q318" s="231"/>
      <c r="R318" s="231"/>
      <c r="S318" s="231"/>
      <c r="T318" s="231"/>
      <c r="U318" s="231"/>
      <c r="V318" s="231"/>
      <c r="W318" s="231"/>
      <c r="X318" s="231"/>
      <c r="Y318" s="231"/>
      <c r="Z318" s="231"/>
      <c r="AA318" s="231"/>
      <c r="AB318" s="231"/>
      <c r="AC318" s="231"/>
      <c r="AD318" s="231"/>
      <c r="AE318" s="231"/>
      <c r="AF318" s="231"/>
      <c r="AG318" s="231"/>
      <c r="AH318" s="231"/>
      <c r="AI318" s="231"/>
      <c r="AJ318" s="231"/>
      <c r="AK318" s="231"/>
      <c r="AL318" s="231"/>
      <c r="AM318" s="231"/>
      <c r="AN318" s="231"/>
    </row>
    <row r="319" spans="1:40" s="203" customFormat="1">
      <c r="A319" s="733">
        <v>9</v>
      </c>
      <c r="B319" s="90" t="s">
        <v>260</v>
      </c>
      <c r="C319" s="47"/>
      <c r="D319" s="47"/>
      <c r="E319" s="114">
        <v>489</v>
      </c>
      <c r="F319" s="188"/>
      <c r="G319" s="43"/>
      <c r="H319" s="189">
        <v>611</v>
      </c>
      <c r="I319" s="21"/>
      <c r="J319" s="231"/>
      <c r="K319" s="231"/>
      <c r="L319" s="231"/>
      <c r="M319" s="231"/>
      <c r="N319" s="231"/>
      <c r="O319" s="231"/>
      <c r="P319" s="231"/>
      <c r="Q319" s="231"/>
      <c r="R319" s="231"/>
      <c r="S319" s="231"/>
      <c r="T319" s="231"/>
      <c r="U319" s="231"/>
      <c r="V319" s="231"/>
      <c r="W319" s="231"/>
      <c r="X319" s="231"/>
      <c r="Y319" s="231"/>
      <c r="Z319" s="231"/>
      <c r="AA319" s="231"/>
      <c r="AB319" s="231"/>
      <c r="AC319" s="231"/>
      <c r="AD319" s="231"/>
      <c r="AE319" s="231"/>
      <c r="AF319" s="231"/>
      <c r="AG319" s="231"/>
      <c r="AH319" s="231"/>
      <c r="AI319" s="231"/>
      <c r="AJ319" s="231"/>
      <c r="AK319" s="231"/>
      <c r="AL319" s="231"/>
      <c r="AM319" s="231"/>
      <c r="AN319" s="231"/>
    </row>
    <row r="320" spans="1:40" s="203" customFormat="1">
      <c r="A320" s="124">
        <v>10</v>
      </c>
      <c r="B320" s="94" t="s">
        <v>62</v>
      </c>
      <c r="C320" s="94"/>
      <c r="D320" s="94"/>
      <c r="E320" s="159">
        <v>35752.085719034636</v>
      </c>
      <c r="F320" s="61">
        <f>F311+F312+F313+F314+F315+F316+F317+F318</f>
        <v>33620</v>
      </c>
      <c r="G320" s="118"/>
      <c r="H320" s="61">
        <f>H311+H312+H313+H314+H315+H316+H317+H318+H319</f>
        <v>33933</v>
      </c>
      <c r="I320" s="183"/>
      <c r="J320" s="231"/>
      <c r="K320" s="231"/>
      <c r="L320" s="231"/>
      <c r="M320" s="231"/>
      <c r="N320" s="231"/>
      <c r="O320" s="231"/>
      <c r="P320" s="231"/>
      <c r="Q320" s="231"/>
      <c r="R320" s="231"/>
      <c r="S320" s="231"/>
      <c r="T320" s="231"/>
      <c r="U320" s="231"/>
      <c r="V320" s="231"/>
      <c r="W320" s="231"/>
      <c r="X320" s="231"/>
      <c r="Y320" s="231"/>
      <c r="Z320" s="231"/>
      <c r="AA320" s="231"/>
      <c r="AB320" s="231"/>
      <c r="AC320" s="231"/>
      <c r="AD320" s="231"/>
      <c r="AE320" s="231"/>
      <c r="AF320" s="231"/>
      <c r="AG320" s="231"/>
      <c r="AH320" s="231"/>
      <c r="AI320" s="231"/>
      <c r="AJ320" s="231"/>
      <c r="AK320" s="231"/>
      <c r="AL320" s="231"/>
      <c r="AM320" s="231"/>
      <c r="AN320" s="231"/>
    </row>
    <row r="321" spans="1:40" s="203" customFormat="1">
      <c r="A321" s="179"/>
      <c r="B321" s="180"/>
      <c r="C321" s="180"/>
      <c r="D321" s="180"/>
      <c r="E321" s="180"/>
      <c r="F321" s="183"/>
      <c r="G321" s="21"/>
      <c r="H321" s="183"/>
      <c r="I321" s="183"/>
      <c r="J321" s="231"/>
      <c r="K321" s="231"/>
      <c r="L321" s="231"/>
      <c r="M321" s="231"/>
      <c r="N321" s="231"/>
      <c r="O321" s="231"/>
      <c r="P321" s="231"/>
      <c r="Q321" s="231"/>
      <c r="R321" s="231"/>
      <c r="S321" s="231"/>
      <c r="T321" s="231"/>
      <c r="U321" s="231"/>
      <c r="V321" s="231"/>
      <c r="W321" s="231"/>
      <c r="X321" s="231"/>
      <c r="Y321" s="231"/>
      <c r="Z321" s="231"/>
      <c r="AA321" s="231"/>
      <c r="AB321" s="231"/>
      <c r="AC321" s="231"/>
      <c r="AD321" s="231"/>
      <c r="AE321" s="231"/>
      <c r="AF321" s="231"/>
      <c r="AG321" s="231"/>
      <c r="AH321" s="231"/>
      <c r="AI321" s="231"/>
      <c r="AJ321" s="231"/>
      <c r="AK321" s="231"/>
      <c r="AL321" s="231"/>
      <c r="AM321" s="231"/>
      <c r="AN321" s="231"/>
    </row>
    <row r="322" spans="1:40" s="203" customFormat="1">
      <c r="A322" s="148"/>
      <c r="B322" s="207"/>
      <c r="C322" s="207"/>
      <c r="D322" s="29"/>
      <c r="E322" s="29"/>
      <c r="F322" s="29"/>
      <c r="G322" s="29"/>
      <c r="H322" s="31" t="s">
        <v>27</v>
      </c>
      <c r="I322" s="2"/>
      <c r="J322" s="231"/>
      <c r="K322" s="231"/>
      <c r="L322" s="231"/>
      <c r="M322" s="231"/>
      <c r="N322" s="231"/>
      <c r="O322" s="231"/>
      <c r="P322" s="231"/>
      <c r="Q322" s="231"/>
      <c r="R322" s="231"/>
      <c r="S322" s="231"/>
      <c r="T322" s="231"/>
      <c r="U322" s="231"/>
      <c r="V322" s="231"/>
      <c r="W322" s="231"/>
      <c r="X322" s="231"/>
      <c r="Y322" s="231"/>
      <c r="Z322" s="231"/>
      <c r="AA322" s="231"/>
      <c r="AB322" s="231"/>
      <c r="AC322" s="231"/>
      <c r="AD322" s="231"/>
      <c r="AE322" s="231"/>
      <c r="AF322" s="231"/>
      <c r="AG322" s="231"/>
      <c r="AH322" s="231"/>
      <c r="AI322" s="231"/>
      <c r="AJ322" s="231"/>
      <c r="AK322" s="231"/>
      <c r="AL322" s="231"/>
      <c r="AM322" s="231"/>
      <c r="AN322" s="231"/>
    </row>
    <row r="323" spans="1:40" s="203" customFormat="1">
      <c r="A323" s="190" t="s">
        <v>240</v>
      </c>
      <c r="B323" s="263"/>
      <c r="C323" s="861" t="s">
        <v>405</v>
      </c>
      <c r="D323" s="862"/>
      <c r="E323" s="862"/>
      <c r="F323" s="862"/>
      <c r="G323" s="862"/>
      <c r="H323" s="863"/>
      <c r="I323" s="210"/>
      <c r="J323" s="231"/>
      <c r="K323" s="231"/>
      <c r="L323" s="231"/>
      <c r="M323" s="231"/>
      <c r="N323" s="231"/>
      <c r="O323" s="231"/>
      <c r="P323" s="231"/>
      <c r="Q323" s="231"/>
      <c r="R323" s="231"/>
      <c r="S323" s="231"/>
      <c r="T323" s="231"/>
      <c r="U323" s="231"/>
      <c r="V323" s="231"/>
      <c r="W323" s="231"/>
      <c r="X323" s="231"/>
      <c r="Y323" s="231"/>
      <c r="Z323" s="231"/>
      <c r="AA323" s="231"/>
      <c r="AB323" s="231"/>
      <c r="AC323" s="231"/>
      <c r="AD323" s="231"/>
      <c r="AE323" s="231"/>
      <c r="AF323" s="231"/>
      <c r="AG323" s="231"/>
      <c r="AH323" s="231"/>
      <c r="AI323" s="231"/>
      <c r="AJ323" s="231"/>
      <c r="AK323" s="231"/>
      <c r="AL323" s="231"/>
      <c r="AM323" s="231"/>
      <c r="AN323" s="231"/>
    </row>
    <row r="324" spans="1:40" s="203" customFormat="1" ht="39" thickBot="1">
      <c r="A324" s="110" t="s">
        <v>84</v>
      </c>
      <c r="B324" s="116"/>
      <c r="C324" s="35" t="s">
        <v>52</v>
      </c>
      <c r="D324" s="35" t="s">
        <v>53</v>
      </c>
      <c r="E324" s="37" t="s">
        <v>54</v>
      </c>
      <c r="F324" s="37" t="s">
        <v>55</v>
      </c>
      <c r="G324" s="37" t="s">
        <v>241</v>
      </c>
      <c r="H324" s="35" t="s">
        <v>121</v>
      </c>
      <c r="I324" s="29"/>
      <c r="J324" s="231"/>
      <c r="K324" s="231"/>
      <c r="L324" s="231"/>
      <c r="M324" s="231"/>
      <c r="N324" s="231"/>
      <c r="O324" s="231"/>
      <c r="P324" s="231"/>
      <c r="Q324" s="231"/>
      <c r="R324" s="231"/>
      <c r="S324" s="231"/>
      <c r="T324" s="231"/>
      <c r="U324" s="231"/>
      <c r="V324" s="231"/>
      <c r="W324" s="231"/>
      <c r="X324" s="231"/>
      <c r="Y324" s="231"/>
      <c r="Z324" s="231"/>
      <c r="AA324" s="231"/>
      <c r="AB324" s="231"/>
      <c r="AC324" s="231"/>
      <c r="AD324" s="231"/>
      <c r="AE324" s="231"/>
      <c r="AF324" s="231"/>
      <c r="AG324" s="231"/>
      <c r="AH324" s="231"/>
      <c r="AI324" s="231"/>
      <c r="AJ324" s="231"/>
      <c r="AK324" s="231"/>
      <c r="AL324" s="231"/>
      <c r="AM324" s="231"/>
      <c r="AN324" s="231"/>
    </row>
    <row r="325" spans="1:40" s="203" customFormat="1" ht="13.5" thickBot="1">
      <c r="A325" s="733">
        <v>1</v>
      </c>
      <c r="B325" s="116" t="s">
        <v>242</v>
      </c>
      <c r="C325" s="193">
        <f t="shared" ref="C325:H325" si="0">SUM(C326:C329)</f>
        <v>14448</v>
      </c>
      <c r="D325" s="193">
        <f t="shared" si="0"/>
        <v>0</v>
      </c>
      <c r="E325" s="193">
        <v>0</v>
      </c>
      <c r="F325" s="193">
        <f t="shared" si="0"/>
        <v>8739</v>
      </c>
      <c r="G325" s="193">
        <f>SUM(G326:G329)</f>
        <v>0</v>
      </c>
      <c r="H325" s="193">
        <f t="shared" si="0"/>
        <v>0</v>
      </c>
      <c r="I325" s="207"/>
      <c r="J325" s="231"/>
      <c r="K325" s="231"/>
      <c r="L325" s="231"/>
      <c r="M325" s="231"/>
      <c r="N325" s="231"/>
      <c r="O325" s="231"/>
      <c r="P325" s="231"/>
      <c r="Q325" s="231"/>
      <c r="R325" s="231"/>
      <c r="S325" s="231"/>
      <c r="T325" s="231"/>
      <c r="U325" s="231"/>
      <c r="V325" s="231"/>
      <c r="W325" s="231"/>
      <c r="X325" s="231"/>
      <c r="Y325" s="231"/>
      <c r="Z325" s="231"/>
      <c r="AA325" s="231"/>
      <c r="AB325" s="231"/>
      <c r="AC325" s="231"/>
      <c r="AD325" s="231"/>
      <c r="AE325" s="231"/>
      <c r="AF325" s="231"/>
      <c r="AG325" s="231"/>
      <c r="AH325" s="231"/>
      <c r="AI325" s="231"/>
      <c r="AJ325" s="231"/>
      <c r="AK325" s="231"/>
      <c r="AL325" s="231"/>
      <c r="AM325" s="231"/>
      <c r="AN325" s="231"/>
    </row>
    <row r="326" spans="1:40" s="203" customFormat="1">
      <c r="A326" s="733">
        <v>2</v>
      </c>
      <c r="B326" s="47" t="s">
        <v>243</v>
      </c>
      <c r="C326" s="690">
        <v>3418</v>
      </c>
      <c r="D326" s="169">
        <v>0</v>
      </c>
      <c r="E326" s="169">
        <v>0</v>
      </c>
      <c r="F326" s="169">
        <v>6074</v>
      </c>
      <c r="G326" s="169">
        <v>0</v>
      </c>
      <c r="H326" s="169">
        <v>0</v>
      </c>
      <c r="I326" s="207"/>
      <c r="J326" s="231"/>
      <c r="K326" s="231"/>
      <c r="L326" s="231"/>
      <c r="M326" s="231"/>
      <c r="N326" s="231"/>
      <c r="O326" s="231"/>
      <c r="P326" s="231"/>
      <c r="Q326" s="231"/>
      <c r="R326" s="231"/>
      <c r="S326" s="231"/>
      <c r="T326" s="231"/>
      <c r="U326" s="231"/>
      <c r="V326" s="231"/>
      <c r="W326" s="231"/>
      <c r="X326" s="231"/>
      <c r="Y326" s="231"/>
      <c r="Z326" s="231"/>
      <c r="AA326" s="231"/>
      <c r="AB326" s="231"/>
      <c r="AC326" s="231"/>
      <c r="AD326" s="231"/>
      <c r="AE326" s="231"/>
      <c r="AF326" s="231"/>
      <c r="AG326" s="231"/>
      <c r="AH326" s="231"/>
      <c r="AI326" s="231"/>
      <c r="AJ326" s="231"/>
      <c r="AK326" s="231"/>
      <c r="AL326" s="231"/>
      <c r="AM326" s="231"/>
      <c r="AN326" s="231"/>
    </row>
    <row r="327" spans="1:40" s="203" customFormat="1">
      <c r="A327" s="733">
        <v>3</v>
      </c>
      <c r="B327" s="47" t="s">
        <v>244</v>
      </c>
      <c r="C327" s="690">
        <v>6530</v>
      </c>
      <c r="D327" s="99">
        <v>0</v>
      </c>
      <c r="E327" s="99">
        <v>0</v>
      </c>
      <c r="F327" s="99">
        <v>0</v>
      </c>
      <c r="G327" s="99">
        <v>0</v>
      </c>
      <c r="H327" s="99">
        <v>0</v>
      </c>
      <c r="I327" s="207"/>
      <c r="J327" s="231"/>
      <c r="K327" s="231"/>
      <c r="L327" s="231"/>
      <c r="M327" s="231"/>
      <c r="N327" s="231"/>
      <c r="O327" s="231"/>
      <c r="P327" s="231"/>
      <c r="Q327" s="231"/>
      <c r="R327" s="231"/>
      <c r="S327" s="231"/>
      <c r="T327" s="231"/>
      <c r="U327" s="231"/>
      <c r="V327" s="231"/>
      <c r="W327" s="231"/>
      <c r="X327" s="231"/>
      <c r="Y327" s="231"/>
      <c r="Z327" s="231"/>
      <c r="AA327" s="231"/>
      <c r="AB327" s="231"/>
      <c r="AC327" s="231"/>
      <c r="AD327" s="231"/>
      <c r="AE327" s="231"/>
      <c r="AF327" s="231"/>
      <c r="AG327" s="231"/>
      <c r="AH327" s="231"/>
      <c r="AI327" s="231"/>
      <c r="AJ327" s="231"/>
      <c r="AK327" s="231"/>
      <c r="AL327" s="231"/>
      <c r="AM327" s="231"/>
      <c r="AN327" s="231"/>
    </row>
    <row r="328" spans="1:40" s="203" customFormat="1">
      <c r="A328" s="733">
        <v>4</v>
      </c>
      <c r="B328" s="47" t="s">
        <v>245</v>
      </c>
      <c r="C328" s="690">
        <v>3032</v>
      </c>
      <c r="D328" s="99">
        <v>0</v>
      </c>
      <c r="E328" s="99">
        <v>0</v>
      </c>
      <c r="F328" s="99">
        <v>2665</v>
      </c>
      <c r="G328" s="99">
        <v>0</v>
      </c>
      <c r="H328" s="99">
        <v>0</v>
      </c>
      <c r="I328" s="207"/>
      <c r="J328" s="231"/>
      <c r="K328" s="231"/>
      <c r="L328" s="231"/>
      <c r="M328" s="231"/>
      <c r="N328" s="231"/>
      <c r="O328" s="231"/>
      <c r="P328" s="231"/>
      <c r="Q328" s="231"/>
      <c r="R328" s="231"/>
      <c r="S328" s="231"/>
      <c r="T328" s="231"/>
      <c r="U328" s="231"/>
      <c r="V328" s="231"/>
      <c r="W328" s="231"/>
      <c r="X328" s="231"/>
      <c r="Y328" s="231"/>
      <c r="Z328" s="231"/>
      <c r="AA328" s="231"/>
      <c r="AB328" s="231"/>
      <c r="AC328" s="231"/>
      <c r="AD328" s="231"/>
      <c r="AE328" s="231"/>
      <c r="AF328" s="231"/>
      <c r="AG328" s="231"/>
      <c r="AH328" s="231"/>
      <c r="AI328" s="231"/>
      <c r="AJ328" s="231"/>
      <c r="AK328" s="231"/>
      <c r="AL328" s="231"/>
      <c r="AM328" s="231"/>
      <c r="AN328" s="231"/>
    </row>
    <row r="329" spans="1:40" s="203" customFormat="1">
      <c r="A329" s="734">
        <v>5</v>
      </c>
      <c r="B329" s="54" t="s">
        <v>246</v>
      </c>
      <c r="C329" s="690">
        <v>1468</v>
      </c>
      <c r="D329" s="100">
        <v>0</v>
      </c>
      <c r="E329" s="100">
        <v>0</v>
      </c>
      <c r="F329" s="100">
        <v>0</v>
      </c>
      <c r="G329" s="100">
        <v>0</v>
      </c>
      <c r="H329" s="100">
        <v>0</v>
      </c>
      <c r="I329" s="207"/>
      <c r="J329" s="231"/>
      <c r="K329" s="231"/>
      <c r="L329" s="231"/>
      <c r="M329" s="231"/>
      <c r="N329" s="231"/>
      <c r="O329" s="231"/>
      <c r="P329" s="231"/>
      <c r="Q329" s="231"/>
      <c r="R329" s="231"/>
      <c r="S329" s="231"/>
      <c r="T329" s="231"/>
      <c r="U329" s="231"/>
      <c r="V329" s="231"/>
      <c r="W329" s="231"/>
      <c r="X329" s="231"/>
      <c r="Y329" s="231"/>
      <c r="Z329" s="231"/>
      <c r="AA329" s="231"/>
      <c r="AB329" s="231"/>
      <c r="AC329" s="231"/>
      <c r="AD329" s="231"/>
      <c r="AE329" s="231"/>
      <c r="AF329" s="231"/>
      <c r="AG329" s="231"/>
      <c r="AH329" s="231"/>
      <c r="AI329" s="231"/>
      <c r="AJ329" s="231"/>
      <c r="AK329" s="231"/>
      <c r="AL329" s="231"/>
      <c r="AM329" s="231"/>
      <c r="AN329" s="231"/>
    </row>
    <row r="330" spans="1:40" s="203" customFormat="1">
      <c r="A330" s="733"/>
      <c r="B330" s="47"/>
      <c r="C330" s="864" t="s">
        <v>404</v>
      </c>
      <c r="D330" s="865"/>
      <c r="E330" s="865"/>
      <c r="F330" s="865"/>
      <c r="G330" s="865"/>
      <c r="H330" s="866"/>
      <c r="I330" s="207"/>
      <c r="J330" s="231"/>
      <c r="K330" s="231"/>
      <c r="L330" s="231"/>
      <c r="M330" s="231"/>
      <c r="N330" s="231"/>
      <c r="O330" s="231"/>
      <c r="P330" s="231"/>
      <c r="Q330" s="231"/>
      <c r="R330" s="231"/>
      <c r="S330" s="231"/>
      <c r="T330" s="231"/>
      <c r="U330" s="231"/>
      <c r="V330" s="231"/>
      <c r="W330" s="231"/>
      <c r="X330" s="231"/>
      <c r="Y330" s="231"/>
      <c r="Z330" s="231"/>
      <c r="AA330" s="231"/>
      <c r="AB330" s="231"/>
      <c r="AC330" s="231"/>
      <c r="AD330" s="231"/>
      <c r="AE330" s="231"/>
      <c r="AF330" s="231"/>
      <c r="AG330" s="231"/>
      <c r="AH330" s="231"/>
      <c r="AI330" s="231"/>
      <c r="AJ330" s="231"/>
      <c r="AK330" s="231"/>
      <c r="AL330" s="231"/>
      <c r="AM330" s="231"/>
      <c r="AN330" s="231"/>
    </row>
    <row r="331" spans="1:40" s="203" customFormat="1" ht="39" thickBot="1">
      <c r="A331" s="110" t="s">
        <v>84</v>
      </c>
      <c r="B331" s="116"/>
      <c r="C331" s="35" t="s">
        <v>52</v>
      </c>
      <c r="D331" s="35" t="s">
        <v>53</v>
      </c>
      <c r="E331" s="37" t="s">
        <v>54</v>
      </c>
      <c r="F331" s="37" t="s">
        <v>55</v>
      </c>
      <c r="G331" s="37" t="s">
        <v>241</v>
      </c>
      <c r="H331" s="35" t="s">
        <v>121</v>
      </c>
      <c r="I331" s="207"/>
      <c r="J331" s="231"/>
      <c r="K331" s="231"/>
      <c r="L331" s="231"/>
      <c r="M331" s="231"/>
      <c r="N331" s="231"/>
      <c r="O331" s="231"/>
      <c r="P331" s="231"/>
      <c r="Q331" s="231"/>
      <c r="R331" s="231"/>
      <c r="S331" s="231"/>
      <c r="T331" s="231"/>
      <c r="U331" s="231"/>
      <c r="V331" s="231"/>
      <c r="W331" s="231"/>
      <c r="X331" s="231"/>
      <c r="Y331" s="231"/>
      <c r="Z331" s="231"/>
      <c r="AA331" s="231"/>
      <c r="AB331" s="231"/>
      <c r="AC331" s="231"/>
      <c r="AD331" s="231"/>
      <c r="AE331" s="231"/>
      <c r="AF331" s="231"/>
      <c r="AG331" s="231"/>
      <c r="AH331" s="231"/>
      <c r="AI331" s="231"/>
      <c r="AJ331" s="231"/>
      <c r="AK331" s="231"/>
      <c r="AL331" s="231"/>
      <c r="AM331" s="231"/>
      <c r="AN331" s="231"/>
    </row>
    <row r="332" spans="1:40" s="203" customFormat="1" ht="13.5" thickBot="1">
      <c r="A332" s="733">
        <v>1</v>
      </c>
      <c r="B332" s="116" t="s">
        <v>242</v>
      </c>
      <c r="C332" s="849">
        <f t="shared" ref="C332:H332" si="1">SUM(C333:C336)</f>
        <v>14763</v>
      </c>
      <c r="D332" s="193">
        <f t="shared" si="1"/>
        <v>0</v>
      </c>
      <c r="E332" s="193">
        <v>0</v>
      </c>
      <c r="F332" s="193">
        <f t="shared" si="1"/>
        <v>8854</v>
      </c>
      <c r="G332" s="193">
        <f>SUM(G333:G336)</f>
        <v>0</v>
      </c>
      <c r="H332" s="193">
        <f t="shared" si="1"/>
        <v>0</v>
      </c>
      <c r="I332" s="207"/>
      <c r="J332" s="231"/>
      <c r="K332" s="231"/>
      <c r="L332" s="231"/>
      <c r="M332" s="231"/>
      <c r="N332" s="231"/>
      <c r="O332" s="231"/>
      <c r="P332" s="231"/>
      <c r="Q332" s="231"/>
      <c r="R332" s="231"/>
      <c r="S332" s="231"/>
      <c r="T332" s="231"/>
      <c r="U332" s="231"/>
      <c r="V332" s="231"/>
      <c r="W332" s="231"/>
      <c r="X332" s="231"/>
      <c r="Y332" s="231"/>
      <c r="Z332" s="231"/>
      <c r="AA332" s="231"/>
      <c r="AB332" s="231"/>
      <c r="AC332" s="231"/>
      <c r="AD332" s="231"/>
      <c r="AE332" s="231"/>
      <c r="AF332" s="231"/>
      <c r="AG332" s="231"/>
      <c r="AH332" s="231"/>
      <c r="AI332" s="231"/>
      <c r="AJ332" s="231"/>
      <c r="AK332" s="231"/>
      <c r="AL332" s="231"/>
      <c r="AM332" s="231"/>
      <c r="AN332" s="231"/>
    </row>
    <row r="333" spans="1:40" s="203" customFormat="1">
      <c r="A333" s="733">
        <v>2</v>
      </c>
      <c r="B333" s="47" t="s">
        <v>243</v>
      </c>
      <c r="C333" s="850">
        <v>3504</v>
      </c>
      <c r="D333" s="169">
        <v>0</v>
      </c>
      <c r="E333" s="169">
        <v>0</v>
      </c>
      <c r="F333" s="169">
        <v>5296</v>
      </c>
      <c r="G333" s="169">
        <v>0</v>
      </c>
      <c r="H333" s="169">
        <v>0</v>
      </c>
      <c r="I333" s="207"/>
      <c r="J333" s="231"/>
      <c r="K333" s="231"/>
      <c r="L333" s="231"/>
      <c r="M333" s="231"/>
      <c r="N333" s="231"/>
      <c r="O333" s="231"/>
      <c r="P333" s="231"/>
      <c r="Q333" s="231"/>
      <c r="R333" s="231"/>
      <c r="S333" s="231"/>
      <c r="T333" s="231"/>
      <c r="U333" s="231"/>
      <c r="V333" s="231"/>
      <c r="W333" s="231"/>
      <c r="X333" s="231"/>
      <c r="Y333" s="231"/>
      <c r="Z333" s="231"/>
      <c r="AA333" s="231"/>
      <c r="AB333" s="231"/>
      <c r="AC333" s="231"/>
      <c r="AD333" s="231"/>
      <c r="AE333" s="231"/>
      <c r="AF333" s="231"/>
      <c r="AG333" s="231"/>
      <c r="AH333" s="231"/>
      <c r="AI333" s="231"/>
      <c r="AJ333" s="231"/>
      <c r="AK333" s="231"/>
      <c r="AL333" s="231"/>
      <c r="AM333" s="231"/>
      <c r="AN333" s="231"/>
    </row>
    <row r="334" spans="1:40" s="203" customFormat="1">
      <c r="A334" s="733">
        <v>3</v>
      </c>
      <c r="B334" s="47" t="s">
        <v>244</v>
      </c>
      <c r="C334" s="851">
        <v>6453</v>
      </c>
      <c r="D334" s="99">
        <v>0</v>
      </c>
      <c r="E334" s="99">
        <v>0</v>
      </c>
      <c r="F334" s="99">
        <v>0</v>
      </c>
      <c r="G334" s="99">
        <v>0</v>
      </c>
      <c r="H334" s="99">
        <v>0</v>
      </c>
      <c r="I334" s="207"/>
      <c r="J334" s="231"/>
      <c r="K334" s="231"/>
      <c r="L334" s="231"/>
      <c r="M334" s="231"/>
      <c r="N334" s="231"/>
      <c r="O334" s="231"/>
      <c r="P334" s="231"/>
      <c r="Q334" s="231"/>
      <c r="R334" s="231"/>
      <c r="S334" s="231"/>
      <c r="T334" s="231"/>
      <c r="U334" s="231"/>
      <c r="V334" s="231"/>
      <c r="W334" s="231"/>
      <c r="X334" s="231"/>
      <c r="Y334" s="231"/>
      <c r="Z334" s="231"/>
      <c r="AA334" s="231"/>
      <c r="AB334" s="231"/>
      <c r="AC334" s="231"/>
      <c r="AD334" s="231"/>
      <c r="AE334" s="231"/>
      <c r="AF334" s="231"/>
      <c r="AG334" s="231"/>
      <c r="AH334" s="231"/>
      <c r="AI334" s="231"/>
      <c r="AJ334" s="231"/>
      <c r="AK334" s="231"/>
      <c r="AL334" s="231"/>
      <c r="AM334" s="231"/>
      <c r="AN334" s="231"/>
    </row>
    <row r="335" spans="1:40" s="203" customFormat="1">
      <c r="A335" s="733">
        <v>4</v>
      </c>
      <c r="B335" s="47" t="s">
        <v>245</v>
      </c>
      <c r="C335" s="851">
        <v>2804</v>
      </c>
      <c r="D335" s="99">
        <v>0</v>
      </c>
      <c r="E335" s="99">
        <v>0</v>
      </c>
      <c r="F335" s="99">
        <v>3558</v>
      </c>
      <c r="G335" s="99">
        <v>0</v>
      </c>
      <c r="H335" s="99">
        <v>0</v>
      </c>
      <c r="I335" s="207"/>
      <c r="J335" s="231"/>
      <c r="K335" s="231"/>
      <c r="L335" s="231"/>
      <c r="M335" s="231"/>
      <c r="N335" s="231"/>
      <c r="O335" s="231"/>
      <c r="P335" s="231"/>
      <c r="Q335" s="231"/>
      <c r="R335" s="231"/>
      <c r="S335" s="231"/>
      <c r="T335" s="231"/>
      <c r="U335" s="231"/>
      <c r="V335" s="231"/>
      <c r="W335" s="231"/>
      <c r="X335" s="231"/>
      <c r="Y335" s="231"/>
      <c r="Z335" s="231"/>
      <c r="AA335" s="231"/>
      <c r="AB335" s="231"/>
      <c r="AC335" s="231"/>
      <c r="AD335" s="231"/>
      <c r="AE335" s="231"/>
      <c r="AF335" s="231"/>
      <c r="AG335" s="231"/>
      <c r="AH335" s="231"/>
      <c r="AI335" s="231"/>
      <c r="AJ335" s="231"/>
      <c r="AK335" s="231"/>
      <c r="AL335" s="231"/>
      <c r="AM335" s="231"/>
      <c r="AN335" s="231"/>
    </row>
    <row r="336" spans="1:40" s="203" customFormat="1">
      <c r="A336" s="734">
        <v>5</v>
      </c>
      <c r="B336" s="54" t="s">
        <v>246</v>
      </c>
      <c r="C336" s="852">
        <v>2002</v>
      </c>
      <c r="D336" s="100">
        <v>0</v>
      </c>
      <c r="E336" s="100">
        <v>0</v>
      </c>
      <c r="F336" s="100">
        <v>0</v>
      </c>
      <c r="G336" s="100">
        <v>0</v>
      </c>
      <c r="H336" s="100">
        <v>0</v>
      </c>
      <c r="I336" s="207"/>
      <c r="J336" s="231"/>
      <c r="K336" s="231"/>
      <c r="L336" s="231"/>
      <c r="M336" s="231"/>
      <c r="N336" s="231"/>
      <c r="O336" s="231"/>
      <c r="P336" s="231"/>
      <c r="Q336" s="231"/>
      <c r="R336" s="231"/>
      <c r="S336" s="231"/>
      <c r="T336" s="231"/>
      <c r="U336" s="231"/>
      <c r="V336" s="231"/>
      <c r="W336" s="231"/>
      <c r="X336" s="231"/>
      <c r="Y336" s="231"/>
      <c r="Z336" s="231"/>
      <c r="AA336" s="231"/>
      <c r="AB336" s="231"/>
      <c r="AC336" s="231"/>
      <c r="AD336" s="231"/>
      <c r="AE336" s="231"/>
      <c r="AF336" s="231"/>
      <c r="AG336" s="231"/>
      <c r="AH336" s="231"/>
      <c r="AI336" s="231"/>
      <c r="AJ336" s="231"/>
      <c r="AK336" s="231"/>
      <c r="AL336" s="231"/>
      <c r="AM336" s="231"/>
      <c r="AN336" s="231"/>
    </row>
    <row r="337" spans="1:40" s="203" customFormat="1">
      <c r="A337" s="23"/>
      <c r="B337" s="207"/>
      <c r="C337" s="207"/>
      <c r="D337" s="207"/>
      <c r="E337" s="207"/>
      <c r="F337" s="207"/>
      <c r="G337" s="207"/>
      <c r="H337" s="21"/>
      <c r="I337" s="21"/>
      <c r="J337" s="231"/>
      <c r="K337" s="231"/>
      <c r="L337" s="231"/>
      <c r="M337" s="231"/>
      <c r="N337" s="231"/>
      <c r="O337" s="231"/>
      <c r="P337" s="231"/>
      <c r="Q337" s="231"/>
      <c r="R337" s="231"/>
      <c r="S337" s="231"/>
      <c r="T337" s="231"/>
      <c r="U337" s="231"/>
      <c r="V337" s="231"/>
      <c r="W337" s="231"/>
      <c r="X337" s="231"/>
      <c r="Y337" s="231"/>
      <c r="Z337" s="231"/>
      <c r="AA337" s="231"/>
      <c r="AB337" s="231"/>
      <c r="AC337" s="231"/>
      <c r="AD337" s="231"/>
      <c r="AE337" s="231"/>
      <c r="AF337" s="231"/>
      <c r="AG337" s="231"/>
      <c r="AH337" s="231"/>
      <c r="AI337" s="231"/>
      <c r="AJ337" s="231"/>
      <c r="AK337" s="231"/>
      <c r="AL337" s="231"/>
      <c r="AM337" s="231"/>
      <c r="AN337" s="231"/>
    </row>
    <row r="338" spans="1:40" s="203" customFormat="1" ht="12.75" customHeight="1">
      <c r="A338" s="23"/>
      <c r="B338" s="207"/>
      <c r="C338" s="207"/>
      <c r="D338" s="207"/>
      <c r="E338" s="207"/>
      <c r="F338" s="207"/>
      <c r="G338" s="207"/>
      <c r="H338" s="21"/>
      <c r="I338" s="21"/>
      <c r="J338" s="231"/>
      <c r="K338" s="231"/>
      <c r="L338" s="231"/>
      <c r="M338" s="231"/>
      <c r="N338" s="231"/>
      <c r="O338" s="231"/>
      <c r="P338" s="231"/>
      <c r="Q338" s="231"/>
      <c r="R338" s="231"/>
      <c r="S338" s="231"/>
      <c r="T338" s="231"/>
      <c r="U338" s="231"/>
      <c r="V338" s="231"/>
      <c r="W338" s="231"/>
      <c r="X338" s="231"/>
      <c r="Y338" s="231"/>
      <c r="Z338" s="231"/>
      <c r="AA338" s="231"/>
      <c r="AB338" s="231"/>
      <c r="AC338" s="231"/>
      <c r="AD338" s="231"/>
      <c r="AE338" s="231"/>
      <c r="AF338" s="231"/>
      <c r="AG338" s="231"/>
      <c r="AH338" s="231"/>
      <c r="AI338" s="231"/>
      <c r="AJ338" s="231"/>
      <c r="AK338" s="231"/>
      <c r="AL338" s="231"/>
      <c r="AM338" s="231"/>
      <c r="AN338" s="231"/>
    </row>
    <row r="339" spans="1:40" s="203" customFormat="1">
      <c r="A339" s="23"/>
      <c r="B339" s="207"/>
      <c r="C339" s="207"/>
      <c r="D339" s="207"/>
      <c r="E339" s="207"/>
      <c r="F339" s="207"/>
      <c r="G339" s="207"/>
      <c r="H339" s="21"/>
      <c r="I339" s="21"/>
      <c r="J339" s="231"/>
      <c r="K339" s="231"/>
      <c r="L339" s="231"/>
      <c r="M339" s="231"/>
      <c r="N339" s="231"/>
      <c r="O339" s="231"/>
      <c r="P339" s="231"/>
      <c r="Q339" s="231"/>
      <c r="R339" s="231"/>
      <c r="S339" s="231"/>
      <c r="T339" s="231"/>
      <c r="U339" s="231"/>
      <c r="V339" s="231"/>
      <c r="W339" s="231"/>
      <c r="X339" s="231"/>
      <c r="Y339" s="231"/>
      <c r="Z339" s="231"/>
      <c r="AA339" s="231"/>
      <c r="AB339" s="231"/>
      <c r="AC339" s="231"/>
      <c r="AD339" s="231"/>
      <c r="AE339" s="231"/>
      <c r="AF339" s="231"/>
      <c r="AG339" s="231"/>
      <c r="AH339" s="231"/>
      <c r="AI339" s="231"/>
      <c r="AJ339" s="231"/>
      <c r="AK339" s="231"/>
      <c r="AL339" s="231"/>
      <c r="AM339" s="231"/>
      <c r="AN339" s="231"/>
    </row>
    <row r="340" spans="1:40" s="203" customFormat="1">
      <c r="A340" s="23"/>
      <c r="B340" s="207"/>
      <c r="C340" s="207"/>
      <c r="D340" s="207"/>
      <c r="E340" s="207"/>
      <c r="F340" s="207"/>
      <c r="G340" s="207"/>
      <c r="H340" s="131" t="s">
        <v>27</v>
      </c>
      <c r="I340" s="21"/>
      <c r="J340" s="231"/>
      <c r="K340" s="231"/>
      <c r="L340" s="231"/>
      <c r="M340" s="231"/>
      <c r="N340" s="231"/>
      <c r="O340" s="231"/>
      <c r="P340" s="231"/>
      <c r="Q340" s="231"/>
      <c r="R340" s="231"/>
      <c r="S340" s="231"/>
      <c r="T340" s="231"/>
      <c r="U340" s="231"/>
      <c r="V340" s="231"/>
      <c r="W340" s="231"/>
      <c r="X340" s="231"/>
      <c r="Y340" s="231"/>
      <c r="Z340" s="231"/>
      <c r="AA340" s="231"/>
      <c r="AB340" s="231"/>
      <c r="AC340" s="231"/>
      <c r="AD340" s="231"/>
      <c r="AE340" s="231"/>
      <c r="AF340" s="231"/>
      <c r="AG340" s="231"/>
      <c r="AH340" s="231"/>
      <c r="AI340" s="231"/>
      <c r="AJ340" s="231"/>
      <c r="AK340" s="231"/>
      <c r="AL340" s="231"/>
      <c r="AM340" s="231"/>
      <c r="AN340" s="231"/>
    </row>
    <row r="341" spans="1:40" s="203" customFormat="1">
      <c r="A341" s="197"/>
      <c r="B341" s="69"/>
      <c r="C341" s="69"/>
      <c r="D341" s="69"/>
      <c r="E341" s="856" t="s">
        <v>377</v>
      </c>
      <c r="F341" s="853" t="s">
        <v>402</v>
      </c>
      <c r="G341" s="207"/>
      <c r="H341" s="856" t="s">
        <v>403</v>
      </c>
      <c r="I341" s="21"/>
      <c r="J341" s="231"/>
      <c r="K341" s="231"/>
      <c r="L341" s="231"/>
      <c r="M341" s="231"/>
      <c r="N341" s="231"/>
      <c r="O341" s="231"/>
      <c r="P341" s="231"/>
      <c r="Q341" s="231"/>
      <c r="R341" s="231"/>
      <c r="S341" s="231"/>
      <c r="T341" s="231"/>
      <c r="U341" s="231"/>
      <c r="V341" s="231"/>
      <c r="W341" s="231"/>
      <c r="X341" s="231"/>
      <c r="Y341" s="231"/>
      <c r="Z341" s="231"/>
      <c r="AA341" s="231"/>
      <c r="AB341" s="231"/>
      <c r="AC341" s="231"/>
      <c r="AD341" s="231"/>
      <c r="AE341" s="231"/>
      <c r="AF341" s="231"/>
      <c r="AG341" s="231"/>
      <c r="AH341" s="231"/>
      <c r="AI341" s="231"/>
      <c r="AJ341" s="231"/>
      <c r="AK341" s="231"/>
      <c r="AL341" s="231"/>
      <c r="AM341" s="231"/>
      <c r="AN341" s="231"/>
    </row>
    <row r="342" spans="1:40" s="203" customFormat="1">
      <c r="A342" s="144" t="s">
        <v>261</v>
      </c>
      <c r="B342" s="116"/>
      <c r="C342" s="116"/>
      <c r="D342" s="116"/>
      <c r="E342" s="859"/>
      <c r="F342" s="854"/>
      <c r="G342" s="207"/>
      <c r="H342" s="857"/>
      <c r="I342" s="21"/>
      <c r="J342" s="231"/>
      <c r="K342" s="231"/>
      <c r="L342" s="231"/>
      <c r="M342" s="231"/>
      <c r="N342" s="231"/>
      <c r="O342" s="231"/>
      <c r="P342" s="231"/>
      <c r="Q342" s="231"/>
      <c r="R342" s="231"/>
      <c r="S342" s="231"/>
      <c r="T342" s="231"/>
      <c r="U342" s="231"/>
      <c r="V342" s="231"/>
      <c r="W342" s="231"/>
      <c r="X342" s="231"/>
      <c r="Y342" s="231"/>
      <c r="Z342" s="231"/>
      <c r="AA342" s="231"/>
      <c r="AB342" s="231"/>
      <c r="AC342" s="231"/>
      <c r="AD342" s="231"/>
      <c r="AE342" s="231"/>
      <c r="AF342" s="231"/>
      <c r="AG342" s="231"/>
      <c r="AH342" s="231"/>
      <c r="AI342" s="231"/>
      <c r="AJ342" s="231"/>
      <c r="AK342" s="231"/>
      <c r="AL342" s="231"/>
      <c r="AM342" s="231"/>
      <c r="AN342" s="231"/>
    </row>
    <row r="343" spans="1:40" s="203" customFormat="1">
      <c r="A343" s="119"/>
      <c r="B343" s="116"/>
      <c r="C343" s="116"/>
      <c r="D343" s="116"/>
      <c r="E343" s="859"/>
      <c r="F343" s="854"/>
      <c r="G343" s="207"/>
      <c r="H343" s="857"/>
      <c r="I343" s="21"/>
      <c r="J343" s="231"/>
      <c r="K343" s="231"/>
      <c r="L343" s="231"/>
      <c r="M343" s="231"/>
      <c r="N343" s="231"/>
      <c r="O343" s="231"/>
      <c r="P343" s="231"/>
      <c r="Q343" s="231"/>
      <c r="R343" s="231"/>
      <c r="S343" s="231"/>
      <c r="T343" s="231"/>
      <c r="U343" s="231"/>
      <c r="V343" s="231"/>
      <c r="W343" s="231"/>
      <c r="X343" s="231"/>
      <c r="Y343" s="231"/>
      <c r="Z343" s="231"/>
      <c r="AA343" s="231"/>
      <c r="AB343" s="231"/>
      <c r="AC343" s="231"/>
      <c r="AD343" s="231"/>
      <c r="AE343" s="231"/>
      <c r="AF343" s="231"/>
      <c r="AG343" s="231"/>
      <c r="AH343" s="231"/>
      <c r="AI343" s="231"/>
      <c r="AJ343" s="231"/>
      <c r="AK343" s="231"/>
      <c r="AL343" s="231"/>
      <c r="AM343" s="231"/>
      <c r="AN343" s="231"/>
    </row>
    <row r="344" spans="1:40" s="203" customFormat="1">
      <c r="A344" s="198" t="s">
        <v>262</v>
      </c>
      <c r="B344" s="116"/>
      <c r="C344" s="116"/>
      <c r="D344" s="116"/>
      <c r="E344" s="859"/>
      <c r="F344" s="854"/>
      <c r="G344" s="207"/>
      <c r="H344" s="857"/>
      <c r="I344" s="21"/>
      <c r="J344" s="231"/>
      <c r="K344" s="231"/>
      <c r="L344" s="231"/>
      <c r="M344" s="231"/>
      <c r="N344" s="231"/>
      <c r="O344" s="231"/>
      <c r="P344" s="231"/>
      <c r="Q344" s="231"/>
      <c r="R344" s="231"/>
      <c r="S344" s="231"/>
      <c r="T344" s="231"/>
      <c r="U344" s="231"/>
      <c r="V344" s="231"/>
      <c r="W344" s="231"/>
      <c r="X344" s="231"/>
      <c r="Y344" s="231"/>
      <c r="Z344" s="231"/>
      <c r="AA344" s="231"/>
      <c r="AB344" s="231"/>
      <c r="AC344" s="231"/>
      <c r="AD344" s="231"/>
      <c r="AE344" s="231"/>
      <c r="AF344" s="231"/>
      <c r="AG344" s="231"/>
      <c r="AH344" s="231"/>
      <c r="AI344" s="231"/>
      <c r="AJ344" s="231"/>
      <c r="AK344" s="231"/>
      <c r="AL344" s="231"/>
      <c r="AM344" s="231"/>
      <c r="AN344" s="231"/>
    </row>
    <row r="345" spans="1:40" s="203" customFormat="1">
      <c r="A345" s="198" t="s">
        <v>330</v>
      </c>
      <c r="B345" s="116"/>
      <c r="C345" s="116"/>
      <c r="D345" s="116"/>
      <c r="E345" s="860"/>
      <c r="F345" s="855"/>
      <c r="G345" s="207"/>
      <c r="H345" s="858"/>
      <c r="I345" s="21"/>
      <c r="J345" s="231"/>
      <c r="K345" s="231"/>
      <c r="L345" s="231"/>
      <c r="M345" s="231"/>
      <c r="N345" s="231"/>
      <c r="O345" s="231"/>
      <c r="P345" s="231"/>
      <c r="Q345" s="231"/>
      <c r="R345" s="231"/>
      <c r="S345" s="231"/>
      <c r="T345" s="231"/>
      <c r="U345" s="231"/>
      <c r="V345" s="231"/>
      <c r="W345" s="231"/>
      <c r="X345" s="231"/>
      <c r="Y345" s="231"/>
      <c r="Z345" s="231"/>
      <c r="AA345" s="231"/>
      <c r="AB345" s="231"/>
      <c r="AC345" s="231"/>
      <c r="AD345" s="231"/>
      <c r="AE345" s="231"/>
      <c r="AF345" s="231"/>
      <c r="AG345" s="231"/>
      <c r="AH345" s="231"/>
      <c r="AI345" s="231"/>
      <c r="AJ345" s="231"/>
      <c r="AK345" s="231"/>
      <c r="AL345" s="231"/>
      <c r="AM345" s="231"/>
      <c r="AN345" s="231"/>
    </row>
    <row r="346" spans="1:40" s="203" customFormat="1">
      <c r="A346" s="119"/>
      <c r="B346" s="47"/>
      <c r="C346" s="116"/>
      <c r="D346" s="116"/>
      <c r="E346" s="178"/>
      <c r="F346" s="146"/>
      <c r="G346" s="23"/>
      <c r="H346" s="264"/>
      <c r="I346" s="21"/>
      <c r="J346" s="231"/>
      <c r="K346" s="231"/>
      <c r="L346" s="231"/>
      <c r="M346" s="231"/>
      <c r="N346" s="231"/>
      <c r="O346" s="231"/>
      <c r="P346" s="231"/>
      <c r="Q346" s="231"/>
      <c r="R346" s="231"/>
      <c r="S346" s="231"/>
      <c r="T346" s="231"/>
      <c r="U346" s="231"/>
      <c r="V346" s="231"/>
      <c r="W346" s="231"/>
      <c r="X346" s="231"/>
      <c r="Y346" s="231"/>
      <c r="Z346" s="231"/>
      <c r="AA346" s="231"/>
      <c r="AB346" s="231"/>
      <c r="AC346" s="231"/>
      <c r="AD346" s="231"/>
      <c r="AE346" s="231"/>
      <c r="AF346" s="231"/>
      <c r="AG346" s="231"/>
      <c r="AH346" s="231"/>
      <c r="AI346" s="231"/>
      <c r="AJ346" s="231"/>
      <c r="AK346" s="231"/>
      <c r="AL346" s="231"/>
      <c r="AM346" s="231"/>
      <c r="AN346" s="231"/>
    </row>
    <row r="347" spans="1:40" s="203" customFormat="1">
      <c r="A347" s="733">
        <v>1</v>
      </c>
      <c r="B347" s="47" t="s">
        <v>263</v>
      </c>
      <c r="C347" s="116"/>
      <c r="D347" s="116"/>
      <c r="E347" s="354">
        <v>12295</v>
      </c>
      <c r="F347" s="265">
        <v>11883</v>
      </c>
      <c r="G347" s="43"/>
      <c r="H347" s="126">
        <v>12265</v>
      </c>
      <c r="I347" s="86"/>
      <c r="J347" s="231"/>
      <c r="K347" s="231"/>
      <c r="L347" s="231"/>
      <c r="M347" s="231"/>
      <c r="N347" s="231"/>
      <c r="O347" s="231"/>
      <c r="P347" s="231"/>
      <c r="Q347" s="231"/>
      <c r="R347" s="231"/>
      <c r="S347" s="231"/>
      <c r="T347" s="231"/>
      <c r="U347" s="231"/>
      <c r="V347" s="231"/>
      <c r="W347" s="231"/>
      <c r="X347" s="231"/>
      <c r="Y347" s="231"/>
      <c r="Z347" s="231"/>
      <c r="AA347" s="231"/>
      <c r="AB347" s="231"/>
      <c r="AC347" s="231"/>
      <c r="AD347" s="231"/>
      <c r="AE347" s="231"/>
      <c r="AF347" s="231"/>
      <c r="AG347" s="231"/>
      <c r="AH347" s="231"/>
      <c r="AI347" s="231"/>
      <c r="AJ347" s="231"/>
      <c r="AK347" s="231"/>
      <c r="AL347" s="231"/>
      <c r="AM347" s="231"/>
      <c r="AN347" s="231"/>
    </row>
    <row r="348" spans="1:40" s="203" customFormat="1">
      <c r="A348" s="733"/>
      <c r="B348" s="47"/>
      <c r="C348" s="116"/>
      <c r="D348" s="116"/>
      <c r="E348" s="355"/>
      <c r="F348" s="188"/>
      <c r="G348" s="43"/>
      <c r="H348" s="188"/>
      <c r="I348" s="86"/>
      <c r="J348" s="231"/>
      <c r="K348" s="231"/>
      <c r="L348" s="231"/>
      <c r="M348" s="231"/>
      <c r="N348" s="231"/>
      <c r="O348" s="231"/>
      <c r="P348" s="231"/>
      <c r="Q348" s="231"/>
      <c r="R348" s="231"/>
      <c r="S348" s="231"/>
      <c r="T348" s="231"/>
      <c r="U348" s="231"/>
      <c r="V348" s="231"/>
      <c r="W348" s="231"/>
      <c r="X348" s="231"/>
      <c r="Y348" s="231"/>
      <c r="Z348" s="231"/>
      <c r="AA348" s="231"/>
      <c r="AB348" s="231"/>
      <c r="AC348" s="231"/>
      <c r="AD348" s="231"/>
      <c r="AE348" s="231"/>
      <c r="AF348" s="231"/>
      <c r="AG348" s="231"/>
      <c r="AH348" s="231"/>
      <c r="AI348" s="231"/>
      <c r="AJ348" s="231"/>
      <c r="AK348" s="231"/>
      <c r="AL348" s="231"/>
      <c r="AM348" s="231"/>
      <c r="AN348" s="231"/>
    </row>
    <row r="349" spans="1:40" s="203" customFormat="1">
      <c r="A349" s="108" t="s">
        <v>378</v>
      </c>
      <c r="B349" s="47"/>
      <c r="C349" s="116"/>
      <c r="D349" s="116"/>
      <c r="E349" s="355"/>
      <c r="F349" s="188"/>
      <c r="G349" s="43"/>
      <c r="H349" s="188"/>
      <c r="I349" s="86"/>
      <c r="J349" s="231"/>
      <c r="K349" s="231"/>
      <c r="L349" s="231"/>
      <c r="M349" s="231"/>
      <c r="N349" s="231"/>
      <c r="O349" s="231"/>
      <c r="P349" s="231"/>
      <c r="Q349" s="231"/>
      <c r="R349" s="231"/>
      <c r="S349" s="231"/>
      <c r="T349" s="231"/>
      <c r="U349" s="231"/>
      <c r="V349" s="231"/>
      <c r="W349" s="231"/>
      <c r="X349" s="231"/>
      <c r="Y349" s="231"/>
      <c r="Z349" s="231"/>
      <c r="AA349" s="231"/>
      <c r="AB349" s="231"/>
      <c r="AC349" s="231"/>
      <c r="AD349" s="231"/>
      <c r="AE349" s="231"/>
      <c r="AF349" s="231"/>
      <c r="AG349" s="231"/>
      <c r="AH349" s="231"/>
      <c r="AI349" s="231"/>
      <c r="AJ349" s="231"/>
      <c r="AK349" s="231"/>
      <c r="AL349" s="231"/>
      <c r="AM349" s="231"/>
      <c r="AN349" s="231"/>
    </row>
    <row r="350" spans="1:40" s="203" customFormat="1">
      <c r="A350" s="733"/>
      <c r="B350" s="47"/>
      <c r="C350" s="116"/>
      <c r="D350" s="116"/>
      <c r="E350" s="355"/>
      <c r="F350" s="188"/>
      <c r="G350" s="43"/>
      <c r="H350" s="188"/>
      <c r="I350" s="86"/>
      <c r="J350" s="231"/>
      <c r="K350" s="231"/>
      <c r="L350" s="231"/>
      <c r="M350" s="231"/>
      <c r="N350" s="231"/>
      <c r="O350" s="231"/>
      <c r="P350" s="231"/>
      <c r="Q350" s="231"/>
      <c r="R350" s="231"/>
      <c r="S350" s="231"/>
      <c r="T350" s="231"/>
      <c r="U350" s="231"/>
      <c r="V350" s="231"/>
      <c r="W350" s="231"/>
      <c r="X350" s="231"/>
      <c r="Y350" s="231"/>
      <c r="Z350" s="231"/>
      <c r="AA350" s="231"/>
      <c r="AB350" s="231"/>
      <c r="AC350" s="231"/>
      <c r="AD350" s="231"/>
      <c r="AE350" s="231"/>
      <c r="AF350" s="231"/>
      <c r="AG350" s="231"/>
      <c r="AH350" s="231"/>
      <c r="AI350" s="231"/>
      <c r="AJ350" s="231"/>
      <c r="AK350" s="231"/>
      <c r="AL350" s="231"/>
      <c r="AM350" s="231"/>
      <c r="AN350" s="231"/>
    </row>
    <row r="351" spans="1:40" s="203" customFormat="1">
      <c r="A351" s="198" t="s">
        <v>379</v>
      </c>
      <c r="B351" s="47"/>
      <c r="C351" s="116"/>
      <c r="D351" s="116"/>
      <c r="E351" s="355"/>
      <c r="F351" s="188"/>
      <c r="G351" s="43"/>
      <c r="H351" s="188"/>
      <c r="I351" s="86"/>
      <c r="J351" s="231"/>
      <c r="K351" s="231"/>
      <c r="L351" s="231"/>
      <c r="M351" s="231"/>
      <c r="N351" s="231"/>
      <c r="O351" s="231"/>
      <c r="P351" s="231"/>
      <c r="Q351" s="231"/>
      <c r="R351" s="231"/>
      <c r="S351" s="231"/>
      <c r="T351" s="231"/>
      <c r="U351" s="231"/>
      <c r="V351" s="231"/>
      <c r="W351" s="231"/>
      <c r="X351" s="231"/>
      <c r="Y351" s="231"/>
      <c r="Z351" s="231"/>
      <c r="AA351" s="231"/>
      <c r="AB351" s="231"/>
      <c r="AC351" s="231"/>
      <c r="AD351" s="231"/>
      <c r="AE351" s="231"/>
      <c r="AF351" s="231"/>
      <c r="AG351" s="231"/>
      <c r="AH351" s="231"/>
      <c r="AI351" s="231"/>
      <c r="AJ351" s="231"/>
      <c r="AK351" s="231"/>
      <c r="AL351" s="231"/>
      <c r="AM351" s="231"/>
      <c r="AN351" s="231"/>
    </row>
    <row r="352" spans="1:40" s="203" customFormat="1">
      <c r="A352" s="733"/>
      <c r="B352" s="47"/>
      <c r="C352" s="116"/>
      <c r="D352" s="116"/>
      <c r="E352" s="355"/>
      <c r="F352" s="188"/>
      <c r="G352" s="43"/>
      <c r="H352" s="188"/>
      <c r="I352" s="86"/>
      <c r="J352" s="231"/>
      <c r="K352" s="231"/>
      <c r="L352" s="231"/>
      <c r="M352" s="231"/>
      <c r="N352" s="231"/>
      <c r="O352" s="231"/>
      <c r="P352" s="231"/>
      <c r="Q352" s="231"/>
      <c r="R352" s="231"/>
      <c r="S352" s="231"/>
      <c r="T352" s="231"/>
      <c r="U352" s="231"/>
      <c r="V352" s="231"/>
      <c r="W352" s="231"/>
      <c r="X352" s="231"/>
      <c r="Y352" s="231"/>
      <c r="Z352" s="231"/>
      <c r="AA352" s="231"/>
      <c r="AB352" s="231"/>
      <c r="AC352" s="231"/>
      <c r="AD352" s="231"/>
      <c r="AE352" s="231"/>
      <c r="AF352" s="231"/>
      <c r="AG352" s="231"/>
      <c r="AH352" s="231"/>
      <c r="AI352" s="231"/>
      <c r="AJ352" s="231"/>
      <c r="AK352" s="231"/>
      <c r="AL352" s="231"/>
      <c r="AM352" s="231"/>
      <c r="AN352" s="231"/>
    </row>
    <row r="353" spans="1:40" s="203" customFormat="1">
      <c r="A353" s="733">
        <v>2</v>
      </c>
      <c r="B353" s="47" t="s">
        <v>52</v>
      </c>
      <c r="C353" s="116"/>
      <c r="D353" s="116"/>
      <c r="E353" s="74">
        <v>0</v>
      </c>
      <c r="F353" s="136">
        <f>15+1468</f>
        <v>1483</v>
      </c>
      <c r="G353" s="43"/>
      <c r="H353" s="136">
        <v>2002</v>
      </c>
      <c r="I353" s="86"/>
      <c r="J353" s="231"/>
      <c r="K353" s="231"/>
      <c r="L353" s="231"/>
      <c r="M353" s="231"/>
      <c r="N353" s="231"/>
      <c r="O353" s="231"/>
      <c r="P353" s="231"/>
      <c r="Q353" s="231"/>
      <c r="R353" s="231"/>
      <c r="S353" s="231"/>
      <c r="T353" s="231"/>
      <c r="U353" s="231"/>
      <c r="V353" s="231"/>
      <c r="W353" s="231"/>
      <c r="X353" s="231"/>
      <c r="Y353" s="231"/>
      <c r="Z353" s="231"/>
      <c r="AA353" s="231"/>
      <c r="AB353" s="231"/>
      <c r="AC353" s="231"/>
      <c r="AD353" s="231"/>
      <c r="AE353" s="231"/>
      <c r="AF353" s="231"/>
      <c r="AG353" s="231"/>
      <c r="AH353" s="231"/>
      <c r="AI353" s="231"/>
      <c r="AJ353" s="231"/>
      <c r="AK353" s="231"/>
      <c r="AL353" s="231"/>
      <c r="AM353" s="231"/>
      <c r="AN353" s="231"/>
    </row>
    <row r="354" spans="1:40" s="203" customFormat="1">
      <c r="A354" s="733">
        <v>3</v>
      </c>
      <c r="B354" s="47" t="s">
        <v>53</v>
      </c>
      <c r="C354" s="116"/>
      <c r="D354" s="116"/>
      <c r="E354" s="49">
        <v>0</v>
      </c>
      <c r="F354" s="834">
        <v>0</v>
      </c>
      <c r="G354" s="43"/>
      <c r="H354" s="834">
        <v>0</v>
      </c>
      <c r="I354" s="86"/>
      <c r="J354" s="231"/>
      <c r="K354" s="231"/>
      <c r="L354" s="231"/>
      <c r="M354" s="231"/>
      <c r="N354" s="231"/>
      <c r="O354" s="231"/>
      <c r="P354" s="231"/>
      <c r="Q354" s="231"/>
      <c r="R354" s="231"/>
      <c r="S354" s="231"/>
      <c r="T354" s="231"/>
      <c r="U354" s="231"/>
      <c r="V354" s="231"/>
      <c r="W354" s="231"/>
      <c r="X354" s="231"/>
      <c r="Y354" s="231"/>
      <c r="Z354" s="231"/>
      <c r="AA354" s="231"/>
      <c r="AB354" s="231"/>
      <c r="AC354" s="231"/>
      <c r="AD354" s="231"/>
      <c r="AE354" s="231"/>
      <c r="AF354" s="231"/>
      <c r="AG354" s="231"/>
      <c r="AH354" s="231"/>
      <c r="AI354" s="231"/>
      <c r="AJ354" s="231"/>
      <c r="AK354" s="231"/>
      <c r="AL354" s="231"/>
      <c r="AM354" s="231"/>
      <c r="AN354" s="231"/>
    </row>
    <row r="355" spans="1:40" s="203" customFormat="1">
      <c r="A355" s="733">
        <v>4</v>
      </c>
      <c r="B355" s="47" t="s">
        <v>54</v>
      </c>
      <c r="C355" s="116"/>
      <c r="D355" s="116"/>
      <c r="E355" s="49">
        <v>0</v>
      </c>
      <c r="F355" s="834">
        <v>0</v>
      </c>
      <c r="G355" s="43"/>
      <c r="H355" s="834">
        <v>0</v>
      </c>
      <c r="I355" s="86"/>
      <c r="J355" s="231"/>
      <c r="K355" s="231"/>
      <c r="L355" s="231"/>
      <c r="M355" s="231"/>
      <c r="N355" s="231"/>
      <c r="O355" s="231"/>
      <c r="P355" s="231"/>
      <c r="Q355" s="231"/>
      <c r="R355" s="231"/>
      <c r="S355" s="231"/>
      <c r="T355" s="231"/>
      <c r="U355" s="231"/>
      <c r="V355" s="231"/>
      <c r="W355" s="231"/>
      <c r="X355" s="231"/>
      <c r="Y355" s="231"/>
      <c r="Z355" s="231"/>
      <c r="AA355" s="231"/>
      <c r="AB355" s="231"/>
      <c r="AC355" s="231"/>
      <c r="AD355" s="231"/>
      <c r="AE355" s="231"/>
      <c r="AF355" s="231"/>
      <c r="AG355" s="231"/>
      <c r="AH355" s="231"/>
      <c r="AI355" s="231"/>
      <c r="AJ355" s="231"/>
      <c r="AK355" s="231"/>
      <c r="AL355" s="231"/>
      <c r="AM355" s="231"/>
      <c r="AN355" s="231"/>
    </row>
    <row r="356" spans="1:40" s="203" customFormat="1">
      <c r="A356" s="733">
        <v>5</v>
      </c>
      <c r="B356" s="47" t="s">
        <v>55</v>
      </c>
      <c r="C356" s="116"/>
      <c r="D356" s="116"/>
      <c r="E356" s="49">
        <v>0</v>
      </c>
      <c r="F356" s="834">
        <v>0</v>
      </c>
      <c r="G356" s="43"/>
      <c r="H356" s="834">
        <v>0</v>
      </c>
      <c r="I356" s="86"/>
      <c r="J356" s="231"/>
      <c r="K356" s="231"/>
      <c r="L356" s="231"/>
      <c r="M356" s="231"/>
      <c r="N356" s="231"/>
      <c r="O356" s="231"/>
      <c r="P356" s="231"/>
      <c r="Q356" s="231"/>
      <c r="R356" s="231"/>
      <c r="S356" s="231"/>
      <c r="T356" s="231"/>
      <c r="U356" s="231"/>
      <c r="V356" s="231"/>
      <c r="W356" s="231"/>
      <c r="X356" s="231"/>
      <c r="Y356" s="231"/>
      <c r="Z356" s="231"/>
      <c r="AA356" s="231"/>
      <c r="AB356" s="231"/>
      <c r="AC356" s="231"/>
      <c r="AD356" s="231"/>
      <c r="AE356" s="231"/>
      <c r="AF356" s="231"/>
      <c r="AG356" s="231"/>
      <c r="AH356" s="231"/>
      <c r="AI356" s="231"/>
      <c r="AJ356" s="231"/>
      <c r="AK356" s="231"/>
      <c r="AL356" s="231"/>
      <c r="AM356" s="231"/>
      <c r="AN356" s="231"/>
    </row>
    <row r="357" spans="1:40" s="203" customFormat="1">
      <c r="A357" s="733">
        <v>6</v>
      </c>
      <c r="B357" s="47" t="s">
        <v>56</v>
      </c>
      <c r="C357" s="116"/>
      <c r="D357" s="116"/>
      <c r="E357" s="49">
        <v>0</v>
      </c>
      <c r="F357" s="834">
        <v>0</v>
      </c>
      <c r="G357" s="43"/>
      <c r="H357" s="834">
        <v>0</v>
      </c>
      <c r="I357" s="86"/>
      <c r="J357" s="231"/>
      <c r="K357" s="231"/>
      <c r="L357" s="231"/>
      <c r="M357" s="231"/>
      <c r="N357" s="231"/>
      <c r="O357" s="231"/>
      <c r="P357" s="231"/>
      <c r="Q357" s="231"/>
      <c r="R357" s="231"/>
      <c r="S357" s="231"/>
      <c r="T357" s="231"/>
      <c r="U357" s="231"/>
      <c r="V357" s="231"/>
      <c r="W357" s="231"/>
      <c r="X357" s="231"/>
      <c r="Y357" s="231"/>
      <c r="Z357" s="231"/>
      <c r="AA357" s="231"/>
      <c r="AB357" s="231"/>
      <c r="AC357" s="231"/>
      <c r="AD357" s="231"/>
      <c r="AE357" s="231"/>
      <c r="AF357" s="231"/>
      <c r="AG357" s="231"/>
      <c r="AH357" s="231"/>
      <c r="AI357" s="231"/>
      <c r="AJ357" s="231"/>
      <c r="AK357" s="231"/>
      <c r="AL357" s="231"/>
      <c r="AM357" s="231"/>
      <c r="AN357" s="231"/>
    </row>
    <row r="358" spans="1:40" s="203" customFormat="1">
      <c r="A358" s="733">
        <v>7</v>
      </c>
      <c r="B358" s="47" t="s">
        <v>57</v>
      </c>
      <c r="C358" s="116"/>
      <c r="D358" s="116"/>
      <c r="E358" s="49">
        <v>0</v>
      </c>
      <c r="F358" s="834">
        <v>0</v>
      </c>
      <c r="G358" s="43"/>
      <c r="H358" s="834">
        <v>0</v>
      </c>
      <c r="I358" s="86"/>
      <c r="J358" s="231"/>
      <c r="K358" s="231"/>
      <c r="L358" s="231"/>
      <c r="M358" s="231"/>
      <c r="N358" s="231"/>
      <c r="O358" s="231"/>
      <c r="P358" s="231"/>
      <c r="Q358" s="231"/>
      <c r="R358" s="231"/>
      <c r="S358" s="231"/>
      <c r="T358" s="231"/>
      <c r="U358" s="231"/>
      <c r="V358" s="231"/>
      <c r="W358" s="231"/>
      <c r="X358" s="231"/>
      <c r="Y358" s="231"/>
      <c r="Z358" s="231"/>
      <c r="AA358" s="231"/>
      <c r="AB358" s="231"/>
      <c r="AC358" s="231"/>
      <c r="AD358" s="231"/>
      <c r="AE358" s="231"/>
      <c r="AF358" s="231"/>
      <c r="AG358" s="231"/>
      <c r="AH358" s="231"/>
      <c r="AI358" s="231"/>
      <c r="AJ358" s="231"/>
      <c r="AK358" s="231"/>
      <c r="AL358" s="231"/>
      <c r="AM358" s="231"/>
      <c r="AN358" s="231"/>
    </row>
    <row r="359" spans="1:40" s="203" customFormat="1">
      <c r="A359" s="733">
        <v>8</v>
      </c>
      <c r="B359" s="47" t="s">
        <v>58</v>
      </c>
      <c r="C359" s="116"/>
      <c r="D359" s="116"/>
      <c r="E359" s="49">
        <v>0</v>
      </c>
      <c r="F359" s="265">
        <v>0</v>
      </c>
      <c r="G359" s="43"/>
      <c r="H359" s="834">
        <v>0</v>
      </c>
      <c r="I359" s="86"/>
      <c r="J359" s="231"/>
      <c r="K359" s="231"/>
      <c r="L359" s="231"/>
      <c r="M359" s="231"/>
      <c r="N359" s="231"/>
      <c r="O359" s="231"/>
      <c r="P359" s="231"/>
      <c r="Q359" s="231"/>
      <c r="R359" s="231"/>
      <c r="S359" s="231"/>
      <c r="T359" s="231"/>
      <c r="U359" s="231"/>
      <c r="V359" s="231"/>
      <c r="W359" s="231"/>
      <c r="X359" s="231"/>
      <c r="Y359" s="231"/>
      <c r="Z359" s="231"/>
      <c r="AA359" s="231"/>
      <c r="AB359" s="231"/>
      <c r="AC359" s="231"/>
      <c r="AD359" s="231"/>
      <c r="AE359" s="231"/>
      <c r="AF359" s="231"/>
      <c r="AG359" s="231"/>
      <c r="AH359" s="231"/>
      <c r="AI359" s="231"/>
      <c r="AJ359" s="231"/>
      <c r="AK359" s="231"/>
      <c r="AL359" s="231"/>
      <c r="AM359" s="231"/>
      <c r="AN359" s="231"/>
    </row>
    <row r="360" spans="1:40" s="203" customFormat="1">
      <c r="A360" s="733">
        <v>9</v>
      </c>
      <c r="B360" s="47" t="s">
        <v>59</v>
      </c>
      <c r="C360" s="116"/>
      <c r="D360" s="116"/>
      <c r="E360" s="49">
        <v>0</v>
      </c>
      <c r="F360" s="265">
        <v>0</v>
      </c>
      <c r="G360" s="43"/>
      <c r="H360" s="834">
        <v>0</v>
      </c>
      <c r="I360" s="86"/>
      <c r="J360" s="231"/>
      <c r="K360" s="231"/>
      <c r="L360" s="231"/>
      <c r="M360" s="231"/>
      <c r="N360" s="231"/>
      <c r="O360" s="231"/>
      <c r="P360" s="231"/>
      <c r="Q360" s="231"/>
      <c r="R360" s="231"/>
      <c r="S360" s="231"/>
      <c r="T360" s="231"/>
      <c r="U360" s="231"/>
      <c r="V360" s="231"/>
      <c r="W360" s="231"/>
      <c r="X360" s="231"/>
      <c r="Y360" s="231"/>
      <c r="Z360" s="231"/>
      <c r="AA360" s="231"/>
      <c r="AB360" s="231"/>
      <c r="AC360" s="231"/>
      <c r="AD360" s="231"/>
      <c r="AE360" s="231"/>
      <c r="AF360" s="231"/>
      <c r="AG360" s="231"/>
      <c r="AH360" s="231"/>
      <c r="AI360" s="231"/>
      <c r="AJ360" s="231"/>
      <c r="AK360" s="231"/>
      <c r="AL360" s="231"/>
      <c r="AM360" s="231"/>
      <c r="AN360" s="231"/>
    </row>
    <row r="361" spans="1:40" s="203" customFormat="1">
      <c r="A361" s="733">
        <v>10</v>
      </c>
      <c r="B361" s="47" t="s">
        <v>60</v>
      </c>
      <c r="C361" s="116"/>
      <c r="D361" s="116"/>
      <c r="E361" s="49">
        <v>0</v>
      </c>
      <c r="F361" s="265">
        <v>0</v>
      </c>
      <c r="G361" s="43"/>
      <c r="H361" s="834">
        <v>0</v>
      </c>
      <c r="I361" s="86"/>
      <c r="J361" s="231"/>
      <c r="K361" s="231"/>
      <c r="L361" s="231"/>
      <c r="M361" s="231"/>
      <c r="N361" s="231"/>
      <c r="O361" s="231"/>
      <c r="P361" s="231"/>
      <c r="Q361" s="231"/>
      <c r="R361" s="231"/>
      <c r="S361" s="231"/>
      <c r="T361" s="231"/>
      <c r="U361" s="231"/>
      <c r="V361" s="231"/>
      <c r="W361" s="231"/>
      <c r="X361" s="231"/>
      <c r="Y361" s="231"/>
      <c r="Z361" s="231"/>
      <c r="AA361" s="231"/>
      <c r="AB361" s="231"/>
      <c r="AC361" s="231"/>
      <c r="AD361" s="231"/>
      <c r="AE361" s="231"/>
      <c r="AF361" s="231"/>
      <c r="AG361" s="231"/>
      <c r="AH361" s="231"/>
      <c r="AI361" s="231"/>
      <c r="AJ361" s="231"/>
      <c r="AK361" s="231"/>
      <c r="AL361" s="231"/>
      <c r="AM361" s="231"/>
      <c r="AN361" s="231"/>
    </row>
    <row r="362" spans="1:40" s="203" customFormat="1">
      <c r="A362" s="733">
        <v>11</v>
      </c>
      <c r="B362" s="47" t="s">
        <v>61</v>
      </c>
      <c r="C362" s="116"/>
      <c r="D362" s="116"/>
      <c r="E362" s="49">
        <v>1445</v>
      </c>
      <c r="F362" s="265">
        <v>0</v>
      </c>
      <c r="G362" s="43"/>
      <c r="H362" s="834">
        <v>0</v>
      </c>
      <c r="I362" s="86"/>
      <c r="J362" s="231"/>
      <c r="K362" s="231"/>
      <c r="L362" s="231"/>
      <c r="M362" s="231"/>
      <c r="N362" s="231"/>
      <c r="O362" s="231"/>
      <c r="P362" s="231"/>
      <c r="Q362" s="231"/>
      <c r="R362" s="231"/>
      <c r="S362" s="231"/>
      <c r="T362" s="231"/>
      <c r="U362" s="231"/>
      <c r="V362" s="231"/>
      <c r="W362" s="231"/>
      <c r="X362" s="231"/>
      <c r="Y362" s="231"/>
      <c r="Z362" s="231"/>
      <c r="AA362" s="231"/>
      <c r="AB362" s="231"/>
      <c r="AC362" s="231"/>
      <c r="AD362" s="231"/>
      <c r="AE362" s="231"/>
      <c r="AF362" s="231"/>
      <c r="AG362" s="231"/>
      <c r="AH362" s="231"/>
      <c r="AI362" s="231"/>
      <c r="AJ362" s="231"/>
      <c r="AK362" s="231"/>
      <c r="AL362" s="231"/>
      <c r="AM362" s="231"/>
      <c r="AN362" s="231"/>
    </row>
    <row r="363" spans="1:40" s="203" customFormat="1">
      <c r="A363" s="734">
        <v>12</v>
      </c>
      <c r="B363" s="54" t="s">
        <v>380</v>
      </c>
      <c r="C363" s="94"/>
      <c r="D363" s="94"/>
      <c r="E363" s="135">
        <v>1445</v>
      </c>
      <c r="F363" s="61">
        <f>SUM(F353:F362)</f>
        <v>1483</v>
      </c>
      <c r="G363" s="43"/>
      <c r="H363" s="61">
        <f>SUM(H353:H362)</f>
        <v>2002</v>
      </c>
      <c r="I363" s="86"/>
      <c r="J363" s="231"/>
      <c r="K363" s="231"/>
      <c r="L363" s="231"/>
      <c r="M363" s="231"/>
      <c r="N363" s="231"/>
      <c r="O363" s="231"/>
      <c r="P363" s="231"/>
      <c r="Q363" s="231"/>
      <c r="R363" s="231"/>
      <c r="S363" s="231"/>
      <c r="T363" s="231"/>
      <c r="U363" s="231"/>
      <c r="V363" s="231"/>
      <c r="W363" s="231"/>
      <c r="X363" s="231"/>
      <c r="Y363" s="231"/>
      <c r="Z363" s="231"/>
      <c r="AA363" s="231"/>
      <c r="AB363" s="231"/>
      <c r="AC363" s="231"/>
      <c r="AD363" s="231"/>
      <c r="AE363" s="231"/>
      <c r="AF363" s="231"/>
      <c r="AG363" s="231"/>
      <c r="AH363" s="231"/>
      <c r="AI363" s="231"/>
      <c r="AJ363" s="231"/>
      <c r="AK363" s="231"/>
      <c r="AL363" s="231"/>
      <c r="AM363" s="231"/>
      <c r="AN363" s="231"/>
    </row>
    <row r="364" spans="1:40" s="203" customFormat="1">
      <c r="A364" s="199"/>
      <c r="B364" s="15"/>
      <c r="C364" s="15"/>
      <c r="D364" s="15"/>
      <c r="E364" s="15"/>
      <c r="F364" s="15"/>
      <c r="G364" s="15"/>
      <c r="H364" s="15"/>
      <c r="I364" s="86"/>
      <c r="J364" s="231"/>
      <c r="K364" s="231"/>
      <c r="L364" s="231"/>
      <c r="M364" s="231"/>
      <c r="N364" s="231"/>
      <c r="O364" s="231"/>
      <c r="P364" s="231"/>
      <c r="Q364" s="231"/>
      <c r="R364" s="231"/>
      <c r="S364" s="231"/>
      <c r="T364" s="231"/>
      <c r="U364" s="231"/>
      <c r="V364" s="231"/>
      <c r="W364" s="231"/>
      <c r="X364" s="231"/>
      <c r="Y364" s="231"/>
      <c r="Z364" s="231"/>
      <c r="AA364" s="231"/>
      <c r="AB364" s="231"/>
      <c r="AC364" s="231"/>
      <c r="AD364" s="231"/>
      <c r="AE364" s="231"/>
      <c r="AF364" s="231"/>
      <c r="AG364" s="231"/>
      <c r="AH364" s="231"/>
      <c r="AI364" s="231"/>
      <c r="AJ364" s="231"/>
      <c r="AK364" s="231"/>
      <c r="AL364" s="231"/>
      <c r="AM364" s="231"/>
      <c r="AN364" s="231"/>
    </row>
    <row r="365" spans="1:40" s="203" customFormat="1">
      <c r="A365" s="199"/>
      <c r="B365" s="15"/>
      <c r="C365" s="15"/>
      <c r="D365" s="15"/>
      <c r="E365" s="15"/>
      <c r="F365" s="15"/>
      <c r="G365" s="15"/>
      <c r="H365" s="86"/>
      <c r="I365" s="86"/>
      <c r="J365" s="231"/>
      <c r="K365" s="231"/>
      <c r="L365" s="231"/>
      <c r="M365" s="231"/>
      <c r="N365" s="231"/>
      <c r="O365" s="231"/>
      <c r="P365" s="231"/>
      <c r="Q365" s="231"/>
      <c r="R365" s="231"/>
      <c r="S365" s="231"/>
      <c r="T365" s="231"/>
      <c r="U365" s="231"/>
      <c r="V365" s="231"/>
      <c r="W365" s="231"/>
      <c r="X365" s="231"/>
      <c r="Y365" s="231"/>
      <c r="Z365" s="231"/>
      <c r="AA365" s="231"/>
      <c r="AB365" s="231"/>
      <c r="AC365" s="231"/>
      <c r="AD365" s="231"/>
      <c r="AE365" s="231"/>
      <c r="AF365" s="231"/>
      <c r="AG365" s="231"/>
      <c r="AH365" s="231"/>
      <c r="AI365" s="231"/>
      <c r="AJ365" s="231"/>
      <c r="AK365" s="231"/>
      <c r="AL365" s="231"/>
      <c r="AM365" s="231"/>
      <c r="AN365" s="231"/>
    </row>
    <row r="366" spans="1:40" s="203" customFormat="1">
      <c r="A366" s="199"/>
      <c r="B366" s="15"/>
      <c r="C366" s="15"/>
      <c r="D366" s="15"/>
      <c r="E366" s="15"/>
      <c r="F366" s="15"/>
      <c r="G366" s="15"/>
      <c r="H366" s="86"/>
      <c r="I366" s="86"/>
      <c r="J366" s="231"/>
      <c r="K366" s="231"/>
      <c r="L366" s="231"/>
      <c r="M366" s="231"/>
      <c r="N366" s="231"/>
      <c r="O366" s="231"/>
      <c r="P366" s="231"/>
      <c r="Q366" s="231"/>
      <c r="R366" s="231"/>
      <c r="S366" s="231"/>
      <c r="T366" s="231"/>
      <c r="U366" s="231"/>
      <c r="V366" s="231"/>
      <c r="W366" s="231"/>
      <c r="X366" s="231"/>
      <c r="Y366" s="231"/>
      <c r="Z366" s="231"/>
      <c r="AA366" s="231"/>
      <c r="AB366" s="231"/>
      <c r="AC366" s="231"/>
      <c r="AD366" s="231"/>
      <c r="AE366" s="231"/>
      <c r="AF366" s="231"/>
      <c r="AG366" s="231"/>
      <c r="AH366" s="231"/>
      <c r="AI366" s="231"/>
      <c r="AJ366" s="231"/>
      <c r="AK366" s="231"/>
      <c r="AL366" s="231"/>
      <c r="AM366" s="231"/>
      <c r="AN366" s="231"/>
    </row>
    <row r="367" spans="1:40" s="8" customFormat="1"/>
    <row r="368" spans="1:40" s="8" customFormat="1"/>
    <row r="369" s="8" customFormat="1"/>
    <row r="370" s="8" customFormat="1"/>
    <row r="371" s="8" customFormat="1"/>
    <row r="372" s="8" customFormat="1"/>
    <row r="373" s="8" customFormat="1"/>
    <row r="374" s="8" customFormat="1"/>
    <row r="375" s="8" customFormat="1"/>
    <row r="376" s="8" customFormat="1"/>
    <row r="377" s="8" customFormat="1"/>
    <row r="378" s="8" customFormat="1"/>
    <row r="379" s="8" customFormat="1"/>
    <row r="380" s="8" customFormat="1"/>
    <row r="381" s="8" customFormat="1"/>
    <row r="382" s="8" customFormat="1"/>
    <row r="383" s="8" customFormat="1"/>
    <row r="384" s="8" customFormat="1"/>
    <row r="385" spans="1:9" s="8" customFormat="1"/>
    <row r="386" spans="1:9" s="8" customFormat="1"/>
    <row r="387" spans="1:9" s="8" customFormat="1"/>
    <row r="388" spans="1:9" s="8" customFormat="1"/>
    <row r="389" spans="1:9" s="8" customFormat="1"/>
    <row r="390" spans="1:9" s="8" customFormat="1"/>
    <row r="391" spans="1:9" s="8" customFormat="1"/>
    <row r="392" spans="1:9" s="8" customFormat="1"/>
    <row r="393" spans="1:9" s="8" customFormat="1"/>
    <row r="394" spans="1:9" s="8" customFormat="1"/>
    <row r="395" spans="1:9" s="8" customFormat="1"/>
    <row r="396" spans="1:9" s="8" customFormat="1"/>
    <row r="397" spans="1:9" s="8" customFormat="1"/>
    <row r="398" spans="1:9" s="8" customFormat="1"/>
    <row r="399" spans="1:9">
      <c r="A399" s="8"/>
      <c r="B399" s="8"/>
      <c r="C399" s="8"/>
      <c r="D399" s="8"/>
      <c r="E399" s="8"/>
      <c r="F399" s="8"/>
      <c r="G399" s="8"/>
      <c r="H399" s="8"/>
      <c r="I399" s="8"/>
    </row>
    <row r="400" spans="1:9">
      <c r="A400" s="8"/>
      <c r="B400" s="8"/>
      <c r="C400" s="8"/>
      <c r="D400" s="8"/>
      <c r="E400" s="8"/>
      <c r="F400" s="8"/>
      <c r="G400" s="8"/>
      <c r="H400" s="8"/>
      <c r="I400" s="8"/>
    </row>
    <row r="401" spans="1:9">
      <c r="A401" s="8"/>
      <c r="B401" s="8"/>
      <c r="C401" s="8"/>
      <c r="D401" s="8"/>
      <c r="E401" s="8"/>
      <c r="F401" s="8"/>
      <c r="G401" s="8"/>
      <c r="H401" s="8"/>
      <c r="I401" s="8"/>
    </row>
    <row r="402" spans="1:9">
      <c r="A402" s="8"/>
      <c r="B402" s="8"/>
      <c r="C402" s="8"/>
      <c r="D402" s="8"/>
      <c r="E402" s="8"/>
      <c r="F402" s="8"/>
      <c r="G402" s="8"/>
      <c r="H402" s="8"/>
      <c r="I402" s="8"/>
    </row>
    <row r="403" spans="1:9">
      <c r="A403" s="8"/>
      <c r="B403" s="8"/>
      <c r="C403" s="8"/>
      <c r="D403" s="8"/>
      <c r="E403" s="8"/>
      <c r="F403" s="8"/>
      <c r="G403" s="8"/>
      <c r="H403" s="8"/>
      <c r="I403" s="8"/>
    </row>
    <row r="404" spans="1:9">
      <c r="A404" s="8"/>
      <c r="B404" s="8"/>
      <c r="C404" s="8"/>
      <c r="D404" s="8"/>
      <c r="E404" s="8"/>
      <c r="F404" s="8"/>
      <c r="G404" s="8"/>
      <c r="H404" s="8"/>
      <c r="I404" s="8"/>
    </row>
    <row r="405" spans="1:9">
      <c r="A405" s="8"/>
      <c r="B405" s="8"/>
      <c r="C405" s="8"/>
      <c r="D405" s="8"/>
      <c r="E405" s="8"/>
      <c r="F405" s="8"/>
      <c r="G405" s="8"/>
      <c r="H405" s="8"/>
      <c r="I405" s="8"/>
    </row>
    <row r="406" spans="1:9">
      <c r="A406" s="8"/>
      <c r="B406" s="8"/>
      <c r="C406" s="8"/>
      <c r="D406" s="8"/>
      <c r="E406" s="8"/>
      <c r="F406" s="8"/>
      <c r="G406" s="8"/>
      <c r="H406" s="8"/>
      <c r="I406" s="8"/>
    </row>
    <row r="407" spans="1:9">
      <c r="A407" s="8"/>
      <c r="B407" s="8"/>
      <c r="C407" s="8"/>
      <c r="D407" s="8"/>
      <c r="E407" s="8"/>
      <c r="F407" s="8"/>
      <c r="G407" s="8"/>
      <c r="H407" s="8"/>
      <c r="I407" s="8"/>
    </row>
    <row r="408" spans="1:9">
      <c r="A408" s="8"/>
      <c r="B408" s="8"/>
      <c r="C408" s="8"/>
      <c r="D408" s="8"/>
      <c r="E408" s="8"/>
      <c r="F408" s="8"/>
      <c r="G408" s="8"/>
      <c r="H408" s="8"/>
      <c r="I408" s="8"/>
    </row>
    <row r="409" spans="1:9">
      <c r="A409" s="8"/>
      <c r="B409" s="8"/>
      <c r="C409" s="8"/>
      <c r="D409" s="8"/>
      <c r="E409" s="8"/>
      <c r="F409" s="8"/>
      <c r="G409" s="8"/>
      <c r="H409" s="8"/>
      <c r="I409" s="8"/>
    </row>
    <row r="410" spans="1:9">
      <c r="A410" s="8"/>
      <c r="B410" s="8"/>
      <c r="C410" s="8"/>
      <c r="D410" s="8"/>
      <c r="E410" s="8"/>
      <c r="F410" s="8"/>
      <c r="G410" s="8"/>
      <c r="H410" s="8"/>
      <c r="I410" s="8"/>
    </row>
    <row r="411" spans="1:9">
      <c r="A411" s="8"/>
      <c r="B411" s="8"/>
      <c r="C411" s="8"/>
      <c r="D411" s="8"/>
      <c r="E411" s="8"/>
      <c r="F411" s="8"/>
      <c r="G411" s="8"/>
      <c r="H411" s="8"/>
      <c r="I411" s="8"/>
    </row>
    <row r="412" spans="1:9">
      <c r="A412" s="8"/>
      <c r="B412" s="8"/>
      <c r="C412" s="8"/>
      <c r="D412" s="8"/>
      <c r="E412" s="8"/>
      <c r="F412" s="8"/>
      <c r="G412" s="8"/>
      <c r="H412" s="8"/>
      <c r="I412" s="8"/>
    </row>
    <row r="413" spans="1:9">
      <c r="A413" s="8"/>
      <c r="B413" s="8"/>
      <c r="C413" s="8"/>
      <c r="D413" s="8"/>
      <c r="E413" s="8"/>
      <c r="F413" s="8"/>
      <c r="G413" s="8"/>
      <c r="H413" s="8"/>
      <c r="I413" s="8"/>
    </row>
  </sheetData>
  <mergeCells count="59">
    <mergeCell ref="F341:F345"/>
    <mergeCell ref="H341:H345"/>
    <mergeCell ref="E261:E265"/>
    <mergeCell ref="F261:F265"/>
    <mergeCell ref="H261:H265"/>
    <mergeCell ref="E280:E284"/>
    <mergeCell ref="F280:F284"/>
    <mergeCell ref="H280:H284"/>
    <mergeCell ref="E305:E309"/>
    <mergeCell ref="F305:F309"/>
    <mergeCell ref="H305:H309"/>
    <mergeCell ref="C323:H323"/>
    <mergeCell ref="C330:H330"/>
    <mergeCell ref="E341:E345"/>
    <mergeCell ref="E221:E225"/>
    <mergeCell ref="F221:F225"/>
    <mergeCell ref="H221:H225"/>
    <mergeCell ref="E234:E238"/>
    <mergeCell ref="F234:F238"/>
    <mergeCell ref="H234:H238"/>
    <mergeCell ref="G66:G70"/>
    <mergeCell ref="H66:H70"/>
    <mergeCell ref="F91:F95"/>
    <mergeCell ref="H91:H95"/>
    <mergeCell ref="E193:E197"/>
    <mergeCell ref="F193:F197"/>
    <mergeCell ref="H193:H197"/>
    <mergeCell ref="E153:E157"/>
    <mergeCell ref="F153:F157"/>
    <mergeCell ref="H153:H157"/>
    <mergeCell ref="E91:E95"/>
    <mergeCell ref="I66:I70"/>
    <mergeCell ref="A23:D24"/>
    <mergeCell ref="E23:E24"/>
    <mergeCell ref="F23:F24"/>
    <mergeCell ref="H23:H24"/>
    <mergeCell ref="A25:A27"/>
    <mergeCell ref="B25:D27"/>
    <mergeCell ref="E25:E27"/>
    <mergeCell ref="F25:F27"/>
    <mergeCell ref="H25:H27"/>
    <mergeCell ref="A40:D41"/>
    <mergeCell ref="E40:E41"/>
    <mergeCell ref="F40:F41"/>
    <mergeCell ref="H40:H41"/>
    <mergeCell ref="E66:E70"/>
    <mergeCell ref="F66:F70"/>
    <mergeCell ref="C19:F19"/>
    <mergeCell ref="B3:B4"/>
    <mergeCell ref="C3:D4"/>
    <mergeCell ref="A5:B5"/>
    <mergeCell ref="D6:H6"/>
    <mergeCell ref="A9:I9"/>
    <mergeCell ref="D10:F10"/>
    <mergeCell ref="C14:F14"/>
    <mergeCell ref="C15:F15"/>
    <mergeCell ref="C16:F16"/>
    <mergeCell ref="C17:F17"/>
    <mergeCell ref="C18:F18"/>
  </mergeCells>
  <phoneticPr fontId="10" type="noConversion"/>
  <conditionalFormatting sqref="F71:F76 F286:F301 F311:F318 F80:F88 F96:F97 F103:F104 F106 F110:F114 F118:F124 F128:F134 F138:F142 F146:F149 F159:F162 F166:F168 F171:F172 F175:F177 F183:F190 F199:F200 F204:F206 F210:F213 F217:F218 F226:F230 F240:F241 F245:F246 F250:F253 F256 F267:F276 H250">
    <cfRule type="expression" dxfId="52" priority="257" stopIfTrue="1">
      <formula>ISBLANK(F71)</formula>
    </cfRule>
    <cfRule type="expression" dxfId="51" priority="258" stopIfTrue="1">
      <formula>IF(AND(OR(F71-E71&gt;500,F71-E71&lt;-500),OR(#REF!&gt;0.1,#REF!&lt;-0.1)),TRUE,FALSE)</formula>
    </cfRule>
  </conditionalFormatting>
  <dataValidations count="1">
    <dataValidation type="list" errorStyle="information" allowBlank="1" showInputMessage="1" showErrorMessage="1" errorTitle="POBE 2006" error="Please select from the drop-down menu..." prompt="Please select your Authority from the drop-down menu..." sqref="C3:D4">
      <formula1>#REF!</formula1>
    </dataValidation>
  </dataValidations>
  <hyperlinks>
    <hyperlink ref="F7" r:id="rId1" display="lgfstats@scotland.gsi.gov.uk"/>
    <hyperlink ref="D6" r:id="rId2"/>
    <hyperlink ref="D10" r:id="rId3" display="^lgfstats@gov.scot"/>
    <hyperlink ref="B14" location="'POBE 2017'!A28" display="PART 1 - Expenditure"/>
    <hyperlink ref="C19:F19" location="'POBE 2017'!A323" display="Sheet 10. - PUBLIC PRIVATE PARTNERSHIPS/PRIVATE FINANCE INITIATIVES"/>
    <hyperlink ref="B15" location="'POBE 2017'!A40" display="PART 2 - Income and Balances"/>
    <hyperlink ref="B16" location="'POBE 2017'!A66" display="Sheet 1. EDUCATION"/>
    <hyperlink ref="B17" location="'POBE 2017'!A91" display="Sheet 2. SOCIAL WORK"/>
    <hyperlink ref="B18" location="'POBE 2017'!A153" display="Sheet 3. ROADS AND TRANSPORT"/>
    <hyperlink ref="B19" location="'POBE 2017'!A193" display="Sheet 4. ENVIRONMENTAL SERVICES"/>
    <hyperlink ref="C14:F14" location="'POBE 2017'!A221" display="Sheet 5. PLANNING AND DEVELOPMENT SERVICES"/>
    <hyperlink ref="C15:F15" location="'POBE 2017'!A234" display="Sheet 6. CULTURAL AND RELATED SERVICES"/>
    <hyperlink ref="C16:F16" location="'POBE 2017'!A261" display="Sheet 7. HOUSING"/>
    <hyperlink ref="C17:F17" location="'POBE 2017'!A280" display="Sheet 8. CENTRAL SERVICES"/>
    <hyperlink ref="C18:F18" location="'POBE 2017'!A305" display="Sheet 9. OTHER EXPENDITURE"/>
  </hyperlinks>
  <pageMargins left="0.75" right="0.75" top="1" bottom="1" header="0.5" footer="0.5"/>
  <pageSetup paperSize="9" orientation="portrait" r:id="rId4"/>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AN408"/>
  <sheetViews>
    <sheetView topLeftCell="A187" zoomScale="80" zoomScaleNormal="80" workbookViewId="0">
      <selection activeCell="G355" sqref="G355"/>
    </sheetView>
  </sheetViews>
  <sheetFormatPr defaultColWidth="9.140625" defaultRowHeight="12.75"/>
  <cols>
    <col min="1" max="1" width="10.5703125" style="1" customWidth="1"/>
    <col min="2" max="2" width="43" style="1" customWidth="1"/>
    <col min="3" max="3" width="24.5703125" style="1" customWidth="1"/>
    <col min="4" max="4" width="14.7109375" style="1" customWidth="1"/>
    <col min="5" max="5" width="21.5703125" style="1" customWidth="1"/>
    <col min="6" max="6" width="19.140625" style="1" customWidth="1"/>
    <col min="7" max="7" width="17.42578125" style="1" customWidth="1"/>
    <col min="8" max="8" width="19.28515625" style="1" customWidth="1"/>
    <col min="9" max="9" width="17.85546875" style="1" customWidth="1"/>
    <col min="10" max="22" width="9.140625" style="8" customWidth="1"/>
    <col min="23" max="33" width="9.140625" style="8"/>
    <col min="34" max="34" width="0" style="8" hidden="1" customWidth="1"/>
    <col min="35" max="40" width="9.140625" style="8"/>
    <col min="41" max="16384" width="9.140625" style="1"/>
  </cols>
  <sheetData>
    <row r="1" spans="1:40" s="203" customFormat="1" ht="51" customHeight="1">
      <c r="A1" s="3" t="s">
        <v>410</v>
      </c>
      <c r="B1" s="4"/>
      <c r="C1" s="224"/>
      <c r="D1" s="224"/>
      <c r="E1" s="224"/>
      <c r="F1" s="224"/>
      <c r="G1" s="225"/>
      <c r="H1" s="226"/>
      <c r="I1" s="227"/>
      <c r="J1" s="231"/>
      <c r="K1" s="231"/>
      <c r="L1" s="231"/>
      <c r="M1" s="231"/>
      <c r="N1" s="231"/>
      <c r="O1" s="231"/>
      <c r="P1" s="231"/>
      <c r="Q1" s="231"/>
      <c r="R1" s="231"/>
      <c r="S1" s="231"/>
      <c r="T1" s="231"/>
      <c r="U1" s="231"/>
      <c r="V1" s="231"/>
      <c r="W1" s="231"/>
      <c r="X1" s="231"/>
      <c r="Y1" s="231"/>
      <c r="Z1" s="231"/>
      <c r="AA1" s="231"/>
      <c r="AB1" s="231"/>
      <c r="AC1" s="231"/>
      <c r="AD1" s="231"/>
      <c r="AE1" s="231"/>
      <c r="AF1" s="231"/>
      <c r="AG1" s="231"/>
      <c r="AH1" s="231"/>
      <c r="AI1" s="231"/>
      <c r="AJ1" s="231"/>
      <c r="AK1" s="231"/>
      <c r="AL1" s="231"/>
      <c r="AM1" s="231"/>
      <c r="AN1" s="231"/>
    </row>
    <row r="2" spans="1:40" s="203" customFormat="1" ht="35.25">
      <c r="A2" s="9"/>
      <c r="B2" s="10"/>
      <c r="C2" s="232"/>
      <c r="D2" s="232"/>
      <c r="E2" s="232"/>
      <c r="F2" s="11"/>
      <c r="G2" s="11"/>
      <c r="H2" s="11"/>
      <c r="I2" s="11"/>
      <c r="J2" s="231"/>
      <c r="K2" s="231"/>
      <c r="L2" s="231"/>
      <c r="M2" s="231"/>
      <c r="N2" s="231"/>
      <c r="O2" s="231"/>
      <c r="P2" s="231"/>
      <c r="Q2" s="231"/>
      <c r="R2" s="231"/>
      <c r="S2" s="231"/>
      <c r="T2" s="231"/>
      <c r="U2" s="231"/>
      <c r="V2" s="231"/>
      <c r="W2" s="231"/>
      <c r="X2" s="231"/>
      <c r="Y2" s="231"/>
      <c r="Z2" s="231"/>
      <c r="AA2" s="231"/>
      <c r="AB2" s="231"/>
      <c r="AC2" s="231"/>
      <c r="AD2" s="231"/>
      <c r="AE2" s="231"/>
      <c r="AF2" s="231"/>
      <c r="AG2" s="231"/>
      <c r="AH2" s="231"/>
      <c r="AI2" s="231"/>
      <c r="AJ2" s="231"/>
      <c r="AK2" s="231"/>
      <c r="AL2" s="231"/>
      <c r="AM2" s="231"/>
      <c r="AN2" s="231"/>
    </row>
    <row r="3" spans="1:40" s="203" customFormat="1" ht="15">
      <c r="A3" s="12"/>
      <c r="B3" s="882" t="s">
        <v>0</v>
      </c>
      <c r="C3" s="884" t="s">
        <v>13</v>
      </c>
      <c r="D3" s="885"/>
      <c r="E3" s="13"/>
      <c r="F3" s="14"/>
      <c r="G3" s="14"/>
      <c r="H3" s="15"/>
      <c r="I3" s="14"/>
      <c r="J3" s="231"/>
      <c r="K3" s="231"/>
      <c r="L3" s="231"/>
      <c r="M3" s="231"/>
      <c r="N3" s="231"/>
      <c r="O3" s="231"/>
      <c r="P3" s="231"/>
      <c r="Q3" s="231"/>
      <c r="R3" s="231"/>
      <c r="S3" s="231"/>
      <c r="T3" s="231"/>
      <c r="U3" s="231"/>
      <c r="V3" s="231"/>
      <c r="W3" s="231"/>
      <c r="X3" s="231"/>
      <c r="Y3" s="231"/>
      <c r="Z3" s="231"/>
      <c r="AA3" s="231"/>
      <c r="AB3" s="231"/>
      <c r="AC3" s="231"/>
      <c r="AD3" s="231"/>
      <c r="AE3" s="231"/>
      <c r="AF3" s="231"/>
      <c r="AG3" s="231"/>
      <c r="AH3" s="231"/>
      <c r="AI3" s="231"/>
      <c r="AJ3" s="231"/>
      <c r="AK3" s="231"/>
      <c r="AL3" s="231"/>
      <c r="AM3" s="231"/>
      <c r="AN3" s="231"/>
    </row>
    <row r="4" spans="1:40" s="203" customFormat="1" ht="15">
      <c r="A4" s="17"/>
      <c r="B4" s="883"/>
      <c r="C4" s="886"/>
      <c r="D4" s="887"/>
      <c r="E4" s="13"/>
      <c r="F4" s="14"/>
      <c r="G4" s="14"/>
      <c r="H4" s="15"/>
      <c r="I4" s="14"/>
      <c r="J4" s="231"/>
      <c r="K4" s="231"/>
      <c r="L4" s="231"/>
      <c r="M4" s="231"/>
      <c r="N4" s="231"/>
      <c r="O4" s="231"/>
      <c r="P4" s="231"/>
      <c r="Q4" s="231"/>
      <c r="R4" s="231"/>
      <c r="S4" s="231"/>
      <c r="T4" s="231"/>
      <c r="U4" s="231"/>
      <c r="V4" s="231"/>
      <c r="W4" s="231"/>
      <c r="X4" s="231"/>
      <c r="Y4" s="231"/>
      <c r="Z4" s="231"/>
      <c r="AA4" s="231"/>
      <c r="AB4" s="231"/>
      <c r="AC4" s="231"/>
      <c r="AD4" s="231"/>
      <c r="AE4" s="231"/>
      <c r="AF4" s="231"/>
      <c r="AG4" s="231"/>
      <c r="AH4" s="231"/>
      <c r="AI4" s="231"/>
      <c r="AJ4" s="231"/>
      <c r="AK4" s="231"/>
      <c r="AL4" s="231"/>
      <c r="AM4" s="231"/>
      <c r="AN4" s="231"/>
    </row>
    <row r="5" spans="1:40" s="203" customFormat="1" ht="15">
      <c r="A5" s="888"/>
      <c r="B5" s="889"/>
      <c r="C5" s="18"/>
      <c r="D5" s="206"/>
      <c r="E5" s="206"/>
      <c r="F5" s="14"/>
      <c r="G5" s="14"/>
      <c r="H5" s="14"/>
      <c r="I5" s="234"/>
      <c r="J5" s="231"/>
      <c r="K5" s="231"/>
      <c r="L5" s="231"/>
      <c r="M5" s="231"/>
      <c r="N5" s="231"/>
      <c r="O5" s="231"/>
      <c r="P5" s="231"/>
      <c r="Q5" s="231"/>
      <c r="R5" s="231"/>
      <c r="S5" s="231"/>
      <c r="T5" s="231"/>
      <c r="U5" s="231"/>
      <c r="V5" s="231"/>
      <c r="W5" s="231"/>
      <c r="X5" s="231"/>
      <c r="Y5" s="231"/>
      <c r="Z5" s="231"/>
      <c r="AA5" s="231"/>
      <c r="AB5" s="231"/>
      <c r="AC5" s="231"/>
      <c r="AD5" s="231"/>
      <c r="AE5" s="231"/>
      <c r="AF5" s="231"/>
      <c r="AG5" s="231"/>
      <c r="AH5" s="231"/>
      <c r="AI5" s="231"/>
      <c r="AJ5" s="231"/>
      <c r="AK5" s="231"/>
      <c r="AL5" s="231"/>
      <c r="AM5" s="231"/>
      <c r="AN5" s="231"/>
    </row>
    <row r="6" spans="1:40" s="203" customFormat="1" ht="23.25" customHeight="1">
      <c r="A6" s="19" t="s">
        <v>1</v>
      </c>
      <c r="B6" s="207"/>
      <c r="C6" s="20"/>
      <c r="D6" s="890" t="s">
        <v>249</v>
      </c>
      <c r="E6" s="890"/>
      <c r="F6" s="890"/>
      <c r="G6" s="890"/>
      <c r="H6" s="890"/>
      <c r="I6" s="29"/>
      <c r="J6" s="231"/>
      <c r="K6" s="231"/>
      <c r="L6" s="231"/>
      <c r="M6" s="231"/>
      <c r="N6" s="231"/>
      <c r="O6" s="231"/>
      <c r="P6" s="231"/>
      <c r="Q6" s="231"/>
      <c r="R6" s="231"/>
      <c r="S6" s="231"/>
      <c r="T6" s="231"/>
      <c r="U6" s="231"/>
      <c r="V6" s="231"/>
      <c r="W6" s="231"/>
      <c r="X6" s="231"/>
      <c r="Y6" s="231"/>
      <c r="Z6" s="231"/>
      <c r="AA6" s="231"/>
      <c r="AB6" s="231"/>
      <c r="AC6" s="231"/>
      <c r="AD6" s="231"/>
      <c r="AE6" s="231"/>
      <c r="AF6" s="231"/>
      <c r="AG6" s="231"/>
      <c r="AH6" s="231"/>
      <c r="AI6" s="231"/>
      <c r="AJ6" s="231"/>
      <c r="AK6" s="231"/>
      <c r="AL6" s="231"/>
      <c r="AM6" s="231"/>
      <c r="AN6" s="231"/>
    </row>
    <row r="7" spans="1:40" s="203" customFormat="1" ht="18.75" customHeight="1">
      <c r="A7" s="19" t="s">
        <v>419</v>
      </c>
      <c r="B7" s="207"/>
      <c r="C7" s="207"/>
      <c r="D7" s="207"/>
      <c r="E7" s="207"/>
      <c r="F7" s="362" t="s">
        <v>250</v>
      </c>
      <c r="G7" s="1"/>
      <c r="H7" s="21"/>
      <c r="I7" s="29"/>
      <c r="J7" s="231"/>
      <c r="K7" s="231"/>
      <c r="L7" s="231"/>
      <c r="M7" s="231"/>
      <c r="N7" s="231"/>
      <c r="O7" s="231"/>
      <c r="P7" s="231"/>
      <c r="Q7" s="231"/>
      <c r="R7" s="231"/>
      <c r="S7" s="231"/>
      <c r="T7" s="231"/>
      <c r="U7" s="231"/>
      <c r="V7" s="231"/>
      <c r="W7" s="231"/>
      <c r="X7" s="231"/>
      <c r="Y7" s="231"/>
      <c r="Z7" s="231"/>
      <c r="AA7" s="231"/>
      <c r="AB7" s="231"/>
      <c r="AC7" s="231"/>
      <c r="AD7" s="231"/>
      <c r="AE7" s="231"/>
      <c r="AF7" s="231"/>
      <c r="AG7" s="231"/>
      <c r="AH7" s="231"/>
      <c r="AI7" s="231"/>
      <c r="AJ7" s="231"/>
      <c r="AK7" s="231"/>
      <c r="AL7" s="231"/>
      <c r="AM7" s="231"/>
      <c r="AN7" s="231"/>
    </row>
    <row r="8" spans="1:40" s="203" customFormat="1" ht="24" customHeight="1">
      <c r="A8" s="22" t="s">
        <v>408</v>
      </c>
      <c r="B8" s="207"/>
      <c r="C8" s="207"/>
      <c r="D8" s="207"/>
      <c r="E8" s="207"/>
      <c r="F8" s="207"/>
      <c r="G8" s="659"/>
      <c r="H8" s="21"/>
      <c r="I8" s="29"/>
      <c r="J8" s="231"/>
      <c r="K8" s="231"/>
      <c r="L8" s="231"/>
      <c r="M8" s="231"/>
      <c r="N8" s="231"/>
      <c r="O8" s="231"/>
      <c r="P8" s="231"/>
      <c r="Q8" s="231"/>
      <c r="R8" s="231"/>
      <c r="S8" s="231"/>
      <c r="T8" s="231"/>
      <c r="U8" s="231"/>
      <c r="V8" s="231"/>
      <c r="W8" s="231"/>
      <c r="X8" s="231"/>
      <c r="Y8" s="231"/>
      <c r="Z8" s="231"/>
      <c r="AA8" s="231"/>
      <c r="AB8" s="231"/>
      <c r="AC8" s="231"/>
      <c r="AD8" s="231"/>
      <c r="AE8" s="231"/>
      <c r="AF8" s="231"/>
      <c r="AG8" s="231"/>
      <c r="AH8" s="231"/>
      <c r="AI8" s="231"/>
      <c r="AJ8" s="231"/>
      <c r="AK8" s="231"/>
      <c r="AL8" s="231"/>
      <c r="AM8" s="231"/>
      <c r="AN8" s="231"/>
    </row>
    <row r="9" spans="1:40" s="203" customFormat="1" ht="30.75" customHeight="1">
      <c r="A9" s="891" t="s">
        <v>420</v>
      </c>
      <c r="B9" s="892"/>
      <c r="C9" s="892"/>
      <c r="D9" s="892"/>
      <c r="E9" s="892"/>
      <c r="F9" s="892"/>
      <c r="G9" s="892"/>
      <c r="H9" s="892"/>
      <c r="I9" s="892"/>
      <c r="J9" s="231"/>
      <c r="K9" s="231"/>
      <c r="L9" s="231"/>
      <c r="M9" s="231"/>
      <c r="N9" s="231"/>
      <c r="O9" s="231"/>
      <c r="P9" s="231"/>
      <c r="Q9" s="231"/>
      <c r="R9" s="231"/>
      <c r="S9" s="231"/>
      <c r="T9" s="231"/>
      <c r="U9" s="231"/>
      <c r="V9" s="231"/>
      <c r="W9" s="231"/>
      <c r="X9" s="231"/>
      <c r="Y9" s="231"/>
      <c r="Z9" s="231"/>
      <c r="AA9" s="231"/>
      <c r="AB9" s="231"/>
      <c r="AC9" s="231"/>
      <c r="AD9" s="231"/>
      <c r="AE9" s="231"/>
      <c r="AF9" s="231"/>
      <c r="AG9" s="231"/>
      <c r="AH9" s="231"/>
      <c r="AI9" s="231"/>
      <c r="AJ9" s="231"/>
      <c r="AK9" s="231"/>
      <c r="AL9" s="231"/>
      <c r="AM9" s="231"/>
      <c r="AN9" s="231"/>
    </row>
    <row r="10" spans="1:40" s="203" customFormat="1" ht="12.75" customHeight="1">
      <c r="A10" s="22" t="s">
        <v>409</v>
      </c>
      <c r="B10" s="19"/>
      <c r="C10" s="1"/>
      <c r="D10" s="880" t="s">
        <v>250</v>
      </c>
      <c r="E10" s="881"/>
      <c r="F10" s="881"/>
      <c r="G10" s="207"/>
      <c r="H10" s="207"/>
      <c r="I10" s="29"/>
      <c r="J10" s="231"/>
      <c r="K10" s="231"/>
      <c r="L10" s="231"/>
      <c r="M10" s="231"/>
      <c r="N10" s="231"/>
      <c r="O10" s="231"/>
      <c r="P10" s="231"/>
      <c r="Q10" s="231"/>
      <c r="R10" s="231"/>
      <c r="S10" s="231"/>
      <c r="T10" s="231"/>
      <c r="U10" s="231"/>
      <c r="V10" s="231"/>
      <c r="W10" s="231"/>
      <c r="X10" s="231"/>
      <c r="Y10" s="231"/>
      <c r="Z10" s="231"/>
      <c r="AA10" s="231"/>
      <c r="AB10" s="231"/>
      <c r="AC10" s="231"/>
      <c r="AD10" s="231"/>
      <c r="AE10" s="231"/>
      <c r="AF10" s="231"/>
      <c r="AG10" s="231"/>
      <c r="AH10" s="231"/>
      <c r="AI10" s="231"/>
      <c r="AJ10" s="231"/>
      <c r="AK10" s="231"/>
      <c r="AL10" s="231"/>
      <c r="AM10" s="231"/>
      <c r="AN10" s="231"/>
    </row>
    <row r="11" spans="1:40" s="203" customFormat="1">
      <c r="A11" s="23"/>
      <c r="B11" s="207"/>
      <c r="C11" s="207"/>
      <c r="D11" s="207"/>
      <c r="E11" s="207"/>
      <c r="F11" s="207"/>
      <c r="G11" s="21"/>
      <c r="H11" s="21"/>
      <c r="I11" s="29"/>
      <c r="J11" s="231"/>
      <c r="K11" s="231"/>
      <c r="L11" s="231"/>
      <c r="M11" s="231"/>
      <c r="N11" s="231"/>
      <c r="O11" s="231"/>
      <c r="P11" s="231"/>
      <c r="Q11" s="231"/>
      <c r="R11" s="231"/>
      <c r="S11" s="231"/>
      <c r="T11" s="231"/>
      <c r="U11" s="231"/>
      <c r="V11" s="231"/>
      <c r="W11" s="231"/>
      <c r="X11" s="231"/>
      <c r="Y11" s="231"/>
      <c r="Z11" s="231"/>
      <c r="AA11" s="231"/>
      <c r="AB11" s="231"/>
      <c r="AC11" s="231"/>
      <c r="AD11" s="231"/>
      <c r="AE11" s="231"/>
      <c r="AF11" s="231"/>
      <c r="AG11" s="231"/>
      <c r="AH11" s="231"/>
      <c r="AI11" s="231"/>
      <c r="AJ11" s="231"/>
      <c r="AK11" s="231"/>
      <c r="AL11" s="231"/>
      <c r="AM11" s="231"/>
      <c r="AN11" s="231"/>
    </row>
    <row r="12" spans="1:40" s="203" customFormat="1">
      <c r="A12" s="24"/>
      <c r="B12" s="25" t="s">
        <v>7</v>
      </c>
      <c r="C12" s="26"/>
      <c r="D12" s="356"/>
      <c r="E12" s="356"/>
      <c r="F12" s="357"/>
      <c r="G12" s="21"/>
      <c r="H12" s="21"/>
      <c r="I12" s="29"/>
      <c r="J12" s="231"/>
      <c r="K12" s="231"/>
      <c r="L12" s="231"/>
      <c r="M12" s="231"/>
      <c r="N12" s="231"/>
      <c r="O12" s="231"/>
      <c r="P12" s="231"/>
      <c r="Q12" s="231"/>
      <c r="R12" s="231"/>
      <c r="S12" s="231"/>
      <c r="T12" s="231"/>
      <c r="U12" s="231"/>
      <c r="V12" s="231"/>
      <c r="W12" s="231"/>
      <c r="X12" s="231"/>
      <c r="Y12" s="231"/>
      <c r="Z12" s="231"/>
      <c r="AA12" s="231"/>
      <c r="AB12" s="231"/>
      <c r="AC12" s="231"/>
      <c r="AD12" s="231"/>
      <c r="AE12" s="231"/>
      <c r="AF12" s="231"/>
      <c r="AG12" s="231"/>
      <c r="AH12" s="231"/>
      <c r="AI12" s="231"/>
      <c r="AJ12" s="231"/>
      <c r="AK12" s="231"/>
      <c r="AL12" s="231"/>
      <c r="AM12" s="231"/>
      <c r="AN12" s="231"/>
    </row>
    <row r="13" spans="1:40" s="203" customFormat="1">
      <c r="A13" s="23"/>
      <c r="B13" s="27"/>
      <c r="C13" s="358"/>
      <c r="D13" s="15"/>
      <c r="E13" s="15"/>
      <c r="F13" s="359"/>
      <c r="G13" s="207"/>
      <c r="H13" s="21"/>
      <c r="I13" s="29"/>
      <c r="J13" s="231"/>
      <c r="K13" s="231"/>
      <c r="L13" s="231"/>
      <c r="M13" s="231"/>
      <c r="N13" s="231"/>
      <c r="O13" s="231"/>
      <c r="P13" s="231"/>
      <c r="Q13" s="231"/>
      <c r="R13" s="231"/>
      <c r="S13" s="231"/>
      <c r="T13" s="231"/>
      <c r="U13" s="231"/>
      <c r="V13" s="231"/>
      <c r="W13" s="231"/>
      <c r="X13" s="231"/>
      <c r="Y13" s="231"/>
      <c r="Z13" s="231"/>
      <c r="AA13" s="231"/>
      <c r="AB13" s="231"/>
      <c r="AC13" s="231"/>
      <c r="AD13" s="231"/>
      <c r="AE13" s="231"/>
      <c r="AF13" s="231"/>
      <c r="AG13" s="231"/>
      <c r="AH13" s="231"/>
      <c r="AI13" s="231"/>
      <c r="AJ13" s="231"/>
      <c r="AK13" s="231"/>
      <c r="AL13" s="231"/>
      <c r="AM13" s="231"/>
      <c r="AN13" s="231"/>
    </row>
    <row r="14" spans="1:40" s="203" customFormat="1">
      <c r="A14" s="23"/>
      <c r="B14" s="363" t="s">
        <v>328</v>
      </c>
      <c r="C14" s="870" t="s">
        <v>10</v>
      </c>
      <c r="D14" s="870"/>
      <c r="E14" s="870"/>
      <c r="F14" s="871"/>
      <c r="G14" s="207"/>
      <c r="H14" s="21"/>
      <c r="I14" s="29"/>
      <c r="J14" s="231"/>
      <c r="K14" s="231"/>
      <c r="L14" s="231"/>
      <c r="M14" s="231"/>
      <c r="N14" s="231"/>
      <c r="O14" s="231"/>
      <c r="P14" s="231"/>
      <c r="Q14" s="231"/>
      <c r="R14" s="231"/>
      <c r="S14" s="231"/>
      <c r="T14" s="231"/>
      <c r="U14" s="231"/>
      <c r="V14" s="231"/>
      <c r="W14" s="231"/>
      <c r="X14" s="231"/>
      <c r="Y14" s="231"/>
      <c r="Z14" s="231"/>
      <c r="AA14" s="231"/>
      <c r="AB14" s="231"/>
      <c r="AC14" s="231"/>
      <c r="AD14" s="231"/>
      <c r="AE14" s="231"/>
      <c r="AF14" s="231"/>
      <c r="AG14" s="231"/>
      <c r="AH14" s="231"/>
      <c r="AI14" s="231"/>
      <c r="AJ14" s="231"/>
      <c r="AK14" s="231"/>
      <c r="AL14" s="231"/>
      <c r="AM14" s="231"/>
      <c r="AN14" s="231"/>
    </row>
    <row r="15" spans="1:40" s="203" customFormat="1">
      <c r="A15" s="23"/>
      <c r="B15" s="363" t="s">
        <v>329</v>
      </c>
      <c r="C15" s="870" t="s">
        <v>12</v>
      </c>
      <c r="D15" s="870"/>
      <c r="E15" s="870"/>
      <c r="F15" s="871"/>
      <c r="G15" s="207"/>
      <c r="H15" s="21"/>
      <c r="I15" s="29"/>
      <c r="J15" s="231"/>
      <c r="K15" s="231"/>
      <c r="L15" s="231"/>
      <c r="M15" s="231"/>
      <c r="N15" s="231"/>
      <c r="O15" s="231"/>
      <c r="P15" s="231"/>
      <c r="Q15" s="231"/>
      <c r="R15" s="231"/>
      <c r="S15" s="231"/>
      <c r="T15" s="231"/>
      <c r="U15" s="231"/>
      <c r="V15" s="231"/>
      <c r="W15" s="231"/>
      <c r="X15" s="231"/>
      <c r="Y15" s="231"/>
      <c r="Z15" s="231"/>
      <c r="AA15" s="231"/>
      <c r="AB15" s="231"/>
      <c r="AC15" s="231"/>
      <c r="AD15" s="231"/>
      <c r="AE15" s="231"/>
      <c r="AF15" s="231"/>
      <c r="AG15" s="231"/>
      <c r="AH15" s="231"/>
      <c r="AI15" s="231"/>
      <c r="AJ15" s="231"/>
      <c r="AK15" s="231"/>
      <c r="AL15" s="231"/>
      <c r="AM15" s="231"/>
      <c r="AN15" s="231"/>
    </row>
    <row r="16" spans="1:40" s="203" customFormat="1">
      <c r="A16" s="23"/>
      <c r="B16" s="360" t="s">
        <v>14</v>
      </c>
      <c r="C16" s="870" t="s">
        <v>15</v>
      </c>
      <c r="D16" s="870"/>
      <c r="E16" s="870"/>
      <c r="F16" s="871"/>
      <c r="G16" s="207"/>
      <c r="H16" s="21"/>
      <c r="I16" s="29"/>
      <c r="J16" s="231"/>
      <c r="K16" s="231"/>
      <c r="L16" s="231"/>
      <c r="M16" s="231"/>
      <c r="N16" s="231"/>
      <c r="O16" s="231"/>
      <c r="P16" s="231"/>
      <c r="Q16" s="231"/>
      <c r="R16" s="231"/>
      <c r="S16" s="231"/>
      <c r="T16" s="231"/>
      <c r="U16" s="231"/>
      <c r="V16" s="231"/>
      <c r="W16" s="231"/>
      <c r="X16" s="231"/>
      <c r="Y16" s="231"/>
      <c r="Z16" s="231"/>
      <c r="AA16" s="231"/>
      <c r="AB16" s="231"/>
      <c r="AC16" s="231"/>
      <c r="AD16" s="231"/>
      <c r="AE16" s="231"/>
      <c r="AF16" s="231"/>
      <c r="AG16" s="231"/>
      <c r="AH16" s="231"/>
      <c r="AI16" s="231"/>
      <c r="AJ16" s="231"/>
      <c r="AK16" s="231"/>
      <c r="AL16" s="231"/>
      <c r="AM16" s="231"/>
      <c r="AN16" s="231"/>
    </row>
    <row r="17" spans="1:40" s="203" customFormat="1">
      <c r="A17" s="23"/>
      <c r="B17" s="360" t="s">
        <v>17</v>
      </c>
      <c r="C17" s="870" t="s">
        <v>18</v>
      </c>
      <c r="D17" s="870"/>
      <c r="E17" s="870"/>
      <c r="F17" s="871"/>
      <c r="G17" s="207"/>
      <c r="H17" s="21"/>
      <c r="I17" s="29"/>
      <c r="J17" s="231"/>
      <c r="K17" s="231"/>
      <c r="L17" s="231"/>
      <c r="M17" s="231"/>
      <c r="N17" s="231"/>
      <c r="O17" s="231"/>
      <c r="P17" s="231"/>
      <c r="Q17" s="231"/>
      <c r="R17" s="231"/>
      <c r="S17" s="231"/>
      <c r="T17" s="231"/>
      <c r="U17" s="231"/>
      <c r="V17" s="231"/>
      <c r="W17" s="231"/>
      <c r="X17" s="231"/>
      <c r="Y17" s="231"/>
      <c r="Z17" s="231"/>
      <c r="AA17" s="231"/>
      <c r="AB17" s="231"/>
      <c r="AC17" s="231"/>
      <c r="AD17" s="231"/>
      <c r="AE17" s="231"/>
      <c r="AF17" s="231"/>
      <c r="AG17" s="231"/>
      <c r="AH17" s="231"/>
      <c r="AI17" s="231"/>
      <c r="AJ17" s="231"/>
      <c r="AK17" s="231"/>
      <c r="AL17" s="231"/>
      <c r="AM17" s="231"/>
      <c r="AN17" s="231"/>
    </row>
    <row r="18" spans="1:40" s="203" customFormat="1">
      <c r="A18" s="23"/>
      <c r="B18" s="360" t="s">
        <v>20</v>
      </c>
      <c r="C18" s="870" t="s">
        <v>21</v>
      </c>
      <c r="D18" s="870"/>
      <c r="E18" s="870"/>
      <c r="F18" s="871"/>
      <c r="G18" s="207"/>
      <c r="H18" s="21"/>
      <c r="I18" s="29"/>
      <c r="J18" s="231"/>
      <c r="K18" s="231"/>
      <c r="L18" s="231"/>
      <c r="M18" s="231"/>
      <c r="N18" s="231"/>
      <c r="O18" s="231"/>
      <c r="P18" s="231"/>
      <c r="Q18" s="231"/>
      <c r="R18" s="231"/>
      <c r="S18" s="231"/>
      <c r="T18" s="231"/>
      <c r="U18" s="231"/>
      <c r="V18" s="231"/>
      <c r="W18" s="231"/>
      <c r="X18" s="231"/>
      <c r="Y18" s="231"/>
      <c r="Z18" s="231"/>
      <c r="AA18" s="231"/>
      <c r="AB18" s="231"/>
      <c r="AC18" s="231"/>
      <c r="AD18" s="231"/>
      <c r="AE18" s="231"/>
      <c r="AF18" s="231"/>
      <c r="AG18" s="231"/>
      <c r="AH18" s="231"/>
      <c r="AI18" s="231"/>
      <c r="AJ18" s="231"/>
      <c r="AK18" s="231"/>
      <c r="AL18" s="231"/>
      <c r="AM18" s="231"/>
      <c r="AN18" s="231"/>
    </row>
    <row r="19" spans="1:40" s="203" customFormat="1">
      <c r="A19" s="23"/>
      <c r="B19" s="361" t="s">
        <v>23</v>
      </c>
      <c r="C19" s="872" t="s">
        <v>24</v>
      </c>
      <c r="D19" s="872"/>
      <c r="E19" s="872"/>
      <c r="F19" s="873"/>
      <c r="G19" s="21"/>
      <c r="H19" s="21"/>
      <c r="I19" s="29"/>
      <c r="J19" s="231"/>
      <c r="K19" s="231"/>
      <c r="L19" s="231"/>
      <c r="M19" s="231"/>
      <c r="N19" s="231"/>
      <c r="O19" s="231"/>
      <c r="P19" s="231"/>
      <c r="Q19" s="231"/>
      <c r="R19" s="231"/>
      <c r="S19" s="231"/>
      <c r="T19" s="231"/>
      <c r="U19" s="231"/>
      <c r="V19" s="231"/>
      <c r="W19" s="231"/>
      <c r="X19" s="231"/>
      <c r="Y19" s="231"/>
      <c r="Z19" s="231"/>
      <c r="AA19" s="231"/>
      <c r="AB19" s="231"/>
      <c r="AC19" s="231"/>
      <c r="AD19" s="231"/>
      <c r="AE19" s="231"/>
      <c r="AF19" s="231"/>
      <c r="AG19" s="231"/>
      <c r="AH19" s="231"/>
      <c r="AI19" s="231"/>
      <c r="AJ19" s="231"/>
      <c r="AK19" s="231"/>
      <c r="AL19" s="231"/>
      <c r="AM19" s="231"/>
      <c r="AN19" s="231"/>
    </row>
    <row r="20" spans="1:40" s="203" customFormat="1">
      <c r="A20" s="236"/>
      <c r="B20" s="206"/>
      <c r="C20" s="206"/>
      <c r="D20" s="206"/>
      <c r="E20" s="206"/>
      <c r="F20" s="206"/>
      <c r="G20" s="206"/>
      <c r="H20" s="206"/>
      <c r="I20" s="206"/>
      <c r="J20" s="231"/>
      <c r="K20" s="231"/>
      <c r="L20" s="231"/>
      <c r="M20" s="231"/>
      <c r="N20" s="231"/>
      <c r="O20" s="231"/>
      <c r="P20" s="231"/>
      <c r="Q20" s="231"/>
      <c r="R20" s="231"/>
      <c r="S20" s="231"/>
      <c r="T20" s="231"/>
      <c r="U20" s="231"/>
      <c r="V20" s="231"/>
      <c r="W20" s="231"/>
      <c r="X20" s="231"/>
      <c r="Y20" s="231"/>
      <c r="Z20" s="231"/>
      <c r="AA20" s="231"/>
      <c r="AB20" s="231"/>
      <c r="AC20" s="231"/>
      <c r="AD20" s="231"/>
      <c r="AE20" s="231"/>
      <c r="AF20" s="231"/>
      <c r="AG20" s="231"/>
      <c r="AH20" s="231"/>
      <c r="AI20" s="231"/>
      <c r="AJ20" s="231"/>
      <c r="AK20" s="231"/>
      <c r="AL20" s="231"/>
      <c r="AM20" s="231"/>
      <c r="AN20" s="231"/>
    </row>
    <row r="21" spans="1:40" s="203" customFormat="1" ht="19.5">
      <c r="A21" s="30"/>
      <c r="B21" s="13"/>
      <c r="C21" s="13"/>
      <c r="D21" s="13"/>
      <c r="E21" s="13"/>
      <c r="F21" s="13"/>
      <c r="G21" s="13"/>
      <c r="H21" s="31" t="s">
        <v>27</v>
      </c>
      <c r="I21" s="237"/>
      <c r="J21" s="231"/>
      <c r="K21" s="231"/>
      <c r="L21" s="231"/>
      <c r="M21" s="231"/>
      <c r="N21" s="231"/>
      <c r="O21" s="231"/>
      <c r="P21" s="231"/>
      <c r="Q21" s="231"/>
      <c r="R21" s="231"/>
      <c r="S21" s="231"/>
      <c r="T21" s="231"/>
      <c r="U21" s="231"/>
      <c r="V21" s="231"/>
      <c r="W21" s="231"/>
      <c r="X21" s="231"/>
      <c r="Y21" s="231"/>
      <c r="Z21" s="231"/>
      <c r="AA21" s="231"/>
      <c r="AB21" s="231"/>
      <c r="AC21" s="231"/>
      <c r="AD21" s="231"/>
      <c r="AE21" s="231"/>
      <c r="AF21" s="231"/>
      <c r="AG21" s="231"/>
      <c r="AH21" s="231"/>
      <c r="AI21" s="231"/>
      <c r="AJ21" s="231"/>
      <c r="AK21" s="231"/>
      <c r="AL21" s="231"/>
      <c r="AM21" s="231"/>
      <c r="AN21" s="231"/>
    </row>
    <row r="22" spans="1:40" s="203" customFormat="1" ht="18.75" customHeight="1">
      <c r="A22" s="32"/>
      <c r="B22" s="29"/>
      <c r="C22" s="29"/>
      <c r="D22" s="29"/>
      <c r="E22" s="29"/>
      <c r="F22" s="33">
        <v>1</v>
      </c>
      <c r="G22" s="34"/>
      <c r="H22" s="33">
        <v>2</v>
      </c>
      <c r="I22" s="34"/>
      <c r="J22" s="231"/>
      <c r="K22" s="231"/>
      <c r="L22" s="231"/>
      <c r="M22" s="231"/>
      <c r="N22" s="231"/>
      <c r="O22" s="231"/>
      <c r="P22" s="231"/>
      <c r="Q22" s="231"/>
      <c r="R22" s="231"/>
      <c r="S22" s="231"/>
      <c r="T22" s="231"/>
      <c r="U22" s="231"/>
      <c r="V22" s="231"/>
      <c r="W22" s="231"/>
      <c r="X22" s="231"/>
      <c r="Y22" s="231"/>
      <c r="Z22" s="231"/>
      <c r="AA22" s="231"/>
      <c r="AB22" s="231"/>
      <c r="AC22" s="231"/>
      <c r="AD22" s="231"/>
      <c r="AE22" s="231"/>
      <c r="AF22" s="231"/>
      <c r="AG22" s="231"/>
      <c r="AH22" s="231"/>
      <c r="AI22" s="231"/>
      <c r="AJ22" s="231"/>
      <c r="AK22" s="231"/>
      <c r="AL22" s="231"/>
      <c r="AM22" s="231"/>
      <c r="AN22" s="231"/>
    </row>
    <row r="23" spans="1:40" s="203" customFormat="1" ht="21.95" customHeight="1">
      <c r="A23" s="874" t="s">
        <v>30</v>
      </c>
      <c r="B23" s="875"/>
      <c r="C23" s="875"/>
      <c r="D23" s="875"/>
      <c r="E23" s="878" t="s">
        <v>376</v>
      </c>
      <c r="F23" s="856" t="s">
        <v>407</v>
      </c>
      <c r="G23" s="36"/>
      <c r="H23" s="878" t="s">
        <v>406</v>
      </c>
      <c r="I23" s="36"/>
      <c r="J23" s="231"/>
      <c r="K23" s="231"/>
      <c r="L23" s="231"/>
      <c r="M23" s="231"/>
      <c r="N23" s="231"/>
      <c r="O23" s="231"/>
      <c r="P23" s="231"/>
      <c r="Q23" s="231"/>
      <c r="R23" s="231"/>
      <c r="S23" s="231"/>
      <c r="T23" s="231"/>
      <c r="U23" s="231"/>
      <c r="V23" s="231"/>
      <c r="W23" s="231"/>
      <c r="X23" s="231"/>
      <c r="Y23" s="231"/>
      <c r="Z23" s="231"/>
      <c r="AA23" s="231"/>
      <c r="AB23" s="231"/>
      <c r="AC23" s="231"/>
      <c r="AD23" s="231"/>
      <c r="AE23" s="231"/>
      <c r="AF23" s="231"/>
      <c r="AG23" s="231"/>
      <c r="AH23" s="231"/>
      <c r="AI23" s="231"/>
      <c r="AJ23" s="231"/>
      <c r="AK23" s="231"/>
      <c r="AL23" s="231"/>
      <c r="AM23" s="231"/>
      <c r="AN23" s="231"/>
    </row>
    <row r="24" spans="1:40" s="203" customFormat="1" ht="21.95" customHeight="1">
      <c r="A24" s="876"/>
      <c r="B24" s="877"/>
      <c r="C24" s="877"/>
      <c r="D24" s="877"/>
      <c r="E24" s="879"/>
      <c r="F24" s="860"/>
      <c r="G24" s="23"/>
      <c r="H24" s="879"/>
      <c r="I24" s="36"/>
      <c r="J24" s="231"/>
      <c r="K24" s="231"/>
      <c r="L24" s="231"/>
      <c r="M24" s="231"/>
      <c r="N24" s="231"/>
      <c r="O24" s="231"/>
      <c r="P24" s="231"/>
      <c r="Q24" s="231"/>
      <c r="R24" s="231"/>
      <c r="S24" s="231"/>
      <c r="T24" s="231"/>
      <c r="U24" s="231"/>
      <c r="V24" s="231"/>
      <c r="W24" s="231"/>
      <c r="X24" s="231"/>
      <c r="Y24" s="231"/>
      <c r="Z24" s="231"/>
      <c r="AA24" s="231"/>
      <c r="AB24" s="231"/>
      <c r="AC24" s="231"/>
      <c r="AD24" s="231"/>
      <c r="AE24" s="231"/>
      <c r="AF24" s="231"/>
      <c r="AG24" s="231"/>
      <c r="AH24" s="231"/>
      <c r="AI24" s="231"/>
      <c r="AJ24" s="231"/>
      <c r="AK24" s="231"/>
      <c r="AL24" s="231"/>
      <c r="AM24" s="231"/>
      <c r="AN24" s="231"/>
    </row>
    <row r="25" spans="1:40" s="203" customFormat="1" ht="21.95" customHeight="1">
      <c r="A25" s="898" t="s">
        <v>48</v>
      </c>
      <c r="B25" s="901" t="s">
        <v>49</v>
      </c>
      <c r="C25" s="901"/>
      <c r="D25" s="902"/>
      <c r="E25" s="907" t="s">
        <v>50</v>
      </c>
      <c r="F25" s="909" t="s">
        <v>51</v>
      </c>
      <c r="G25" s="34"/>
      <c r="H25" s="907" t="s">
        <v>50</v>
      </c>
      <c r="I25" s="36"/>
      <c r="J25" s="231"/>
      <c r="K25" s="231"/>
      <c r="L25" s="231"/>
      <c r="M25" s="231"/>
      <c r="N25" s="231"/>
      <c r="O25" s="231"/>
      <c r="P25" s="231"/>
      <c r="Q25" s="231"/>
      <c r="R25" s="231"/>
      <c r="S25" s="231"/>
      <c r="T25" s="231"/>
      <c r="U25" s="231"/>
      <c r="V25" s="231"/>
      <c r="W25" s="231"/>
      <c r="X25" s="231"/>
      <c r="Y25" s="231"/>
      <c r="Z25" s="231"/>
      <c r="AA25" s="231"/>
      <c r="AB25" s="231"/>
      <c r="AC25" s="231"/>
      <c r="AD25" s="231"/>
      <c r="AE25" s="231"/>
      <c r="AF25" s="231"/>
      <c r="AG25" s="231"/>
      <c r="AH25" s="231"/>
      <c r="AI25" s="231"/>
      <c r="AJ25" s="231"/>
      <c r="AK25" s="231"/>
      <c r="AL25" s="231"/>
      <c r="AM25" s="231"/>
      <c r="AN25" s="231"/>
    </row>
    <row r="26" spans="1:40" s="203" customFormat="1" ht="21.95" customHeight="1">
      <c r="A26" s="899"/>
      <c r="B26" s="903"/>
      <c r="C26" s="903"/>
      <c r="D26" s="904"/>
      <c r="E26" s="908"/>
      <c r="F26" s="859"/>
      <c r="G26" s="34"/>
      <c r="H26" s="908"/>
      <c r="I26" s="36"/>
      <c r="J26" s="231"/>
      <c r="K26" s="231"/>
      <c r="L26" s="231"/>
      <c r="M26" s="231"/>
      <c r="N26" s="231"/>
      <c r="O26" s="231"/>
      <c r="P26" s="231"/>
      <c r="Q26" s="231"/>
      <c r="R26" s="231"/>
      <c r="S26" s="231"/>
      <c r="T26" s="231"/>
      <c r="U26" s="231"/>
      <c r="V26" s="231"/>
      <c r="W26" s="231"/>
      <c r="X26" s="231"/>
      <c r="Y26" s="231"/>
      <c r="Z26" s="231"/>
      <c r="AA26" s="231"/>
      <c r="AB26" s="231"/>
      <c r="AC26" s="231"/>
      <c r="AD26" s="231"/>
      <c r="AE26" s="231"/>
      <c r="AF26" s="231"/>
      <c r="AG26" s="231"/>
      <c r="AH26" s="231"/>
      <c r="AI26" s="231"/>
      <c r="AJ26" s="231"/>
      <c r="AK26" s="231"/>
      <c r="AL26" s="231"/>
      <c r="AM26" s="231"/>
      <c r="AN26" s="231"/>
    </row>
    <row r="27" spans="1:40" s="203" customFormat="1" ht="21.95" customHeight="1">
      <c r="A27" s="900"/>
      <c r="B27" s="905"/>
      <c r="C27" s="905"/>
      <c r="D27" s="906"/>
      <c r="E27" s="879"/>
      <c r="F27" s="860"/>
      <c r="G27" s="34"/>
      <c r="H27" s="879"/>
      <c r="I27" s="36"/>
      <c r="J27" s="231"/>
      <c r="K27" s="231"/>
      <c r="L27" s="231"/>
      <c r="M27" s="231"/>
      <c r="N27" s="231"/>
      <c r="O27" s="231"/>
      <c r="P27" s="231"/>
      <c r="Q27" s="231"/>
      <c r="R27" s="231"/>
      <c r="S27" s="231"/>
      <c r="T27" s="231"/>
      <c r="U27" s="231"/>
      <c r="V27" s="231"/>
      <c r="W27" s="231"/>
      <c r="X27" s="231"/>
      <c r="Y27" s="231"/>
      <c r="Z27" s="231"/>
      <c r="AA27" s="231"/>
      <c r="AB27" s="231"/>
      <c r="AC27" s="231"/>
      <c r="AD27" s="231"/>
      <c r="AE27" s="231"/>
      <c r="AF27" s="231"/>
      <c r="AG27" s="231"/>
      <c r="AH27" s="231"/>
      <c r="AI27" s="231"/>
      <c r="AJ27" s="231"/>
      <c r="AK27" s="231"/>
      <c r="AL27" s="231"/>
      <c r="AM27" s="231"/>
      <c r="AN27" s="231"/>
    </row>
    <row r="28" spans="1:40" s="203" customFormat="1">
      <c r="A28" s="38">
        <v>1</v>
      </c>
      <c r="B28" s="39" t="s">
        <v>52</v>
      </c>
      <c r="C28" s="39"/>
      <c r="D28" s="40"/>
      <c r="E28" s="41">
        <v>124196</v>
      </c>
      <c r="F28" s="42">
        <f>F77</f>
        <v>129783</v>
      </c>
      <c r="G28" s="43"/>
      <c r="H28" s="44">
        <f>H77</f>
        <v>138328</v>
      </c>
      <c r="I28" s="43"/>
      <c r="J28" s="231"/>
      <c r="K28" s="231"/>
      <c r="L28" s="231"/>
      <c r="M28" s="231"/>
      <c r="N28" s="231"/>
      <c r="O28" s="231"/>
      <c r="P28" s="231"/>
      <c r="Q28" s="231"/>
      <c r="R28" s="231"/>
      <c r="S28" s="231"/>
      <c r="T28" s="231"/>
      <c r="U28" s="231"/>
      <c r="V28" s="231"/>
      <c r="W28" s="231"/>
      <c r="X28" s="231"/>
      <c r="Y28" s="231"/>
      <c r="Z28" s="231"/>
      <c r="AA28" s="231"/>
      <c r="AB28" s="231"/>
      <c r="AC28" s="231"/>
      <c r="AD28" s="231"/>
      <c r="AE28" s="231"/>
      <c r="AF28" s="231"/>
      <c r="AG28" s="231"/>
      <c r="AH28" s="231"/>
      <c r="AI28" s="231"/>
      <c r="AJ28" s="231"/>
      <c r="AK28" s="231"/>
      <c r="AL28" s="231"/>
      <c r="AM28" s="231"/>
      <c r="AN28" s="231"/>
    </row>
    <row r="29" spans="1:40" s="203" customFormat="1">
      <c r="A29" s="46">
        <v>2</v>
      </c>
      <c r="B29" s="47" t="s">
        <v>53</v>
      </c>
      <c r="C29" s="47"/>
      <c r="D29" s="48"/>
      <c r="E29" s="49">
        <v>76032</v>
      </c>
      <c r="F29" s="50">
        <f>F105</f>
        <v>77721</v>
      </c>
      <c r="G29" s="43"/>
      <c r="H29" s="51">
        <f>H105</f>
        <v>81321</v>
      </c>
      <c r="I29" s="43"/>
      <c r="J29" s="231"/>
      <c r="K29" s="231"/>
      <c r="L29" s="231"/>
      <c r="M29" s="231"/>
      <c r="N29" s="231"/>
      <c r="O29" s="231"/>
      <c r="P29" s="231"/>
      <c r="Q29" s="231"/>
      <c r="R29" s="231"/>
      <c r="S29" s="231"/>
      <c r="T29" s="231"/>
      <c r="U29" s="231"/>
      <c r="V29" s="231"/>
      <c r="W29" s="231"/>
      <c r="X29" s="231"/>
      <c r="Y29" s="231"/>
      <c r="Z29" s="231"/>
      <c r="AA29" s="231"/>
      <c r="AB29" s="231"/>
      <c r="AC29" s="231"/>
      <c r="AD29" s="231"/>
      <c r="AE29" s="231"/>
      <c r="AF29" s="231"/>
      <c r="AG29" s="231"/>
      <c r="AH29" s="231"/>
      <c r="AI29" s="231"/>
      <c r="AJ29" s="231"/>
      <c r="AK29" s="231"/>
      <c r="AL29" s="231"/>
      <c r="AM29" s="231"/>
      <c r="AN29" s="231"/>
    </row>
    <row r="30" spans="1:40" s="203" customFormat="1">
      <c r="A30" s="46">
        <v>3</v>
      </c>
      <c r="B30" s="47" t="s">
        <v>54</v>
      </c>
      <c r="C30" s="47"/>
      <c r="D30" s="48"/>
      <c r="E30" s="49">
        <v>11904</v>
      </c>
      <c r="F30" s="50">
        <f>F180</f>
        <v>11344</v>
      </c>
      <c r="G30" s="43"/>
      <c r="H30" s="51">
        <f>H180</f>
        <v>10297</v>
      </c>
      <c r="I30" s="43"/>
      <c r="J30" s="231"/>
      <c r="K30" s="231"/>
      <c r="L30" s="231"/>
      <c r="M30" s="231"/>
      <c r="N30" s="231"/>
      <c r="O30" s="231"/>
      <c r="P30" s="231"/>
      <c r="Q30" s="231"/>
      <c r="R30" s="231"/>
      <c r="S30" s="231"/>
      <c r="T30" s="231"/>
      <c r="U30" s="231"/>
      <c r="V30" s="231"/>
      <c r="W30" s="231"/>
      <c r="X30" s="231"/>
      <c r="Y30" s="231"/>
      <c r="Z30" s="231"/>
      <c r="AA30" s="231"/>
      <c r="AB30" s="231"/>
      <c r="AC30" s="231"/>
      <c r="AD30" s="231"/>
      <c r="AE30" s="231"/>
      <c r="AF30" s="231"/>
      <c r="AG30" s="231"/>
      <c r="AH30" s="231"/>
      <c r="AI30" s="231"/>
      <c r="AJ30" s="231"/>
      <c r="AK30" s="231"/>
      <c r="AL30" s="231"/>
      <c r="AM30" s="231"/>
      <c r="AN30" s="231"/>
    </row>
    <row r="31" spans="1:40" s="203" customFormat="1">
      <c r="A31" s="46">
        <v>4</v>
      </c>
      <c r="B31" s="47" t="s">
        <v>55</v>
      </c>
      <c r="C31" s="47"/>
      <c r="D31" s="48"/>
      <c r="E31" s="49">
        <v>11906</v>
      </c>
      <c r="F31" s="50">
        <f>F214</f>
        <v>12444</v>
      </c>
      <c r="G31" s="43"/>
      <c r="H31" s="51">
        <f>H214</f>
        <v>11759</v>
      </c>
      <c r="I31" s="43"/>
      <c r="J31" s="231"/>
      <c r="K31" s="231"/>
      <c r="L31" s="231"/>
      <c r="M31" s="231"/>
      <c r="N31" s="231"/>
      <c r="O31" s="231"/>
      <c r="P31" s="231"/>
      <c r="Q31" s="231"/>
      <c r="R31" s="231"/>
      <c r="S31" s="231"/>
      <c r="T31" s="231"/>
      <c r="U31" s="231"/>
      <c r="V31" s="231"/>
      <c r="W31" s="231"/>
      <c r="X31" s="231"/>
      <c r="Y31" s="231"/>
      <c r="Z31" s="231"/>
      <c r="AA31" s="231"/>
      <c r="AB31" s="231"/>
      <c r="AC31" s="231"/>
      <c r="AD31" s="231"/>
      <c r="AE31" s="231"/>
      <c r="AF31" s="231"/>
      <c r="AG31" s="231"/>
      <c r="AH31" s="231"/>
      <c r="AI31" s="231"/>
      <c r="AJ31" s="231"/>
      <c r="AK31" s="231"/>
      <c r="AL31" s="231"/>
      <c r="AM31" s="231"/>
      <c r="AN31" s="231"/>
    </row>
    <row r="32" spans="1:40" s="203" customFormat="1">
      <c r="A32" s="46">
        <v>5</v>
      </c>
      <c r="B32" s="47" t="s">
        <v>56</v>
      </c>
      <c r="C32" s="47"/>
      <c r="D32" s="48"/>
      <c r="E32" s="49">
        <v>4731</v>
      </c>
      <c r="F32" s="50">
        <f>F231</f>
        <v>6075</v>
      </c>
      <c r="G32" s="43"/>
      <c r="H32" s="51">
        <f>H231</f>
        <v>5479</v>
      </c>
      <c r="I32" s="43"/>
      <c r="J32" s="231"/>
      <c r="K32" s="231"/>
      <c r="L32" s="231"/>
      <c r="M32" s="231"/>
      <c r="N32" s="231"/>
      <c r="O32" s="231"/>
      <c r="P32" s="231"/>
      <c r="Q32" s="231"/>
      <c r="R32" s="231"/>
      <c r="S32" s="231"/>
      <c r="T32" s="231"/>
      <c r="U32" s="231"/>
      <c r="V32" s="231"/>
      <c r="W32" s="231"/>
      <c r="X32" s="231"/>
      <c r="Y32" s="231"/>
      <c r="Z32" s="231"/>
      <c r="AA32" s="231"/>
      <c r="AB32" s="231"/>
      <c r="AC32" s="231"/>
      <c r="AD32" s="231"/>
      <c r="AE32" s="231"/>
      <c r="AF32" s="231"/>
      <c r="AG32" s="231"/>
      <c r="AH32" s="231"/>
      <c r="AI32" s="231"/>
      <c r="AJ32" s="231"/>
      <c r="AK32" s="231"/>
      <c r="AL32" s="231"/>
      <c r="AM32" s="231"/>
      <c r="AN32" s="231"/>
    </row>
    <row r="33" spans="1:40" s="203" customFormat="1">
      <c r="A33" s="46">
        <v>6</v>
      </c>
      <c r="B33" s="47" t="s">
        <v>57</v>
      </c>
      <c r="C33" s="47"/>
      <c r="D33" s="48"/>
      <c r="E33" s="49">
        <v>7577</v>
      </c>
      <c r="F33" s="50">
        <f>F257</f>
        <v>7740</v>
      </c>
      <c r="G33" s="43"/>
      <c r="H33" s="51">
        <f>H257</f>
        <v>7232</v>
      </c>
      <c r="I33" s="43"/>
      <c r="J33" s="231"/>
      <c r="K33" s="231"/>
      <c r="L33" s="231"/>
      <c r="M33" s="231"/>
      <c r="N33" s="231"/>
      <c r="O33" s="231"/>
      <c r="P33" s="231"/>
      <c r="Q33" s="231"/>
      <c r="R33" s="231"/>
      <c r="S33" s="231"/>
      <c r="T33" s="231"/>
      <c r="U33" s="231"/>
      <c r="V33" s="231"/>
      <c r="W33" s="231"/>
      <c r="X33" s="231"/>
      <c r="Y33" s="231"/>
      <c r="Z33" s="231"/>
      <c r="AA33" s="231"/>
      <c r="AB33" s="231"/>
      <c r="AC33" s="231"/>
      <c r="AD33" s="231"/>
      <c r="AE33" s="231"/>
      <c r="AF33" s="231"/>
      <c r="AG33" s="231"/>
      <c r="AH33" s="231"/>
      <c r="AI33" s="231"/>
      <c r="AJ33" s="231"/>
      <c r="AK33" s="231"/>
      <c r="AL33" s="231"/>
      <c r="AM33" s="231"/>
      <c r="AN33" s="231"/>
    </row>
    <row r="34" spans="1:40" s="203" customFormat="1">
      <c r="A34" s="46">
        <v>7</v>
      </c>
      <c r="B34" s="47" t="s">
        <v>58</v>
      </c>
      <c r="C34" s="47"/>
      <c r="D34" s="48"/>
      <c r="E34" s="49">
        <v>9902</v>
      </c>
      <c r="F34" s="50">
        <f>F277</f>
        <v>9891</v>
      </c>
      <c r="G34" s="43"/>
      <c r="H34" s="50">
        <f>H277</f>
        <v>9819</v>
      </c>
      <c r="I34" s="43"/>
      <c r="J34" s="231"/>
      <c r="K34" s="231"/>
      <c r="L34" s="231"/>
      <c r="M34" s="231"/>
      <c r="N34" s="231"/>
      <c r="O34" s="231"/>
      <c r="P34" s="231"/>
      <c r="Q34" s="231"/>
      <c r="R34" s="231"/>
      <c r="S34" s="231"/>
      <c r="T34" s="231"/>
      <c r="U34" s="231"/>
      <c r="V34" s="231"/>
      <c r="W34" s="231"/>
      <c r="X34" s="231"/>
      <c r="Y34" s="231"/>
      <c r="Z34" s="231"/>
      <c r="AA34" s="231"/>
      <c r="AB34" s="231"/>
      <c r="AC34" s="231"/>
      <c r="AD34" s="231"/>
      <c r="AE34" s="231"/>
      <c r="AF34" s="231"/>
      <c r="AG34" s="231"/>
      <c r="AH34" s="231"/>
      <c r="AI34" s="231"/>
      <c r="AJ34" s="231"/>
      <c r="AK34" s="231"/>
      <c r="AL34" s="231"/>
      <c r="AM34" s="231"/>
      <c r="AN34" s="231"/>
    </row>
    <row r="35" spans="1:40" s="203" customFormat="1">
      <c r="A35" s="46">
        <v>8</v>
      </c>
      <c r="B35" s="47" t="s">
        <v>59</v>
      </c>
      <c r="C35" s="47"/>
      <c r="D35" s="48"/>
      <c r="E35" s="49">
        <v>5855</v>
      </c>
      <c r="F35" s="50">
        <f>F302</f>
        <v>4874</v>
      </c>
      <c r="G35" s="43"/>
      <c r="H35" s="50">
        <f>H302</f>
        <v>6095</v>
      </c>
      <c r="I35" s="21"/>
      <c r="J35" s="231"/>
      <c r="K35" s="231"/>
      <c r="L35" s="231"/>
      <c r="M35" s="231"/>
      <c r="N35" s="231"/>
      <c r="O35" s="231"/>
      <c r="P35" s="231"/>
      <c r="Q35" s="231"/>
      <c r="R35" s="231"/>
      <c r="S35" s="231"/>
      <c r="T35" s="231"/>
      <c r="U35" s="231"/>
      <c r="V35" s="231"/>
      <c r="W35" s="231"/>
      <c r="X35" s="231"/>
      <c r="Y35" s="231"/>
      <c r="Z35" s="231"/>
      <c r="AA35" s="231"/>
      <c r="AB35" s="231"/>
      <c r="AC35" s="231"/>
      <c r="AD35" s="231"/>
      <c r="AE35" s="231"/>
      <c r="AF35" s="231"/>
      <c r="AG35" s="231"/>
      <c r="AH35" s="231"/>
      <c r="AI35" s="231"/>
      <c r="AJ35" s="231"/>
      <c r="AK35" s="231"/>
      <c r="AL35" s="231"/>
      <c r="AM35" s="231"/>
      <c r="AN35" s="231"/>
    </row>
    <row r="36" spans="1:40" s="203" customFormat="1">
      <c r="A36" s="46">
        <v>9</v>
      </c>
      <c r="B36" s="47" t="s">
        <v>60</v>
      </c>
      <c r="C36" s="47"/>
      <c r="D36" s="48"/>
      <c r="E36" s="49">
        <v>0</v>
      </c>
      <c r="F36" s="52">
        <v>0</v>
      </c>
      <c r="G36" s="43"/>
      <c r="H36" s="52">
        <v>0</v>
      </c>
      <c r="I36" s="21"/>
      <c r="J36" s="231"/>
      <c r="K36" s="231"/>
      <c r="L36" s="231"/>
      <c r="M36" s="231"/>
      <c r="N36" s="231"/>
      <c r="O36" s="231"/>
      <c r="P36" s="231"/>
      <c r="Q36" s="231"/>
      <c r="R36" s="231"/>
      <c r="S36" s="231"/>
      <c r="T36" s="231"/>
      <c r="U36" s="231"/>
      <c r="V36" s="231"/>
      <c r="W36" s="231"/>
      <c r="X36" s="231"/>
      <c r="Y36" s="231"/>
      <c r="Z36" s="231"/>
      <c r="AA36" s="231"/>
      <c r="AB36" s="231"/>
      <c r="AC36" s="231"/>
      <c r="AD36" s="231"/>
      <c r="AE36" s="231"/>
      <c r="AF36" s="231"/>
      <c r="AG36" s="231"/>
      <c r="AH36" s="231"/>
      <c r="AI36" s="231"/>
      <c r="AJ36" s="231"/>
      <c r="AK36" s="231"/>
      <c r="AL36" s="231"/>
      <c r="AM36" s="231"/>
      <c r="AN36" s="231"/>
    </row>
    <row r="37" spans="1:40" s="203" customFormat="1">
      <c r="A37" s="53">
        <v>10</v>
      </c>
      <c r="B37" s="54" t="s">
        <v>61</v>
      </c>
      <c r="C37" s="54"/>
      <c r="D37" s="55"/>
      <c r="E37" s="56">
        <v>25044</v>
      </c>
      <c r="F37" s="57">
        <f>F320</f>
        <v>24400</v>
      </c>
      <c r="G37" s="43"/>
      <c r="H37" s="57">
        <f>H320</f>
        <v>26367</v>
      </c>
      <c r="I37" s="21"/>
      <c r="J37" s="231"/>
      <c r="K37" s="231"/>
      <c r="L37" s="231"/>
      <c r="M37" s="231"/>
      <c r="N37" s="231"/>
      <c r="O37" s="231"/>
      <c r="P37" s="231"/>
      <c r="Q37" s="231"/>
      <c r="R37" s="231"/>
      <c r="S37" s="231"/>
      <c r="T37" s="231"/>
      <c r="U37" s="231"/>
      <c r="V37" s="231"/>
      <c r="W37" s="231"/>
      <c r="X37" s="231"/>
      <c r="Y37" s="231"/>
      <c r="Z37" s="231"/>
      <c r="AA37" s="231"/>
      <c r="AB37" s="231"/>
      <c r="AC37" s="231"/>
      <c r="AD37" s="231"/>
      <c r="AE37" s="231"/>
      <c r="AF37" s="231"/>
      <c r="AG37" s="231"/>
      <c r="AH37" s="231"/>
      <c r="AI37" s="231"/>
      <c r="AJ37" s="231"/>
      <c r="AK37" s="231"/>
      <c r="AL37" s="231"/>
      <c r="AM37" s="231"/>
      <c r="AN37" s="231"/>
    </row>
    <row r="38" spans="1:40" s="203" customFormat="1">
      <c r="A38" s="33">
        <v>11</v>
      </c>
      <c r="B38" s="58" t="s">
        <v>62</v>
      </c>
      <c r="C38" s="58"/>
      <c r="D38" s="59"/>
      <c r="E38" s="60">
        <v>277147</v>
      </c>
      <c r="F38" s="61">
        <f>SUM(F28:F37)</f>
        <v>284272</v>
      </c>
      <c r="G38" s="43"/>
      <c r="H38" s="61">
        <f>SUM(H28:H37)</f>
        <v>296697</v>
      </c>
      <c r="I38" s="68"/>
      <c r="J38" s="231"/>
      <c r="K38" s="231"/>
      <c r="L38" s="231"/>
      <c r="M38" s="231"/>
      <c r="N38" s="231"/>
      <c r="O38" s="231"/>
      <c r="P38" s="231"/>
      <c r="Q38" s="231"/>
      <c r="R38" s="231"/>
      <c r="S38" s="231"/>
      <c r="T38" s="231"/>
      <c r="U38" s="231"/>
      <c r="V38" s="231"/>
      <c r="W38" s="231"/>
      <c r="X38" s="231"/>
      <c r="Y38" s="231"/>
      <c r="Z38" s="231"/>
      <c r="AA38" s="231"/>
      <c r="AB38" s="231"/>
      <c r="AC38" s="231"/>
      <c r="AD38" s="231"/>
      <c r="AE38" s="231"/>
      <c r="AF38" s="231"/>
      <c r="AG38" s="231"/>
      <c r="AH38" s="231"/>
      <c r="AI38" s="231"/>
      <c r="AJ38" s="231"/>
      <c r="AK38" s="231"/>
      <c r="AL38" s="231"/>
      <c r="AM38" s="231"/>
      <c r="AN38" s="231"/>
    </row>
    <row r="39" spans="1:40" s="203" customFormat="1" ht="12.75" customHeight="1">
      <c r="A39" s="63"/>
      <c r="B39" s="64"/>
      <c r="C39" s="64"/>
      <c r="D39" s="65"/>
      <c r="E39" s="66"/>
      <c r="F39" s="67"/>
      <c r="G39" s="21"/>
      <c r="H39" s="67"/>
      <c r="I39" s="68"/>
      <c r="J39" s="231"/>
      <c r="K39" s="231"/>
      <c r="L39" s="231"/>
      <c r="M39" s="231"/>
      <c r="N39" s="231"/>
      <c r="O39" s="231"/>
      <c r="P39" s="231"/>
      <c r="Q39" s="231"/>
      <c r="R39" s="231"/>
      <c r="S39" s="231"/>
      <c r="T39" s="231"/>
      <c r="U39" s="231"/>
      <c r="V39" s="231"/>
      <c r="W39" s="231"/>
      <c r="X39" s="231"/>
      <c r="Y39" s="231"/>
      <c r="Z39" s="231"/>
      <c r="AA39" s="231"/>
      <c r="AB39" s="231"/>
      <c r="AC39" s="231"/>
      <c r="AD39" s="231"/>
      <c r="AE39" s="231"/>
      <c r="AF39" s="231"/>
      <c r="AG39" s="231"/>
      <c r="AH39" s="231"/>
      <c r="AI39" s="231"/>
      <c r="AJ39" s="231"/>
      <c r="AK39" s="231"/>
      <c r="AL39" s="231"/>
      <c r="AM39" s="231"/>
      <c r="AN39" s="231"/>
    </row>
    <row r="40" spans="1:40" s="203" customFormat="1" ht="12.75" customHeight="1">
      <c r="A40" s="893" t="s">
        <v>63</v>
      </c>
      <c r="B40" s="894"/>
      <c r="C40" s="894"/>
      <c r="D40" s="895"/>
      <c r="E40" s="878" t="s">
        <v>376</v>
      </c>
      <c r="F40" s="856" t="s">
        <v>407</v>
      </c>
      <c r="G40" s="36"/>
      <c r="H40" s="878" t="s">
        <v>406</v>
      </c>
      <c r="I40" s="43"/>
      <c r="J40" s="231"/>
      <c r="K40" s="231"/>
      <c r="L40" s="231"/>
      <c r="M40" s="231"/>
      <c r="N40" s="231"/>
      <c r="O40" s="231"/>
      <c r="P40" s="231"/>
      <c r="Q40" s="231"/>
      <c r="R40" s="231"/>
      <c r="S40" s="231"/>
      <c r="T40" s="231"/>
      <c r="U40" s="231"/>
      <c r="V40" s="231"/>
      <c r="W40" s="231"/>
      <c r="X40" s="231"/>
      <c r="Y40" s="231"/>
      <c r="Z40" s="231"/>
      <c r="AA40" s="231"/>
      <c r="AB40" s="231"/>
      <c r="AC40" s="231"/>
      <c r="AD40" s="231"/>
      <c r="AE40" s="231"/>
      <c r="AF40" s="231"/>
      <c r="AG40" s="231"/>
      <c r="AH40" s="231"/>
      <c r="AI40" s="231"/>
      <c r="AJ40" s="231"/>
      <c r="AK40" s="231"/>
      <c r="AL40" s="231"/>
      <c r="AM40" s="231"/>
      <c r="AN40" s="231"/>
    </row>
    <row r="41" spans="1:40" s="203" customFormat="1" ht="27.75" customHeight="1">
      <c r="A41" s="876"/>
      <c r="B41" s="877"/>
      <c r="C41" s="877"/>
      <c r="D41" s="896"/>
      <c r="E41" s="879"/>
      <c r="F41" s="860"/>
      <c r="G41" s="23"/>
      <c r="H41" s="879"/>
      <c r="I41" s="43"/>
      <c r="J41" s="231"/>
      <c r="K41" s="231"/>
      <c r="L41" s="231"/>
      <c r="M41" s="231"/>
      <c r="N41" s="231"/>
      <c r="O41" s="231"/>
      <c r="P41" s="231"/>
      <c r="Q41" s="231"/>
      <c r="R41" s="231"/>
      <c r="S41" s="231"/>
      <c r="T41" s="231"/>
      <c r="U41" s="231"/>
      <c r="V41" s="231"/>
      <c r="W41" s="231"/>
      <c r="X41" s="231"/>
      <c r="Y41" s="231"/>
      <c r="Z41" s="231"/>
      <c r="AA41" s="231"/>
      <c r="AB41" s="231"/>
      <c r="AC41" s="231"/>
      <c r="AD41" s="231"/>
      <c r="AE41" s="231"/>
      <c r="AF41" s="231"/>
      <c r="AG41" s="231"/>
      <c r="AH41" s="231"/>
      <c r="AI41" s="231"/>
      <c r="AJ41" s="231"/>
      <c r="AK41" s="231"/>
      <c r="AL41" s="231"/>
      <c r="AM41" s="231"/>
      <c r="AN41" s="231"/>
    </row>
    <row r="42" spans="1:40" s="203" customFormat="1">
      <c r="A42" s="655" t="s">
        <v>64</v>
      </c>
      <c r="B42" s="69" t="s">
        <v>65</v>
      </c>
      <c r="C42" s="69"/>
      <c r="D42" s="70"/>
      <c r="E42" s="71"/>
      <c r="F42" s="72" t="str">
        <f>IF(OR(F43&lt;0,F44&lt;0,F47&lt;0,F48&lt;0,H43&lt;0,H44&lt;0,H47&lt;0,H48&lt;0),"Funding should be recorded as positive figures",".")</f>
        <v>.</v>
      </c>
      <c r="G42" s="45"/>
      <c r="H42" s="73"/>
      <c r="I42" s="43"/>
      <c r="J42" s="231"/>
      <c r="K42" s="231"/>
      <c r="L42" s="231"/>
      <c r="M42" s="231"/>
      <c r="N42" s="231"/>
      <c r="O42" s="231"/>
      <c r="P42" s="231"/>
      <c r="Q42" s="231"/>
      <c r="R42" s="231"/>
      <c r="S42" s="231"/>
      <c r="T42" s="231"/>
      <c r="U42" s="231"/>
      <c r="V42" s="231"/>
      <c r="W42" s="231"/>
      <c r="X42" s="231"/>
      <c r="Y42" s="231"/>
      <c r="Z42" s="231"/>
      <c r="AA42" s="231"/>
      <c r="AB42" s="231"/>
      <c r="AC42" s="231"/>
      <c r="AD42" s="231"/>
      <c r="AE42" s="231"/>
      <c r="AF42" s="231"/>
      <c r="AG42" s="231"/>
      <c r="AH42" s="231"/>
      <c r="AI42" s="231"/>
      <c r="AJ42" s="231"/>
      <c r="AK42" s="231"/>
      <c r="AL42" s="231"/>
      <c r="AM42" s="231"/>
      <c r="AN42" s="231"/>
    </row>
    <row r="43" spans="1:40" s="203" customFormat="1">
      <c r="A43" s="46">
        <v>1</v>
      </c>
      <c r="B43" s="47" t="s">
        <v>66</v>
      </c>
      <c r="C43" s="47"/>
      <c r="D43" s="48"/>
      <c r="E43" s="74">
        <v>195352</v>
      </c>
      <c r="F43" s="241">
        <v>195373.99999999997</v>
      </c>
      <c r="G43" s="45"/>
      <c r="H43" s="75">
        <v>200626</v>
      </c>
      <c r="I43" s="43"/>
      <c r="J43" s="231"/>
      <c r="K43" s="231"/>
      <c r="L43" s="231"/>
      <c r="M43" s="231"/>
      <c r="N43" s="231"/>
      <c r="O43" s="231"/>
      <c r="P43" s="231"/>
      <c r="Q43" s="231"/>
      <c r="R43" s="231"/>
      <c r="S43" s="231"/>
      <c r="T43" s="231"/>
      <c r="U43" s="231"/>
      <c r="V43" s="231"/>
      <c r="W43" s="231"/>
      <c r="X43" s="231"/>
      <c r="Y43" s="231"/>
      <c r="Z43" s="231"/>
      <c r="AA43" s="231"/>
      <c r="AB43" s="231"/>
      <c r="AC43" s="231"/>
      <c r="AD43" s="231"/>
      <c r="AE43" s="231"/>
      <c r="AF43" s="231"/>
      <c r="AG43" s="231"/>
      <c r="AH43" s="231"/>
      <c r="AI43" s="231"/>
      <c r="AJ43" s="231"/>
      <c r="AK43" s="231"/>
      <c r="AL43" s="231"/>
      <c r="AM43" s="231"/>
      <c r="AN43" s="231"/>
    </row>
    <row r="44" spans="1:40" s="203" customFormat="1">
      <c r="A44" s="46">
        <v>2</v>
      </c>
      <c r="B44" s="47" t="s">
        <v>67</v>
      </c>
      <c r="C44" s="47"/>
      <c r="D44" s="48"/>
      <c r="E44" s="49">
        <v>26073</v>
      </c>
      <c r="F44" s="241">
        <v>26073</v>
      </c>
      <c r="G44" s="45"/>
      <c r="H44" s="75">
        <v>27360</v>
      </c>
      <c r="I44" s="43"/>
      <c r="J44" s="231"/>
      <c r="K44" s="231"/>
      <c r="L44" s="231"/>
      <c r="M44" s="231"/>
      <c r="N44" s="231"/>
      <c r="O44" s="231"/>
      <c r="P44" s="231"/>
      <c r="Q44" s="231"/>
      <c r="R44" s="231"/>
      <c r="S44" s="231"/>
      <c r="T44" s="231"/>
      <c r="U44" s="231"/>
      <c r="V44" s="231"/>
      <c r="W44" s="231"/>
      <c r="X44" s="231"/>
      <c r="Y44" s="231"/>
      <c r="Z44" s="231"/>
      <c r="AA44" s="231"/>
      <c r="AB44" s="231"/>
      <c r="AC44" s="231"/>
      <c r="AD44" s="231"/>
      <c r="AE44" s="231"/>
      <c r="AF44" s="231"/>
      <c r="AG44" s="231"/>
      <c r="AH44" s="231"/>
      <c r="AI44" s="231"/>
      <c r="AJ44" s="231"/>
      <c r="AK44" s="231"/>
      <c r="AL44" s="231"/>
      <c r="AM44" s="231"/>
      <c r="AN44" s="231"/>
    </row>
    <row r="45" spans="1:40" s="203" customFormat="1">
      <c r="A45" s="46">
        <v>3</v>
      </c>
      <c r="B45" s="47" t="s">
        <v>68</v>
      </c>
      <c r="C45" s="47"/>
      <c r="D45" s="48"/>
      <c r="E45" s="49">
        <v>0</v>
      </c>
      <c r="F45" s="52">
        <v>0</v>
      </c>
      <c r="G45" s="45"/>
      <c r="H45" s="75">
        <v>0</v>
      </c>
      <c r="I45" s="43"/>
      <c r="J45" s="231"/>
      <c r="K45" s="231"/>
      <c r="L45" s="231"/>
      <c r="M45" s="231"/>
      <c r="N45" s="231"/>
      <c r="O45" s="231"/>
      <c r="P45" s="231"/>
      <c r="Q45" s="231"/>
      <c r="R45" s="231"/>
      <c r="S45" s="231"/>
      <c r="T45" s="231"/>
      <c r="U45" s="231"/>
      <c r="V45" s="231"/>
      <c r="W45" s="231"/>
      <c r="X45" s="231"/>
      <c r="Y45" s="231"/>
      <c r="Z45" s="231"/>
      <c r="AA45" s="231"/>
      <c r="AB45" s="231"/>
      <c r="AC45" s="231"/>
      <c r="AD45" s="231"/>
      <c r="AE45" s="231"/>
      <c r="AF45" s="231"/>
      <c r="AG45" s="231"/>
      <c r="AH45" s="231"/>
      <c r="AI45" s="231"/>
      <c r="AJ45" s="231"/>
      <c r="AK45" s="231"/>
      <c r="AL45" s="231"/>
      <c r="AM45" s="231"/>
      <c r="AN45" s="231"/>
    </row>
    <row r="46" spans="1:40" s="203" customFormat="1">
      <c r="A46" s="46">
        <v>4</v>
      </c>
      <c r="B46" s="47" t="s">
        <v>70</v>
      </c>
      <c r="C46" s="47"/>
      <c r="D46" s="48"/>
      <c r="E46" s="49">
        <v>0</v>
      </c>
      <c r="F46" s="52">
        <v>0</v>
      </c>
      <c r="G46" s="45"/>
      <c r="H46" s="75">
        <v>0</v>
      </c>
      <c r="I46" s="43"/>
      <c r="J46" s="231"/>
      <c r="K46" s="231"/>
      <c r="L46" s="231"/>
      <c r="M46" s="231"/>
      <c r="N46" s="231"/>
      <c r="O46" s="231"/>
      <c r="P46" s="231"/>
      <c r="Q46" s="231"/>
      <c r="R46" s="231"/>
      <c r="S46" s="231"/>
      <c r="T46" s="231"/>
      <c r="U46" s="231"/>
      <c r="V46" s="231"/>
      <c r="W46" s="231"/>
      <c r="X46" s="231"/>
      <c r="Y46" s="231"/>
      <c r="Z46" s="231"/>
      <c r="AA46" s="231"/>
      <c r="AB46" s="231"/>
      <c r="AC46" s="231"/>
      <c r="AD46" s="231"/>
      <c r="AE46" s="231"/>
      <c r="AF46" s="231"/>
      <c r="AG46" s="231"/>
      <c r="AH46" s="231"/>
      <c r="AI46" s="231"/>
      <c r="AJ46" s="231"/>
      <c r="AK46" s="231"/>
      <c r="AL46" s="231"/>
      <c r="AM46" s="231"/>
      <c r="AN46" s="231"/>
    </row>
    <row r="47" spans="1:40" s="203" customFormat="1">
      <c r="A47" s="46">
        <v>5</v>
      </c>
      <c r="B47" s="47" t="s">
        <v>69</v>
      </c>
      <c r="C47" s="47"/>
      <c r="D47" s="48"/>
      <c r="E47" s="49">
        <v>5695</v>
      </c>
      <c r="F47" s="52">
        <v>8032</v>
      </c>
      <c r="G47" s="45"/>
      <c r="H47" s="76">
        <v>13049</v>
      </c>
      <c r="I47" s="43"/>
      <c r="J47" s="231"/>
      <c r="K47" s="231"/>
      <c r="L47" s="231"/>
      <c r="M47" s="231"/>
      <c r="N47" s="231"/>
      <c r="O47" s="231"/>
      <c r="P47" s="231"/>
      <c r="Q47" s="231"/>
      <c r="R47" s="231"/>
      <c r="S47" s="231"/>
      <c r="T47" s="231"/>
      <c r="U47" s="231"/>
      <c r="V47" s="231"/>
      <c r="W47" s="231"/>
      <c r="X47" s="231"/>
      <c r="Y47" s="231"/>
      <c r="Z47" s="231"/>
      <c r="AA47" s="231"/>
      <c r="AB47" s="231"/>
      <c r="AC47" s="231"/>
      <c r="AD47" s="231"/>
      <c r="AE47" s="231"/>
      <c r="AF47" s="231"/>
      <c r="AG47" s="231"/>
      <c r="AH47" s="231"/>
      <c r="AI47" s="231"/>
      <c r="AJ47" s="231"/>
      <c r="AK47" s="231"/>
      <c r="AL47" s="231"/>
      <c r="AM47" s="231"/>
      <c r="AN47" s="231"/>
    </row>
    <row r="48" spans="1:40" s="203" customFormat="1">
      <c r="A48" s="46">
        <v>6</v>
      </c>
      <c r="B48" s="90" t="s">
        <v>253</v>
      </c>
      <c r="C48" s="47"/>
      <c r="D48" s="195"/>
      <c r="E48" s="49">
        <v>47819</v>
      </c>
      <c r="F48" s="52">
        <v>48134</v>
      </c>
      <c r="G48" s="45"/>
      <c r="H48" s="52">
        <v>51604</v>
      </c>
      <c r="I48" s="43"/>
      <c r="J48" s="231"/>
      <c r="K48" s="231"/>
      <c r="L48" s="231"/>
      <c r="M48" s="231"/>
      <c r="N48" s="231"/>
      <c r="O48" s="231"/>
      <c r="P48" s="231"/>
      <c r="Q48" s="231"/>
      <c r="R48" s="231"/>
      <c r="S48" s="231"/>
      <c r="T48" s="231"/>
      <c r="U48" s="231"/>
      <c r="V48" s="231"/>
      <c r="W48" s="231"/>
      <c r="X48" s="231"/>
      <c r="Y48" s="231"/>
      <c r="Z48" s="231"/>
      <c r="AA48" s="231"/>
      <c r="AB48" s="231"/>
      <c r="AC48" s="231"/>
      <c r="AD48" s="231"/>
      <c r="AE48" s="231"/>
      <c r="AF48" s="231"/>
      <c r="AG48" s="231"/>
      <c r="AH48" s="231"/>
      <c r="AI48" s="231"/>
      <c r="AJ48" s="231"/>
      <c r="AK48" s="231"/>
      <c r="AL48" s="231"/>
      <c r="AM48" s="231"/>
      <c r="AN48" s="231"/>
    </row>
    <row r="49" spans="1:40" s="203" customFormat="1">
      <c r="A49" s="77">
        <v>7</v>
      </c>
      <c r="B49" s="78" t="s">
        <v>71</v>
      </c>
      <c r="C49" s="58"/>
      <c r="D49" s="79"/>
      <c r="E49" s="80">
        <v>274939</v>
      </c>
      <c r="F49" s="81">
        <f>SUM(F43:F48)</f>
        <v>277613</v>
      </c>
      <c r="G49" s="82"/>
      <c r="H49" s="62">
        <f>SUM(H43:H48)</f>
        <v>292639</v>
      </c>
      <c r="I49" s="242"/>
      <c r="J49" s="231"/>
      <c r="K49" s="231"/>
      <c r="L49" s="231"/>
      <c r="M49" s="231"/>
      <c r="N49" s="231"/>
      <c r="O49" s="231"/>
      <c r="P49" s="231"/>
      <c r="Q49" s="231"/>
      <c r="R49" s="231"/>
      <c r="S49" s="231"/>
      <c r="T49" s="231"/>
      <c r="U49" s="231"/>
      <c r="V49" s="231"/>
      <c r="W49" s="231"/>
      <c r="X49" s="231"/>
      <c r="Y49" s="231"/>
      <c r="Z49" s="231"/>
      <c r="AA49" s="231"/>
      <c r="AB49" s="231"/>
      <c r="AC49" s="231"/>
      <c r="AD49" s="231"/>
      <c r="AE49" s="231"/>
      <c r="AF49" s="231"/>
      <c r="AG49" s="231"/>
      <c r="AH49" s="231"/>
      <c r="AI49" s="231"/>
      <c r="AJ49" s="231"/>
      <c r="AK49" s="231"/>
      <c r="AL49" s="231"/>
      <c r="AM49" s="231"/>
      <c r="AN49" s="231"/>
    </row>
    <row r="50" spans="1:40" s="203" customFormat="1">
      <c r="A50" s="83"/>
      <c r="B50" s="244"/>
      <c r="C50" s="244"/>
      <c r="D50" s="244"/>
      <c r="E50" s="85"/>
      <c r="F50" s="244"/>
      <c r="G50" s="86"/>
      <c r="H50" s="86"/>
      <c r="I50" s="21"/>
      <c r="J50" s="231"/>
      <c r="K50" s="231"/>
      <c r="L50" s="231"/>
      <c r="M50" s="231"/>
      <c r="N50" s="231"/>
      <c r="O50" s="231"/>
      <c r="P50" s="231"/>
      <c r="Q50" s="231"/>
      <c r="R50" s="231"/>
      <c r="S50" s="231"/>
      <c r="T50" s="231"/>
      <c r="U50" s="231"/>
      <c r="V50" s="231"/>
      <c r="W50" s="231"/>
      <c r="X50" s="231"/>
      <c r="Y50" s="231"/>
      <c r="Z50" s="231"/>
      <c r="AA50" s="231"/>
      <c r="AB50" s="231"/>
      <c r="AC50" s="231"/>
      <c r="AD50" s="231"/>
      <c r="AE50" s="231"/>
      <c r="AF50" s="231"/>
      <c r="AG50" s="231"/>
      <c r="AH50" s="231"/>
      <c r="AI50" s="231"/>
      <c r="AJ50" s="231"/>
      <c r="AK50" s="231"/>
      <c r="AL50" s="231"/>
      <c r="AM50" s="231"/>
      <c r="AN50" s="231"/>
    </row>
    <row r="51" spans="1:40" s="203" customFormat="1">
      <c r="A51" s="655" t="s">
        <v>72</v>
      </c>
      <c r="B51" s="196" t="s">
        <v>254</v>
      </c>
      <c r="C51" s="69"/>
      <c r="D51" s="70"/>
      <c r="E51" s="87"/>
      <c r="F51" s="88"/>
      <c r="G51" s="45"/>
      <c r="H51" s="89"/>
      <c r="I51" s="43"/>
      <c r="J51" s="231"/>
      <c r="K51" s="231"/>
      <c r="L51" s="231"/>
      <c r="M51" s="231"/>
      <c r="N51" s="231"/>
      <c r="O51" s="231"/>
      <c r="P51" s="231"/>
      <c r="Q51" s="231"/>
      <c r="R51" s="231"/>
      <c r="S51" s="231"/>
      <c r="T51" s="231"/>
      <c r="U51" s="231"/>
      <c r="V51" s="231"/>
      <c r="W51" s="231"/>
      <c r="X51" s="231"/>
      <c r="Y51" s="231"/>
      <c r="Z51" s="231"/>
      <c r="AA51" s="231"/>
      <c r="AB51" s="231"/>
      <c r="AC51" s="231"/>
      <c r="AD51" s="231"/>
      <c r="AE51" s="231"/>
      <c r="AF51" s="231"/>
      <c r="AG51" s="231"/>
      <c r="AH51" s="231"/>
      <c r="AI51" s="231"/>
      <c r="AJ51" s="231"/>
      <c r="AK51" s="231"/>
      <c r="AL51" s="231"/>
      <c r="AM51" s="231"/>
      <c r="AN51" s="231"/>
    </row>
    <row r="52" spans="1:40" s="203" customFormat="1">
      <c r="A52" s="46">
        <v>8</v>
      </c>
      <c r="B52" s="90" t="s">
        <v>73</v>
      </c>
      <c r="C52" s="47"/>
      <c r="D52" s="48"/>
      <c r="E52" s="74">
        <v>277147</v>
      </c>
      <c r="F52" s="50">
        <f>F38</f>
        <v>284272</v>
      </c>
      <c r="G52" s="45"/>
      <c r="H52" s="91">
        <f>H38</f>
        <v>296697</v>
      </c>
      <c r="I52" s="43"/>
      <c r="J52" s="231"/>
      <c r="K52" s="231"/>
      <c r="L52" s="231"/>
      <c r="M52" s="231"/>
      <c r="N52" s="231"/>
      <c r="O52" s="231"/>
      <c r="P52" s="231"/>
      <c r="Q52" s="231"/>
      <c r="R52" s="231"/>
      <c r="S52" s="231"/>
      <c r="T52" s="231"/>
      <c r="U52" s="231"/>
      <c r="V52" s="231"/>
      <c r="W52" s="231"/>
      <c r="X52" s="231"/>
      <c r="Y52" s="231"/>
      <c r="Z52" s="231"/>
      <c r="AA52" s="231"/>
      <c r="AB52" s="231"/>
      <c r="AC52" s="231"/>
      <c r="AD52" s="231"/>
      <c r="AE52" s="231"/>
      <c r="AF52" s="231"/>
      <c r="AG52" s="231"/>
      <c r="AH52" s="231"/>
      <c r="AI52" s="231"/>
      <c r="AJ52" s="231"/>
      <c r="AK52" s="231"/>
      <c r="AL52" s="231"/>
      <c r="AM52" s="231"/>
      <c r="AN52" s="231"/>
    </row>
    <row r="53" spans="1:40" s="203" customFormat="1">
      <c r="A53" s="46">
        <v>9</v>
      </c>
      <c r="B53" s="90" t="s">
        <v>74</v>
      </c>
      <c r="C53" s="47"/>
      <c r="D53" s="48"/>
      <c r="E53" s="49">
        <v>274939</v>
      </c>
      <c r="F53" s="92">
        <f>F49</f>
        <v>277613</v>
      </c>
      <c r="G53" s="45"/>
      <c r="H53" s="91">
        <f>H49</f>
        <v>292639</v>
      </c>
      <c r="I53" s="43"/>
      <c r="J53" s="231"/>
      <c r="K53" s="231"/>
      <c r="L53" s="231"/>
      <c r="M53" s="231"/>
      <c r="N53" s="231"/>
      <c r="O53" s="231"/>
      <c r="P53" s="231"/>
      <c r="Q53" s="231"/>
      <c r="R53" s="231"/>
      <c r="S53" s="231"/>
      <c r="T53" s="231"/>
      <c r="U53" s="231"/>
      <c r="V53" s="231"/>
      <c r="W53" s="231"/>
      <c r="X53" s="231"/>
      <c r="Y53" s="231"/>
      <c r="Z53" s="231"/>
      <c r="AA53" s="231"/>
      <c r="AB53" s="231"/>
      <c r="AC53" s="231"/>
      <c r="AD53" s="231"/>
      <c r="AE53" s="231"/>
      <c r="AF53" s="231"/>
      <c r="AG53" s="231"/>
      <c r="AH53" s="231"/>
      <c r="AI53" s="231"/>
      <c r="AJ53" s="231"/>
      <c r="AK53" s="231"/>
      <c r="AL53" s="231"/>
      <c r="AM53" s="231"/>
      <c r="AN53" s="231"/>
    </row>
    <row r="54" spans="1:40" s="203" customFormat="1">
      <c r="A54" s="657">
        <v>10</v>
      </c>
      <c r="B54" s="93" t="s">
        <v>255</v>
      </c>
      <c r="C54" s="94"/>
      <c r="D54" s="55"/>
      <c r="E54" s="95">
        <v>-2208</v>
      </c>
      <c r="F54" s="96">
        <f>F53-F52</f>
        <v>-6659</v>
      </c>
      <c r="G54" s="45"/>
      <c r="H54" s="97">
        <f>H53-H52</f>
        <v>-4058</v>
      </c>
      <c r="I54" s="43"/>
      <c r="J54" s="231"/>
      <c r="K54" s="231"/>
      <c r="L54" s="231"/>
      <c r="M54" s="231"/>
      <c r="N54" s="231"/>
      <c r="O54" s="231"/>
      <c r="P54" s="231"/>
      <c r="Q54" s="231"/>
      <c r="R54" s="231"/>
      <c r="S54" s="231"/>
      <c r="T54" s="231"/>
      <c r="U54" s="231"/>
      <c r="V54" s="231"/>
      <c r="W54" s="231"/>
      <c r="X54" s="231"/>
      <c r="Y54" s="231"/>
      <c r="Z54" s="231"/>
      <c r="AA54" s="231"/>
      <c r="AB54" s="231"/>
      <c r="AC54" s="231"/>
      <c r="AD54" s="231"/>
      <c r="AE54" s="231"/>
      <c r="AF54" s="231"/>
      <c r="AG54" s="231"/>
      <c r="AH54" s="231"/>
      <c r="AI54" s="231"/>
      <c r="AJ54" s="231"/>
      <c r="AK54" s="231"/>
      <c r="AL54" s="231"/>
      <c r="AM54" s="231"/>
      <c r="AN54" s="231"/>
    </row>
    <row r="55" spans="1:40" s="203" customFormat="1">
      <c r="A55" s="83"/>
      <c r="B55" s="244"/>
      <c r="C55" s="244"/>
      <c r="D55" s="244"/>
      <c r="E55" s="85"/>
      <c r="F55" s="244"/>
      <c r="G55" s="86"/>
      <c r="H55" s="86"/>
      <c r="I55" s="21"/>
      <c r="J55" s="231"/>
      <c r="K55" s="231"/>
      <c r="L55" s="231"/>
      <c r="M55" s="231"/>
      <c r="N55" s="231"/>
      <c r="O55" s="231"/>
      <c r="P55" s="231"/>
      <c r="Q55" s="231"/>
      <c r="R55" s="231"/>
      <c r="S55" s="231"/>
      <c r="T55" s="231"/>
      <c r="U55" s="231"/>
      <c r="V55" s="231"/>
      <c r="W55" s="231"/>
      <c r="X55" s="231"/>
      <c r="Y55" s="231"/>
      <c r="Z55" s="231"/>
      <c r="AA55" s="231"/>
      <c r="AB55" s="231"/>
      <c r="AC55" s="231"/>
      <c r="AD55" s="231"/>
      <c r="AE55" s="231"/>
      <c r="AF55" s="231"/>
      <c r="AG55" s="231"/>
      <c r="AH55" s="231"/>
      <c r="AI55" s="231"/>
      <c r="AJ55" s="231"/>
      <c r="AK55" s="231"/>
      <c r="AL55" s="231"/>
      <c r="AM55" s="231"/>
      <c r="AN55" s="231"/>
    </row>
    <row r="56" spans="1:40" s="203" customFormat="1">
      <c r="A56" s="655" t="s">
        <v>75</v>
      </c>
      <c r="B56" s="69" t="s">
        <v>256</v>
      </c>
      <c r="C56" s="69"/>
      <c r="D56" s="70"/>
      <c r="E56" s="87"/>
      <c r="F56" s="88"/>
      <c r="G56" s="45"/>
      <c r="H56" s="89"/>
      <c r="I56" s="43"/>
      <c r="J56" s="231"/>
      <c r="K56" s="231"/>
      <c r="L56" s="231"/>
      <c r="M56" s="231"/>
      <c r="N56" s="231"/>
      <c r="O56" s="231"/>
      <c r="P56" s="231"/>
      <c r="Q56" s="231"/>
      <c r="R56" s="231"/>
      <c r="S56" s="231"/>
      <c r="T56" s="231"/>
      <c r="U56" s="231"/>
      <c r="V56" s="231"/>
      <c r="W56" s="231"/>
      <c r="X56" s="231"/>
      <c r="Y56" s="231"/>
      <c r="Z56" s="231"/>
      <c r="AA56" s="231"/>
      <c r="AB56" s="231"/>
      <c r="AC56" s="231"/>
      <c r="AD56" s="231"/>
      <c r="AE56" s="231"/>
      <c r="AF56" s="231"/>
      <c r="AG56" s="231"/>
      <c r="AH56" s="231"/>
      <c r="AI56" s="231"/>
      <c r="AJ56" s="231"/>
      <c r="AK56" s="231"/>
      <c r="AL56" s="231"/>
      <c r="AM56" s="231"/>
      <c r="AN56" s="231"/>
    </row>
    <row r="57" spans="1:40" s="203" customFormat="1">
      <c r="A57" s="46">
        <v>11</v>
      </c>
      <c r="B57" s="47" t="s">
        <v>76</v>
      </c>
      <c r="C57" s="47"/>
      <c r="D57" s="48"/>
      <c r="E57" s="74">
        <v>32808</v>
      </c>
      <c r="F57" s="52">
        <v>39835</v>
      </c>
      <c r="G57" s="45"/>
      <c r="H57" s="91">
        <f>F61</f>
        <v>34517</v>
      </c>
      <c r="I57" s="43"/>
      <c r="J57" s="231"/>
      <c r="K57" s="231"/>
      <c r="L57" s="231"/>
      <c r="M57" s="231"/>
      <c r="N57" s="231"/>
      <c r="O57" s="231"/>
      <c r="P57" s="231"/>
      <c r="Q57" s="231"/>
      <c r="R57" s="231"/>
      <c r="S57" s="231"/>
      <c r="T57" s="231"/>
      <c r="U57" s="231"/>
      <c r="V57" s="231"/>
      <c r="W57" s="231"/>
      <c r="X57" s="231"/>
      <c r="Y57" s="231"/>
      <c r="Z57" s="231"/>
      <c r="AA57" s="231"/>
      <c r="AB57" s="231"/>
      <c r="AC57" s="231"/>
      <c r="AD57" s="231"/>
      <c r="AE57" s="231"/>
      <c r="AF57" s="231"/>
      <c r="AG57" s="231"/>
      <c r="AH57" s="231"/>
      <c r="AI57" s="231"/>
      <c r="AJ57" s="231"/>
      <c r="AK57" s="231"/>
      <c r="AL57" s="231"/>
      <c r="AM57" s="231"/>
      <c r="AN57" s="231"/>
    </row>
    <row r="58" spans="1:40" s="203" customFormat="1">
      <c r="A58" s="46">
        <v>12</v>
      </c>
      <c r="B58" s="90" t="s">
        <v>257</v>
      </c>
      <c r="C58" s="47"/>
      <c r="D58" s="48"/>
      <c r="E58" s="49">
        <v>-2208</v>
      </c>
      <c r="F58" s="92">
        <f>F54</f>
        <v>-6659</v>
      </c>
      <c r="G58" s="45"/>
      <c r="H58" s="98">
        <f>H54</f>
        <v>-4058</v>
      </c>
      <c r="I58" s="43"/>
      <c r="J58" s="231"/>
      <c r="K58" s="231"/>
      <c r="L58" s="231"/>
      <c r="M58" s="231"/>
      <c r="N58" s="231"/>
      <c r="O58" s="231"/>
      <c r="P58" s="231"/>
      <c r="Q58" s="231"/>
      <c r="R58" s="231"/>
      <c r="S58" s="231"/>
      <c r="T58" s="231"/>
      <c r="U58" s="231"/>
      <c r="V58" s="231"/>
      <c r="W58" s="231"/>
      <c r="X58" s="231"/>
      <c r="Y58" s="231"/>
      <c r="Z58" s="231"/>
      <c r="AA58" s="231"/>
      <c r="AB58" s="231"/>
      <c r="AC58" s="231"/>
      <c r="AD58" s="231"/>
      <c r="AE58" s="231"/>
      <c r="AF58" s="231"/>
      <c r="AG58" s="231"/>
      <c r="AH58" s="231"/>
      <c r="AI58" s="231"/>
      <c r="AJ58" s="231"/>
      <c r="AK58" s="231"/>
      <c r="AL58" s="231"/>
      <c r="AM58" s="231"/>
      <c r="AN58" s="231"/>
    </row>
    <row r="59" spans="1:40" s="203" customFormat="1">
      <c r="A59" s="46">
        <v>13</v>
      </c>
      <c r="B59" s="47" t="s">
        <v>77</v>
      </c>
      <c r="C59" s="47"/>
      <c r="D59" s="48"/>
      <c r="E59" s="49">
        <v>0</v>
      </c>
      <c r="F59" s="52">
        <v>0</v>
      </c>
      <c r="G59" s="45"/>
      <c r="H59" s="99">
        <v>0</v>
      </c>
      <c r="I59" s="43"/>
      <c r="J59" s="231"/>
      <c r="K59" s="231"/>
      <c r="L59" s="231"/>
      <c r="M59" s="231"/>
      <c r="N59" s="231"/>
      <c r="O59" s="231"/>
      <c r="P59" s="231"/>
      <c r="Q59" s="231"/>
      <c r="R59" s="231"/>
      <c r="S59" s="231"/>
      <c r="T59" s="231"/>
      <c r="U59" s="231"/>
      <c r="V59" s="231"/>
      <c r="W59" s="231"/>
      <c r="X59" s="231"/>
      <c r="Y59" s="231"/>
      <c r="Z59" s="231"/>
      <c r="AA59" s="231"/>
      <c r="AB59" s="231"/>
      <c r="AC59" s="231"/>
      <c r="AD59" s="231"/>
      <c r="AE59" s="231"/>
      <c r="AF59" s="231"/>
      <c r="AG59" s="231"/>
      <c r="AH59" s="231"/>
      <c r="AI59" s="231"/>
      <c r="AJ59" s="231"/>
      <c r="AK59" s="231"/>
      <c r="AL59" s="231"/>
      <c r="AM59" s="231"/>
      <c r="AN59" s="231"/>
    </row>
    <row r="60" spans="1:40" s="203" customFormat="1">
      <c r="A60" s="46">
        <v>14</v>
      </c>
      <c r="B60" s="47" t="s">
        <v>78</v>
      </c>
      <c r="C60" s="47"/>
      <c r="D60" s="48"/>
      <c r="E60" s="49">
        <v>-1059</v>
      </c>
      <c r="F60" s="52">
        <v>1341</v>
      </c>
      <c r="G60" s="45"/>
      <c r="H60" s="100">
        <v>-787</v>
      </c>
      <c r="I60" s="43"/>
      <c r="J60" s="231"/>
      <c r="K60" s="231"/>
      <c r="L60" s="231"/>
      <c r="M60" s="231"/>
      <c r="N60" s="231"/>
      <c r="O60" s="231"/>
      <c r="P60" s="231"/>
      <c r="Q60" s="231"/>
      <c r="R60" s="231"/>
      <c r="S60" s="231"/>
      <c r="T60" s="231"/>
      <c r="U60" s="231"/>
      <c r="V60" s="231"/>
      <c r="W60" s="231"/>
      <c r="X60" s="231"/>
      <c r="Y60" s="231"/>
      <c r="Z60" s="231"/>
      <c r="AA60" s="231"/>
      <c r="AB60" s="231"/>
      <c r="AC60" s="231"/>
      <c r="AD60" s="231"/>
      <c r="AE60" s="231"/>
      <c r="AF60" s="231"/>
      <c r="AG60" s="231"/>
      <c r="AH60" s="231"/>
      <c r="AI60" s="231"/>
      <c r="AJ60" s="231"/>
      <c r="AK60" s="231"/>
      <c r="AL60" s="231"/>
      <c r="AM60" s="231"/>
      <c r="AN60" s="231"/>
    </row>
    <row r="61" spans="1:40" s="203" customFormat="1">
      <c r="A61" s="53">
        <v>15</v>
      </c>
      <c r="B61" s="54" t="s">
        <v>79</v>
      </c>
      <c r="C61" s="54"/>
      <c r="D61" s="55"/>
      <c r="E61" s="56">
        <v>29541</v>
      </c>
      <c r="F61" s="96">
        <f>F57+F58+F59+F60</f>
        <v>34517</v>
      </c>
      <c r="G61" s="45"/>
      <c r="H61" s="101">
        <f>H57+H58+H59+H60</f>
        <v>29672</v>
      </c>
      <c r="I61" s="43"/>
      <c r="J61" s="231"/>
      <c r="K61" s="231"/>
      <c r="L61" s="231"/>
      <c r="M61" s="231"/>
      <c r="N61" s="231"/>
      <c r="O61" s="231"/>
      <c r="P61" s="231"/>
      <c r="Q61" s="231"/>
      <c r="R61" s="231"/>
      <c r="S61" s="231"/>
      <c r="T61" s="231"/>
      <c r="U61" s="231"/>
      <c r="V61" s="231"/>
      <c r="W61" s="231"/>
      <c r="X61" s="231"/>
      <c r="Y61" s="231"/>
      <c r="Z61" s="231"/>
      <c r="AA61" s="231"/>
      <c r="AB61" s="231"/>
      <c r="AC61" s="231"/>
      <c r="AD61" s="231"/>
      <c r="AE61" s="231"/>
      <c r="AF61" s="231"/>
      <c r="AG61" s="231"/>
      <c r="AH61" s="231"/>
      <c r="AI61" s="231"/>
      <c r="AJ61" s="231"/>
      <c r="AK61" s="231"/>
      <c r="AL61" s="231"/>
      <c r="AM61" s="231"/>
      <c r="AN61" s="231"/>
    </row>
    <row r="62" spans="1:40" s="203" customFormat="1">
      <c r="A62" s="102"/>
      <c r="B62" s="207"/>
      <c r="C62" s="207"/>
      <c r="D62" s="207"/>
      <c r="E62" s="103"/>
      <c r="F62" s="21"/>
      <c r="G62" s="21"/>
      <c r="H62" s="21"/>
      <c r="I62" s="21"/>
      <c r="J62" s="231"/>
      <c r="K62" s="231"/>
      <c r="L62" s="231"/>
      <c r="M62" s="231"/>
      <c r="N62" s="231"/>
      <c r="O62" s="231"/>
      <c r="P62" s="231"/>
      <c r="Q62" s="231"/>
      <c r="R62" s="231"/>
      <c r="S62" s="231"/>
      <c r="T62" s="231"/>
      <c r="U62" s="231"/>
      <c r="V62" s="231"/>
      <c r="W62" s="231"/>
      <c r="X62" s="231"/>
      <c r="Y62" s="231"/>
      <c r="Z62" s="231"/>
      <c r="AA62" s="231"/>
      <c r="AB62" s="231"/>
      <c r="AC62" s="231"/>
      <c r="AD62" s="231"/>
      <c r="AE62" s="231"/>
      <c r="AF62" s="231"/>
      <c r="AG62" s="231"/>
      <c r="AH62" s="231"/>
      <c r="AI62" s="231"/>
      <c r="AJ62" s="231"/>
      <c r="AK62" s="231"/>
      <c r="AL62" s="231"/>
      <c r="AM62" s="231"/>
      <c r="AN62" s="231"/>
    </row>
    <row r="63" spans="1:40" s="203" customFormat="1" ht="12.75" customHeight="1">
      <c r="A63" s="23"/>
      <c r="B63" s="207"/>
      <c r="C63" s="207"/>
      <c r="D63" s="207"/>
      <c r="E63" s="15"/>
      <c r="F63" s="207"/>
      <c r="G63" s="207"/>
      <c r="H63" s="21"/>
      <c r="I63" s="21"/>
      <c r="J63" s="231"/>
      <c r="K63" s="231"/>
      <c r="L63" s="231"/>
      <c r="M63" s="231"/>
      <c r="N63" s="231"/>
      <c r="O63" s="231"/>
      <c r="P63" s="231"/>
      <c r="Q63" s="231"/>
      <c r="R63" s="231"/>
      <c r="S63" s="231"/>
      <c r="T63" s="231"/>
      <c r="U63" s="231"/>
      <c r="V63" s="231"/>
      <c r="W63" s="231"/>
      <c r="X63" s="231"/>
      <c r="Y63" s="231"/>
      <c r="Z63" s="231"/>
      <c r="AA63" s="231"/>
      <c r="AB63" s="231"/>
      <c r="AC63" s="231"/>
      <c r="AD63" s="231"/>
      <c r="AE63" s="231"/>
      <c r="AF63" s="231"/>
      <c r="AG63" s="231"/>
      <c r="AH63" s="231"/>
      <c r="AI63" s="231"/>
      <c r="AJ63" s="231"/>
      <c r="AK63" s="231"/>
      <c r="AL63" s="231"/>
      <c r="AM63" s="231"/>
      <c r="AN63" s="231"/>
    </row>
    <row r="64" spans="1:40" s="203" customFormat="1" ht="15">
      <c r="A64" s="104" t="s">
        <v>80</v>
      </c>
      <c r="B64" s="29"/>
      <c r="C64" s="29"/>
      <c r="D64" s="29"/>
      <c r="E64" s="15"/>
      <c r="F64" s="29"/>
      <c r="G64" s="29"/>
      <c r="H64" s="29"/>
      <c r="I64" s="29"/>
      <c r="J64" s="231"/>
      <c r="K64" s="231"/>
      <c r="L64" s="231"/>
      <c r="M64" s="231"/>
      <c r="N64" s="231"/>
      <c r="O64" s="231"/>
      <c r="P64" s="231"/>
      <c r="Q64" s="231"/>
      <c r="R64" s="231"/>
      <c r="S64" s="231"/>
      <c r="T64" s="231"/>
      <c r="U64" s="231"/>
      <c r="V64" s="231"/>
      <c r="W64" s="231"/>
      <c r="X64" s="231"/>
      <c r="Y64" s="231"/>
      <c r="Z64" s="231"/>
      <c r="AA64" s="231"/>
      <c r="AB64" s="231"/>
      <c r="AC64" s="231"/>
      <c r="AD64" s="231"/>
      <c r="AE64" s="231"/>
      <c r="AF64" s="231"/>
      <c r="AG64" s="231"/>
      <c r="AH64" s="231"/>
      <c r="AI64" s="231"/>
      <c r="AJ64" s="231"/>
      <c r="AK64" s="231"/>
      <c r="AL64" s="231"/>
      <c r="AM64" s="231"/>
      <c r="AN64" s="231"/>
    </row>
    <row r="65" spans="1:40" s="203" customFormat="1">
      <c r="A65" s="32"/>
      <c r="B65" s="29"/>
      <c r="C65" s="29"/>
      <c r="D65" s="29"/>
      <c r="E65" s="105"/>
      <c r="F65" s="29"/>
      <c r="G65" s="29"/>
      <c r="H65" s="29"/>
      <c r="I65" s="131" t="s">
        <v>27</v>
      </c>
      <c r="J65" s="231"/>
      <c r="K65" s="231"/>
      <c r="L65" s="231"/>
      <c r="M65" s="231"/>
      <c r="N65" s="231"/>
      <c r="O65" s="231"/>
      <c r="P65" s="231"/>
      <c r="Q65" s="231"/>
      <c r="R65" s="231"/>
      <c r="S65" s="231"/>
      <c r="T65" s="231"/>
      <c r="U65" s="231"/>
      <c r="V65" s="231"/>
      <c r="W65" s="231"/>
      <c r="X65" s="231"/>
      <c r="Y65" s="231"/>
      <c r="Z65" s="231"/>
      <c r="AA65" s="231"/>
      <c r="AB65" s="231"/>
      <c r="AC65" s="231"/>
      <c r="AD65" s="231"/>
      <c r="AE65" s="231"/>
      <c r="AF65" s="231"/>
      <c r="AG65" s="231"/>
      <c r="AH65" s="231"/>
      <c r="AI65" s="231"/>
      <c r="AJ65" s="231"/>
      <c r="AK65" s="231"/>
      <c r="AL65" s="231"/>
      <c r="AM65" s="231"/>
      <c r="AN65" s="231"/>
    </row>
    <row r="66" spans="1:40" s="203" customFormat="1">
      <c r="A66" s="106" t="s">
        <v>14</v>
      </c>
      <c r="B66" s="107"/>
      <c r="C66" s="107"/>
      <c r="D66" s="107"/>
      <c r="E66" s="856" t="s">
        <v>377</v>
      </c>
      <c r="F66" s="962" t="s">
        <v>402</v>
      </c>
      <c r="G66" s="867" t="s">
        <v>81</v>
      </c>
      <c r="H66" s="962" t="s">
        <v>403</v>
      </c>
      <c r="I66" s="867" t="s">
        <v>81</v>
      </c>
      <c r="J66" s="231"/>
      <c r="K66" s="231"/>
      <c r="L66" s="231"/>
      <c r="M66" s="231"/>
      <c r="N66" s="231"/>
      <c r="O66" s="231"/>
      <c r="P66" s="231"/>
      <c r="Q66" s="231"/>
      <c r="R66" s="231"/>
      <c r="S66" s="231"/>
      <c r="T66" s="231"/>
      <c r="U66" s="231"/>
      <c r="V66" s="231"/>
      <c r="W66" s="231"/>
      <c r="X66" s="231"/>
      <c r="Y66" s="231"/>
      <c r="Z66" s="231"/>
      <c r="AA66" s="231"/>
      <c r="AB66" s="231"/>
      <c r="AC66" s="231"/>
      <c r="AD66" s="231"/>
      <c r="AE66" s="231"/>
      <c r="AF66" s="231"/>
      <c r="AG66" s="231"/>
      <c r="AH66" s="231"/>
      <c r="AI66" s="231"/>
      <c r="AJ66" s="231"/>
      <c r="AK66" s="231"/>
      <c r="AL66" s="231"/>
      <c r="AM66" s="231"/>
      <c r="AN66" s="231"/>
    </row>
    <row r="67" spans="1:40" s="203" customFormat="1" ht="21" customHeight="1">
      <c r="A67" s="108"/>
      <c r="B67" s="47"/>
      <c r="C67" s="47"/>
      <c r="D67" s="47"/>
      <c r="E67" s="859"/>
      <c r="F67" s="963"/>
      <c r="G67" s="868"/>
      <c r="H67" s="963"/>
      <c r="I67" s="868"/>
      <c r="J67" s="231"/>
      <c r="K67" s="231"/>
      <c r="L67" s="231"/>
      <c r="M67" s="231"/>
      <c r="N67" s="231"/>
      <c r="O67" s="231"/>
      <c r="P67" s="231"/>
      <c r="Q67" s="231"/>
      <c r="R67" s="231"/>
      <c r="S67" s="231"/>
      <c r="T67" s="231"/>
      <c r="U67" s="231"/>
      <c r="V67" s="231"/>
      <c r="W67" s="231"/>
      <c r="X67" s="231"/>
      <c r="Y67" s="231"/>
      <c r="Z67" s="231"/>
      <c r="AA67" s="231"/>
      <c r="AB67" s="231"/>
      <c r="AC67" s="231"/>
      <c r="AD67" s="231"/>
      <c r="AE67" s="231"/>
      <c r="AF67" s="231"/>
      <c r="AG67" s="231"/>
      <c r="AH67" s="231"/>
      <c r="AI67" s="231"/>
      <c r="AJ67" s="231"/>
      <c r="AK67" s="231"/>
      <c r="AL67" s="231"/>
      <c r="AM67" s="231"/>
      <c r="AN67" s="231"/>
    </row>
    <row r="68" spans="1:40" s="203" customFormat="1">
      <c r="A68" s="109" t="s">
        <v>82</v>
      </c>
      <c r="B68" s="47"/>
      <c r="C68" s="47"/>
      <c r="D68" s="47"/>
      <c r="E68" s="859"/>
      <c r="F68" s="963"/>
      <c r="G68" s="868"/>
      <c r="H68" s="963"/>
      <c r="I68" s="868"/>
      <c r="J68" s="231"/>
      <c r="K68" s="231"/>
      <c r="L68" s="231"/>
      <c r="M68" s="231"/>
      <c r="N68" s="231"/>
      <c r="O68" s="231"/>
      <c r="P68" s="231"/>
      <c r="Q68" s="231"/>
      <c r="R68" s="231"/>
      <c r="S68" s="231"/>
      <c r="T68" s="231"/>
      <c r="U68" s="231"/>
      <c r="V68" s="231"/>
      <c r="W68" s="231"/>
      <c r="X68" s="231"/>
      <c r="Y68" s="231"/>
      <c r="Z68" s="231"/>
      <c r="AA68" s="231"/>
      <c r="AB68" s="231"/>
      <c r="AC68" s="231"/>
      <c r="AD68" s="231"/>
      <c r="AE68" s="231"/>
      <c r="AF68" s="231"/>
      <c r="AG68" s="231"/>
      <c r="AH68" s="231"/>
      <c r="AI68" s="231"/>
      <c r="AJ68" s="231"/>
      <c r="AK68" s="231"/>
      <c r="AL68" s="231"/>
      <c r="AM68" s="231"/>
      <c r="AN68" s="231"/>
    </row>
    <row r="69" spans="1:40" s="203" customFormat="1">
      <c r="A69" s="109" t="s">
        <v>83</v>
      </c>
      <c r="B69" s="47"/>
      <c r="C69" s="47"/>
      <c r="D69" s="47"/>
      <c r="E69" s="859"/>
      <c r="F69" s="963"/>
      <c r="G69" s="868"/>
      <c r="H69" s="963"/>
      <c r="I69" s="868"/>
      <c r="J69" s="231"/>
      <c r="K69" s="231"/>
      <c r="L69" s="231"/>
      <c r="M69" s="231"/>
      <c r="N69" s="231"/>
      <c r="O69" s="231"/>
      <c r="P69" s="231"/>
      <c r="Q69" s="231"/>
      <c r="R69" s="231"/>
      <c r="S69" s="231"/>
      <c r="T69" s="231"/>
      <c r="U69" s="231"/>
      <c r="V69" s="231"/>
      <c r="W69" s="231"/>
      <c r="X69" s="231"/>
      <c r="Y69" s="231"/>
      <c r="Z69" s="231"/>
      <c r="AA69" s="231"/>
      <c r="AB69" s="231"/>
      <c r="AC69" s="231"/>
      <c r="AD69" s="231"/>
      <c r="AE69" s="231"/>
      <c r="AF69" s="231"/>
      <c r="AG69" s="231"/>
      <c r="AH69" s="231"/>
      <c r="AI69" s="231"/>
      <c r="AJ69" s="231"/>
      <c r="AK69" s="231"/>
      <c r="AL69" s="231"/>
      <c r="AM69" s="231"/>
      <c r="AN69" s="231"/>
    </row>
    <row r="70" spans="1:40" s="203" customFormat="1">
      <c r="A70" s="110" t="s">
        <v>84</v>
      </c>
      <c r="B70" s="47"/>
      <c r="C70" s="47"/>
      <c r="D70" s="47"/>
      <c r="E70" s="860"/>
      <c r="F70" s="964"/>
      <c r="G70" s="869"/>
      <c r="H70" s="964"/>
      <c r="I70" s="869"/>
      <c r="J70" s="231"/>
      <c r="K70" s="231"/>
      <c r="L70" s="231"/>
      <c r="M70" s="231"/>
      <c r="N70" s="231"/>
      <c r="O70" s="231"/>
      <c r="P70" s="231"/>
      <c r="Q70" s="231"/>
      <c r="R70" s="231"/>
      <c r="S70" s="231"/>
      <c r="T70" s="231"/>
      <c r="U70" s="231"/>
      <c r="V70" s="231"/>
      <c r="W70" s="231"/>
      <c r="X70" s="231"/>
      <c r="Y70" s="231"/>
      <c r="Z70" s="231"/>
      <c r="AA70" s="231"/>
      <c r="AB70" s="231"/>
      <c r="AC70" s="231"/>
      <c r="AD70" s="231"/>
      <c r="AE70" s="231"/>
      <c r="AF70" s="231"/>
      <c r="AG70" s="231"/>
      <c r="AH70" s="231"/>
      <c r="AI70" s="231"/>
      <c r="AJ70" s="231"/>
      <c r="AK70" s="231"/>
      <c r="AL70" s="231"/>
      <c r="AM70" s="231"/>
      <c r="AN70" s="231"/>
    </row>
    <row r="71" spans="1:40" s="203" customFormat="1">
      <c r="A71" s="111">
        <v>1</v>
      </c>
      <c r="B71" s="47" t="s">
        <v>85</v>
      </c>
      <c r="C71" s="47"/>
      <c r="D71" s="47"/>
      <c r="E71" s="41">
        <v>14330</v>
      </c>
      <c r="F71" s="247">
        <v>15406</v>
      </c>
      <c r="G71" s="112">
        <v>11941</v>
      </c>
      <c r="H71" s="248">
        <v>20854</v>
      </c>
      <c r="I71" s="112">
        <v>17484</v>
      </c>
      <c r="J71" s="231"/>
      <c r="K71" s="231"/>
      <c r="L71" s="231"/>
      <c r="M71" s="231"/>
      <c r="N71" s="231"/>
      <c r="O71" s="231"/>
      <c r="P71" s="231"/>
      <c r="Q71" s="231"/>
      <c r="R71" s="231"/>
      <c r="S71" s="231"/>
      <c r="T71" s="231"/>
      <c r="U71" s="231"/>
      <c r="V71" s="231"/>
      <c r="W71" s="231"/>
      <c r="X71" s="231"/>
      <c r="Y71" s="231"/>
      <c r="Z71" s="231"/>
      <c r="AA71" s="231"/>
      <c r="AB71" s="231"/>
      <c r="AC71" s="231"/>
      <c r="AD71" s="231"/>
      <c r="AE71" s="231"/>
      <c r="AF71" s="231"/>
      <c r="AG71" s="231"/>
      <c r="AH71" s="231"/>
      <c r="AI71" s="231"/>
      <c r="AJ71" s="231"/>
      <c r="AK71" s="231"/>
      <c r="AL71" s="231"/>
      <c r="AM71" s="231"/>
      <c r="AN71" s="231"/>
    </row>
    <row r="72" spans="1:40" s="203" customFormat="1">
      <c r="A72" s="111">
        <v>2</v>
      </c>
      <c r="B72" s="47" t="s">
        <v>86</v>
      </c>
      <c r="C72" s="47"/>
      <c r="D72" s="47"/>
      <c r="E72" s="49">
        <v>44031</v>
      </c>
      <c r="F72" s="247">
        <v>46885</v>
      </c>
      <c r="G72" s="113">
        <v>44115</v>
      </c>
      <c r="H72" s="123">
        <v>47244</v>
      </c>
      <c r="I72" s="113">
        <v>44631</v>
      </c>
      <c r="J72" s="231"/>
      <c r="K72" s="231"/>
      <c r="L72" s="231"/>
      <c r="M72" s="231"/>
      <c r="N72" s="231"/>
      <c r="O72" s="231"/>
      <c r="P72" s="231"/>
      <c r="Q72" s="231"/>
      <c r="R72" s="231"/>
      <c r="S72" s="231"/>
      <c r="T72" s="231"/>
      <c r="U72" s="231"/>
      <c r="V72" s="231"/>
      <c r="W72" s="231"/>
      <c r="X72" s="231"/>
      <c r="Y72" s="231"/>
      <c r="Z72" s="231"/>
      <c r="AA72" s="231"/>
      <c r="AB72" s="231"/>
      <c r="AC72" s="231"/>
      <c r="AD72" s="231"/>
      <c r="AE72" s="231"/>
      <c r="AF72" s="231"/>
      <c r="AG72" s="231"/>
      <c r="AH72" s="231"/>
      <c r="AI72" s="231"/>
      <c r="AJ72" s="231"/>
      <c r="AK72" s="231"/>
      <c r="AL72" s="231"/>
      <c r="AM72" s="231"/>
      <c r="AN72" s="231"/>
    </row>
    <row r="73" spans="1:40" s="203" customFormat="1">
      <c r="A73" s="111">
        <v>3</v>
      </c>
      <c r="B73" s="47" t="s">
        <v>87</v>
      </c>
      <c r="C73" s="47"/>
      <c r="D73" s="47"/>
      <c r="E73" s="114">
        <v>46088</v>
      </c>
      <c r="F73" s="247">
        <v>46503</v>
      </c>
      <c r="G73" s="113">
        <v>42187</v>
      </c>
      <c r="H73" s="123">
        <v>48160</v>
      </c>
      <c r="I73" s="113">
        <v>43668</v>
      </c>
      <c r="J73" s="231"/>
      <c r="K73" s="231"/>
      <c r="L73" s="231"/>
      <c r="M73" s="231"/>
      <c r="N73" s="231"/>
      <c r="O73" s="231"/>
      <c r="P73" s="231"/>
      <c r="Q73" s="231"/>
      <c r="R73" s="231"/>
      <c r="S73" s="231"/>
      <c r="T73" s="231"/>
      <c r="U73" s="231"/>
      <c r="V73" s="231"/>
      <c r="W73" s="231"/>
      <c r="X73" s="231"/>
      <c r="Y73" s="231"/>
      <c r="Z73" s="231"/>
      <c r="AA73" s="231"/>
      <c r="AB73" s="231"/>
      <c r="AC73" s="231"/>
      <c r="AD73" s="231"/>
      <c r="AE73" s="231"/>
      <c r="AF73" s="231"/>
      <c r="AG73" s="231"/>
      <c r="AH73" s="231"/>
      <c r="AI73" s="231"/>
      <c r="AJ73" s="231"/>
      <c r="AK73" s="231"/>
      <c r="AL73" s="231"/>
      <c r="AM73" s="231"/>
      <c r="AN73" s="231"/>
    </row>
    <row r="74" spans="1:40" s="203" customFormat="1">
      <c r="A74" s="111">
        <v>4</v>
      </c>
      <c r="B74" s="47" t="s">
        <v>88</v>
      </c>
      <c r="C74" s="47"/>
      <c r="D74" s="47"/>
      <c r="E74" s="114">
        <v>16630</v>
      </c>
      <c r="F74" s="247">
        <v>18064</v>
      </c>
      <c r="G74" s="113">
        <v>9986</v>
      </c>
      <c r="H74" s="123">
        <v>19047</v>
      </c>
      <c r="I74" s="113">
        <v>9984</v>
      </c>
      <c r="J74" s="231"/>
      <c r="K74" s="231"/>
      <c r="L74" s="231"/>
      <c r="M74" s="231"/>
      <c r="N74" s="231"/>
      <c r="O74" s="231"/>
      <c r="P74" s="231"/>
      <c r="Q74" s="231"/>
      <c r="R74" s="231"/>
      <c r="S74" s="231"/>
      <c r="T74" s="231"/>
      <c r="U74" s="231"/>
      <c r="V74" s="231"/>
      <c r="W74" s="231"/>
      <c r="X74" s="231"/>
      <c r="Y74" s="231"/>
      <c r="Z74" s="231"/>
      <c r="AA74" s="231"/>
      <c r="AB74" s="231"/>
      <c r="AC74" s="231"/>
      <c r="AD74" s="231"/>
      <c r="AE74" s="231"/>
      <c r="AF74" s="231"/>
      <c r="AG74" s="231"/>
      <c r="AH74" s="231"/>
      <c r="AI74" s="231"/>
      <c r="AJ74" s="231"/>
      <c r="AK74" s="231"/>
      <c r="AL74" s="231"/>
      <c r="AM74" s="231"/>
      <c r="AN74" s="231"/>
    </row>
    <row r="75" spans="1:40" s="203" customFormat="1">
      <c r="A75" s="111">
        <v>5</v>
      </c>
      <c r="B75" s="47" t="s">
        <v>89</v>
      </c>
      <c r="C75" s="47" t="s">
        <v>90</v>
      </c>
      <c r="D75" s="47"/>
      <c r="E75" s="114">
        <v>3080</v>
      </c>
      <c r="F75" s="247">
        <v>2915</v>
      </c>
      <c r="G75" s="113">
        <v>177</v>
      </c>
      <c r="H75" s="123">
        <v>3014</v>
      </c>
      <c r="I75" s="113">
        <v>188</v>
      </c>
      <c r="J75" s="231"/>
      <c r="K75" s="231"/>
      <c r="L75" s="231"/>
      <c r="M75" s="231"/>
      <c r="N75" s="231"/>
      <c r="O75" s="231"/>
      <c r="P75" s="231"/>
      <c r="Q75" s="231"/>
      <c r="R75" s="231"/>
      <c r="S75" s="231"/>
      <c r="T75" s="231"/>
      <c r="U75" s="231"/>
      <c r="V75" s="231"/>
      <c r="W75" s="231"/>
      <c r="X75" s="231"/>
      <c r="Y75" s="231"/>
      <c r="Z75" s="231"/>
      <c r="AA75" s="231"/>
      <c r="AB75" s="231"/>
      <c r="AC75" s="231"/>
      <c r="AD75" s="231"/>
      <c r="AE75" s="231"/>
      <c r="AF75" s="231"/>
      <c r="AG75" s="231"/>
      <c r="AH75" s="231"/>
      <c r="AI75" s="231"/>
      <c r="AJ75" s="231"/>
      <c r="AK75" s="231"/>
      <c r="AL75" s="231"/>
      <c r="AM75" s="231"/>
      <c r="AN75" s="231"/>
    </row>
    <row r="76" spans="1:40" s="203" customFormat="1">
      <c r="A76" s="656"/>
      <c r="B76" s="658"/>
      <c r="C76" s="47" t="s">
        <v>91</v>
      </c>
      <c r="D76" s="47"/>
      <c r="E76" s="114">
        <v>37</v>
      </c>
      <c r="F76" s="247">
        <v>10</v>
      </c>
      <c r="G76" s="115">
        <v>0</v>
      </c>
      <c r="H76" s="249">
        <v>9</v>
      </c>
      <c r="I76" s="115">
        <v>0</v>
      </c>
      <c r="J76" s="231"/>
      <c r="K76" s="231"/>
      <c r="L76" s="231"/>
      <c r="M76" s="231"/>
      <c r="N76" s="231"/>
      <c r="O76" s="231"/>
      <c r="P76" s="231"/>
      <c r="Q76" s="231"/>
      <c r="R76" s="231"/>
      <c r="S76" s="231"/>
      <c r="T76" s="231"/>
      <c r="U76" s="231"/>
      <c r="V76" s="231"/>
      <c r="W76" s="231"/>
      <c r="X76" s="231"/>
      <c r="Y76" s="231"/>
      <c r="Z76" s="231"/>
      <c r="AA76" s="231"/>
      <c r="AB76" s="231"/>
      <c r="AC76" s="231"/>
      <c r="AD76" s="231"/>
      <c r="AE76" s="231"/>
      <c r="AF76" s="231"/>
      <c r="AG76" s="231"/>
      <c r="AH76" s="231"/>
      <c r="AI76" s="231"/>
      <c r="AJ76" s="231"/>
      <c r="AK76" s="231"/>
      <c r="AL76" s="231"/>
      <c r="AM76" s="231"/>
      <c r="AN76" s="231"/>
    </row>
    <row r="77" spans="1:40" s="203" customFormat="1">
      <c r="A77" s="111">
        <v>6</v>
      </c>
      <c r="B77" s="116" t="s">
        <v>92</v>
      </c>
      <c r="C77" s="116"/>
      <c r="D77" s="47"/>
      <c r="E77" s="80">
        <v>124196</v>
      </c>
      <c r="F77" s="250">
        <f>SUM(F71:F76)</f>
        <v>129783</v>
      </c>
      <c r="G77" s="251">
        <f>SUM(G71:G76)</f>
        <v>108406</v>
      </c>
      <c r="H77" s="252">
        <f>SUM(H71:H76)</f>
        <v>138328</v>
      </c>
      <c r="I77" s="251">
        <f>SUM(I71:I76)</f>
        <v>115955</v>
      </c>
      <c r="J77" s="231"/>
      <c r="K77" s="231"/>
      <c r="L77" s="231"/>
      <c r="M77" s="231"/>
      <c r="N77" s="231"/>
      <c r="O77" s="231"/>
      <c r="P77" s="231"/>
      <c r="Q77" s="231"/>
      <c r="R77" s="231"/>
      <c r="S77" s="231"/>
      <c r="T77" s="231"/>
      <c r="U77" s="231"/>
      <c r="V77" s="231"/>
      <c r="W77" s="231"/>
      <c r="X77" s="231"/>
      <c r="Y77" s="231"/>
      <c r="Z77" s="231"/>
      <c r="AA77" s="231"/>
      <c r="AB77" s="231"/>
      <c r="AC77" s="231"/>
      <c r="AD77" s="231"/>
      <c r="AE77" s="231"/>
      <c r="AF77" s="231"/>
      <c r="AG77" s="231"/>
      <c r="AH77" s="231"/>
      <c r="AI77" s="231"/>
      <c r="AJ77" s="231"/>
      <c r="AK77" s="231"/>
      <c r="AL77" s="231"/>
      <c r="AM77" s="231"/>
      <c r="AN77" s="231"/>
    </row>
    <row r="78" spans="1:40" s="203" customFormat="1">
      <c r="A78" s="656"/>
      <c r="B78" s="47"/>
      <c r="C78" s="47"/>
      <c r="D78" s="47"/>
      <c r="E78" s="117"/>
      <c r="F78" s="118"/>
      <c r="G78" s="118"/>
      <c r="H78" s="118"/>
      <c r="I78" s="118"/>
      <c r="J78" s="231"/>
      <c r="K78" s="231"/>
      <c r="L78" s="231"/>
      <c r="M78" s="231"/>
      <c r="N78" s="231"/>
      <c r="O78" s="231"/>
      <c r="P78" s="231"/>
      <c r="Q78" s="231"/>
      <c r="R78" s="231"/>
      <c r="S78" s="231"/>
      <c r="T78" s="231"/>
      <c r="U78" s="231"/>
      <c r="V78" s="231"/>
      <c r="W78" s="231"/>
      <c r="X78" s="231"/>
      <c r="Y78" s="231"/>
      <c r="Z78" s="231"/>
      <c r="AA78" s="231"/>
      <c r="AB78" s="231"/>
      <c r="AC78" s="231"/>
      <c r="AD78" s="231"/>
      <c r="AE78" s="231"/>
      <c r="AF78" s="231"/>
      <c r="AG78" s="231"/>
      <c r="AH78" s="231"/>
      <c r="AI78" s="231"/>
      <c r="AJ78" s="231"/>
      <c r="AK78" s="231"/>
      <c r="AL78" s="231"/>
      <c r="AM78" s="231"/>
      <c r="AN78" s="231"/>
    </row>
    <row r="79" spans="1:40" s="203" customFormat="1">
      <c r="A79" s="119" t="s">
        <v>93</v>
      </c>
      <c r="B79" s="116"/>
      <c r="C79" s="116"/>
      <c r="D79" s="116"/>
      <c r="E79" s="117"/>
      <c r="F79" s="118"/>
      <c r="G79" s="118"/>
      <c r="H79" s="118"/>
      <c r="I79" s="118"/>
      <c r="J79" s="231"/>
      <c r="K79" s="231"/>
      <c r="L79" s="231"/>
      <c r="M79" s="231"/>
      <c r="N79" s="231"/>
      <c r="O79" s="231"/>
      <c r="P79" s="231"/>
      <c r="Q79" s="231"/>
      <c r="R79" s="231"/>
      <c r="S79" s="231"/>
      <c r="T79" s="231"/>
      <c r="U79" s="231"/>
      <c r="V79" s="231"/>
      <c r="W79" s="231"/>
      <c r="X79" s="231"/>
      <c r="Y79" s="231"/>
      <c r="Z79" s="231"/>
      <c r="AA79" s="231"/>
      <c r="AB79" s="231"/>
      <c r="AC79" s="231"/>
      <c r="AD79" s="231"/>
      <c r="AE79" s="231"/>
      <c r="AF79" s="231"/>
      <c r="AG79" s="231"/>
      <c r="AH79" s="231"/>
      <c r="AI79" s="231"/>
      <c r="AJ79" s="231"/>
      <c r="AK79" s="231"/>
      <c r="AL79" s="231"/>
      <c r="AM79" s="231"/>
      <c r="AN79" s="231"/>
    </row>
    <row r="80" spans="1:40" s="203" customFormat="1">
      <c r="A80" s="120">
        <v>7</v>
      </c>
      <c r="B80" s="47" t="s">
        <v>94</v>
      </c>
      <c r="C80" s="47"/>
      <c r="D80" s="47"/>
      <c r="E80" s="41">
        <v>625</v>
      </c>
      <c r="F80" s="253">
        <v>719</v>
      </c>
      <c r="G80" s="112">
        <v>508</v>
      </c>
      <c r="H80" s="248">
        <v>816</v>
      </c>
      <c r="I80" s="112">
        <v>703</v>
      </c>
      <c r="J80" s="231"/>
      <c r="K80" s="231"/>
      <c r="L80" s="231"/>
      <c r="M80" s="231"/>
      <c r="N80" s="231"/>
      <c r="O80" s="231"/>
      <c r="P80" s="231"/>
      <c r="Q80" s="231"/>
      <c r="R80" s="231"/>
      <c r="S80" s="231"/>
      <c r="T80" s="231"/>
      <c r="U80" s="231"/>
      <c r="V80" s="231"/>
      <c r="W80" s="231"/>
      <c r="X80" s="231"/>
      <c r="Y80" s="231"/>
      <c r="Z80" s="231"/>
      <c r="AA80" s="231"/>
      <c r="AB80" s="231"/>
      <c r="AC80" s="231"/>
      <c r="AD80" s="231"/>
      <c r="AE80" s="231"/>
      <c r="AF80" s="231"/>
      <c r="AG80" s="231"/>
      <c r="AH80" s="231"/>
      <c r="AI80" s="231"/>
      <c r="AJ80" s="231"/>
      <c r="AK80" s="231"/>
      <c r="AL80" s="231"/>
      <c r="AM80" s="231"/>
      <c r="AN80" s="231"/>
    </row>
    <row r="81" spans="1:40" s="203" customFormat="1">
      <c r="A81" s="120">
        <v>8</v>
      </c>
      <c r="B81" s="47" t="s">
        <v>95</v>
      </c>
      <c r="C81" s="47"/>
      <c r="D81" s="47"/>
      <c r="E81" s="49">
        <v>27529</v>
      </c>
      <c r="F81" s="247">
        <v>28491</v>
      </c>
      <c r="G81" s="113">
        <v>24970</v>
      </c>
      <c r="H81" s="123">
        <v>31713</v>
      </c>
      <c r="I81" s="113">
        <v>28661</v>
      </c>
      <c r="J81" s="231"/>
      <c r="K81" s="231"/>
      <c r="L81" s="231"/>
      <c r="M81" s="231"/>
      <c r="N81" s="231"/>
      <c r="O81" s="231"/>
      <c r="P81" s="231"/>
      <c r="Q81" s="231"/>
      <c r="R81" s="231"/>
      <c r="S81" s="231"/>
      <c r="T81" s="231"/>
      <c r="U81" s="231"/>
      <c r="V81" s="231"/>
      <c r="W81" s="231"/>
      <c r="X81" s="231"/>
      <c r="Y81" s="231"/>
      <c r="Z81" s="231"/>
      <c r="AA81" s="231"/>
      <c r="AB81" s="231"/>
      <c r="AC81" s="231"/>
      <c r="AD81" s="231"/>
      <c r="AE81" s="231"/>
      <c r="AF81" s="231"/>
      <c r="AG81" s="231"/>
      <c r="AH81" s="231"/>
      <c r="AI81" s="231"/>
      <c r="AJ81" s="231"/>
      <c r="AK81" s="231"/>
      <c r="AL81" s="231"/>
      <c r="AM81" s="231"/>
      <c r="AN81" s="231"/>
    </row>
    <row r="82" spans="1:40" s="203" customFormat="1">
      <c r="A82" s="120">
        <v>9</v>
      </c>
      <c r="B82" s="47" t="s">
        <v>96</v>
      </c>
      <c r="C82" s="47"/>
      <c r="D82" s="47"/>
      <c r="E82" s="49">
        <v>27051</v>
      </c>
      <c r="F82" s="247">
        <v>28155</v>
      </c>
      <c r="G82" s="113">
        <v>24878</v>
      </c>
      <c r="H82" s="123">
        <v>31512</v>
      </c>
      <c r="I82" s="113">
        <v>28825</v>
      </c>
      <c r="J82" s="231"/>
      <c r="K82" s="231"/>
      <c r="L82" s="231"/>
      <c r="M82" s="231"/>
      <c r="N82" s="231"/>
      <c r="O82" s="231"/>
      <c r="P82" s="231"/>
      <c r="Q82" s="231"/>
      <c r="R82" s="231"/>
      <c r="S82" s="231"/>
      <c r="T82" s="231"/>
      <c r="U82" s="231"/>
      <c r="V82" s="231"/>
      <c r="W82" s="231"/>
      <c r="X82" s="231"/>
      <c r="Y82" s="231"/>
      <c r="Z82" s="231"/>
      <c r="AA82" s="231"/>
      <c r="AB82" s="231"/>
      <c r="AC82" s="231"/>
      <c r="AD82" s="231"/>
      <c r="AE82" s="231"/>
      <c r="AF82" s="231"/>
      <c r="AG82" s="231"/>
      <c r="AH82" s="231"/>
      <c r="AI82" s="231"/>
      <c r="AJ82" s="231"/>
      <c r="AK82" s="231"/>
      <c r="AL82" s="231"/>
      <c r="AM82" s="231"/>
      <c r="AN82" s="231"/>
    </row>
    <row r="83" spans="1:40" s="203" customFormat="1">
      <c r="A83" s="120">
        <v>10</v>
      </c>
      <c r="B83" s="90" t="s">
        <v>97</v>
      </c>
      <c r="C83" s="47"/>
      <c r="D83" s="47"/>
      <c r="E83" s="49">
        <v>15565</v>
      </c>
      <c r="F83" s="247">
        <v>16245</v>
      </c>
      <c r="G83" s="113">
        <v>10441</v>
      </c>
      <c r="H83" s="123">
        <v>17244</v>
      </c>
      <c r="I83" s="113">
        <v>10481</v>
      </c>
      <c r="J83" s="231"/>
      <c r="K83" s="231"/>
      <c r="L83" s="231"/>
      <c r="M83" s="231"/>
      <c r="N83" s="231"/>
      <c r="O83" s="231"/>
      <c r="P83" s="231"/>
      <c r="Q83" s="231"/>
      <c r="R83" s="231"/>
      <c r="S83" s="231"/>
      <c r="T83" s="231"/>
      <c r="U83" s="231"/>
      <c r="V83" s="231"/>
      <c r="W83" s="231"/>
      <c r="X83" s="231"/>
      <c r="Y83" s="231"/>
      <c r="Z83" s="231"/>
      <c r="AA83" s="231"/>
      <c r="AB83" s="231"/>
      <c r="AC83" s="231"/>
      <c r="AD83" s="231"/>
      <c r="AE83" s="231"/>
      <c r="AF83" s="231"/>
      <c r="AG83" s="231"/>
      <c r="AH83" s="231"/>
      <c r="AI83" s="231"/>
      <c r="AJ83" s="231"/>
      <c r="AK83" s="231"/>
      <c r="AL83" s="231"/>
      <c r="AM83" s="231"/>
      <c r="AN83" s="231"/>
    </row>
    <row r="84" spans="1:40" s="203" customFormat="1">
      <c r="A84" s="120">
        <v>11</v>
      </c>
      <c r="B84" s="90" t="s">
        <v>98</v>
      </c>
      <c r="C84" s="47"/>
      <c r="D84" s="47"/>
      <c r="E84" s="49">
        <v>4033</v>
      </c>
      <c r="F84" s="247">
        <v>5625</v>
      </c>
      <c r="G84" s="113">
        <v>5625</v>
      </c>
      <c r="H84" s="123">
        <v>5196</v>
      </c>
      <c r="I84" s="113">
        <v>5196</v>
      </c>
      <c r="J84" s="231"/>
      <c r="K84" s="231"/>
      <c r="L84" s="231"/>
      <c r="M84" s="231"/>
      <c r="N84" s="231"/>
      <c r="O84" s="231"/>
      <c r="P84" s="231"/>
      <c r="Q84" s="231"/>
      <c r="R84" s="231"/>
      <c r="S84" s="231"/>
      <c r="T84" s="231"/>
      <c r="U84" s="231"/>
      <c r="V84" s="231"/>
      <c r="W84" s="231"/>
      <c r="X84" s="231"/>
      <c r="Y84" s="231"/>
      <c r="Z84" s="231"/>
      <c r="AA84" s="231"/>
      <c r="AB84" s="231"/>
      <c r="AC84" s="231"/>
      <c r="AD84" s="231"/>
      <c r="AE84" s="231"/>
      <c r="AF84" s="231"/>
      <c r="AG84" s="231"/>
      <c r="AH84" s="231"/>
      <c r="AI84" s="231"/>
      <c r="AJ84" s="231"/>
      <c r="AK84" s="231"/>
      <c r="AL84" s="231"/>
      <c r="AM84" s="231"/>
      <c r="AN84" s="231"/>
    </row>
    <row r="85" spans="1:40" s="203" customFormat="1">
      <c r="A85" s="120">
        <v>12</v>
      </c>
      <c r="B85" s="47" t="s">
        <v>99</v>
      </c>
      <c r="C85" s="47"/>
      <c r="D85" s="47"/>
      <c r="E85" s="49">
        <v>3692</v>
      </c>
      <c r="F85" s="247">
        <v>3699</v>
      </c>
      <c r="G85" s="113">
        <v>0</v>
      </c>
      <c r="H85" s="123">
        <v>3944</v>
      </c>
      <c r="I85" s="113">
        <v>0</v>
      </c>
      <c r="J85" s="231"/>
      <c r="K85" s="231"/>
      <c r="L85" s="231"/>
      <c r="M85" s="231"/>
      <c r="N85" s="231"/>
      <c r="O85" s="231"/>
      <c r="P85" s="231"/>
      <c r="Q85" s="231"/>
      <c r="R85" s="231"/>
      <c r="S85" s="231"/>
      <c r="T85" s="231"/>
      <c r="U85" s="231"/>
      <c r="V85" s="231"/>
      <c r="W85" s="231"/>
      <c r="X85" s="231"/>
      <c r="Y85" s="231"/>
      <c r="Z85" s="231"/>
      <c r="AA85" s="231"/>
      <c r="AB85" s="231"/>
      <c r="AC85" s="231"/>
      <c r="AD85" s="231"/>
      <c r="AE85" s="231"/>
      <c r="AF85" s="231"/>
      <c r="AG85" s="231"/>
      <c r="AH85" s="231"/>
      <c r="AI85" s="231"/>
      <c r="AJ85" s="231"/>
      <c r="AK85" s="231"/>
      <c r="AL85" s="231"/>
      <c r="AM85" s="231"/>
      <c r="AN85" s="231"/>
    </row>
    <row r="86" spans="1:40" s="203" customFormat="1">
      <c r="A86" s="120">
        <v>13</v>
      </c>
      <c r="B86" s="47" t="s">
        <v>100</v>
      </c>
      <c r="C86" s="47"/>
      <c r="D86" s="47"/>
      <c r="E86" s="49">
        <v>27834</v>
      </c>
      <c r="F86" s="247">
        <v>28877</v>
      </c>
      <c r="G86" s="113">
        <v>21870</v>
      </c>
      <c r="H86" s="123">
        <v>30396</v>
      </c>
      <c r="I86" s="113">
        <v>23019</v>
      </c>
      <c r="J86" s="231"/>
      <c r="K86" s="231"/>
      <c r="L86" s="231"/>
      <c r="M86" s="231"/>
      <c r="N86" s="231"/>
      <c r="O86" s="231"/>
      <c r="P86" s="231"/>
      <c r="Q86" s="231"/>
      <c r="R86" s="231"/>
      <c r="S86" s="231"/>
      <c r="T86" s="231"/>
      <c r="U86" s="231"/>
      <c r="V86" s="231"/>
      <c r="W86" s="231"/>
      <c r="X86" s="231"/>
      <c r="Y86" s="231"/>
      <c r="Z86" s="231"/>
      <c r="AA86" s="231"/>
      <c r="AB86" s="231"/>
      <c r="AC86" s="231"/>
      <c r="AD86" s="231"/>
      <c r="AE86" s="231"/>
      <c r="AF86" s="231"/>
      <c r="AG86" s="231"/>
      <c r="AH86" s="231"/>
      <c r="AI86" s="231"/>
      <c r="AJ86" s="231"/>
      <c r="AK86" s="231"/>
      <c r="AL86" s="231"/>
      <c r="AM86" s="231"/>
      <c r="AN86" s="231"/>
    </row>
    <row r="87" spans="1:40" s="203" customFormat="1">
      <c r="A87" s="120">
        <v>14</v>
      </c>
      <c r="B87" s="47" t="s">
        <v>101</v>
      </c>
      <c r="C87" s="47"/>
      <c r="D87" s="47"/>
      <c r="E87" s="49">
        <v>0</v>
      </c>
      <c r="F87" s="247">
        <v>0</v>
      </c>
      <c r="G87" s="113">
        <v>0</v>
      </c>
      <c r="H87" s="123">
        <v>0</v>
      </c>
      <c r="I87" s="113">
        <v>0</v>
      </c>
      <c r="J87" s="231"/>
      <c r="K87" s="231"/>
      <c r="L87" s="231"/>
      <c r="M87" s="231"/>
      <c r="N87" s="231"/>
      <c r="O87" s="231"/>
      <c r="P87" s="231"/>
      <c r="Q87" s="231"/>
      <c r="R87" s="231"/>
      <c r="S87" s="231"/>
      <c r="T87" s="231"/>
      <c r="U87" s="231"/>
      <c r="V87" s="231"/>
      <c r="W87" s="231"/>
      <c r="X87" s="231"/>
      <c r="Y87" s="231"/>
      <c r="Z87" s="231"/>
      <c r="AA87" s="231"/>
      <c r="AB87" s="231"/>
      <c r="AC87" s="231"/>
      <c r="AD87" s="231"/>
      <c r="AE87" s="231"/>
      <c r="AF87" s="231"/>
      <c r="AG87" s="231"/>
      <c r="AH87" s="231"/>
      <c r="AI87" s="231"/>
      <c r="AJ87" s="231"/>
      <c r="AK87" s="231"/>
      <c r="AL87" s="231"/>
      <c r="AM87" s="231"/>
      <c r="AN87" s="231"/>
    </row>
    <row r="88" spans="1:40" s="203" customFormat="1">
      <c r="A88" s="124">
        <v>15</v>
      </c>
      <c r="B88" s="125" t="s">
        <v>102</v>
      </c>
      <c r="C88" s="54"/>
      <c r="D88" s="54"/>
      <c r="E88" s="56">
        <v>40</v>
      </c>
      <c r="F88" s="254">
        <v>40</v>
      </c>
      <c r="G88" s="127">
        <v>0</v>
      </c>
      <c r="H88" s="255">
        <v>40</v>
      </c>
      <c r="I88" s="127">
        <v>0</v>
      </c>
      <c r="J88" s="231"/>
      <c r="K88" s="231"/>
      <c r="L88" s="231"/>
      <c r="M88" s="231"/>
      <c r="N88" s="231"/>
      <c r="O88" s="231"/>
      <c r="P88" s="231"/>
      <c r="Q88" s="231"/>
      <c r="R88" s="231"/>
      <c r="S88" s="231"/>
      <c r="T88" s="231"/>
      <c r="U88" s="231"/>
      <c r="V88" s="231"/>
      <c r="W88" s="231"/>
      <c r="X88" s="231"/>
      <c r="Y88" s="231"/>
      <c r="Z88" s="231"/>
      <c r="AA88" s="231"/>
      <c r="AB88" s="231"/>
      <c r="AC88" s="231"/>
      <c r="AD88" s="231"/>
      <c r="AE88" s="231"/>
      <c r="AF88" s="231"/>
      <c r="AG88" s="231"/>
      <c r="AH88" s="231"/>
      <c r="AI88" s="231"/>
      <c r="AJ88" s="231"/>
      <c r="AK88" s="231"/>
      <c r="AL88" s="231"/>
      <c r="AM88" s="231"/>
      <c r="AN88" s="231"/>
    </row>
    <row r="89" spans="1:40" s="203" customFormat="1">
      <c r="A89" s="128"/>
      <c r="B89" s="129"/>
      <c r="C89" s="129"/>
      <c r="D89" s="129"/>
      <c r="E89" s="15"/>
      <c r="F89" s="130"/>
      <c r="G89" s="29"/>
      <c r="H89" s="207"/>
      <c r="I89" s="29"/>
      <c r="J89" s="231"/>
      <c r="K89" s="231"/>
      <c r="L89" s="231"/>
      <c r="M89" s="231"/>
      <c r="N89" s="231"/>
      <c r="O89" s="231"/>
      <c r="P89" s="231"/>
      <c r="Q89" s="231"/>
      <c r="R89" s="231"/>
      <c r="S89" s="231"/>
      <c r="T89" s="231"/>
      <c r="U89" s="231"/>
      <c r="V89" s="231"/>
      <c r="W89" s="231"/>
      <c r="X89" s="231"/>
      <c r="Y89" s="231"/>
      <c r="Z89" s="231"/>
      <c r="AA89" s="231"/>
      <c r="AB89" s="231"/>
      <c r="AC89" s="231"/>
      <c r="AD89" s="231"/>
      <c r="AE89" s="231"/>
      <c r="AF89" s="231"/>
      <c r="AG89" s="231"/>
      <c r="AH89" s="231"/>
      <c r="AI89" s="231"/>
      <c r="AJ89" s="231"/>
      <c r="AK89" s="231"/>
      <c r="AL89" s="231"/>
      <c r="AM89" s="231"/>
      <c r="AN89" s="231"/>
    </row>
    <row r="90" spans="1:40" s="203" customFormat="1">
      <c r="A90" s="128"/>
      <c r="B90" s="129"/>
      <c r="C90" s="129"/>
      <c r="D90" s="129"/>
      <c r="E90" s="105"/>
      <c r="F90" s="130"/>
      <c r="G90" s="29"/>
      <c r="H90" s="131" t="s">
        <v>27</v>
      </c>
      <c r="I90" s="29"/>
      <c r="J90" s="231"/>
      <c r="K90" s="231"/>
      <c r="L90" s="231"/>
      <c r="M90" s="231"/>
      <c r="N90" s="231"/>
      <c r="O90" s="231"/>
      <c r="P90" s="231"/>
      <c r="Q90" s="231"/>
      <c r="R90" s="231"/>
      <c r="S90" s="231"/>
      <c r="T90" s="231"/>
      <c r="U90" s="231"/>
      <c r="V90" s="231"/>
      <c r="W90" s="231"/>
      <c r="X90" s="231"/>
      <c r="Y90" s="231"/>
      <c r="Z90" s="231"/>
      <c r="AA90" s="231"/>
      <c r="AB90" s="231"/>
      <c r="AC90" s="231"/>
      <c r="AD90" s="231"/>
      <c r="AE90" s="231"/>
      <c r="AF90" s="231"/>
      <c r="AG90" s="231"/>
      <c r="AH90" s="231"/>
      <c r="AI90" s="231"/>
      <c r="AJ90" s="231"/>
      <c r="AK90" s="231"/>
      <c r="AL90" s="231"/>
      <c r="AM90" s="231"/>
      <c r="AN90" s="231"/>
    </row>
    <row r="91" spans="1:40" s="203" customFormat="1">
      <c r="A91" s="106" t="s">
        <v>17</v>
      </c>
      <c r="B91" s="107"/>
      <c r="C91" s="107"/>
      <c r="D91" s="107"/>
      <c r="E91" s="856" t="s">
        <v>421</v>
      </c>
      <c r="F91" s="856" t="s">
        <v>402</v>
      </c>
      <c r="G91" s="257"/>
      <c r="H91" s="856" t="s">
        <v>403</v>
      </c>
      <c r="I91" s="29"/>
      <c r="J91" s="231"/>
      <c r="K91" s="231"/>
      <c r="L91" s="231"/>
      <c r="M91" s="231"/>
      <c r="N91" s="231"/>
      <c r="O91" s="231"/>
      <c r="P91" s="231"/>
      <c r="Q91" s="231"/>
      <c r="R91" s="231"/>
      <c r="S91" s="231"/>
      <c r="T91" s="231"/>
      <c r="U91" s="231"/>
      <c r="V91" s="231"/>
      <c r="W91" s="231"/>
      <c r="X91" s="231"/>
      <c r="Y91" s="231"/>
      <c r="Z91" s="231"/>
      <c r="AA91" s="231"/>
      <c r="AB91" s="231"/>
      <c r="AC91" s="231"/>
      <c r="AD91" s="231"/>
      <c r="AE91" s="231"/>
      <c r="AF91" s="231"/>
      <c r="AG91" s="231"/>
      <c r="AH91" s="231"/>
      <c r="AI91" s="231"/>
      <c r="AJ91" s="231"/>
      <c r="AK91" s="231"/>
      <c r="AL91" s="231"/>
      <c r="AM91" s="231"/>
      <c r="AN91" s="231"/>
    </row>
    <row r="92" spans="1:40" s="203" customFormat="1" ht="12.75" customHeight="1">
      <c r="A92" s="109"/>
      <c r="B92" s="132"/>
      <c r="C92" s="132"/>
      <c r="D92" s="132"/>
      <c r="E92" s="859"/>
      <c r="F92" s="859"/>
      <c r="G92" s="29"/>
      <c r="H92" s="859"/>
      <c r="I92" s="29"/>
      <c r="J92" s="231"/>
      <c r="K92" s="231"/>
      <c r="L92" s="231"/>
      <c r="M92" s="231"/>
      <c r="N92" s="231"/>
      <c r="O92" s="231"/>
      <c r="P92" s="231"/>
      <c r="Q92" s="231"/>
      <c r="R92" s="231"/>
      <c r="S92" s="231"/>
      <c r="T92" s="231"/>
      <c r="U92" s="231"/>
      <c r="V92" s="231"/>
      <c r="W92" s="231"/>
      <c r="X92" s="231"/>
      <c r="Y92" s="231"/>
      <c r="Z92" s="231"/>
      <c r="AA92" s="231"/>
      <c r="AB92" s="231"/>
      <c r="AC92" s="231"/>
      <c r="AD92" s="231"/>
      <c r="AE92" s="231"/>
      <c r="AF92" s="231"/>
      <c r="AG92" s="231"/>
      <c r="AH92" s="231"/>
      <c r="AI92" s="231"/>
      <c r="AJ92" s="231"/>
      <c r="AK92" s="231"/>
      <c r="AL92" s="231"/>
      <c r="AM92" s="231"/>
      <c r="AN92" s="231"/>
    </row>
    <row r="93" spans="1:40" s="203" customFormat="1">
      <c r="A93" s="109" t="s">
        <v>103</v>
      </c>
      <c r="B93" s="132"/>
      <c r="C93" s="132"/>
      <c r="D93" s="132"/>
      <c r="E93" s="859"/>
      <c r="F93" s="859"/>
      <c r="G93" s="29"/>
      <c r="H93" s="859"/>
      <c r="I93" s="29"/>
      <c r="J93" s="231"/>
      <c r="K93" s="231"/>
      <c r="L93" s="231"/>
      <c r="M93" s="231"/>
      <c r="N93" s="231"/>
      <c r="O93" s="231"/>
      <c r="P93" s="231"/>
      <c r="Q93" s="231"/>
      <c r="R93" s="231"/>
      <c r="S93" s="231"/>
      <c r="T93" s="231"/>
      <c r="U93" s="231"/>
      <c r="V93" s="231"/>
      <c r="W93" s="231"/>
      <c r="X93" s="231"/>
      <c r="Y93" s="231"/>
      <c r="Z93" s="231"/>
      <c r="AA93" s="231"/>
      <c r="AB93" s="231"/>
      <c r="AC93" s="231"/>
      <c r="AD93" s="231"/>
      <c r="AE93" s="231"/>
      <c r="AF93" s="231"/>
      <c r="AG93" s="231"/>
      <c r="AH93" s="231"/>
      <c r="AI93" s="231"/>
      <c r="AJ93" s="231"/>
      <c r="AK93" s="231"/>
      <c r="AL93" s="231"/>
      <c r="AM93" s="231"/>
      <c r="AN93" s="231"/>
    </row>
    <row r="94" spans="1:40" s="203" customFormat="1">
      <c r="A94" s="109" t="s">
        <v>83</v>
      </c>
      <c r="B94" s="132"/>
      <c r="C94" s="132"/>
      <c r="D94" s="132"/>
      <c r="E94" s="859"/>
      <c r="F94" s="859"/>
      <c r="G94" s="130"/>
      <c r="H94" s="859"/>
      <c r="I94" s="29"/>
      <c r="J94" s="231"/>
      <c r="K94" s="231"/>
      <c r="L94" s="231"/>
      <c r="M94" s="231"/>
      <c r="N94" s="231"/>
      <c r="O94" s="231"/>
      <c r="P94" s="231"/>
      <c r="Q94" s="231"/>
      <c r="R94" s="231"/>
      <c r="S94" s="231"/>
      <c r="T94" s="231"/>
      <c r="U94" s="231"/>
      <c r="V94" s="231"/>
      <c r="W94" s="231"/>
      <c r="X94" s="231"/>
      <c r="Y94" s="231"/>
      <c r="Z94" s="231"/>
      <c r="AA94" s="231"/>
      <c r="AB94" s="231"/>
      <c r="AC94" s="231"/>
      <c r="AD94" s="231"/>
      <c r="AE94" s="231"/>
      <c r="AF94" s="231"/>
      <c r="AG94" s="231"/>
      <c r="AH94" s="231"/>
      <c r="AI94" s="231"/>
      <c r="AJ94" s="231"/>
      <c r="AK94" s="231"/>
      <c r="AL94" s="231"/>
      <c r="AM94" s="231"/>
      <c r="AN94" s="231"/>
    </row>
    <row r="95" spans="1:40" s="203" customFormat="1">
      <c r="A95" s="110" t="s">
        <v>84</v>
      </c>
      <c r="B95" s="132"/>
      <c r="C95" s="132"/>
      <c r="D95" s="132"/>
      <c r="E95" s="860"/>
      <c r="F95" s="860"/>
      <c r="G95" s="130"/>
      <c r="H95" s="860"/>
      <c r="I95" s="130"/>
      <c r="J95" s="231"/>
      <c r="K95" s="231"/>
      <c r="L95" s="231"/>
      <c r="M95" s="231"/>
      <c r="N95" s="231"/>
      <c r="O95" s="231"/>
      <c r="P95" s="231"/>
      <c r="Q95" s="231"/>
      <c r="R95" s="231"/>
      <c r="S95" s="231"/>
      <c r="T95" s="231"/>
      <c r="U95" s="231"/>
      <c r="V95" s="231"/>
      <c r="W95" s="231"/>
      <c r="X95" s="231"/>
      <c r="Y95" s="231"/>
      <c r="Z95" s="231"/>
      <c r="AA95" s="231"/>
      <c r="AB95" s="231"/>
      <c r="AC95" s="231"/>
      <c r="AD95" s="231"/>
      <c r="AE95" s="231"/>
      <c r="AF95" s="231"/>
      <c r="AG95" s="231"/>
      <c r="AH95" s="231"/>
      <c r="AI95" s="231"/>
      <c r="AJ95" s="231"/>
      <c r="AK95" s="231"/>
      <c r="AL95" s="231"/>
      <c r="AM95" s="231"/>
      <c r="AN95" s="231"/>
    </row>
    <row r="96" spans="1:40" s="203" customFormat="1">
      <c r="A96" s="120">
        <v>1</v>
      </c>
      <c r="B96" s="47" t="s">
        <v>104</v>
      </c>
      <c r="C96" s="47"/>
      <c r="D96" s="47"/>
      <c r="E96" s="41">
        <v>2016</v>
      </c>
      <c r="F96" s="52">
        <v>1496</v>
      </c>
      <c r="G96" s="118"/>
      <c r="H96" s="133">
        <v>2152</v>
      </c>
      <c r="I96" s="139"/>
      <c r="J96" s="231"/>
      <c r="K96" s="231"/>
      <c r="L96" s="231"/>
      <c r="M96" s="231"/>
      <c r="N96" s="231"/>
      <c r="O96" s="231"/>
      <c r="P96" s="231"/>
      <c r="Q96" s="231"/>
      <c r="R96" s="231"/>
      <c r="S96" s="231"/>
      <c r="T96" s="231"/>
      <c r="U96" s="231"/>
      <c r="V96" s="231"/>
      <c r="W96" s="231"/>
      <c r="X96" s="231"/>
      <c r="Y96" s="231"/>
      <c r="Z96" s="231"/>
      <c r="AA96" s="231"/>
      <c r="AB96" s="231"/>
      <c r="AC96" s="231"/>
      <c r="AD96" s="231"/>
      <c r="AE96" s="231"/>
      <c r="AF96" s="231"/>
      <c r="AG96" s="231"/>
      <c r="AH96" s="231"/>
      <c r="AI96" s="231"/>
      <c r="AJ96" s="231"/>
      <c r="AK96" s="231"/>
      <c r="AL96" s="231"/>
      <c r="AM96" s="231"/>
      <c r="AN96" s="231"/>
    </row>
    <row r="97" spans="1:40" s="203" customFormat="1">
      <c r="A97" s="120">
        <v>2</v>
      </c>
      <c r="B97" s="47" t="s">
        <v>105</v>
      </c>
      <c r="C97" s="47"/>
      <c r="D97" s="47"/>
      <c r="E97" s="49">
        <v>33</v>
      </c>
      <c r="F97" s="52">
        <v>27</v>
      </c>
      <c r="G97" s="118"/>
      <c r="H97" s="122">
        <v>32</v>
      </c>
      <c r="I97" s="139"/>
      <c r="J97" s="231"/>
      <c r="K97" s="231"/>
      <c r="L97" s="231"/>
      <c r="M97" s="231"/>
      <c r="N97" s="231"/>
      <c r="O97" s="231"/>
      <c r="P97" s="231"/>
      <c r="Q97" s="231"/>
      <c r="R97" s="231"/>
      <c r="S97" s="231"/>
      <c r="T97" s="231"/>
      <c r="U97" s="231"/>
      <c r="V97" s="231"/>
      <c r="W97" s="231"/>
      <c r="X97" s="231"/>
      <c r="Y97" s="231"/>
      <c r="Z97" s="231"/>
      <c r="AA97" s="231"/>
      <c r="AB97" s="231"/>
      <c r="AC97" s="231"/>
      <c r="AD97" s="231"/>
      <c r="AE97" s="231"/>
      <c r="AF97" s="231"/>
      <c r="AG97" s="231"/>
      <c r="AH97" s="231"/>
      <c r="AI97" s="231"/>
      <c r="AJ97" s="231"/>
      <c r="AK97" s="231"/>
      <c r="AL97" s="231"/>
      <c r="AM97" s="231"/>
      <c r="AN97" s="231"/>
    </row>
    <row r="98" spans="1:40" s="203" customFormat="1">
      <c r="A98" s="120">
        <v>3</v>
      </c>
      <c r="B98" s="47" t="s">
        <v>106</v>
      </c>
      <c r="C98" s="47"/>
      <c r="D98" s="47"/>
      <c r="E98" s="114">
        <v>24972</v>
      </c>
      <c r="F98" s="50">
        <f>F115</f>
        <v>26036</v>
      </c>
      <c r="G98" s="118"/>
      <c r="H98" s="50">
        <f>H115</f>
        <v>25990</v>
      </c>
      <c r="I98" s="139"/>
      <c r="J98" s="231"/>
      <c r="K98" s="231"/>
      <c r="L98" s="231"/>
      <c r="M98" s="231"/>
      <c r="N98" s="231"/>
      <c r="O98" s="231"/>
      <c r="P98" s="231"/>
      <c r="Q98" s="231"/>
      <c r="R98" s="231"/>
      <c r="S98" s="231"/>
      <c r="T98" s="231"/>
      <c r="U98" s="231"/>
      <c r="V98" s="231"/>
      <c r="W98" s="231"/>
      <c r="X98" s="231"/>
      <c r="Y98" s="231"/>
      <c r="Z98" s="231"/>
      <c r="AA98" s="231"/>
      <c r="AB98" s="231"/>
      <c r="AC98" s="231"/>
      <c r="AD98" s="231"/>
      <c r="AE98" s="231"/>
      <c r="AF98" s="231"/>
      <c r="AG98" s="231"/>
      <c r="AH98" s="231"/>
      <c r="AI98" s="231"/>
      <c r="AJ98" s="231"/>
      <c r="AK98" s="231"/>
      <c r="AL98" s="231"/>
      <c r="AM98" s="231"/>
      <c r="AN98" s="231"/>
    </row>
    <row r="99" spans="1:40" s="203" customFormat="1">
      <c r="A99" s="120">
        <v>4</v>
      </c>
      <c r="B99" s="47" t="s">
        <v>107</v>
      </c>
      <c r="C99" s="47"/>
      <c r="D99" s="47"/>
      <c r="E99" s="114">
        <v>29649</v>
      </c>
      <c r="F99" s="50">
        <f>F125</f>
        <v>27704</v>
      </c>
      <c r="G99" s="118"/>
      <c r="H99" s="50">
        <f>H125</f>
        <v>30190</v>
      </c>
      <c r="I99" s="139"/>
      <c r="J99" s="231"/>
      <c r="K99" s="231"/>
      <c r="L99" s="231"/>
      <c r="M99" s="231"/>
      <c r="N99" s="231"/>
      <c r="O99" s="231"/>
      <c r="P99" s="231"/>
      <c r="Q99" s="231"/>
      <c r="R99" s="231"/>
      <c r="S99" s="231"/>
      <c r="T99" s="231"/>
      <c r="U99" s="231"/>
      <c r="V99" s="231"/>
      <c r="W99" s="231"/>
      <c r="X99" s="231"/>
      <c r="Y99" s="231"/>
      <c r="Z99" s="231"/>
      <c r="AA99" s="231"/>
      <c r="AB99" s="231"/>
      <c r="AC99" s="231"/>
      <c r="AD99" s="231"/>
      <c r="AE99" s="231"/>
      <c r="AF99" s="231"/>
      <c r="AG99" s="231"/>
      <c r="AH99" s="231"/>
      <c r="AI99" s="231"/>
      <c r="AJ99" s="231"/>
      <c r="AK99" s="231"/>
      <c r="AL99" s="231"/>
      <c r="AM99" s="231"/>
      <c r="AN99" s="231"/>
    </row>
    <row r="100" spans="1:40" s="203" customFormat="1">
      <c r="A100" s="120">
        <v>5</v>
      </c>
      <c r="B100" s="47" t="s">
        <v>108</v>
      </c>
      <c r="C100" s="47"/>
      <c r="D100" s="47"/>
      <c r="E100" s="114">
        <v>4239</v>
      </c>
      <c r="F100" s="50">
        <f>F135</f>
        <v>4224</v>
      </c>
      <c r="G100" s="118"/>
      <c r="H100" s="50">
        <f>H135</f>
        <v>4024</v>
      </c>
      <c r="I100" s="139"/>
      <c r="J100" s="231"/>
      <c r="K100" s="231"/>
      <c r="L100" s="231"/>
      <c r="M100" s="231"/>
      <c r="N100" s="231"/>
      <c r="O100" s="231"/>
      <c r="P100" s="231"/>
      <c r="Q100" s="231"/>
      <c r="R100" s="231"/>
      <c r="S100" s="231"/>
      <c r="T100" s="231"/>
      <c r="U100" s="231"/>
      <c r="V100" s="231"/>
      <c r="W100" s="231"/>
      <c r="X100" s="231"/>
      <c r="Y100" s="231"/>
      <c r="Z100" s="231"/>
      <c r="AA100" s="231"/>
      <c r="AB100" s="231"/>
      <c r="AC100" s="231"/>
      <c r="AD100" s="231"/>
      <c r="AE100" s="231"/>
      <c r="AF100" s="231"/>
      <c r="AG100" s="231"/>
      <c r="AH100" s="231"/>
      <c r="AI100" s="231"/>
      <c r="AJ100" s="231"/>
      <c r="AK100" s="231"/>
      <c r="AL100" s="231"/>
      <c r="AM100" s="231"/>
      <c r="AN100" s="231"/>
    </row>
    <row r="101" spans="1:40" s="203" customFormat="1">
      <c r="A101" s="120">
        <v>6</v>
      </c>
      <c r="B101" s="47" t="s">
        <v>109</v>
      </c>
      <c r="C101" s="47"/>
      <c r="D101" s="47"/>
      <c r="E101" s="114">
        <v>10206</v>
      </c>
      <c r="F101" s="50">
        <f>F143</f>
        <v>12182</v>
      </c>
      <c r="G101" s="118"/>
      <c r="H101" s="50">
        <f>H143</f>
        <v>12918</v>
      </c>
      <c r="I101" s="139"/>
      <c r="J101" s="231"/>
      <c r="K101" s="231"/>
      <c r="L101" s="231"/>
      <c r="M101" s="231"/>
      <c r="N101" s="231"/>
      <c r="O101" s="231"/>
      <c r="P101" s="231"/>
      <c r="Q101" s="231"/>
      <c r="R101" s="231"/>
      <c r="S101" s="231"/>
      <c r="T101" s="231"/>
      <c r="U101" s="231"/>
      <c r="V101" s="231"/>
      <c r="W101" s="231"/>
      <c r="X101" s="231"/>
      <c r="Y101" s="231"/>
      <c r="Z101" s="231"/>
      <c r="AA101" s="231"/>
      <c r="AB101" s="231"/>
      <c r="AC101" s="231"/>
      <c r="AD101" s="231"/>
      <c r="AE101" s="231"/>
      <c r="AF101" s="231"/>
      <c r="AG101" s="231"/>
      <c r="AH101" s="231"/>
      <c r="AI101" s="231"/>
      <c r="AJ101" s="231"/>
      <c r="AK101" s="231"/>
      <c r="AL101" s="231"/>
      <c r="AM101" s="231"/>
      <c r="AN101" s="231"/>
    </row>
    <row r="102" spans="1:40" s="203" customFormat="1">
      <c r="A102" s="120">
        <v>7</v>
      </c>
      <c r="B102" s="47" t="s">
        <v>110</v>
      </c>
      <c r="C102" s="47"/>
      <c r="D102" s="47"/>
      <c r="E102" s="114">
        <v>2243</v>
      </c>
      <c r="F102" s="50">
        <f>F150</f>
        <v>2821</v>
      </c>
      <c r="G102" s="118"/>
      <c r="H102" s="50">
        <f>H150</f>
        <v>3049</v>
      </c>
      <c r="I102" s="139"/>
      <c r="J102" s="231"/>
      <c r="K102" s="231"/>
      <c r="L102" s="231"/>
      <c r="M102" s="231"/>
      <c r="N102" s="231"/>
      <c r="O102" s="231"/>
      <c r="P102" s="231"/>
      <c r="Q102" s="231"/>
      <c r="R102" s="231"/>
      <c r="S102" s="231"/>
      <c r="T102" s="231"/>
      <c r="U102" s="231"/>
      <c r="V102" s="231"/>
      <c r="W102" s="231"/>
      <c r="X102" s="231"/>
      <c r="Y102" s="231"/>
      <c r="Z102" s="231"/>
      <c r="AA102" s="231"/>
      <c r="AB102" s="231"/>
      <c r="AC102" s="231"/>
      <c r="AD102" s="231"/>
      <c r="AE102" s="231"/>
      <c r="AF102" s="231"/>
      <c r="AG102" s="231"/>
      <c r="AH102" s="231"/>
      <c r="AI102" s="231"/>
      <c r="AJ102" s="231"/>
      <c r="AK102" s="231"/>
      <c r="AL102" s="231"/>
      <c r="AM102" s="231"/>
      <c r="AN102" s="231"/>
    </row>
    <row r="103" spans="1:40" s="203" customFormat="1">
      <c r="A103" s="120">
        <v>8</v>
      </c>
      <c r="B103" s="47" t="s">
        <v>111</v>
      </c>
      <c r="C103" s="47"/>
      <c r="D103" s="47"/>
      <c r="E103" s="114">
        <v>202</v>
      </c>
      <c r="F103" s="52">
        <v>196</v>
      </c>
      <c r="G103" s="118"/>
      <c r="H103" s="122">
        <v>281</v>
      </c>
      <c r="I103" s="139"/>
      <c r="J103" s="231"/>
      <c r="K103" s="231"/>
      <c r="L103" s="231"/>
      <c r="M103" s="231"/>
      <c r="N103" s="231"/>
      <c r="O103" s="231"/>
      <c r="P103" s="231"/>
      <c r="Q103" s="231"/>
      <c r="R103" s="231"/>
      <c r="S103" s="231"/>
      <c r="T103" s="231"/>
      <c r="U103" s="231"/>
      <c r="V103" s="231"/>
      <c r="W103" s="231"/>
      <c r="X103" s="231"/>
      <c r="Y103" s="231"/>
      <c r="Z103" s="231"/>
      <c r="AA103" s="231"/>
      <c r="AB103" s="231"/>
      <c r="AC103" s="231"/>
      <c r="AD103" s="231"/>
      <c r="AE103" s="231"/>
      <c r="AF103" s="231"/>
      <c r="AG103" s="231"/>
      <c r="AH103" s="231"/>
      <c r="AI103" s="231"/>
      <c r="AJ103" s="231"/>
      <c r="AK103" s="231"/>
      <c r="AL103" s="231"/>
      <c r="AM103" s="231"/>
      <c r="AN103" s="231"/>
    </row>
    <row r="104" spans="1:40" s="203" customFormat="1">
      <c r="A104" s="120">
        <v>9</v>
      </c>
      <c r="B104" s="47" t="s">
        <v>112</v>
      </c>
      <c r="C104" s="47"/>
      <c r="D104" s="47"/>
      <c r="E104" s="114">
        <v>2472</v>
      </c>
      <c r="F104" s="52">
        <v>3035</v>
      </c>
      <c r="G104" s="118"/>
      <c r="H104" s="122">
        <v>2685</v>
      </c>
      <c r="I104" s="139"/>
      <c r="J104" s="231"/>
      <c r="K104" s="231"/>
      <c r="L104" s="231"/>
      <c r="M104" s="231"/>
      <c r="N104" s="231"/>
      <c r="O104" s="231"/>
      <c r="P104" s="231"/>
      <c r="Q104" s="231"/>
      <c r="R104" s="231"/>
      <c r="S104" s="231"/>
      <c r="T104" s="231"/>
      <c r="U104" s="231"/>
      <c r="V104" s="231"/>
      <c r="W104" s="231"/>
      <c r="X104" s="231"/>
      <c r="Y104" s="231"/>
      <c r="Z104" s="231"/>
      <c r="AA104" s="231"/>
      <c r="AB104" s="231"/>
      <c r="AC104" s="231"/>
      <c r="AD104" s="231"/>
      <c r="AE104" s="231"/>
      <c r="AF104" s="231"/>
      <c r="AG104" s="231"/>
      <c r="AH104" s="231"/>
      <c r="AI104" s="231"/>
      <c r="AJ104" s="231"/>
      <c r="AK104" s="231"/>
      <c r="AL104" s="231"/>
      <c r="AM104" s="231"/>
      <c r="AN104" s="231"/>
    </row>
    <row r="105" spans="1:40" s="203" customFormat="1">
      <c r="A105" s="111" t="s">
        <v>113</v>
      </c>
      <c r="B105" s="116" t="s">
        <v>114</v>
      </c>
      <c r="C105" s="116"/>
      <c r="D105" s="47"/>
      <c r="E105" s="134">
        <v>76032</v>
      </c>
      <c r="F105" s="61">
        <f>SUM(F96:F104)</f>
        <v>77721</v>
      </c>
      <c r="G105" s="118"/>
      <c r="H105" s="61">
        <f>SUM(H96:H104)</f>
        <v>81321</v>
      </c>
      <c r="I105" s="139"/>
      <c r="J105" s="231"/>
      <c r="K105" s="231"/>
      <c r="L105" s="231"/>
      <c r="M105" s="231"/>
      <c r="N105" s="231"/>
      <c r="O105" s="231"/>
      <c r="P105" s="231"/>
      <c r="Q105" s="231"/>
      <c r="R105" s="231"/>
      <c r="S105" s="231"/>
      <c r="T105" s="231"/>
      <c r="U105" s="231"/>
      <c r="V105" s="231"/>
      <c r="W105" s="231"/>
      <c r="X105" s="231"/>
      <c r="Y105" s="231"/>
      <c r="Z105" s="231"/>
      <c r="AA105" s="231"/>
      <c r="AB105" s="231"/>
      <c r="AC105" s="231"/>
      <c r="AD105" s="231"/>
      <c r="AE105" s="231"/>
      <c r="AF105" s="231"/>
      <c r="AG105" s="231"/>
      <c r="AH105" s="231"/>
      <c r="AI105" s="231"/>
      <c r="AJ105" s="231"/>
      <c r="AK105" s="231"/>
      <c r="AL105" s="231"/>
      <c r="AM105" s="231"/>
      <c r="AN105" s="231"/>
    </row>
    <row r="106" spans="1:40" s="203" customFormat="1">
      <c r="A106" s="120">
        <v>11</v>
      </c>
      <c r="B106" s="90" t="s">
        <v>115</v>
      </c>
      <c r="C106" s="47"/>
      <c r="D106" s="47"/>
      <c r="E106" s="135">
        <v>110</v>
      </c>
      <c r="F106" s="136">
        <v>126</v>
      </c>
      <c r="G106" s="118"/>
      <c r="H106" s="137">
        <v>104</v>
      </c>
      <c r="I106" s="139"/>
      <c r="J106" s="231"/>
      <c r="K106" s="231"/>
      <c r="L106" s="231"/>
      <c r="M106" s="231"/>
      <c r="N106" s="231"/>
      <c r="O106" s="231"/>
      <c r="P106" s="231"/>
      <c r="Q106" s="231"/>
      <c r="R106" s="231"/>
      <c r="S106" s="231"/>
      <c r="T106" s="231"/>
      <c r="U106" s="231"/>
      <c r="V106" s="231"/>
      <c r="W106" s="231"/>
      <c r="X106" s="231"/>
      <c r="Y106" s="231"/>
      <c r="Z106" s="231"/>
      <c r="AA106" s="231"/>
      <c r="AB106" s="231"/>
      <c r="AC106" s="231"/>
      <c r="AD106" s="231"/>
      <c r="AE106" s="231"/>
      <c r="AF106" s="231"/>
      <c r="AG106" s="231"/>
      <c r="AH106" s="231"/>
      <c r="AI106" s="231"/>
      <c r="AJ106" s="231"/>
      <c r="AK106" s="231"/>
      <c r="AL106" s="231"/>
      <c r="AM106" s="231"/>
      <c r="AN106" s="231"/>
    </row>
    <row r="107" spans="1:40" s="203" customFormat="1">
      <c r="A107" s="111"/>
      <c r="B107" s="47"/>
      <c r="C107" s="47"/>
      <c r="D107" s="138"/>
      <c r="E107" s="117"/>
      <c r="F107" s="139"/>
      <c r="G107" s="139"/>
      <c r="H107" s="139"/>
      <c r="I107" s="139"/>
      <c r="J107" s="231"/>
      <c r="K107" s="231"/>
      <c r="L107" s="231"/>
      <c r="M107" s="231"/>
      <c r="N107" s="231"/>
      <c r="O107" s="231"/>
      <c r="P107" s="231"/>
      <c r="Q107" s="231"/>
      <c r="R107" s="231"/>
      <c r="S107" s="231"/>
      <c r="T107" s="231"/>
      <c r="U107" s="231"/>
      <c r="V107" s="231"/>
      <c r="W107" s="231"/>
      <c r="X107" s="231"/>
      <c r="Y107" s="231"/>
      <c r="Z107" s="231"/>
      <c r="AA107" s="231"/>
      <c r="AB107" s="231"/>
      <c r="AC107" s="231"/>
      <c r="AD107" s="231"/>
      <c r="AE107" s="231"/>
      <c r="AF107" s="231"/>
      <c r="AG107" s="231"/>
      <c r="AH107" s="231"/>
      <c r="AI107" s="231"/>
      <c r="AJ107" s="231"/>
      <c r="AK107" s="231"/>
      <c r="AL107" s="231"/>
      <c r="AM107" s="231"/>
      <c r="AN107" s="231"/>
    </row>
    <row r="108" spans="1:40" s="203" customFormat="1">
      <c r="A108" s="119" t="s">
        <v>116</v>
      </c>
      <c r="B108" s="47"/>
      <c r="C108" s="47"/>
      <c r="D108" s="47"/>
      <c r="E108" s="117"/>
      <c r="F108" s="139"/>
      <c r="G108" s="139"/>
      <c r="H108" s="139"/>
      <c r="I108" s="139"/>
      <c r="J108" s="231"/>
      <c r="K108" s="231"/>
      <c r="L108" s="231"/>
      <c r="M108" s="231"/>
      <c r="N108" s="231"/>
      <c r="O108" s="231"/>
      <c r="P108" s="231"/>
      <c r="Q108" s="231"/>
      <c r="R108" s="231"/>
      <c r="S108" s="231"/>
      <c r="T108" s="231"/>
      <c r="U108" s="231"/>
      <c r="V108" s="231"/>
      <c r="W108" s="231"/>
      <c r="X108" s="231"/>
      <c r="Y108" s="231"/>
      <c r="Z108" s="231"/>
      <c r="AA108" s="231"/>
      <c r="AB108" s="231"/>
      <c r="AC108" s="231"/>
      <c r="AD108" s="231"/>
      <c r="AE108" s="231"/>
      <c r="AF108" s="231"/>
      <c r="AG108" s="231"/>
      <c r="AH108" s="231"/>
      <c r="AI108" s="231"/>
      <c r="AJ108" s="231"/>
      <c r="AK108" s="231"/>
      <c r="AL108" s="231"/>
      <c r="AM108" s="231"/>
      <c r="AN108" s="231"/>
    </row>
    <row r="109" spans="1:40" s="203" customFormat="1">
      <c r="A109" s="119" t="s">
        <v>106</v>
      </c>
      <c r="B109" s="47"/>
      <c r="C109" s="47"/>
      <c r="D109" s="47"/>
      <c r="E109" s="140"/>
      <c r="F109" s="141"/>
      <c r="G109" s="139"/>
      <c r="H109" s="141"/>
      <c r="I109" s="139"/>
      <c r="J109" s="231"/>
      <c r="K109" s="231"/>
      <c r="L109" s="231"/>
      <c r="M109" s="231"/>
      <c r="N109" s="231"/>
      <c r="O109" s="231"/>
      <c r="P109" s="231"/>
      <c r="Q109" s="231"/>
      <c r="R109" s="231"/>
      <c r="S109" s="231"/>
      <c r="T109" s="231"/>
      <c r="U109" s="231"/>
      <c r="V109" s="231"/>
      <c r="W109" s="231"/>
      <c r="X109" s="231"/>
      <c r="Y109" s="231"/>
      <c r="Z109" s="231"/>
      <c r="AA109" s="231"/>
      <c r="AB109" s="231"/>
      <c r="AC109" s="231"/>
      <c r="AD109" s="231"/>
      <c r="AE109" s="231"/>
      <c r="AF109" s="231"/>
      <c r="AG109" s="231"/>
      <c r="AH109" s="231"/>
      <c r="AI109" s="231"/>
      <c r="AJ109" s="231"/>
      <c r="AK109" s="231"/>
      <c r="AL109" s="231"/>
      <c r="AM109" s="231"/>
      <c r="AN109" s="231"/>
    </row>
    <row r="110" spans="1:40" s="203" customFormat="1">
      <c r="A110" s="120">
        <v>12</v>
      </c>
      <c r="B110" s="47" t="s">
        <v>117</v>
      </c>
      <c r="C110" s="47"/>
      <c r="D110" s="47"/>
      <c r="E110" s="49">
        <v>5497</v>
      </c>
      <c r="F110" s="52">
        <v>6017</v>
      </c>
      <c r="G110" s="118"/>
      <c r="H110" s="122">
        <v>5693</v>
      </c>
      <c r="I110" s="139"/>
      <c r="J110" s="231"/>
      <c r="K110" s="231"/>
      <c r="L110" s="231"/>
      <c r="M110" s="231"/>
      <c r="N110" s="231"/>
      <c r="O110" s="231"/>
      <c r="P110" s="231"/>
      <c r="Q110" s="231"/>
      <c r="R110" s="231"/>
      <c r="S110" s="231"/>
      <c r="T110" s="231"/>
      <c r="U110" s="231"/>
      <c r="V110" s="231"/>
      <c r="W110" s="231"/>
      <c r="X110" s="231"/>
      <c r="Y110" s="231"/>
      <c r="Z110" s="231"/>
      <c r="AA110" s="231"/>
      <c r="AB110" s="231"/>
      <c r="AC110" s="231"/>
      <c r="AD110" s="231"/>
      <c r="AE110" s="231"/>
      <c r="AF110" s="231"/>
      <c r="AG110" s="231"/>
      <c r="AH110" s="231"/>
      <c r="AI110" s="231"/>
      <c r="AJ110" s="231"/>
      <c r="AK110" s="231"/>
      <c r="AL110" s="231"/>
      <c r="AM110" s="231"/>
      <c r="AN110" s="231"/>
    </row>
    <row r="111" spans="1:40" s="203" customFormat="1">
      <c r="A111" s="120">
        <v>13</v>
      </c>
      <c r="B111" s="47" t="s">
        <v>118</v>
      </c>
      <c r="C111" s="47"/>
      <c r="D111" s="47"/>
      <c r="E111" s="49">
        <v>7812</v>
      </c>
      <c r="F111" s="52">
        <v>7457</v>
      </c>
      <c r="G111" s="118"/>
      <c r="H111" s="122">
        <v>8091</v>
      </c>
      <c r="I111" s="139"/>
      <c r="J111" s="231"/>
      <c r="K111" s="231"/>
      <c r="L111" s="231"/>
      <c r="M111" s="231"/>
      <c r="N111" s="231"/>
      <c r="O111" s="231"/>
      <c r="P111" s="231"/>
      <c r="Q111" s="231"/>
      <c r="R111" s="231"/>
      <c r="S111" s="231"/>
      <c r="T111" s="231"/>
      <c r="U111" s="231"/>
      <c r="V111" s="231"/>
      <c r="W111" s="231"/>
      <c r="X111" s="231"/>
      <c r="Y111" s="231"/>
      <c r="Z111" s="231"/>
      <c r="AA111" s="231"/>
      <c r="AB111" s="231"/>
      <c r="AC111" s="231"/>
      <c r="AD111" s="231"/>
      <c r="AE111" s="231"/>
      <c r="AF111" s="231"/>
      <c r="AG111" s="231"/>
      <c r="AH111" s="231"/>
      <c r="AI111" s="231"/>
      <c r="AJ111" s="231"/>
      <c r="AK111" s="231"/>
      <c r="AL111" s="231"/>
      <c r="AM111" s="231"/>
      <c r="AN111" s="231"/>
    </row>
    <row r="112" spans="1:40" s="203" customFormat="1">
      <c r="A112" s="120">
        <v>14</v>
      </c>
      <c r="B112" s="47" t="s">
        <v>119</v>
      </c>
      <c r="C112" s="47"/>
      <c r="D112" s="47"/>
      <c r="E112" s="49">
        <v>6960</v>
      </c>
      <c r="F112" s="52">
        <v>7698</v>
      </c>
      <c r="G112" s="118"/>
      <c r="H112" s="122">
        <v>7356</v>
      </c>
      <c r="I112" s="139"/>
      <c r="J112" s="231"/>
      <c r="K112" s="231"/>
      <c r="L112" s="231"/>
      <c r="M112" s="231"/>
      <c r="N112" s="231"/>
      <c r="O112" s="231"/>
      <c r="P112" s="231"/>
      <c r="Q112" s="231"/>
      <c r="R112" s="231"/>
      <c r="S112" s="231"/>
      <c r="T112" s="231"/>
      <c r="U112" s="231"/>
      <c r="V112" s="231"/>
      <c r="W112" s="231"/>
      <c r="X112" s="231"/>
      <c r="Y112" s="231"/>
      <c r="Z112" s="231"/>
      <c r="AA112" s="231"/>
      <c r="AB112" s="231"/>
      <c r="AC112" s="231"/>
      <c r="AD112" s="231"/>
      <c r="AE112" s="231"/>
      <c r="AF112" s="231"/>
      <c r="AG112" s="231"/>
      <c r="AH112" s="231"/>
      <c r="AI112" s="231"/>
      <c r="AJ112" s="231"/>
      <c r="AK112" s="231"/>
      <c r="AL112" s="231"/>
      <c r="AM112" s="231"/>
      <c r="AN112" s="231"/>
    </row>
    <row r="113" spans="1:40" s="203" customFormat="1">
      <c r="A113" s="120">
        <v>15</v>
      </c>
      <c r="B113" s="47" t="s">
        <v>120</v>
      </c>
      <c r="C113" s="47"/>
      <c r="D113" s="47"/>
      <c r="E113" s="49">
        <v>1112</v>
      </c>
      <c r="F113" s="52">
        <v>1309</v>
      </c>
      <c r="G113" s="118"/>
      <c r="H113" s="122">
        <v>1311</v>
      </c>
      <c r="I113" s="139"/>
      <c r="J113" s="231"/>
      <c r="K113" s="231"/>
      <c r="L113" s="231"/>
      <c r="M113" s="231"/>
      <c r="N113" s="231"/>
      <c r="O113" s="231"/>
      <c r="P113" s="231"/>
      <c r="Q113" s="231"/>
      <c r="R113" s="231"/>
      <c r="S113" s="231"/>
      <c r="T113" s="231"/>
      <c r="U113" s="231"/>
      <c r="V113" s="231"/>
      <c r="W113" s="231"/>
      <c r="X113" s="231"/>
      <c r="Y113" s="231"/>
      <c r="Z113" s="231"/>
      <c r="AA113" s="231"/>
      <c r="AB113" s="231"/>
      <c r="AC113" s="231"/>
      <c r="AD113" s="231"/>
      <c r="AE113" s="231"/>
      <c r="AF113" s="231"/>
      <c r="AG113" s="231"/>
      <c r="AH113" s="231"/>
      <c r="AI113" s="231"/>
      <c r="AJ113" s="231"/>
      <c r="AK113" s="231"/>
      <c r="AL113" s="231"/>
      <c r="AM113" s="231"/>
      <c r="AN113" s="231"/>
    </row>
    <row r="114" spans="1:40" s="203" customFormat="1">
      <c r="A114" s="120">
        <v>16</v>
      </c>
      <c r="B114" s="47" t="s">
        <v>121</v>
      </c>
      <c r="C114" s="47"/>
      <c r="D114" s="47"/>
      <c r="E114" s="49">
        <v>3591</v>
      </c>
      <c r="F114" s="52">
        <v>3555</v>
      </c>
      <c r="G114" s="118"/>
      <c r="H114" s="100">
        <v>3539</v>
      </c>
      <c r="I114" s="139"/>
      <c r="J114" s="231"/>
      <c r="K114" s="231"/>
      <c r="L114" s="231"/>
      <c r="M114" s="231"/>
      <c r="N114" s="231"/>
      <c r="O114" s="231"/>
      <c r="P114" s="231"/>
      <c r="Q114" s="231"/>
      <c r="R114" s="231"/>
      <c r="S114" s="231"/>
      <c r="T114" s="231"/>
      <c r="U114" s="231"/>
      <c r="V114" s="231"/>
      <c r="W114" s="231"/>
      <c r="X114" s="231"/>
      <c r="Y114" s="231"/>
      <c r="Z114" s="231"/>
      <c r="AA114" s="231"/>
      <c r="AB114" s="231"/>
      <c r="AC114" s="231"/>
      <c r="AD114" s="231"/>
      <c r="AE114" s="231"/>
      <c r="AF114" s="231"/>
      <c r="AG114" s="231"/>
      <c r="AH114" s="231"/>
      <c r="AI114" s="231"/>
      <c r="AJ114" s="231"/>
      <c r="AK114" s="231"/>
      <c r="AL114" s="231"/>
      <c r="AM114" s="231"/>
      <c r="AN114" s="231"/>
    </row>
    <row r="115" spans="1:40" s="203" customFormat="1">
      <c r="A115" s="120">
        <v>17</v>
      </c>
      <c r="B115" s="116" t="s">
        <v>122</v>
      </c>
      <c r="C115" s="116"/>
      <c r="D115" s="116"/>
      <c r="E115" s="80">
        <v>24972</v>
      </c>
      <c r="F115" s="142">
        <f>SUM(F110:F114)</f>
        <v>26036</v>
      </c>
      <c r="G115" s="118"/>
      <c r="H115" s="142">
        <f>SUM(H110:H114)</f>
        <v>25990</v>
      </c>
      <c r="I115" s="139"/>
      <c r="J115" s="231"/>
      <c r="K115" s="231"/>
      <c r="L115" s="231"/>
      <c r="M115" s="231"/>
      <c r="N115" s="231"/>
      <c r="O115" s="231"/>
      <c r="P115" s="231"/>
      <c r="Q115" s="231"/>
      <c r="R115" s="231"/>
      <c r="S115" s="231"/>
      <c r="T115" s="231"/>
      <c r="U115" s="231"/>
      <c r="V115" s="231"/>
      <c r="W115" s="231"/>
      <c r="X115" s="231"/>
      <c r="Y115" s="231"/>
      <c r="Z115" s="231"/>
      <c r="AA115" s="231"/>
      <c r="AB115" s="231"/>
      <c r="AC115" s="231"/>
      <c r="AD115" s="231"/>
      <c r="AE115" s="231"/>
      <c r="AF115" s="231"/>
      <c r="AG115" s="231"/>
      <c r="AH115" s="231"/>
      <c r="AI115" s="231"/>
      <c r="AJ115" s="231"/>
      <c r="AK115" s="231"/>
      <c r="AL115" s="231"/>
      <c r="AM115" s="231"/>
      <c r="AN115" s="231"/>
    </row>
    <row r="116" spans="1:40" s="203" customFormat="1">
      <c r="A116" s="111"/>
      <c r="B116" s="116"/>
      <c r="C116" s="116"/>
      <c r="D116" s="116"/>
      <c r="E116" s="143"/>
      <c r="F116" s="118"/>
      <c r="G116" s="118"/>
      <c r="H116" s="118"/>
      <c r="I116" s="139"/>
      <c r="J116" s="231"/>
      <c r="K116" s="231"/>
      <c r="L116" s="231"/>
      <c r="M116" s="231"/>
      <c r="N116" s="231"/>
      <c r="O116" s="231"/>
      <c r="P116" s="231"/>
      <c r="Q116" s="231"/>
      <c r="R116" s="231"/>
      <c r="S116" s="231"/>
      <c r="T116" s="231"/>
      <c r="U116" s="231"/>
      <c r="V116" s="231"/>
      <c r="W116" s="231"/>
      <c r="X116" s="231"/>
      <c r="Y116" s="231"/>
      <c r="Z116" s="231"/>
      <c r="AA116" s="231"/>
      <c r="AB116" s="231"/>
      <c r="AC116" s="231"/>
      <c r="AD116" s="231"/>
      <c r="AE116" s="231"/>
      <c r="AF116" s="231"/>
      <c r="AG116" s="231"/>
      <c r="AH116" s="231"/>
      <c r="AI116" s="231"/>
      <c r="AJ116" s="231"/>
      <c r="AK116" s="231"/>
      <c r="AL116" s="231"/>
      <c r="AM116" s="231"/>
      <c r="AN116" s="231"/>
    </row>
    <row r="117" spans="1:40" s="203" customFormat="1">
      <c r="A117" s="144" t="s">
        <v>107</v>
      </c>
      <c r="B117" s="116"/>
      <c r="C117" s="116"/>
      <c r="D117" s="116"/>
      <c r="E117" s="145"/>
      <c r="F117" s="146"/>
      <c r="G117" s="118"/>
      <c r="H117" s="146"/>
      <c r="I117" s="139"/>
      <c r="J117" s="231"/>
      <c r="K117" s="231"/>
      <c r="L117" s="231"/>
      <c r="M117" s="231"/>
      <c r="N117" s="231"/>
      <c r="O117" s="231"/>
      <c r="P117" s="231"/>
      <c r="Q117" s="231"/>
      <c r="R117" s="231"/>
      <c r="S117" s="231"/>
      <c r="T117" s="231"/>
      <c r="U117" s="231"/>
      <c r="V117" s="231"/>
      <c r="W117" s="231"/>
      <c r="X117" s="231"/>
      <c r="Y117" s="231"/>
      <c r="Z117" s="231"/>
      <c r="AA117" s="231"/>
      <c r="AB117" s="231"/>
      <c r="AC117" s="231"/>
      <c r="AD117" s="231"/>
      <c r="AE117" s="231"/>
      <c r="AF117" s="231"/>
      <c r="AG117" s="231"/>
      <c r="AH117" s="231"/>
      <c r="AI117" s="231"/>
      <c r="AJ117" s="231"/>
      <c r="AK117" s="231"/>
      <c r="AL117" s="231"/>
      <c r="AM117" s="231"/>
      <c r="AN117" s="231"/>
    </row>
    <row r="118" spans="1:40" s="203" customFormat="1">
      <c r="A118" s="120">
        <v>18</v>
      </c>
      <c r="B118" s="47" t="s">
        <v>123</v>
      </c>
      <c r="C118" s="47"/>
      <c r="D118" s="47"/>
      <c r="E118" s="49">
        <v>3198</v>
      </c>
      <c r="F118" s="52">
        <v>2748</v>
      </c>
      <c r="G118" s="118"/>
      <c r="H118" s="122">
        <v>3194</v>
      </c>
      <c r="I118" s="139"/>
      <c r="J118" s="231"/>
      <c r="K118" s="231"/>
      <c r="L118" s="231"/>
      <c r="M118" s="231"/>
      <c r="N118" s="231"/>
      <c r="O118" s="231"/>
      <c r="P118" s="231"/>
      <c r="Q118" s="231"/>
      <c r="R118" s="231"/>
      <c r="S118" s="231"/>
      <c r="T118" s="231"/>
      <c r="U118" s="231"/>
      <c r="V118" s="231"/>
      <c r="W118" s="231"/>
      <c r="X118" s="231"/>
      <c r="Y118" s="231"/>
      <c r="Z118" s="231"/>
      <c r="AA118" s="231"/>
      <c r="AB118" s="231"/>
      <c r="AC118" s="231"/>
      <c r="AD118" s="231"/>
      <c r="AE118" s="231"/>
      <c r="AF118" s="231"/>
      <c r="AG118" s="231"/>
      <c r="AH118" s="231"/>
      <c r="AI118" s="231"/>
      <c r="AJ118" s="231"/>
      <c r="AK118" s="231"/>
      <c r="AL118" s="231"/>
      <c r="AM118" s="231"/>
      <c r="AN118" s="231"/>
    </row>
    <row r="119" spans="1:40" s="203" customFormat="1">
      <c r="A119" s="120">
        <v>19</v>
      </c>
      <c r="B119" s="47" t="s">
        <v>124</v>
      </c>
      <c r="C119" s="47"/>
      <c r="D119" s="47"/>
      <c r="E119" s="49">
        <v>10808</v>
      </c>
      <c r="F119" s="52">
        <v>9785</v>
      </c>
      <c r="G119" s="118"/>
      <c r="H119" s="122">
        <v>10914</v>
      </c>
      <c r="I119" s="139"/>
      <c r="J119" s="231"/>
      <c r="K119" s="231"/>
      <c r="L119" s="231"/>
      <c r="M119" s="231"/>
      <c r="N119" s="231"/>
      <c r="O119" s="231"/>
      <c r="P119" s="231"/>
      <c r="Q119" s="231"/>
      <c r="R119" s="231"/>
      <c r="S119" s="231"/>
      <c r="T119" s="231"/>
      <c r="U119" s="231"/>
      <c r="V119" s="231"/>
      <c r="W119" s="231"/>
      <c r="X119" s="231"/>
      <c r="Y119" s="231"/>
      <c r="Z119" s="231"/>
      <c r="AA119" s="231"/>
      <c r="AB119" s="231"/>
      <c r="AC119" s="231"/>
      <c r="AD119" s="231"/>
      <c r="AE119" s="231"/>
      <c r="AF119" s="231"/>
      <c r="AG119" s="231"/>
      <c r="AH119" s="231"/>
      <c r="AI119" s="231"/>
      <c r="AJ119" s="231"/>
      <c r="AK119" s="231"/>
      <c r="AL119" s="231"/>
      <c r="AM119" s="231"/>
      <c r="AN119" s="231"/>
    </row>
    <row r="120" spans="1:40" s="203" customFormat="1">
      <c r="A120" s="120">
        <v>20</v>
      </c>
      <c r="B120" s="47" t="s">
        <v>119</v>
      </c>
      <c r="C120" s="47"/>
      <c r="D120" s="47"/>
      <c r="E120" s="49">
        <v>13781</v>
      </c>
      <c r="F120" s="52">
        <v>13367</v>
      </c>
      <c r="G120" s="118"/>
      <c r="H120" s="122">
        <v>14252</v>
      </c>
      <c r="I120" s="139"/>
      <c r="J120" s="231"/>
      <c r="K120" s="231"/>
      <c r="L120" s="231"/>
      <c r="M120" s="231"/>
      <c r="N120" s="231"/>
      <c r="O120" s="231"/>
      <c r="P120" s="231"/>
      <c r="Q120" s="231"/>
      <c r="R120" s="231"/>
      <c r="S120" s="231"/>
      <c r="T120" s="231"/>
      <c r="U120" s="231"/>
      <c r="V120" s="231"/>
      <c r="W120" s="231"/>
      <c r="X120" s="231"/>
      <c r="Y120" s="231"/>
      <c r="Z120" s="231"/>
      <c r="AA120" s="231"/>
      <c r="AB120" s="231"/>
      <c r="AC120" s="231"/>
      <c r="AD120" s="231"/>
      <c r="AE120" s="231"/>
      <c r="AF120" s="231"/>
      <c r="AG120" s="231"/>
      <c r="AH120" s="231"/>
      <c r="AI120" s="231"/>
      <c r="AJ120" s="231"/>
      <c r="AK120" s="231"/>
      <c r="AL120" s="231"/>
      <c r="AM120" s="231"/>
      <c r="AN120" s="231"/>
    </row>
    <row r="121" spans="1:40" s="203" customFormat="1">
      <c r="A121" s="120">
        <v>21</v>
      </c>
      <c r="B121" s="47" t="s">
        <v>120</v>
      </c>
      <c r="C121" s="47"/>
      <c r="D121" s="47"/>
      <c r="E121" s="49">
        <v>694</v>
      </c>
      <c r="F121" s="52">
        <v>665</v>
      </c>
      <c r="G121" s="118"/>
      <c r="H121" s="122">
        <v>724</v>
      </c>
      <c r="I121" s="139"/>
      <c r="J121" s="231"/>
      <c r="K121" s="231"/>
      <c r="L121" s="231"/>
      <c r="M121" s="231"/>
      <c r="N121" s="231"/>
      <c r="O121" s="231"/>
      <c r="P121" s="231"/>
      <c r="Q121" s="231"/>
      <c r="R121" s="231"/>
      <c r="S121" s="231"/>
      <c r="T121" s="231"/>
      <c r="U121" s="231"/>
      <c r="V121" s="231"/>
      <c r="W121" s="231"/>
      <c r="X121" s="231"/>
      <c r="Y121" s="231"/>
      <c r="Z121" s="231"/>
      <c r="AA121" s="231"/>
      <c r="AB121" s="231"/>
      <c r="AC121" s="231"/>
      <c r="AD121" s="231"/>
      <c r="AE121" s="231"/>
      <c r="AF121" s="231"/>
      <c r="AG121" s="231"/>
      <c r="AH121" s="231"/>
      <c r="AI121" s="231"/>
      <c r="AJ121" s="231"/>
      <c r="AK121" s="231"/>
      <c r="AL121" s="231"/>
      <c r="AM121" s="231"/>
      <c r="AN121" s="231"/>
    </row>
    <row r="122" spans="1:40" s="203" customFormat="1">
      <c r="A122" s="120">
        <v>22</v>
      </c>
      <c r="B122" s="47" t="s">
        <v>125</v>
      </c>
      <c r="C122" s="47"/>
      <c r="D122" s="47"/>
      <c r="E122" s="49">
        <v>200</v>
      </c>
      <c r="F122" s="52">
        <v>250</v>
      </c>
      <c r="G122" s="118"/>
      <c r="H122" s="122">
        <v>212</v>
      </c>
      <c r="I122" s="139"/>
      <c r="J122" s="231"/>
      <c r="K122" s="231"/>
      <c r="L122" s="231"/>
      <c r="M122" s="231"/>
      <c r="N122" s="231"/>
      <c r="O122" s="231"/>
      <c r="P122" s="231"/>
      <c r="Q122" s="231"/>
      <c r="R122" s="231"/>
      <c r="S122" s="231"/>
      <c r="T122" s="231"/>
      <c r="U122" s="231"/>
      <c r="V122" s="231"/>
      <c r="W122" s="231"/>
      <c r="X122" s="231"/>
      <c r="Y122" s="231"/>
      <c r="Z122" s="231"/>
      <c r="AA122" s="231"/>
      <c r="AB122" s="231"/>
      <c r="AC122" s="231"/>
      <c r="AD122" s="231"/>
      <c r="AE122" s="231"/>
      <c r="AF122" s="231"/>
      <c r="AG122" s="231"/>
      <c r="AH122" s="231"/>
      <c r="AI122" s="231"/>
      <c r="AJ122" s="231"/>
      <c r="AK122" s="231"/>
      <c r="AL122" s="231"/>
      <c r="AM122" s="231"/>
      <c r="AN122" s="231"/>
    </row>
    <row r="123" spans="1:40" s="203" customFormat="1">
      <c r="A123" s="120">
        <v>23</v>
      </c>
      <c r="B123" s="90" t="s">
        <v>126</v>
      </c>
      <c r="C123" s="47"/>
      <c r="D123" s="47"/>
      <c r="E123" s="49">
        <v>499</v>
      </c>
      <c r="F123" s="52">
        <v>398</v>
      </c>
      <c r="G123" s="118"/>
      <c r="H123" s="99">
        <v>529</v>
      </c>
      <c r="I123" s="139"/>
      <c r="J123" s="231"/>
      <c r="K123" s="231"/>
      <c r="L123" s="231"/>
      <c r="M123" s="231"/>
      <c r="N123" s="231"/>
      <c r="O123" s="231"/>
      <c r="P123" s="231"/>
      <c r="Q123" s="231"/>
      <c r="R123" s="231"/>
      <c r="S123" s="231"/>
      <c r="T123" s="231"/>
      <c r="U123" s="231"/>
      <c r="V123" s="231"/>
      <c r="W123" s="231"/>
      <c r="X123" s="231"/>
      <c r="Y123" s="231"/>
      <c r="Z123" s="231"/>
      <c r="AA123" s="231"/>
      <c r="AB123" s="231"/>
      <c r="AC123" s="231"/>
      <c r="AD123" s="231"/>
      <c r="AE123" s="231"/>
      <c r="AF123" s="231"/>
      <c r="AG123" s="231"/>
      <c r="AH123" s="231"/>
      <c r="AI123" s="231"/>
      <c r="AJ123" s="231"/>
      <c r="AK123" s="231"/>
      <c r="AL123" s="231"/>
      <c r="AM123" s="231"/>
      <c r="AN123" s="231"/>
    </row>
    <row r="124" spans="1:40" s="203" customFormat="1">
      <c r="A124" s="120">
        <v>24</v>
      </c>
      <c r="B124" s="47" t="s">
        <v>121</v>
      </c>
      <c r="C124" s="47"/>
      <c r="D124" s="47"/>
      <c r="E124" s="49">
        <v>469</v>
      </c>
      <c r="F124" s="52">
        <v>491</v>
      </c>
      <c r="G124" s="118"/>
      <c r="H124" s="100">
        <v>365</v>
      </c>
      <c r="I124" s="139"/>
      <c r="J124" s="231"/>
      <c r="K124" s="231"/>
      <c r="L124" s="231"/>
      <c r="M124" s="231"/>
      <c r="N124" s="231"/>
      <c r="O124" s="231"/>
      <c r="P124" s="231"/>
      <c r="Q124" s="231"/>
      <c r="R124" s="231"/>
      <c r="S124" s="231"/>
      <c r="T124" s="231"/>
      <c r="U124" s="231"/>
      <c r="V124" s="231"/>
      <c r="W124" s="231"/>
      <c r="X124" s="231"/>
      <c r="Y124" s="231"/>
      <c r="Z124" s="231"/>
      <c r="AA124" s="231"/>
      <c r="AB124" s="231"/>
      <c r="AC124" s="231"/>
      <c r="AD124" s="231"/>
      <c r="AE124" s="231"/>
      <c r="AF124" s="231"/>
      <c r="AG124" s="231"/>
      <c r="AH124" s="231"/>
      <c r="AI124" s="231"/>
      <c r="AJ124" s="231"/>
      <c r="AK124" s="231"/>
      <c r="AL124" s="231"/>
      <c r="AM124" s="231"/>
      <c r="AN124" s="231"/>
    </row>
    <row r="125" spans="1:40" s="203" customFormat="1">
      <c r="A125" s="120">
        <v>25</v>
      </c>
      <c r="B125" s="147" t="s">
        <v>127</v>
      </c>
      <c r="C125" s="147"/>
      <c r="D125" s="147"/>
      <c r="E125" s="80">
        <v>29649</v>
      </c>
      <c r="F125" s="142">
        <f>SUM(F118:F124)</f>
        <v>27704</v>
      </c>
      <c r="G125" s="118"/>
      <c r="H125" s="142">
        <f>SUM(H118:H124)</f>
        <v>30190</v>
      </c>
      <c r="I125" s="139"/>
      <c r="J125" s="231"/>
      <c r="K125" s="231"/>
      <c r="L125" s="231"/>
      <c r="M125" s="231"/>
      <c r="N125" s="231"/>
      <c r="O125" s="231"/>
      <c r="P125" s="231"/>
      <c r="Q125" s="231"/>
      <c r="R125" s="231"/>
      <c r="S125" s="231"/>
      <c r="T125" s="231"/>
      <c r="U125" s="231"/>
      <c r="V125" s="231"/>
      <c r="W125" s="231"/>
      <c r="X125" s="231"/>
      <c r="Y125" s="231"/>
      <c r="Z125" s="231"/>
      <c r="AA125" s="231"/>
      <c r="AB125" s="231"/>
      <c r="AC125" s="231"/>
      <c r="AD125" s="231"/>
      <c r="AE125" s="231"/>
      <c r="AF125" s="231"/>
      <c r="AG125" s="231"/>
      <c r="AH125" s="231"/>
      <c r="AI125" s="231"/>
      <c r="AJ125" s="231"/>
      <c r="AK125" s="231"/>
      <c r="AL125" s="231"/>
      <c r="AM125" s="231"/>
      <c r="AN125" s="231"/>
    </row>
    <row r="126" spans="1:40" s="203" customFormat="1">
      <c r="A126" s="111"/>
      <c r="B126" s="47"/>
      <c r="C126" s="47"/>
      <c r="D126" s="47"/>
      <c r="E126" s="117"/>
      <c r="F126" s="118"/>
      <c r="G126" s="118"/>
      <c r="H126" s="118"/>
      <c r="I126" s="139"/>
      <c r="J126" s="231"/>
      <c r="K126" s="231"/>
      <c r="L126" s="231"/>
      <c r="M126" s="231"/>
      <c r="N126" s="231"/>
      <c r="O126" s="231"/>
      <c r="P126" s="231"/>
      <c r="Q126" s="231"/>
      <c r="R126" s="231"/>
      <c r="S126" s="231"/>
      <c r="T126" s="231"/>
      <c r="U126" s="231"/>
      <c r="V126" s="231"/>
      <c r="W126" s="231"/>
      <c r="X126" s="231"/>
      <c r="Y126" s="231"/>
      <c r="Z126" s="231"/>
      <c r="AA126" s="231"/>
      <c r="AB126" s="231"/>
      <c r="AC126" s="231"/>
      <c r="AD126" s="231"/>
      <c r="AE126" s="231"/>
      <c r="AF126" s="231"/>
      <c r="AG126" s="231"/>
      <c r="AH126" s="231"/>
      <c r="AI126" s="231"/>
      <c r="AJ126" s="231"/>
      <c r="AK126" s="231"/>
      <c r="AL126" s="231"/>
      <c r="AM126" s="231"/>
      <c r="AN126" s="231"/>
    </row>
    <row r="127" spans="1:40" s="203" customFormat="1">
      <c r="A127" s="119" t="s">
        <v>108</v>
      </c>
      <c r="B127" s="147"/>
      <c r="C127" s="147"/>
      <c r="D127" s="147"/>
      <c r="E127" s="140"/>
      <c r="F127" s="146"/>
      <c r="G127" s="118"/>
      <c r="H127" s="146"/>
      <c r="I127" s="139"/>
      <c r="J127" s="231"/>
      <c r="K127" s="231"/>
      <c r="L127" s="231"/>
      <c r="M127" s="231"/>
      <c r="N127" s="231"/>
      <c r="O127" s="231"/>
      <c r="P127" s="231"/>
      <c r="Q127" s="231"/>
      <c r="R127" s="231"/>
      <c r="S127" s="231"/>
      <c r="T127" s="231"/>
      <c r="U127" s="231"/>
      <c r="V127" s="231"/>
      <c r="W127" s="231"/>
      <c r="X127" s="231"/>
      <c r="Y127" s="231"/>
      <c r="Z127" s="231"/>
      <c r="AA127" s="231"/>
      <c r="AB127" s="231"/>
      <c r="AC127" s="231"/>
      <c r="AD127" s="231"/>
      <c r="AE127" s="231"/>
      <c r="AF127" s="231"/>
      <c r="AG127" s="231"/>
      <c r="AH127" s="231"/>
      <c r="AI127" s="231"/>
      <c r="AJ127" s="231"/>
      <c r="AK127" s="231"/>
      <c r="AL127" s="231"/>
      <c r="AM127" s="231"/>
      <c r="AN127" s="231"/>
    </row>
    <row r="128" spans="1:40" s="203" customFormat="1">
      <c r="A128" s="120">
        <v>26</v>
      </c>
      <c r="B128" s="47" t="s">
        <v>123</v>
      </c>
      <c r="C128" s="47"/>
      <c r="D128" s="47"/>
      <c r="E128" s="74">
        <v>881</v>
      </c>
      <c r="F128" s="52">
        <v>834</v>
      </c>
      <c r="G128" s="118"/>
      <c r="H128" s="122">
        <v>887</v>
      </c>
      <c r="I128" s="139"/>
      <c r="J128" s="231"/>
      <c r="K128" s="231"/>
      <c r="L128" s="231"/>
      <c r="M128" s="231"/>
      <c r="N128" s="231"/>
      <c r="O128" s="231"/>
      <c r="P128" s="231"/>
      <c r="Q128" s="231"/>
      <c r="R128" s="231"/>
      <c r="S128" s="231"/>
      <c r="T128" s="231"/>
      <c r="U128" s="231"/>
      <c r="V128" s="231"/>
      <c r="W128" s="231"/>
      <c r="X128" s="231"/>
      <c r="Y128" s="231"/>
      <c r="Z128" s="231"/>
      <c r="AA128" s="231"/>
      <c r="AB128" s="231"/>
      <c r="AC128" s="231"/>
      <c r="AD128" s="231"/>
      <c r="AE128" s="231"/>
      <c r="AF128" s="231"/>
      <c r="AG128" s="231"/>
      <c r="AH128" s="231"/>
      <c r="AI128" s="231"/>
      <c r="AJ128" s="231"/>
      <c r="AK128" s="231"/>
      <c r="AL128" s="231"/>
      <c r="AM128" s="231"/>
      <c r="AN128" s="231"/>
    </row>
    <row r="129" spans="1:40" s="203" customFormat="1">
      <c r="A129" s="120">
        <v>27</v>
      </c>
      <c r="B129" s="47" t="s">
        <v>124</v>
      </c>
      <c r="C129" s="47"/>
      <c r="D129" s="47"/>
      <c r="E129" s="49">
        <v>2081</v>
      </c>
      <c r="F129" s="52">
        <v>2206</v>
      </c>
      <c r="G129" s="118"/>
      <c r="H129" s="122">
        <v>2097</v>
      </c>
      <c r="I129" s="139"/>
      <c r="J129" s="231"/>
      <c r="K129" s="231"/>
      <c r="L129" s="231"/>
      <c r="M129" s="231"/>
      <c r="N129" s="231"/>
      <c r="O129" s="231"/>
      <c r="P129" s="231"/>
      <c r="Q129" s="231"/>
      <c r="R129" s="231"/>
      <c r="S129" s="231"/>
      <c r="T129" s="231"/>
      <c r="U129" s="231"/>
      <c r="V129" s="231"/>
      <c r="W129" s="231"/>
      <c r="X129" s="231"/>
      <c r="Y129" s="231"/>
      <c r="Z129" s="231"/>
      <c r="AA129" s="231"/>
      <c r="AB129" s="231"/>
      <c r="AC129" s="231"/>
      <c r="AD129" s="231"/>
      <c r="AE129" s="231"/>
      <c r="AF129" s="231"/>
      <c r="AG129" s="231"/>
      <c r="AH129" s="231"/>
      <c r="AI129" s="231"/>
      <c r="AJ129" s="231"/>
      <c r="AK129" s="231"/>
      <c r="AL129" s="231"/>
      <c r="AM129" s="231"/>
      <c r="AN129" s="231"/>
    </row>
    <row r="130" spans="1:40" s="203" customFormat="1">
      <c r="A130" s="120">
        <v>28</v>
      </c>
      <c r="B130" s="47" t="s">
        <v>119</v>
      </c>
      <c r="C130" s="47"/>
      <c r="D130" s="47"/>
      <c r="E130" s="49">
        <v>309</v>
      </c>
      <c r="F130" s="52">
        <v>459</v>
      </c>
      <c r="G130" s="118"/>
      <c r="H130" s="122">
        <v>311</v>
      </c>
      <c r="I130" s="139"/>
      <c r="J130" s="231"/>
      <c r="K130" s="231"/>
      <c r="L130" s="231"/>
      <c r="M130" s="231"/>
      <c r="N130" s="231"/>
      <c r="O130" s="231"/>
      <c r="P130" s="231"/>
      <c r="Q130" s="231"/>
      <c r="R130" s="231"/>
      <c r="S130" s="231"/>
      <c r="T130" s="231"/>
      <c r="U130" s="231"/>
      <c r="V130" s="231"/>
      <c r="W130" s="231"/>
      <c r="X130" s="231"/>
      <c r="Y130" s="231"/>
      <c r="Z130" s="231"/>
      <c r="AA130" s="231"/>
      <c r="AB130" s="231"/>
      <c r="AC130" s="231"/>
      <c r="AD130" s="231"/>
      <c r="AE130" s="231"/>
      <c r="AF130" s="231"/>
      <c r="AG130" s="231"/>
      <c r="AH130" s="231"/>
      <c r="AI130" s="231"/>
      <c r="AJ130" s="231"/>
      <c r="AK130" s="231"/>
      <c r="AL130" s="231"/>
      <c r="AM130" s="231"/>
      <c r="AN130" s="231"/>
    </row>
    <row r="131" spans="1:40" s="203" customFormat="1">
      <c r="A131" s="120">
        <v>29</v>
      </c>
      <c r="B131" s="47" t="s">
        <v>120</v>
      </c>
      <c r="C131" s="47"/>
      <c r="D131" s="47"/>
      <c r="E131" s="49">
        <v>238</v>
      </c>
      <c r="F131" s="52">
        <v>2</v>
      </c>
      <c r="G131" s="118"/>
      <c r="H131" s="122">
        <v>3</v>
      </c>
      <c r="I131" s="139"/>
      <c r="J131" s="231"/>
      <c r="K131" s="231"/>
      <c r="L131" s="231"/>
      <c r="M131" s="231"/>
      <c r="N131" s="231"/>
      <c r="O131" s="231"/>
      <c r="P131" s="231"/>
      <c r="Q131" s="231"/>
      <c r="R131" s="231"/>
      <c r="S131" s="231"/>
      <c r="T131" s="231"/>
      <c r="U131" s="231"/>
      <c r="V131" s="231"/>
      <c r="W131" s="231"/>
      <c r="X131" s="231"/>
      <c r="Y131" s="231"/>
      <c r="Z131" s="231"/>
      <c r="AA131" s="231"/>
      <c r="AB131" s="231"/>
      <c r="AC131" s="231"/>
      <c r="AD131" s="231"/>
      <c r="AE131" s="231"/>
      <c r="AF131" s="231"/>
      <c r="AG131" s="231"/>
      <c r="AH131" s="231"/>
      <c r="AI131" s="231"/>
      <c r="AJ131" s="231"/>
      <c r="AK131" s="231"/>
      <c r="AL131" s="231"/>
      <c r="AM131" s="231"/>
      <c r="AN131" s="231"/>
    </row>
    <row r="132" spans="1:40" s="203" customFormat="1">
      <c r="A132" s="120">
        <v>30</v>
      </c>
      <c r="B132" s="47" t="s">
        <v>125</v>
      </c>
      <c r="C132" s="47"/>
      <c r="D132" s="47"/>
      <c r="E132" s="49">
        <v>107</v>
      </c>
      <c r="F132" s="52">
        <v>152</v>
      </c>
      <c r="G132" s="118"/>
      <c r="H132" s="122">
        <v>107</v>
      </c>
      <c r="I132" s="139"/>
      <c r="J132" s="231"/>
      <c r="K132" s="231"/>
      <c r="L132" s="231"/>
      <c r="M132" s="231"/>
      <c r="N132" s="231"/>
      <c r="O132" s="231"/>
      <c r="P132" s="231"/>
      <c r="Q132" s="231"/>
      <c r="R132" s="231"/>
      <c r="S132" s="231"/>
      <c r="T132" s="231"/>
      <c r="U132" s="231"/>
      <c r="V132" s="231"/>
      <c r="W132" s="231"/>
      <c r="X132" s="231"/>
      <c r="Y132" s="231"/>
      <c r="Z132" s="231"/>
      <c r="AA132" s="231"/>
      <c r="AB132" s="231"/>
      <c r="AC132" s="231"/>
      <c r="AD132" s="231"/>
      <c r="AE132" s="231"/>
      <c r="AF132" s="231"/>
      <c r="AG132" s="231"/>
      <c r="AH132" s="231"/>
      <c r="AI132" s="231"/>
      <c r="AJ132" s="231"/>
      <c r="AK132" s="231"/>
      <c r="AL132" s="231"/>
      <c r="AM132" s="231"/>
      <c r="AN132" s="231"/>
    </row>
    <row r="133" spans="1:40" s="203" customFormat="1">
      <c r="A133" s="120">
        <v>31</v>
      </c>
      <c r="B133" s="90" t="s">
        <v>126</v>
      </c>
      <c r="C133" s="47"/>
      <c r="D133" s="47"/>
      <c r="E133" s="49">
        <v>479</v>
      </c>
      <c r="F133" s="52">
        <v>380</v>
      </c>
      <c r="G133" s="118"/>
      <c r="H133" s="122">
        <v>482</v>
      </c>
      <c r="I133" s="139"/>
      <c r="J133" s="231"/>
      <c r="K133" s="231"/>
      <c r="L133" s="231"/>
      <c r="M133" s="231"/>
      <c r="N133" s="231"/>
      <c r="O133" s="231"/>
      <c r="P133" s="231"/>
      <c r="Q133" s="231"/>
      <c r="R133" s="231"/>
      <c r="S133" s="231"/>
      <c r="T133" s="231"/>
      <c r="U133" s="231"/>
      <c r="V133" s="231"/>
      <c r="W133" s="231"/>
      <c r="X133" s="231"/>
      <c r="Y133" s="231"/>
      <c r="Z133" s="231"/>
      <c r="AA133" s="231"/>
      <c r="AB133" s="231"/>
      <c r="AC133" s="231"/>
      <c r="AD133" s="231"/>
      <c r="AE133" s="231"/>
      <c r="AF133" s="231"/>
      <c r="AG133" s="231"/>
      <c r="AH133" s="231"/>
      <c r="AI133" s="231"/>
      <c r="AJ133" s="231"/>
      <c r="AK133" s="231"/>
      <c r="AL133" s="231"/>
      <c r="AM133" s="231"/>
      <c r="AN133" s="231"/>
    </row>
    <row r="134" spans="1:40" s="203" customFormat="1">
      <c r="A134" s="120">
        <v>32</v>
      </c>
      <c r="B134" s="47" t="s">
        <v>121</v>
      </c>
      <c r="C134" s="47"/>
      <c r="D134" s="47"/>
      <c r="E134" s="49">
        <v>144</v>
      </c>
      <c r="F134" s="52">
        <v>191</v>
      </c>
      <c r="G134" s="118"/>
      <c r="H134" s="100">
        <v>137</v>
      </c>
      <c r="I134" s="139"/>
      <c r="J134" s="231"/>
      <c r="K134" s="231"/>
      <c r="L134" s="231"/>
      <c r="M134" s="231"/>
      <c r="N134" s="231"/>
      <c r="O134" s="231"/>
      <c r="P134" s="231"/>
      <c r="Q134" s="231"/>
      <c r="R134" s="231"/>
      <c r="S134" s="231"/>
      <c r="T134" s="231"/>
      <c r="U134" s="231"/>
      <c r="V134" s="231"/>
      <c r="W134" s="231"/>
      <c r="X134" s="231"/>
      <c r="Y134" s="231"/>
      <c r="Z134" s="231"/>
      <c r="AA134" s="231"/>
      <c r="AB134" s="231"/>
      <c r="AC134" s="231"/>
      <c r="AD134" s="231"/>
      <c r="AE134" s="231"/>
      <c r="AF134" s="231"/>
      <c r="AG134" s="231"/>
      <c r="AH134" s="231"/>
      <c r="AI134" s="231"/>
      <c r="AJ134" s="231"/>
      <c r="AK134" s="231"/>
      <c r="AL134" s="231"/>
      <c r="AM134" s="231"/>
      <c r="AN134" s="231"/>
    </row>
    <row r="135" spans="1:40" s="203" customFormat="1">
      <c r="A135" s="120">
        <v>33</v>
      </c>
      <c r="B135" s="116" t="s">
        <v>128</v>
      </c>
      <c r="C135" s="116"/>
      <c r="D135" s="116"/>
      <c r="E135" s="80">
        <v>4239</v>
      </c>
      <c r="F135" s="142">
        <f>SUM(F128:F134)</f>
        <v>4224</v>
      </c>
      <c r="G135" s="118"/>
      <c r="H135" s="142">
        <f>SUM(H128:H134)</f>
        <v>4024</v>
      </c>
      <c r="I135" s="139"/>
      <c r="J135" s="231"/>
      <c r="K135" s="231"/>
      <c r="L135" s="231"/>
      <c r="M135" s="231"/>
      <c r="N135" s="231"/>
      <c r="O135" s="231"/>
      <c r="P135" s="231"/>
      <c r="Q135" s="231"/>
      <c r="R135" s="231"/>
      <c r="S135" s="231"/>
      <c r="T135" s="231"/>
      <c r="U135" s="231"/>
      <c r="V135" s="231"/>
      <c r="W135" s="231"/>
      <c r="X135" s="231"/>
      <c r="Y135" s="231"/>
      <c r="Z135" s="231"/>
      <c r="AA135" s="231"/>
      <c r="AB135" s="231"/>
      <c r="AC135" s="231"/>
      <c r="AD135" s="231"/>
      <c r="AE135" s="231"/>
      <c r="AF135" s="231"/>
      <c r="AG135" s="231"/>
      <c r="AH135" s="231"/>
      <c r="AI135" s="231"/>
      <c r="AJ135" s="231"/>
      <c r="AK135" s="231"/>
      <c r="AL135" s="231"/>
      <c r="AM135" s="231"/>
      <c r="AN135" s="231"/>
    </row>
    <row r="136" spans="1:40" s="203" customFormat="1">
      <c r="A136" s="111"/>
      <c r="B136" s="47"/>
      <c r="C136" s="47"/>
      <c r="D136" s="138"/>
      <c r="E136" s="117"/>
      <c r="F136" s="118"/>
      <c r="G136" s="118"/>
      <c r="H136" s="118"/>
      <c r="I136" s="139"/>
      <c r="J136" s="231"/>
      <c r="K136" s="231"/>
      <c r="L136" s="231"/>
      <c r="M136" s="231"/>
      <c r="N136" s="231"/>
      <c r="O136" s="231"/>
      <c r="P136" s="231"/>
      <c r="Q136" s="231"/>
      <c r="R136" s="231"/>
      <c r="S136" s="231"/>
      <c r="T136" s="231"/>
      <c r="U136" s="231"/>
      <c r="V136" s="231"/>
      <c r="W136" s="231"/>
      <c r="X136" s="231"/>
      <c r="Y136" s="231"/>
      <c r="Z136" s="231"/>
      <c r="AA136" s="231"/>
      <c r="AB136" s="231"/>
      <c r="AC136" s="231"/>
      <c r="AD136" s="231"/>
      <c r="AE136" s="231"/>
      <c r="AF136" s="231"/>
      <c r="AG136" s="231"/>
      <c r="AH136" s="231"/>
      <c r="AI136" s="231"/>
      <c r="AJ136" s="231"/>
      <c r="AK136" s="231"/>
      <c r="AL136" s="231"/>
      <c r="AM136" s="231"/>
      <c r="AN136" s="231"/>
    </row>
    <row r="137" spans="1:40" s="203" customFormat="1">
      <c r="A137" s="119" t="s">
        <v>109</v>
      </c>
      <c r="B137" s="116"/>
      <c r="C137" s="116"/>
      <c r="D137" s="116"/>
      <c r="E137" s="140"/>
      <c r="F137" s="146"/>
      <c r="G137" s="118"/>
      <c r="H137" s="146"/>
      <c r="I137" s="139"/>
      <c r="J137" s="231"/>
      <c r="K137" s="231"/>
      <c r="L137" s="231"/>
      <c r="M137" s="231"/>
      <c r="N137" s="231"/>
      <c r="O137" s="231"/>
      <c r="P137" s="231"/>
      <c r="Q137" s="231"/>
      <c r="R137" s="231"/>
      <c r="S137" s="231"/>
      <c r="T137" s="231"/>
      <c r="U137" s="231"/>
      <c r="V137" s="231"/>
      <c r="W137" s="231"/>
      <c r="X137" s="231"/>
      <c r="Y137" s="231"/>
      <c r="Z137" s="231"/>
      <c r="AA137" s="231"/>
      <c r="AB137" s="231"/>
      <c r="AC137" s="231"/>
      <c r="AD137" s="231"/>
      <c r="AE137" s="231"/>
      <c r="AF137" s="231"/>
      <c r="AG137" s="231"/>
      <c r="AH137" s="231"/>
      <c r="AI137" s="231"/>
      <c r="AJ137" s="231"/>
      <c r="AK137" s="231"/>
      <c r="AL137" s="231"/>
      <c r="AM137" s="231"/>
      <c r="AN137" s="231"/>
    </row>
    <row r="138" spans="1:40" s="203" customFormat="1">
      <c r="A138" s="120">
        <v>34</v>
      </c>
      <c r="B138" s="47" t="s">
        <v>123</v>
      </c>
      <c r="C138" s="47"/>
      <c r="D138" s="47"/>
      <c r="E138" s="49">
        <v>1360</v>
      </c>
      <c r="F138" s="52">
        <v>1262</v>
      </c>
      <c r="G138" s="118"/>
      <c r="H138" s="122">
        <v>1594</v>
      </c>
      <c r="I138" s="139"/>
      <c r="J138" s="231"/>
      <c r="K138" s="231"/>
      <c r="L138" s="231"/>
      <c r="M138" s="231"/>
      <c r="N138" s="231"/>
      <c r="O138" s="231"/>
      <c r="P138" s="231"/>
      <c r="Q138" s="231"/>
      <c r="R138" s="231"/>
      <c r="S138" s="231"/>
      <c r="T138" s="231"/>
      <c r="U138" s="231"/>
      <c r="V138" s="231"/>
      <c r="W138" s="231"/>
      <c r="X138" s="231"/>
      <c r="Y138" s="231"/>
      <c r="Z138" s="231"/>
      <c r="AA138" s="231"/>
      <c r="AB138" s="231"/>
      <c r="AC138" s="231"/>
      <c r="AD138" s="231"/>
      <c r="AE138" s="231"/>
      <c r="AF138" s="231"/>
      <c r="AG138" s="231"/>
      <c r="AH138" s="231"/>
      <c r="AI138" s="231"/>
      <c r="AJ138" s="231"/>
      <c r="AK138" s="231"/>
      <c r="AL138" s="231"/>
      <c r="AM138" s="231"/>
      <c r="AN138" s="231"/>
    </row>
    <row r="139" spans="1:40" s="203" customFormat="1">
      <c r="A139" s="120">
        <v>35</v>
      </c>
      <c r="B139" s="47" t="s">
        <v>119</v>
      </c>
      <c r="C139" s="47"/>
      <c r="D139" s="47"/>
      <c r="E139" s="49">
        <v>4044</v>
      </c>
      <c r="F139" s="52">
        <v>4805</v>
      </c>
      <c r="G139" s="118"/>
      <c r="H139" s="122">
        <v>4742</v>
      </c>
      <c r="I139" s="139"/>
      <c r="J139" s="231"/>
      <c r="K139" s="231"/>
      <c r="L139" s="231"/>
      <c r="M139" s="231"/>
      <c r="N139" s="231"/>
      <c r="O139" s="231"/>
      <c r="P139" s="231"/>
      <c r="Q139" s="231"/>
      <c r="R139" s="231"/>
      <c r="S139" s="231"/>
      <c r="T139" s="231"/>
      <c r="U139" s="231"/>
      <c r="V139" s="231"/>
      <c r="W139" s="231"/>
      <c r="X139" s="231"/>
      <c r="Y139" s="231"/>
      <c r="Z139" s="231"/>
      <c r="AA139" s="231"/>
      <c r="AB139" s="231"/>
      <c r="AC139" s="231"/>
      <c r="AD139" s="231"/>
      <c r="AE139" s="231"/>
      <c r="AF139" s="231"/>
      <c r="AG139" s="231"/>
      <c r="AH139" s="231"/>
      <c r="AI139" s="231"/>
      <c r="AJ139" s="231"/>
      <c r="AK139" s="231"/>
      <c r="AL139" s="231"/>
      <c r="AM139" s="231"/>
      <c r="AN139" s="231"/>
    </row>
    <row r="140" spans="1:40" s="203" customFormat="1">
      <c r="A140" s="120">
        <v>36</v>
      </c>
      <c r="B140" s="47" t="s">
        <v>120</v>
      </c>
      <c r="C140" s="47"/>
      <c r="D140" s="47"/>
      <c r="E140" s="49">
        <v>1531</v>
      </c>
      <c r="F140" s="52">
        <v>1543</v>
      </c>
      <c r="G140" s="118"/>
      <c r="H140" s="122">
        <v>2031</v>
      </c>
      <c r="I140" s="139"/>
      <c r="J140" s="231"/>
      <c r="K140" s="231"/>
      <c r="L140" s="231"/>
      <c r="M140" s="231"/>
      <c r="N140" s="231"/>
      <c r="O140" s="231"/>
      <c r="P140" s="231"/>
      <c r="Q140" s="231"/>
      <c r="R140" s="231"/>
      <c r="S140" s="231"/>
      <c r="T140" s="231"/>
      <c r="U140" s="231"/>
      <c r="V140" s="231"/>
      <c r="W140" s="231"/>
      <c r="X140" s="231"/>
      <c r="Y140" s="231"/>
      <c r="Z140" s="231"/>
      <c r="AA140" s="231"/>
      <c r="AB140" s="231"/>
      <c r="AC140" s="231"/>
      <c r="AD140" s="231"/>
      <c r="AE140" s="231"/>
      <c r="AF140" s="231"/>
      <c r="AG140" s="231"/>
      <c r="AH140" s="231"/>
      <c r="AI140" s="231"/>
      <c r="AJ140" s="231"/>
      <c r="AK140" s="231"/>
      <c r="AL140" s="231"/>
      <c r="AM140" s="231"/>
      <c r="AN140" s="231"/>
    </row>
    <row r="141" spans="1:40" s="203" customFormat="1">
      <c r="A141" s="120">
        <v>37</v>
      </c>
      <c r="B141" s="90" t="s">
        <v>126</v>
      </c>
      <c r="C141" s="47"/>
      <c r="D141" s="47"/>
      <c r="E141" s="49">
        <v>972</v>
      </c>
      <c r="F141" s="52">
        <v>1029</v>
      </c>
      <c r="G141" s="118"/>
      <c r="H141" s="99">
        <v>1140</v>
      </c>
      <c r="I141" s="139"/>
      <c r="J141" s="231"/>
      <c r="K141" s="231"/>
      <c r="L141" s="231"/>
      <c r="M141" s="231"/>
      <c r="N141" s="231"/>
      <c r="O141" s="231"/>
      <c r="P141" s="231"/>
      <c r="Q141" s="231"/>
      <c r="R141" s="231"/>
      <c r="S141" s="231"/>
      <c r="T141" s="231"/>
      <c r="U141" s="231"/>
      <c r="V141" s="231"/>
      <c r="W141" s="231"/>
      <c r="X141" s="231"/>
      <c r="Y141" s="231"/>
      <c r="Z141" s="231"/>
      <c r="AA141" s="231"/>
      <c r="AB141" s="231"/>
      <c r="AC141" s="231"/>
      <c r="AD141" s="231"/>
      <c r="AE141" s="231"/>
      <c r="AF141" s="231"/>
      <c r="AG141" s="231"/>
      <c r="AH141" s="231"/>
      <c r="AI141" s="231"/>
      <c r="AJ141" s="231"/>
      <c r="AK141" s="231"/>
      <c r="AL141" s="231"/>
      <c r="AM141" s="231"/>
      <c r="AN141" s="231"/>
    </row>
    <row r="142" spans="1:40" s="203" customFormat="1">
      <c r="A142" s="120">
        <v>38</v>
      </c>
      <c r="B142" s="47" t="s">
        <v>121</v>
      </c>
      <c r="C142" s="47"/>
      <c r="D142" s="47"/>
      <c r="E142" s="49">
        <v>2299</v>
      </c>
      <c r="F142" s="52">
        <v>3543</v>
      </c>
      <c r="G142" s="118"/>
      <c r="H142" s="100">
        <v>3411</v>
      </c>
      <c r="I142" s="139"/>
      <c r="J142" s="231"/>
      <c r="K142" s="231"/>
      <c r="L142" s="231"/>
      <c r="M142" s="231"/>
      <c r="N142" s="231"/>
      <c r="O142" s="231"/>
      <c r="P142" s="231"/>
      <c r="Q142" s="231"/>
      <c r="R142" s="231"/>
      <c r="S142" s="231"/>
      <c r="T142" s="231"/>
      <c r="U142" s="231"/>
      <c r="V142" s="231"/>
      <c r="W142" s="231"/>
      <c r="X142" s="231"/>
      <c r="Y142" s="231"/>
      <c r="Z142" s="231"/>
      <c r="AA142" s="231"/>
      <c r="AB142" s="231"/>
      <c r="AC142" s="231"/>
      <c r="AD142" s="231"/>
      <c r="AE142" s="231"/>
      <c r="AF142" s="231"/>
      <c r="AG142" s="231"/>
      <c r="AH142" s="231"/>
      <c r="AI142" s="231"/>
      <c r="AJ142" s="231"/>
      <c r="AK142" s="231"/>
      <c r="AL142" s="231"/>
      <c r="AM142" s="231"/>
      <c r="AN142" s="231"/>
    </row>
    <row r="143" spans="1:40" s="203" customFormat="1">
      <c r="A143" s="120">
        <v>39</v>
      </c>
      <c r="B143" s="116" t="s">
        <v>129</v>
      </c>
      <c r="C143" s="116"/>
      <c r="D143" s="116"/>
      <c r="E143" s="80">
        <v>10206</v>
      </c>
      <c r="F143" s="142">
        <f>SUM(F138:F142)</f>
        <v>12182</v>
      </c>
      <c r="G143" s="118"/>
      <c r="H143" s="142">
        <f>SUM(H138:H142)</f>
        <v>12918</v>
      </c>
      <c r="I143" s="139"/>
      <c r="J143" s="231"/>
      <c r="K143" s="231"/>
      <c r="L143" s="231"/>
      <c r="M143" s="231"/>
      <c r="N143" s="231"/>
      <c r="O143" s="231"/>
      <c r="P143" s="231"/>
      <c r="Q143" s="231"/>
      <c r="R143" s="231"/>
      <c r="S143" s="231"/>
      <c r="T143" s="231"/>
      <c r="U143" s="231"/>
      <c r="V143" s="231"/>
      <c r="W143" s="231"/>
      <c r="X143" s="231"/>
      <c r="Y143" s="231"/>
      <c r="Z143" s="231"/>
      <c r="AA143" s="231"/>
      <c r="AB143" s="231"/>
      <c r="AC143" s="231"/>
      <c r="AD143" s="231"/>
      <c r="AE143" s="231"/>
      <c r="AF143" s="231"/>
      <c r="AG143" s="231"/>
      <c r="AH143" s="231"/>
      <c r="AI143" s="231"/>
      <c r="AJ143" s="231"/>
      <c r="AK143" s="231"/>
      <c r="AL143" s="231"/>
      <c r="AM143" s="231"/>
      <c r="AN143" s="231"/>
    </row>
    <row r="144" spans="1:40" s="203" customFormat="1">
      <c r="A144" s="111"/>
      <c r="B144" s="47"/>
      <c r="C144" s="47"/>
      <c r="D144" s="47"/>
      <c r="E144" s="117"/>
      <c r="F144" s="118"/>
      <c r="G144" s="118"/>
      <c r="H144" s="118"/>
      <c r="I144" s="139"/>
      <c r="J144" s="231"/>
      <c r="K144" s="231"/>
      <c r="L144" s="231"/>
      <c r="M144" s="231"/>
      <c r="N144" s="231"/>
      <c r="O144" s="231"/>
      <c r="P144" s="231"/>
      <c r="Q144" s="231"/>
      <c r="R144" s="231"/>
      <c r="S144" s="231"/>
      <c r="T144" s="231"/>
      <c r="U144" s="231"/>
      <c r="V144" s="231"/>
      <c r="W144" s="231"/>
      <c r="X144" s="231"/>
      <c r="Y144" s="231"/>
      <c r="Z144" s="231"/>
      <c r="AA144" s="231"/>
      <c r="AB144" s="231"/>
      <c r="AC144" s="231"/>
      <c r="AD144" s="231"/>
      <c r="AE144" s="231"/>
      <c r="AF144" s="231"/>
      <c r="AG144" s="231"/>
      <c r="AH144" s="231"/>
      <c r="AI144" s="231"/>
      <c r="AJ144" s="231"/>
      <c r="AK144" s="231"/>
      <c r="AL144" s="231"/>
      <c r="AM144" s="231"/>
      <c r="AN144" s="231"/>
    </row>
    <row r="145" spans="1:40" s="203" customFormat="1">
      <c r="A145" s="119" t="s">
        <v>110</v>
      </c>
      <c r="B145" s="116"/>
      <c r="C145" s="116"/>
      <c r="D145" s="116"/>
      <c r="E145" s="140"/>
      <c r="F145" s="146"/>
      <c r="G145" s="118"/>
      <c r="H145" s="146"/>
      <c r="I145" s="139"/>
      <c r="J145" s="231"/>
      <c r="K145" s="231"/>
      <c r="L145" s="231"/>
      <c r="M145" s="231"/>
      <c r="N145" s="231"/>
      <c r="O145" s="231"/>
      <c r="P145" s="231"/>
      <c r="Q145" s="231"/>
      <c r="R145" s="231"/>
      <c r="S145" s="231"/>
      <c r="T145" s="231"/>
      <c r="U145" s="231"/>
      <c r="V145" s="231"/>
      <c r="W145" s="231"/>
      <c r="X145" s="231"/>
      <c r="Y145" s="231"/>
      <c r="Z145" s="231"/>
      <c r="AA145" s="231"/>
      <c r="AB145" s="231"/>
      <c r="AC145" s="231"/>
      <c r="AD145" s="231"/>
      <c r="AE145" s="231"/>
      <c r="AF145" s="231"/>
      <c r="AG145" s="231"/>
      <c r="AH145" s="231"/>
      <c r="AI145" s="231"/>
      <c r="AJ145" s="231"/>
      <c r="AK145" s="231"/>
      <c r="AL145" s="231"/>
      <c r="AM145" s="231"/>
      <c r="AN145" s="231"/>
    </row>
    <row r="146" spans="1:40" s="203" customFormat="1">
      <c r="A146" s="120">
        <v>40</v>
      </c>
      <c r="B146" s="47" t="s">
        <v>123</v>
      </c>
      <c r="C146" s="47"/>
      <c r="D146" s="47"/>
      <c r="E146" s="49">
        <v>878</v>
      </c>
      <c r="F146" s="52">
        <v>752</v>
      </c>
      <c r="G146" s="118"/>
      <c r="H146" s="122">
        <v>1045</v>
      </c>
      <c r="I146" s="139"/>
      <c r="J146" s="231"/>
      <c r="K146" s="231"/>
      <c r="L146" s="231"/>
      <c r="M146" s="231"/>
      <c r="N146" s="231"/>
      <c r="O146" s="231"/>
      <c r="P146" s="231"/>
      <c r="Q146" s="231"/>
      <c r="R146" s="231"/>
      <c r="S146" s="231"/>
      <c r="T146" s="231"/>
      <c r="U146" s="231"/>
      <c r="V146" s="231"/>
      <c r="W146" s="231"/>
      <c r="X146" s="231"/>
      <c r="Y146" s="231"/>
      <c r="Z146" s="231"/>
      <c r="AA146" s="231"/>
      <c r="AB146" s="231"/>
      <c r="AC146" s="231"/>
      <c r="AD146" s="231"/>
      <c r="AE146" s="231"/>
      <c r="AF146" s="231"/>
      <c r="AG146" s="231"/>
      <c r="AH146" s="231"/>
      <c r="AI146" s="231"/>
      <c r="AJ146" s="231"/>
      <c r="AK146" s="231"/>
      <c r="AL146" s="231"/>
      <c r="AM146" s="231"/>
      <c r="AN146" s="231"/>
    </row>
    <row r="147" spans="1:40" s="203" customFormat="1">
      <c r="A147" s="120">
        <v>41</v>
      </c>
      <c r="B147" s="47" t="s">
        <v>119</v>
      </c>
      <c r="C147" s="47"/>
      <c r="D147" s="47"/>
      <c r="E147" s="49">
        <v>365</v>
      </c>
      <c r="F147" s="52">
        <v>532</v>
      </c>
      <c r="G147" s="118"/>
      <c r="H147" s="122">
        <v>435</v>
      </c>
      <c r="I147" s="139"/>
      <c r="J147" s="231"/>
      <c r="K147" s="231"/>
      <c r="L147" s="231"/>
      <c r="M147" s="231"/>
      <c r="N147" s="231"/>
      <c r="O147" s="231"/>
      <c r="P147" s="231"/>
      <c r="Q147" s="231"/>
      <c r="R147" s="231"/>
      <c r="S147" s="231"/>
      <c r="T147" s="231"/>
      <c r="U147" s="231"/>
      <c r="V147" s="231"/>
      <c r="W147" s="231"/>
      <c r="X147" s="231"/>
      <c r="Y147" s="231"/>
      <c r="Z147" s="231"/>
      <c r="AA147" s="231"/>
      <c r="AB147" s="231"/>
      <c r="AC147" s="231"/>
      <c r="AD147" s="231"/>
      <c r="AE147" s="231"/>
      <c r="AF147" s="231"/>
      <c r="AG147" s="231"/>
      <c r="AH147" s="231"/>
      <c r="AI147" s="231"/>
      <c r="AJ147" s="231"/>
      <c r="AK147" s="231"/>
      <c r="AL147" s="231"/>
      <c r="AM147" s="231"/>
      <c r="AN147" s="231"/>
    </row>
    <row r="148" spans="1:40" s="203" customFormat="1">
      <c r="A148" s="120">
        <v>42</v>
      </c>
      <c r="B148" s="47" t="s">
        <v>120</v>
      </c>
      <c r="C148" s="47"/>
      <c r="D148" s="47"/>
      <c r="E148" s="49">
        <v>195</v>
      </c>
      <c r="F148" s="52">
        <v>167</v>
      </c>
      <c r="G148" s="118"/>
      <c r="H148" s="122">
        <v>233</v>
      </c>
      <c r="I148" s="139"/>
      <c r="J148" s="231"/>
      <c r="K148" s="231"/>
      <c r="L148" s="231"/>
      <c r="M148" s="231"/>
      <c r="N148" s="231"/>
      <c r="O148" s="231"/>
      <c r="P148" s="231"/>
      <c r="Q148" s="231"/>
      <c r="R148" s="231"/>
      <c r="S148" s="231"/>
      <c r="T148" s="231"/>
      <c r="U148" s="231"/>
      <c r="V148" s="231"/>
      <c r="W148" s="231"/>
      <c r="X148" s="231"/>
      <c r="Y148" s="231"/>
      <c r="Z148" s="231"/>
      <c r="AA148" s="231"/>
      <c r="AB148" s="231"/>
      <c r="AC148" s="231"/>
      <c r="AD148" s="231"/>
      <c r="AE148" s="231"/>
      <c r="AF148" s="231"/>
      <c r="AG148" s="231"/>
      <c r="AH148" s="231"/>
      <c r="AI148" s="231"/>
      <c r="AJ148" s="231"/>
      <c r="AK148" s="231"/>
      <c r="AL148" s="231"/>
      <c r="AM148" s="231"/>
      <c r="AN148" s="231"/>
    </row>
    <row r="149" spans="1:40" s="203" customFormat="1">
      <c r="A149" s="120">
        <v>43</v>
      </c>
      <c r="B149" s="47" t="s">
        <v>121</v>
      </c>
      <c r="C149" s="47"/>
      <c r="D149" s="47"/>
      <c r="E149" s="49">
        <v>805</v>
      </c>
      <c r="F149" s="52">
        <v>1370</v>
      </c>
      <c r="G149" s="118"/>
      <c r="H149" s="100">
        <v>1336</v>
      </c>
      <c r="I149" s="139"/>
      <c r="J149" s="231"/>
      <c r="K149" s="231"/>
      <c r="L149" s="231"/>
      <c r="M149" s="231"/>
      <c r="N149" s="231"/>
      <c r="O149" s="231"/>
      <c r="P149" s="231"/>
      <c r="Q149" s="231"/>
      <c r="R149" s="231"/>
      <c r="S149" s="231"/>
      <c r="T149" s="231"/>
      <c r="U149" s="231"/>
      <c r="V149" s="231"/>
      <c r="W149" s="231"/>
      <c r="X149" s="231"/>
      <c r="Y149" s="231"/>
      <c r="Z149" s="231"/>
      <c r="AA149" s="231"/>
      <c r="AB149" s="231"/>
      <c r="AC149" s="231"/>
      <c r="AD149" s="231"/>
      <c r="AE149" s="231"/>
      <c r="AF149" s="231"/>
      <c r="AG149" s="231"/>
      <c r="AH149" s="231"/>
      <c r="AI149" s="231"/>
      <c r="AJ149" s="231"/>
      <c r="AK149" s="231"/>
      <c r="AL149" s="231"/>
      <c r="AM149" s="231"/>
      <c r="AN149" s="231"/>
    </row>
    <row r="150" spans="1:40" s="203" customFormat="1">
      <c r="A150" s="124">
        <v>44</v>
      </c>
      <c r="B150" s="94" t="s">
        <v>130</v>
      </c>
      <c r="C150" s="94"/>
      <c r="D150" s="94"/>
      <c r="E150" s="80">
        <v>2243</v>
      </c>
      <c r="F150" s="142">
        <f>SUM(F146:F149)</f>
        <v>2821</v>
      </c>
      <c r="G150" s="259"/>
      <c r="H150" s="142">
        <f>SUM(H146:H149)</f>
        <v>3049</v>
      </c>
      <c r="I150" s="139"/>
      <c r="J150" s="231"/>
      <c r="K150" s="231"/>
      <c r="L150" s="231"/>
      <c r="M150" s="231"/>
      <c r="N150" s="231"/>
      <c r="O150" s="231"/>
      <c r="P150" s="231"/>
      <c r="Q150" s="231"/>
      <c r="R150" s="231"/>
      <c r="S150" s="231"/>
      <c r="T150" s="231"/>
      <c r="U150" s="231"/>
      <c r="V150" s="231"/>
      <c r="W150" s="231"/>
      <c r="X150" s="231"/>
      <c r="Y150" s="231"/>
      <c r="Z150" s="231"/>
      <c r="AA150" s="231"/>
      <c r="AB150" s="231"/>
      <c r="AC150" s="231"/>
      <c r="AD150" s="231"/>
      <c r="AE150" s="231"/>
      <c r="AF150" s="231"/>
      <c r="AG150" s="231"/>
      <c r="AH150" s="231"/>
      <c r="AI150" s="231"/>
      <c r="AJ150" s="231"/>
      <c r="AK150" s="231"/>
      <c r="AL150" s="231"/>
      <c r="AM150" s="231"/>
      <c r="AN150" s="231"/>
    </row>
    <row r="151" spans="1:40" s="203" customFormat="1">
      <c r="A151" s="148"/>
      <c r="B151" s="129"/>
      <c r="C151" s="129"/>
      <c r="D151" s="149"/>
      <c r="E151" s="150"/>
      <c r="F151" s="29"/>
      <c r="G151" s="29"/>
      <c r="H151" s="207"/>
      <c r="I151" s="29"/>
      <c r="J151" s="231"/>
      <c r="K151" s="231"/>
      <c r="L151" s="231"/>
      <c r="M151" s="231"/>
      <c r="N151" s="231"/>
      <c r="O151" s="231"/>
      <c r="P151" s="231"/>
      <c r="Q151" s="231"/>
      <c r="R151" s="231"/>
      <c r="S151" s="231"/>
      <c r="T151" s="231"/>
      <c r="U151" s="231"/>
      <c r="V151" s="231"/>
      <c r="W151" s="231"/>
      <c r="X151" s="231"/>
      <c r="Y151" s="231"/>
      <c r="Z151" s="231"/>
      <c r="AA151" s="231"/>
      <c r="AB151" s="231"/>
      <c r="AC151" s="231"/>
      <c r="AD151" s="231"/>
      <c r="AE151" s="231"/>
      <c r="AF151" s="231"/>
      <c r="AG151" s="231"/>
      <c r="AH151" s="231"/>
      <c r="AI151" s="231"/>
      <c r="AJ151" s="231"/>
      <c r="AK151" s="231"/>
      <c r="AL151" s="231"/>
      <c r="AM151" s="231"/>
      <c r="AN151" s="231"/>
    </row>
    <row r="152" spans="1:40" s="203" customFormat="1">
      <c r="A152" s="148"/>
      <c r="B152" s="129"/>
      <c r="C152" s="129"/>
      <c r="D152" s="151"/>
      <c r="E152" s="152"/>
      <c r="F152" s="29"/>
      <c r="G152" s="29"/>
      <c r="H152" s="131" t="s">
        <v>27</v>
      </c>
      <c r="I152" s="29"/>
      <c r="J152" s="231"/>
      <c r="K152" s="231"/>
      <c r="L152" s="231"/>
      <c r="M152" s="231"/>
      <c r="N152" s="231"/>
      <c r="O152" s="231"/>
      <c r="P152" s="231"/>
      <c r="Q152" s="231"/>
      <c r="R152" s="231"/>
      <c r="S152" s="231"/>
      <c r="T152" s="231"/>
      <c r="U152" s="231"/>
      <c r="V152" s="231"/>
      <c r="W152" s="231"/>
      <c r="X152" s="231"/>
      <c r="Y152" s="231"/>
      <c r="Z152" s="231"/>
      <c r="AA152" s="231"/>
      <c r="AB152" s="231"/>
      <c r="AC152" s="231"/>
      <c r="AD152" s="231"/>
      <c r="AE152" s="231"/>
      <c r="AF152" s="231"/>
      <c r="AG152" s="231"/>
      <c r="AH152" s="231"/>
      <c r="AI152" s="231"/>
      <c r="AJ152" s="231"/>
      <c r="AK152" s="231"/>
      <c r="AL152" s="231"/>
      <c r="AM152" s="231"/>
      <c r="AN152" s="231"/>
    </row>
    <row r="153" spans="1:40" s="203" customFormat="1">
      <c r="A153" s="106" t="s">
        <v>20</v>
      </c>
      <c r="B153" s="107"/>
      <c r="C153" s="107"/>
      <c r="D153" s="107"/>
      <c r="E153" s="856" t="s">
        <v>377</v>
      </c>
      <c r="F153" s="856" t="s">
        <v>402</v>
      </c>
      <c r="G153" s="130"/>
      <c r="H153" s="856" t="s">
        <v>403</v>
      </c>
      <c r="I153" s="130"/>
      <c r="J153" s="231"/>
      <c r="K153" s="231"/>
      <c r="L153" s="231"/>
      <c r="M153" s="231"/>
      <c r="N153" s="231"/>
      <c r="O153" s="231"/>
      <c r="P153" s="231"/>
      <c r="Q153" s="231"/>
      <c r="R153" s="231"/>
      <c r="S153" s="231"/>
      <c r="T153" s="231"/>
      <c r="U153" s="231"/>
      <c r="V153" s="231"/>
      <c r="W153" s="231"/>
      <c r="X153" s="231"/>
      <c r="Y153" s="231"/>
      <c r="Z153" s="231"/>
      <c r="AA153" s="231"/>
      <c r="AB153" s="231"/>
      <c r="AC153" s="231"/>
      <c r="AD153" s="231"/>
      <c r="AE153" s="231"/>
      <c r="AF153" s="231"/>
      <c r="AG153" s="231"/>
      <c r="AH153" s="231"/>
      <c r="AI153" s="231"/>
      <c r="AJ153" s="231"/>
      <c r="AK153" s="231"/>
      <c r="AL153" s="231"/>
      <c r="AM153" s="231"/>
      <c r="AN153" s="231"/>
    </row>
    <row r="154" spans="1:40" s="203" customFormat="1">
      <c r="A154" s="153"/>
      <c r="B154" s="132"/>
      <c r="C154" s="132"/>
      <c r="D154" s="132"/>
      <c r="E154" s="859"/>
      <c r="F154" s="859"/>
      <c r="G154" s="130"/>
      <c r="H154" s="859"/>
      <c r="I154" s="130"/>
      <c r="J154" s="231"/>
      <c r="K154" s="231"/>
      <c r="L154" s="231"/>
      <c r="M154" s="231"/>
      <c r="N154" s="231"/>
      <c r="O154" s="231"/>
      <c r="P154" s="231"/>
      <c r="Q154" s="231"/>
      <c r="R154" s="231"/>
      <c r="S154" s="231"/>
      <c r="T154" s="231"/>
      <c r="U154" s="231"/>
      <c r="V154" s="231"/>
      <c r="W154" s="231"/>
      <c r="X154" s="231"/>
      <c r="Y154" s="231"/>
      <c r="Z154" s="231"/>
      <c r="AA154" s="231"/>
      <c r="AB154" s="231"/>
      <c r="AC154" s="231"/>
      <c r="AD154" s="231"/>
      <c r="AE154" s="231"/>
      <c r="AF154" s="231"/>
      <c r="AG154" s="231"/>
      <c r="AH154" s="231"/>
      <c r="AI154" s="231"/>
      <c r="AJ154" s="231"/>
      <c r="AK154" s="231"/>
      <c r="AL154" s="231"/>
      <c r="AM154" s="231"/>
      <c r="AN154" s="231"/>
    </row>
    <row r="155" spans="1:40" s="203" customFormat="1">
      <c r="A155" s="154" t="s">
        <v>131</v>
      </c>
      <c r="B155" s="116"/>
      <c r="C155" s="116"/>
      <c r="D155" s="116"/>
      <c r="E155" s="859"/>
      <c r="F155" s="859"/>
      <c r="G155" s="130"/>
      <c r="H155" s="859"/>
      <c r="I155" s="130"/>
      <c r="J155" s="231"/>
      <c r="K155" s="231"/>
      <c r="L155" s="231"/>
      <c r="M155" s="231"/>
      <c r="N155" s="231"/>
      <c r="O155" s="231"/>
      <c r="P155" s="231"/>
      <c r="Q155" s="231"/>
      <c r="R155" s="231"/>
      <c r="S155" s="231"/>
      <c r="T155" s="231"/>
      <c r="U155" s="231"/>
      <c r="V155" s="231"/>
      <c r="W155" s="231"/>
      <c r="X155" s="231"/>
      <c r="Y155" s="231"/>
      <c r="Z155" s="231"/>
      <c r="AA155" s="231"/>
      <c r="AB155" s="231"/>
      <c r="AC155" s="231"/>
      <c r="AD155" s="231"/>
      <c r="AE155" s="231"/>
      <c r="AF155" s="231"/>
      <c r="AG155" s="231"/>
      <c r="AH155" s="231"/>
      <c r="AI155" s="231"/>
      <c r="AJ155" s="231"/>
      <c r="AK155" s="231"/>
      <c r="AL155" s="231"/>
      <c r="AM155" s="231"/>
      <c r="AN155" s="231"/>
    </row>
    <row r="156" spans="1:40" s="203" customFormat="1" ht="12.75" customHeight="1">
      <c r="A156" s="109" t="s">
        <v>83</v>
      </c>
      <c r="B156" s="47"/>
      <c r="C156" s="47"/>
      <c r="D156" s="47"/>
      <c r="E156" s="859"/>
      <c r="F156" s="859"/>
      <c r="G156" s="130"/>
      <c r="H156" s="859"/>
      <c r="I156" s="130"/>
      <c r="J156" s="231"/>
      <c r="K156" s="231"/>
      <c r="L156" s="231"/>
      <c r="M156" s="231"/>
      <c r="N156" s="231"/>
      <c r="O156" s="231"/>
      <c r="P156" s="231"/>
      <c r="Q156" s="231"/>
      <c r="R156" s="231"/>
      <c r="S156" s="231"/>
      <c r="T156" s="231"/>
      <c r="U156" s="231"/>
      <c r="V156" s="231"/>
      <c r="W156" s="231"/>
      <c r="X156" s="231"/>
      <c r="Y156" s="231"/>
      <c r="Z156" s="231"/>
      <c r="AA156" s="231"/>
      <c r="AB156" s="231"/>
      <c r="AC156" s="231"/>
      <c r="AD156" s="231"/>
      <c r="AE156" s="231"/>
      <c r="AF156" s="231"/>
      <c r="AG156" s="231"/>
      <c r="AH156" s="231"/>
      <c r="AI156" s="231"/>
      <c r="AJ156" s="231"/>
      <c r="AK156" s="231"/>
      <c r="AL156" s="231"/>
      <c r="AM156" s="231"/>
      <c r="AN156" s="231"/>
    </row>
    <row r="157" spans="1:40" s="203" customFormat="1">
      <c r="A157" s="110" t="s">
        <v>84</v>
      </c>
      <c r="B157" s="132"/>
      <c r="C157" s="132"/>
      <c r="D157" s="132"/>
      <c r="E157" s="860"/>
      <c r="F157" s="860"/>
      <c r="G157" s="130"/>
      <c r="H157" s="860"/>
      <c r="I157" s="130"/>
      <c r="J157" s="231"/>
      <c r="K157" s="231"/>
      <c r="L157" s="231"/>
      <c r="M157" s="231"/>
      <c r="N157" s="231"/>
      <c r="O157" s="231"/>
      <c r="P157" s="231"/>
      <c r="Q157" s="231"/>
      <c r="R157" s="231"/>
      <c r="S157" s="231"/>
      <c r="T157" s="231"/>
      <c r="U157" s="231"/>
      <c r="V157" s="231"/>
      <c r="W157" s="231"/>
      <c r="X157" s="231"/>
      <c r="Y157" s="231"/>
      <c r="Z157" s="231"/>
      <c r="AA157" s="231"/>
      <c r="AB157" s="231"/>
      <c r="AC157" s="231"/>
      <c r="AD157" s="231"/>
      <c r="AE157" s="231"/>
      <c r="AF157" s="231"/>
      <c r="AG157" s="231"/>
      <c r="AH157" s="231"/>
      <c r="AI157" s="231"/>
      <c r="AJ157" s="231"/>
      <c r="AK157" s="231"/>
      <c r="AL157" s="231"/>
      <c r="AM157" s="231"/>
      <c r="AN157" s="231"/>
    </row>
    <row r="158" spans="1:40" s="203" customFormat="1">
      <c r="A158" s="119" t="s">
        <v>132</v>
      </c>
      <c r="B158" s="47"/>
      <c r="C158" s="47"/>
      <c r="D158" s="47"/>
      <c r="E158" s="155"/>
      <c r="F158" s="146" t="s">
        <v>133</v>
      </c>
      <c r="G158" s="118"/>
      <c r="H158" s="146"/>
      <c r="I158" s="29"/>
      <c r="J158" s="231"/>
      <c r="K158" s="231"/>
      <c r="L158" s="231"/>
      <c r="M158" s="231"/>
      <c r="N158" s="231"/>
      <c r="O158" s="231"/>
      <c r="P158" s="231"/>
      <c r="Q158" s="231"/>
      <c r="R158" s="231"/>
      <c r="S158" s="231"/>
      <c r="T158" s="231"/>
      <c r="U158" s="231"/>
      <c r="V158" s="231"/>
      <c r="W158" s="231"/>
      <c r="X158" s="231"/>
      <c r="Y158" s="231"/>
      <c r="Z158" s="231"/>
      <c r="AA158" s="231"/>
      <c r="AB158" s="231"/>
      <c r="AC158" s="231"/>
      <c r="AD158" s="231"/>
      <c r="AE158" s="231"/>
      <c r="AF158" s="231"/>
      <c r="AG158" s="231"/>
      <c r="AH158" s="231"/>
      <c r="AI158" s="231"/>
      <c r="AJ158" s="231"/>
      <c r="AK158" s="231"/>
      <c r="AL158" s="231"/>
      <c r="AM158" s="231"/>
      <c r="AN158" s="231"/>
    </row>
    <row r="159" spans="1:40" s="203" customFormat="1">
      <c r="A159" s="120">
        <v>1</v>
      </c>
      <c r="B159" s="47" t="s">
        <v>134</v>
      </c>
      <c r="C159" s="47"/>
      <c r="D159" s="47"/>
      <c r="E159" s="74">
        <v>0</v>
      </c>
      <c r="F159" s="52">
        <v>0</v>
      </c>
      <c r="G159" s="118"/>
      <c r="H159" s="122">
        <v>0</v>
      </c>
      <c r="I159" s="29"/>
      <c r="J159" s="231"/>
      <c r="K159" s="231"/>
      <c r="L159" s="231"/>
      <c r="M159" s="231"/>
      <c r="N159" s="231"/>
      <c r="O159" s="231"/>
      <c r="P159" s="231"/>
      <c r="Q159" s="231"/>
      <c r="R159" s="231"/>
      <c r="S159" s="231"/>
      <c r="T159" s="231"/>
      <c r="U159" s="231"/>
      <c r="V159" s="231"/>
      <c r="W159" s="231"/>
      <c r="X159" s="231"/>
      <c r="Y159" s="231"/>
      <c r="Z159" s="231"/>
      <c r="AA159" s="231"/>
      <c r="AB159" s="231"/>
      <c r="AC159" s="231"/>
      <c r="AD159" s="231"/>
      <c r="AE159" s="231"/>
      <c r="AF159" s="231"/>
      <c r="AG159" s="231"/>
      <c r="AH159" s="231"/>
      <c r="AI159" s="231"/>
      <c r="AJ159" s="231"/>
      <c r="AK159" s="231"/>
      <c r="AL159" s="231"/>
      <c r="AM159" s="231"/>
      <c r="AN159" s="231"/>
    </row>
    <row r="160" spans="1:40" s="203" customFormat="1">
      <c r="A160" s="120">
        <v>2</v>
      </c>
      <c r="B160" s="47" t="s">
        <v>135</v>
      </c>
      <c r="C160" s="47"/>
      <c r="D160" s="47"/>
      <c r="E160" s="49">
        <v>914</v>
      </c>
      <c r="F160" s="52">
        <v>580</v>
      </c>
      <c r="G160" s="118"/>
      <c r="H160" s="122">
        <v>582</v>
      </c>
      <c r="I160" s="29"/>
      <c r="J160" s="231"/>
      <c r="K160" s="231"/>
      <c r="L160" s="231"/>
      <c r="M160" s="231"/>
      <c r="N160" s="231"/>
      <c r="O160" s="231"/>
      <c r="P160" s="231"/>
      <c r="Q160" s="231"/>
      <c r="R160" s="231"/>
      <c r="S160" s="231"/>
      <c r="T160" s="231"/>
      <c r="U160" s="231"/>
      <c r="V160" s="231"/>
      <c r="W160" s="231"/>
      <c r="X160" s="231"/>
      <c r="Y160" s="231"/>
      <c r="Z160" s="231"/>
      <c r="AA160" s="231"/>
      <c r="AB160" s="231"/>
      <c r="AC160" s="231"/>
      <c r="AD160" s="231"/>
      <c r="AE160" s="231"/>
      <c r="AF160" s="231"/>
      <c r="AG160" s="231"/>
      <c r="AH160" s="231"/>
      <c r="AI160" s="231"/>
      <c r="AJ160" s="231"/>
      <c r="AK160" s="231"/>
      <c r="AL160" s="231"/>
      <c r="AM160" s="231"/>
      <c r="AN160" s="231"/>
    </row>
    <row r="161" spans="1:40" s="203" customFormat="1">
      <c r="A161" s="120">
        <v>3</v>
      </c>
      <c r="B161" s="47" t="s">
        <v>136</v>
      </c>
      <c r="C161" s="47"/>
      <c r="D161" s="47"/>
      <c r="E161" s="114">
        <v>5255</v>
      </c>
      <c r="F161" s="52">
        <v>5307</v>
      </c>
      <c r="G161" s="118"/>
      <c r="H161" s="122">
        <v>4303</v>
      </c>
      <c r="I161" s="29"/>
      <c r="J161" s="231"/>
      <c r="K161" s="231"/>
      <c r="L161" s="231"/>
      <c r="M161" s="231"/>
      <c r="N161" s="231"/>
      <c r="O161" s="231"/>
      <c r="P161" s="231"/>
      <c r="Q161" s="231"/>
      <c r="R161" s="231"/>
      <c r="S161" s="231"/>
      <c r="T161" s="231"/>
      <c r="U161" s="231"/>
      <c r="V161" s="231"/>
      <c r="W161" s="231"/>
      <c r="X161" s="231"/>
      <c r="Y161" s="231"/>
      <c r="Z161" s="231"/>
      <c r="AA161" s="231"/>
      <c r="AB161" s="231"/>
      <c r="AC161" s="231"/>
      <c r="AD161" s="231"/>
      <c r="AE161" s="231"/>
      <c r="AF161" s="231"/>
      <c r="AG161" s="231"/>
      <c r="AH161" s="231"/>
      <c r="AI161" s="231"/>
      <c r="AJ161" s="231"/>
      <c r="AK161" s="231"/>
      <c r="AL161" s="231"/>
      <c r="AM161" s="231"/>
      <c r="AN161" s="231"/>
    </row>
    <row r="162" spans="1:40" s="203" customFormat="1">
      <c r="A162" s="120">
        <v>4</v>
      </c>
      <c r="B162" s="47" t="s">
        <v>137</v>
      </c>
      <c r="C162" s="47"/>
      <c r="D162" s="47"/>
      <c r="E162" s="114">
        <v>2006</v>
      </c>
      <c r="F162" s="52">
        <v>1925</v>
      </c>
      <c r="G162" s="118"/>
      <c r="H162" s="100">
        <v>1909</v>
      </c>
      <c r="I162" s="29"/>
      <c r="J162" s="231"/>
      <c r="K162" s="231"/>
      <c r="L162" s="231"/>
      <c r="M162" s="231"/>
      <c r="N162" s="231"/>
      <c r="O162" s="231"/>
      <c r="P162" s="231"/>
      <c r="Q162" s="231"/>
      <c r="R162" s="231"/>
      <c r="S162" s="231"/>
      <c r="T162" s="231"/>
      <c r="U162" s="231"/>
      <c r="V162" s="231"/>
      <c r="W162" s="231"/>
      <c r="X162" s="231"/>
      <c r="Y162" s="231"/>
      <c r="Z162" s="231"/>
      <c r="AA162" s="231"/>
      <c r="AB162" s="231"/>
      <c r="AC162" s="231"/>
      <c r="AD162" s="231"/>
      <c r="AE162" s="231"/>
      <c r="AF162" s="231"/>
      <c r="AG162" s="231"/>
      <c r="AH162" s="231"/>
      <c r="AI162" s="231"/>
      <c r="AJ162" s="231"/>
      <c r="AK162" s="231"/>
      <c r="AL162" s="231"/>
      <c r="AM162" s="231"/>
      <c r="AN162" s="231"/>
    </row>
    <row r="163" spans="1:40" s="203" customFormat="1">
      <c r="A163" s="120">
        <v>5</v>
      </c>
      <c r="B163" s="116" t="s">
        <v>138</v>
      </c>
      <c r="C163" s="116"/>
      <c r="D163" s="116"/>
      <c r="E163" s="80">
        <v>8175</v>
      </c>
      <c r="F163" s="142">
        <f>SUM(F159:F162)</f>
        <v>7812</v>
      </c>
      <c r="G163" s="118"/>
      <c r="H163" s="142">
        <f>SUM(H159:H162)</f>
        <v>6794</v>
      </c>
      <c r="I163" s="29"/>
      <c r="J163" s="231"/>
      <c r="K163" s="231"/>
      <c r="L163" s="231"/>
      <c r="M163" s="231"/>
      <c r="N163" s="231"/>
      <c r="O163" s="231"/>
      <c r="P163" s="231"/>
      <c r="Q163" s="231"/>
      <c r="R163" s="231"/>
      <c r="S163" s="231"/>
      <c r="T163" s="231"/>
      <c r="U163" s="231"/>
      <c r="V163" s="231"/>
      <c r="W163" s="231"/>
      <c r="X163" s="231"/>
      <c r="Y163" s="231"/>
      <c r="Z163" s="231"/>
      <c r="AA163" s="231"/>
      <c r="AB163" s="231"/>
      <c r="AC163" s="231"/>
      <c r="AD163" s="231"/>
      <c r="AE163" s="231"/>
      <c r="AF163" s="231"/>
      <c r="AG163" s="231"/>
      <c r="AH163" s="231"/>
      <c r="AI163" s="231"/>
      <c r="AJ163" s="231"/>
      <c r="AK163" s="231"/>
      <c r="AL163" s="231"/>
      <c r="AM163" s="231"/>
      <c r="AN163" s="231"/>
    </row>
    <row r="164" spans="1:40" s="203" customFormat="1">
      <c r="A164" s="46"/>
      <c r="B164" s="132"/>
      <c r="C164" s="132"/>
      <c r="D164" s="132"/>
      <c r="E164" s="156"/>
      <c r="F164" s="139"/>
      <c r="G164" s="139"/>
      <c r="H164" s="139"/>
      <c r="I164" s="29"/>
      <c r="J164" s="231"/>
      <c r="K164" s="231"/>
      <c r="L164" s="231"/>
      <c r="M164" s="231"/>
      <c r="N164" s="231"/>
      <c r="O164" s="231"/>
      <c r="P164" s="231"/>
      <c r="Q164" s="231"/>
      <c r="R164" s="231"/>
      <c r="S164" s="231"/>
      <c r="T164" s="231"/>
      <c r="U164" s="231"/>
      <c r="V164" s="231"/>
      <c r="W164" s="231"/>
      <c r="X164" s="231"/>
      <c r="Y164" s="231"/>
      <c r="Z164" s="231"/>
      <c r="AA164" s="231"/>
      <c r="AB164" s="231"/>
      <c r="AC164" s="231"/>
      <c r="AD164" s="231"/>
      <c r="AE164" s="231"/>
      <c r="AF164" s="231"/>
      <c r="AG164" s="231"/>
      <c r="AH164" s="231"/>
      <c r="AI164" s="231"/>
      <c r="AJ164" s="231"/>
      <c r="AK164" s="231"/>
      <c r="AL164" s="231"/>
      <c r="AM164" s="231"/>
      <c r="AN164" s="231"/>
    </row>
    <row r="165" spans="1:40" s="203" customFormat="1">
      <c r="A165" s="119" t="s">
        <v>139</v>
      </c>
      <c r="B165" s="47"/>
      <c r="C165" s="47"/>
      <c r="D165" s="47"/>
      <c r="E165" s="140"/>
      <c r="F165" s="146"/>
      <c r="G165" s="118"/>
      <c r="H165" s="146"/>
      <c r="I165" s="29"/>
      <c r="J165" s="231"/>
      <c r="K165" s="231"/>
      <c r="L165" s="231"/>
      <c r="M165" s="231"/>
      <c r="N165" s="231"/>
      <c r="O165" s="231"/>
      <c r="P165" s="231"/>
      <c r="Q165" s="231"/>
      <c r="R165" s="231"/>
      <c r="S165" s="231"/>
      <c r="T165" s="231"/>
      <c r="U165" s="231"/>
      <c r="V165" s="231"/>
      <c r="W165" s="231"/>
      <c r="X165" s="231"/>
      <c r="Y165" s="231"/>
      <c r="Z165" s="231"/>
      <c r="AA165" s="231"/>
      <c r="AB165" s="231"/>
      <c r="AC165" s="231"/>
      <c r="AD165" s="231"/>
      <c r="AE165" s="231"/>
      <c r="AF165" s="231"/>
      <c r="AG165" s="231"/>
      <c r="AH165" s="231"/>
      <c r="AI165" s="231"/>
      <c r="AJ165" s="231"/>
      <c r="AK165" s="231"/>
      <c r="AL165" s="231"/>
      <c r="AM165" s="231"/>
      <c r="AN165" s="231"/>
    </row>
    <row r="166" spans="1:40" s="203" customFormat="1">
      <c r="A166" s="120">
        <v>6</v>
      </c>
      <c r="B166" s="47" t="s">
        <v>140</v>
      </c>
      <c r="C166" s="47"/>
      <c r="D166" s="47"/>
      <c r="E166" s="74">
        <v>260</v>
      </c>
      <c r="F166" s="52">
        <v>246</v>
      </c>
      <c r="G166" s="118"/>
      <c r="H166" s="122">
        <v>236</v>
      </c>
      <c r="I166" s="29"/>
      <c r="J166" s="231"/>
      <c r="K166" s="231"/>
      <c r="L166" s="231"/>
      <c r="M166" s="231"/>
      <c r="N166" s="231"/>
      <c r="O166" s="231"/>
      <c r="P166" s="231"/>
      <c r="Q166" s="231"/>
      <c r="R166" s="231"/>
      <c r="S166" s="231"/>
      <c r="T166" s="231"/>
      <c r="U166" s="231"/>
      <c r="V166" s="231"/>
      <c r="W166" s="231"/>
      <c r="X166" s="231"/>
      <c r="Y166" s="231"/>
      <c r="Z166" s="231"/>
      <c r="AA166" s="231"/>
      <c r="AB166" s="231"/>
      <c r="AC166" s="231"/>
      <c r="AD166" s="231"/>
      <c r="AE166" s="231"/>
      <c r="AF166" s="231"/>
      <c r="AG166" s="231"/>
      <c r="AH166" s="231"/>
      <c r="AI166" s="231"/>
      <c r="AJ166" s="231"/>
      <c r="AK166" s="231"/>
      <c r="AL166" s="231"/>
      <c r="AM166" s="231"/>
      <c r="AN166" s="231"/>
    </row>
    <row r="167" spans="1:40" s="203" customFormat="1">
      <c r="A167" s="120">
        <v>7</v>
      </c>
      <c r="B167" s="47" t="s">
        <v>141</v>
      </c>
      <c r="C167" s="47"/>
      <c r="D167" s="47"/>
      <c r="E167" s="49">
        <v>1639</v>
      </c>
      <c r="F167" s="52">
        <v>1509</v>
      </c>
      <c r="G167" s="118"/>
      <c r="H167" s="122">
        <v>1660</v>
      </c>
      <c r="I167" s="29"/>
      <c r="J167" s="231"/>
      <c r="K167" s="231"/>
      <c r="L167" s="231"/>
      <c r="M167" s="231"/>
      <c r="N167" s="231"/>
      <c r="O167" s="231"/>
      <c r="P167" s="231"/>
      <c r="Q167" s="231"/>
      <c r="R167" s="231"/>
      <c r="S167" s="231"/>
      <c r="T167" s="231"/>
      <c r="U167" s="231"/>
      <c r="V167" s="231"/>
      <c r="W167" s="231"/>
      <c r="X167" s="231"/>
      <c r="Y167" s="231"/>
      <c r="Z167" s="231"/>
      <c r="AA167" s="231"/>
      <c r="AB167" s="231"/>
      <c r="AC167" s="231"/>
      <c r="AD167" s="231"/>
      <c r="AE167" s="231"/>
      <c r="AF167" s="231"/>
      <c r="AG167" s="231"/>
      <c r="AH167" s="231"/>
      <c r="AI167" s="231"/>
      <c r="AJ167" s="231"/>
      <c r="AK167" s="231"/>
      <c r="AL167" s="231"/>
      <c r="AM167" s="231"/>
      <c r="AN167" s="231"/>
    </row>
    <row r="168" spans="1:40" s="203" customFormat="1">
      <c r="A168" s="120">
        <v>8</v>
      </c>
      <c r="B168" s="47" t="s">
        <v>121</v>
      </c>
      <c r="C168" s="47"/>
      <c r="D168" s="47"/>
      <c r="E168" s="49">
        <v>18</v>
      </c>
      <c r="F168" s="52">
        <v>15</v>
      </c>
      <c r="G168" s="118"/>
      <c r="H168" s="100">
        <v>23</v>
      </c>
      <c r="I168" s="29"/>
      <c r="J168" s="231"/>
      <c r="K168" s="231"/>
      <c r="L168" s="231"/>
      <c r="M168" s="231"/>
      <c r="N168" s="231"/>
      <c r="O168" s="231"/>
      <c r="P168" s="231"/>
      <c r="Q168" s="231"/>
      <c r="R168" s="231"/>
      <c r="S168" s="231"/>
      <c r="T168" s="231"/>
      <c r="U168" s="231"/>
      <c r="V168" s="231"/>
      <c r="W168" s="231"/>
      <c r="X168" s="231"/>
      <c r="Y168" s="231"/>
      <c r="Z168" s="231"/>
      <c r="AA168" s="231"/>
      <c r="AB168" s="231"/>
      <c r="AC168" s="231"/>
      <c r="AD168" s="231"/>
      <c r="AE168" s="231"/>
      <c r="AF168" s="231"/>
      <c r="AG168" s="231"/>
      <c r="AH168" s="231"/>
      <c r="AI168" s="231"/>
      <c r="AJ168" s="231"/>
      <c r="AK168" s="231"/>
      <c r="AL168" s="231"/>
      <c r="AM168" s="231"/>
      <c r="AN168" s="231"/>
    </row>
    <row r="169" spans="1:40" s="203" customFormat="1">
      <c r="A169" s="120">
        <v>9</v>
      </c>
      <c r="B169" s="116" t="s">
        <v>142</v>
      </c>
      <c r="C169" s="116"/>
      <c r="D169" s="116"/>
      <c r="E169" s="80">
        <v>1917</v>
      </c>
      <c r="F169" s="142">
        <f>SUM(F166:F168)</f>
        <v>1770</v>
      </c>
      <c r="G169" s="118"/>
      <c r="H169" s="142">
        <f>SUM(H166:H168)</f>
        <v>1919</v>
      </c>
      <c r="I169" s="29"/>
      <c r="J169" s="231"/>
      <c r="K169" s="231"/>
      <c r="L169" s="231"/>
      <c r="M169" s="231"/>
      <c r="N169" s="231"/>
      <c r="O169" s="231"/>
      <c r="P169" s="231"/>
      <c r="Q169" s="231"/>
      <c r="R169" s="231"/>
      <c r="S169" s="231"/>
      <c r="T169" s="231"/>
      <c r="U169" s="231"/>
      <c r="V169" s="231"/>
      <c r="W169" s="231"/>
      <c r="X169" s="231"/>
      <c r="Y169" s="231"/>
      <c r="Z169" s="231"/>
      <c r="AA169" s="231"/>
      <c r="AB169" s="231"/>
      <c r="AC169" s="231"/>
      <c r="AD169" s="231"/>
      <c r="AE169" s="231"/>
      <c r="AF169" s="231"/>
      <c r="AG169" s="231"/>
      <c r="AH169" s="231"/>
      <c r="AI169" s="231"/>
      <c r="AJ169" s="231"/>
      <c r="AK169" s="231"/>
      <c r="AL169" s="231"/>
      <c r="AM169" s="231"/>
      <c r="AN169" s="231"/>
    </row>
    <row r="170" spans="1:40" s="203" customFormat="1">
      <c r="A170" s="46"/>
      <c r="B170" s="132"/>
      <c r="C170" s="132"/>
      <c r="D170" s="132"/>
      <c r="E170" s="156"/>
      <c r="F170" s="139"/>
      <c r="G170" s="139"/>
      <c r="H170" s="139"/>
      <c r="I170" s="29"/>
      <c r="J170" s="231"/>
      <c r="K170" s="231"/>
      <c r="L170" s="231"/>
      <c r="M170" s="231"/>
      <c r="N170" s="231"/>
      <c r="O170" s="231"/>
      <c r="P170" s="231"/>
      <c r="Q170" s="231"/>
      <c r="R170" s="231"/>
      <c r="S170" s="231"/>
      <c r="T170" s="231"/>
      <c r="U170" s="231"/>
      <c r="V170" s="231"/>
      <c r="W170" s="231"/>
      <c r="X170" s="231"/>
      <c r="Y170" s="231"/>
      <c r="Z170" s="231"/>
      <c r="AA170" s="231"/>
      <c r="AB170" s="231"/>
      <c r="AC170" s="231"/>
      <c r="AD170" s="231"/>
      <c r="AE170" s="231"/>
      <c r="AF170" s="231"/>
      <c r="AG170" s="231"/>
      <c r="AH170" s="231"/>
      <c r="AI170" s="231"/>
      <c r="AJ170" s="231"/>
      <c r="AK170" s="231"/>
      <c r="AL170" s="231"/>
      <c r="AM170" s="231"/>
      <c r="AN170" s="231"/>
    </row>
    <row r="171" spans="1:40" s="203" customFormat="1">
      <c r="A171" s="120">
        <v>10</v>
      </c>
      <c r="B171" s="47" t="s">
        <v>143</v>
      </c>
      <c r="C171" s="47"/>
      <c r="D171" s="47"/>
      <c r="E171" s="41">
        <v>-315</v>
      </c>
      <c r="F171" s="121">
        <v>-360</v>
      </c>
      <c r="G171" s="118"/>
      <c r="H171" s="133">
        <v>-580</v>
      </c>
      <c r="I171" s="29"/>
      <c r="J171" s="231"/>
      <c r="K171" s="231"/>
      <c r="L171" s="231"/>
      <c r="M171" s="231"/>
      <c r="N171" s="231"/>
      <c r="O171" s="231"/>
      <c r="P171" s="231"/>
      <c r="Q171" s="231"/>
      <c r="R171" s="231"/>
      <c r="S171" s="231"/>
      <c r="T171" s="231"/>
      <c r="U171" s="231"/>
      <c r="V171" s="231"/>
      <c r="W171" s="231"/>
      <c r="X171" s="231"/>
      <c r="Y171" s="231"/>
      <c r="Z171" s="231"/>
      <c r="AA171" s="231"/>
      <c r="AB171" s="231"/>
      <c r="AC171" s="231"/>
      <c r="AD171" s="231"/>
      <c r="AE171" s="231"/>
      <c r="AF171" s="231"/>
      <c r="AG171" s="231"/>
      <c r="AH171" s="231"/>
      <c r="AI171" s="231"/>
      <c r="AJ171" s="231"/>
      <c r="AK171" s="231"/>
      <c r="AL171" s="231"/>
      <c r="AM171" s="231"/>
      <c r="AN171" s="231"/>
    </row>
    <row r="172" spans="1:40" s="203" customFormat="1">
      <c r="A172" s="120">
        <v>11</v>
      </c>
      <c r="B172" s="47" t="s">
        <v>144</v>
      </c>
      <c r="C172" s="47"/>
      <c r="D172" s="47"/>
      <c r="E172" s="56">
        <v>1</v>
      </c>
      <c r="F172" s="126">
        <v>2</v>
      </c>
      <c r="G172" s="118"/>
      <c r="H172" s="100">
        <v>3</v>
      </c>
      <c r="I172" s="29"/>
      <c r="J172" s="231"/>
      <c r="K172" s="231"/>
      <c r="L172" s="231"/>
      <c r="M172" s="231"/>
      <c r="N172" s="231"/>
      <c r="O172" s="231"/>
      <c r="P172" s="231"/>
      <c r="Q172" s="231"/>
      <c r="R172" s="231"/>
      <c r="S172" s="231"/>
      <c r="T172" s="231"/>
      <c r="U172" s="231"/>
      <c r="V172" s="231"/>
      <c r="W172" s="231"/>
      <c r="X172" s="231"/>
      <c r="Y172" s="231"/>
      <c r="Z172" s="231"/>
      <c r="AA172" s="231"/>
      <c r="AB172" s="231"/>
      <c r="AC172" s="231"/>
      <c r="AD172" s="231"/>
      <c r="AE172" s="231"/>
      <c r="AF172" s="231"/>
      <c r="AG172" s="231"/>
      <c r="AH172" s="231"/>
      <c r="AI172" s="231"/>
      <c r="AJ172" s="231"/>
      <c r="AK172" s="231"/>
      <c r="AL172" s="231"/>
      <c r="AM172" s="231"/>
      <c r="AN172" s="231"/>
    </row>
    <row r="173" spans="1:40" s="203" customFormat="1">
      <c r="A173" s="46"/>
      <c r="B173" s="132"/>
      <c r="C173" s="132"/>
      <c r="D173" s="132"/>
      <c r="E173" s="156"/>
      <c r="F173" s="139"/>
      <c r="G173" s="139"/>
      <c r="H173" s="139"/>
      <c r="I173" s="29"/>
      <c r="J173" s="231"/>
      <c r="K173" s="231"/>
      <c r="L173" s="231"/>
      <c r="M173" s="231"/>
      <c r="N173" s="231"/>
      <c r="O173" s="231"/>
      <c r="P173" s="231"/>
      <c r="Q173" s="231"/>
      <c r="R173" s="231"/>
      <c r="S173" s="231"/>
      <c r="T173" s="231"/>
      <c r="U173" s="231"/>
      <c r="V173" s="231"/>
      <c r="W173" s="231"/>
      <c r="X173" s="231"/>
      <c r="Y173" s="231"/>
      <c r="Z173" s="231"/>
      <c r="AA173" s="231"/>
      <c r="AB173" s="231"/>
      <c r="AC173" s="231"/>
      <c r="AD173" s="231"/>
      <c r="AE173" s="231"/>
      <c r="AF173" s="231"/>
      <c r="AG173" s="231"/>
      <c r="AH173" s="231"/>
      <c r="AI173" s="231"/>
      <c r="AJ173" s="231"/>
      <c r="AK173" s="231"/>
      <c r="AL173" s="231"/>
      <c r="AM173" s="231"/>
      <c r="AN173" s="231"/>
    </row>
    <row r="174" spans="1:40" s="203" customFormat="1">
      <c r="A174" s="119" t="s">
        <v>145</v>
      </c>
      <c r="B174" s="47"/>
      <c r="C174" s="47"/>
      <c r="D174" s="47"/>
      <c r="E174" s="157"/>
      <c r="F174" s="146"/>
      <c r="G174" s="118"/>
      <c r="H174" s="146"/>
      <c r="I174" s="29"/>
      <c r="J174" s="231"/>
      <c r="K174" s="231"/>
      <c r="L174" s="231"/>
      <c r="M174" s="231"/>
      <c r="N174" s="231"/>
      <c r="O174" s="231"/>
      <c r="P174" s="231"/>
      <c r="Q174" s="231"/>
      <c r="R174" s="231"/>
      <c r="S174" s="231"/>
      <c r="T174" s="231"/>
      <c r="U174" s="231"/>
      <c r="V174" s="231"/>
      <c r="W174" s="231"/>
      <c r="X174" s="231"/>
      <c r="Y174" s="231"/>
      <c r="Z174" s="231"/>
      <c r="AA174" s="231"/>
      <c r="AB174" s="231"/>
      <c r="AC174" s="231"/>
      <c r="AD174" s="231"/>
      <c r="AE174" s="231"/>
      <c r="AF174" s="231"/>
      <c r="AG174" s="231"/>
      <c r="AH174" s="231"/>
      <c r="AI174" s="231"/>
      <c r="AJ174" s="231"/>
      <c r="AK174" s="231"/>
      <c r="AL174" s="231"/>
      <c r="AM174" s="231"/>
      <c r="AN174" s="231"/>
    </row>
    <row r="175" spans="1:40" s="203" customFormat="1">
      <c r="A175" s="120">
        <v>12</v>
      </c>
      <c r="B175" s="47" t="s">
        <v>146</v>
      </c>
      <c r="C175" s="47"/>
      <c r="D175" s="47"/>
      <c r="E175" s="74">
        <v>242</v>
      </c>
      <c r="F175" s="52">
        <v>232</v>
      </c>
      <c r="G175" s="118"/>
      <c r="H175" s="122">
        <v>204</v>
      </c>
      <c r="I175" s="29"/>
      <c r="J175" s="231"/>
      <c r="K175" s="231"/>
      <c r="L175" s="231"/>
      <c r="M175" s="231"/>
      <c r="N175" s="231"/>
      <c r="O175" s="231"/>
      <c r="P175" s="231"/>
      <c r="Q175" s="231"/>
      <c r="R175" s="231"/>
      <c r="S175" s="231"/>
      <c r="T175" s="231"/>
      <c r="U175" s="231"/>
      <c r="V175" s="231"/>
      <c r="W175" s="231"/>
      <c r="X175" s="231"/>
      <c r="Y175" s="231"/>
      <c r="Z175" s="231"/>
      <c r="AA175" s="231"/>
      <c r="AB175" s="231"/>
      <c r="AC175" s="231"/>
      <c r="AD175" s="231"/>
      <c r="AE175" s="231"/>
      <c r="AF175" s="231"/>
      <c r="AG175" s="231"/>
      <c r="AH175" s="231"/>
      <c r="AI175" s="231"/>
      <c r="AJ175" s="231"/>
      <c r="AK175" s="231"/>
      <c r="AL175" s="231"/>
      <c r="AM175" s="231"/>
      <c r="AN175" s="231"/>
    </row>
    <row r="176" spans="1:40" s="203" customFormat="1">
      <c r="A176" s="120">
        <v>13</v>
      </c>
      <c r="B176" s="47" t="s">
        <v>147</v>
      </c>
      <c r="C176" s="47"/>
      <c r="D176" s="47"/>
      <c r="E176" s="49">
        <v>1873</v>
      </c>
      <c r="F176" s="52">
        <v>1703</v>
      </c>
      <c r="G176" s="118"/>
      <c r="H176" s="122">
        <v>1777</v>
      </c>
      <c r="I176" s="29"/>
      <c r="J176" s="231"/>
      <c r="K176" s="231"/>
      <c r="L176" s="231"/>
      <c r="M176" s="231"/>
      <c r="N176" s="231"/>
      <c r="O176" s="231"/>
      <c r="P176" s="231"/>
      <c r="Q176" s="231"/>
      <c r="R176" s="231"/>
      <c r="S176" s="231"/>
      <c r="T176" s="231"/>
      <c r="U176" s="231"/>
      <c r="V176" s="231"/>
      <c r="W176" s="231"/>
      <c r="X176" s="231"/>
      <c r="Y176" s="231"/>
      <c r="Z176" s="231"/>
      <c r="AA176" s="231"/>
      <c r="AB176" s="231"/>
      <c r="AC176" s="231"/>
      <c r="AD176" s="231"/>
      <c r="AE176" s="231"/>
      <c r="AF176" s="231"/>
      <c r="AG176" s="231"/>
      <c r="AH176" s="231"/>
      <c r="AI176" s="231"/>
      <c r="AJ176" s="231"/>
      <c r="AK176" s="231"/>
      <c r="AL176" s="231"/>
      <c r="AM176" s="231"/>
      <c r="AN176" s="231"/>
    </row>
    <row r="177" spans="1:40" s="203" customFormat="1">
      <c r="A177" s="120">
        <v>14</v>
      </c>
      <c r="B177" s="47" t="s">
        <v>148</v>
      </c>
      <c r="C177" s="47"/>
      <c r="D177" s="47"/>
      <c r="E177" s="56">
        <v>11</v>
      </c>
      <c r="F177" s="52">
        <v>185</v>
      </c>
      <c r="G177" s="118"/>
      <c r="H177" s="100">
        <v>180</v>
      </c>
      <c r="I177" s="29"/>
      <c r="J177" s="231"/>
      <c r="K177" s="231"/>
      <c r="L177" s="231"/>
      <c r="M177" s="231"/>
      <c r="N177" s="231"/>
      <c r="O177" s="231"/>
      <c r="P177" s="231"/>
      <c r="Q177" s="231"/>
      <c r="R177" s="231"/>
      <c r="S177" s="231"/>
      <c r="T177" s="231"/>
      <c r="U177" s="231"/>
      <c r="V177" s="231"/>
      <c r="W177" s="231"/>
      <c r="X177" s="231"/>
      <c r="Y177" s="231"/>
      <c r="Z177" s="231"/>
      <c r="AA177" s="231"/>
      <c r="AB177" s="231"/>
      <c r="AC177" s="231"/>
      <c r="AD177" s="231"/>
      <c r="AE177" s="231"/>
      <c r="AF177" s="231"/>
      <c r="AG177" s="231"/>
      <c r="AH177" s="231"/>
      <c r="AI177" s="231"/>
      <c r="AJ177" s="231"/>
      <c r="AK177" s="231"/>
      <c r="AL177" s="231"/>
      <c r="AM177" s="231"/>
      <c r="AN177" s="231"/>
    </row>
    <row r="178" spans="1:40" s="203" customFormat="1">
      <c r="A178" s="120">
        <v>15</v>
      </c>
      <c r="B178" s="116" t="s">
        <v>149</v>
      </c>
      <c r="C178" s="116"/>
      <c r="D178" s="116"/>
      <c r="E178" s="80">
        <v>2126</v>
      </c>
      <c r="F178" s="142">
        <f>SUM(F175:F177)</f>
        <v>2120</v>
      </c>
      <c r="G178" s="118"/>
      <c r="H178" s="142">
        <f>SUM(H175:H177)</f>
        <v>2161</v>
      </c>
      <c r="I178" s="29"/>
      <c r="J178" s="231"/>
      <c r="K178" s="231"/>
      <c r="L178" s="231"/>
      <c r="M178" s="231"/>
      <c r="N178" s="231"/>
      <c r="O178" s="231"/>
      <c r="P178" s="231"/>
      <c r="Q178" s="231"/>
      <c r="R178" s="231"/>
      <c r="S178" s="231"/>
      <c r="T178" s="231"/>
      <c r="U178" s="231"/>
      <c r="V178" s="231"/>
      <c r="W178" s="231"/>
      <c r="X178" s="231"/>
      <c r="Y178" s="231"/>
      <c r="Z178" s="231"/>
      <c r="AA178" s="231"/>
      <c r="AB178" s="231"/>
      <c r="AC178" s="231"/>
      <c r="AD178" s="231"/>
      <c r="AE178" s="231"/>
      <c r="AF178" s="231"/>
      <c r="AG178" s="231"/>
      <c r="AH178" s="231"/>
      <c r="AI178" s="231"/>
      <c r="AJ178" s="231"/>
      <c r="AK178" s="231"/>
      <c r="AL178" s="231"/>
      <c r="AM178" s="231"/>
      <c r="AN178" s="231"/>
    </row>
    <row r="179" spans="1:40" s="203" customFormat="1">
      <c r="A179" s="120">
        <v>16</v>
      </c>
      <c r="B179" s="116" t="s">
        <v>150</v>
      </c>
      <c r="C179" s="116"/>
      <c r="D179" s="116"/>
      <c r="E179" s="80">
        <v>2127</v>
      </c>
      <c r="F179" s="158">
        <f>F172+F178</f>
        <v>2122</v>
      </c>
      <c r="G179" s="118"/>
      <c r="H179" s="158">
        <f>H172+H178</f>
        <v>2164</v>
      </c>
      <c r="I179" s="29"/>
      <c r="J179" s="231"/>
      <c r="K179" s="231"/>
      <c r="L179" s="231"/>
      <c r="M179" s="231"/>
      <c r="N179" s="231"/>
      <c r="O179" s="231"/>
      <c r="P179" s="231"/>
      <c r="Q179" s="231"/>
      <c r="R179" s="231"/>
      <c r="S179" s="231"/>
      <c r="T179" s="231"/>
      <c r="U179" s="231"/>
      <c r="V179" s="231"/>
      <c r="W179" s="231"/>
      <c r="X179" s="231"/>
      <c r="Y179" s="231"/>
      <c r="Z179" s="231"/>
      <c r="AA179" s="231"/>
      <c r="AB179" s="231"/>
      <c r="AC179" s="231"/>
      <c r="AD179" s="231"/>
      <c r="AE179" s="231"/>
      <c r="AF179" s="231"/>
      <c r="AG179" s="231"/>
      <c r="AH179" s="231"/>
      <c r="AI179" s="231"/>
      <c r="AJ179" s="231"/>
      <c r="AK179" s="231"/>
      <c r="AL179" s="231"/>
      <c r="AM179" s="231"/>
      <c r="AN179" s="231"/>
    </row>
    <row r="180" spans="1:40" s="203" customFormat="1">
      <c r="A180" s="120">
        <v>17</v>
      </c>
      <c r="B180" s="116" t="s">
        <v>151</v>
      </c>
      <c r="C180" s="116"/>
      <c r="D180" s="116"/>
      <c r="E180" s="159">
        <v>11904</v>
      </c>
      <c r="F180" s="61">
        <f>SUM(F163+F169+F171+F179)</f>
        <v>11344</v>
      </c>
      <c r="G180" s="118"/>
      <c r="H180" s="61">
        <f>SUM(H163+H169+H171+H179)</f>
        <v>10297</v>
      </c>
      <c r="I180" s="29"/>
      <c r="J180" s="231"/>
      <c r="K180" s="231"/>
      <c r="L180" s="231"/>
      <c r="M180" s="231"/>
      <c r="N180" s="231"/>
      <c r="O180" s="231"/>
      <c r="P180" s="231"/>
      <c r="Q180" s="231"/>
      <c r="R180" s="231"/>
      <c r="S180" s="231"/>
      <c r="T180" s="231"/>
      <c r="U180" s="231"/>
      <c r="V180" s="231"/>
      <c r="W180" s="231"/>
      <c r="X180" s="231"/>
      <c r="Y180" s="231"/>
      <c r="Z180" s="231"/>
      <c r="AA180" s="231"/>
      <c r="AB180" s="231"/>
      <c r="AC180" s="231"/>
      <c r="AD180" s="231"/>
      <c r="AE180" s="231"/>
      <c r="AF180" s="231"/>
      <c r="AG180" s="231"/>
      <c r="AH180" s="231"/>
      <c r="AI180" s="231"/>
      <c r="AJ180" s="231"/>
      <c r="AK180" s="231"/>
      <c r="AL180" s="231"/>
      <c r="AM180" s="231"/>
      <c r="AN180" s="231"/>
    </row>
    <row r="181" spans="1:40" s="203" customFormat="1">
      <c r="A181" s="46"/>
      <c r="B181" s="132"/>
      <c r="C181" s="132"/>
      <c r="D181" s="132"/>
      <c r="E181" s="156"/>
      <c r="F181" s="139"/>
      <c r="G181" s="139"/>
      <c r="H181" s="139"/>
      <c r="I181" s="29"/>
      <c r="J181" s="231"/>
      <c r="K181" s="231"/>
      <c r="L181" s="231"/>
      <c r="M181" s="231"/>
      <c r="N181" s="231"/>
      <c r="O181" s="231"/>
      <c r="P181" s="231"/>
      <c r="Q181" s="231"/>
      <c r="R181" s="231"/>
      <c r="S181" s="231"/>
      <c r="T181" s="231"/>
      <c r="U181" s="231"/>
      <c r="V181" s="231"/>
      <c r="W181" s="231"/>
      <c r="X181" s="231"/>
      <c r="Y181" s="231"/>
      <c r="Z181" s="231"/>
      <c r="AA181" s="231"/>
      <c r="AB181" s="231"/>
      <c r="AC181" s="231"/>
      <c r="AD181" s="231"/>
      <c r="AE181" s="231"/>
      <c r="AF181" s="231"/>
      <c r="AG181" s="231"/>
      <c r="AH181" s="231"/>
      <c r="AI181" s="231"/>
      <c r="AJ181" s="231"/>
      <c r="AK181" s="231"/>
      <c r="AL181" s="231"/>
      <c r="AM181" s="231"/>
      <c r="AN181" s="231"/>
    </row>
    <row r="182" spans="1:40" s="203" customFormat="1">
      <c r="A182" s="119" t="s">
        <v>152</v>
      </c>
      <c r="B182" s="47"/>
      <c r="C182" s="47"/>
      <c r="D182" s="116"/>
      <c r="E182" s="117"/>
      <c r="F182" s="118"/>
      <c r="G182" s="118"/>
      <c r="H182" s="118"/>
      <c r="I182" s="29"/>
      <c r="J182" s="231"/>
      <c r="K182" s="231"/>
      <c r="L182" s="231"/>
      <c r="M182" s="231"/>
      <c r="N182" s="231"/>
      <c r="O182" s="231"/>
      <c r="P182" s="231"/>
      <c r="Q182" s="231"/>
      <c r="R182" s="231"/>
      <c r="S182" s="231"/>
      <c r="T182" s="231"/>
      <c r="U182" s="231"/>
      <c r="V182" s="231"/>
      <c r="W182" s="231"/>
      <c r="X182" s="231"/>
      <c r="Y182" s="231"/>
      <c r="Z182" s="231"/>
      <c r="AA182" s="231"/>
      <c r="AB182" s="231"/>
      <c r="AC182" s="231"/>
      <c r="AD182" s="231"/>
      <c r="AE182" s="231"/>
      <c r="AF182" s="231"/>
      <c r="AG182" s="231"/>
      <c r="AH182" s="231"/>
      <c r="AI182" s="231"/>
      <c r="AJ182" s="231"/>
      <c r="AK182" s="231"/>
      <c r="AL182" s="231"/>
      <c r="AM182" s="231"/>
      <c r="AN182" s="231"/>
    </row>
    <row r="183" spans="1:40" s="203" customFormat="1">
      <c r="A183" s="120">
        <v>18</v>
      </c>
      <c r="B183" s="47" t="s">
        <v>153</v>
      </c>
      <c r="C183" s="47"/>
      <c r="D183" s="47"/>
      <c r="E183" s="41">
        <v>641</v>
      </c>
      <c r="F183" s="121">
        <v>624</v>
      </c>
      <c r="G183" s="118"/>
      <c r="H183" s="133">
        <v>708</v>
      </c>
      <c r="I183" s="29"/>
      <c r="J183" s="231"/>
      <c r="K183" s="231"/>
      <c r="L183" s="231"/>
      <c r="M183" s="231"/>
      <c r="N183" s="231"/>
      <c r="O183" s="231"/>
      <c r="P183" s="231"/>
      <c r="Q183" s="231"/>
      <c r="R183" s="231"/>
      <c r="S183" s="231"/>
      <c r="T183" s="231"/>
      <c r="U183" s="231"/>
      <c r="V183" s="231"/>
      <c r="W183" s="231"/>
      <c r="X183" s="231"/>
      <c r="Y183" s="231"/>
      <c r="Z183" s="231"/>
      <c r="AA183" s="231"/>
      <c r="AB183" s="231"/>
      <c r="AC183" s="231"/>
      <c r="AD183" s="231"/>
      <c r="AE183" s="231"/>
      <c r="AF183" s="231"/>
      <c r="AG183" s="231"/>
      <c r="AH183" s="231"/>
      <c r="AI183" s="231"/>
      <c r="AJ183" s="231"/>
      <c r="AK183" s="231"/>
      <c r="AL183" s="231"/>
      <c r="AM183" s="231"/>
      <c r="AN183" s="231"/>
    </row>
    <row r="184" spans="1:40" s="203" customFormat="1">
      <c r="A184" s="120">
        <v>19</v>
      </c>
      <c r="B184" s="47" t="s">
        <v>154</v>
      </c>
      <c r="C184" s="47"/>
      <c r="D184" s="47"/>
      <c r="E184" s="49">
        <v>214</v>
      </c>
      <c r="F184" s="52">
        <v>185</v>
      </c>
      <c r="G184" s="118"/>
      <c r="H184" s="122">
        <v>180</v>
      </c>
      <c r="I184" s="29"/>
      <c r="J184" s="231"/>
      <c r="K184" s="231"/>
      <c r="L184" s="231"/>
      <c r="M184" s="231"/>
      <c r="N184" s="231"/>
      <c r="O184" s="231"/>
      <c r="P184" s="231"/>
      <c r="Q184" s="231"/>
      <c r="R184" s="231"/>
      <c r="S184" s="231"/>
      <c r="T184" s="231"/>
      <c r="U184" s="231"/>
      <c r="V184" s="231"/>
      <c r="W184" s="231"/>
      <c r="X184" s="231"/>
      <c r="Y184" s="231"/>
      <c r="Z184" s="231"/>
      <c r="AA184" s="231"/>
      <c r="AB184" s="231"/>
      <c r="AC184" s="231"/>
      <c r="AD184" s="231"/>
      <c r="AE184" s="231"/>
      <c r="AF184" s="231"/>
      <c r="AG184" s="231"/>
      <c r="AH184" s="231"/>
      <c r="AI184" s="231"/>
      <c r="AJ184" s="231"/>
      <c r="AK184" s="231"/>
      <c r="AL184" s="231"/>
      <c r="AM184" s="231"/>
      <c r="AN184" s="231"/>
    </row>
    <row r="185" spans="1:40" s="203" customFormat="1">
      <c r="A185" s="120">
        <v>20</v>
      </c>
      <c r="B185" s="47" t="s">
        <v>155</v>
      </c>
      <c r="C185" s="47"/>
      <c r="D185" s="47"/>
      <c r="E185" s="49">
        <v>0</v>
      </c>
      <c r="F185" s="52">
        <v>0</v>
      </c>
      <c r="G185" s="118"/>
      <c r="H185" s="122">
        <v>0</v>
      </c>
      <c r="I185" s="29"/>
      <c r="J185" s="231"/>
      <c r="K185" s="231"/>
      <c r="L185" s="231"/>
      <c r="M185" s="231"/>
      <c r="N185" s="231"/>
      <c r="O185" s="231"/>
      <c r="P185" s="231"/>
      <c r="Q185" s="231"/>
      <c r="R185" s="231"/>
      <c r="S185" s="231"/>
      <c r="T185" s="231"/>
      <c r="U185" s="231"/>
      <c r="V185" s="231"/>
      <c r="W185" s="231"/>
      <c r="X185" s="231"/>
      <c r="Y185" s="231"/>
      <c r="Z185" s="231"/>
      <c r="AA185" s="231"/>
      <c r="AB185" s="231"/>
      <c r="AC185" s="231"/>
      <c r="AD185" s="231"/>
      <c r="AE185" s="231"/>
      <c r="AF185" s="231"/>
      <c r="AG185" s="231"/>
      <c r="AH185" s="231"/>
      <c r="AI185" s="231"/>
      <c r="AJ185" s="231"/>
      <c r="AK185" s="231"/>
      <c r="AL185" s="231"/>
      <c r="AM185" s="231"/>
      <c r="AN185" s="231"/>
    </row>
    <row r="186" spans="1:40" s="203" customFormat="1">
      <c r="A186" s="120">
        <v>21</v>
      </c>
      <c r="B186" s="47" t="s">
        <v>156</v>
      </c>
      <c r="C186" s="47"/>
      <c r="D186" s="47"/>
      <c r="E186" s="49">
        <v>18</v>
      </c>
      <c r="F186" s="52">
        <v>18</v>
      </c>
      <c r="G186" s="118"/>
      <c r="H186" s="122">
        <v>19</v>
      </c>
      <c r="I186" s="29"/>
      <c r="J186" s="231"/>
      <c r="K186" s="231"/>
      <c r="L186" s="231"/>
      <c r="M186" s="231"/>
      <c r="N186" s="231"/>
      <c r="O186" s="231"/>
      <c r="P186" s="231"/>
      <c r="Q186" s="231"/>
      <c r="R186" s="231"/>
      <c r="S186" s="231"/>
      <c r="T186" s="231"/>
      <c r="U186" s="231"/>
      <c r="V186" s="231"/>
      <c r="W186" s="231"/>
      <c r="X186" s="231"/>
      <c r="Y186" s="231"/>
      <c r="Z186" s="231"/>
      <c r="AA186" s="231"/>
      <c r="AB186" s="231"/>
      <c r="AC186" s="231"/>
      <c r="AD186" s="231"/>
      <c r="AE186" s="231"/>
      <c r="AF186" s="231"/>
      <c r="AG186" s="231"/>
      <c r="AH186" s="231"/>
      <c r="AI186" s="231"/>
      <c r="AJ186" s="231"/>
      <c r="AK186" s="231"/>
      <c r="AL186" s="231"/>
      <c r="AM186" s="231"/>
      <c r="AN186" s="231"/>
    </row>
    <row r="187" spans="1:40" s="203" customFormat="1">
      <c r="A187" s="120">
        <v>22</v>
      </c>
      <c r="B187" s="47" t="s">
        <v>157</v>
      </c>
      <c r="C187" s="47"/>
      <c r="D187" s="47"/>
      <c r="E187" s="49">
        <v>573</v>
      </c>
      <c r="F187" s="52">
        <v>684</v>
      </c>
      <c r="G187" s="118"/>
      <c r="H187" s="122">
        <v>643</v>
      </c>
      <c r="I187" s="29"/>
      <c r="J187" s="231"/>
      <c r="K187" s="231"/>
      <c r="L187" s="231"/>
      <c r="M187" s="231"/>
      <c r="N187" s="231"/>
      <c r="O187" s="231"/>
      <c r="P187" s="231"/>
      <c r="Q187" s="231"/>
      <c r="R187" s="231"/>
      <c r="S187" s="231"/>
      <c r="T187" s="231"/>
      <c r="U187" s="231"/>
      <c r="V187" s="231"/>
      <c r="W187" s="231"/>
      <c r="X187" s="231"/>
      <c r="Y187" s="231"/>
      <c r="Z187" s="231"/>
      <c r="AA187" s="231"/>
      <c r="AB187" s="231"/>
      <c r="AC187" s="231"/>
      <c r="AD187" s="231"/>
      <c r="AE187" s="231"/>
      <c r="AF187" s="231"/>
      <c r="AG187" s="231"/>
      <c r="AH187" s="231"/>
      <c r="AI187" s="231"/>
      <c r="AJ187" s="231"/>
      <c r="AK187" s="231"/>
      <c r="AL187" s="231"/>
      <c r="AM187" s="231"/>
      <c r="AN187" s="231"/>
    </row>
    <row r="188" spans="1:40" s="203" customFormat="1">
      <c r="A188" s="120">
        <v>23</v>
      </c>
      <c r="B188" s="47" t="s">
        <v>158</v>
      </c>
      <c r="C188" s="47"/>
      <c r="D188" s="47"/>
      <c r="E188" s="49">
        <v>0</v>
      </c>
      <c r="F188" s="52">
        <v>0</v>
      </c>
      <c r="G188" s="118"/>
      <c r="H188" s="122">
        <v>0</v>
      </c>
      <c r="I188" s="29"/>
      <c r="J188" s="231"/>
      <c r="K188" s="231"/>
      <c r="L188" s="231"/>
      <c r="M188" s="231"/>
      <c r="N188" s="231"/>
      <c r="O188" s="231"/>
      <c r="P188" s="231"/>
      <c r="Q188" s="231"/>
      <c r="R188" s="231"/>
      <c r="S188" s="231"/>
      <c r="T188" s="231"/>
      <c r="U188" s="231"/>
      <c r="V188" s="231"/>
      <c r="W188" s="231"/>
      <c r="X188" s="231"/>
      <c r="Y188" s="231"/>
      <c r="Z188" s="231"/>
      <c r="AA188" s="231"/>
      <c r="AB188" s="231"/>
      <c r="AC188" s="231"/>
      <c r="AD188" s="231"/>
      <c r="AE188" s="231"/>
      <c r="AF188" s="231"/>
      <c r="AG188" s="231"/>
      <c r="AH188" s="231"/>
      <c r="AI188" s="231"/>
      <c r="AJ188" s="231"/>
      <c r="AK188" s="231"/>
      <c r="AL188" s="231"/>
      <c r="AM188" s="231"/>
      <c r="AN188" s="231"/>
    </row>
    <row r="189" spans="1:40" s="203" customFormat="1">
      <c r="A189" s="120">
        <v>24</v>
      </c>
      <c r="B189" s="47" t="s">
        <v>159</v>
      </c>
      <c r="C189" s="47"/>
      <c r="D189" s="47"/>
      <c r="E189" s="49">
        <v>0</v>
      </c>
      <c r="F189" s="52">
        <v>0</v>
      </c>
      <c r="G189" s="118"/>
      <c r="H189" s="122">
        <v>0</v>
      </c>
      <c r="I189" s="29"/>
      <c r="J189" s="231"/>
      <c r="K189" s="231"/>
      <c r="L189" s="231"/>
      <c r="M189" s="231"/>
      <c r="N189" s="231"/>
      <c r="O189" s="231"/>
      <c r="P189" s="231"/>
      <c r="Q189" s="231"/>
      <c r="R189" s="231"/>
      <c r="S189" s="231"/>
      <c r="T189" s="231"/>
      <c r="U189" s="231"/>
      <c r="V189" s="231"/>
      <c r="W189" s="231"/>
      <c r="X189" s="231"/>
      <c r="Y189" s="231"/>
      <c r="Z189" s="231"/>
      <c r="AA189" s="231"/>
      <c r="AB189" s="231"/>
      <c r="AC189" s="231"/>
      <c r="AD189" s="231"/>
      <c r="AE189" s="231"/>
      <c r="AF189" s="231"/>
      <c r="AG189" s="231"/>
      <c r="AH189" s="231"/>
      <c r="AI189" s="231"/>
      <c r="AJ189" s="231"/>
      <c r="AK189" s="231"/>
      <c r="AL189" s="231"/>
      <c r="AM189" s="231"/>
      <c r="AN189" s="231"/>
    </row>
    <row r="190" spans="1:40" s="203" customFormat="1">
      <c r="A190" s="124">
        <v>25</v>
      </c>
      <c r="B190" s="54" t="s">
        <v>160</v>
      </c>
      <c r="C190" s="54"/>
      <c r="D190" s="54"/>
      <c r="E190" s="56">
        <v>427</v>
      </c>
      <c r="F190" s="126">
        <v>375</v>
      </c>
      <c r="G190" s="118"/>
      <c r="H190" s="100">
        <v>405</v>
      </c>
      <c r="I190" s="24"/>
      <c r="J190" s="231"/>
      <c r="K190" s="231"/>
      <c r="L190" s="231"/>
      <c r="M190" s="231"/>
      <c r="N190" s="231"/>
      <c r="O190" s="231"/>
      <c r="P190" s="231"/>
      <c r="Q190" s="231"/>
      <c r="R190" s="231"/>
      <c r="S190" s="231"/>
      <c r="T190" s="231"/>
      <c r="U190" s="231"/>
      <c r="V190" s="231"/>
      <c r="W190" s="231"/>
      <c r="X190" s="231"/>
      <c r="Y190" s="231"/>
      <c r="Z190" s="231"/>
      <c r="AA190" s="231"/>
      <c r="AB190" s="231"/>
      <c r="AC190" s="231"/>
      <c r="AD190" s="231"/>
      <c r="AE190" s="231"/>
      <c r="AF190" s="231"/>
      <c r="AG190" s="231"/>
      <c r="AH190" s="231"/>
      <c r="AI190" s="231"/>
      <c r="AJ190" s="231"/>
      <c r="AK190" s="231"/>
      <c r="AL190" s="231"/>
      <c r="AM190" s="231"/>
      <c r="AN190" s="231"/>
    </row>
    <row r="191" spans="1:40" s="203" customFormat="1">
      <c r="A191" s="161"/>
      <c r="B191" s="129"/>
      <c r="C191" s="129"/>
      <c r="D191" s="149"/>
      <c r="E191" s="162"/>
      <c r="F191" s="29"/>
      <c r="G191" s="29"/>
      <c r="H191" s="207"/>
      <c r="I191" s="29"/>
      <c r="J191" s="231"/>
      <c r="K191" s="231"/>
      <c r="L191" s="231"/>
      <c r="M191" s="231"/>
      <c r="N191" s="231"/>
      <c r="O191" s="231"/>
      <c r="P191" s="231"/>
      <c r="Q191" s="231"/>
      <c r="R191" s="231"/>
      <c r="S191" s="231"/>
      <c r="T191" s="231"/>
      <c r="U191" s="231"/>
      <c r="V191" s="231"/>
      <c r="W191" s="231"/>
      <c r="X191" s="231"/>
      <c r="Y191" s="231"/>
      <c r="Z191" s="231"/>
      <c r="AA191" s="231"/>
      <c r="AB191" s="231"/>
      <c r="AC191" s="231"/>
      <c r="AD191" s="231"/>
      <c r="AE191" s="231"/>
      <c r="AF191" s="231"/>
      <c r="AG191" s="231"/>
      <c r="AH191" s="231"/>
      <c r="AI191" s="231"/>
      <c r="AJ191" s="231"/>
      <c r="AK191" s="231"/>
      <c r="AL191" s="231"/>
      <c r="AM191" s="231"/>
      <c r="AN191" s="231"/>
    </row>
    <row r="192" spans="1:40" s="203" customFormat="1">
      <c r="A192" s="161"/>
      <c r="B192" s="129"/>
      <c r="C192" s="129"/>
      <c r="D192" s="151"/>
      <c r="E192" s="163"/>
      <c r="F192" s="29"/>
      <c r="G192" s="29"/>
      <c r="H192" s="131" t="s">
        <v>27</v>
      </c>
      <c r="I192" s="29"/>
      <c r="J192" s="231"/>
      <c r="K192" s="231"/>
      <c r="L192" s="231"/>
      <c r="M192" s="231"/>
      <c r="N192" s="231"/>
      <c r="O192" s="231"/>
      <c r="P192" s="231"/>
      <c r="Q192" s="231"/>
      <c r="R192" s="231"/>
      <c r="S192" s="231"/>
      <c r="T192" s="231"/>
      <c r="U192" s="231"/>
      <c r="V192" s="231"/>
      <c r="W192" s="231"/>
      <c r="X192" s="231"/>
      <c r="Y192" s="231"/>
      <c r="Z192" s="231"/>
      <c r="AA192" s="231"/>
      <c r="AB192" s="231"/>
      <c r="AC192" s="231"/>
      <c r="AD192" s="231"/>
      <c r="AE192" s="231"/>
      <c r="AF192" s="231"/>
      <c r="AG192" s="231"/>
      <c r="AH192" s="231"/>
      <c r="AI192" s="231"/>
      <c r="AJ192" s="231"/>
      <c r="AK192" s="231"/>
      <c r="AL192" s="231"/>
      <c r="AM192" s="231"/>
      <c r="AN192" s="231"/>
    </row>
    <row r="193" spans="1:40" s="203" customFormat="1" ht="12.75" customHeight="1">
      <c r="A193" s="106" t="s">
        <v>23</v>
      </c>
      <c r="B193" s="164"/>
      <c r="C193" s="164"/>
      <c r="D193" s="164"/>
      <c r="E193" s="856" t="s">
        <v>377</v>
      </c>
      <c r="F193" s="856" t="s">
        <v>402</v>
      </c>
      <c r="G193" s="130"/>
      <c r="H193" s="856" t="s">
        <v>403</v>
      </c>
      <c r="I193" s="130"/>
      <c r="J193" s="231"/>
      <c r="K193" s="231"/>
      <c r="L193" s="231"/>
      <c r="M193" s="231"/>
      <c r="N193" s="231"/>
      <c r="O193" s="231"/>
      <c r="P193" s="231"/>
      <c r="Q193" s="231"/>
      <c r="R193" s="231"/>
      <c r="S193" s="231"/>
      <c r="T193" s="231"/>
      <c r="U193" s="231"/>
      <c r="V193" s="231"/>
      <c r="W193" s="231"/>
      <c r="X193" s="231"/>
      <c r="Y193" s="231"/>
      <c r="Z193" s="231"/>
      <c r="AA193" s="231"/>
      <c r="AB193" s="231"/>
      <c r="AC193" s="231"/>
      <c r="AD193" s="231"/>
      <c r="AE193" s="231"/>
      <c r="AF193" s="231"/>
      <c r="AG193" s="231"/>
      <c r="AH193" s="231"/>
      <c r="AI193" s="231"/>
      <c r="AJ193" s="231"/>
      <c r="AK193" s="231"/>
      <c r="AL193" s="231"/>
      <c r="AM193" s="231"/>
      <c r="AN193" s="231"/>
    </row>
    <row r="194" spans="1:40" s="203" customFormat="1" ht="23.25" customHeight="1">
      <c r="A194" s="165"/>
      <c r="B194" s="132"/>
      <c r="C194" s="132"/>
      <c r="D194" s="132"/>
      <c r="E194" s="859"/>
      <c r="F194" s="859"/>
      <c r="G194" s="130"/>
      <c r="H194" s="859"/>
      <c r="I194" s="130"/>
      <c r="J194" s="231"/>
      <c r="K194" s="231"/>
      <c r="L194" s="231"/>
      <c r="M194" s="231"/>
      <c r="N194" s="231"/>
      <c r="O194" s="231"/>
      <c r="P194" s="231"/>
      <c r="Q194" s="231"/>
      <c r="R194" s="231"/>
      <c r="S194" s="231"/>
      <c r="T194" s="231"/>
      <c r="U194" s="231"/>
      <c r="V194" s="231"/>
      <c r="W194" s="231"/>
      <c r="X194" s="231"/>
      <c r="Y194" s="231"/>
      <c r="Z194" s="231"/>
      <c r="AA194" s="231"/>
      <c r="AB194" s="231"/>
      <c r="AC194" s="231"/>
      <c r="AD194" s="231"/>
      <c r="AE194" s="231"/>
      <c r="AF194" s="231"/>
      <c r="AG194" s="231"/>
      <c r="AH194" s="231"/>
      <c r="AI194" s="231"/>
      <c r="AJ194" s="231"/>
      <c r="AK194" s="231"/>
      <c r="AL194" s="231"/>
      <c r="AM194" s="231"/>
      <c r="AN194" s="231"/>
    </row>
    <row r="195" spans="1:40" s="203" customFormat="1">
      <c r="A195" s="154" t="s">
        <v>161</v>
      </c>
      <c r="B195" s="116"/>
      <c r="C195" s="116"/>
      <c r="D195" s="116"/>
      <c r="E195" s="859"/>
      <c r="F195" s="859"/>
      <c r="G195" s="130"/>
      <c r="H195" s="859"/>
      <c r="I195" s="130"/>
      <c r="J195" s="231"/>
      <c r="K195" s="231"/>
      <c r="L195" s="231"/>
      <c r="M195" s="231"/>
      <c r="N195" s="231"/>
      <c r="O195" s="231"/>
      <c r="P195" s="231"/>
      <c r="Q195" s="231"/>
      <c r="R195" s="231"/>
      <c r="S195" s="231"/>
      <c r="T195" s="231"/>
      <c r="U195" s="231"/>
      <c r="V195" s="231"/>
      <c r="W195" s="231"/>
      <c r="X195" s="231"/>
      <c r="Y195" s="231"/>
      <c r="Z195" s="231"/>
      <c r="AA195" s="231"/>
      <c r="AB195" s="231"/>
      <c r="AC195" s="231"/>
      <c r="AD195" s="231"/>
      <c r="AE195" s="231"/>
      <c r="AF195" s="231"/>
      <c r="AG195" s="231"/>
      <c r="AH195" s="231"/>
      <c r="AI195" s="231"/>
      <c r="AJ195" s="231"/>
      <c r="AK195" s="231"/>
      <c r="AL195" s="231"/>
      <c r="AM195" s="231"/>
      <c r="AN195" s="231"/>
    </row>
    <row r="196" spans="1:40" s="203" customFormat="1">
      <c r="A196" s="109" t="s">
        <v>83</v>
      </c>
      <c r="B196" s="47"/>
      <c r="C196" s="47"/>
      <c r="D196" s="47"/>
      <c r="E196" s="859"/>
      <c r="F196" s="859"/>
      <c r="G196" s="130"/>
      <c r="H196" s="859"/>
      <c r="I196" s="130"/>
      <c r="J196" s="231"/>
      <c r="K196" s="231"/>
      <c r="L196" s="231"/>
      <c r="M196" s="231"/>
      <c r="N196" s="231"/>
      <c r="O196" s="231"/>
      <c r="P196" s="231"/>
      <c r="Q196" s="231"/>
      <c r="R196" s="231"/>
      <c r="S196" s="231"/>
      <c r="T196" s="231"/>
      <c r="U196" s="231"/>
      <c r="V196" s="231"/>
      <c r="W196" s="231"/>
      <c r="X196" s="231"/>
      <c r="Y196" s="231"/>
      <c r="Z196" s="231"/>
      <c r="AA196" s="231"/>
      <c r="AB196" s="231"/>
      <c r="AC196" s="231"/>
      <c r="AD196" s="231"/>
      <c r="AE196" s="231"/>
      <c r="AF196" s="231"/>
      <c r="AG196" s="231"/>
      <c r="AH196" s="231"/>
      <c r="AI196" s="231"/>
      <c r="AJ196" s="231"/>
      <c r="AK196" s="231"/>
      <c r="AL196" s="231"/>
      <c r="AM196" s="231"/>
      <c r="AN196" s="231"/>
    </row>
    <row r="197" spans="1:40" s="203" customFormat="1">
      <c r="A197" s="110" t="s">
        <v>84</v>
      </c>
      <c r="B197" s="132"/>
      <c r="C197" s="132"/>
      <c r="D197" s="132"/>
      <c r="E197" s="860"/>
      <c r="F197" s="860"/>
      <c r="G197" s="130"/>
      <c r="H197" s="860"/>
      <c r="I197" s="130"/>
      <c r="J197" s="231"/>
      <c r="K197" s="231"/>
      <c r="L197" s="231"/>
      <c r="M197" s="231"/>
      <c r="N197" s="231"/>
      <c r="O197" s="231"/>
      <c r="P197" s="231"/>
      <c r="Q197" s="231"/>
      <c r="R197" s="231"/>
      <c r="S197" s="231"/>
      <c r="T197" s="231"/>
      <c r="U197" s="231"/>
      <c r="V197" s="231"/>
      <c r="W197" s="231"/>
      <c r="X197" s="231"/>
      <c r="Y197" s="231"/>
      <c r="Z197" s="231"/>
      <c r="AA197" s="231"/>
      <c r="AB197" s="231"/>
      <c r="AC197" s="231"/>
      <c r="AD197" s="231"/>
      <c r="AE197" s="231"/>
      <c r="AF197" s="231"/>
      <c r="AG197" s="231"/>
      <c r="AH197" s="231"/>
      <c r="AI197" s="231"/>
      <c r="AJ197" s="231"/>
      <c r="AK197" s="231"/>
      <c r="AL197" s="231"/>
      <c r="AM197" s="231"/>
      <c r="AN197" s="231"/>
    </row>
    <row r="198" spans="1:40" s="203" customFormat="1">
      <c r="A198" s="153" t="s">
        <v>162</v>
      </c>
      <c r="B198" s="166"/>
      <c r="C198" s="166"/>
      <c r="D198" s="166"/>
      <c r="E198" s="167"/>
      <c r="F198" s="146"/>
      <c r="G198" s="118"/>
      <c r="H198" s="146"/>
      <c r="I198" s="29"/>
      <c r="J198" s="231"/>
      <c r="K198" s="231"/>
      <c r="L198" s="231"/>
      <c r="M198" s="231"/>
      <c r="N198" s="231"/>
      <c r="O198" s="231"/>
      <c r="P198" s="231"/>
      <c r="Q198" s="231"/>
      <c r="R198" s="231"/>
      <c r="S198" s="231"/>
      <c r="T198" s="231"/>
      <c r="U198" s="231"/>
      <c r="V198" s="231"/>
      <c r="W198" s="231"/>
      <c r="X198" s="231"/>
      <c r="Y198" s="231"/>
      <c r="Z198" s="231"/>
      <c r="AA198" s="231"/>
      <c r="AB198" s="231"/>
      <c r="AC198" s="231"/>
      <c r="AD198" s="231"/>
      <c r="AE198" s="231"/>
      <c r="AF198" s="231"/>
      <c r="AG198" s="231"/>
      <c r="AH198" s="231"/>
      <c r="AI198" s="231"/>
      <c r="AJ198" s="231"/>
      <c r="AK198" s="231"/>
      <c r="AL198" s="231"/>
      <c r="AM198" s="231"/>
      <c r="AN198" s="231"/>
    </row>
    <row r="199" spans="1:40" s="203" customFormat="1">
      <c r="A199" s="120">
        <v>1</v>
      </c>
      <c r="B199" s="47" t="s">
        <v>163</v>
      </c>
      <c r="C199" s="47"/>
      <c r="D199" s="47"/>
      <c r="E199" s="74">
        <v>351</v>
      </c>
      <c r="F199" s="52">
        <v>483</v>
      </c>
      <c r="G199" s="118"/>
      <c r="H199" s="122">
        <v>351</v>
      </c>
      <c r="I199" s="29"/>
      <c r="J199" s="231"/>
      <c r="K199" s="231"/>
      <c r="L199" s="231"/>
      <c r="M199" s="231"/>
      <c r="N199" s="231"/>
      <c r="O199" s="231"/>
      <c r="P199" s="231"/>
      <c r="Q199" s="231"/>
      <c r="R199" s="231"/>
      <c r="S199" s="231"/>
      <c r="T199" s="231"/>
      <c r="U199" s="231"/>
      <c r="V199" s="231"/>
      <c r="W199" s="231"/>
      <c r="X199" s="231"/>
      <c r="Y199" s="231"/>
      <c r="Z199" s="231"/>
      <c r="AA199" s="231"/>
      <c r="AB199" s="231"/>
      <c r="AC199" s="231"/>
      <c r="AD199" s="231"/>
      <c r="AE199" s="231"/>
      <c r="AF199" s="231"/>
      <c r="AG199" s="231"/>
      <c r="AH199" s="231"/>
      <c r="AI199" s="231"/>
      <c r="AJ199" s="231"/>
      <c r="AK199" s="231"/>
      <c r="AL199" s="231"/>
      <c r="AM199" s="231"/>
      <c r="AN199" s="231"/>
    </row>
    <row r="200" spans="1:40" s="203" customFormat="1">
      <c r="A200" s="120">
        <v>2</v>
      </c>
      <c r="B200" s="47" t="s">
        <v>164</v>
      </c>
      <c r="C200" s="47"/>
      <c r="D200" s="47"/>
      <c r="E200" s="56">
        <v>425</v>
      </c>
      <c r="F200" s="52">
        <v>390</v>
      </c>
      <c r="G200" s="118"/>
      <c r="H200" s="100">
        <v>433</v>
      </c>
      <c r="I200" s="29"/>
      <c r="J200" s="231"/>
      <c r="K200" s="231"/>
      <c r="L200" s="231"/>
      <c r="M200" s="231"/>
      <c r="N200" s="231"/>
      <c r="O200" s="231"/>
      <c r="P200" s="231"/>
      <c r="Q200" s="231"/>
      <c r="R200" s="231"/>
      <c r="S200" s="231"/>
      <c r="T200" s="231"/>
      <c r="U200" s="231"/>
      <c r="V200" s="231"/>
      <c r="W200" s="231"/>
      <c r="X200" s="231"/>
      <c r="Y200" s="231"/>
      <c r="Z200" s="231"/>
      <c r="AA200" s="231"/>
      <c r="AB200" s="231"/>
      <c r="AC200" s="231"/>
      <c r="AD200" s="231"/>
      <c r="AE200" s="231"/>
      <c r="AF200" s="231"/>
      <c r="AG200" s="231"/>
      <c r="AH200" s="231"/>
      <c r="AI200" s="231"/>
      <c r="AJ200" s="231"/>
      <c r="AK200" s="231"/>
      <c r="AL200" s="231"/>
      <c r="AM200" s="231"/>
      <c r="AN200" s="231"/>
    </row>
    <row r="201" spans="1:40" s="203" customFormat="1">
      <c r="A201" s="120">
        <v>3</v>
      </c>
      <c r="B201" s="116" t="s">
        <v>165</v>
      </c>
      <c r="C201" s="116"/>
      <c r="D201" s="116"/>
      <c r="E201" s="80">
        <v>776</v>
      </c>
      <c r="F201" s="142">
        <f>SUM(F199:F200)</f>
        <v>873</v>
      </c>
      <c r="G201" s="118"/>
      <c r="H201" s="142">
        <f>SUM(H199:H200)</f>
        <v>784</v>
      </c>
      <c r="I201" s="29"/>
      <c r="J201" s="231"/>
      <c r="K201" s="231"/>
      <c r="L201" s="231"/>
      <c r="M201" s="231"/>
      <c r="N201" s="231"/>
      <c r="O201" s="231"/>
      <c r="P201" s="231"/>
      <c r="Q201" s="231"/>
      <c r="R201" s="231"/>
      <c r="S201" s="231"/>
      <c r="T201" s="231"/>
      <c r="U201" s="231"/>
      <c r="V201" s="231"/>
      <c r="W201" s="231"/>
      <c r="X201" s="231"/>
      <c r="Y201" s="231"/>
      <c r="Z201" s="231"/>
      <c r="AA201" s="231"/>
      <c r="AB201" s="231"/>
      <c r="AC201" s="231"/>
      <c r="AD201" s="231"/>
      <c r="AE201" s="231"/>
      <c r="AF201" s="231"/>
      <c r="AG201" s="231"/>
      <c r="AH201" s="231"/>
      <c r="AI201" s="231"/>
      <c r="AJ201" s="231"/>
      <c r="AK201" s="231"/>
      <c r="AL201" s="231"/>
      <c r="AM201" s="231"/>
      <c r="AN201" s="231"/>
    </row>
    <row r="202" spans="1:40" s="203" customFormat="1">
      <c r="A202" s="46"/>
      <c r="B202" s="132"/>
      <c r="C202" s="132"/>
      <c r="D202" s="132"/>
      <c r="E202" s="156"/>
      <c r="F202" s="139"/>
      <c r="G202" s="139"/>
      <c r="H202" s="139"/>
      <c r="I202" s="29"/>
      <c r="J202" s="231"/>
      <c r="K202" s="231"/>
      <c r="L202" s="231"/>
      <c r="M202" s="231"/>
      <c r="N202" s="231"/>
      <c r="O202" s="231"/>
      <c r="P202" s="231"/>
      <c r="Q202" s="231"/>
      <c r="R202" s="231"/>
      <c r="S202" s="231"/>
      <c r="T202" s="231"/>
      <c r="U202" s="231"/>
      <c r="V202" s="231"/>
      <c r="W202" s="231"/>
      <c r="X202" s="231"/>
      <c r="Y202" s="231"/>
      <c r="Z202" s="231"/>
      <c r="AA202" s="231"/>
      <c r="AB202" s="231"/>
      <c r="AC202" s="231"/>
      <c r="AD202" s="231"/>
      <c r="AE202" s="231"/>
      <c r="AF202" s="231"/>
      <c r="AG202" s="231"/>
      <c r="AH202" s="231"/>
      <c r="AI202" s="231"/>
      <c r="AJ202" s="231"/>
      <c r="AK202" s="231"/>
      <c r="AL202" s="231"/>
      <c r="AM202" s="231"/>
      <c r="AN202" s="231"/>
    </row>
    <row r="203" spans="1:40" s="203" customFormat="1">
      <c r="A203" s="153" t="s">
        <v>166</v>
      </c>
      <c r="B203" s="116"/>
      <c r="C203" s="116"/>
      <c r="D203" s="116"/>
      <c r="E203" s="140"/>
      <c r="F203" s="146"/>
      <c r="G203" s="118"/>
      <c r="H203" s="146"/>
      <c r="I203" s="29"/>
      <c r="J203" s="231"/>
      <c r="K203" s="231"/>
      <c r="L203" s="231"/>
      <c r="M203" s="231"/>
      <c r="N203" s="231"/>
      <c r="O203" s="231"/>
      <c r="P203" s="231"/>
      <c r="Q203" s="231"/>
      <c r="R203" s="231"/>
      <c r="S203" s="231"/>
      <c r="T203" s="231"/>
      <c r="U203" s="231"/>
      <c r="V203" s="231"/>
      <c r="W203" s="231"/>
      <c r="X203" s="231"/>
      <c r="Y203" s="231"/>
      <c r="Z203" s="231"/>
      <c r="AA203" s="231"/>
      <c r="AB203" s="231"/>
      <c r="AC203" s="231"/>
      <c r="AD203" s="231"/>
      <c r="AE203" s="231"/>
      <c r="AF203" s="231"/>
      <c r="AG203" s="231"/>
      <c r="AH203" s="231"/>
      <c r="AI203" s="231"/>
      <c r="AJ203" s="231"/>
      <c r="AK203" s="231"/>
      <c r="AL203" s="231"/>
      <c r="AM203" s="231"/>
      <c r="AN203" s="231"/>
    </row>
    <row r="204" spans="1:40" s="203" customFormat="1">
      <c r="A204" s="120">
        <v>4</v>
      </c>
      <c r="B204" s="47" t="s">
        <v>167</v>
      </c>
      <c r="C204" s="47"/>
      <c r="D204" s="47"/>
      <c r="E204" s="74">
        <v>3331</v>
      </c>
      <c r="F204" s="52">
        <v>3583</v>
      </c>
      <c r="G204" s="118"/>
      <c r="H204" s="122">
        <v>3141</v>
      </c>
      <c r="I204" s="29"/>
      <c r="J204" s="231"/>
      <c r="K204" s="231"/>
      <c r="L204" s="231"/>
      <c r="M204" s="231"/>
      <c r="N204" s="231"/>
      <c r="O204" s="231"/>
      <c r="P204" s="231"/>
      <c r="Q204" s="231"/>
      <c r="R204" s="231"/>
      <c r="S204" s="231"/>
      <c r="T204" s="231"/>
      <c r="U204" s="231"/>
      <c r="V204" s="231"/>
      <c r="W204" s="231"/>
      <c r="X204" s="231"/>
      <c r="Y204" s="231"/>
      <c r="Z204" s="231"/>
      <c r="AA204" s="231"/>
      <c r="AB204" s="231"/>
      <c r="AC204" s="231"/>
      <c r="AD204" s="231"/>
      <c r="AE204" s="231"/>
      <c r="AF204" s="231"/>
      <c r="AG204" s="231"/>
      <c r="AH204" s="231"/>
      <c r="AI204" s="231"/>
      <c r="AJ204" s="231"/>
      <c r="AK204" s="231"/>
      <c r="AL204" s="231"/>
      <c r="AM204" s="231"/>
      <c r="AN204" s="231"/>
    </row>
    <row r="205" spans="1:40" s="203" customFormat="1">
      <c r="A205" s="120">
        <v>5</v>
      </c>
      <c r="B205" s="47" t="s">
        <v>168</v>
      </c>
      <c r="C205" s="47"/>
      <c r="D205" s="47"/>
      <c r="E205" s="49">
        <v>3848</v>
      </c>
      <c r="F205" s="52">
        <v>4293</v>
      </c>
      <c r="G205" s="118"/>
      <c r="H205" s="122">
        <v>4033</v>
      </c>
      <c r="I205" s="29"/>
      <c r="J205" s="231"/>
      <c r="K205" s="231"/>
      <c r="L205" s="231"/>
      <c r="M205" s="231"/>
      <c r="N205" s="231"/>
      <c r="O205" s="231"/>
      <c r="P205" s="231"/>
      <c r="Q205" s="231"/>
      <c r="R205" s="231"/>
      <c r="S205" s="231"/>
      <c r="T205" s="231"/>
      <c r="U205" s="231"/>
      <c r="V205" s="231"/>
      <c r="W205" s="231"/>
      <c r="X205" s="231"/>
      <c r="Y205" s="231"/>
      <c r="Z205" s="231"/>
      <c r="AA205" s="231"/>
      <c r="AB205" s="231"/>
      <c r="AC205" s="231"/>
      <c r="AD205" s="231"/>
      <c r="AE205" s="231"/>
      <c r="AF205" s="231"/>
      <c r="AG205" s="231"/>
      <c r="AH205" s="231"/>
      <c r="AI205" s="231"/>
      <c r="AJ205" s="231"/>
      <c r="AK205" s="231"/>
      <c r="AL205" s="231"/>
      <c r="AM205" s="231"/>
      <c r="AN205" s="231"/>
    </row>
    <row r="206" spans="1:40" s="203" customFormat="1">
      <c r="A206" s="120">
        <v>6</v>
      </c>
      <c r="B206" s="47" t="s">
        <v>169</v>
      </c>
      <c r="C206" s="47"/>
      <c r="D206" s="47"/>
      <c r="E206" s="49">
        <v>1733</v>
      </c>
      <c r="F206" s="52">
        <v>1544</v>
      </c>
      <c r="G206" s="118"/>
      <c r="H206" s="100">
        <v>1561</v>
      </c>
      <c r="I206" s="29"/>
      <c r="J206" s="231"/>
      <c r="K206" s="231"/>
      <c r="L206" s="231"/>
      <c r="M206" s="231"/>
      <c r="N206" s="231"/>
      <c r="O206" s="231"/>
      <c r="P206" s="231"/>
      <c r="Q206" s="231"/>
      <c r="R206" s="231"/>
      <c r="S206" s="231"/>
      <c r="T206" s="231"/>
      <c r="U206" s="231"/>
      <c r="V206" s="231"/>
      <c r="W206" s="231"/>
      <c r="X206" s="231"/>
      <c r="Y206" s="231"/>
      <c r="Z206" s="231"/>
      <c r="AA206" s="231"/>
      <c r="AB206" s="231"/>
      <c r="AC206" s="231"/>
      <c r="AD206" s="231"/>
      <c r="AE206" s="231"/>
      <c r="AF206" s="231"/>
      <c r="AG206" s="231"/>
      <c r="AH206" s="231"/>
      <c r="AI206" s="231"/>
      <c r="AJ206" s="231"/>
      <c r="AK206" s="231"/>
      <c r="AL206" s="231"/>
      <c r="AM206" s="231"/>
      <c r="AN206" s="231"/>
    </row>
    <row r="207" spans="1:40" s="203" customFormat="1">
      <c r="A207" s="120">
        <v>7</v>
      </c>
      <c r="B207" s="116" t="s">
        <v>170</v>
      </c>
      <c r="C207" s="116"/>
      <c r="D207" s="116"/>
      <c r="E207" s="80">
        <v>8912</v>
      </c>
      <c r="F207" s="142">
        <f>SUM(F204:F206)</f>
        <v>9420</v>
      </c>
      <c r="G207" s="118"/>
      <c r="H207" s="142">
        <f>SUM(H204:H206)</f>
        <v>8735</v>
      </c>
      <c r="I207" s="29"/>
      <c r="J207" s="231"/>
      <c r="K207" s="231"/>
      <c r="L207" s="231"/>
      <c r="M207" s="231"/>
      <c r="N207" s="231"/>
      <c r="O207" s="231"/>
      <c r="P207" s="231"/>
      <c r="Q207" s="231"/>
      <c r="R207" s="231"/>
      <c r="S207" s="231"/>
      <c r="T207" s="231"/>
      <c r="U207" s="231"/>
      <c r="V207" s="231"/>
      <c r="W207" s="231"/>
      <c r="X207" s="231"/>
      <c r="Y207" s="231"/>
      <c r="Z207" s="231"/>
      <c r="AA207" s="231"/>
      <c r="AB207" s="231"/>
      <c r="AC207" s="231"/>
      <c r="AD207" s="231"/>
      <c r="AE207" s="231"/>
      <c r="AF207" s="231"/>
      <c r="AG207" s="231"/>
      <c r="AH207" s="231"/>
      <c r="AI207" s="231"/>
      <c r="AJ207" s="231"/>
      <c r="AK207" s="231"/>
      <c r="AL207" s="231"/>
      <c r="AM207" s="231"/>
      <c r="AN207" s="231"/>
    </row>
    <row r="208" spans="1:40" s="203" customFormat="1">
      <c r="A208" s="46"/>
      <c r="B208" s="132"/>
      <c r="C208" s="132"/>
      <c r="D208" s="132"/>
      <c r="E208" s="156"/>
      <c r="F208" s="139"/>
      <c r="G208" s="139"/>
      <c r="H208" s="139"/>
      <c r="I208" s="29"/>
      <c r="J208" s="231"/>
      <c r="K208" s="231"/>
      <c r="L208" s="231"/>
      <c r="M208" s="231"/>
      <c r="N208" s="231"/>
      <c r="O208" s="231"/>
      <c r="P208" s="231"/>
      <c r="Q208" s="231"/>
      <c r="R208" s="231"/>
      <c r="S208" s="231"/>
      <c r="T208" s="231"/>
      <c r="U208" s="231"/>
      <c r="V208" s="231"/>
      <c r="W208" s="231"/>
      <c r="X208" s="231"/>
      <c r="Y208" s="231"/>
      <c r="Z208" s="231"/>
      <c r="AA208" s="231"/>
      <c r="AB208" s="231"/>
      <c r="AC208" s="231"/>
      <c r="AD208" s="231"/>
      <c r="AE208" s="231"/>
      <c r="AF208" s="231"/>
      <c r="AG208" s="231"/>
      <c r="AH208" s="231"/>
      <c r="AI208" s="231"/>
      <c r="AJ208" s="231"/>
      <c r="AK208" s="231"/>
      <c r="AL208" s="231"/>
      <c r="AM208" s="231"/>
      <c r="AN208" s="231"/>
    </row>
    <row r="209" spans="1:40" s="203" customFormat="1">
      <c r="A209" s="153" t="s">
        <v>121</v>
      </c>
      <c r="B209" s="168"/>
      <c r="C209" s="168"/>
      <c r="D209" s="168"/>
      <c r="E209" s="140"/>
      <c r="F209" s="146"/>
      <c r="G209" s="118"/>
      <c r="H209" s="146"/>
      <c r="I209" s="29"/>
      <c r="J209" s="231"/>
      <c r="K209" s="231"/>
      <c r="L209" s="231"/>
      <c r="M209" s="231"/>
      <c r="N209" s="231"/>
      <c r="O209" s="231"/>
      <c r="P209" s="231"/>
      <c r="Q209" s="231"/>
      <c r="R209" s="231"/>
      <c r="S209" s="231"/>
      <c r="T209" s="231"/>
      <c r="U209" s="231"/>
      <c r="V209" s="231"/>
      <c r="W209" s="231"/>
      <c r="X209" s="231"/>
      <c r="Y209" s="231"/>
      <c r="Z209" s="231"/>
      <c r="AA209" s="231"/>
      <c r="AB209" s="231"/>
      <c r="AC209" s="231"/>
      <c r="AD209" s="231"/>
      <c r="AE209" s="231"/>
      <c r="AF209" s="231"/>
      <c r="AG209" s="231"/>
      <c r="AH209" s="231"/>
      <c r="AI209" s="231"/>
      <c r="AJ209" s="231"/>
      <c r="AK209" s="231"/>
      <c r="AL209" s="231"/>
      <c r="AM209" s="231"/>
      <c r="AN209" s="231"/>
    </row>
    <row r="210" spans="1:40" s="203" customFormat="1">
      <c r="A210" s="120">
        <v>8</v>
      </c>
      <c r="B210" s="47" t="s">
        <v>171</v>
      </c>
      <c r="C210" s="47"/>
      <c r="D210" s="47"/>
      <c r="E210" s="74">
        <v>440</v>
      </c>
      <c r="F210" s="52">
        <v>398</v>
      </c>
      <c r="G210" s="118"/>
      <c r="H210" s="122">
        <v>417</v>
      </c>
      <c r="I210" s="29"/>
      <c r="J210" s="231"/>
      <c r="K210" s="231"/>
      <c r="L210" s="231"/>
      <c r="M210" s="231"/>
      <c r="N210" s="231"/>
      <c r="O210" s="231"/>
      <c r="P210" s="231"/>
      <c r="Q210" s="231"/>
      <c r="R210" s="231"/>
      <c r="S210" s="231"/>
      <c r="T210" s="231"/>
      <c r="U210" s="231"/>
      <c r="V210" s="231"/>
      <c r="W210" s="231"/>
      <c r="X210" s="231"/>
      <c r="Y210" s="231"/>
      <c r="Z210" s="231"/>
      <c r="AA210" s="231"/>
      <c r="AB210" s="231"/>
      <c r="AC210" s="231"/>
      <c r="AD210" s="231"/>
      <c r="AE210" s="231"/>
      <c r="AF210" s="231"/>
      <c r="AG210" s="231"/>
      <c r="AH210" s="231"/>
      <c r="AI210" s="231"/>
      <c r="AJ210" s="231"/>
      <c r="AK210" s="231"/>
      <c r="AL210" s="231"/>
      <c r="AM210" s="231"/>
      <c r="AN210" s="231"/>
    </row>
    <row r="211" spans="1:40" s="203" customFormat="1">
      <c r="A211" s="120">
        <v>9</v>
      </c>
      <c r="B211" s="47" t="s">
        <v>172</v>
      </c>
      <c r="C211" s="47"/>
      <c r="D211" s="47"/>
      <c r="E211" s="49">
        <v>0</v>
      </c>
      <c r="F211" s="52">
        <v>0</v>
      </c>
      <c r="G211" s="118"/>
      <c r="H211" s="122">
        <v>0</v>
      </c>
      <c r="I211" s="29"/>
      <c r="J211" s="231"/>
      <c r="K211" s="231"/>
      <c r="L211" s="231"/>
      <c r="M211" s="231"/>
      <c r="N211" s="231"/>
      <c r="O211" s="231"/>
      <c r="P211" s="231"/>
      <c r="Q211" s="231"/>
      <c r="R211" s="231"/>
      <c r="S211" s="231"/>
      <c r="T211" s="231"/>
      <c r="U211" s="231"/>
      <c r="V211" s="231"/>
      <c r="W211" s="231"/>
      <c r="X211" s="231"/>
      <c r="Y211" s="231"/>
      <c r="Z211" s="231"/>
      <c r="AA211" s="231"/>
      <c r="AB211" s="231"/>
      <c r="AC211" s="231"/>
      <c r="AD211" s="231"/>
      <c r="AE211" s="231"/>
      <c r="AF211" s="231"/>
      <c r="AG211" s="231"/>
      <c r="AH211" s="231"/>
      <c r="AI211" s="231"/>
      <c r="AJ211" s="231"/>
      <c r="AK211" s="231"/>
      <c r="AL211" s="231"/>
      <c r="AM211" s="231"/>
      <c r="AN211" s="231"/>
    </row>
    <row r="212" spans="1:40" s="203" customFormat="1">
      <c r="A212" s="120">
        <v>10</v>
      </c>
      <c r="B212" s="47" t="s">
        <v>173</v>
      </c>
      <c r="C212" s="47"/>
      <c r="D212" s="47"/>
      <c r="E212" s="49">
        <v>192</v>
      </c>
      <c r="F212" s="52">
        <v>250</v>
      </c>
      <c r="G212" s="118"/>
      <c r="H212" s="122">
        <v>257</v>
      </c>
      <c r="I212" s="29"/>
      <c r="J212" s="231"/>
      <c r="K212" s="231"/>
      <c r="L212" s="231"/>
      <c r="M212" s="231"/>
      <c r="N212" s="231"/>
      <c r="O212" s="231"/>
      <c r="P212" s="231"/>
      <c r="Q212" s="231"/>
      <c r="R212" s="231"/>
      <c r="S212" s="231"/>
      <c r="T212" s="231"/>
      <c r="U212" s="231"/>
      <c r="V212" s="231"/>
      <c r="W212" s="231"/>
      <c r="X212" s="231"/>
      <c r="Y212" s="231"/>
      <c r="Z212" s="231"/>
      <c r="AA212" s="231"/>
      <c r="AB212" s="231"/>
      <c r="AC212" s="231"/>
      <c r="AD212" s="231"/>
      <c r="AE212" s="231"/>
      <c r="AF212" s="231"/>
      <c r="AG212" s="231"/>
      <c r="AH212" s="231"/>
      <c r="AI212" s="231"/>
      <c r="AJ212" s="231"/>
      <c r="AK212" s="231"/>
      <c r="AL212" s="231"/>
      <c r="AM212" s="231"/>
      <c r="AN212" s="231"/>
    </row>
    <row r="213" spans="1:40" s="203" customFormat="1">
      <c r="A213" s="120">
        <v>11</v>
      </c>
      <c r="B213" s="47" t="s">
        <v>174</v>
      </c>
      <c r="C213" s="47"/>
      <c r="D213" s="47"/>
      <c r="E213" s="49">
        <v>1586</v>
      </c>
      <c r="F213" s="52">
        <v>1503</v>
      </c>
      <c r="G213" s="118"/>
      <c r="H213" s="99">
        <v>1566</v>
      </c>
      <c r="I213" s="29"/>
      <c r="J213" s="231"/>
      <c r="K213" s="231"/>
      <c r="L213" s="231"/>
      <c r="M213" s="231"/>
      <c r="N213" s="231"/>
      <c r="O213" s="231"/>
      <c r="P213" s="231"/>
      <c r="Q213" s="231"/>
      <c r="R213" s="231"/>
      <c r="S213" s="231"/>
      <c r="T213" s="231"/>
      <c r="U213" s="231"/>
      <c r="V213" s="231"/>
      <c r="W213" s="231"/>
      <c r="X213" s="231"/>
      <c r="Y213" s="231"/>
      <c r="Z213" s="231"/>
      <c r="AA213" s="231"/>
      <c r="AB213" s="231"/>
      <c r="AC213" s="231"/>
      <c r="AD213" s="231"/>
      <c r="AE213" s="231"/>
      <c r="AF213" s="231"/>
      <c r="AG213" s="231"/>
      <c r="AH213" s="231"/>
      <c r="AI213" s="231"/>
      <c r="AJ213" s="231"/>
      <c r="AK213" s="231"/>
      <c r="AL213" s="231"/>
      <c r="AM213" s="231"/>
      <c r="AN213" s="231"/>
    </row>
    <row r="214" spans="1:40" s="203" customFormat="1">
      <c r="A214" s="120">
        <v>12</v>
      </c>
      <c r="B214" s="116" t="s">
        <v>175</v>
      </c>
      <c r="C214" s="116"/>
      <c r="D214" s="116"/>
      <c r="E214" s="159">
        <v>11906</v>
      </c>
      <c r="F214" s="61">
        <f>F201+F207+SUM(F210:F213)</f>
        <v>12444</v>
      </c>
      <c r="G214" s="118"/>
      <c r="H214" s="61">
        <f>H201+H207+SUM(H210:H213)</f>
        <v>11759</v>
      </c>
      <c r="I214" s="29"/>
      <c r="J214" s="231"/>
      <c r="K214" s="231"/>
      <c r="L214" s="231"/>
      <c r="M214" s="231"/>
      <c r="N214" s="231"/>
      <c r="O214" s="231"/>
      <c r="P214" s="231"/>
      <c r="Q214" s="231"/>
      <c r="R214" s="231"/>
      <c r="S214" s="231"/>
      <c r="T214" s="231"/>
      <c r="U214" s="231"/>
      <c r="V214" s="231"/>
      <c r="W214" s="231"/>
      <c r="X214" s="231"/>
      <c r="Y214" s="231"/>
      <c r="Z214" s="231"/>
      <c r="AA214" s="231"/>
      <c r="AB214" s="231"/>
      <c r="AC214" s="231"/>
      <c r="AD214" s="231"/>
      <c r="AE214" s="231"/>
      <c r="AF214" s="231"/>
      <c r="AG214" s="231"/>
      <c r="AH214" s="231"/>
      <c r="AI214" s="231"/>
      <c r="AJ214" s="231"/>
      <c r="AK214" s="231"/>
      <c r="AL214" s="231"/>
      <c r="AM214" s="231"/>
      <c r="AN214" s="231"/>
    </row>
    <row r="215" spans="1:40" s="203" customFormat="1">
      <c r="A215" s="111"/>
      <c r="B215" s="47"/>
      <c r="C215" s="47"/>
      <c r="D215" s="47"/>
      <c r="E215" s="117"/>
      <c r="F215" s="118"/>
      <c r="G215" s="118"/>
      <c r="H215" s="118"/>
      <c r="I215" s="29"/>
      <c r="J215" s="231"/>
      <c r="K215" s="231"/>
      <c r="L215" s="231"/>
      <c r="M215" s="231"/>
      <c r="N215" s="231"/>
      <c r="O215" s="231"/>
      <c r="P215" s="231"/>
      <c r="Q215" s="231"/>
      <c r="R215" s="231"/>
      <c r="S215" s="231"/>
      <c r="T215" s="231"/>
      <c r="U215" s="231"/>
      <c r="V215" s="231"/>
      <c r="W215" s="231"/>
      <c r="X215" s="231"/>
      <c r="Y215" s="231"/>
      <c r="Z215" s="231"/>
      <c r="AA215" s="231"/>
      <c r="AB215" s="231"/>
      <c r="AC215" s="231"/>
      <c r="AD215" s="231"/>
      <c r="AE215" s="231"/>
      <c r="AF215" s="231"/>
      <c r="AG215" s="231"/>
      <c r="AH215" s="231"/>
      <c r="AI215" s="231"/>
      <c r="AJ215" s="231"/>
      <c r="AK215" s="231"/>
      <c r="AL215" s="231"/>
      <c r="AM215" s="231"/>
      <c r="AN215" s="231"/>
    </row>
    <row r="216" spans="1:40" s="203" customFormat="1">
      <c r="A216" s="119" t="s">
        <v>176</v>
      </c>
      <c r="B216" s="116"/>
      <c r="C216" s="116"/>
      <c r="D216" s="116"/>
      <c r="E216" s="117"/>
      <c r="F216" s="160"/>
      <c r="G216" s="118"/>
      <c r="H216" s="160"/>
      <c r="I216" s="29"/>
      <c r="J216" s="231"/>
      <c r="K216" s="231"/>
      <c r="L216" s="231"/>
      <c r="M216" s="231"/>
      <c r="N216" s="231"/>
      <c r="O216" s="231"/>
      <c r="P216" s="231"/>
      <c r="Q216" s="231"/>
      <c r="R216" s="231"/>
      <c r="S216" s="231"/>
      <c r="T216" s="231"/>
      <c r="U216" s="231"/>
      <c r="V216" s="231"/>
      <c r="W216" s="231"/>
      <c r="X216" s="231"/>
      <c r="Y216" s="231"/>
      <c r="Z216" s="231"/>
      <c r="AA216" s="231"/>
      <c r="AB216" s="231"/>
      <c r="AC216" s="231"/>
      <c r="AD216" s="231"/>
      <c r="AE216" s="231"/>
      <c r="AF216" s="231"/>
      <c r="AG216" s="231"/>
      <c r="AH216" s="231"/>
      <c r="AI216" s="231"/>
      <c r="AJ216" s="231"/>
      <c r="AK216" s="231"/>
      <c r="AL216" s="231"/>
      <c r="AM216" s="231"/>
      <c r="AN216" s="231"/>
    </row>
    <row r="217" spans="1:40" s="203" customFormat="1">
      <c r="A217" s="120">
        <v>13</v>
      </c>
      <c r="B217" s="47" t="s">
        <v>177</v>
      </c>
      <c r="C217" s="47"/>
      <c r="D217" s="47"/>
      <c r="E217" s="41">
        <v>246</v>
      </c>
      <c r="F217" s="121">
        <v>189</v>
      </c>
      <c r="G217" s="118"/>
      <c r="H217" s="169">
        <v>228</v>
      </c>
      <c r="I217" s="29"/>
      <c r="J217" s="231"/>
      <c r="K217" s="231"/>
      <c r="L217" s="231"/>
      <c r="M217" s="231"/>
      <c r="N217" s="231"/>
      <c r="O217" s="231"/>
      <c r="P217" s="231"/>
      <c r="Q217" s="231"/>
      <c r="R217" s="231"/>
      <c r="S217" s="231"/>
      <c r="T217" s="231"/>
      <c r="U217" s="231"/>
      <c r="V217" s="231"/>
      <c r="W217" s="231"/>
      <c r="X217" s="231"/>
      <c r="Y217" s="231"/>
      <c r="Z217" s="231"/>
      <c r="AA217" s="231"/>
      <c r="AB217" s="231"/>
      <c r="AC217" s="231"/>
      <c r="AD217" s="231"/>
      <c r="AE217" s="231"/>
      <c r="AF217" s="231"/>
      <c r="AG217" s="231"/>
      <c r="AH217" s="231"/>
      <c r="AI217" s="231"/>
      <c r="AJ217" s="231"/>
      <c r="AK217" s="231"/>
      <c r="AL217" s="231"/>
      <c r="AM217" s="231"/>
      <c r="AN217" s="231"/>
    </row>
    <row r="218" spans="1:40" s="203" customFormat="1">
      <c r="A218" s="124">
        <v>14</v>
      </c>
      <c r="B218" s="54" t="s">
        <v>178</v>
      </c>
      <c r="C218" s="54"/>
      <c r="D218" s="54"/>
      <c r="E218" s="56">
        <v>1708</v>
      </c>
      <c r="F218" s="126">
        <v>1625</v>
      </c>
      <c r="G218" s="118"/>
      <c r="H218" s="100">
        <v>1593</v>
      </c>
      <c r="I218" s="29"/>
      <c r="J218" s="231"/>
      <c r="K218" s="231"/>
      <c r="L218" s="231"/>
      <c r="M218" s="231"/>
      <c r="N218" s="231"/>
      <c r="O218" s="231"/>
      <c r="P218" s="231"/>
      <c r="Q218" s="231"/>
      <c r="R218" s="231"/>
      <c r="S218" s="231"/>
      <c r="T218" s="231"/>
      <c r="U218" s="231"/>
      <c r="V218" s="231"/>
      <c r="W218" s="231"/>
      <c r="X218" s="231"/>
      <c r="Y218" s="231"/>
      <c r="Z218" s="231"/>
      <c r="AA218" s="231"/>
      <c r="AB218" s="231"/>
      <c r="AC218" s="231"/>
      <c r="AD218" s="231"/>
      <c r="AE218" s="231"/>
      <c r="AF218" s="231"/>
      <c r="AG218" s="231"/>
      <c r="AH218" s="231"/>
      <c r="AI218" s="231"/>
      <c r="AJ218" s="231"/>
      <c r="AK218" s="231"/>
      <c r="AL218" s="231"/>
      <c r="AM218" s="231"/>
      <c r="AN218" s="231"/>
    </row>
    <row r="219" spans="1:40" s="203" customFormat="1">
      <c r="A219" s="148"/>
      <c r="B219" s="29"/>
      <c r="C219" s="29"/>
      <c r="D219" s="170"/>
      <c r="E219" s="171"/>
      <c r="F219" s="29"/>
      <c r="G219" s="29"/>
      <c r="H219" s="207"/>
      <c r="I219" s="29"/>
      <c r="J219" s="231"/>
      <c r="K219" s="231"/>
      <c r="L219" s="231"/>
      <c r="M219" s="231"/>
      <c r="N219" s="231"/>
      <c r="O219" s="231"/>
      <c r="P219" s="231"/>
      <c r="Q219" s="231"/>
      <c r="R219" s="231"/>
      <c r="S219" s="231"/>
      <c r="T219" s="231"/>
      <c r="U219" s="231"/>
      <c r="V219" s="231"/>
      <c r="W219" s="231"/>
      <c r="X219" s="231"/>
      <c r="Y219" s="231"/>
      <c r="Z219" s="231"/>
      <c r="AA219" s="231"/>
      <c r="AB219" s="231"/>
      <c r="AC219" s="231"/>
      <c r="AD219" s="231"/>
      <c r="AE219" s="231"/>
      <c r="AF219" s="231"/>
      <c r="AG219" s="231"/>
      <c r="AH219" s="231"/>
      <c r="AI219" s="231"/>
      <c r="AJ219" s="231"/>
      <c r="AK219" s="231"/>
      <c r="AL219" s="231"/>
      <c r="AM219" s="231"/>
      <c r="AN219" s="231"/>
    </row>
    <row r="220" spans="1:40" s="203" customFormat="1">
      <c r="A220" s="148"/>
      <c r="B220" s="29"/>
      <c r="C220" s="29"/>
      <c r="D220" s="172"/>
      <c r="E220" s="152"/>
      <c r="F220" s="29"/>
      <c r="G220" s="29"/>
      <c r="H220" s="131" t="s">
        <v>27</v>
      </c>
      <c r="I220" s="29"/>
      <c r="J220" s="231"/>
      <c r="K220" s="231"/>
      <c r="L220" s="231"/>
      <c r="M220" s="231"/>
      <c r="N220" s="231"/>
      <c r="O220" s="231"/>
      <c r="P220" s="231"/>
      <c r="Q220" s="231"/>
      <c r="R220" s="231"/>
      <c r="S220" s="231"/>
      <c r="T220" s="231"/>
      <c r="U220" s="231"/>
      <c r="V220" s="231"/>
      <c r="W220" s="231"/>
      <c r="X220" s="231"/>
      <c r="Y220" s="231"/>
      <c r="Z220" s="231"/>
      <c r="AA220" s="231"/>
      <c r="AB220" s="231"/>
      <c r="AC220" s="231"/>
      <c r="AD220" s="231"/>
      <c r="AE220" s="231"/>
      <c r="AF220" s="231"/>
      <c r="AG220" s="231"/>
      <c r="AH220" s="231"/>
      <c r="AI220" s="231"/>
      <c r="AJ220" s="231"/>
      <c r="AK220" s="231"/>
      <c r="AL220" s="231"/>
      <c r="AM220" s="231"/>
      <c r="AN220" s="231"/>
    </row>
    <row r="221" spans="1:40" s="203" customFormat="1" ht="12.75" customHeight="1">
      <c r="A221" s="106" t="s">
        <v>10</v>
      </c>
      <c r="B221" s="164"/>
      <c r="C221" s="164"/>
      <c r="D221" s="164"/>
      <c r="E221" s="856" t="s">
        <v>377</v>
      </c>
      <c r="F221" s="856" t="s">
        <v>402</v>
      </c>
      <c r="G221" s="130"/>
      <c r="H221" s="856" t="s">
        <v>403</v>
      </c>
      <c r="I221" s="130"/>
      <c r="J221" s="231"/>
      <c r="K221" s="231"/>
      <c r="L221" s="231"/>
      <c r="M221" s="231"/>
      <c r="N221" s="231"/>
      <c r="O221" s="231"/>
      <c r="P221" s="231"/>
      <c r="Q221" s="231"/>
      <c r="R221" s="231"/>
      <c r="S221" s="231"/>
      <c r="T221" s="231"/>
      <c r="U221" s="231"/>
      <c r="V221" s="231"/>
      <c r="W221" s="231"/>
      <c r="X221" s="231"/>
      <c r="Y221" s="231"/>
      <c r="Z221" s="231"/>
      <c r="AA221" s="231"/>
      <c r="AB221" s="231"/>
      <c r="AC221" s="231"/>
      <c r="AD221" s="231"/>
      <c r="AE221" s="231"/>
      <c r="AF221" s="231"/>
      <c r="AG221" s="231"/>
      <c r="AH221" s="231"/>
      <c r="AI221" s="231"/>
      <c r="AJ221" s="231"/>
      <c r="AK221" s="231"/>
      <c r="AL221" s="231"/>
      <c r="AM221" s="231"/>
      <c r="AN221" s="231"/>
    </row>
    <row r="222" spans="1:40" s="203" customFormat="1">
      <c r="A222" s="109"/>
      <c r="B222" s="132"/>
      <c r="C222" s="132"/>
      <c r="D222" s="132"/>
      <c r="E222" s="859"/>
      <c r="F222" s="859"/>
      <c r="G222" s="130"/>
      <c r="H222" s="859"/>
      <c r="I222" s="130"/>
      <c r="J222" s="231"/>
      <c r="K222" s="231"/>
      <c r="L222" s="231"/>
      <c r="M222" s="231"/>
      <c r="N222" s="231"/>
      <c r="O222" s="231"/>
      <c r="P222" s="231"/>
      <c r="Q222" s="231"/>
      <c r="R222" s="231"/>
      <c r="S222" s="231"/>
      <c r="T222" s="231"/>
      <c r="U222" s="231"/>
      <c r="V222" s="231"/>
      <c r="W222" s="231"/>
      <c r="X222" s="231"/>
      <c r="Y222" s="231"/>
      <c r="Z222" s="231"/>
      <c r="AA222" s="231"/>
      <c r="AB222" s="231"/>
      <c r="AC222" s="231"/>
      <c r="AD222" s="231"/>
      <c r="AE222" s="231"/>
      <c r="AF222" s="231"/>
      <c r="AG222" s="231"/>
      <c r="AH222" s="231"/>
      <c r="AI222" s="231"/>
      <c r="AJ222" s="231"/>
      <c r="AK222" s="231"/>
      <c r="AL222" s="231"/>
      <c r="AM222" s="231"/>
      <c r="AN222" s="231"/>
    </row>
    <row r="223" spans="1:40" s="203" customFormat="1">
      <c r="A223" s="154" t="s">
        <v>179</v>
      </c>
      <c r="B223" s="116"/>
      <c r="C223" s="116"/>
      <c r="D223" s="116"/>
      <c r="E223" s="859"/>
      <c r="F223" s="859"/>
      <c r="G223" s="130"/>
      <c r="H223" s="859"/>
      <c r="I223" s="130"/>
      <c r="J223" s="231"/>
      <c r="K223" s="231"/>
      <c r="L223" s="231"/>
      <c r="M223" s="231"/>
      <c r="N223" s="231"/>
      <c r="O223" s="231"/>
      <c r="P223" s="231"/>
      <c r="Q223" s="231"/>
      <c r="R223" s="231"/>
      <c r="S223" s="231"/>
      <c r="T223" s="231"/>
      <c r="U223" s="231"/>
      <c r="V223" s="231"/>
      <c r="W223" s="231"/>
      <c r="X223" s="231"/>
      <c r="Y223" s="231"/>
      <c r="Z223" s="231"/>
      <c r="AA223" s="231"/>
      <c r="AB223" s="231"/>
      <c r="AC223" s="231"/>
      <c r="AD223" s="231"/>
      <c r="AE223" s="231"/>
      <c r="AF223" s="231"/>
      <c r="AG223" s="231"/>
      <c r="AH223" s="231"/>
      <c r="AI223" s="231"/>
      <c r="AJ223" s="231"/>
      <c r="AK223" s="231"/>
      <c r="AL223" s="231"/>
      <c r="AM223" s="231"/>
      <c r="AN223" s="231"/>
    </row>
    <row r="224" spans="1:40" s="203" customFormat="1">
      <c r="A224" s="109" t="s">
        <v>83</v>
      </c>
      <c r="B224" s="47"/>
      <c r="C224" s="47"/>
      <c r="D224" s="47"/>
      <c r="E224" s="859"/>
      <c r="F224" s="859"/>
      <c r="G224" s="130"/>
      <c r="H224" s="859"/>
      <c r="I224" s="130"/>
      <c r="J224" s="231"/>
      <c r="K224" s="231"/>
      <c r="L224" s="231"/>
      <c r="M224" s="231"/>
      <c r="N224" s="231"/>
      <c r="O224" s="231"/>
      <c r="P224" s="231"/>
      <c r="Q224" s="231"/>
      <c r="R224" s="231"/>
      <c r="S224" s="231"/>
      <c r="T224" s="231"/>
      <c r="U224" s="231"/>
      <c r="V224" s="231"/>
      <c r="W224" s="231"/>
      <c r="X224" s="231"/>
      <c r="Y224" s="231"/>
      <c r="Z224" s="231"/>
      <c r="AA224" s="231"/>
      <c r="AB224" s="231"/>
      <c r="AC224" s="231"/>
      <c r="AD224" s="231"/>
      <c r="AE224" s="231"/>
      <c r="AF224" s="231"/>
      <c r="AG224" s="231"/>
      <c r="AH224" s="231"/>
      <c r="AI224" s="231"/>
      <c r="AJ224" s="231"/>
      <c r="AK224" s="231"/>
      <c r="AL224" s="231"/>
      <c r="AM224" s="231"/>
      <c r="AN224" s="231"/>
    </row>
    <row r="225" spans="1:40" s="203" customFormat="1">
      <c r="A225" s="110" t="s">
        <v>84</v>
      </c>
      <c r="B225" s="132"/>
      <c r="C225" s="132"/>
      <c r="D225" s="132"/>
      <c r="E225" s="860"/>
      <c r="F225" s="860"/>
      <c r="G225" s="130"/>
      <c r="H225" s="860"/>
      <c r="I225" s="130"/>
      <c r="J225" s="231"/>
      <c r="K225" s="231"/>
      <c r="L225" s="231"/>
      <c r="M225" s="231"/>
      <c r="N225" s="231"/>
      <c r="O225" s="231"/>
      <c r="P225" s="231"/>
      <c r="Q225" s="231"/>
      <c r="R225" s="231"/>
      <c r="S225" s="231"/>
      <c r="T225" s="231"/>
      <c r="U225" s="231"/>
      <c r="V225" s="231"/>
      <c r="W225" s="231"/>
      <c r="X225" s="231"/>
      <c r="Y225" s="231"/>
      <c r="Z225" s="231"/>
      <c r="AA225" s="231"/>
      <c r="AB225" s="231"/>
      <c r="AC225" s="231"/>
      <c r="AD225" s="231"/>
      <c r="AE225" s="231"/>
      <c r="AF225" s="231"/>
      <c r="AG225" s="231"/>
      <c r="AH225" s="231"/>
      <c r="AI225" s="231"/>
      <c r="AJ225" s="231"/>
      <c r="AK225" s="231"/>
      <c r="AL225" s="231"/>
      <c r="AM225" s="231"/>
      <c r="AN225" s="231"/>
    </row>
    <row r="226" spans="1:40" s="203" customFormat="1">
      <c r="A226" s="120">
        <v>1</v>
      </c>
      <c r="B226" s="47" t="s">
        <v>180</v>
      </c>
      <c r="C226" s="47"/>
      <c r="D226" s="47"/>
      <c r="E226" s="41">
        <v>272</v>
      </c>
      <c r="F226" s="52">
        <v>492</v>
      </c>
      <c r="G226" s="118"/>
      <c r="H226" s="133">
        <v>206</v>
      </c>
      <c r="I226" s="29"/>
      <c r="J226" s="231"/>
      <c r="K226" s="231"/>
      <c r="L226" s="231"/>
      <c r="M226" s="231"/>
      <c r="N226" s="231"/>
      <c r="O226" s="231"/>
      <c r="P226" s="231"/>
      <c r="Q226" s="231"/>
      <c r="R226" s="231"/>
      <c r="S226" s="231"/>
      <c r="T226" s="231"/>
      <c r="U226" s="231"/>
      <c r="V226" s="231"/>
      <c r="W226" s="231"/>
      <c r="X226" s="231"/>
      <c r="Y226" s="231"/>
      <c r="Z226" s="231"/>
      <c r="AA226" s="231"/>
      <c r="AB226" s="231"/>
      <c r="AC226" s="231"/>
      <c r="AD226" s="231"/>
      <c r="AE226" s="231"/>
      <c r="AF226" s="231"/>
      <c r="AG226" s="231"/>
      <c r="AH226" s="231"/>
      <c r="AI226" s="231"/>
      <c r="AJ226" s="231"/>
      <c r="AK226" s="231"/>
      <c r="AL226" s="231"/>
      <c r="AM226" s="231"/>
      <c r="AN226" s="231"/>
    </row>
    <row r="227" spans="1:40" s="203" customFormat="1">
      <c r="A227" s="120">
        <v>2</v>
      </c>
      <c r="B227" s="47" t="s">
        <v>181</v>
      </c>
      <c r="C227" s="47"/>
      <c r="D227" s="47"/>
      <c r="E227" s="49">
        <v>1186</v>
      </c>
      <c r="F227" s="52">
        <v>1164</v>
      </c>
      <c r="G227" s="118"/>
      <c r="H227" s="122">
        <v>1202</v>
      </c>
      <c r="I227" s="29"/>
      <c r="J227" s="231"/>
      <c r="K227" s="231"/>
      <c r="L227" s="231"/>
      <c r="M227" s="231"/>
      <c r="N227" s="231"/>
      <c r="O227" s="231"/>
      <c r="P227" s="231"/>
      <c r="Q227" s="231"/>
      <c r="R227" s="231"/>
      <c r="S227" s="231"/>
      <c r="T227" s="231"/>
      <c r="U227" s="231"/>
      <c r="V227" s="231"/>
      <c r="W227" s="231"/>
      <c r="X227" s="231"/>
      <c r="Y227" s="231"/>
      <c r="Z227" s="231"/>
      <c r="AA227" s="231"/>
      <c r="AB227" s="231"/>
      <c r="AC227" s="231"/>
      <c r="AD227" s="231"/>
      <c r="AE227" s="231"/>
      <c r="AF227" s="231"/>
      <c r="AG227" s="231"/>
      <c r="AH227" s="231"/>
      <c r="AI227" s="231"/>
      <c r="AJ227" s="231"/>
      <c r="AK227" s="231"/>
      <c r="AL227" s="231"/>
      <c r="AM227" s="231"/>
      <c r="AN227" s="231"/>
    </row>
    <row r="228" spans="1:40" s="203" customFormat="1">
      <c r="A228" s="120">
        <v>3</v>
      </c>
      <c r="B228" s="47" t="s">
        <v>182</v>
      </c>
      <c r="C228" s="47"/>
      <c r="D228" s="47"/>
      <c r="E228" s="114">
        <v>932</v>
      </c>
      <c r="F228" s="52">
        <v>919</v>
      </c>
      <c r="G228" s="118"/>
      <c r="H228" s="122">
        <v>993</v>
      </c>
      <c r="I228" s="29"/>
      <c r="J228" s="231"/>
      <c r="K228" s="231"/>
      <c r="L228" s="231"/>
      <c r="M228" s="231"/>
      <c r="N228" s="231"/>
      <c r="O228" s="231"/>
      <c r="P228" s="231"/>
      <c r="Q228" s="231"/>
      <c r="R228" s="231"/>
      <c r="S228" s="231"/>
      <c r="T228" s="231"/>
      <c r="U228" s="231"/>
      <c r="V228" s="231"/>
      <c r="W228" s="231"/>
      <c r="X228" s="231"/>
      <c r="Y228" s="231"/>
      <c r="Z228" s="231"/>
      <c r="AA228" s="231"/>
      <c r="AB228" s="231"/>
      <c r="AC228" s="231"/>
      <c r="AD228" s="231"/>
      <c r="AE228" s="231"/>
      <c r="AF228" s="231"/>
      <c r="AG228" s="231"/>
      <c r="AH228" s="231"/>
      <c r="AI228" s="231"/>
      <c r="AJ228" s="231"/>
      <c r="AK228" s="231"/>
      <c r="AL228" s="231"/>
      <c r="AM228" s="231"/>
      <c r="AN228" s="231"/>
    </row>
    <row r="229" spans="1:40" s="203" customFormat="1">
      <c r="A229" s="120">
        <v>4</v>
      </c>
      <c r="B229" s="47" t="s">
        <v>183</v>
      </c>
      <c r="C229" s="47"/>
      <c r="D229" s="47"/>
      <c r="E229" s="114">
        <v>424</v>
      </c>
      <c r="F229" s="52">
        <v>1943</v>
      </c>
      <c r="G229" s="118"/>
      <c r="H229" s="122">
        <v>1722</v>
      </c>
      <c r="I229" s="29"/>
      <c r="J229" s="231"/>
      <c r="K229" s="231"/>
      <c r="L229" s="231"/>
      <c r="M229" s="231"/>
      <c r="N229" s="231"/>
      <c r="O229" s="231"/>
      <c r="P229" s="231"/>
      <c r="Q229" s="231"/>
      <c r="R229" s="231"/>
      <c r="S229" s="231"/>
      <c r="T229" s="231"/>
      <c r="U229" s="231"/>
      <c r="V229" s="231"/>
      <c r="W229" s="231"/>
      <c r="X229" s="231"/>
      <c r="Y229" s="231"/>
      <c r="Z229" s="231"/>
      <c r="AA229" s="231"/>
      <c r="AB229" s="231"/>
      <c r="AC229" s="231"/>
      <c r="AD229" s="231"/>
      <c r="AE229" s="231"/>
      <c r="AF229" s="231"/>
      <c r="AG229" s="231"/>
      <c r="AH229" s="231"/>
      <c r="AI229" s="231"/>
      <c r="AJ229" s="231"/>
      <c r="AK229" s="231"/>
      <c r="AL229" s="231"/>
      <c r="AM229" s="231"/>
      <c r="AN229" s="231"/>
    </row>
    <row r="230" spans="1:40" s="203" customFormat="1">
      <c r="A230" s="120">
        <v>5</v>
      </c>
      <c r="B230" s="47" t="s">
        <v>184</v>
      </c>
      <c r="C230" s="47"/>
      <c r="D230" s="47"/>
      <c r="E230" s="114">
        <v>1917</v>
      </c>
      <c r="F230" s="52">
        <v>1557</v>
      </c>
      <c r="G230" s="118"/>
      <c r="H230" s="99">
        <v>1356</v>
      </c>
      <c r="I230" s="29"/>
      <c r="J230" s="231"/>
      <c r="K230" s="231"/>
      <c r="L230" s="231"/>
      <c r="M230" s="231"/>
      <c r="N230" s="231"/>
      <c r="O230" s="231"/>
      <c r="P230" s="231"/>
      <c r="Q230" s="231"/>
      <c r="R230" s="231"/>
      <c r="S230" s="231"/>
      <c r="T230" s="231"/>
      <c r="U230" s="231"/>
      <c r="V230" s="231"/>
      <c r="W230" s="231"/>
      <c r="X230" s="231"/>
      <c r="Y230" s="231"/>
      <c r="Z230" s="231"/>
      <c r="AA230" s="231"/>
      <c r="AB230" s="231"/>
      <c r="AC230" s="231"/>
      <c r="AD230" s="231"/>
      <c r="AE230" s="231"/>
      <c r="AF230" s="231"/>
      <c r="AG230" s="231"/>
      <c r="AH230" s="231"/>
      <c r="AI230" s="231"/>
      <c r="AJ230" s="231"/>
      <c r="AK230" s="231"/>
      <c r="AL230" s="231"/>
      <c r="AM230" s="231"/>
      <c r="AN230" s="231"/>
    </row>
    <row r="231" spans="1:40" s="203" customFormat="1">
      <c r="A231" s="124">
        <v>6</v>
      </c>
      <c r="B231" s="173" t="s">
        <v>185</v>
      </c>
      <c r="C231" s="173"/>
      <c r="D231" s="173"/>
      <c r="E231" s="159">
        <v>4731</v>
      </c>
      <c r="F231" s="61">
        <f>SUM(F226:F230)</f>
        <v>6075</v>
      </c>
      <c r="G231" s="118"/>
      <c r="H231" s="61">
        <f>SUM(H226:H230)</f>
        <v>5479</v>
      </c>
      <c r="I231" s="29"/>
      <c r="J231" s="231"/>
      <c r="K231" s="231"/>
      <c r="L231" s="231"/>
      <c r="M231" s="231"/>
      <c r="N231" s="231"/>
      <c r="O231" s="231"/>
      <c r="P231" s="231"/>
      <c r="Q231" s="231"/>
      <c r="R231" s="231"/>
      <c r="S231" s="231"/>
      <c r="T231" s="231"/>
      <c r="U231" s="231"/>
      <c r="V231" s="231"/>
      <c r="W231" s="231"/>
      <c r="X231" s="231"/>
      <c r="Y231" s="231"/>
      <c r="Z231" s="231"/>
      <c r="AA231" s="231"/>
      <c r="AB231" s="231"/>
      <c r="AC231" s="231"/>
      <c r="AD231" s="231"/>
      <c r="AE231" s="231"/>
      <c r="AF231" s="231"/>
      <c r="AG231" s="231"/>
      <c r="AH231" s="231"/>
      <c r="AI231" s="231"/>
      <c r="AJ231" s="231"/>
      <c r="AK231" s="231"/>
      <c r="AL231" s="231"/>
      <c r="AM231" s="231"/>
      <c r="AN231" s="231"/>
    </row>
    <row r="232" spans="1:40" s="203" customFormat="1">
      <c r="A232" s="148"/>
      <c r="B232" s="29"/>
      <c r="C232" s="29"/>
      <c r="D232" s="170"/>
      <c r="E232" s="150"/>
      <c r="F232" s="29"/>
      <c r="G232" s="29"/>
      <c r="H232" s="207"/>
      <c r="I232" s="29"/>
      <c r="J232" s="231"/>
      <c r="K232" s="231"/>
      <c r="L232" s="231"/>
      <c r="M232" s="231"/>
      <c r="N232" s="231"/>
      <c r="O232" s="231"/>
      <c r="P232" s="231"/>
      <c r="Q232" s="231"/>
      <c r="R232" s="231"/>
      <c r="S232" s="231"/>
      <c r="T232" s="231"/>
      <c r="U232" s="231"/>
      <c r="V232" s="231"/>
      <c r="W232" s="231"/>
      <c r="X232" s="231"/>
      <c r="Y232" s="231"/>
      <c r="Z232" s="231"/>
      <c r="AA232" s="231"/>
      <c r="AB232" s="231"/>
      <c r="AC232" s="231"/>
      <c r="AD232" s="231"/>
      <c r="AE232" s="231"/>
      <c r="AF232" s="231"/>
      <c r="AG232" s="231"/>
      <c r="AH232" s="231"/>
      <c r="AI232" s="231"/>
      <c r="AJ232" s="231"/>
      <c r="AK232" s="231"/>
      <c r="AL232" s="231"/>
      <c r="AM232" s="231"/>
      <c r="AN232" s="231"/>
    </row>
    <row r="233" spans="1:40" s="203" customFormat="1">
      <c r="A233" s="148"/>
      <c r="B233" s="29"/>
      <c r="C233" s="29"/>
      <c r="D233" s="172"/>
      <c r="E233" s="152"/>
      <c r="F233" s="29"/>
      <c r="G233" s="29"/>
      <c r="H233" s="131" t="s">
        <v>27</v>
      </c>
      <c r="I233" s="29"/>
      <c r="J233" s="231"/>
      <c r="K233" s="231"/>
      <c r="L233" s="231"/>
      <c r="M233" s="231"/>
      <c r="N233" s="231"/>
      <c r="O233" s="231"/>
      <c r="P233" s="231"/>
      <c r="Q233" s="231"/>
      <c r="R233" s="231"/>
      <c r="S233" s="231"/>
      <c r="T233" s="231"/>
      <c r="U233" s="231"/>
      <c r="V233" s="231"/>
      <c r="W233" s="231"/>
      <c r="X233" s="231"/>
      <c r="Y233" s="231"/>
      <c r="Z233" s="231"/>
      <c r="AA233" s="231"/>
      <c r="AB233" s="231"/>
      <c r="AC233" s="231"/>
      <c r="AD233" s="231"/>
      <c r="AE233" s="231"/>
      <c r="AF233" s="231"/>
      <c r="AG233" s="231"/>
      <c r="AH233" s="231"/>
      <c r="AI233" s="231"/>
      <c r="AJ233" s="231"/>
      <c r="AK233" s="231"/>
      <c r="AL233" s="231"/>
      <c r="AM233" s="231"/>
      <c r="AN233" s="231"/>
    </row>
    <row r="234" spans="1:40" s="203" customFormat="1" ht="12.75" customHeight="1">
      <c r="A234" s="106" t="s">
        <v>12</v>
      </c>
      <c r="B234" s="164"/>
      <c r="C234" s="164"/>
      <c r="D234" s="164"/>
      <c r="E234" s="856" t="s">
        <v>377</v>
      </c>
      <c r="F234" s="856" t="s">
        <v>402</v>
      </c>
      <c r="G234" s="130"/>
      <c r="H234" s="856" t="s">
        <v>403</v>
      </c>
      <c r="I234" s="130"/>
      <c r="J234" s="231"/>
      <c r="K234" s="231"/>
      <c r="L234" s="231"/>
      <c r="M234" s="231"/>
      <c r="N234" s="231"/>
      <c r="O234" s="231"/>
      <c r="P234" s="231"/>
      <c r="Q234" s="231"/>
      <c r="R234" s="231"/>
      <c r="S234" s="231"/>
      <c r="T234" s="231"/>
      <c r="U234" s="231"/>
      <c r="V234" s="231"/>
      <c r="W234" s="231"/>
      <c r="X234" s="231"/>
      <c r="Y234" s="231"/>
      <c r="Z234" s="231"/>
      <c r="AA234" s="231"/>
      <c r="AB234" s="231"/>
      <c r="AC234" s="231"/>
      <c r="AD234" s="231"/>
      <c r="AE234" s="231"/>
      <c r="AF234" s="231"/>
      <c r="AG234" s="231"/>
      <c r="AH234" s="231"/>
      <c r="AI234" s="231"/>
      <c r="AJ234" s="231"/>
      <c r="AK234" s="231"/>
      <c r="AL234" s="231"/>
      <c r="AM234" s="231"/>
      <c r="AN234" s="231"/>
    </row>
    <row r="235" spans="1:40" s="203" customFormat="1">
      <c r="A235" s="165"/>
      <c r="B235" s="47"/>
      <c r="C235" s="47"/>
      <c r="D235" s="47"/>
      <c r="E235" s="859"/>
      <c r="F235" s="859"/>
      <c r="G235" s="130"/>
      <c r="H235" s="859"/>
      <c r="I235" s="130"/>
      <c r="J235" s="231"/>
      <c r="K235" s="231"/>
      <c r="L235" s="231"/>
      <c r="M235" s="231"/>
      <c r="N235" s="231"/>
      <c r="O235" s="231"/>
      <c r="P235" s="231"/>
      <c r="Q235" s="231"/>
      <c r="R235" s="231"/>
      <c r="S235" s="231"/>
      <c r="T235" s="231"/>
      <c r="U235" s="231"/>
      <c r="V235" s="231"/>
      <c r="W235" s="231"/>
      <c r="X235" s="231"/>
      <c r="Y235" s="231"/>
      <c r="Z235" s="231"/>
      <c r="AA235" s="231"/>
      <c r="AB235" s="231"/>
      <c r="AC235" s="231"/>
      <c r="AD235" s="231"/>
      <c r="AE235" s="231"/>
      <c r="AF235" s="231"/>
      <c r="AG235" s="231"/>
      <c r="AH235" s="231"/>
      <c r="AI235" s="231"/>
      <c r="AJ235" s="231"/>
      <c r="AK235" s="231"/>
      <c r="AL235" s="231"/>
      <c r="AM235" s="231"/>
      <c r="AN235" s="231"/>
    </row>
    <row r="236" spans="1:40" s="203" customFormat="1">
      <c r="A236" s="154" t="s">
        <v>186</v>
      </c>
      <c r="B236" s="174"/>
      <c r="C236" s="174"/>
      <c r="D236" s="174"/>
      <c r="E236" s="859"/>
      <c r="F236" s="859"/>
      <c r="G236" s="130"/>
      <c r="H236" s="859"/>
      <c r="I236" s="130"/>
      <c r="J236" s="231"/>
      <c r="K236" s="231"/>
      <c r="L236" s="231"/>
      <c r="M236" s="231"/>
      <c r="N236" s="231"/>
      <c r="O236" s="231"/>
      <c r="P236" s="231"/>
      <c r="Q236" s="231"/>
      <c r="R236" s="231"/>
      <c r="S236" s="231"/>
      <c r="T236" s="231"/>
      <c r="U236" s="231"/>
      <c r="V236" s="231"/>
      <c r="W236" s="231"/>
      <c r="X236" s="231"/>
      <c r="Y236" s="231"/>
      <c r="Z236" s="231"/>
      <c r="AA236" s="231"/>
      <c r="AB236" s="231"/>
      <c r="AC236" s="231"/>
      <c r="AD236" s="231"/>
      <c r="AE236" s="231"/>
      <c r="AF236" s="231"/>
      <c r="AG236" s="231"/>
      <c r="AH236" s="231"/>
      <c r="AI236" s="231"/>
      <c r="AJ236" s="231"/>
      <c r="AK236" s="231"/>
      <c r="AL236" s="231"/>
      <c r="AM236" s="231"/>
      <c r="AN236" s="231"/>
    </row>
    <row r="237" spans="1:40" s="203" customFormat="1">
      <c r="A237" s="109" t="s">
        <v>83</v>
      </c>
      <c r="B237" s="47"/>
      <c r="C237" s="47"/>
      <c r="D237" s="47"/>
      <c r="E237" s="859"/>
      <c r="F237" s="859"/>
      <c r="G237" s="130"/>
      <c r="H237" s="859"/>
      <c r="I237" s="130"/>
      <c r="J237" s="231"/>
      <c r="K237" s="231"/>
      <c r="L237" s="231"/>
      <c r="M237" s="231"/>
      <c r="N237" s="231"/>
      <c r="O237" s="231"/>
      <c r="P237" s="231"/>
      <c r="Q237" s="231"/>
      <c r="R237" s="231"/>
      <c r="S237" s="231"/>
      <c r="T237" s="231"/>
      <c r="U237" s="231"/>
      <c r="V237" s="231"/>
      <c r="W237" s="231"/>
      <c r="X237" s="231"/>
      <c r="Y237" s="231"/>
      <c r="Z237" s="231"/>
      <c r="AA237" s="231"/>
      <c r="AB237" s="231"/>
      <c r="AC237" s="231"/>
      <c r="AD237" s="231"/>
      <c r="AE237" s="231"/>
      <c r="AF237" s="231"/>
      <c r="AG237" s="231"/>
      <c r="AH237" s="231"/>
      <c r="AI237" s="231"/>
      <c r="AJ237" s="231"/>
      <c r="AK237" s="231"/>
      <c r="AL237" s="231"/>
      <c r="AM237" s="231"/>
      <c r="AN237" s="231"/>
    </row>
    <row r="238" spans="1:40" s="203" customFormat="1">
      <c r="A238" s="110" t="s">
        <v>84</v>
      </c>
      <c r="B238" s="174"/>
      <c r="C238" s="174"/>
      <c r="D238" s="174"/>
      <c r="E238" s="860"/>
      <c r="F238" s="860"/>
      <c r="G238" s="130"/>
      <c r="H238" s="860"/>
      <c r="I238" s="130"/>
      <c r="J238" s="231"/>
      <c r="K238" s="231"/>
      <c r="L238" s="231"/>
      <c r="M238" s="231"/>
      <c r="N238" s="231"/>
      <c r="O238" s="231"/>
      <c r="P238" s="231"/>
      <c r="Q238" s="231"/>
      <c r="R238" s="231"/>
      <c r="S238" s="231"/>
      <c r="T238" s="231"/>
      <c r="U238" s="231"/>
      <c r="V238" s="231"/>
      <c r="W238" s="231"/>
      <c r="X238" s="231"/>
      <c r="Y238" s="231"/>
      <c r="Z238" s="231"/>
      <c r="AA238" s="231"/>
      <c r="AB238" s="231"/>
      <c r="AC238" s="231"/>
      <c r="AD238" s="231"/>
      <c r="AE238" s="231"/>
      <c r="AF238" s="231"/>
      <c r="AG238" s="231"/>
      <c r="AH238" s="231"/>
      <c r="AI238" s="231"/>
      <c r="AJ238" s="231"/>
      <c r="AK238" s="231"/>
      <c r="AL238" s="231"/>
      <c r="AM238" s="231"/>
      <c r="AN238" s="231"/>
    </row>
    <row r="239" spans="1:40" s="203" customFormat="1">
      <c r="A239" s="153" t="s">
        <v>187</v>
      </c>
      <c r="B239" s="116"/>
      <c r="C239" s="116"/>
      <c r="D239" s="116"/>
      <c r="E239" s="167"/>
      <c r="F239" s="146"/>
      <c r="G239" s="118"/>
      <c r="H239" s="146"/>
      <c r="I239" s="29"/>
      <c r="J239" s="231"/>
      <c r="K239" s="231"/>
      <c r="L239" s="231"/>
      <c r="M239" s="231"/>
      <c r="N239" s="231"/>
      <c r="O239" s="231"/>
      <c r="P239" s="231"/>
      <c r="Q239" s="231"/>
      <c r="R239" s="231"/>
      <c r="S239" s="231"/>
      <c r="T239" s="231"/>
      <c r="U239" s="231"/>
      <c r="V239" s="231"/>
      <c r="W239" s="231"/>
      <c r="X239" s="231"/>
      <c r="Y239" s="231"/>
      <c r="Z239" s="231"/>
      <c r="AA239" s="231"/>
      <c r="AB239" s="231"/>
      <c r="AC239" s="231"/>
      <c r="AD239" s="231"/>
      <c r="AE239" s="231"/>
      <c r="AF239" s="231"/>
      <c r="AG239" s="231"/>
      <c r="AH239" s="231"/>
      <c r="AI239" s="231"/>
      <c r="AJ239" s="231"/>
      <c r="AK239" s="231"/>
      <c r="AL239" s="231"/>
      <c r="AM239" s="231"/>
      <c r="AN239" s="231"/>
    </row>
    <row r="240" spans="1:40" s="203" customFormat="1">
      <c r="A240" s="120">
        <v>1</v>
      </c>
      <c r="B240" s="47" t="s">
        <v>188</v>
      </c>
      <c r="C240" s="47"/>
      <c r="D240" s="47"/>
      <c r="E240" s="74">
        <v>738</v>
      </c>
      <c r="F240" s="52">
        <v>776</v>
      </c>
      <c r="G240" s="118"/>
      <c r="H240" s="122">
        <v>757</v>
      </c>
      <c r="I240" s="29"/>
      <c r="J240" s="231"/>
      <c r="K240" s="231"/>
      <c r="L240" s="231"/>
      <c r="M240" s="231"/>
      <c r="N240" s="231"/>
      <c r="O240" s="231"/>
      <c r="P240" s="231"/>
      <c r="Q240" s="231"/>
      <c r="R240" s="231"/>
      <c r="S240" s="231"/>
      <c r="T240" s="231"/>
      <c r="U240" s="231"/>
      <c r="V240" s="231"/>
      <c r="W240" s="231"/>
      <c r="X240" s="231"/>
      <c r="Y240" s="231"/>
      <c r="Z240" s="231"/>
      <c r="AA240" s="231"/>
      <c r="AB240" s="231"/>
      <c r="AC240" s="231"/>
      <c r="AD240" s="231"/>
      <c r="AE240" s="231"/>
      <c r="AF240" s="231"/>
      <c r="AG240" s="231"/>
      <c r="AH240" s="231"/>
      <c r="AI240" s="231"/>
      <c r="AJ240" s="231"/>
      <c r="AK240" s="231"/>
      <c r="AL240" s="231"/>
      <c r="AM240" s="231"/>
      <c r="AN240" s="231"/>
    </row>
    <row r="241" spans="1:40" s="203" customFormat="1">
      <c r="A241" s="656">
        <v>2</v>
      </c>
      <c r="B241" s="47" t="s">
        <v>189</v>
      </c>
      <c r="C241" s="47"/>
      <c r="D241" s="47"/>
      <c r="E241" s="114">
        <v>539</v>
      </c>
      <c r="F241" s="52">
        <v>521</v>
      </c>
      <c r="G241" s="118"/>
      <c r="H241" s="100">
        <v>506</v>
      </c>
      <c r="I241" s="29"/>
      <c r="J241" s="231"/>
      <c r="K241" s="231"/>
      <c r="L241" s="231"/>
      <c r="M241" s="231"/>
      <c r="N241" s="231"/>
      <c r="O241" s="231"/>
      <c r="P241" s="231"/>
      <c r="Q241" s="231"/>
      <c r="R241" s="231"/>
      <c r="S241" s="231"/>
      <c r="T241" s="231"/>
      <c r="U241" s="231"/>
      <c r="V241" s="231"/>
      <c r="W241" s="231"/>
      <c r="X241" s="231"/>
      <c r="Y241" s="231"/>
      <c r="Z241" s="231"/>
      <c r="AA241" s="231"/>
      <c r="AB241" s="231"/>
      <c r="AC241" s="231"/>
      <c r="AD241" s="231"/>
      <c r="AE241" s="231"/>
      <c r="AF241" s="231"/>
      <c r="AG241" s="231"/>
      <c r="AH241" s="231"/>
      <c r="AI241" s="231"/>
      <c r="AJ241" s="231"/>
      <c r="AK241" s="231"/>
      <c r="AL241" s="231"/>
      <c r="AM241" s="231"/>
      <c r="AN241" s="231"/>
    </row>
    <row r="242" spans="1:40" s="203" customFormat="1">
      <c r="A242" s="656">
        <v>3</v>
      </c>
      <c r="B242" s="168" t="s">
        <v>190</v>
      </c>
      <c r="C242" s="168"/>
      <c r="D242" s="168"/>
      <c r="E242" s="80">
        <v>1277</v>
      </c>
      <c r="F242" s="142">
        <f>SUM(F240:F241)</f>
        <v>1297</v>
      </c>
      <c r="G242" s="118"/>
      <c r="H242" s="142">
        <f>SUM(H240:H241)</f>
        <v>1263</v>
      </c>
      <c r="I242" s="29"/>
      <c r="J242" s="231"/>
      <c r="K242" s="231"/>
      <c r="L242" s="231"/>
      <c r="M242" s="231"/>
      <c r="N242" s="231"/>
      <c r="O242" s="231"/>
      <c r="P242" s="231"/>
      <c r="Q242" s="231"/>
      <c r="R242" s="231"/>
      <c r="S242" s="231"/>
      <c r="T242" s="231"/>
      <c r="U242" s="231"/>
      <c r="V242" s="231"/>
      <c r="W242" s="231"/>
      <c r="X242" s="231"/>
      <c r="Y242" s="231"/>
      <c r="Z242" s="231"/>
      <c r="AA242" s="231"/>
      <c r="AB242" s="231"/>
      <c r="AC242" s="231"/>
      <c r="AD242" s="231"/>
      <c r="AE242" s="231"/>
      <c r="AF242" s="231"/>
      <c r="AG242" s="231"/>
      <c r="AH242" s="231"/>
      <c r="AI242" s="231"/>
      <c r="AJ242" s="231"/>
      <c r="AK242" s="231"/>
      <c r="AL242" s="231"/>
      <c r="AM242" s="231"/>
      <c r="AN242" s="231"/>
    </row>
    <row r="243" spans="1:40" s="203" customFormat="1">
      <c r="A243" s="656"/>
      <c r="B243" s="116"/>
      <c r="C243" s="116"/>
      <c r="D243" s="116"/>
      <c r="E243" s="117"/>
      <c r="F243" s="118"/>
      <c r="G243" s="118"/>
      <c r="H243" s="118"/>
      <c r="I243" s="29"/>
      <c r="J243" s="231"/>
      <c r="K243" s="231"/>
      <c r="L243" s="231"/>
      <c r="M243" s="231"/>
      <c r="N243" s="231"/>
      <c r="O243" s="231"/>
      <c r="P243" s="231"/>
      <c r="Q243" s="231"/>
      <c r="R243" s="231"/>
      <c r="S243" s="231"/>
      <c r="T243" s="231"/>
      <c r="U243" s="231"/>
      <c r="V243" s="231"/>
      <c r="W243" s="231"/>
      <c r="X243" s="231"/>
      <c r="Y243" s="231"/>
      <c r="Z243" s="231"/>
      <c r="AA243" s="231"/>
      <c r="AB243" s="231"/>
      <c r="AC243" s="231"/>
      <c r="AD243" s="231"/>
      <c r="AE243" s="231"/>
      <c r="AF243" s="231"/>
      <c r="AG243" s="231"/>
      <c r="AH243" s="231"/>
      <c r="AI243" s="231"/>
      <c r="AJ243" s="231"/>
      <c r="AK243" s="231"/>
      <c r="AL243" s="231"/>
      <c r="AM243" s="231"/>
      <c r="AN243" s="231"/>
    </row>
    <row r="244" spans="1:40" s="203" customFormat="1">
      <c r="A244" s="108" t="s">
        <v>191</v>
      </c>
      <c r="B244" s="47"/>
      <c r="C244" s="47"/>
      <c r="D244" s="47"/>
      <c r="E244" s="140"/>
      <c r="F244" s="146"/>
      <c r="G244" s="118"/>
      <c r="H244" s="146"/>
      <c r="I244" s="29"/>
      <c r="J244" s="231"/>
      <c r="K244" s="231"/>
      <c r="L244" s="231"/>
      <c r="M244" s="231"/>
      <c r="N244" s="231"/>
      <c r="O244" s="231"/>
      <c r="P244" s="231"/>
      <c r="Q244" s="231"/>
      <c r="R244" s="231"/>
      <c r="S244" s="231"/>
      <c r="T244" s="231"/>
      <c r="U244" s="231"/>
      <c r="V244" s="231"/>
      <c r="W244" s="231"/>
      <c r="X244" s="231"/>
      <c r="Y244" s="231"/>
      <c r="Z244" s="231"/>
      <c r="AA244" s="231"/>
      <c r="AB244" s="231"/>
      <c r="AC244" s="231"/>
      <c r="AD244" s="231"/>
      <c r="AE244" s="231"/>
      <c r="AF244" s="231"/>
      <c r="AG244" s="231"/>
      <c r="AH244" s="231"/>
      <c r="AI244" s="231"/>
      <c r="AJ244" s="231"/>
      <c r="AK244" s="231"/>
      <c r="AL244" s="231"/>
      <c r="AM244" s="231"/>
      <c r="AN244" s="231"/>
    </row>
    <row r="245" spans="1:40" s="203" customFormat="1">
      <c r="A245" s="656">
        <v>4</v>
      </c>
      <c r="B245" s="47" t="s">
        <v>192</v>
      </c>
      <c r="C245" s="47"/>
      <c r="D245" s="47"/>
      <c r="E245" s="74">
        <v>0</v>
      </c>
      <c r="F245" s="52">
        <v>0</v>
      </c>
      <c r="G245" s="118"/>
      <c r="H245" s="122">
        <v>0</v>
      </c>
      <c r="I245" s="29"/>
      <c r="J245" s="231"/>
      <c r="K245" s="231"/>
      <c r="L245" s="231"/>
      <c r="M245" s="231"/>
      <c r="N245" s="231"/>
      <c r="O245" s="231"/>
      <c r="P245" s="231"/>
      <c r="Q245" s="231"/>
      <c r="R245" s="231"/>
      <c r="S245" s="231"/>
      <c r="T245" s="231"/>
      <c r="U245" s="231"/>
      <c r="V245" s="231"/>
      <c r="W245" s="231"/>
      <c r="X245" s="231"/>
      <c r="Y245" s="231"/>
      <c r="Z245" s="231"/>
      <c r="AA245" s="231"/>
      <c r="AB245" s="231"/>
      <c r="AC245" s="231"/>
      <c r="AD245" s="231"/>
      <c r="AE245" s="231"/>
      <c r="AF245" s="231"/>
      <c r="AG245" s="231"/>
      <c r="AH245" s="231"/>
      <c r="AI245" s="231"/>
      <c r="AJ245" s="231"/>
      <c r="AK245" s="231"/>
      <c r="AL245" s="231"/>
      <c r="AM245" s="231"/>
      <c r="AN245" s="231"/>
    </row>
    <row r="246" spans="1:40" s="203" customFormat="1">
      <c r="A246" s="656">
        <v>5</v>
      </c>
      <c r="B246" s="47" t="s">
        <v>193</v>
      </c>
      <c r="C246" s="47"/>
      <c r="D246" s="47"/>
      <c r="E246" s="49">
        <v>1214</v>
      </c>
      <c r="F246" s="52">
        <v>1357</v>
      </c>
      <c r="G246" s="118"/>
      <c r="H246" s="100">
        <v>1311</v>
      </c>
      <c r="I246" s="29"/>
      <c r="J246" s="231"/>
      <c r="K246" s="231"/>
      <c r="L246" s="231"/>
      <c r="M246" s="231"/>
      <c r="N246" s="231"/>
      <c r="O246" s="231"/>
      <c r="P246" s="231"/>
      <c r="Q246" s="231"/>
      <c r="R246" s="231"/>
      <c r="S246" s="231"/>
      <c r="T246" s="231"/>
      <c r="U246" s="231"/>
      <c r="V246" s="231"/>
      <c r="W246" s="231"/>
      <c r="X246" s="231"/>
      <c r="Y246" s="231"/>
      <c r="Z246" s="231"/>
      <c r="AA246" s="231"/>
      <c r="AB246" s="231"/>
      <c r="AC246" s="231"/>
      <c r="AD246" s="231"/>
      <c r="AE246" s="231"/>
      <c r="AF246" s="231"/>
      <c r="AG246" s="231"/>
      <c r="AH246" s="231"/>
      <c r="AI246" s="231"/>
      <c r="AJ246" s="231"/>
      <c r="AK246" s="231"/>
      <c r="AL246" s="231"/>
      <c r="AM246" s="231"/>
      <c r="AN246" s="231"/>
    </row>
    <row r="247" spans="1:40" s="203" customFormat="1">
      <c r="A247" s="656">
        <v>6</v>
      </c>
      <c r="B247" s="116" t="s">
        <v>194</v>
      </c>
      <c r="C247" s="116"/>
      <c r="D247" s="116"/>
      <c r="E247" s="80">
        <v>1214</v>
      </c>
      <c r="F247" s="142">
        <f>SUM(F245:F246)</f>
        <v>1357</v>
      </c>
      <c r="G247" s="118"/>
      <c r="H247" s="142">
        <f>SUM(H245:H246)</f>
        <v>1311</v>
      </c>
      <c r="I247" s="29"/>
      <c r="J247" s="231"/>
      <c r="K247" s="231"/>
      <c r="L247" s="231"/>
      <c r="M247" s="231"/>
      <c r="N247" s="231"/>
      <c r="O247" s="231"/>
      <c r="P247" s="231"/>
      <c r="Q247" s="231"/>
      <c r="R247" s="231"/>
      <c r="S247" s="231"/>
      <c r="T247" s="231"/>
      <c r="U247" s="231"/>
      <c r="V247" s="231"/>
      <c r="W247" s="231"/>
      <c r="X247" s="231"/>
      <c r="Y247" s="231"/>
      <c r="Z247" s="231"/>
      <c r="AA247" s="231"/>
      <c r="AB247" s="231"/>
      <c r="AC247" s="231"/>
      <c r="AD247" s="231"/>
      <c r="AE247" s="231"/>
      <c r="AF247" s="231"/>
      <c r="AG247" s="231"/>
      <c r="AH247" s="231"/>
      <c r="AI247" s="231"/>
      <c r="AJ247" s="231"/>
      <c r="AK247" s="231"/>
      <c r="AL247" s="231"/>
      <c r="AM247" s="231"/>
      <c r="AN247" s="231"/>
    </row>
    <row r="248" spans="1:40" s="203" customFormat="1">
      <c r="A248" s="656"/>
      <c r="B248" s="116"/>
      <c r="C248" s="116"/>
      <c r="D248" s="116"/>
      <c r="E248" s="117"/>
      <c r="F248" s="118"/>
      <c r="G248" s="118"/>
      <c r="H248" s="118"/>
      <c r="I248" s="29"/>
      <c r="J248" s="231"/>
      <c r="K248" s="231"/>
      <c r="L248" s="231"/>
      <c r="M248" s="231"/>
      <c r="N248" s="231"/>
      <c r="O248" s="231"/>
      <c r="P248" s="231"/>
      <c r="Q248" s="231"/>
      <c r="R248" s="231"/>
      <c r="S248" s="231"/>
      <c r="T248" s="231"/>
      <c r="U248" s="231"/>
      <c r="V248" s="231"/>
      <c r="W248" s="231"/>
      <c r="X248" s="231"/>
      <c r="Y248" s="231"/>
      <c r="Z248" s="231"/>
      <c r="AA248" s="231"/>
      <c r="AB248" s="231"/>
      <c r="AC248" s="231"/>
      <c r="AD248" s="231"/>
      <c r="AE248" s="231"/>
      <c r="AF248" s="231"/>
      <c r="AG248" s="231"/>
      <c r="AH248" s="231"/>
      <c r="AI248" s="231"/>
      <c r="AJ248" s="231"/>
      <c r="AK248" s="231"/>
      <c r="AL248" s="231"/>
      <c r="AM248" s="231"/>
      <c r="AN248" s="231"/>
    </row>
    <row r="249" spans="1:40" s="203" customFormat="1">
      <c r="A249" s="108" t="s">
        <v>195</v>
      </c>
      <c r="B249" s="116"/>
      <c r="C249" s="116"/>
      <c r="D249" s="116"/>
      <c r="E249" s="140"/>
      <c r="F249" s="146"/>
      <c r="G249" s="118"/>
      <c r="H249" s="146"/>
      <c r="I249" s="29"/>
      <c r="J249" s="231"/>
      <c r="K249" s="231"/>
      <c r="L249" s="231"/>
      <c r="M249" s="231"/>
      <c r="N249" s="231"/>
      <c r="O249" s="231"/>
      <c r="P249" s="231"/>
      <c r="Q249" s="231"/>
      <c r="R249" s="231"/>
      <c r="S249" s="231"/>
      <c r="T249" s="231"/>
      <c r="U249" s="231"/>
      <c r="V249" s="231"/>
      <c r="W249" s="231"/>
      <c r="X249" s="231"/>
      <c r="Y249" s="231"/>
      <c r="Z249" s="231"/>
      <c r="AA249" s="231"/>
      <c r="AB249" s="231"/>
      <c r="AC249" s="231"/>
      <c r="AD249" s="231"/>
      <c r="AE249" s="231"/>
      <c r="AF249" s="231"/>
      <c r="AG249" s="231"/>
      <c r="AH249" s="231"/>
      <c r="AI249" s="231"/>
      <c r="AJ249" s="231"/>
      <c r="AK249" s="231"/>
      <c r="AL249" s="231"/>
      <c r="AM249" s="231"/>
      <c r="AN249" s="231"/>
    </row>
    <row r="250" spans="1:40" s="203" customFormat="1">
      <c r="A250" s="656">
        <v>7</v>
      </c>
      <c r="B250" s="47" t="s">
        <v>196</v>
      </c>
      <c r="C250" s="47"/>
      <c r="D250" s="47"/>
      <c r="E250" s="74">
        <v>275</v>
      </c>
      <c r="F250" s="52">
        <v>437</v>
      </c>
      <c r="G250" s="118"/>
      <c r="H250" s="52">
        <v>428</v>
      </c>
      <c r="I250" s="29"/>
      <c r="J250" s="231"/>
      <c r="K250" s="231"/>
      <c r="L250" s="231"/>
      <c r="M250" s="231"/>
      <c r="N250" s="231"/>
      <c r="O250" s="231"/>
      <c r="P250" s="231"/>
      <c r="Q250" s="231"/>
      <c r="R250" s="231"/>
      <c r="S250" s="231"/>
      <c r="T250" s="231"/>
      <c r="U250" s="231"/>
      <c r="V250" s="231"/>
      <c r="W250" s="231"/>
      <c r="X250" s="231"/>
      <c r="Y250" s="231"/>
      <c r="Z250" s="231"/>
      <c r="AA250" s="231"/>
      <c r="AB250" s="231"/>
      <c r="AC250" s="231"/>
      <c r="AD250" s="231"/>
      <c r="AE250" s="231"/>
      <c r="AF250" s="231"/>
      <c r="AG250" s="231"/>
      <c r="AH250" s="231"/>
      <c r="AI250" s="231"/>
      <c r="AJ250" s="231"/>
      <c r="AK250" s="231"/>
      <c r="AL250" s="231"/>
      <c r="AM250" s="231"/>
      <c r="AN250" s="231"/>
    </row>
    <row r="251" spans="1:40" s="203" customFormat="1">
      <c r="A251" s="656">
        <v>8</v>
      </c>
      <c r="B251" s="47" t="s">
        <v>197</v>
      </c>
      <c r="C251" s="47"/>
      <c r="D251" s="47"/>
      <c r="E251" s="49">
        <v>1073</v>
      </c>
      <c r="F251" s="52">
        <v>762</v>
      </c>
      <c r="G251" s="118"/>
      <c r="H251" s="122">
        <v>649</v>
      </c>
      <c r="I251" s="29"/>
      <c r="J251" s="231"/>
      <c r="K251" s="231"/>
      <c r="L251" s="231"/>
      <c r="M251" s="231"/>
      <c r="N251" s="231"/>
      <c r="O251" s="231"/>
      <c r="P251" s="231"/>
      <c r="Q251" s="231"/>
      <c r="R251" s="231"/>
      <c r="S251" s="231"/>
      <c r="T251" s="231"/>
      <c r="U251" s="231"/>
      <c r="V251" s="231"/>
      <c r="W251" s="231"/>
      <c r="X251" s="231"/>
      <c r="Y251" s="231"/>
      <c r="Z251" s="231"/>
      <c r="AA251" s="231"/>
      <c r="AB251" s="231"/>
      <c r="AC251" s="231"/>
      <c r="AD251" s="231"/>
      <c r="AE251" s="231"/>
      <c r="AF251" s="231"/>
      <c r="AG251" s="231"/>
      <c r="AH251" s="231"/>
      <c r="AI251" s="231"/>
      <c r="AJ251" s="231"/>
      <c r="AK251" s="231"/>
      <c r="AL251" s="231"/>
      <c r="AM251" s="231"/>
      <c r="AN251" s="231"/>
    </row>
    <row r="252" spans="1:40" s="203" customFormat="1">
      <c r="A252" s="656">
        <v>9</v>
      </c>
      <c r="B252" s="47" t="s">
        <v>198</v>
      </c>
      <c r="C252" s="47"/>
      <c r="D252" s="47"/>
      <c r="E252" s="49">
        <v>802</v>
      </c>
      <c r="F252" s="52">
        <v>886</v>
      </c>
      <c r="G252" s="118"/>
      <c r="H252" s="122">
        <v>648</v>
      </c>
      <c r="I252" s="29"/>
      <c r="J252" s="231"/>
      <c r="K252" s="231"/>
      <c r="L252" s="231"/>
      <c r="M252" s="231"/>
      <c r="N252" s="231"/>
      <c r="O252" s="231"/>
      <c r="P252" s="231"/>
      <c r="Q252" s="231"/>
      <c r="R252" s="231"/>
      <c r="S252" s="231"/>
      <c r="T252" s="231"/>
      <c r="U252" s="231"/>
      <c r="V252" s="231"/>
      <c r="W252" s="231"/>
      <c r="X252" s="231"/>
      <c r="Y252" s="231"/>
      <c r="Z252" s="231"/>
      <c r="AA252" s="231"/>
      <c r="AB252" s="231"/>
      <c r="AC252" s="231"/>
      <c r="AD252" s="231"/>
      <c r="AE252" s="231"/>
      <c r="AF252" s="231"/>
      <c r="AG252" s="231"/>
      <c r="AH252" s="231"/>
      <c r="AI252" s="231"/>
      <c r="AJ252" s="231"/>
      <c r="AK252" s="231"/>
      <c r="AL252" s="231"/>
      <c r="AM252" s="231"/>
      <c r="AN252" s="231"/>
    </row>
    <row r="253" spans="1:40" s="203" customFormat="1">
      <c r="A253" s="656">
        <v>10</v>
      </c>
      <c r="B253" s="47" t="s">
        <v>199</v>
      </c>
      <c r="C253" s="47"/>
      <c r="D253" s="47"/>
      <c r="E253" s="49">
        <v>1525</v>
      </c>
      <c r="F253" s="52">
        <v>1667</v>
      </c>
      <c r="G253" s="118"/>
      <c r="H253" s="100">
        <v>1637</v>
      </c>
      <c r="I253" s="29"/>
      <c r="J253" s="231"/>
      <c r="K253" s="231"/>
      <c r="L253" s="231"/>
      <c r="M253" s="231"/>
      <c r="N253" s="231"/>
      <c r="O253" s="231"/>
      <c r="P253" s="231"/>
      <c r="Q253" s="231"/>
      <c r="R253" s="231"/>
      <c r="S253" s="231"/>
      <c r="T253" s="231"/>
      <c r="U253" s="231"/>
      <c r="V253" s="231"/>
      <c r="W253" s="231"/>
      <c r="X253" s="231"/>
      <c r="Y253" s="231"/>
      <c r="Z253" s="231"/>
      <c r="AA253" s="231"/>
      <c r="AB253" s="231"/>
      <c r="AC253" s="231"/>
      <c r="AD253" s="231"/>
      <c r="AE253" s="231"/>
      <c r="AF253" s="231"/>
      <c r="AG253" s="231"/>
      <c r="AH253" s="231"/>
      <c r="AI253" s="231"/>
      <c r="AJ253" s="231"/>
      <c r="AK253" s="231"/>
      <c r="AL253" s="231"/>
      <c r="AM253" s="231"/>
      <c r="AN253" s="231"/>
    </row>
    <row r="254" spans="1:40" s="203" customFormat="1">
      <c r="A254" s="656">
        <v>11</v>
      </c>
      <c r="B254" s="116" t="s">
        <v>200</v>
      </c>
      <c r="C254" s="116"/>
      <c r="D254" s="116"/>
      <c r="E254" s="80">
        <v>3675</v>
      </c>
      <c r="F254" s="142">
        <f>SUM(F250:F253)</f>
        <v>3752</v>
      </c>
      <c r="G254" s="118"/>
      <c r="H254" s="142">
        <f>SUM(H250:H253)</f>
        <v>3362</v>
      </c>
      <c r="I254" s="260"/>
      <c r="J254" s="231"/>
      <c r="K254" s="231"/>
      <c r="L254" s="231"/>
      <c r="M254" s="231"/>
      <c r="N254" s="231"/>
      <c r="O254" s="231"/>
      <c r="P254" s="231"/>
      <c r="Q254" s="231"/>
      <c r="R254" s="231"/>
      <c r="S254" s="231"/>
      <c r="T254" s="231"/>
      <c r="U254" s="231"/>
      <c r="V254" s="231"/>
      <c r="W254" s="231"/>
      <c r="X254" s="231"/>
      <c r="Y254" s="231"/>
      <c r="Z254" s="231"/>
      <c r="AA254" s="231"/>
      <c r="AB254" s="231"/>
      <c r="AC254" s="231"/>
      <c r="AD254" s="231"/>
      <c r="AE254" s="231"/>
      <c r="AF254" s="231"/>
      <c r="AG254" s="231"/>
      <c r="AH254" s="231"/>
      <c r="AI254" s="231"/>
      <c r="AJ254" s="231"/>
      <c r="AK254" s="231"/>
      <c r="AL254" s="231"/>
      <c r="AM254" s="231"/>
      <c r="AN254" s="231"/>
    </row>
    <row r="255" spans="1:40" s="203" customFormat="1">
      <c r="A255" s="656"/>
      <c r="B255" s="116"/>
      <c r="C255" s="116"/>
      <c r="D255" s="116"/>
      <c r="E255" s="117"/>
      <c r="F255" s="118"/>
      <c r="G255" s="118"/>
      <c r="H255" s="118"/>
      <c r="I255" s="29"/>
      <c r="J255" s="231"/>
      <c r="K255" s="231"/>
      <c r="L255" s="231"/>
      <c r="M255" s="231"/>
      <c r="N255" s="231"/>
      <c r="O255" s="231"/>
      <c r="P255" s="231"/>
      <c r="Q255" s="231"/>
      <c r="R255" s="231"/>
      <c r="S255" s="231"/>
      <c r="T255" s="231"/>
      <c r="U255" s="231"/>
      <c r="V255" s="231"/>
      <c r="W255" s="231"/>
      <c r="X255" s="231"/>
      <c r="Y255" s="231"/>
      <c r="Z255" s="231"/>
      <c r="AA255" s="231"/>
      <c r="AB255" s="231"/>
      <c r="AC255" s="231"/>
      <c r="AD255" s="231"/>
      <c r="AE255" s="231"/>
      <c r="AF255" s="231"/>
      <c r="AG255" s="231"/>
      <c r="AH255" s="231"/>
      <c r="AI255" s="231"/>
      <c r="AJ255" s="231"/>
      <c r="AK255" s="231"/>
      <c r="AL255" s="231"/>
      <c r="AM255" s="231"/>
      <c r="AN255" s="231"/>
    </row>
    <row r="256" spans="1:40" s="203" customFormat="1">
      <c r="A256" s="656">
        <v>12</v>
      </c>
      <c r="B256" s="47" t="s">
        <v>201</v>
      </c>
      <c r="C256" s="47"/>
      <c r="D256" s="47"/>
      <c r="E256" s="176">
        <v>1411</v>
      </c>
      <c r="F256" s="136">
        <v>1334</v>
      </c>
      <c r="G256" s="118"/>
      <c r="H256" s="177">
        <v>1296</v>
      </c>
      <c r="I256" s="260"/>
      <c r="J256" s="231"/>
      <c r="K256" s="231"/>
      <c r="L256" s="231"/>
      <c r="M256" s="231"/>
      <c r="N256" s="231"/>
      <c r="O256" s="231"/>
      <c r="P256" s="231"/>
      <c r="Q256" s="231"/>
      <c r="R256" s="231"/>
      <c r="S256" s="231"/>
      <c r="T256" s="231"/>
      <c r="U256" s="231"/>
      <c r="V256" s="231"/>
      <c r="W256" s="231"/>
      <c r="X256" s="231"/>
      <c r="Y256" s="231"/>
      <c r="Z256" s="231"/>
      <c r="AA256" s="231"/>
      <c r="AB256" s="231"/>
      <c r="AC256" s="231"/>
      <c r="AD256" s="231"/>
      <c r="AE256" s="231"/>
      <c r="AF256" s="231"/>
      <c r="AG256" s="231"/>
      <c r="AH256" s="231"/>
      <c r="AI256" s="231"/>
      <c r="AJ256" s="231"/>
      <c r="AK256" s="231"/>
      <c r="AL256" s="231"/>
      <c r="AM256" s="231"/>
      <c r="AN256" s="231"/>
    </row>
    <row r="257" spans="1:40" s="203" customFormat="1">
      <c r="A257" s="124">
        <v>13</v>
      </c>
      <c r="B257" s="94" t="s">
        <v>202</v>
      </c>
      <c r="C257" s="94"/>
      <c r="D257" s="94"/>
      <c r="E257" s="159">
        <v>7577</v>
      </c>
      <c r="F257" s="61">
        <f>F242+F247+F254+F256</f>
        <v>7740</v>
      </c>
      <c r="G257" s="118"/>
      <c r="H257" s="61">
        <f>H242+H247+H254+H256</f>
        <v>7232</v>
      </c>
      <c r="I257" s="21"/>
      <c r="J257" s="231"/>
      <c r="K257" s="231"/>
      <c r="L257" s="231"/>
      <c r="M257" s="231"/>
      <c r="N257" s="231"/>
      <c r="O257" s="231"/>
      <c r="P257" s="231"/>
      <c r="Q257" s="231"/>
      <c r="R257" s="231"/>
      <c r="S257" s="231"/>
      <c r="T257" s="231"/>
      <c r="U257" s="231"/>
      <c r="V257" s="231"/>
      <c r="W257" s="231"/>
      <c r="X257" s="231"/>
      <c r="Y257" s="231"/>
      <c r="Z257" s="231"/>
      <c r="AA257" s="231"/>
      <c r="AB257" s="231"/>
      <c r="AC257" s="231"/>
      <c r="AD257" s="231"/>
      <c r="AE257" s="231"/>
      <c r="AF257" s="231"/>
      <c r="AG257" s="231"/>
      <c r="AH257" s="231"/>
      <c r="AI257" s="231"/>
      <c r="AJ257" s="231"/>
      <c r="AK257" s="231"/>
      <c r="AL257" s="231"/>
      <c r="AM257" s="231"/>
      <c r="AN257" s="231"/>
    </row>
    <row r="258" spans="1:40" s="203" customFormat="1">
      <c r="A258" s="207"/>
      <c r="B258" s="207"/>
      <c r="C258" s="207"/>
      <c r="D258" s="208"/>
      <c r="E258" s="208"/>
      <c r="F258" s="207"/>
      <c r="G258" s="207"/>
      <c r="H258" s="207"/>
      <c r="I258" s="21"/>
      <c r="J258" s="231"/>
      <c r="K258" s="231"/>
      <c r="L258" s="231"/>
      <c r="M258" s="231"/>
      <c r="N258" s="231"/>
      <c r="O258" s="231"/>
      <c r="P258" s="231"/>
      <c r="Q258" s="231"/>
      <c r="R258" s="231"/>
      <c r="S258" s="231"/>
      <c r="T258" s="231"/>
      <c r="U258" s="231"/>
      <c r="V258" s="231"/>
      <c r="W258" s="231"/>
      <c r="X258" s="231"/>
      <c r="Y258" s="231"/>
      <c r="Z258" s="231"/>
      <c r="AA258" s="231"/>
      <c r="AB258" s="231"/>
      <c r="AC258" s="231"/>
      <c r="AD258" s="231"/>
      <c r="AE258" s="231"/>
      <c r="AF258" s="231"/>
      <c r="AG258" s="231"/>
      <c r="AH258" s="231"/>
      <c r="AI258" s="231"/>
      <c r="AJ258" s="231"/>
      <c r="AK258" s="231"/>
      <c r="AL258" s="231"/>
      <c r="AM258" s="231"/>
      <c r="AN258" s="231"/>
    </row>
    <row r="259" spans="1:40" s="203" customFormat="1">
      <c r="A259" s="23"/>
      <c r="B259" s="207"/>
      <c r="C259" s="207"/>
      <c r="D259" s="207"/>
      <c r="E259" s="207"/>
      <c r="F259" s="207"/>
      <c r="G259" s="207"/>
      <c r="H259" s="21"/>
      <c r="I259" s="21"/>
      <c r="J259" s="231"/>
      <c r="K259" s="231"/>
      <c r="L259" s="231"/>
      <c r="M259" s="231"/>
      <c r="N259" s="231"/>
      <c r="O259" s="231"/>
      <c r="P259" s="231"/>
      <c r="Q259" s="231"/>
      <c r="R259" s="231"/>
      <c r="S259" s="231"/>
      <c r="T259" s="231"/>
      <c r="U259" s="231"/>
      <c r="V259" s="231"/>
      <c r="W259" s="231"/>
      <c r="X259" s="231"/>
      <c r="Y259" s="231"/>
      <c r="Z259" s="231"/>
      <c r="AA259" s="231"/>
      <c r="AB259" s="231"/>
      <c r="AC259" s="231"/>
      <c r="AD259" s="231"/>
      <c r="AE259" s="231"/>
      <c r="AF259" s="231"/>
      <c r="AG259" s="231"/>
      <c r="AH259" s="231"/>
      <c r="AI259" s="231"/>
      <c r="AJ259" s="231"/>
      <c r="AK259" s="231"/>
      <c r="AL259" s="231"/>
      <c r="AM259" s="231"/>
      <c r="AN259" s="231"/>
    </row>
    <row r="260" spans="1:40" s="203" customFormat="1">
      <c r="A260" s="148"/>
      <c r="B260" s="29"/>
      <c r="C260" s="29"/>
      <c r="D260" s="172"/>
      <c r="E260" s="152"/>
      <c r="F260" s="29"/>
      <c r="G260" s="29"/>
      <c r="H260" s="131" t="s">
        <v>27</v>
      </c>
      <c r="I260" s="21"/>
      <c r="J260" s="231"/>
      <c r="K260" s="231"/>
      <c r="L260" s="231"/>
      <c r="M260" s="231"/>
      <c r="N260" s="231"/>
      <c r="O260" s="231"/>
      <c r="P260" s="231"/>
      <c r="Q260" s="231"/>
      <c r="R260" s="231"/>
      <c r="S260" s="231"/>
      <c r="T260" s="231"/>
      <c r="U260" s="231"/>
      <c r="V260" s="231"/>
      <c r="W260" s="231"/>
      <c r="X260" s="231"/>
      <c r="Y260" s="231"/>
      <c r="Z260" s="231"/>
      <c r="AA260" s="231"/>
      <c r="AB260" s="231"/>
      <c r="AC260" s="231"/>
      <c r="AD260" s="231"/>
      <c r="AE260" s="231"/>
      <c r="AF260" s="231"/>
      <c r="AG260" s="231"/>
      <c r="AH260" s="231"/>
      <c r="AI260" s="231"/>
      <c r="AJ260" s="231"/>
      <c r="AK260" s="231"/>
      <c r="AL260" s="231"/>
      <c r="AM260" s="231"/>
      <c r="AN260" s="231"/>
    </row>
    <row r="261" spans="1:40" s="203" customFormat="1" ht="12.75" customHeight="1">
      <c r="A261" s="106" t="s">
        <v>15</v>
      </c>
      <c r="B261" s="164"/>
      <c r="C261" s="164"/>
      <c r="D261" s="164"/>
      <c r="E261" s="856" t="s">
        <v>377</v>
      </c>
      <c r="F261" s="856" t="s">
        <v>402</v>
      </c>
      <c r="G261" s="130"/>
      <c r="H261" s="856" t="s">
        <v>403</v>
      </c>
      <c r="I261" s="21"/>
      <c r="J261" s="231"/>
      <c r="K261" s="231"/>
      <c r="L261" s="231"/>
      <c r="M261" s="231"/>
      <c r="N261" s="231"/>
      <c r="O261" s="231"/>
      <c r="P261" s="231"/>
      <c r="Q261" s="231"/>
      <c r="R261" s="231"/>
      <c r="S261" s="231"/>
      <c r="T261" s="231"/>
      <c r="U261" s="231"/>
      <c r="V261" s="231"/>
      <c r="W261" s="231"/>
      <c r="X261" s="231"/>
      <c r="Y261" s="231"/>
      <c r="Z261" s="231"/>
      <c r="AA261" s="231"/>
      <c r="AB261" s="231"/>
      <c r="AC261" s="231"/>
      <c r="AD261" s="231"/>
      <c r="AE261" s="231"/>
      <c r="AF261" s="231"/>
      <c r="AG261" s="231"/>
      <c r="AH261" s="231"/>
      <c r="AI261" s="231"/>
      <c r="AJ261" s="231"/>
      <c r="AK261" s="231"/>
      <c r="AL261" s="231"/>
      <c r="AM261" s="231"/>
      <c r="AN261" s="231"/>
    </row>
    <row r="262" spans="1:40" s="203" customFormat="1">
      <c r="A262" s="165"/>
      <c r="B262" s="47"/>
      <c r="C262" s="47"/>
      <c r="D262" s="47"/>
      <c r="E262" s="859"/>
      <c r="F262" s="859"/>
      <c r="G262" s="130"/>
      <c r="H262" s="859"/>
      <c r="I262" s="21"/>
      <c r="J262" s="231"/>
      <c r="K262" s="231"/>
      <c r="L262" s="231"/>
      <c r="M262" s="231"/>
      <c r="N262" s="231"/>
      <c r="O262" s="231"/>
      <c r="P262" s="231"/>
      <c r="Q262" s="231"/>
      <c r="R262" s="231"/>
      <c r="S262" s="231"/>
      <c r="T262" s="231"/>
      <c r="U262" s="231"/>
      <c r="V262" s="231"/>
      <c r="W262" s="231"/>
      <c r="X262" s="231"/>
      <c r="Y262" s="231"/>
      <c r="Z262" s="231"/>
      <c r="AA262" s="231"/>
      <c r="AB262" s="231"/>
      <c r="AC262" s="231"/>
      <c r="AD262" s="231"/>
      <c r="AE262" s="231"/>
      <c r="AF262" s="231"/>
      <c r="AG262" s="231"/>
      <c r="AH262" s="231"/>
      <c r="AI262" s="231"/>
      <c r="AJ262" s="231"/>
      <c r="AK262" s="231"/>
      <c r="AL262" s="231"/>
      <c r="AM262" s="231"/>
      <c r="AN262" s="231"/>
    </row>
    <row r="263" spans="1:40" s="203" customFormat="1">
      <c r="A263" s="109"/>
      <c r="B263" s="174"/>
      <c r="C263" s="174"/>
      <c r="D263" s="174"/>
      <c r="E263" s="859"/>
      <c r="F263" s="859"/>
      <c r="G263" s="130"/>
      <c r="H263" s="859"/>
      <c r="I263" s="21"/>
      <c r="J263" s="231"/>
      <c r="K263" s="231"/>
      <c r="L263" s="231"/>
      <c r="M263" s="231"/>
      <c r="N263" s="231"/>
      <c r="O263" s="231"/>
      <c r="P263" s="231"/>
      <c r="Q263" s="231"/>
      <c r="R263" s="231"/>
      <c r="S263" s="231"/>
      <c r="T263" s="231"/>
      <c r="U263" s="231"/>
      <c r="V263" s="231"/>
      <c r="W263" s="231"/>
      <c r="X263" s="231"/>
      <c r="Y263" s="231"/>
      <c r="Z263" s="231"/>
      <c r="AA263" s="231"/>
      <c r="AB263" s="231"/>
      <c r="AC263" s="231"/>
      <c r="AD263" s="231"/>
      <c r="AE263" s="231"/>
      <c r="AF263" s="231"/>
      <c r="AG263" s="231"/>
      <c r="AH263" s="231"/>
      <c r="AI263" s="231"/>
      <c r="AJ263" s="231"/>
      <c r="AK263" s="231"/>
      <c r="AL263" s="231"/>
      <c r="AM263" s="231"/>
      <c r="AN263" s="231"/>
    </row>
    <row r="264" spans="1:40" s="203" customFormat="1">
      <c r="A264" s="154" t="s">
        <v>203</v>
      </c>
      <c r="B264" s="47"/>
      <c r="C264" s="47"/>
      <c r="D264" s="47"/>
      <c r="E264" s="859"/>
      <c r="F264" s="859"/>
      <c r="G264" s="130"/>
      <c r="H264" s="859"/>
      <c r="I264" s="21"/>
      <c r="J264" s="231"/>
      <c r="K264" s="231"/>
      <c r="L264" s="231"/>
      <c r="M264" s="231"/>
      <c r="N264" s="231"/>
      <c r="O264" s="231"/>
      <c r="P264" s="231"/>
      <c r="Q264" s="231"/>
      <c r="R264" s="231"/>
      <c r="S264" s="231"/>
      <c r="T264" s="231"/>
      <c r="U264" s="231"/>
      <c r="V264" s="231"/>
      <c r="W264" s="231"/>
      <c r="X264" s="231"/>
      <c r="Y264" s="231"/>
      <c r="Z264" s="231"/>
      <c r="AA264" s="231"/>
      <c r="AB264" s="231"/>
      <c r="AC264" s="231"/>
      <c r="AD264" s="231"/>
      <c r="AE264" s="231"/>
      <c r="AF264" s="231"/>
      <c r="AG264" s="231"/>
      <c r="AH264" s="231"/>
      <c r="AI264" s="231"/>
      <c r="AJ264" s="231"/>
      <c r="AK264" s="231"/>
      <c r="AL264" s="231"/>
      <c r="AM264" s="231"/>
      <c r="AN264" s="231"/>
    </row>
    <row r="265" spans="1:40" s="203" customFormat="1">
      <c r="A265" s="109" t="s">
        <v>83</v>
      </c>
      <c r="B265" s="174"/>
      <c r="C265" s="174"/>
      <c r="D265" s="174"/>
      <c r="E265" s="860"/>
      <c r="F265" s="860"/>
      <c r="G265" s="130"/>
      <c r="H265" s="860"/>
      <c r="I265" s="21"/>
      <c r="J265" s="231"/>
      <c r="K265" s="231"/>
      <c r="L265" s="231"/>
      <c r="M265" s="231"/>
      <c r="N265" s="231"/>
      <c r="O265" s="231"/>
      <c r="P265" s="231"/>
      <c r="Q265" s="231"/>
      <c r="R265" s="231"/>
      <c r="S265" s="231"/>
      <c r="T265" s="231"/>
      <c r="U265" s="231"/>
      <c r="V265" s="231"/>
      <c r="W265" s="231"/>
      <c r="X265" s="231"/>
      <c r="Y265" s="231"/>
      <c r="Z265" s="231"/>
      <c r="AA265" s="231"/>
      <c r="AB265" s="231"/>
      <c r="AC265" s="231"/>
      <c r="AD265" s="231"/>
      <c r="AE265" s="231"/>
      <c r="AF265" s="231"/>
      <c r="AG265" s="231"/>
      <c r="AH265" s="231"/>
      <c r="AI265" s="231"/>
      <c r="AJ265" s="231"/>
      <c r="AK265" s="231"/>
      <c r="AL265" s="231"/>
      <c r="AM265" s="231"/>
      <c r="AN265" s="231"/>
    </row>
    <row r="266" spans="1:40" s="203" customFormat="1">
      <c r="A266" s="110" t="s">
        <v>84</v>
      </c>
      <c r="B266" s="116"/>
      <c r="C266" s="116"/>
      <c r="D266" s="116"/>
      <c r="E266" s="178"/>
      <c r="F266" s="146"/>
      <c r="G266" s="118"/>
      <c r="H266" s="146"/>
      <c r="I266" s="21"/>
      <c r="J266" s="231"/>
      <c r="K266" s="231"/>
      <c r="L266" s="231"/>
      <c r="M266" s="231"/>
      <c r="N266" s="231"/>
      <c r="O266" s="231"/>
      <c r="P266" s="231"/>
      <c r="Q266" s="231"/>
      <c r="R266" s="231"/>
      <c r="S266" s="231"/>
      <c r="T266" s="231"/>
      <c r="U266" s="231"/>
      <c r="V266" s="231"/>
      <c r="W266" s="231"/>
      <c r="X266" s="231"/>
      <c r="Y266" s="231"/>
      <c r="Z266" s="231"/>
      <c r="AA266" s="231"/>
      <c r="AB266" s="231"/>
      <c r="AC266" s="231"/>
      <c r="AD266" s="231"/>
      <c r="AE266" s="231"/>
      <c r="AF266" s="231"/>
      <c r="AG266" s="231"/>
      <c r="AH266" s="231"/>
      <c r="AI266" s="231"/>
      <c r="AJ266" s="231"/>
      <c r="AK266" s="231"/>
      <c r="AL266" s="231"/>
      <c r="AM266" s="231"/>
      <c r="AN266" s="231"/>
    </row>
    <row r="267" spans="1:40" s="203" customFormat="1">
      <c r="A267" s="120">
        <v>1</v>
      </c>
      <c r="B267" s="47" t="s">
        <v>204</v>
      </c>
      <c r="C267" s="47"/>
      <c r="D267" s="47"/>
      <c r="E267" s="74">
        <v>0</v>
      </c>
      <c r="F267" s="52">
        <v>0</v>
      </c>
      <c r="G267" s="118"/>
      <c r="H267" s="122">
        <v>0</v>
      </c>
      <c r="I267" s="21"/>
      <c r="J267" s="231"/>
      <c r="K267" s="231"/>
      <c r="L267" s="231"/>
      <c r="M267" s="231"/>
      <c r="N267" s="231"/>
      <c r="O267" s="231"/>
      <c r="P267" s="231"/>
      <c r="Q267" s="231"/>
      <c r="R267" s="231"/>
      <c r="S267" s="231"/>
      <c r="T267" s="231"/>
      <c r="U267" s="231"/>
      <c r="V267" s="231"/>
      <c r="W267" s="231"/>
      <c r="X267" s="231"/>
      <c r="Y267" s="231"/>
      <c r="Z267" s="231"/>
      <c r="AA267" s="231"/>
      <c r="AB267" s="231"/>
      <c r="AC267" s="231"/>
      <c r="AD267" s="231"/>
      <c r="AE267" s="231"/>
      <c r="AF267" s="231"/>
      <c r="AG267" s="231"/>
      <c r="AH267" s="231"/>
      <c r="AI267" s="231"/>
      <c r="AJ267" s="231"/>
      <c r="AK267" s="231"/>
      <c r="AL267" s="231"/>
      <c r="AM267" s="231"/>
      <c r="AN267" s="231"/>
    </row>
    <row r="268" spans="1:40" s="203" customFormat="1">
      <c r="A268" s="656">
        <v>2</v>
      </c>
      <c r="B268" s="166" t="s">
        <v>205</v>
      </c>
      <c r="C268" s="166"/>
      <c r="D268" s="47"/>
      <c r="E268" s="114">
        <v>0</v>
      </c>
      <c r="F268" s="52">
        <v>0</v>
      </c>
      <c r="G268" s="118"/>
      <c r="H268" s="122">
        <v>0</v>
      </c>
      <c r="I268" s="21"/>
      <c r="J268" s="231"/>
      <c r="K268" s="231"/>
      <c r="L268" s="231"/>
      <c r="M268" s="231"/>
      <c r="N268" s="231"/>
      <c r="O268" s="231"/>
      <c r="P268" s="231"/>
      <c r="Q268" s="231"/>
      <c r="R268" s="231"/>
      <c r="S268" s="231"/>
      <c r="T268" s="231"/>
      <c r="U268" s="231"/>
      <c r="V268" s="231"/>
      <c r="W268" s="231"/>
      <c r="X268" s="231"/>
      <c r="Y268" s="231"/>
      <c r="Z268" s="231"/>
      <c r="AA268" s="231"/>
      <c r="AB268" s="231"/>
      <c r="AC268" s="231"/>
      <c r="AD268" s="231"/>
      <c r="AE268" s="231"/>
      <c r="AF268" s="231"/>
      <c r="AG268" s="231"/>
      <c r="AH268" s="231"/>
      <c r="AI268" s="231"/>
      <c r="AJ268" s="231"/>
      <c r="AK268" s="231"/>
      <c r="AL268" s="231"/>
      <c r="AM268" s="231"/>
      <c r="AN268" s="231"/>
    </row>
    <row r="269" spans="1:40" s="203" customFormat="1">
      <c r="A269" s="120">
        <v>3</v>
      </c>
      <c r="B269" s="47" t="s">
        <v>206</v>
      </c>
      <c r="C269" s="47"/>
      <c r="D269" s="168"/>
      <c r="E269" s="114">
        <v>175</v>
      </c>
      <c r="F269" s="52">
        <v>502</v>
      </c>
      <c r="G269" s="118"/>
      <c r="H269" s="122">
        <v>418</v>
      </c>
      <c r="I269" s="21"/>
      <c r="J269" s="231"/>
      <c r="K269" s="231"/>
      <c r="L269" s="231"/>
      <c r="M269" s="231"/>
      <c r="N269" s="231"/>
      <c r="O269" s="231"/>
      <c r="P269" s="231"/>
      <c r="Q269" s="231"/>
      <c r="R269" s="231"/>
      <c r="S269" s="231"/>
      <c r="T269" s="231"/>
      <c r="U269" s="231"/>
      <c r="V269" s="231"/>
      <c r="W269" s="231"/>
      <c r="X269" s="231"/>
      <c r="Y269" s="231"/>
      <c r="Z269" s="231"/>
      <c r="AA269" s="231"/>
      <c r="AB269" s="231"/>
      <c r="AC269" s="231"/>
      <c r="AD269" s="231"/>
      <c r="AE269" s="231"/>
      <c r="AF269" s="231"/>
      <c r="AG269" s="231"/>
      <c r="AH269" s="231"/>
      <c r="AI269" s="231"/>
      <c r="AJ269" s="231"/>
      <c r="AK269" s="231"/>
      <c r="AL269" s="231"/>
      <c r="AM269" s="231"/>
      <c r="AN269" s="231"/>
    </row>
    <row r="270" spans="1:40" s="203" customFormat="1">
      <c r="A270" s="656">
        <v>4</v>
      </c>
      <c r="B270" s="47" t="s">
        <v>207</v>
      </c>
      <c r="C270" s="47"/>
      <c r="D270" s="116"/>
      <c r="E270" s="114">
        <v>246</v>
      </c>
      <c r="F270" s="52">
        <v>0</v>
      </c>
      <c r="G270" s="118"/>
      <c r="H270" s="122">
        <v>0</v>
      </c>
      <c r="I270" s="21"/>
      <c r="J270" s="231"/>
      <c r="K270" s="231"/>
      <c r="L270" s="231"/>
      <c r="M270" s="231"/>
      <c r="N270" s="231"/>
      <c r="O270" s="231"/>
      <c r="P270" s="231"/>
      <c r="Q270" s="231"/>
      <c r="R270" s="231"/>
      <c r="S270" s="231"/>
      <c r="T270" s="231"/>
      <c r="U270" s="231"/>
      <c r="V270" s="231"/>
      <c r="W270" s="231"/>
      <c r="X270" s="231"/>
      <c r="Y270" s="231"/>
      <c r="Z270" s="231"/>
      <c r="AA270" s="231"/>
      <c r="AB270" s="231"/>
      <c r="AC270" s="231"/>
      <c r="AD270" s="231"/>
      <c r="AE270" s="231"/>
      <c r="AF270" s="231"/>
      <c r="AG270" s="231"/>
      <c r="AH270" s="231"/>
      <c r="AI270" s="231"/>
      <c r="AJ270" s="231"/>
      <c r="AK270" s="231"/>
      <c r="AL270" s="231"/>
      <c r="AM270" s="231"/>
      <c r="AN270" s="231"/>
    </row>
    <row r="271" spans="1:40" s="203" customFormat="1">
      <c r="A271" s="120">
        <v>5</v>
      </c>
      <c r="B271" s="47" t="s">
        <v>208</v>
      </c>
      <c r="C271" s="47"/>
      <c r="D271" s="47"/>
      <c r="E271" s="114">
        <v>574</v>
      </c>
      <c r="F271" s="52">
        <v>567</v>
      </c>
      <c r="G271" s="118"/>
      <c r="H271" s="122">
        <v>566</v>
      </c>
      <c r="I271" s="21"/>
      <c r="J271" s="231"/>
      <c r="K271" s="231"/>
      <c r="L271" s="231"/>
      <c r="M271" s="231"/>
      <c r="N271" s="231"/>
      <c r="O271" s="231"/>
      <c r="P271" s="231"/>
      <c r="Q271" s="231"/>
      <c r="R271" s="231"/>
      <c r="S271" s="231"/>
      <c r="T271" s="231"/>
      <c r="U271" s="231"/>
      <c r="V271" s="231"/>
      <c r="W271" s="231"/>
      <c r="X271" s="231"/>
      <c r="Y271" s="231"/>
      <c r="Z271" s="231"/>
      <c r="AA271" s="231"/>
      <c r="AB271" s="231"/>
      <c r="AC271" s="231"/>
      <c r="AD271" s="231"/>
      <c r="AE271" s="231"/>
      <c r="AF271" s="231"/>
      <c r="AG271" s="231"/>
      <c r="AH271" s="231"/>
      <c r="AI271" s="231"/>
      <c r="AJ271" s="231"/>
      <c r="AK271" s="231"/>
      <c r="AL271" s="231"/>
      <c r="AM271" s="231"/>
      <c r="AN271" s="231"/>
    </row>
    <row r="272" spans="1:40" s="203" customFormat="1">
      <c r="A272" s="656">
        <v>6</v>
      </c>
      <c r="B272" s="47" t="s">
        <v>209</v>
      </c>
      <c r="C272" s="47"/>
      <c r="D272" s="47"/>
      <c r="E272" s="114">
        <v>729</v>
      </c>
      <c r="F272" s="52">
        <v>736</v>
      </c>
      <c r="G272" s="118"/>
      <c r="H272" s="122">
        <v>734</v>
      </c>
      <c r="I272" s="21"/>
      <c r="J272" s="231"/>
      <c r="K272" s="231"/>
      <c r="L272" s="231"/>
      <c r="M272" s="231"/>
      <c r="N272" s="231"/>
      <c r="O272" s="231"/>
      <c r="P272" s="231"/>
      <c r="Q272" s="231"/>
      <c r="R272" s="231"/>
      <c r="S272" s="231"/>
      <c r="T272" s="231"/>
      <c r="U272" s="231"/>
      <c r="V272" s="231"/>
      <c r="W272" s="231"/>
      <c r="X272" s="231"/>
      <c r="Y272" s="231"/>
      <c r="Z272" s="231"/>
      <c r="AA272" s="231"/>
      <c r="AB272" s="231"/>
      <c r="AC272" s="231"/>
      <c r="AD272" s="231"/>
      <c r="AE272" s="231"/>
      <c r="AF272" s="231"/>
      <c r="AG272" s="231"/>
      <c r="AH272" s="231"/>
      <c r="AI272" s="231"/>
      <c r="AJ272" s="231"/>
      <c r="AK272" s="231"/>
      <c r="AL272" s="231"/>
      <c r="AM272" s="231"/>
      <c r="AN272" s="231"/>
    </row>
    <row r="273" spans="1:40" s="203" customFormat="1">
      <c r="A273" s="120">
        <v>7</v>
      </c>
      <c r="B273" s="47" t="s">
        <v>210</v>
      </c>
      <c r="C273" s="47"/>
      <c r="D273" s="47"/>
      <c r="E273" s="114">
        <v>969</v>
      </c>
      <c r="F273" s="52">
        <v>988</v>
      </c>
      <c r="G273" s="118"/>
      <c r="H273" s="122">
        <v>1028</v>
      </c>
      <c r="I273" s="21"/>
      <c r="J273" s="231"/>
      <c r="K273" s="231"/>
      <c r="L273" s="231"/>
      <c r="M273" s="231"/>
      <c r="N273" s="231"/>
      <c r="O273" s="231"/>
      <c r="P273" s="231"/>
      <c r="Q273" s="231"/>
      <c r="R273" s="231"/>
      <c r="S273" s="231"/>
      <c r="T273" s="231"/>
      <c r="U273" s="231"/>
      <c r="V273" s="231"/>
      <c r="W273" s="231"/>
      <c r="X273" s="231"/>
      <c r="Y273" s="231"/>
      <c r="Z273" s="231"/>
      <c r="AA273" s="231"/>
      <c r="AB273" s="231"/>
      <c r="AC273" s="231"/>
      <c r="AD273" s="231"/>
      <c r="AE273" s="231"/>
      <c r="AF273" s="231"/>
      <c r="AG273" s="231"/>
      <c r="AH273" s="231"/>
      <c r="AI273" s="231"/>
      <c r="AJ273" s="231"/>
      <c r="AK273" s="231"/>
      <c r="AL273" s="231"/>
      <c r="AM273" s="231"/>
      <c r="AN273" s="231"/>
    </row>
    <row r="274" spans="1:40" s="203" customFormat="1">
      <c r="A274" s="656">
        <v>8</v>
      </c>
      <c r="B274" s="47" t="s">
        <v>211</v>
      </c>
      <c r="C274" s="47"/>
      <c r="D274" s="47"/>
      <c r="E274" s="114">
        <v>6501</v>
      </c>
      <c r="F274" s="52">
        <v>6447</v>
      </c>
      <c r="G274" s="118"/>
      <c r="H274" s="122">
        <v>6496</v>
      </c>
      <c r="I274" s="21"/>
      <c r="J274" s="231"/>
      <c r="K274" s="231"/>
      <c r="L274" s="231"/>
      <c r="M274" s="231"/>
      <c r="N274" s="231"/>
      <c r="O274" s="231"/>
      <c r="P274" s="231"/>
      <c r="Q274" s="231"/>
      <c r="R274" s="231"/>
      <c r="S274" s="231"/>
      <c r="T274" s="231"/>
      <c r="U274" s="231"/>
      <c r="V274" s="231"/>
      <c r="W274" s="231"/>
      <c r="X274" s="231"/>
      <c r="Y274" s="231"/>
      <c r="Z274" s="231"/>
      <c r="AA274" s="231"/>
      <c r="AB274" s="231"/>
      <c r="AC274" s="231"/>
      <c r="AD274" s="231"/>
      <c r="AE274" s="231"/>
      <c r="AF274" s="231"/>
      <c r="AG274" s="231"/>
      <c r="AH274" s="231"/>
      <c r="AI274" s="231"/>
      <c r="AJ274" s="231"/>
      <c r="AK274" s="231"/>
      <c r="AL274" s="231"/>
      <c r="AM274" s="231"/>
      <c r="AN274" s="231"/>
    </row>
    <row r="275" spans="1:40" s="203" customFormat="1">
      <c r="A275" s="120">
        <v>9</v>
      </c>
      <c r="B275" s="47" t="s">
        <v>212</v>
      </c>
      <c r="C275" s="47"/>
      <c r="D275" s="47"/>
      <c r="E275" s="114">
        <v>0</v>
      </c>
      <c r="F275" s="52">
        <v>0</v>
      </c>
      <c r="G275" s="118"/>
      <c r="H275" s="122">
        <v>0</v>
      </c>
      <c r="I275" s="21"/>
      <c r="J275" s="231"/>
      <c r="K275" s="231"/>
      <c r="L275" s="231"/>
      <c r="M275" s="231"/>
      <c r="N275" s="231"/>
      <c r="O275" s="231"/>
      <c r="P275" s="231"/>
      <c r="Q275" s="231"/>
      <c r="R275" s="231"/>
      <c r="S275" s="231"/>
      <c r="T275" s="231"/>
      <c r="U275" s="231"/>
      <c r="V275" s="231"/>
      <c r="W275" s="231"/>
      <c r="X275" s="231"/>
      <c r="Y275" s="231"/>
      <c r="Z275" s="231"/>
      <c r="AA275" s="231"/>
      <c r="AB275" s="231"/>
      <c r="AC275" s="231"/>
      <c r="AD275" s="231"/>
      <c r="AE275" s="231"/>
      <c r="AF275" s="231"/>
      <c r="AG275" s="231"/>
      <c r="AH275" s="231"/>
      <c r="AI275" s="231"/>
      <c r="AJ275" s="231"/>
      <c r="AK275" s="231"/>
      <c r="AL275" s="231"/>
      <c r="AM275" s="231"/>
      <c r="AN275" s="231"/>
    </row>
    <row r="276" spans="1:40" s="203" customFormat="1">
      <c r="A276" s="656">
        <v>10</v>
      </c>
      <c r="B276" s="47" t="s">
        <v>213</v>
      </c>
      <c r="C276" s="47"/>
      <c r="D276" s="47"/>
      <c r="E276" s="114">
        <v>708</v>
      </c>
      <c r="F276" s="52">
        <v>651</v>
      </c>
      <c r="G276" s="118"/>
      <c r="H276" s="99">
        <v>577</v>
      </c>
      <c r="I276" s="21"/>
      <c r="J276" s="231"/>
      <c r="K276" s="231"/>
      <c r="L276" s="231"/>
      <c r="M276" s="231"/>
      <c r="N276" s="231"/>
      <c r="O276" s="231"/>
      <c r="P276" s="231"/>
      <c r="Q276" s="231"/>
      <c r="R276" s="231"/>
      <c r="S276" s="231"/>
      <c r="T276" s="231"/>
      <c r="U276" s="231"/>
      <c r="V276" s="231"/>
      <c r="W276" s="231"/>
      <c r="X276" s="231"/>
      <c r="Y276" s="231"/>
      <c r="Z276" s="231"/>
      <c r="AA276" s="231"/>
      <c r="AB276" s="231"/>
      <c r="AC276" s="231"/>
      <c r="AD276" s="231"/>
      <c r="AE276" s="231"/>
      <c r="AF276" s="231"/>
      <c r="AG276" s="231"/>
      <c r="AH276" s="231"/>
      <c r="AI276" s="231"/>
      <c r="AJ276" s="231"/>
      <c r="AK276" s="231"/>
      <c r="AL276" s="231"/>
      <c r="AM276" s="231"/>
      <c r="AN276" s="231"/>
    </row>
    <row r="277" spans="1:40" s="203" customFormat="1">
      <c r="A277" s="124">
        <v>11</v>
      </c>
      <c r="B277" s="94" t="s">
        <v>214</v>
      </c>
      <c r="C277" s="94"/>
      <c r="D277" s="94"/>
      <c r="E277" s="159">
        <v>9902</v>
      </c>
      <c r="F277" s="61">
        <f>SUM(F267:F276)</f>
        <v>9891</v>
      </c>
      <c r="G277" s="118"/>
      <c r="H277" s="61">
        <f>SUM(H267:H276)</f>
        <v>9819</v>
      </c>
      <c r="I277" s="21"/>
      <c r="J277" s="231"/>
      <c r="K277" s="231"/>
      <c r="L277" s="231"/>
      <c r="M277" s="231"/>
      <c r="N277" s="231"/>
      <c r="O277" s="231"/>
      <c r="P277" s="231"/>
      <c r="Q277" s="231"/>
      <c r="R277" s="231"/>
      <c r="S277" s="231"/>
      <c r="T277" s="231"/>
      <c r="U277" s="231"/>
      <c r="V277" s="231"/>
      <c r="W277" s="231"/>
      <c r="X277" s="231"/>
      <c r="Y277" s="231"/>
      <c r="Z277" s="231"/>
      <c r="AA277" s="231"/>
      <c r="AB277" s="231"/>
      <c r="AC277" s="231"/>
      <c r="AD277" s="231"/>
      <c r="AE277" s="231"/>
      <c r="AF277" s="231"/>
      <c r="AG277" s="231"/>
      <c r="AH277" s="231"/>
      <c r="AI277" s="231"/>
      <c r="AJ277" s="231"/>
      <c r="AK277" s="231"/>
      <c r="AL277" s="231"/>
      <c r="AM277" s="231"/>
      <c r="AN277" s="231"/>
    </row>
    <row r="278" spans="1:40" s="203" customFormat="1">
      <c r="A278" s="207"/>
      <c r="B278" s="207"/>
      <c r="C278" s="207"/>
      <c r="D278" s="207"/>
      <c r="E278" s="207"/>
      <c r="F278" s="207"/>
      <c r="G278" s="207"/>
      <c r="H278" s="207"/>
      <c r="I278" s="21"/>
      <c r="J278" s="231"/>
      <c r="K278" s="231"/>
      <c r="L278" s="231"/>
      <c r="M278" s="231"/>
      <c r="N278" s="231"/>
      <c r="O278" s="231"/>
      <c r="P278" s="231"/>
      <c r="Q278" s="231"/>
      <c r="R278" s="231"/>
      <c r="S278" s="231"/>
      <c r="T278" s="231"/>
      <c r="U278" s="231"/>
      <c r="V278" s="231"/>
      <c r="W278" s="231"/>
      <c r="X278" s="231"/>
      <c r="Y278" s="231"/>
      <c r="Z278" s="231"/>
      <c r="AA278" s="231"/>
      <c r="AB278" s="231"/>
      <c r="AC278" s="231"/>
      <c r="AD278" s="231"/>
      <c r="AE278" s="231"/>
      <c r="AF278" s="231"/>
      <c r="AG278" s="231"/>
      <c r="AH278" s="231"/>
      <c r="AI278" s="231"/>
      <c r="AJ278" s="231"/>
      <c r="AK278" s="231"/>
      <c r="AL278" s="231"/>
      <c r="AM278" s="231"/>
      <c r="AN278" s="231"/>
    </row>
    <row r="279" spans="1:40" s="203" customFormat="1">
      <c r="A279" s="207"/>
      <c r="B279" s="207"/>
      <c r="C279" s="207"/>
      <c r="D279" s="207"/>
      <c r="E279" s="207"/>
      <c r="F279" s="207"/>
      <c r="G279" s="207"/>
      <c r="H279" s="131" t="s">
        <v>27</v>
      </c>
      <c r="I279" s="21"/>
      <c r="J279" s="231"/>
      <c r="K279" s="231"/>
      <c r="L279" s="231"/>
      <c r="M279" s="231"/>
      <c r="N279" s="231"/>
      <c r="O279" s="231"/>
      <c r="P279" s="231"/>
      <c r="Q279" s="231"/>
      <c r="R279" s="231"/>
      <c r="S279" s="231"/>
      <c r="T279" s="231"/>
      <c r="U279" s="231"/>
      <c r="V279" s="231"/>
      <c r="W279" s="231"/>
      <c r="X279" s="231"/>
      <c r="Y279" s="231"/>
      <c r="Z279" s="231"/>
      <c r="AA279" s="231"/>
      <c r="AB279" s="231"/>
      <c r="AC279" s="231"/>
      <c r="AD279" s="231"/>
      <c r="AE279" s="231"/>
      <c r="AF279" s="231"/>
      <c r="AG279" s="231"/>
      <c r="AH279" s="231"/>
      <c r="AI279" s="231"/>
      <c r="AJ279" s="231"/>
      <c r="AK279" s="231"/>
      <c r="AL279" s="231"/>
      <c r="AM279" s="231"/>
      <c r="AN279" s="231"/>
    </row>
    <row r="280" spans="1:40" s="203" customFormat="1" ht="12.75" customHeight="1">
      <c r="A280" s="106" t="s">
        <v>18</v>
      </c>
      <c r="B280" s="164"/>
      <c r="C280" s="164"/>
      <c r="D280" s="164"/>
      <c r="E280" s="856" t="s">
        <v>377</v>
      </c>
      <c r="F280" s="856" t="s">
        <v>402</v>
      </c>
      <c r="G280" s="130"/>
      <c r="H280" s="856" t="s">
        <v>403</v>
      </c>
      <c r="I280" s="21"/>
      <c r="J280" s="231"/>
      <c r="K280" s="231"/>
      <c r="L280" s="231"/>
      <c r="M280" s="231"/>
      <c r="N280" s="231"/>
      <c r="O280" s="231"/>
      <c r="P280" s="231"/>
      <c r="Q280" s="231"/>
      <c r="R280" s="231"/>
      <c r="S280" s="231"/>
      <c r="T280" s="231"/>
      <c r="U280" s="231"/>
      <c r="V280" s="231"/>
      <c r="W280" s="231"/>
      <c r="X280" s="231"/>
      <c r="Y280" s="231"/>
      <c r="Z280" s="231"/>
      <c r="AA280" s="231"/>
      <c r="AB280" s="231"/>
      <c r="AC280" s="231"/>
      <c r="AD280" s="231"/>
      <c r="AE280" s="231"/>
      <c r="AF280" s="231"/>
      <c r="AG280" s="231"/>
      <c r="AH280" s="231"/>
      <c r="AI280" s="231"/>
      <c r="AJ280" s="231"/>
      <c r="AK280" s="231"/>
      <c r="AL280" s="231"/>
      <c r="AM280" s="231"/>
      <c r="AN280" s="231"/>
    </row>
    <row r="281" spans="1:40" s="203" customFormat="1">
      <c r="A281" s="165"/>
      <c r="B281" s="47"/>
      <c r="C281" s="47"/>
      <c r="D281" s="47"/>
      <c r="E281" s="859"/>
      <c r="F281" s="859"/>
      <c r="G281" s="130"/>
      <c r="H281" s="859"/>
      <c r="I281" s="21"/>
      <c r="J281" s="231"/>
      <c r="K281" s="231"/>
      <c r="L281" s="231"/>
      <c r="M281" s="231"/>
      <c r="N281" s="231"/>
      <c r="O281" s="231"/>
      <c r="P281" s="231"/>
      <c r="Q281" s="231"/>
      <c r="R281" s="231"/>
      <c r="S281" s="231"/>
      <c r="T281" s="231"/>
      <c r="U281" s="231"/>
      <c r="V281" s="231"/>
      <c r="W281" s="231"/>
      <c r="X281" s="231"/>
      <c r="Y281" s="231"/>
      <c r="Z281" s="231"/>
      <c r="AA281" s="231"/>
      <c r="AB281" s="231"/>
      <c r="AC281" s="231"/>
      <c r="AD281" s="231"/>
      <c r="AE281" s="231"/>
      <c r="AF281" s="231"/>
      <c r="AG281" s="231"/>
      <c r="AH281" s="231"/>
      <c r="AI281" s="231"/>
      <c r="AJ281" s="231"/>
      <c r="AK281" s="231"/>
      <c r="AL281" s="231"/>
      <c r="AM281" s="231"/>
      <c r="AN281" s="231"/>
    </row>
    <row r="282" spans="1:40" s="203" customFormat="1" ht="21.75" customHeight="1">
      <c r="A282" s="109"/>
      <c r="B282" s="174"/>
      <c r="C282" s="174"/>
      <c r="D282" s="174"/>
      <c r="E282" s="859"/>
      <c r="F282" s="859"/>
      <c r="G282" s="130"/>
      <c r="H282" s="859"/>
      <c r="I282" s="21"/>
      <c r="J282" s="231"/>
      <c r="K282" s="231"/>
      <c r="L282" s="231"/>
      <c r="M282" s="231"/>
      <c r="N282" s="231"/>
      <c r="O282" s="231"/>
      <c r="P282" s="231"/>
      <c r="Q282" s="231"/>
      <c r="R282" s="231"/>
      <c r="S282" s="231"/>
      <c r="T282" s="231"/>
      <c r="U282" s="231"/>
      <c r="V282" s="231"/>
      <c r="W282" s="231"/>
      <c r="X282" s="231"/>
      <c r="Y282" s="231"/>
      <c r="Z282" s="231"/>
      <c r="AA282" s="231"/>
      <c r="AB282" s="231"/>
      <c r="AC282" s="231"/>
      <c r="AD282" s="231"/>
      <c r="AE282" s="231"/>
      <c r="AF282" s="231"/>
      <c r="AG282" s="231"/>
      <c r="AH282" s="231"/>
      <c r="AI282" s="231"/>
      <c r="AJ282" s="231"/>
      <c r="AK282" s="231"/>
      <c r="AL282" s="231"/>
      <c r="AM282" s="231"/>
      <c r="AN282" s="231"/>
    </row>
    <row r="283" spans="1:40" s="203" customFormat="1">
      <c r="A283" s="154" t="s">
        <v>215</v>
      </c>
      <c r="B283" s="47"/>
      <c r="C283" s="47"/>
      <c r="D283" s="47"/>
      <c r="E283" s="859"/>
      <c r="F283" s="859"/>
      <c r="G283" s="130"/>
      <c r="H283" s="859"/>
      <c r="I283" s="21"/>
      <c r="J283" s="231"/>
      <c r="K283" s="231"/>
      <c r="L283" s="231"/>
      <c r="M283" s="231"/>
      <c r="N283" s="231"/>
      <c r="O283" s="231"/>
      <c r="P283" s="231"/>
      <c r="Q283" s="231"/>
      <c r="R283" s="231"/>
      <c r="S283" s="231"/>
      <c r="T283" s="231"/>
      <c r="U283" s="231"/>
      <c r="V283" s="231"/>
      <c r="W283" s="231"/>
      <c r="X283" s="231"/>
      <c r="Y283" s="231"/>
      <c r="Z283" s="231"/>
      <c r="AA283" s="231"/>
      <c r="AB283" s="231"/>
      <c r="AC283" s="231"/>
      <c r="AD283" s="231"/>
      <c r="AE283" s="231"/>
      <c r="AF283" s="231"/>
      <c r="AG283" s="231"/>
      <c r="AH283" s="231"/>
      <c r="AI283" s="231"/>
      <c r="AJ283" s="231"/>
      <c r="AK283" s="231"/>
      <c r="AL283" s="231"/>
      <c r="AM283" s="231"/>
      <c r="AN283" s="231"/>
    </row>
    <row r="284" spans="1:40" s="203" customFormat="1">
      <c r="A284" s="109" t="s">
        <v>83</v>
      </c>
      <c r="B284" s="174"/>
      <c r="C284" s="174"/>
      <c r="D284" s="174"/>
      <c r="E284" s="860"/>
      <c r="F284" s="860"/>
      <c r="G284" s="130"/>
      <c r="H284" s="860"/>
      <c r="I284" s="21"/>
      <c r="J284" s="231"/>
      <c r="K284" s="231"/>
      <c r="L284" s="231"/>
      <c r="M284" s="231"/>
      <c r="N284" s="231"/>
      <c r="O284" s="231"/>
      <c r="P284" s="231"/>
      <c r="Q284" s="231"/>
      <c r="R284" s="231"/>
      <c r="S284" s="231"/>
      <c r="T284" s="231"/>
      <c r="U284" s="231"/>
      <c r="V284" s="231"/>
      <c r="W284" s="231"/>
      <c r="X284" s="231"/>
      <c r="Y284" s="231"/>
      <c r="Z284" s="231"/>
      <c r="AA284" s="231"/>
      <c r="AB284" s="231"/>
      <c r="AC284" s="231"/>
      <c r="AD284" s="231"/>
      <c r="AE284" s="231"/>
      <c r="AF284" s="231"/>
      <c r="AG284" s="231"/>
      <c r="AH284" s="231"/>
      <c r="AI284" s="231"/>
      <c r="AJ284" s="231"/>
      <c r="AK284" s="231"/>
      <c r="AL284" s="231"/>
      <c r="AM284" s="231"/>
      <c r="AN284" s="231"/>
    </row>
    <row r="285" spans="1:40" s="203" customFormat="1">
      <c r="A285" s="110" t="s">
        <v>84</v>
      </c>
      <c r="B285" s="116"/>
      <c r="C285" s="116"/>
      <c r="D285" s="116"/>
      <c r="E285" s="178"/>
      <c r="F285" s="146"/>
      <c r="G285" s="118"/>
      <c r="H285" s="146"/>
      <c r="I285" s="21"/>
      <c r="J285" s="231"/>
      <c r="K285" s="231"/>
      <c r="L285" s="231"/>
      <c r="M285" s="231"/>
      <c r="N285" s="231"/>
      <c r="O285" s="231"/>
      <c r="P285" s="231"/>
      <c r="Q285" s="231"/>
      <c r="R285" s="231"/>
      <c r="S285" s="231"/>
      <c r="T285" s="231"/>
      <c r="U285" s="231"/>
      <c r="V285" s="231"/>
      <c r="W285" s="231"/>
      <c r="X285" s="231"/>
      <c r="Y285" s="231"/>
      <c r="Z285" s="231"/>
      <c r="AA285" s="231"/>
      <c r="AB285" s="231"/>
      <c r="AC285" s="231"/>
      <c r="AD285" s="231"/>
      <c r="AE285" s="231"/>
      <c r="AF285" s="231"/>
      <c r="AG285" s="231"/>
      <c r="AH285" s="231"/>
      <c r="AI285" s="231"/>
      <c r="AJ285" s="231"/>
      <c r="AK285" s="231"/>
      <c r="AL285" s="231"/>
      <c r="AM285" s="231"/>
      <c r="AN285" s="231"/>
    </row>
    <row r="286" spans="1:40" s="203" customFormat="1">
      <c r="A286" s="120">
        <v>1</v>
      </c>
      <c r="B286" s="47" t="s">
        <v>216</v>
      </c>
      <c r="C286" s="47"/>
      <c r="D286" s="47"/>
      <c r="E286" s="74">
        <v>372</v>
      </c>
      <c r="F286" s="52">
        <v>378</v>
      </c>
      <c r="G286" s="118"/>
      <c r="H286" s="122">
        <v>424</v>
      </c>
      <c r="I286" s="21"/>
      <c r="J286" s="231"/>
      <c r="K286" s="231"/>
      <c r="L286" s="231"/>
      <c r="M286" s="231"/>
      <c r="N286" s="231"/>
      <c r="O286" s="231"/>
      <c r="P286" s="231"/>
      <c r="Q286" s="231"/>
      <c r="R286" s="231"/>
      <c r="S286" s="231"/>
      <c r="T286" s="231"/>
      <c r="U286" s="231"/>
      <c r="V286" s="231"/>
      <c r="W286" s="231"/>
      <c r="X286" s="231"/>
      <c r="Y286" s="231"/>
      <c r="Z286" s="231"/>
      <c r="AA286" s="231"/>
      <c r="AB286" s="231"/>
      <c r="AC286" s="231"/>
      <c r="AD286" s="231"/>
      <c r="AE286" s="231"/>
      <c r="AF286" s="231"/>
      <c r="AG286" s="231"/>
      <c r="AH286" s="231"/>
      <c r="AI286" s="231"/>
      <c r="AJ286" s="231"/>
      <c r="AK286" s="231"/>
      <c r="AL286" s="231"/>
      <c r="AM286" s="231"/>
      <c r="AN286" s="231"/>
    </row>
    <row r="287" spans="1:40" s="203" customFormat="1">
      <c r="A287" s="656">
        <v>2</v>
      </c>
      <c r="B287" s="47" t="s">
        <v>217</v>
      </c>
      <c r="C287" s="47"/>
      <c r="D287" s="47"/>
      <c r="E287" s="114">
        <v>147</v>
      </c>
      <c r="F287" s="52">
        <v>140</v>
      </c>
      <c r="G287" s="118"/>
      <c r="H287" s="122">
        <v>147</v>
      </c>
      <c r="I287" s="21"/>
      <c r="J287" s="231"/>
      <c r="K287" s="231"/>
      <c r="L287" s="231"/>
      <c r="M287" s="231"/>
      <c r="N287" s="231"/>
      <c r="O287" s="231"/>
      <c r="P287" s="231"/>
      <c r="Q287" s="231"/>
      <c r="R287" s="231"/>
      <c r="S287" s="231"/>
      <c r="T287" s="231"/>
      <c r="U287" s="231"/>
      <c r="V287" s="231"/>
      <c r="W287" s="231"/>
      <c r="X287" s="231"/>
      <c r="Y287" s="231"/>
      <c r="Z287" s="231"/>
      <c r="AA287" s="231"/>
      <c r="AB287" s="231"/>
      <c r="AC287" s="231"/>
      <c r="AD287" s="231"/>
      <c r="AE287" s="231"/>
      <c r="AF287" s="231"/>
      <c r="AG287" s="231"/>
      <c r="AH287" s="231"/>
      <c r="AI287" s="231"/>
      <c r="AJ287" s="231"/>
      <c r="AK287" s="231"/>
      <c r="AL287" s="231"/>
      <c r="AM287" s="231"/>
      <c r="AN287" s="231"/>
    </row>
    <row r="288" spans="1:40" s="203" customFormat="1">
      <c r="A288" s="120">
        <v>3</v>
      </c>
      <c r="B288" s="90" t="s">
        <v>218</v>
      </c>
      <c r="C288" s="166"/>
      <c r="D288" s="168"/>
      <c r="E288" s="114">
        <v>1106</v>
      </c>
      <c r="F288" s="52">
        <v>1205</v>
      </c>
      <c r="G288" s="118"/>
      <c r="H288" s="122">
        <v>1066</v>
      </c>
      <c r="I288" s="21"/>
      <c r="J288" s="231"/>
      <c r="K288" s="231"/>
      <c r="L288" s="231"/>
      <c r="M288" s="231"/>
      <c r="N288" s="231"/>
      <c r="O288" s="231"/>
      <c r="P288" s="231"/>
      <c r="Q288" s="231"/>
      <c r="R288" s="231"/>
      <c r="S288" s="231"/>
      <c r="T288" s="231"/>
      <c r="U288" s="231"/>
      <c r="V288" s="231"/>
      <c r="W288" s="231"/>
      <c r="X288" s="231"/>
      <c r="Y288" s="231"/>
      <c r="Z288" s="231"/>
      <c r="AA288" s="231"/>
      <c r="AB288" s="231"/>
      <c r="AC288" s="231"/>
      <c r="AD288" s="231"/>
      <c r="AE288" s="231"/>
      <c r="AF288" s="231"/>
      <c r="AG288" s="231"/>
      <c r="AH288" s="231"/>
      <c r="AI288" s="231"/>
      <c r="AJ288" s="231"/>
      <c r="AK288" s="231"/>
      <c r="AL288" s="231"/>
      <c r="AM288" s="231"/>
      <c r="AN288" s="231"/>
    </row>
    <row r="289" spans="1:40" s="203" customFormat="1">
      <c r="A289" s="656">
        <v>4</v>
      </c>
      <c r="B289" s="47" t="s">
        <v>219</v>
      </c>
      <c r="C289" s="47"/>
      <c r="D289" s="116"/>
      <c r="E289" s="114">
        <v>79</v>
      </c>
      <c r="F289" s="52">
        <v>74</v>
      </c>
      <c r="G289" s="118"/>
      <c r="H289" s="122">
        <v>67</v>
      </c>
      <c r="I289" s="21"/>
      <c r="J289" s="231"/>
      <c r="K289" s="231"/>
      <c r="L289" s="231"/>
      <c r="M289" s="231"/>
      <c r="N289" s="231"/>
      <c r="O289" s="231"/>
      <c r="P289" s="231"/>
      <c r="Q289" s="231"/>
      <c r="R289" s="231"/>
      <c r="S289" s="231"/>
      <c r="T289" s="231"/>
      <c r="U289" s="231"/>
      <c r="V289" s="231"/>
      <c r="W289" s="231"/>
      <c r="X289" s="231"/>
      <c r="Y289" s="231"/>
      <c r="Z289" s="231"/>
      <c r="AA289" s="231"/>
      <c r="AB289" s="231"/>
      <c r="AC289" s="231"/>
      <c r="AD289" s="231"/>
      <c r="AE289" s="231"/>
      <c r="AF289" s="231"/>
      <c r="AG289" s="231"/>
      <c r="AH289" s="231"/>
      <c r="AI289" s="231"/>
      <c r="AJ289" s="231"/>
      <c r="AK289" s="231"/>
      <c r="AL289" s="231"/>
      <c r="AM289" s="231"/>
      <c r="AN289" s="231"/>
    </row>
    <row r="290" spans="1:40" s="203" customFormat="1">
      <c r="A290" s="656">
        <v>5</v>
      </c>
      <c r="B290" s="47" t="s">
        <v>220</v>
      </c>
      <c r="C290" s="47"/>
      <c r="D290" s="47"/>
      <c r="E290" s="114">
        <v>-25</v>
      </c>
      <c r="F290" s="52">
        <v>-6</v>
      </c>
      <c r="G290" s="118"/>
      <c r="H290" s="122">
        <v>-11</v>
      </c>
      <c r="I290" s="21"/>
      <c r="J290" s="231"/>
      <c r="K290" s="231"/>
      <c r="L290" s="231"/>
      <c r="M290" s="231"/>
      <c r="N290" s="231"/>
      <c r="O290" s="231"/>
      <c r="P290" s="231"/>
      <c r="Q290" s="231"/>
      <c r="R290" s="231"/>
      <c r="S290" s="231"/>
      <c r="T290" s="231"/>
      <c r="U290" s="231"/>
      <c r="V290" s="231"/>
      <c r="W290" s="231"/>
      <c r="X290" s="231"/>
      <c r="Y290" s="231"/>
      <c r="Z290" s="231"/>
      <c r="AA290" s="231"/>
      <c r="AB290" s="231"/>
      <c r="AC290" s="231"/>
      <c r="AD290" s="231"/>
      <c r="AE290" s="231"/>
      <c r="AF290" s="231"/>
      <c r="AG290" s="231"/>
      <c r="AH290" s="231"/>
      <c r="AI290" s="231"/>
      <c r="AJ290" s="231"/>
      <c r="AK290" s="231"/>
      <c r="AL290" s="231"/>
      <c r="AM290" s="231"/>
      <c r="AN290" s="231"/>
    </row>
    <row r="291" spans="1:40" s="203" customFormat="1">
      <c r="A291" s="120">
        <v>6</v>
      </c>
      <c r="B291" s="47" t="s">
        <v>221</v>
      </c>
      <c r="C291" s="47"/>
      <c r="D291" s="47"/>
      <c r="E291" s="114">
        <v>27</v>
      </c>
      <c r="F291" s="52">
        <v>13</v>
      </c>
      <c r="G291" s="118"/>
      <c r="H291" s="122">
        <v>13</v>
      </c>
      <c r="I291" s="21"/>
      <c r="J291" s="231"/>
      <c r="K291" s="231"/>
      <c r="L291" s="231"/>
      <c r="M291" s="231"/>
      <c r="N291" s="231"/>
      <c r="O291" s="231"/>
      <c r="P291" s="231"/>
      <c r="Q291" s="231"/>
      <c r="R291" s="231"/>
      <c r="S291" s="231"/>
      <c r="T291" s="231"/>
      <c r="U291" s="231"/>
      <c r="V291" s="231"/>
      <c r="W291" s="231"/>
      <c r="X291" s="231"/>
      <c r="Y291" s="231"/>
      <c r="Z291" s="231"/>
      <c r="AA291" s="231"/>
      <c r="AB291" s="231"/>
      <c r="AC291" s="231"/>
      <c r="AD291" s="231"/>
      <c r="AE291" s="231"/>
      <c r="AF291" s="231"/>
      <c r="AG291" s="231"/>
      <c r="AH291" s="231"/>
      <c r="AI291" s="231"/>
      <c r="AJ291" s="231"/>
      <c r="AK291" s="231"/>
      <c r="AL291" s="231"/>
      <c r="AM291" s="231"/>
      <c r="AN291" s="231"/>
    </row>
    <row r="292" spans="1:40" s="203" customFormat="1">
      <c r="A292" s="656">
        <v>7</v>
      </c>
      <c r="B292" s="47" t="s">
        <v>222</v>
      </c>
      <c r="C292" s="47"/>
      <c r="D292" s="116"/>
      <c r="E292" s="114">
        <v>271</v>
      </c>
      <c r="F292" s="52">
        <v>270</v>
      </c>
      <c r="G292" s="118"/>
      <c r="H292" s="122">
        <v>287</v>
      </c>
      <c r="I292" s="21"/>
      <c r="J292" s="231"/>
      <c r="K292" s="231"/>
      <c r="L292" s="231"/>
      <c r="M292" s="231"/>
      <c r="N292" s="231"/>
      <c r="O292" s="231"/>
      <c r="P292" s="231"/>
      <c r="Q292" s="231"/>
      <c r="R292" s="231"/>
      <c r="S292" s="231"/>
      <c r="T292" s="231"/>
      <c r="U292" s="231"/>
      <c r="V292" s="231"/>
      <c r="W292" s="231"/>
      <c r="X292" s="231"/>
      <c r="Y292" s="231"/>
      <c r="Z292" s="231"/>
      <c r="AA292" s="231"/>
      <c r="AB292" s="231"/>
      <c r="AC292" s="231"/>
      <c r="AD292" s="231"/>
      <c r="AE292" s="231"/>
      <c r="AF292" s="231"/>
      <c r="AG292" s="231"/>
      <c r="AH292" s="231"/>
      <c r="AI292" s="231"/>
      <c r="AJ292" s="231"/>
      <c r="AK292" s="231"/>
      <c r="AL292" s="231"/>
      <c r="AM292" s="231"/>
      <c r="AN292" s="231"/>
    </row>
    <row r="293" spans="1:40" s="203" customFormat="1">
      <c r="A293" s="120">
        <v>8</v>
      </c>
      <c r="B293" s="47" t="s">
        <v>223</v>
      </c>
      <c r="C293" s="47"/>
      <c r="D293" s="116"/>
      <c r="E293" s="114">
        <v>236</v>
      </c>
      <c r="F293" s="52">
        <v>237</v>
      </c>
      <c r="G293" s="118"/>
      <c r="H293" s="122">
        <v>258</v>
      </c>
      <c r="I293" s="21"/>
      <c r="J293" s="231"/>
      <c r="K293" s="231"/>
      <c r="L293" s="231"/>
      <c r="M293" s="231"/>
      <c r="N293" s="231"/>
      <c r="O293" s="231"/>
      <c r="P293" s="231"/>
      <c r="Q293" s="231"/>
      <c r="R293" s="231"/>
      <c r="S293" s="231"/>
      <c r="T293" s="231"/>
      <c r="U293" s="231"/>
      <c r="V293" s="231"/>
      <c r="W293" s="231"/>
      <c r="X293" s="231"/>
      <c r="Y293" s="231"/>
      <c r="Z293" s="231"/>
      <c r="AA293" s="231"/>
      <c r="AB293" s="231"/>
      <c r="AC293" s="231"/>
      <c r="AD293" s="231"/>
      <c r="AE293" s="231"/>
      <c r="AF293" s="231"/>
      <c r="AG293" s="231"/>
      <c r="AH293" s="231"/>
      <c r="AI293" s="231"/>
      <c r="AJ293" s="231"/>
      <c r="AK293" s="231"/>
      <c r="AL293" s="231"/>
      <c r="AM293" s="231"/>
      <c r="AN293" s="231"/>
    </row>
    <row r="294" spans="1:40" s="203" customFormat="1">
      <c r="A294" s="656">
        <v>9</v>
      </c>
      <c r="B294" s="47" t="s">
        <v>224</v>
      </c>
      <c r="C294" s="47"/>
      <c r="D294" s="116"/>
      <c r="E294" s="114">
        <v>127</v>
      </c>
      <c r="F294" s="52">
        <v>128</v>
      </c>
      <c r="G294" s="118"/>
      <c r="H294" s="122">
        <v>128</v>
      </c>
      <c r="I294" s="21"/>
      <c r="J294" s="231"/>
      <c r="K294" s="231"/>
      <c r="L294" s="231"/>
      <c r="M294" s="231"/>
      <c r="N294" s="231"/>
      <c r="O294" s="231"/>
      <c r="P294" s="231"/>
      <c r="Q294" s="231"/>
      <c r="R294" s="231"/>
      <c r="S294" s="231"/>
      <c r="T294" s="231"/>
      <c r="U294" s="231"/>
      <c r="V294" s="231"/>
      <c r="W294" s="231"/>
      <c r="X294" s="231"/>
      <c r="Y294" s="231"/>
      <c r="Z294" s="231"/>
      <c r="AA294" s="231"/>
      <c r="AB294" s="231"/>
      <c r="AC294" s="231"/>
      <c r="AD294" s="231"/>
      <c r="AE294" s="231"/>
      <c r="AF294" s="231"/>
      <c r="AG294" s="231"/>
      <c r="AH294" s="231"/>
      <c r="AI294" s="231"/>
      <c r="AJ294" s="231"/>
      <c r="AK294" s="231"/>
      <c r="AL294" s="231"/>
      <c r="AM294" s="231"/>
      <c r="AN294" s="231"/>
    </row>
    <row r="295" spans="1:40" s="203" customFormat="1">
      <c r="A295" s="120">
        <v>10</v>
      </c>
      <c r="B295" s="47" t="s">
        <v>225</v>
      </c>
      <c r="C295" s="47"/>
      <c r="D295" s="47"/>
      <c r="E295" s="114">
        <v>139</v>
      </c>
      <c r="F295" s="52">
        <v>141</v>
      </c>
      <c r="G295" s="118"/>
      <c r="H295" s="122">
        <v>351</v>
      </c>
      <c r="I295" s="21"/>
      <c r="J295" s="231"/>
      <c r="K295" s="231"/>
      <c r="L295" s="231"/>
      <c r="M295" s="231"/>
      <c r="N295" s="231"/>
      <c r="O295" s="231"/>
      <c r="P295" s="231"/>
      <c r="Q295" s="231"/>
      <c r="R295" s="231"/>
      <c r="S295" s="231"/>
      <c r="T295" s="231"/>
      <c r="U295" s="231"/>
      <c r="V295" s="231"/>
      <c r="W295" s="231"/>
      <c r="X295" s="231"/>
      <c r="Y295" s="231"/>
      <c r="Z295" s="231"/>
      <c r="AA295" s="231"/>
      <c r="AB295" s="231"/>
      <c r="AC295" s="231"/>
      <c r="AD295" s="231"/>
      <c r="AE295" s="231"/>
      <c r="AF295" s="231"/>
      <c r="AG295" s="231"/>
      <c r="AH295" s="231"/>
      <c r="AI295" s="231"/>
      <c r="AJ295" s="231"/>
      <c r="AK295" s="231"/>
      <c r="AL295" s="231"/>
      <c r="AM295" s="231"/>
      <c r="AN295" s="231"/>
    </row>
    <row r="296" spans="1:40" s="203" customFormat="1">
      <c r="A296" s="656">
        <v>11</v>
      </c>
      <c r="B296" s="47" t="s">
        <v>226</v>
      </c>
      <c r="C296" s="47"/>
      <c r="D296" s="47"/>
      <c r="E296" s="114">
        <v>97</v>
      </c>
      <c r="F296" s="52">
        <v>100</v>
      </c>
      <c r="G296" s="118"/>
      <c r="H296" s="122">
        <v>100</v>
      </c>
      <c r="I296" s="21"/>
      <c r="J296" s="231"/>
      <c r="K296" s="231"/>
      <c r="L296" s="231"/>
      <c r="M296" s="231"/>
      <c r="N296" s="231"/>
      <c r="O296" s="231"/>
      <c r="P296" s="231"/>
      <c r="Q296" s="231"/>
      <c r="R296" s="231"/>
      <c r="S296" s="231"/>
      <c r="T296" s="231"/>
      <c r="U296" s="231"/>
      <c r="V296" s="231"/>
      <c r="W296" s="231"/>
      <c r="X296" s="231"/>
      <c r="Y296" s="231"/>
      <c r="Z296" s="231"/>
      <c r="AA296" s="231"/>
      <c r="AB296" s="231"/>
      <c r="AC296" s="231"/>
      <c r="AD296" s="231"/>
      <c r="AE296" s="231"/>
      <c r="AF296" s="231"/>
      <c r="AG296" s="231"/>
      <c r="AH296" s="231"/>
      <c r="AI296" s="231"/>
      <c r="AJ296" s="231"/>
      <c r="AK296" s="231"/>
      <c r="AL296" s="231"/>
      <c r="AM296" s="231"/>
      <c r="AN296" s="231"/>
    </row>
    <row r="297" spans="1:40" s="203" customFormat="1">
      <c r="A297" s="120">
        <v>12</v>
      </c>
      <c r="B297" s="47" t="s">
        <v>227</v>
      </c>
      <c r="C297" s="47"/>
      <c r="D297" s="47"/>
      <c r="E297" s="114">
        <v>316</v>
      </c>
      <c r="F297" s="52">
        <v>492</v>
      </c>
      <c r="G297" s="118"/>
      <c r="H297" s="122">
        <v>473</v>
      </c>
      <c r="I297" s="21"/>
      <c r="J297" s="231"/>
      <c r="K297" s="231"/>
      <c r="L297" s="231"/>
      <c r="M297" s="231"/>
      <c r="N297" s="231"/>
      <c r="O297" s="231"/>
      <c r="P297" s="231"/>
      <c r="Q297" s="231"/>
      <c r="R297" s="231"/>
      <c r="S297" s="231"/>
      <c r="T297" s="231"/>
      <c r="U297" s="231"/>
      <c r="V297" s="231"/>
      <c r="W297" s="231"/>
      <c r="X297" s="231"/>
      <c r="Y297" s="231"/>
      <c r="Z297" s="231"/>
      <c r="AA297" s="231"/>
      <c r="AB297" s="231"/>
      <c r="AC297" s="231"/>
      <c r="AD297" s="231"/>
      <c r="AE297" s="231"/>
      <c r="AF297" s="231"/>
      <c r="AG297" s="231"/>
      <c r="AH297" s="231"/>
      <c r="AI297" s="231"/>
      <c r="AJ297" s="231"/>
      <c r="AK297" s="231"/>
      <c r="AL297" s="231"/>
      <c r="AM297" s="231"/>
      <c r="AN297" s="231"/>
    </row>
    <row r="298" spans="1:40" s="203" customFormat="1">
      <c r="A298" s="656">
        <v>13</v>
      </c>
      <c r="B298" s="47" t="s">
        <v>228</v>
      </c>
      <c r="C298" s="47"/>
      <c r="D298" s="47"/>
      <c r="E298" s="114">
        <v>2908</v>
      </c>
      <c r="F298" s="52">
        <v>3140</v>
      </c>
      <c r="G298" s="118"/>
      <c r="H298" s="122">
        <v>3179</v>
      </c>
      <c r="I298" s="21"/>
      <c r="J298" s="231"/>
      <c r="K298" s="231"/>
      <c r="L298" s="231"/>
      <c r="M298" s="231"/>
      <c r="N298" s="231"/>
      <c r="O298" s="231"/>
      <c r="P298" s="231"/>
      <c r="Q298" s="231"/>
      <c r="R298" s="231"/>
      <c r="S298" s="231"/>
      <c r="T298" s="231"/>
      <c r="U298" s="231"/>
      <c r="V298" s="231"/>
      <c r="W298" s="231"/>
      <c r="X298" s="231"/>
      <c r="Y298" s="231"/>
      <c r="Z298" s="231"/>
      <c r="AA298" s="231"/>
      <c r="AB298" s="231"/>
      <c r="AC298" s="231"/>
      <c r="AD298" s="231"/>
      <c r="AE298" s="231"/>
      <c r="AF298" s="231"/>
      <c r="AG298" s="231"/>
      <c r="AH298" s="231"/>
      <c r="AI298" s="231"/>
      <c r="AJ298" s="231"/>
      <c r="AK298" s="231"/>
      <c r="AL298" s="231"/>
      <c r="AM298" s="231"/>
      <c r="AN298" s="231"/>
    </row>
    <row r="299" spans="1:40" s="203" customFormat="1">
      <c r="A299" s="120">
        <v>14</v>
      </c>
      <c r="B299" s="47" t="s">
        <v>229</v>
      </c>
      <c r="C299" s="47"/>
      <c r="D299" s="116"/>
      <c r="E299" s="114">
        <v>0</v>
      </c>
      <c r="F299" s="52">
        <v>0</v>
      </c>
      <c r="G299" s="118"/>
      <c r="H299" s="122">
        <v>0</v>
      </c>
      <c r="I299" s="21"/>
      <c r="J299" s="231"/>
      <c r="K299" s="231"/>
      <c r="L299" s="231"/>
      <c r="M299" s="231"/>
      <c r="N299" s="231"/>
      <c r="O299" s="231"/>
      <c r="P299" s="231"/>
      <c r="Q299" s="231"/>
      <c r="R299" s="231"/>
      <c r="S299" s="231"/>
      <c r="T299" s="231"/>
      <c r="U299" s="231"/>
      <c r="V299" s="231"/>
      <c r="W299" s="231"/>
      <c r="X299" s="231"/>
      <c r="Y299" s="231"/>
      <c r="Z299" s="231"/>
      <c r="AA299" s="231"/>
      <c r="AB299" s="231"/>
      <c r="AC299" s="231"/>
      <c r="AD299" s="231"/>
      <c r="AE299" s="231"/>
      <c r="AF299" s="231"/>
      <c r="AG299" s="231"/>
      <c r="AH299" s="231"/>
      <c r="AI299" s="231"/>
      <c r="AJ299" s="231"/>
      <c r="AK299" s="231"/>
      <c r="AL299" s="231"/>
      <c r="AM299" s="231"/>
      <c r="AN299" s="231"/>
    </row>
    <row r="300" spans="1:40" s="203" customFormat="1">
      <c r="A300" s="656">
        <v>15</v>
      </c>
      <c r="B300" s="47" t="s">
        <v>230</v>
      </c>
      <c r="C300" s="47"/>
      <c r="D300" s="116"/>
      <c r="E300" s="114">
        <v>0</v>
      </c>
      <c r="F300" s="52">
        <v>0</v>
      </c>
      <c r="G300" s="118"/>
      <c r="H300" s="122">
        <v>0</v>
      </c>
      <c r="I300" s="21"/>
      <c r="J300" s="231"/>
      <c r="K300" s="231"/>
      <c r="L300" s="231"/>
      <c r="M300" s="231"/>
      <c r="N300" s="231"/>
      <c r="O300" s="231"/>
      <c r="P300" s="231"/>
      <c r="Q300" s="231"/>
      <c r="R300" s="231"/>
      <c r="S300" s="231"/>
      <c r="T300" s="231"/>
      <c r="U300" s="231"/>
      <c r="V300" s="231"/>
      <c r="W300" s="231"/>
      <c r="X300" s="231"/>
      <c r="Y300" s="231"/>
      <c r="Z300" s="231"/>
      <c r="AA300" s="231"/>
      <c r="AB300" s="231"/>
      <c r="AC300" s="231"/>
      <c r="AD300" s="231"/>
      <c r="AE300" s="231"/>
      <c r="AF300" s="231"/>
      <c r="AG300" s="231"/>
      <c r="AH300" s="231"/>
      <c r="AI300" s="231"/>
      <c r="AJ300" s="231"/>
      <c r="AK300" s="231"/>
      <c r="AL300" s="231"/>
      <c r="AM300" s="231"/>
      <c r="AN300" s="231"/>
    </row>
    <row r="301" spans="1:40" s="203" customFormat="1">
      <c r="A301" s="120">
        <v>17</v>
      </c>
      <c r="B301" s="47" t="s">
        <v>231</v>
      </c>
      <c r="C301" s="47"/>
      <c r="D301" s="47"/>
      <c r="E301" s="114">
        <v>55</v>
      </c>
      <c r="F301" s="52">
        <v>-1438</v>
      </c>
      <c r="G301" s="118"/>
      <c r="H301" s="99">
        <v>-387</v>
      </c>
      <c r="I301" s="21"/>
      <c r="J301" s="231"/>
      <c r="K301" s="231"/>
      <c r="L301" s="231"/>
      <c r="M301" s="231"/>
      <c r="N301" s="231"/>
      <c r="O301" s="231"/>
      <c r="P301" s="231"/>
      <c r="Q301" s="231"/>
      <c r="R301" s="231"/>
      <c r="S301" s="231"/>
      <c r="T301" s="231"/>
      <c r="U301" s="231"/>
      <c r="V301" s="231"/>
      <c r="W301" s="231"/>
      <c r="X301" s="231"/>
      <c r="Y301" s="231"/>
      <c r="Z301" s="231"/>
      <c r="AA301" s="231"/>
      <c r="AB301" s="231"/>
      <c r="AC301" s="231"/>
      <c r="AD301" s="231"/>
      <c r="AE301" s="231"/>
      <c r="AF301" s="231"/>
      <c r="AG301" s="231"/>
      <c r="AH301" s="231"/>
      <c r="AI301" s="231"/>
      <c r="AJ301" s="231"/>
      <c r="AK301" s="231"/>
      <c r="AL301" s="231"/>
      <c r="AM301" s="231"/>
      <c r="AN301" s="231"/>
    </row>
    <row r="302" spans="1:40" s="203" customFormat="1">
      <c r="A302" s="657">
        <v>18</v>
      </c>
      <c r="B302" s="94" t="s">
        <v>232</v>
      </c>
      <c r="C302" s="94"/>
      <c r="D302" s="94"/>
      <c r="E302" s="159">
        <v>5855</v>
      </c>
      <c r="F302" s="61">
        <f>SUM(F286:F301)</f>
        <v>4874</v>
      </c>
      <c r="G302" s="118"/>
      <c r="H302" s="61">
        <f>SUM(H286:H301)</f>
        <v>6095</v>
      </c>
      <c r="I302" s="21"/>
      <c r="J302" s="231"/>
      <c r="K302" s="231"/>
      <c r="L302" s="231"/>
      <c r="M302" s="231"/>
      <c r="N302" s="231"/>
      <c r="O302" s="231"/>
      <c r="P302" s="231"/>
      <c r="Q302" s="231"/>
      <c r="R302" s="231"/>
      <c r="S302" s="231"/>
      <c r="T302" s="231"/>
      <c r="U302" s="231"/>
      <c r="V302" s="231"/>
      <c r="W302" s="231"/>
      <c r="X302" s="231"/>
      <c r="Y302" s="231"/>
      <c r="Z302" s="231"/>
      <c r="AA302" s="231"/>
      <c r="AB302" s="231"/>
      <c r="AC302" s="231"/>
      <c r="AD302" s="231"/>
      <c r="AE302" s="231"/>
      <c r="AF302" s="231"/>
      <c r="AG302" s="231"/>
      <c r="AH302" s="231"/>
      <c r="AI302" s="231"/>
      <c r="AJ302" s="231"/>
      <c r="AK302" s="231"/>
      <c r="AL302" s="231"/>
      <c r="AM302" s="231"/>
      <c r="AN302" s="231"/>
    </row>
    <row r="303" spans="1:40" s="203" customFormat="1">
      <c r="A303" s="179"/>
      <c r="B303" s="180"/>
      <c r="C303" s="180"/>
      <c r="D303" s="181"/>
      <c r="E303" s="182"/>
      <c r="F303" s="183"/>
      <c r="G303" s="21"/>
      <c r="H303" s="183"/>
      <c r="I303" s="21"/>
      <c r="J303" s="231"/>
      <c r="K303" s="231"/>
      <c r="L303" s="231"/>
      <c r="M303" s="231"/>
      <c r="N303" s="231"/>
      <c r="O303" s="231"/>
      <c r="P303" s="231"/>
      <c r="Q303" s="231"/>
      <c r="R303" s="231"/>
      <c r="S303" s="231"/>
      <c r="T303" s="231"/>
      <c r="U303" s="231"/>
      <c r="V303" s="231"/>
      <c r="W303" s="231"/>
      <c r="X303" s="231"/>
      <c r="Y303" s="231"/>
      <c r="Z303" s="231"/>
      <c r="AA303" s="231"/>
      <c r="AB303" s="231"/>
      <c r="AC303" s="231"/>
      <c r="AD303" s="231"/>
      <c r="AE303" s="231"/>
      <c r="AF303" s="231"/>
      <c r="AG303" s="231"/>
      <c r="AH303" s="231"/>
      <c r="AI303" s="231"/>
      <c r="AJ303" s="231"/>
      <c r="AK303" s="231"/>
      <c r="AL303" s="231"/>
      <c r="AM303" s="231"/>
      <c r="AN303" s="231"/>
    </row>
    <row r="304" spans="1:40" s="203" customFormat="1">
      <c r="A304" s="184"/>
      <c r="B304" s="207"/>
      <c r="C304" s="207"/>
      <c r="D304" s="209"/>
      <c r="E304" s="185"/>
      <c r="F304" s="207"/>
      <c r="G304" s="207"/>
      <c r="H304" s="131" t="s">
        <v>27</v>
      </c>
      <c r="I304" s="21"/>
      <c r="J304" s="231"/>
      <c r="K304" s="231"/>
      <c r="L304" s="231"/>
      <c r="M304" s="231"/>
      <c r="N304" s="231"/>
      <c r="O304" s="231"/>
      <c r="P304" s="231"/>
      <c r="Q304" s="231"/>
      <c r="R304" s="231"/>
      <c r="S304" s="231"/>
      <c r="T304" s="231"/>
      <c r="U304" s="231"/>
      <c r="V304" s="231"/>
      <c r="W304" s="231"/>
      <c r="X304" s="231"/>
      <c r="Y304" s="231"/>
      <c r="Z304" s="231"/>
      <c r="AA304" s="231"/>
      <c r="AB304" s="231"/>
      <c r="AC304" s="231"/>
      <c r="AD304" s="231"/>
      <c r="AE304" s="231"/>
      <c r="AF304" s="231"/>
      <c r="AG304" s="231"/>
      <c r="AH304" s="231"/>
      <c r="AI304" s="231"/>
      <c r="AJ304" s="231"/>
      <c r="AK304" s="231"/>
      <c r="AL304" s="231"/>
      <c r="AM304" s="231"/>
      <c r="AN304" s="231"/>
    </row>
    <row r="305" spans="1:40" s="203" customFormat="1" ht="12.75" customHeight="1">
      <c r="A305" s="106" t="s">
        <v>21</v>
      </c>
      <c r="B305" s="164"/>
      <c r="C305" s="164"/>
      <c r="D305" s="164"/>
      <c r="E305" s="856" t="s">
        <v>377</v>
      </c>
      <c r="F305" s="856" t="s">
        <v>402</v>
      </c>
      <c r="G305" s="130"/>
      <c r="H305" s="856" t="s">
        <v>403</v>
      </c>
      <c r="I305" s="21"/>
      <c r="J305" s="231"/>
      <c r="K305" s="231"/>
      <c r="L305" s="231"/>
      <c r="M305" s="231"/>
      <c r="N305" s="231"/>
      <c r="O305" s="231"/>
      <c r="P305" s="231"/>
      <c r="Q305" s="231"/>
      <c r="R305" s="231"/>
      <c r="S305" s="231"/>
      <c r="T305" s="231"/>
      <c r="U305" s="231"/>
      <c r="V305" s="231"/>
      <c r="W305" s="231"/>
      <c r="X305" s="231"/>
      <c r="Y305" s="231"/>
      <c r="Z305" s="231"/>
      <c r="AA305" s="231"/>
      <c r="AB305" s="231"/>
      <c r="AC305" s="231"/>
      <c r="AD305" s="231"/>
      <c r="AE305" s="231"/>
      <c r="AF305" s="231"/>
      <c r="AG305" s="231"/>
      <c r="AH305" s="231"/>
      <c r="AI305" s="231"/>
      <c r="AJ305" s="231"/>
      <c r="AK305" s="231"/>
      <c r="AL305" s="231"/>
      <c r="AM305" s="231"/>
      <c r="AN305" s="231"/>
    </row>
    <row r="306" spans="1:40" s="203" customFormat="1">
      <c r="A306" s="165"/>
      <c r="B306" s="47"/>
      <c r="C306" s="47"/>
      <c r="D306" s="47"/>
      <c r="E306" s="859"/>
      <c r="F306" s="859"/>
      <c r="G306" s="130"/>
      <c r="H306" s="859"/>
      <c r="I306" s="21"/>
      <c r="J306" s="231"/>
      <c r="K306" s="231"/>
      <c r="L306" s="231"/>
      <c r="M306" s="231"/>
      <c r="N306" s="231"/>
      <c r="O306" s="231"/>
      <c r="P306" s="231"/>
      <c r="Q306" s="231"/>
      <c r="R306" s="231"/>
      <c r="S306" s="231"/>
      <c r="T306" s="231"/>
      <c r="U306" s="231"/>
      <c r="V306" s="231"/>
      <c r="W306" s="231"/>
      <c r="X306" s="231"/>
      <c r="Y306" s="231"/>
      <c r="Z306" s="231"/>
      <c r="AA306" s="231"/>
      <c r="AB306" s="231"/>
      <c r="AC306" s="231"/>
      <c r="AD306" s="231"/>
      <c r="AE306" s="231"/>
      <c r="AF306" s="231"/>
      <c r="AG306" s="231"/>
      <c r="AH306" s="231"/>
      <c r="AI306" s="231"/>
      <c r="AJ306" s="231"/>
      <c r="AK306" s="231"/>
      <c r="AL306" s="231"/>
      <c r="AM306" s="231"/>
      <c r="AN306" s="231"/>
    </row>
    <row r="307" spans="1:40" s="203" customFormat="1" ht="12.75" customHeight="1">
      <c r="A307" s="109"/>
      <c r="B307" s="174"/>
      <c r="C307" s="174"/>
      <c r="D307" s="174"/>
      <c r="E307" s="859"/>
      <c r="F307" s="859"/>
      <c r="G307" s="130"/>
      <c r="H307" s="859"/>
      <c r="I307" s="21"/>
      <c r="J307" s="231"/>
      <c r="K307" s="231"/>
      <c r="L307" s="231"/>
      <c r="M307" s="231"/>
      <c r="N307" s="231"/>
      <c r="O307" s="231"/>
      <c r="P307" s="231"/>
      <c r="Q307" s="231"/>
      <c r="R307" s="231"/>
      <c r="S307" s="231"/>
      <c r="T307" s="231"/>
      <c r="U307" s="231"/>
      <c r="V307" s="231"/>
      <c r="W307" s="231"/>
      <c r="X307" s="231"/>
      <c r="Y307" s="231"/>
      <c r="Z307" s="231"/>
      <c r="AA307" s="231"/>
      <c r="AB307" s="231"/>
      <c r="AC307" s="231"/>
      <c r="AD307" s="231"/>
      <c r="AE307" s="231"/>
      <c r="AF307" s="231"/>
      <c r="AG307" s="231"/>
      <c r="AH307" s="231"/>
      <c r="AI307" s="231"/>
      <c r="AJ307" s="231"/>
      <c r="AK307" s="231"/>
      <c r="AL307" s="231"/>
      <c r="AM307" s="231"/>
      <c r="AN307" s="231"/>
    </row>
    <row r="308" spans="1:40" s="203" customFormat="1">
      <c r="A308" s="154" t="s">
        <v>233</v>
      </c>
      <c r="B308" s="47"/>
      <c r="C308" s="47"/>
      <c r="D308" s="47"/>
      <c r="E308" s="859"/>
      <c r="F308" s="859"/>
      <c r="G308" s="130"/>
      <c r="H308" s="859"/>
      <c r="I308" s="21"/>
      <c r="J308" s="231"/>
      <c r="K308" s="231"/>
      <c r="L308" s="231"/>
      <c r="M308" s="231"/>
      <c r="N308" s="231"/>
      <c r="O308" s="231"/>
      <c r="P308" s="231"/>
      <c r="Q308" s="231"/>
      <c r="R308" s="231"/>
      <c r="S308" s="231"/>
      <c r="T308" s="231"/>
      <c r="U308" s="231"/>
      <c r="V308" s="231"/>
      <c r="W308" s="231"/>
      <c r="X308" s="231"/>
      <c r="Y308" s="231"/>
      <c r="Z308" s="231"/>
      <c r="AA308" s="231"/>
      <c r="AB308" s="231"/>
      <c r="AC308" s="231"/>
      <c r="AD308" s="231"/>
      <c r="AE308" s="231"/>
      <c r="AF308" s="231"/>
      <c r="AG308" s="231"/>
      <c r="AH308" s="231"/>
      <c r="AI308" s="231"/>
      <c r="AJ308" s="231"/>
      <c r="AK308" s="231"/>
      <c r="AL308" s="231"/>
      <c r="AM308" s="231"/>
      <c r="AN308" s="231"/>
    </row>
    <row r="309" spans="1:40" s="203" customFormat="1">
      <c r="A309" s="109" t="s">
        <v>83</v>
      </c>
      <c r="B309" s="174"/>
      <c r="C309" s="174"/>
      <c r="D309" s="174"/>
      <c r="E309" s="860"/>
      <c r="F309" s="860"/>
      <c r="G309" s="130"/>
      <c r="H309" s="860"/>
      <c r="I309" s="21"/>
      <c r="J309" s="231"/>
      <c r="K309" s="231"/>
      <c r="L309" s="231"/>
      <c r="M309" s="231"/>
      <c r="N309" s="231"/>
      <c r="O309" s="231"/>
      <c r="P309" s="231"/>
      <c r="Q309" s="231"/>
      <c r="R309" s="231"/>
      <c r="S309" s="231"/>
      <c r="T309" s="231"/>
      <c r="U309" s="231"/>
      <c r="V309" s="231"/>
      <c r="W309" s="231"/>
      <c r="X309" s="231"/>
      <c r="Y309" s="231"/>
      <c r="Z309" s="231"/>
      <c r="AA309" s="231"/>
      <c r="AB309" s="231"/>
      <c r="AC309" s="231"/>
      <c r="AD309" s="231"/>
      <c r="AE309" s="231"/>
      <c r="AF309" s="231"/>
      <c r="AG309" s="231"/>
      <c r="AH309" s="231"/>
      <c r="AI309" s="231"/>
      <c r="AJ309" s="231"/>
      <c r="AK309" s="231"/>
      <c r="AL309" s="231"/>
      <c r="AM309" s="231"/>
      <c r="AN309" s="231"/>
    </row>
    <row r="310" spans="1:40" s="203" customFormat="1">
      <c r="A310" s="110" t="s">
        <v>84</v>
      </c>
      <c r="B310" s="116"/>
      <c r="C310" s="116"/>
      <c r="D310" s="116"/>
      <c r="E310" s="262"/>
      <c r="F310" s="146"/>
      <c r="G310" s="118"/>
      <c r="H310" s="146"/>
      <c r="I310" s="21"/>
      <c r="J310" s="231"/>
      <c r="K310" s="231"/>
      <c r="L310" s="231"/>
      <c r="M310" s="231"/>
      <c r="N310" s="231"/>
      <c r="O310" s="231"/>
      <c r="P310" s="231"/>
      <c r="Q310" s="231"/>
      <c r="R310" s="231"/>
      <c r="S310" s="231"/>
      <c r="T310" s="231"/>
      <c r="U310" s="231"/>
      <c r="V310" s="231"/>
      <c r="W310" s="231"/>
      <c r="X310" s="231"/>
      <c r="Y310" s="231"/>
      <c r="Z310" s="231"/>
      <c r="AA310" s="231"/>
      <c r="AB310" s="231"/>
      <c r="AC310" s="231"/>
      <c r="AD310" s="231"/>
      <c r="AE310" s="231"/>
      <c r="AF310" s="231"/>
      <c r="AG310" s="231"/>
      <c r="AH310" s="231"/>
      <c r="AI310" s="231"/>
      <c r="AJ310" s="231"/>
      <c r="AK310" s="231"/>
      <c r="AL310" s="231"/>
      <c r="AM310" s="231"/>
      <c r="AN310" s="231"/>
    </row>
    <row r="311" spans="1:40" s="203" customFormat="1">
      <c r="A311" s="120">
        <v>1</v>
      </c>
      <c r="B311" s="47" t="s">
        <v>258</v>
      </c>
      <c r="C311" s="47"/>
      <c r="D311" s="186"/>
      <c r="E311" s="74">
        <v>0</v>
      </c>
      <c r="F311" s="52">
        <v>0</v>
      </c>
      <c r="G311" s="43"/>
      <c r="H311" s="52">
        <v>0</v>
      </c>
      <c r="I311" s="21"/>
      <c r="J311" s="231"/>
      <c r="K311" s="231"/>
      <c r="L311" s="231"/>
      <c r="M311" s="231"/>
      <c r="N311" s="231"/>
      <c r="O311" s="231"/>
      <c r="P311" s="231"/>
      <c r="Q311" s="231"/>
      <c r="R311" s="231"/>
      <c r="S311" s="231"/>
      <c r="T311" s="231"/>
      <c r="U311" s="231"/>
      <c r="V311" s="231"/>
      <c r="W311" s="231"/>
      <c r="X311" s="231"/>
      <c r="Y311" s="231"/>
      <c r="Z311" s="231"/>
      <c r="AA311" s="231"/>
      <c r="AB311" s="231"/>
      <c r="AC311" s="231"/>
      <c r="AD311" s="231"/>
      <c r="AE311" s="231"/>
      <c r="AF311" s="231"/>
      <c r="AG311" s="231"/>
      <c r="AH311" s="231"/>
      <c r="AI311" s="231"/>
      <c r="AJ311" s="231"/>
      <c r="AK311" s="231"/>
      <c r="AL311" s="231"/>
      <c r="AM311" s="231"/>
      <c r="AN311" s="231"/>
    </row>
    <row r="312" spans="1:40" s="203" customFormat="1">
      <c r="A312" s="120">
        <v>2</v>
      </c>
      <c r="B312" s="47" t="s">
        <v>234</v>
      </c>
      <c r="C312" s="47"/>
      <c r="D312" s="186"/>
      <c r="E312" s="114">
        <v>0</v>
      </c>
      <c r="F312" s="52">
        <v>0</v>
      </c>
      <c r="G312" s="43"/>
      <c r="H312" s="52">
        <v>0</v>
      </c>
      <c r="I312" s="21"/>
      <c r="J312" s="231"/>
      <c r="K312" s="231"/>
      <c r="L312" s="231"/>
      <c r="M312" s="231"/>
      <c r="N312" s="231"/>
      <c r="O312" s="231"/>
      <c r="P312" s="231"/>
      <c r="Q312" s="231"/>
      <c r="R312" s="231"/>
      <c r="S312" s="231"/>
      <c r="T312" s="231"/>
      <c r="U312" s="231"/>
      <c r="V312" s="231"/>
      <c r="W312" s="231"/>
      <c r="X312" s="231"/>
      <c r="Y312" s="231"/>
      <c r="Z312" s="231"/>
      <c r="AA312" s="231"/>
      <c r="AB312" s="231"/>
      <c r="AC312" s="231"/>
      <c r="AD312" s="231"/>
      <c r="AE312" s="231"/>
      <c r="AF312" s="231"/>
      <c r="AG312" s="231"/>
      <c r="AH312" s="231"/>
      <c r="AI312" s="231"/>
      <c r="AJ312" s="231"/>
      <c r="AK312" s="231"/>
      <c r="AL312" s="231"/>
      <c r="AM312" s="231"/>
      <c r="AN312" s="231"/>
    </row>
    <row r="313" spans="1:40" s="203" customFormat="1">
      <c r="A313" s="120">
        <v>3</v>
      </c>
      <c r="B313" s="47" t="s">
        <v>259</v>
      </c>
      <c r="C313" s="47"/>
      <c r="D313" s="186"/>
      <c r="E313" s="114">
        <v>-180</v>
      </c>
      <c r="F313" s="52">
        <v>-178</v>
      </c>
      <c r="G313" s="43"/>
      <c r="H313" s="52">
        <v>-67</v>
      </c>
      <c r="I313" s="21"/>
      <c r="J313" s="231"/>
      <c r="K313" s="231"/>
      <c r="L313" s="231"/>
      <c r="M313" s="231"/>
      <c r="N313" s="231"/>
      <c r="O313" s="231"/>
      <c r="P313" s="231"/>
      <c r="Q313" s="231"/>
      <c r="R313" s="231"/>
      <c r="S313" s="231"/>
      <c r="T313" s="231"/>
      <c r="U313" s="231"/>
      <c r="V313" s="231"/>
      <c r="W313" s="231"/>
      <c r="X313" s="231"/>
      <c r="Y313" s="231"/>
      <c r="Z313" s="231"/>
      <c r="AA313" s="231"/>
      <c r="AB313" s="231"/>
      <c r="AC313" s="231"/>
      <c r="AD313" s="231"/>
      <c r="AE313" s="231"/>
      <c r="AF313" s="231"/>
      <c r="AG313" s="231"/>
      <c r="AH313" s="231"/>
      <c r="AI313" s="231"/>
      <c r="AJ313" s="231"/>
      <c r="AK313" s="231"/>
      <c r="AL313" s="231"/>
      <c r="AM313" s="231"/>
      <c r="AN313" s="231"/>
    </row>
    <row r="314" spans="1:40" s="203" customFormat="1">
      <c r="A314" s="120">
        <v>4</v>
      </c>
      <c r="B314" s="47" t="s">
        <v>235</v>
      </c>
      <c r="C314" s="47"/>
      <c r="D314" s="186"/>
      <c r="E314" s="114">
        <v>7533</v>
      </c>
      <c r="F314" s="52">
        <v>7168</v>
      </c>
      <c r="G314" s="43"/>
      <c r="H314" s="52">
        <v>7725</v>
      </c>
      <c r="I314" s="21"/>
      <c r="J314" s="231"/>
      <c r="K314" s="231"/>
      <c r="L314" s="231"/>
      <c r="M314" s="231"/>
      <c r="N314" s="231"/>
      <c r="O314" s="231"/>
      <c r="P314" s="231"/>
      <c r="Q314" s="231"/>
      <c r="R314" s="231"/>
      <c r="S314" s="231"/>
      <c r="T314" s="231"/>
      <c r="U314" s="231"/>
      <c r="V314" s="231"/>
      <c r="W314" s="231"/>
      <c r="X314" s="231"/>
      <c r="Y314" s="231"/>
      <c r="Z314" s="231"/>
      <c r="AA314" s="231"/>
      <c r="AB314" s="231"/>
      <c r="AC314" s="231"/>
      <c r="AD314" s="231"/>
      <c r="AE314" s="231"/>
      <c r="AF314" s="231"/>
      <c r="AG314" s="231"/>
      <c r="AH314" s="231"/>
      <c r="AI314" s="231"/>
      <c r="AJ314" s="231"/>
      <c r="AK314" s="231"/>
      <c r="AL314" s="231"/>
      <c r="AM314" s="231"/>
      <c r="AN314" s="231"/>
    </row>
    <row r="315" spans="1:40" s="203" customFormat="1">
      <c r="A315" s="120">
        <v>5</v>
      </c>
      <c r="B315" s="47" t="s">
        <v>236</v>
      </c>
      <c r="C315" s="47"/>
      <c r="D315" s="186"/>
      <c r="E315" s="114">
        <v>1678</v>
      </c>
      <c r="F315" s="52">
        <v>1788</v>
      </c>
      <c r="G315" s="187"/>
      <c r="H315" s="52">
        <v>1852</v>
      </c>
      <c r="I315" s="21"/>
      <c r="J315" s="231"/>
      <c r="K315" s="231"/>
      <c r="L315" s="231"/>
      <c r="M315" s="231"/>
      <c r="N315" s="231"/>
      <c r="O315" s="231"/>
      <c r="P315" s="231"/>
      <c r="Q315" s="231"/>
      <c r="R315" s="231"/>
      <c r="S315" s="231"/>
      <c r="T315" s="231"/>
      <c r="U315" s="231"/>
      <c r="V315" s="231"/>
      <c r="W315" s="231"/>
      <c r="X315" s="231"/>
      <c r="Y315" s="231"/>
      <c r="Z315" s="231"/>
      <c r="AA315" s="231"/>
      <c r="AB315" s="231"/>
      <c r="AC315" s="231"/>
      <c r="AD315" s="231"/>
      <c r="AE315" s="231"/>
      <c r="AF315" s="231"/>
      <c r="AG315" s="231"/>
      <c r="AH315" s="231"/>
      <c r="AI315" s="231"/>
      <c r="AJ315" s="231"/>
      <c r="AK315" s="231"/>
      <c r="AL315" s="231"/>
      <c r="AM315" s="231"/>
      <c r="AN315" s="231"/>
    </row>
    <row r="316" spans="1:40" s="203" customFormat="1">
      <c r="A316" s="120">
        <v>6</v>
      </c>
      <c r="B316" s="47" t="s">
        <v>237</v>
      </c>
      <c r="C316" s="47"/>
      <c r="D316" s="186"/>
      <c r="E316" s="114">
        <v>15506</v>
      </c>
      <c r="F316" s="52">
        <v>15103</v>
      </c>
      <c r="G316" s="43"/>
      <c r="H316" s="52">
        <v>16334</v>
      </c>
      <c r="I316" s="21"/>
      <c r="J316" s="231"/>
      <c r="K316" s="231"/>
      <c r="L316" s="231"/>
      <c r="M316" s="231"/>
      <c r="N316" s="231"/>
      <c r="O316" s="231"/>
      <c r="P316" s="231"/>
      <c r="Q316" s="231"/>
      <c r="R316" s="231"/>
      <c r="S316" s="231"/>
      <c r="T316" s="231"/>
      <c r="U316" s="231"/>
      <c r="V316" s="231"/>
      <c r="W316" s="231"/>
      <c r="X316" s="231"/>
      <c r="Y316" s="231"/>
      <c r="Z316" s="231"/>
      <c r="AA316" s="231"/>
      <c r="AB316" s="231"/>
      <c r="AC316" s="231"/>
      <c r="AD316" s="231"/>
      <c r="AE316" s="231"/>
      <c r="AF316" s="231"/>
      <c r="AG316" s="231"/>
      <c r="AH316" s="231"/>
      <c r="AI316" s="231"/>
      <c r="AJ316" s="231"/>
      <c r="AK316" s="231"/>
      <c r="AL316" s="231"/>
      <c r="AM316" s="231"/>
      <c r="AN316" s="231"/>
    </row>
    <row r="317" spans="1:40" s="203" customFormat="1">
      <c r="A317" s="120">
        <v>7</v>
      </c>
      <c r="B317" s="47" t="s">
        <v>238</v>
      </c>
      <c r="C317" s="47"/>
      <c r="D317" s="186"/>
      <c r="E317" s="114">
        <v>310</v>
      </c>
      <c r="F317" s="52">
        <v>316</v>
      </c>
      <c r="G317" s="43"/>
      <c r="H317" s="52">
        <v>310</v>
      </c>
      <c r="I317" s="21"/>
      <c r="J317" s="231"/>
      <c r="K317" s="231"/>
      <c r="L317" s="231"/>
      <c r="M317" s="231"/>
      <c r="N317" s="231"/>
      <c r="O317" s="231"/>
      <c r="P317" s="231"/>
      <c r="Q317" s="231"/>
      <c r="R317" s="231"/>
      <c r="S317" s="231"/>
      <c r="T317" s="231"/>
      <c r="U317" s="231"/>
      <c r="V317" s="231"/>
      <c r="W317" s="231"/>
      <c r="X317" s="231"/>
      <c r="Y317" s="231"/>
      <c r="Z317" s="231"/>
      <c r="AA317" s="231"/>
      <c r="AB317" s="231"/>
      <c r="AC317" s="231"/>
      <c r="AD317" s="231"/>
      <c r="AE317" s="231"/>
      <c r="AF317" s="231"/>
      <c r="AG317" s="231"/>
      <c r="AH317" s="231"/>
      <c r="AI317" s="231"/>
      <c r="AJ317" s="231"/>
      <c r="AK317" s="231"/>
      <c r="AL317" s="231"/>
      <c r="AM317" s="231"/>
      <c r="AN317" s="231"/>
    </row>
    <row r="318" spans="1:40" s="203" customFormat="1">
      <c r="A318" s="120">
        <v>8</v>
      </c>
      <c r="B318" s="47" t="s">
        <v>239</v>
      </c>
      <c r="C318" s="47"/>
      <c r="D318" s="186"/>
      <c r="E318" s="114">
        <v>197</v>
      </c>
      <c r="F318" s="52">
        <v>203</v>
      </c>
      <c r="G318" s="43"/>
      <c r="H318" s="52">
        <v>213</v>
      </c>
      <c r="I318" s="21"/>
      <c r="J318" s="231"/>
      <c r="K318" s="231"/>
      <c r="L318" s="231"/>
      <c r="M318" s="231"/>
      <c r="N318" s="231"/>
      <c r="O318" s="231"/>
      <c r="P318" s="231"/>
      <c r="Q318" s="231"/>
      <c r="R318" s="231"/>
      <c r="S318" s="231"/>
      <c r="T318" s="231"/>
      <c r="U318" s="231"/>
      <c r="V318" s="231"/>
      <c r="W318" s="231"/>
      <c r="X318" s="231"/>
      <c r="Y318" s="231"/>
      <c r="Z318" s="231"/>
      <c r="AA318" s="231"/>
      <c r="AB318" s="231"/>
      <c r="AC318" s="231"/>
      <c r="AD318" s="231"/>
      <c r="AE318" s="231"/>
      <c r="AF318" s="231"/>
      <c r="AG318" s="231"/>
      <c r="AH318" s="231"/>
      <c r="AI318" s="231"/>
      <c r="AJ318" s="231"/>
      <c r="AK318" s="231"/>
      <c r="AL318" s="231"/>
      <c r="AM318" s="231"/>
      <c r="AN318" s="231"/>
    </row>
    <row r="319" spans="1:40" s="203" customFormat="1">
      <c r="A319" s="656">
        <v>9</v>
      </c>
      <c r="B319" s="90" t="s">
        <v>260</v>
      </c>
      <c r="C319" s="47"/>
      <c r="D319" s="47"/>
      <c r="E319" s="114">
        <v>0</v>
      </c>
      <c r="F319" s="188"/>
      <c r="G319" s="43"/>
      <c r="H319" s="189">
        <v>0</v>
      </c>
      <c r="I319" s="21"/>
      <c r="J319" s="231"/>
      <c r="K319" s="231"/>
      <c r="L319" s="231"/>
      <c r="M319" s="231"/>
      <c r="N319" s="231"/>
      <c r="O319" s="231"/>
      <c r="P319" s="231"/>
      <c r="Q319" s="231"/>
      <c r="R319" s="231"/>
      <c r="S319" s="231"/>
      <c r="T319" s="231"/>
      <c r="U319" s="231"/>
      <c r="V319" s="231"/>
      <c r="W319" s="231"/>
      <c r="X319" s="231"/>
      <c r="Y319" s="231"/>
      <c r="Z319" s="231"/>
      <c r="AA319" s="231"/>
      <c r="AB319" s="231"/>
      <c r="AC319" s="231"/>
      <c r="AD319" s="231"/>
      <c r="AE319" s="231"/>
      <c r="AF319" s="231"/>
      <c r="AG319" s="231"/>
      <c r="AH319" s="231"/>
      <c r="AI319" s="231"/>
      <c r="AJ319" s="231"/>
      <c r="AK319" s="231"/>
      <c r="AL319" s="231"/>
      <c r="AM319" s="231"/>
      <c r="AN319" s="231"/>
    </row>
    <row r="320" spans="1:40" s="203" customFormat="1">
      <c r="A320" s="124">
        <v>10</v>
      </c>
      <c r="B320" s="94" t="s">
        <v>62</v>
      </c>
      <c r="C320" s="94"/>
      <c r="D320" s="94"/>
      <c r="E320" s="159">
        <v>25044</v>
      </c>
      <c r="F320" s="61">
        <f>F311+F312+F313+F314+F315+F316+F317+F318</f>
        <v>24400</v>
      </c>
      <c r="G320" s="118"/>
      <c r="H320" s="61">
        <f>H311+H312+H313+H314+H315+H316+H317+H318+H319</f>
        <v>26367</v>
      </c>
      <c r="I320" s="183"/>
      <c r="J320" s="231"/>
      <c r="K320" s="231"/>
      <c r="L320" s="231"/>
      <c r="M320" s="231"/>
      <c r="N320" s="231"/>
      <c r="O320" s="231"/>
      <c r="P320" s="231"/>
      <c r="Q320" s="231"/>
      <c r="R320" s="231"/>
      <c r="S320" s="231"/>
      <c r="T320" s="231"/>
      <c r="U320" s="231"/>
      <c r="V320" s="231"/>
      <c r="W320" s="231"/>
      <c r="X320" s="231"/>
      <c r="Y320" s="231"/>
      <c r="Z320" s="231"/>
      <c r="AA320" s="231"/>
      <c r="AB320" s="231"/>
      <c r="AC320" s="231"/>
      <c r="AD320" s="231"/>
      <c r="AE320" s="231"/>
      <c r="AF320" s="231"/>
      <c r="AG320" s="231"/>
      <c r="AH320" s="231"/>
      <c r="AI320" s="231"/>
      <c r="AJ320" s="231"/>
      <c r="AK320" s="231"/>
      <c r="AL320" s="231"/>
      <c r="AM320" s="231"/>
      <c r="AN320" s="231"/>
    </row>
    <row r="321" spans="1:40" s="203" customFormat="1">
      <c r="A321" s="179"/>
      <c r="B321" s="180"/>
      <c r="C321" s="180"/>
      <c r="D321" s="180"/>
      <c r="E321" s="180"/>
      <c r="F321" s="183"/>
      <c r="G321" s="21"/>
      <c r="H321" s="183"/>
      <c r="I321" s="183"/>
      <c r="J321" s="231"/>
      <c r="K321" s="231"/>
      <c r="L321" s="231"/>
      <c r="M321" s="231"/>
      <c r="N321" s="231"/>
      <c r="O321" s="231"/>
      <c r="P321" s="231"/>
      <c r="Q321" s="231"/>
      <c r="R321" s="231"/>
      <c r="S321" s="231"/>
      <c r="T321" s="231"/>
      <c r="U321" s="231"/>
      <c r="V321" s="231"/>
      <c r="W321" s="231"/>
      <c r="X321" s="231"/>
      <c r="Y321" s="231"/>
      <c r="Z321" s="231"/>
      <c r="AA321" s="231"/>
      <c r="AB321" s="231"/>
      <c r="AC321" s="231"/>
      <c r="AD321" s="231"/>
      <c r="AE321" s="231"/>
      <c r="AF321" s="231"/>
      <c r="AG321" s="231"/>
      <c r="AH321" s="231"/>
      <c r="AI321" s="231"/>
      <c r="AJ321" s="231"/>
      <c r="AK321" s="231"/>
      <c r="AL321" s="231"/>
      <c r="AM321" s="231"/>
      <c r="AN321" s="231"/>
    </row>
    <row r="322" spans="1:40" s="203" customFormat="1">
      <c r="A322" s="148"/>
      <c r="B322" s="207"/>
      <c r="C322" s="207"/>
      <c r="D322" s="29"/>
      <c r="E322" s="29"/>
      <c r="F322" s="29"/>
      <c r="G322" s="29"/>
      <c r="H322" s="31" t="s">
        <v>27</v>
      </c>
      <c r="I322" s="2"/>
      <c r="J322" s="231"/>
      <c r="K322" s="231"/>
      <c r="L322" s="231"/>
      <c r="M322" s="231"/>
      <c r="N322" s="231"/>
      <c r="O322" s="231"/>
      <c r="P322" s="231"/>
      <c r="Q322" s="231"/>
      <c r="R322" s="231"/>
      <c r="S322" s="231"/>
      <c r="T322" s="231"/>
      <c r="U322" s="231"/>
      <c r="V322" s="231"/>
      <c r="W322" s="231"/>
      <c r="X322" s="231"/>
      <c r="Y322" s="231"/>
      <c r="Z322" s="231"/>
      <c r="AA322" s="231"/>
      <c r="AB322" s="231"/>
      <c r="AC322" s="231"/>
      <c r="AD322" s="231"/>
      <c r="AE322" s="231"/>
      <c r="AF322" s="231"/>
      <c r="AG322" s="231"/>
      <c r="AH322" s="231"/>
      <c r="AI322" s="231"/>
      <c r="AJ322" s="231"/>
      <c r="AK322" s="231"/>
      <c r="AL322" s="231"/>
      <c r="AM322" s="231"/>
      <c r="AN322" s="231"/>
    </row>
    <row r="323" spans="1:40" s="203" customFormat="1">
      <c r="A323" s="190" t="s">
        <v>240</v>
      </c>
      <c r="B323" s="263"/>
      <c r="C323" s="861" t="s">
        <v>405</v>
      </c>
      <c r="D323" s="862"/>
      <c r="E323" s="862"/>
      <c r="F323" s="862"/>
      <c r="G323" s="862"/>
      <c r="H323" s="863"/>
      <c r="I323" s="210"/>
      <c r="J323" s="231"/>
      <c r="K323" s="231"/>
      <c r="L323" s="231"/>
      <c r="M323" s="231"/>
      <c r="N323" s="231"/>
      <c r="O323" s="231"/>
      <c r="P323" s="231"/>
      <c r="Q323" s="231"/>
      <c r="R323" s="231"/>
      <c r="S323" s="231"/>
      <c r="T323" s="231"/>
      <c r="U323" s="231"/>
      <c r="V323" s="231"/>
      <c r="W323" s="231"/>
      <c r="X323" s="231"/>
      <c r="Y323" s="231"/>
      <c r="Z323" s="231"/>
      <c r="AA323" s="231"/>
      <c r="AB323" s="231"/>
      <c r="AC323" s="231"/>
      <c r="AD323" s="231"/>
      <c r="AE323" s="231"/>
      <c r="AF323" s="231"/>
      <c r="AG323" s="231"/>
      <c r="AH323" s="231"/>
      <c r="AI323" s="231"/>
      <c r="AJ323" s="231"/>
      <c r="AK323" s="231"/>
      <c r="AL323" s="231"/>
      <c r="AM323" s="231"/>
      <c r="AN323" s="231"/>
    </row>
    <row r="324" spans="1:40" s="203" customFormat="1" ht="39" thickBot="1">
      <c r="A324" s="110" t="s">
        <v>84</v>
      </c>
      <c r="B324" s="116"/>
      <c r="C324" s="35" t="s">
        <v>52</v>
      </c>
      <c r="D324" s="35" t="s">
        <v>53</v>
      </c>
      <c r="E324" s="37" t="s">
        <v>54</v>
      </c>
      <c r="F324" s="37" t="s">
        <v>55</v>
      </c>
      <c r="G324" s="37" t="s">
        <v>241</v>
      </c>
      <c r="H324" s="35" t="s">
        <v>121</v>
      </c>
      <c r="I324" s="29"/>
      <c r="J324" s="231"/>
      <c r="K324" s="231"/>
      <c r="L324" s="231"/>
      <c r="M324" s="231"/>
      <c r="N324" s="231"/>
      <c r="O324" s="231"/>
      <c r="P324" s="231"/>
      <c r="Q324" s="231"/>
      <c r="R324" s="231"/>
      <c r="S324" s="231"/>
      <c r="T324" s="231"/>
      <c r="U324" s="231"/>
      <c r="V324" s="231"/>
      <c r="W324" s="231"/>
      <c r="X324" s="231"/>
      <c r="Y324" s="231"/>
      <c r="Z324" s="231"/>
      <c r="AA324" s="231"/>
      <c r="AB324" s="231"/>
      <c r="AC324" s="231"/>
      <c r="AD324" s="231"/>
      <c r="AE324" s="231"/>
      <c r="AF324" s="231"/>
      <c r="AG324" s="231"/>
      <c r="AH324" s="231"/>
      <c r="AI324" s="231"/>
      <c r="AJ324" s="231"/>
      <c r="AK324" s="231"/>
      <c r="AL324" s="231"/>
      <c r="AM324" s="231"/>
      <c r="AN324" s="231"/>
    </row>
    <row r="325" spans="1:40" s="203" customFormat="1" ht="13.5" thickBot="1">
      <c r="A325" s="656">
        <v>1</v>
      </c>
      <c r="B325" s="116" t="s">
        <v>242</v>
      </c>
      <c r="C325" s="193">
        <f t="shared" ref="C325:H325" si="0">SUM(C326:C329)</f>
        <v>10914</v>
      </c>
      <c r="D325" s="193">
        <f t="shared" si="0"/>
        <v>0</v>
      </c>
      <c r="E325" s="193">
        <v>0</v>
      </c>
      <c r="F325" s="193">
        <f t="shared" si="0"/>
        <v>0</v>
      </c>
      <c r="G325" s="193">
        <f>SUM(G326:G329)</f>
        <v>0</v>
      </c>
      <c r="H325" s="193">
        <f t="shared" si="0"/>
        <v>0</v>
      </c>
      <c r="I325" s="207"/>
      <c r="J325" s="231"/>
      <c r="K325" s="231"/>
      <c r="L325" s="231"/>
      <c r="M325" s="231"/>
      <c r="N325" s="231"/>
      <c r="O325" s="231"/>
      <c r="P325" s="231"/>
      <c r="Q325" s="231"/>
      <c r="R325" s="231"/>
      <c r="S325" s="231"/>
      <c r="T325" s="231"/>
      <c r="U325" s="231"/>
      <c r="V325" s="231"/>
      <c r="W325" s="231"/>
      <c r="X325" s="231"/>
      <c r="Y325" s="231"/>
      <c r="Z325" s="231"/>
      <c r="AA325" s="231"/>
      <c r="AB325" s="231"/>
      <c r="AC325" s="231"/>
      <c r="AD325" s="231"/>
      <c r="AE325" s="231"/>
      <c r="AF325" s="231"/>
      <c r="AG325" s="231"/>
      <c r="AH325" s="231"/>
      <c r="AI325" s="231"/>
      <c r="AJ325" s="231"/>
      <c r="AK325" s="231"/>
      <c r="AL325" s="231"/>
      <c r="AM325" s="231"/>
      <c r="AN325" s="231"/>
    </row>
    <row r="326" spans="1:40" s="203" customFormat="1">
      <c r="A326" s="656">
        <v>2</v>
      </c>
      <c r="B326" s="47" t="s">
        <v>243</v>
      </c>
      <c r="C326" s="169">
        <v>4974</v>
      </c>
      <c r="D326" s="169"/>
      <c r="E326" s="169"/>
      <c r="F326" s="169"/>
      <c r="G326" s="169"/>
      <c r="H326" s="169"/>
      <c r="I326" s="207"/>
      <c r="J326" s="231"/>
      <c r="K326" s="231"/>
      <c r="L326" s="231"/>
      <c r="M326" s="231"/>
      <c r="N326" s="231"/>
      <c r="O326" s="231"/>
      <c r="P326" s="231"/>
      <c r="Q326" s="231"/>
      <c r="R326" s="231"/>
      <c r="S326" s="231"/>
      <c r="T326" s="231"/>
      <c r="U326" s="231"/>
      <c r="V326" s="231"/>
      <c r="W326" s="231"/>
      <c r="X326" s="231"/>
      <c r="Y326" s="231"/>
      <c r="Z326" s="231"/>
      <c r="AA326" s="231"/>
      <c r="AB326" s="231"/>
      <c r="AC326" s="231"/>
      <c r="AD326" s="231"/>
      <c r="AE326" s="231"/>
      <c r="AF326" s="231"/>
      <c r="AG326" s="231"/>
      <c r="AH326" s="231"/>
      <c r="AI326" s="231"/>
      <c r="AJ326" s="231"/>
      <c r="AK326" s="231"/>
      <c r="AL326" s="231"/>
      <c r="AM326" s="231"/>
      <c r="AN326" s="231"/>
    </row>
    <row r="327" spans="1:40" s="203" customFormat="1">
      <c r="A327" s="656">
        <v>3</v>
      </c>
      <c r="B327" s="47" t="s">
        <v>244</v>
      </c>
      <c r="C327" s="99">
        <v>4152</v>
      </c>
      <c r="D327" s="99"/>
      <c r="E327" s="99"/>
      <c r="F327" s="99"/>
      <c r="G327" s="99"/>
      <c r="H327" s="99"/>
      <c r="I327" s="207"/>
      <c r="J327" s="231"/>
      <c r="K327" s="231"/>
      <c r="L327" s="231"/>
      <c r="M327" s="231"/>
      <c r="N327" s="231"/>
      <c r="O327" s="231"/>
      <c r="P327" s="231"/>
      <c r="Q327" s="231"/>
      <c r="R327" s="231"/>
      <c r="S327" s="231"/>
      <c r="T327" s="231"/>
      <c r="U327" s="231"/>
      <c r="V327" s="231"/>
      <c r="W327" s="231"/>
      <c r="X327" s="231"/>
      <c r="Y327" s="231"/>
      <c r="Z327" s="231"/>
      <c r="AA327" s="231"/>
      <c r="AB327" s="231"/>
      <c r="AC327" s="231"/>
      <c r="AD327" s="231"/>
      <c r="AE327" s="231"/>
      <c r="AF327" s="231"/>
      <c r="AG327" s="231"/>
      <c r="AH327" s="231"/>
      <c r="AI327" s="231"/>
      <c r="AJ327" s="231"/>
      <c r="AK327" s="231"/>
      <c r="AL327" s="231"/>
      <c r="AM327" s="231"/>
      <c r="AN327" s="231"/>
    </row>
    <row r="328" spans="1:40" s="203" customFormat="1">
      <c r="A328" s="656">
        <v>4</v>
      </c>
      <c r="B328" s="47" t="s">
        <v>245</v>
      </c>
      <c r="C328" s="99">
        <v>1788</v>
      </c>
      <c r="D328" s="99"/>
      <c r="E328" s="99"/>
      <c r="F328" s="99"/>
      <c r="G328" s="99"/>
      <c r="H328" s="99"/>
      <c r="I328" s="207"/>
      <c r="J328" s="231"/>
      <c r="K328" s="231"/>
      <c r="L328" s="231"/>
      <c r="M328" s="231"/>
      <c r="N328" s="231"/>
      <c r="O328" s="231"/>
      <c r="P328" s="231"/>
      <c r="Q328" s="231"/>
      <c r="R328" s="231"/>
      <c r="S328" s="231"/>
      <c r="T328" s="231"/>
      <c r="U328" s="231"/>
      <c r="V328" s="231"/>
      <c r="W328" s="231"/>
      <c r="X328" s="231"/>
      <c r="Y328" s="231"/>
      <c r="Z328" s="231"/>
      <c r="AA328" s="231"/>
      <c r="AB328" s="231"/>
      <c r="AC328" s="231"/>
      <c r="AD328" s="231"/>
      <c r="AE328" s="231"/>
      <c r="AF328" s="231"/>
      <c r="AG328" s="231"/>
      <c r="AH328" s="231"/>
      <c r="AI328" s="231"/>
      <c r="AJ328" s="231"/>
      <c r="AK328" s="231"/>
      <c r="AL328" s="231"/>
      <c r="AM328" s="231"/>
      <c r="AN328" s="231"/>
    </row>
    <row r="329" spans="1:40" s="203" customFormat="1">
      <c r="A329" s="657">
        <v>5</v>
      </c>
      <c r="B329" s="54" t="s">
        <v>246</v>
      </c>
      <c r="C329" s="100">
        <v>0</v>
      </c>
      <c r="D329" s="100"/>
      <c r="E329" s="100"/>
      <c r="F329" s="100"/>
      <c r="G329" s="100"/>
      <c r="H329" s="100"/>
      <c r="I329" s="207"/>
      <c r="J329" s="231"/>
      <c r="K329" s="231"/>
      <c r="L329" s="231"/>
      <c r="M329" s="231"/>
      <c r="N329" s="231"/>
      <c r="O329" s="231"/>
      <c r="P329" s="231"/>
      <c r="Q329" s="231"/>
      <c r="R329" s="231"/>
      <c r="S329" s="231"/>
      <c r="T329" s="231"/>
      <c r="U329" s="231"/>
      <c r="V329" s="231"/>
      <c r="W329" s="231"/>
      <c r="X329" s="231"/>
      <c r="Y329" s="231"/>
      <c r="Z329" s="231"/>
      <c r="AA329" s="231"/>
      <c r="AB329" s="231"/>
      <c r="AC329" s="231"/>
      <c r="AD329" s="231"/>
      <c r="AE329" s="231"/>
      <c r="AF329" s="231"/>
      <c r="AG329" s="231"/>
      <c r="AH329" s="231"/>
      <c r="AI329" s="231"/>
      <c r="AJ329" s="231"/>
      <c r="AK329" s="231"/>
      <c r="AL329" s="231"/>
      <c r="AM329" s="231"/>
      <c r="AN329" s="231"/>
    </row>
    <row r="330" spans="1:40" s="203" customFormat="1">
      <c r="A330" s="656"/>
      <c r="B330" s="47"/>
      <c r="C330" s="864" t="s">
        <v>404</v>
      </c>
      <c r="D330" s="865"/>
      <c r="E330" s="865"/>
      <c r="F330" s="865"/>
      <c r="G330" s="865"/>
      <c r="H330" s="866"/>
      <c r="I330" s="207"/>
      <c r="J330" s="231"/>
      <c r="K330" s="231"/>
      <c r="L330" s="231"/>
      <c r="M330" s="231"/>
      <c r="N330" s="231"/>
      <c r="O330" s="231"/>
      <c r="P330" s="231"/>
      <c r="Q330" s="231"/>
      <c r="R330" s="231"/>
      <c r="S330" s="231"/>
      <c r="T330" s="231"/>
      <c r="U330" s="231"/>
      <c r="V330" s="231"/>
      <c r="W330" s="231"/>
      <c r="X330" s="231"/>
      <c r="Y330" s="231"/>
      <c r="Z330" s="231"/>
      <c r="AA330" s="231"/>
      <c r="AB330" s="231"/>
      <c r="AC330" s="231"/>
      <c r="AD330" s="231"/>
      <c r="AE330" s="231"/>
      <c r="AF330" s="231"/>
      <c r="AG330" s="231"/>
      <c r="AH330" s="231"/>
      <c r="AI330" s="231"/>
      <c r="AJ330" s="231"/>
      <c r="AK330" s="231"/>
      <c r="AL330" s="231"/>
      <c r="AM330" s="231"/>
      <c r="AN330" s="231"/>
    </row>
    <row r="331" spans="1:40" s="203" customFormat="1" ht="39" thickBot="1">
      <c r="A331" s="110" t="s">
        <v>84</v>
      </c>
      <c r="B331" s="116"/>
      <c r="C331" s="35" t="s">
        <v>52</v>
      </c>
      <c r="D331" s="35" t="s">
        <v>53</v>
      </c>
      <c r="E331" s="37" t="s">
        <v>54</v>
      </c>
      <c r="F331" s="37" t="s">
        <v>55</v>
      </c>
      <c r="G331" s="37" t="s">
        <v>241</v>
      </c>
      <c r="H331" s="35" t="s">
        <v>121</v>
      </c>
      <c r="I331" s="207"/>
      <c r="J331" s="231"/>
      <c r="K331" s="231"/>
      <c r="L331" s="231"/>
      <c r="M331" s="231"/>
      <c r="N331" s="231"/>
      <c r="O331" s="231"/>
      <c r="P331" s="231"/>
      <c r="Q331" s="231"/>
      <c r="R331" s="231"/>
      <c r="S331" s="231"/>
      <c r="T331" s="231"/>
      <c r="U331" s="231"/>
      <c r="V331" s="231"/>
      <c r="W331" s="231"/>
      <c r="X331" s="231"/>
      <c r="Y331" s="231"/>
      <c r="Z331" s="231"/>
      <c r="AA331" s="231"/>
      <c r="AB331" s="231"/>
      <c r="AC331" s="231"/>
      <c r="AD331" s="231"/>
      <c r="AE331" s="231"/>
      <c r="AF331" s="231"/>
      <c r="AG331" s="231"/>
      <c r="AH331" s="231"/>
      <c r="AI331" s="231"/>
      <c r="AJ331" s="231"/>
      <c r="AK331" s="231"/>
      <c r="AL331" s="231"/>
      <c r="AM331" s="231"/>
      <c r="AN331" s="231"/>
    </row>
    <row r="332" spans="1:40" s="203" customFormat="1" ht="13.5" thickBot="1">
      <c r="A332" s="656">
        <v>1</v>
      </c>
      <c r="B332" s="116" t="s">
        <v>242</v>
      </c>
      <c r="C332" s="193">
        <f t="shared" ref="C332:H332" si="1">SUM(C333:C336)</f>
        <v>11214</v>
      </c>
      <c r="D332" s="193">
        <f t="shared" si="1"/>
        <v>0</v>
      </c>
      <c r="E332" s="193">
        <v>0</v>
      </c>
      <c r="F332" s="193">
        <f t="shared" si="1"/>
        <v>0</v>
      </c>
      <c r="G332" s="193">
        <f>SUM(G333:G336)</f>
        <v>0</v>
      </c>
      <c r="H332" s="193">
        <f t="shared" si="1"/>
        <v>0</v>
      </c>
      <c r="I332" s="207"/>
      <c r="J332" s="231"/>
      <c r="K332" s="231"/>
      <c r="L332" s="231"/>
      <c r="M332" s="231"/>
      <c r="N332" s="231"/>
      <c r="O332" s="231"/>
      <c r="P332" s="231"/>
      <c r="Q332" s="231"/>
      <c r="R332" s="231"/>
      <c r="S332" s="231"/>
      <c r="T332" s="231"/>
      <c r="U332" s="231"/>
      <c r="V332" s="231"/>
      <c r="W332" s="231"/>
      <c r="X332" s="231"/>
      <c r="Y332" s="231"/>
      <c r="Z332" s="231"/>
      <c r="AA332" s="231"/>
      <c r="AB332" s="231"/>
      <c r="AC332" s="231"/>
      <c r="AD332" s="231"/>
      <c r="AE332" s="231"/>
      <c r="AF332" s="231"/>
      <c r="AG332" s="231"/>
      <c r="AH332" s="231"/>
      <c r="AI332" s="231"/>
      <c r="AJ332" s="231"/>
      <c r="AK332" s="231"/>
      <c r="AL332" s="231"/>
      <c r="AM332" s="231"/>
      <c r="AN332" s="231"/>
    </row>
    <row r="333" spans="1:40" s="203" customFormat="1">
      <c r="A333" s="656">
        <v>2</v>
      </c>
      <c r="B333" s="47" t="s">
        <v>243</v>
      </c>
      <c r="C333" s="169">
        <v>5189</v>
      </c>
      <c r="D333" s="169"/>
      <c r="E333" s="169"/>
      <c r="F333" s="169"/>
      <c r="G333" s="169"/>
      <c r="H333" s="169"/>
      <c r="I333" s="207"/>
      <c r="J333" s="231"/>
      <c r="K333" s="231"/>
      <c r="L333" s="231"/>
      <c r="M333" s="231"/>
      <c r="N333" s="231"/>
      <c r="O333" s="231"/>
      <c r="P333" s="231"/>
      <c r="Q333" s="231"/>
      <c r="R333" s="231"/>
      <c r="S333" s="231"/>
      <c r="T333" s="231"/>
      <c r="U333" s="231"/>
      <c r="V333" s="231"/>
      <c r="W333" s="231"/>
      <c r="X333" s="231"/>
      <c r="Y333" s="231"/>
      <c r="Z333" s="231"/>
      <c r="AA333" s="231"/>
      <c r="AB333" s="231"/>
      <c r="AC333" s="231"/>
      <c r="AD333" s="231"/>
      <c r="AE333" s="231"/>
      <c r="AF333" s="231"/>
      <c r="AG333" s="231"/>
      <c r="AH333" s="231"/>
      <c r="AI333" s="231"/>
      <c r="AJ333" s="231"/>
      <c r="AK333" s="231"/>
      <c r="AL333" s="231"/>
      <c r="AM333" s="231"/>
      <c r="AN333" s="231"/>
    </row>
    <row r="334" spans="1:40" s="203" customFormat="1">
      <c r="A334" s="656">
        <v>3</v>
      </c>
      <c r="B334" s="47" t="s">
        <v>244</v>
      </c>
      <c r="C334" s="99">
        <v>4173</v>
      </c>
      <c r="D334" s="99"/>
      <c r="E334" s="99"/>
      <c r="F334" s="99"/>
      <c r="G334" s="99"/>
      <c r="H334" s="99"/>
      <c r="I334" s="207"/>
      <c r="J334" s="231"/>
      <c r="K334" s="231"/>
      <c r="L334" s="231"/>
      <c r="M334" s="231"/>
      <c r="N334" s="231"/>
      <c r="O334" s="231"/>
      <c r="P334" s="231"/>
      <c r="Q334" s="231"/>
      <c r="R334" s="231"/>
      <c r="S334" s="231"/>
      <c r="T334" s="231"/>
      <c r="U334" s="231"/>
      <c r="V334" s="231"/>
      <c r="W334" s="231"/>
      <c r="X334" s="231"/>
      <c r="Y334" s="231"/>
      <c r="Z334" s="231"/>
      <c r="AA334" s="231"/>
      <c r="AB334" s="231"/>
      <c r="AC334" s="231"/>
      <c r="AD334" s="231"/>
      <c r="AE334" s="231"/>
      <c r="AF334" s="231"/>
      <c r="AG334" s="231"/>
      <c r="AH334" s="231"/>
      <c r="AI334" s="231"/>
      <c r="AJ334" s="231"/>
      <c r="AK334" s="231"/>
      <c r="AL334" s="231"/>
      <c r="AM334" s="231"/>
      <c r="AN334" s="231"/>
    </row>
    <row r="335" spans="1:40" s="203" customFormat="1">
      <c r="A335" s="656">
        <v>4</v>
      </c>
      <c r="B335" s="47" t="s">
        <v>245</v>
      </c>
      <c r="C335" s="99">
        <v>1852</v>
      </c>
      <c r="D335" s="99"/>
      <c r="E335" s="99"/>
      <c r="F335" s="99"/>
      <c r="G335" s="99"/>
      <c r="H335" s="99"/>
      <c r="I335" s="207"/>
      <c r="J335" s="231"/>
      <c r="K335" s="231"/>
      <c r="L335" s="231"/>
      <c r="M335" s="231"/>
      <c r="N335" s="231"/>
      <c r="O335" s="231"/>
      <c r="P335" s="231"/>
      <c r="Q335" s="231"/>
      <c r="R335" s="231"/>
      <c r="S335" s="231"/>
      <c r="T335" s="231"/>
      <c r="U335" s="231"/>
      <c r="V335" s="231"/>
      <c r="W335" s="231"/>
      <c r="X335" s="231"/>
      <c r="Y335" s="231"/>
      <c r="Z335" s="231"/>
      <c r="AA335" s="231"/>
      <c r="AB335" s="231"/>
      <c r="AC335" s="231"/>
      <c r="AD335" s="231"/>
      <c r="AE335" s="231"/>
      <c r="AF335" s="231"/>
      <c r="AG335" s="231"/>
      <c r="AH335" s="231"/>
      <c r="AI335" s="231"/>
      <c r="AJ335" s="231"/>
      <c r="AK335" s="231"/>
      <c r="AL335" s="231"/>
      <c r="AM335" s="231"/>
      <c r="AN335" s="231"/>
    </row>
    <row r="336" spans="1:40" s="203" customFormat="1">
      <c r="A336" s="657">
        <v>5</v>
      </c>
      <c r="B336" s="54" t="s">
        <v>246</v>
      </c>
      <c r="C336" s="100">
        <v>0</v>
      </c>
      <c r="D336" s="100"/>
      <c r="E336" s="100"/>
      <c r="F336" s="100"/>
      <c r="G336" s="100"/>
      <c r="H336" s="100"/>
      <c r="I336" s="207"/>
      <c r="J336" s="231"/>
      <c r="K336" s="231"/>
      <c r="L336" s="231"/>
      <c r="M336" s="231"/>
      <c r="N336" s="231"/>
      <c r="O336" s="231"/>
      <c r="P336" s="231"/>
      <c r="Q336" s="231"/>
      <c r="R336" s="231"/>
      <c r="S336" s="231"/>
      <c r="T336" s="231"/>
      <c r="U336" s="231"/>
      <c r="V336" s="231"/>
      <c r="W336" s="231"/>
      <c r="X336" s="231"/>
      <c r="Y336" s="231"/>
      <c r="Z336" s="231"/>
      <c r="AA336" s="231"/>
      <c r="AB336" s="231"/>
      <c r="AC336" s="231"/>
      <c r="AD336" s="231"/>
      <c r="AE336" s="231"/>
      <c r="AF336" s="231"/>
      <c r="AG336" s="231"/>
      <c r="AH336" s="231"/>
      <c r="AI336" s="231"/>
      <c r="AJ336" s="231"/>
      <c r="AK336" s="231"/>
      <c r="AL336" s="231"/>
      <c r="AM336" s="231"/>
      <c r="AN336" s="231"/>
    </row>
    <row r="337" spans="1:40" s="203" customFormat="1">
      <c r="A337" s="23"/>
      <c r="B337" s="207"/>
      <c r="C337" s="207"/>
      <c r="D337" s="207"/>
      <c r="E337" s="207"/>
      <c r="F337" s="207"/>
      <c r="G337" s="207"/>
      <c r="H337" s="21"/>
      <c r="I337" s="21"/>
      <c r="J337" s="231"/>
      <c r="K337" s="231"/>
      <c r="L337" s="231"/>
      <c r="M337" s="231"/>
      <c r="N337" s="231"/>
      <c r="O337" s="231"/>
      <c r="P337" s="231"/>
      <c r="Q337" s="231"/>
      <c r="R337" s="231"/>
      <c r="S337" s="231"/>
      <c r="T337" s="231"/>
      <c r="U337" s="231"/>
      <c r="V337" s="231"/>
      <c r="W337" s="231"/>
      <c r="X337" s="231"/>
      <c r="Y337" s="231"/>
      <c r="Z337" s="231"/>
      <c r="AA337" s="231"/>
      <c r="AB337" s="231"/>
      <c r="AC337" s="231"/>
      <c r="AD337" s="231"/>
      <c r="AE337" s="231"/>
      <c r="AF337" s="231"/>
      <c r="AG337" s="231"/>
      <c r="AH337" s="231"/>
      <c r="AI337" s="231"/>
      <c r="AJ337" s="231"/>
      <c r="AK337" s="231"/>
      <c r="AL337" s="231"/>
      <c r="AM337" s="231"/>
      <c r="AN337" s="231"/>
    </row>
    <row r="338" spans="1:40" s="203" customFormat="1" ht="12.75" customHeight="1">
      <c r="A338" s="23"/>
      <c r="B338" s="207"/>
      <c r="C338" s="207"/>
      <c r="D338" s="207"/>
      <c r="E338" s="207"/>
      <c r="F338" s="207"/>
      <c r="G338" s="207"/>
      <c r="H338" s="21"/>
      <c r="I338" s="21"/>
      <c r="J338" s="231"/>
      <c r="K338" s="231"/>
      <c r="L338" s="231"/>
      <c r="M338" s="231"/>
      <c r="N338" s="231"/>
      <c r="O338" s="231"/>
      <c r="P338" s="231"/>
      <c r="Q338" s="231"/>
      <c r="R338" s="231"/>
      <c r="S338" s="231"/>
      <c r="T338" s="231"/>
      <c r="U338" s="231"/>
      <c r="V338" s="231"/>
      <c r="W338" s="231"/>
      <c r="X338" s="231"/>
      <c r="Y338" s="231"/>
      <c r="Z338" s="231"/>
      <c r="AA338" s="231"/>
      <c r="AB338" s="231"/>
      <c r="AC338" s="231"/>
      <c r="AD338" s="231"/>
      <c r="AE338" s="231"/>
      <c r="AF338" s="231"/>
      <c r="AG338" s="231"/>
      <c r="AH338" s="231"/>
      <c r="AI338" s="231"/>
      <c r="AJ338" s="231"/>
      <c r="AK338" s="231"/>
      <c r="AL338" s="231"/>
      <c r="AM338" s="231"/>
      <c r="AN338" s="231"/>
    </row>
    <row r="339" spans="1:40" s="203" customFormat="1">
      <c r="A339" s="23"/>
      <c r="B339" s="207"/>
      <c r="C339" s="207"/>
      <c r="D339" s="207"/>
      <c r="E339" s="207"/>
      <c r="F339" s="207"/>
      <c r="G339" s="207"/>
      <c r="H339" s="21"/>
      <c r="I339" s="21"/>
      <c r="J339" s="231"/>
      <c r="K339" s="231"/>
      <c r="L339" s="231"/>
      <c r="M339" s="231"/>
      <c r="N339" s="231"/>
      <c r="O339" s="231"/>
      <c r="P339" s="231"/>
      <c r="Q339" s="231"/>
      <c r="R339" s="231"/>
      <c r="S339" s="231"/>
      <c r="T339" s="231"/>
      <c r="U339" s="231"/>
      <c r="V339" s="231"/>
      <c r="W339" s="231"/>
      <c r="X339" s="231"/>
      <c r="Y339" s="231"/>
      <c r="Z339" s="231"/>
      <c r="AA339" s="231"/>
      <c r="AB339" s="231"/>
      <c r="AC339" s="231"/>
      <c r="AD339" s="231"/>
      <c r="AE339" s="231"/>
      <c r="AF339" s="231"/>
      <c r="AG339" s="231"/>
      <c r="AH339" s="231"/>
      <c r="AI339" s="231"/>
      <c r="AJ339" s="231"/>
      <c r="AK339" s="231"/>
      <c r="AL339" s="231"/>
      <c r="AM339" s="231"/>
      <c r="AN339" s="231"/>
    </row>
    <row r="340" spans="1:40" s="203" customFormat="1">
      <c r="A340" s="23"/>
      <c r="B340" s="207"/>
      <c r="C340" s="207"/>
      <c r="D340" s="207"/>
      <c r="E340" s="207"/>
      <c r="F340" s="207"/>
      <c r="G340" s="207"/>
      <c r="H340" s="131" t="s">
        <v>27</v>
      </c>
      <c r="I340" s="21"/>
      <c r="J340" s="231"/>
      <c r="K340" s="231"/>
      <c r="L340" s="231"/>
      <c r="M340" s="231"/>
      <c r="N340" s="231"/>
      <c r="O340" s="231"/>
      <c r="P340" s="231"/>
      <c r="Q340" s="231"/>
      <c r="R340" s="231"/>
      <c r="S340" s="231"/>
      <c r="T340" s="231"/>
      <c r="U340" s="231"/>
      <c r="V340" s="231"/>
      <c r="W340" s="231"/>
      <c r="X340" s="231"/>
      <c r="Y340" s="231"/>
      <c r="Z340" s="231"/>
      <c r="AA340" s="231"/>
      <c r="AB340" s="231"/>
      <c r="AC340" s="231"/>
      <c r="AD340" s="231"/>
      <c r="AE340" s="231"/>
      <c r="AF340" s="231"/>
      <c r="AG340" s="231"/>
      <c r="AH340" s="231"/>
      <c r="AI340" s="231"/>
      <c r="AJ340" s="231"/>
      <c r="AK340" s="231"/>
      <c r="AL340" s="231"/>
      <c r="AM340" s="231"/>
      <c r="AN340" s="231"/>
    </row>
    <row r="341" spans="1:40" s="203" customFormat="1">
      <c r="A341" s="197"/>
      <c r="B341" s="69"/>
      <c r="C341" s="69"/>
      <c r="D341" s="69"/>
      <c r="E341" s="856" t="s">
        <v>377</v>
      </c>
      <c r="F341" s="853" t="s">
        <v>402</v>
      </c>
      <c r="G341" s="207"/>
      <c r="H341" s="856" t="s">
        <v>403</v>
      </c>
      <c r="I341" s="21"/>
      <c r="J341" s="231"/>
      <c r="K341" s="231"/>
      <c r="L341" s="231"/>
      <c r="M341" s="231"/>
      <c r="N341" s="231"/>
      <c r="O341" s="231"/>
      <c r="P341" s="231"/>
      <c r="Q341" s="231"/>
      <c r="R341" s="231"/>
      <c r="S341" s="231"/>
      <c r="T341" s="231"/>
      <c r="U341" s="231"/>
      <c r="V341" s="231"/>
      <c r="W341" s="231"/>
      <c r="X341" s="231"/>
      <c r="Y341" s="231"/>
      <c r="Z341" s="231"/>
      <c r="AA341" s="231"/>
      <c r="AB341" s="231"/>
      <c r="AC341" s="231"/>
      <c r="AD341" s="231"/>
      <c r="AE341" s="231"/>
      <c r="AF341" s="231"/>
      <c r="AG341" s="231"/>
      <c r="AH341" s="231"/>
      <c r="AI341" s="231"/>
      <c r="AJ341" s="231"/>
      <c r="AK341" s="231"/>
      <c r="AL341" s="231"/>
      <c r="AM341" s="231"/>
      <c r="AN341" s="231"/>
    </row>
    <row r="342" spans="1:40" s="203" customFormat="1">
      <c r="A342" s="144" t="s">
        <v>261</v>
      </c>
      <c r="B342" s="116"/>
      <c r="C342" s="116"/>
      <c r="D342" s="116"/>
      <c r="E342" s="859"/>
      <c r="F342" s="854"/>
      <c r="G342" s="207"/>
      <c r="H342" s="857"/>
      <c r="I342" s="21"/>
      <c r="J342" s="231"/>
      <c r="K342" s="231"/>
      <c r="L342" s="231"/>
      <c r="M342" s="231"/>
      <c r="N342" s="231"/>
      <c r="O342" s="231"/>
      <c r="P342" s="231"/>
      <c r="Q342" s="231"/>
      <c r="R342" s="231"/>
      <c r="S342" s="231"/>
      <c r="T342" s="231"/>
      <c r="U342" s="231"/>
      <c r="V342" s="231"/>
      <c r="W342" s="231"/>
      <c r="X342" s="231"/>
      <c r="Y342" s="231"/>
      <c r="Z342" s="231"/>
      <c r="AA342" s="231"/>
      <c r="AB342" s="231"/>
      <c r="AC342" s="231"/>
      <c r="AD342" s="231"/>
      <c r="AE342" s="231"/>
      <c r="AF342" s="231"/>
      <c r="AG342" s="231"/>
      <c r="AH342" s="231"/>
      <c r="AI342" s="231"/>
      <c r="AJ342" s="231"/>
      <c r="AK342" s="231"/>
      <c r="AL342" s="231"/>
      <c r="AM342" s="231"/>
      <c r="AN342" s="231"/>
    </row>
    <row r="343" spans="1:40" s="203" customFormat="1">
      <c r="A343" s="119"/>
      <c r="B343" s="116"/>
      <c r="C343" s="116"/>
      <c r="D343" s="116"/>
      <c r="E343" s="859"/>
      <c r="F343" s="854"/>
      <c r="G343" s="207"/>
      <c r="H343" s="857"/>
      <c r="I343" s="21"/>
      <c r="J343" s="231"/>
      <c r="K343" s="231"/>
      <c r="L343" s="231"/>
      <c r="M343" s="231"/>
      <c r="N343" s="231"/>
      <c r="O343" s="231"/>
      <c r="P343" s="231"/>
      <c r="Q343" s="231"/>
      <c r="R343" s="231"/>
      <c r="S343" s="231"/>
      <c r="T343" s="231"/>
      <c r="U343" s="231"/>
      <c r="V343" s="231"/>
      <c r="W343" s="231"/>
      <c r="X343" s="231"/>
      <c r="Y343" s="231"/>
      <c r="Z343" s="231"/>
      <c r="AA343" s="231"/>
      <c r="AB343" s="231"/>
      <c r="AC343" s="231"/>
      <c r="AD343" s="231"/>
      <c r="AE343" s="231"/>
      <c r="AF343" s="231"/>
      <c r="AG343" s="231"/>
      <c r="AH343" s="231"/>
      <c r="AI343" s="231"/>
      <c r="AJ343" s="231"/>
      <c r="AK343" s="231"/>
      <c r="AL343" s="231"/>
      <c r="AM343" s="231"/>
      <c r="AN343" s="231"/>
    </row>
    <row r="344" spans="1:40" s="203" customFormat="1">
      <c r="A344" s="198" t="s">
        <v>262</v>
      </c>
      <c r="B344" s="116"/>
      <c r="C344" s="116"/>
      <c r="D344" s="116"/>
      <c r="E344" s="859"/>
      <c r="F344" s="854"/>
      <c r="G344" s="207"/>
      <c r="H344" s="857"/>
      <c r="I344" s="21"/>
      <c r="J344" s="231"/>
      <c r="K344" s="231"/>
      <c r="L344" s="231"/>
      <c r="M344" s="231"/>
      <c r="N344" s="231"/>
      <c r="O344" s="231"/>
      <c r="P344" s="231"/>
      <c r="Q344" s="231"/>
      <c r="R344" s="231"/>
      <c r="S344" s="231"/>
      <c r="T344" s="231"/>
      <c r="U344" s="231"/>
      <c r="V344" s="231"/>
      <c r="W344" s="231"/>
      <c r="X344" s="231"/>
      <c r="Y344" s="231"/>
      <c r="Z344" s="231"/>
      <c r="AA344" s="231"/>
      <c r="AB344" s="231"/>
      <c r="AC344" s="231"/>
      <c r="AD344" s="231"/>
      <c r="AE344" s="231"/>
      <c r="AF344" s="231"/>
      <c r="AG344" s="231"/>
      <c r="AH344" s="231"/>
      <c r="AI344" s="231"/>
      <c r="AJ344" s="231"/>
      <c r="AK344" s="231"/>
      <c r="AL344" s="231"/>
      <c r="AM344" s="231"/>
      <c r="AN344" s="231"/>
    </row>
    <row r="345" spans="1:40" s="203" customFormat="1">
      <c r="A345" s="198" t="s">
        <v>330</v>
      </c>
      <c r="B345" s="116"/>
      <c r="C345" s="116"/>
      <c r="D345" s="116"/>
      <c r="E345" s="860"/>
      <c r="F345" s="855"/>
      <c r="G345" s="207"/>
      <c r="H345" s="858"/>
      <c r="I345" s="21"/>
      <c r="J345" s="231"/>
      <c r="K345" s="231"/>
      <c r="L345" s="231"/>
      <c r="M345" s="231"/>
      <c r="N345" s="231"/>
      <c r="O345" s="231"/>
      <c r="P345" s="231"/>
      <c r="Q345" s="231"/>
      <c r="R345" s="231"/>
      <c r="S345" s="231"/>
      <c r="T345" s="231"/>
      <c r="U345" s="231"/>
      <c r="V345" s="231"/>
      <c r="W345" s="231"/>
      <c r="X345" s="231"/>
      <c r="Y345" s="231"/>
      <c r="Z345" s="231"/>
      <c r="AA345" s="231"/>
      <c r="AB345" s="231"/>
      <c r="AC345" s="231"/>
      <c r="AD345" s="231"/>
      <c r="AE345" s="231"/>
      <c r="AF345" s="231"/>
      <c r="AG345" s="231"/>
      <c r="AH345" s="231"/>
      <c r="AI345" s="231"/>
      <c r="AJ345" s="231"/>
      <c r="AK345" s="231"/>
      <c r="AL345" s="231"/>
      <c r="AM345" s="231"/>
      <c r="AN345" s="231"/>
    </row>
    <row r="346" spans="1:40" s="203" customFormat="1">
      <c r="A346" s="119"/>
      <c r="B346" s="47"/>
      <c r="C346" s="116"/>
      <c r="D346" s="116"/>
      <c r="E346" s="178"/>
      <c r="F346" s="146"/>
      <c r="G346" s="23"/>
      <c r="H346" s="264"/>
      <c r="I346" s="21"/>
      <c r="J346" s="231"/>
      <c r="K346" s="231"/>
      <c r="L346" s="231"/>
      <c r="M346" s="231"/>
      <c r="N346" s="231"/>
      <c r="O346" s="231"/>
      <c r="P346" s="231"/>
      <c r="Q346" s="231"/>
      <c r="R346" s="231"/>
      <c r="S346" s="231"/>
      <c r="T346" s="231"/>
      <c r="U346" s="231"/>
      <c r="V346" s="231"/>
      <c r="W346" s="231"/>
      <c r="X346" s="231"/>
      <c r="Y346" s="231"/>
      <c r="Z346" s="231"/>
      <c r="AA346" s="231"/>
      <c r="AB346" s="231"/>
      <c r="AC346" s="231"/>
      <c r="AD346" s="231"/>
      <c r="AE346" s="231"/>
      <c r="AF346" s="231"/>
      <c r="AG346" s="231"/>
      <c r="AH346" s="231"/>
      <c r="AI346" s="231"/>
      <c r="AJ346" s="231"/>
      <c r="AK346" s="231"/>
      <c r="AL346" s="231"/>
      <c r="AM346" s="231"/>
      <c r="AN346" s="231"/>
    </row>
    <row r="347" spans="1:40" s="203" customFormat="1">
      <c r="A347" s="656">
        <v>1</v>
      </c>
      <c r="B347" s="47" t="s">
        <v>263</v>
      </c>
      <c r="C347" s="116"/>
      <c r="D347" s="116"/>
      <c r="E347" s="354">
        <v>9085</v>
      </c>
      <c r="F347" s="265">
        <v>8883</v>
      </c>
      <c r="G347" s="43"/>
      <c r="H347" s="126">
        <v>8883</v>
      </c>
      <c r="I347" s="86"/>
      <c r="J347" s="231"/>
      <c r="K347" s="231"/>
      <c r="L347" s="231"/>
      <c r="M347" s="231"/>
      <c r="N347" s="231"/>
      <c r="O347" s="231"/>
      <c r="P347" s="231"/>
      <c r="Q347" s="231"/>
      <c r="R347" s="231"/>
      <c r="S347" s="231"/>
      <c r="T347" s="231"/>
      <c r="U347" s="231"/>
      <c r="V347" s="231"/>
      <c r="W347" s="231"/>
      <c r="X347" s="231"/>
      <c r="Y347" s="231"/>
      <c r="Z347" s="231"/>
      <c r="AA347" s="231"/>
      <c r="AB347" s="231"/>
      <c r="AC347" s="231"/>
      <c r="AD347" s="231"/>
      <c r="AE347" s="231"/>
      <c r="AF347" s="231"/>
      <c r="AG347" s="231"/>
      <c r="AH347" s="231"/>
      <c r="AI347" s="231"/>
      <c r="AJ347" s="231"/>
      <c r="AK347" s="231"/>
      <c r="AL347" s="231"/>
      <c r="AM347" s="231"/>
      <c r="AN347" s="231"/>
    </row>
    <row r="348" spans="1:40" s="203" customFormat="1">
      <c r="A348" s="656"/>
      <c r="B348" s="47"/>
      <c r="C348" s="116"/>
      <c r="D348" s="116"/>
      <c r="E348" s="355"/>
      <c r="F348" s="188"/>
      <c r="G348" s="43"/>
      <c r="H348" s="188"/>
      <c r="I348" s="86"/>
      <c r="J348" s="231"/>
      <c r="K348" s="231"/>
      <c r="L348" s="231"/>
      <c r="M348" s="231"/>
      <c r="N348" s="231"/>
      <c r="O348" s="231"/>
      <c r="P348" s="231"/>
      <c r="Q348" s="231"/>
      <c r="R348" s="231"/>
      <c r="S348" s="231"/>
      <c r="T348" s="231"/>
      <c r="U348" s="231"/>
      <c r="V348" s="231"/>
      <c r="W348" s="231"/>
      <c r="X348" s="231"/>
      <c r="Y348" s="231"/>
      <c r="Z348" s="231"/>
      <c r="AA348" s="231"/>
      <c r="AB348" s="231"/>
      <c r="AC348" s="231"/>
      <c r="AD348" s="231"/>
      <c r="AE348" s="231"/>
      <c r="AF348" s="231"/>
      <c r="AG348" s="231"/>
      <c r="AH348" s="231"/>
      <c r="AI348" s="231"/>
      <c r="AJ348" s="231"/>
      <c r="AK348" s="231"/>
      <c r="AL348" s="231"/>
      <c r="AM348" s="231"/>
      <c r="AN348" s="231"/>
    </row>
    <row r="349" spans="1:40" s="203" customFormat="1">
      <c r="A349" s="108" t="s">
        <v>378</v>
      </c>
      <c r="B349" s="47"/>
      <c r="C349" s="116"/>
      <c r="D349" s="116"/>
      <c r="E349" s="355"/>
      <c r="F349" s="188"/>
      <c r="G349" s="43"/>
      <c r="H349" s="188"/>
      <c r="I349" s="86"/>
      <c r="J349" s="231"/>
      <c r="K349" s="231"/>
      <c r="L349" s="231"/>
      <c r="M349" s="231"/>
      <c r="N349" s="231"/>
      <c r="O349" s="231"/>
      <c r="P349" s="231"/>
      <c r="Q349" s="231"/>
      <c r="R349" s="231"/>
      <c r="S349" s="231"/>
      <c r="T349" s="231"/>
      <c r="U349" s="231"/>
      <c r="V349" s="231"/>
      <c r="W349" s="231"/>
      <c r="X349" s="231"/>
      <c r="Y349" s="231"/>
      <c r="Z349" s="231"/>
      <c r="AA349" s="231"/>
      <c r="AB349" s="231"/>
      <c r="AC349" s="231"/>
      <c r="AD349" s="231"/>
      <c r="AE349" s="231"/>
      <c r="AF349" s="231"/>
      <c r="AG349" s="231"/>
      <c r="AH349" s="231"/>
      <c r="AI349" s="231"/>
      <c r="AJ349" s="231"/>
      <c r="AK349" s="231"/>
      <c r="AL349" s="231"/>
      <c r="AM349" s="231"/>
      <c r="AN349" s="231"/>
    </row>
    <row r="350" spans="1:40" s="203" customFormat="1">
      <c r="A350" s="656"/>
      <c r="B350" s="47"/>
      <c r="C350" s="116"/>
      <c r="D350" s="116"/>
      <c r="E350" s="355"/>
      <c r="F350" s="188"/>
      <c r="G350" s="43"/>
      <c r="H350" s="188"/>
      <c r="I350" s="86"/>
      <c r="J350" s="231"/>
      <c r="K350" s="231"/>
      <c r="L350" s="231"/>
      <c r="M350" s="231"/>
      <c r="N350" s="231"/>
      <c r="O350" s="231"/>
      <c r="P350" s="231"/>
      <c r="Q350" s="231"/>
      <c r="R350" s="231"/>
      <c r="S350" s="231"/>
      <c r="T350" s="231"/>
      <c r="U350" s="231"/>
      <c r="V350" s="231"/>
      <c r="W350" s="231"/>
      <c r="X350" s="231"/>
      <c r="Y350" s="231"/>
      <c r="Z350" s="231"/>
      <c r="AA350" s="231"/>
      <c r="AB350" s="231"/>
      <c r="AC350" s="231"/>
      <c r="AD350" s="231"/>
      <c r="AE350" s="231"/>
      <c r="AF350" s="231"/>
      <c r="AG350" s="231"/>
      <c r="AH350" s="231"/>
      <c r="AI350" s="231"/>
      <c r="AJ350" s="231"/>
      <c r="AK350" s="231"/>
      <c r="AL350" s="231"/>
      <c r="AM350" s="231"/>
      <c r="AN350" s="231"/>
    </row>
    <row r="351" spans="1:40" s="203" customFormat="1">
      <c r="A351" s="198" t="s">
        <v>379</v>
      </c>
      <c r="B351" s="47"/>
      <c r="C351" s="116"/>
      <c r="D351" s="116"/>
      <c r="E351" s="355"/>
      <c r="F351" s="188"/>
      <c r="G351" s="43"/>
      <c r="H351" s="188"/>
      <c r="I351" s="86"/>
      <c r="J351" s="231"/>
      <c r="K351" s="231"/>
      <c r="L351" s="231"/>
      <c r="M351" s="231"/>
      <c r="N351" s="231"/>
      <c r="O351" s="231"/>
      <c r="P351" s="231"/>
      <c r="Q351" s="231"/>
      <c r="R351" s="231"/>
      <c r="S351" s="231"/>
      <c r="T351" s="231"/>
      <c r="U351" s="231"/>
      <c r="V351" s="231"/>
      <c r="W351" s="231"/>
      <c r="X351" s="231"/>
      <c r="Y351" s="231"/>
      <c r="Z351" s="231"/>
      <c r="AA351" s="231"/>
      <c r="AB351" s="231"/>
      <c r="AC351" s="231"/>
      <c r="AD351" s="231"/>
      <c r="AE351" s="231"/>
      <c r="AF351" s="231"/>
      <c r="AG351" s="231"/>
      <c r="AH351" s="231"/>
      <c r="AI351" s="231"/>
      <c r="AJ351" s="231"/>
      <c r="AK351" s="231"/>
      <c r="AL351" s="231"/>
      <c r="AM351" s="231"/>
      <c r="AN351" s="231"/>
    </row>
    <row r="352" spans="1:40" s="203" customFormat="1">
      <c r="A352" s="656"/>
      <c r="B352" s="47"/>
      <c r="C352" s="116"/>
      <c r="D352" s="116"/>
      <c r="E352" s="355"/>
      <c r="F352" s="188"/>
      <c r="G352" s="43"/>
      <c r="H352" s="188"/>
      <c r="I352" s="86"/>
      <c r="J352" s="231"/>
      <c r="K352" s="231"/>
      <c r="L352" s="231"/>
      <c r="M352" s="231"/>
      <c r="N352" s="231"/>
      <c r="O352" s="231"/>
      <c r="P352" s="231"/>
      <c r="Q352" s="231"/>
      <c r="R352" s="231"/>
      <c r="S352" s="231"/>
      <c r="T352" s="231"/>
      <c r="U352" s="231"/>
      <c r="V352" s="231"/>
      <c r="W352" s="231"/>
      <c r="X352" s="231"/>
      <c r="Y352" s="231"/>
      <c r="Z352" s="231"/>
      <c r="AA352" s="231"/>
      <c r="AB352" s="231"/>
      <c r="AC352" s="231"/>
      <c r="AD352" s="231"/>
      <c r="AE352" s="231"/>
      <c r="AF352" s="231"/>
      <c r="AG352" s="231"/>
      <c r="AH352" s="231"/>
      <c r="AI352" s="231"/>
      <c r="AJ352" s="231"/>
      <c r="AK352" s="231"/>
      <c r="AL352" s="231"/>
      <c r="AM352" s="231"/>
      <c r="AN352" s="231"/>
    </row>
    <row r="353" spans="1:40" s="203" customFormat="1">
      <c r="A353" s="656">
        <v>2</v>
      </c>
      <c r="B353" s="47" t="s">
        <v>52</v>
      </c>
      <c r="C353" s="116"/>
      <c r="D353" s="116"/>
      <c r="E353" s="74">
        <v>0</v>
      </c>
      <c r="F353" s="265"/>
      <c r="G353" s="43"/>
      <c r="H353" s="126"/>
      <c r="I353" s="86"/>
      <c r="J353" s="231"/>
      <c r="K353" s="231"/>
      <c r="L353" s="231"/>
      <c r="M353" s="231"/>
      <c r="N353" s="231"/>
      <c r="O353" s="231"/>
      <c r="P353" s="231"/>
      <c r="Q353" s="231"/>
      <c r="R353" s="231"/>
      <c r="S353" s="231"/>
      <c r="T353" s="231"/>
      <c r="U353" s="231"/>
      <c r="V353" s="231"/>
      <c r="W353" s="231"/>
      <c r="X353" s="231"/>
      <c r="Y353" s="231"/>
      <c r="Z353" s="231"/>
      <c r="AA353" s="231"/>
      <c r="AB353" s="231"/>
      <c r="AC353" s="231"/>
      <c r="AD353" s="231"/>
      <c r="AE353" s="231"/>
      <c r="AF353" s="231"/>
      <c r="AG353" s="231"/>
      <c r="AH353" s="231"/>
      <c r="AI353" s="231"/>
      <c r="AJ353" s="231"/>
      <c r="AK353" s="231"/>
      <c r="AL353" s="231"/>
      <c r="AM353" s="231"/>
      <c r="AN353" s="231"/>
    </row>
    <row r="354" spans="1:40" s="203" customFormat="1">
      <c r="A354" s="656">
        <v>3</v>
      </c>
      <c r="B354" s="47" t="s">
        <v>53</v>
      </c>
      <c r="C354" s="116"/>
      <c r="D354" s="116"/>
      <c r="E354" s="49">
        <v>0</v>
      </c>
      <c r="F354" s="265"/>
      <c r="G354" s="43"/>
      <c r="H354" s="126"/>
      <c r="I354" s="86"/>
      <c r="J354" s="231"/>
      <c r="K354" s="231"/>
      <c r="L354" s="231"/>
      <c r="M354" s="231"/>
      <c r="N354" s="231"/>
      <c r="O354" s="231"/>
      <c r="P354" s="231"/>
      <c r="Q354" s="231"/>
      <c r="R354" s="231"/>
      <c r="S354" s="231"/>
      <c r="T354" s="231"/>
      <c r="U354" s="231"/>
      <c r="V354" s="231"/>
      <c r="W354" s="231"/>
      <c r="X354" s="231"/>
      <c r="Y354" s="231"/>
      <c r="Z354" s="231"/>
      <c r="AA354" s="231"/>
      <c r="AB354" s="231"/>
      <c r="AC354" s="231"/>
      <c r="AD354" s="231"/>
      <c r="AE354" s="231"/>
      <c r="AF354" s="231"/>
      <c r="AG354" s="231"/>
      <c r="AH354" s="231"/>
      <c r="AI354" s="231"/>
      <c r="AJ354" s="231"/>
      <c r="AK354" s="231"/>
      <c r="AL354" s="231"/>
      <c r="AM354" s="231"/>
      <c r="AN354" s="231"/>
    </row>
    <row r="355" spans="1:40" s="203" customFormat="1">
      <c r="A355" s="656">
        <v>4</v>
      </c>
      <c r="B355" s="47" t="s">
        <v>54</v>
      </c>
      <c r="C355" s="116"/>
      <c r="D355" s="116"/>
      <c r="E355" s="49">
        <v>0</v>
      </c>
      <c r="F355" s="265"/>
      <c r="G355" s="43"/>
      <c r="H355" s="126"/>
      <c r="I355" s="86"/>
      <c r="J355" s="231"/>
      <c r="K355" s="231"/>
      <c r="L355" s="231"/>
      <c r="M355" s="231"/>
      <c r="N355" s="231"/>
      <c r="O355" s="231"/>
      <c r="P355" s="231"/>
      <c r="Q355" s="231"/>
      <c r="R355" s="231"/>
      <c r="S355" s="231"/>
      <c r="T355" s="231"/>
      <c r="U355" s="231"/>
      <c r="V355" s="231"/>
      <c r="W355" s="231"/>
      <c r="X355" s="231"/>
      <c r="Y355" s="231"/>
      <c r="Z355" s="231"/>
      <c r="AA355" s="231"/>
      <c r="AB355" s="231"/>
      <c r="AC355" s="231"/>
      <c r="AD355" s="231"/>
      <c r="AE355" s="231"/>
      <c r="AF355" s="231"/>
      <c r="AG355" s="231"/>
      <c r="AH355" s="231"/>
      <c r="AI355" s="231"/>
      <c r="AJ355" s="231"/>
      <c r="AK355" s="231"/>
      <c r="AL355" s="231"/>
      <c r="AM355" s="231"/>
      <c r="AN355" s="231"/>
    </row>
    <row r="356" spans="1:40" s="203" customFormat="1">
      <c r="A356" s="656">
        <v>5</v>
      </c>
      <c r="B356" s="47" t="s">
        <v>55</v>
      </c>
      <c r="C356" s="116"/>
      <c r="D356" s="116"/>
      <c r="E356" s="49">
        <v>0</v>
      </c>
      <c r="F356" s="265"/>
      <c r="G356" s="43"/>
      <c r="H356" s="126"/>
      <c r="I356" s="86"/>
      <c r="J356" s="231"/>
      <c r="K356" s="231"/>
      <c r="L356" s="231"/>
      <c r="M356" s="231"/>
      <c r="N356" s="231"/>
      <c r="O356" s="231"/>
      <c r="P356" s="231"/>
      <c r="Q356" s="231"/>
      <c r="R356" s="231"/>
      <c r="S356" s="231"/>
      <c r="T356" s="231"/>
      <c r="U356" s="231"/>
      <c r="V356" s="231"/>
      <c r="W356" s="231"/>
      <c r="X356" s="231"/>
      <c r="Y356" s="231"/>
      <c r="Z356" s="231"/>
      <c r="AA356" s="231"/>
      <c r="AB356" s="231"/>
      <c r="AC356" s="231"/>
      <c r="AD356" s="231"/>
      <c r="AE356" s="231"/>
      <c r="AF356" s="231"/>
      <c r="AG356" s="231"/>
      <c r="AH356" s="231"/>
      <c r="AI356" s="231"/>
      <c r="AJ356" s="231"/>
      <c r="AK356" s="231"/>
      <c r="AL356" s="231"/>
      <c r="AM356" s="231"/>
      <c r="AN356" s="231"/>
    </row>
    <row r="357" spans="1:40" s="203" customFormat="1">
      <c r="A357" s="656">
        <v>6</v>
      </c>
      <c r="B357" s="47" t="s">
        <v>56</v>
      </c>
      <c r="C357" s="116"/>
      <c r="D357" s="116"/>
      <c r="E357" s="49">
        <v>0</v>
      </c>
      <c r="F357" s="265"/>
      <c r="G357" s="43"/>
      <c r="H357" s="126"/>
      <c r="I357" s="86"/>
      <c r="J357" s="231"/>
      <c r="K357" s="231"/>
      <c r="L357" s="231"/>
      <c r="M357" s="231"/>
      <c r="N357" s="231"/>
      <c r="O357" s="231"/>
      <c r="P357" s="231"/>
      <c r="Q357" s="231"/>
      <c r="R357" s="231"/>
      <c r="S357" s="231"/>
      <c r="T357" s="231"/>
      <c r="U357" s="231"/>
      <c r="V357" s="231"/>
      <c r="W357" s="231"/>
      <c r="X357" s="231"/>
      <c r="Y357" s="231"/>
      <c r="Z357" s="231"/>
      <c r="AA357" s="231"/>
      <c r="AB357" s="231"/>
      <c r="AC357" s="231"/>
      <c r="AD357" s="231"/>
      <c r="AE357" s="231"/>
      <c r="AF357" s="231"/>
      <c r="AG357" s="231"/>
      <c r="AH357" s="231"/>
      <c r="AI357" s="231"/>
      <c r="AJ357" s="231"/>
      <c r="AK357" s="231"/>
      <c r="AL357" s="231"/>
      <c r="AM357" s="231"/>
      <c r="AN357" s="231"/>
    </row>
    <row r="358" spans="1:40" s="203" customFormat="1">
      <c r="A358" s="656">
        <v>7</v>
      </c>
      <c r="B358" s="47" t="s">
        <v>57</v>
      </c>
      <c r="C358" s="116"/>
      <c r="D358" s="116"/>
      <c r="E358" s="49">
        <v>0</v>
      </c>
      <c r="F358" s="265"/>
      <c r="G358" s="43"/>
      <c r="H358" s="126"/>
      <c r="I358" s="86"/>
      <c r="J358" s="231"/>
      <c r="K358" s="231"/>
      <c r="L358" s="231"/>
      <c r="M358" s="231"/>
      <c r="N358" s="231"/>
      <c r="O358" s="231"/>
      <c r="P358" s="231"/>
      <c r="Q358" s="231"/>
      <c r="R358" s="231"/>
      <c r="S358" s="231"/>
      <c r="T358" s="231"/>
      <c r="U358" s="231"/>
      <c r="V358" s="231"/>
      <c r="W358" s="231"/>
      <c r="X358" s="231"/>
      <c r="Y358" s="231"/>
      <c r="Z358" s="231"/>
      <c r="AA358" s="231"/>
      <c r="AB358" s="231"/>
      <c r="AC358" s="231"/>
      <c r="AD358" s="231"/>
      <c r="AE358" s="231"/>
      <c r="AF358" s="231"/>
      <c r="AG358" s="231"/>
      <c r="AH358" s="231"/>
      <c r="AI358" s="231"/>
      <c r="AJ358" s="231"/>
      <c r="AK358" s="231"/>
      <c r="AL358" s="231"/>
      <c r="AM358" s="231"/>
      <c r="AN358" s="231"/>
    </row>
    <row r="359" spans="1:40" s="203" customFormat="1">
      <c r="A359" s="656">
        <v>8</v>
      </c>
      <c r="B359" s="47" t="s">
        <v>58</v>
      </c>
      <c r="C359" s="116"/>
      <c r="D359" s="116"/>
      <c r="E359" s="49">
        <v>0</v>
      </c>
      <c r="F359" s="265"/>
      <c r="G359" s="43"/>
      <c r="H359" s="126"/>
      <c r="I359" s="86"/>
      <c r="J359" s="231"/>
      <c r="K359" s="231"/>
      <c r="L359" s="231"/>
      <c r="M359" s="231"/>
      <c r="N359" s="231"/>
      <c r="O359" s="231"/>
      <c r="P359" s="231"/>
      <c r="Q359" s="231"/>
      <c r="R359" s="231"/>
      <c r="S359" s="231"/>
      <c r="T359" s="231"/>
      <c r="U359" s="231"/>
      <c r="V359" s="231"/>
      <c r="W359" s="231"/>
      <c r="X359" s="231"/>
      <c r="Y359" s="231"/>
      <c r="Z359" s="231"/>
      <c r="AA359" s="231"/>
      <c r="AB359" s="231"/>
      <c r="AC359" s="231"/>
      <c r="AD359" s="231"/>
      <c r="AE359" s="231"/>
      <c r="AF359" s="231"/>
      <c r="AG359" s="231"/>
      <c r="AH359" s="231"/>
      <c r="AI359" s="231"/>
      <c r="AJ359" s="231"/>
      <c r="AK359" s="231"/>
      <c r="AL359" s="231"/>
      <c r="AM359" s="231"/>
      <c r="AN359" s="231"/>
    </row>
    <row r="360" spans="1:40" s="203" customFormat="1">
      <c r="A360" s="656">
        <v>9</v>
      </c>
      <c r="B360" s="47" t="s">
        <v>59</v>
      </c>
      <c r="C360" s="116"/>
      <c r="D360" s="116"/>
      <c r="E360" s="49">
        <v>0</v>
      </c>
      <c r="F360" s="265"/>
      <c r="G360" s="43"/>
      <c r="H360" s="126"/>
      <c r="I360" s="86"/>
      <c r="J360" s="231"/>
      <c r="K360" s="231"/>
      <c r="L360" s="231"/>
      <c r="M360" s="231"/>
      <c r="N360" s="231"/>
      <c r="O360" s="231"/>
      <c r="P360" s="231"/>
      <c r="Q360" s="231"/>
      <c r="R360" s="231"/>
      <c r="S360" s="231"/>
      <c r="T360" s="231"/>
      <c r="U360" s="231"/>
      <c r="V360" s="231"/>
      <c r="W360" s="231"/>
      <c r="X360" s="231"/>
      <c r="Y360" s="231"/>
      <c r="Z360" s="231"/>
      <c r="AA360" s="231"/>
      <c r="AB360" s="231"/>
      <c r="AC360" s="231"/>
      <c r="AD360" s="231"/>
      <c r="AE360" s="231"/>
      <c r="AF360" s="231"/>
      <c r="AG360" s="231"/>
      <c r="AH360" s="231"/>
      <c r="AI360" s="231"/>
      <c r="AJ360" s="231"/>
      <c r="AK360" s="231"/>
      <c r="AL360" s="231"/>
      <c r="AM360" s="231"/>
      <c r="AN360" s="231"/>
    </row>
    <row r="361" spans="1:40" s="203" customFormat="1">
      <c r="A361" s="656">
        <v>10</v>
      </c>
      <c r="B361" s="47" t="s">
        <v>60</v>
      </c>
      <c r="C361" s="116"/>
      <c r="D361" s="116"/>
      <c r="E361" s="49">
        <v>0</v>
      </c>
      <c r="F361" s="265"/>
      <c r="G361" s="43"/>
      <c r="H361" s="126"/>
      <c r="I361" s="86"/>
      <c r="J361" s="231"/>
      <c r="K361" s="231"/>
      <c r="L361" s="231"/>
      <c r="M361" s="231"/>
      <c r="N361" s="231"/>
      <c r="O361" s="231"/>
      <c r="P361" s="231"/>
      <c r="Q361" s="231"/>
      <c r="R361" s="231"/>
      <c r="S361" s="231"/>
      <c r="T361" s="231"/>
      <c r="U361" s="231"/>
      <c r="V361" s="231"/>
      <c r="W361" s="231"/>
      <c r="X361" s="231"/>
      <c r="Y361" s="231"/>
      <c r="Z361" s="231"/>
      <c r="AA361" s="231"/>
      <c r="AB361" s="231"/>
      <c r="AC361" s="231"/>
      <c r="AD361" s="231"/>
      <c r="AE361" s="231"/>
      <c r="AF361" s="231"/>
      <c r="AG361" s="231"/>
      <c r="AH361" s="231"/>
      <c r="AI361" s="231"/>
      <c r="AJ361" s="231"/>
      <c r="AK361" s="231"/>
      <c r="AL361" s="231"/>
      <c r="AM361" s="231"/>
      <c r="AN361" s="231"/>
    </row>
    <row r="362" spans="1:40" s="203" customFormat="1">
      <c r="A362" s="656">
        <v>11</v>
      </c>
      <c r="B362" s="47" t="s">
        <v>61</v>
      </c>
      <c r="C362" s="116"/>
      <c r="D362" s="116"/>
      <c r="E362" s="49">
        <v>0</v>
      </c>
      <c r="F362" s="265"/>
      <c r="G362" s="43"/>
      <c r="H362" s="126"/>
      <c r="I362" s="86"/>
      <c r="J362" s="231"/>
      <c r="K362" s="231"/>
      <c r="L362" s="231"/>
      <c r="M362" s="231"/>
      <c r="N362" s="231"/>
      <c r="O362" s="231"/>
      <c r="P362" s="231"/>
      <c r="Q362" s="231"/>
      <c r="R362" s="231"/>
      <c r="S362" s="231"/>
      <c r="T362" s="231"/>
      <c r="U362" s="231"/>
      <c r="V362" s="231"/>
      <c r="W362" s="231"/>
      <c r="X362" s="231"/>
      <c r="Y362" s="231"/>
      <c r="Z362" s="231"/>
      <c r="AA362" s="231"/>
      <c r="AB362" s="231"/>
      <c r="AC362" s="231"/>
      <c r="AD362" s="231"/>
      <c r="AE362" s="231"/>
      <c r="AF362" s="231"/>
      <c r="AG362" s="231"/>
      <c r="AH362" s="231"/>
      <c r="AI362" s="231"/>
      <c r="AJ362" s="231"/>
      <c r="AK362" s="231"/>
      <c r="AL362" s="231"/>
      <c r="AM362" s="231"/>
      <c r="AN362" s="231"/>
    </row>
    <row r="363" spans="1:40" s="203" customFormat="1">
      <c r="A363" s="657">
        <v>12</v>
      </c>
      <c r="B363" s="54" t="s">
        <v>380</v>
      </c>
      <c r="C363" s="94"/>
      <c r="D363" s="94"/>
      <c r="E363" s="135">
        <v>0</v>
      </c>
      <c r="F363" s="61">
        <f>SUM(F353:F362)</f>
        <v>0</v>
      </c>
      <c r="G363" s="43"/>
      <c r="H363" s="61">
        <f>SUM(H353:H362)</f>
        <v>0</v>
      </c>
      <c r="I363" s="86"/>
      <c r="J363" s="231"/>
      <c r="K363" s="231"/>
      <c r="L363" s="231"/>
      <c r="M363" s="231"/>
      <c r="N363" s="231"/>
      <c r="O363" s="231"/>
      <c r="P363" s="231"/>
      <c r="Q363" s="231"/>
      <c r="R363" s="231"/>
      <c r="S363" s="231"/>
      <c r="T363" s="231"/>
      <c r="U363" s="231"/>
      <c r="V363" s="231"/>
      <c r="W363" s="231"/>
      <c r="X363" s="231"/>
      <c r="Y363" s="231"/>
      <c r="Z363" s="231"/>
      <c r="AA363" s="231"/>
      <c r="AB363" s="231"/>
      <c r="AC363" s="231"/>
      <c r="AD363" s="231"/>
      <c r="AE363" s="231"/>
      <c r="AF363" s="231"/>
      <c r="AG363" s="231"/>
      <c r="AH363" s="231"/>
      <c r="AI363" s="231"/>
      <c r="AJ363" s="231"/>
      <c r="AK363" s="231"/>
      <c r="AL363" s="231"/>
      <c r="AM363" s="231"/>
      <c r="AN363" s="231"/>
    </row>
    <row r="364" spans="1:40" s="203" customFormat="1">
      <c r="A364" s="199"/>
      <c r="B364" s="15"/>
      <c r="C364" s="15"/>
      <c r="D364" s="15"/>
      <c r="E364" s="15"/>
      <c r="F364" s="15"/>
      <c r="G364" s="15"/>
      <c r="H364" s="15"/>
      <c r="I364" s="86"/>
      <c r="J364" s="231"/>
      <c r="K364" s="231"/>
      <c r="L364" s="231"/>
      <c r="M364" s="231"/>
      <c r="N364" s="231"/>
      <c r="O364" s="231"/>
      <c r="P364" s="231"/>
      <c r="Q364" s="231"/>
      <c r="R364" s="231"/>
      <c r="S364" s="231"/>
      <c r="T364" s="231"/>
      <c r="U364" s="231"/>
      <c r="V364" s="231"/>
      <c r="W364" s="231"/>
      <c r="X364" s="231"/>
      <c r="Y364" s="231"/>
      <c r="Z364" s="231"/>
      <c r="AA364" s="231"/>
      <c r="AB364" s="231"/>
      <c r="AC364" s="231"/>
      <c r="AD364" s="231"/>
      <c r="AE364" s="231"/>
      <c r="AF364" s="231"/>
      <c r="AG364" s="231"/>
      <c r="AH364" s="231"/>
      <c r="AI364" s="231"/>
      <c r="AJ364" s="231"/>
      <c r="AK364" s="231"/>
      <c r="AL364" s="231"/>
      <c r="AM364" s="231"/>
      <c r="AN364" s="231"/>
    </row>
    <row r="365" spans="1:40" s="203" customFormat="1">
      <c r="A365" s="199"/>
      <c r="B365" s="15"/>
      <c r="C365" s="15"/>
      <c r="D365" s="15"/>
      <c r="E365" s="15"/>
      <c r="F365" s="15"/>
      <c r="G365" s="15"/>
      <c r="H365" s="86"/>
      <c r="I365" s="86"/>
      <c r="J365" s="231"/>
      <c r="K365" s="231"/>
      <c r="L365" s="231"/>
      <c r="M365" s="231"/>
      <c r="N365" s="231"/>
      <c r="O365" s="231"/>
      <c r="P365" s="231"/>
      <c r="Q365" s="231"/>
      <c r="R365" s="231"/>
      <c r="S365" s="231"/>
      <c r="T365" s="231"/>
      <c r="U365" s="231"/>
      <c r="V365" s="231"/>
      <c r="W365" s="231"/>
      <c r="X365" s="231"/>
      <c r="Y365" s="231"/>
      <c r="Z365" s="231"/>
      <c r="AA365" s="231"/>
      <c r="AB365" s="231"/>
      <c r="AC365" s="231"/>
      <c r="AD365" s="231"/>
      <c r="AE365" s="231"/>
      <c r="AF365" s="231"/>
      <c r="AG365" s="231"/>
      <c r="AH365" s="231"/>
      <c r="AI365" s="231"/>
      <c r="AJ365" s="231"/>
      <c r="AK365" s="231"/>
      <c r="AL365" s="231"/>
      <c r="AM365" s="231"/>
      <c r="AN365" s="231"/>
    </row>
    <row r="366" spans="1:40" s="203" customFormat="1">
      <c r="A366" s="199"/>
      <c r="B366" s="15"/>
      <c r="C366" s="15"/>
      <c r="D366" s="15"/>
      <c r="E366" s="15"/>
      <c r="F366" s="15"/>
      <c r="G366" s="15"/>
      <c r="H366" s="86"/>
      <c r="I366" s="86"/>
      <c r="J366" s="231"/>
      <c r="K366" s="231"/>
      <c r="L366" s="231"/>
      <c r="M366" s="231"/>
      <c r="N366" s="231"/>
      <c r="O366" s="231"/>
      <c r="P366" s="231"/>
      <c r="Q366" s="231"/>
      <c r="R366" s="231"/>
      <c r="S366" s="231"/>
      <c r="T366" s="231"/>
      <c r="U366" s="231"/>
      <c r="V366" s="231"/>
      <c r="W366" s="231"/>
      <c r="X366" s="231"/>
      <c r="Y366" s="231"/>
      <c r="Z366" s="231"/>
      <c r="AA366" s="231"/>
      <c r="AB366" s="231"/>
      <c r="AC366" s="231"/>
      <c r="AD366" s="231"/>
      <c r="AE366" s="231"/>
      <c r="AF366" s="231"/>
      <c r="AG366" s="231"/>
      <c r="AH366" s="231"/>
      <c r="AI366" s="231"/>
      <c r="AJ366" s="231"/>
      <c r="AK366" s="231"/>
      <c r="AL366" s="231"/>
      <c r="AM366" s="231"/>
      <c r="AN366" s="231"/>
    </row>
    <row r="367" spans="1:40" s="8" customFormat="1"/>
    <row r="368" spans="1:40" s="8" customFormat="1"/>
    <row r="369" s="8" customFormat="1"/>
    <row r="370" s="8" customFormat="1"/>
    <row r="371" s="8" customFormat="1"/>
    <row r="372" s="8" customFormat="1"/>
    <row r="373" s="8" customFormat="1"/>
    <row r="374" s="8" customFormat="1"/>
    <row r="375" s="8" customFormat="1"/>
    <row r="376" s="8" customFormat="1"/>
    <row r="377" s="8" customFormat="1"/>
    <row r="378" s="8" customFormat="1"/>
    <row r="379" s="8" customFormat="1"/>
    <row r="380" s="8" customFormat="1"/>
    <row r="381" s="8" customFormat="1"/>
    <row r="382" s="8" customFormat="1"/>
    <row r="383" s="8" customFormat="1"/>
    <row r="384" s="8" customFormat="1"/>
    <row r="385" spans="1:9" s="8" customFormat="1"/>
    <row r="386" spans="1:9" s="8" customFormat="1"/>
    <row r="387" spans="1:9" s="8" customFormat="1"/>
    <row r="388" spans="1:9" s="8" customFormat="1"/>
    <row r="389" spans="1:9" s="8" customFormat="1"/>
    <row r="390" spans="1:9" s="8" customFormat="1"/>
    <row r="391" spans="1:9" s="8" customFormat="1"/>
    <row r="392" spans="1:9" s="8" customFormat="1"/>
    <row r="393" spans="1:9" s="8" customFormat="1"/>
    <row r="394" spans="1:9">
      <c r="A394" s="8"/>
      <c r="B394" s="8"/>
      <c r="C394" s="8"/>
      <c r="D394" s="8"/>
      <c r="E394" s="8"/>
      <c r="F394" s="8"/>
      <c r="G394" s="8"/>
      <c r="H394" s="8"/>
      <c r="I394" s="8"/>
    </row>
    <row r="395" spans="1:9">
      <c r="A395" s="8"/>
      <c r="B395" s="8"/>
      <c r="C395" s="8"/>
      <c r="D395" s="8"/>
      <c r="E395" s="8"/>
      <c r="F395" s="8"/>
      <c r="G395" s="8"/>
      <c r="H395" s="8"/>
      <c r="I395" s="8"/>
    </row>
    <row r="396" spans="1:9">
      <c r="A396" s="8"/>
      <c r="B396" s="8"/>
      <c r="C396" s="8"/>
      <c r="D396" s="8"/>
      <c r="E396" s="8"/>
      <c r="F396" s="8"/>
      <c r="G396" s="8"/>
      <c r="H396" s="8"/>
      <c r="I396" s="8"/>
    </row>
    <row r="397" spans="1:9">
      <c r="A397" s="8"/>
      <c r="B397" s="8"/>
      <c r="C397" s="8"/>
      <c r="D397" s="8"/>
      <c r="E397" s="8"/>
      <c r="F397" s="8"/>
      <c r="G397" s="8"/>
      <c r="H397" s="8"/>
      <c r="I397" s="8"/>
    </row>
    <row r="398" spans="1:9">
      <c r="A398" s="8"/>
      <c r="B398" s="8"/>
      <c r="C398" s="8"/>
      <c r="D398" s="8"/>
      <c r="E398" s="8"/>
      <c r="F398" s="8"/>
      <c r="G398" s="8"/>
      <c r="H398" s="8"/>
      <c r="I398" s="8"/>
    </row>
    <row r="399" spans="1:9">
      <c r="A399" s="8"/>
      <c r="B399" s="8"/>
      <c r="C399" s="8"/>
      <c r="D399" s="8"/>
      <c r="E399" s="8"/>
      <c r="F399" s="8"/>
      <c r="G399" s="8"/>
      <c r="H399" s="8"/>
      <c r="I399" s="8"/>
    </row>
    <row r="400" spans="1:9">
      <c r="A400" s="8"/>
      <c r="B400" s="8"/>
      <c r="C400" s="8"/>
      <c r="D400" s="8"/>
      <c r="E400" s="8"/>
      <c r="F400" s="8"/>
      <c r="G400" s="8"/>
      <c r="H400" s="8"/>
      <c r="I400" s="8"/>
    </row>
    <row r="401" spans="1:9">
      <c r="A401" s="8"/>
      <c r="B401" s="8"/>
      <c r="C401" s="8"/>
      <c r="D401" s="8"/>
      <c r="E401" s="8"/>
      <c r="F401" s="8"/>
      <c r="G401" s="8"/>
      <c r="H401" s="8"/>
      <c r="I401" s="8"/>
    </row>
    <row r="402" spans="1:9">
      <c r="A402" s="8"/>
      <c r="B402" s="8"/>
      <c r="C402" s="8"/>
      <c r="D402" s="8"/>
      <c r="E402" s="8"/>
      <c r="F402" s="8"/>
      <c r="G402" s="8"/>
      <c r="H402" s="8"/>
      <c r="I402" s="8"/>
    </row>
    <row r="403" spans="1:9">
      <c r="A403" s="8"/>
      <c r="B403" s="8"/>
      <c r="C403" s="8"/>
      <c r="D403" s="8"/>
      <c r="E403" s="8"/>
      <c r="F403" s="8"/>
      <c r="G403" s="8"/>
      <c r="H403" s="8"/>
      <c r="I403" s="8"/>
    </row>
    <row r="404" spans="1:9">
      <c r="A404" s="8"/>
      <c r="B404" s="8"/>
      <c r="C404" s="8"/>
      <c r="D404" s="8"/>
      <c r="E404" s="8"/>
      <c r="F404" s="8"/>
      <c r="G404" s="8"/>
      <c r="H404" s="8"/>
      <c r="I404" s="8"/>
    </row>
    <row r="405" spans="1:9">
      <c r="A405" s="8"/>
      <c r="B405" s="8"/>
      <c r="C405" s="8"/>
      <c r="D405" s="8"/>
      <c r="E405" s="8"/>
      <c r="F405" s="8"/>
      <c r="G405" s="8"/>
      <c r="H405" s="8"/>
      <c r="I405" s="8"/>
    </row>
    <row r="406" spans="1:9">
      <c r="A406" s="8"/>
      <c r="B406" s="8"/>
      <c r="C406" s="8"/>
      <c r="D406" s="8"/>
      <c r="E406" s="8"/>
      <c r="F406" s="8"/>
      <c r="G406" s="8"/>
      <c r="H406" s="8"/>
      <c r="I406" s="8"/>
    </row>
    <row r="407" spans="1:9">
      <c r="A407" s="8"/>
      <c r="B407" s="8"/>
      <c r="C407" s="8"/>
      <c r="D407" s="8"/>
      <c r="E407" s="8"/>
      <c r="F407" s="8"/>
      <c r="G407" s="8"/>
      <c r="H407" s="8"/>
      <c r="I407" s="8"/>
    </row>
    <row r="408" spans="1:9">
      <c r="A408" s="8"/>
      <c r="B408" s="8"/>
      <c r="C408" s="8"/>
      <c r="D408" s="8"/>
      <c r="E408" s="8"/>
      <c r="F408" s="8"/>
      <c r="G408" s="8"/>
      <c r="H408" s="8"/>
      <c r="I408" s="8"/>
    </row>
  </sheetData>
  <mergeCells count="59">
    <mergeCell ref="F341:F345"/>
    <mergeCell ref="H341:H345"/>
    <mergeCell ref="E261:E265"/>
    <mergeCell ref="F261:F265"/>
    <mergeCell ref="H261:H265"/>
    <mergeCell ref="E280:E284"/>
    <mergeCell ref="F280:F284"/>
    <mergeCell ref="H280:H284"/>
    <mergeCell ref="E305:E309"/>
    <mergeCell ref="F305:F309"/>
    <mergeCell ref="H305:H309"/>
    <mergeCell ref="C323:H323"/>
    <mergeCell ref="C330:H330"/>
    <mergeCell ref="E341:E345"/>
    <mergeCell ref="E221:E225"/>
    <mergeCell ref="F221:F225"/>
    <mergeCell ref="H221:H225"/>
    <mergeCell ref="E234:E238"/>
    <mergeCell ref="F234:F238"/>
    <mergeCell ref="H234:H238"/>
    <mergeCell ref="G66:G70"/>
    <mergeCell ref="H66:H70"/>
    <mergeCell ref="F91:F95"/>
    <mergeCell ref="H91:H95"/>
    <mergeCell ref="E193:E197"/>
    <mergeCell ref="F193:F197"/>
    <mergeCell ref="H193:H197"/>
    <mergeCell ref="E153:E157"/>
    <mergeCell ref="F153:F157"/>
    <mergeCell ref="H153:H157"/>
    <mergeCell ref="E91:E95"/>
    <mergeCell ref="I66:I70"/>
    <mergeCell ref="A23:D24"/>
    <mergeCell ref="E23:E24"/>
    <mergeCell ref="F23:F24"/>
    <mergeCell ref="H23:H24"/>
    <mergeCell ref="A25:A27"/>
    <mergeCell ref="B25:D27"/>
    <mergeCell ref="E25:E27"/>
    <mergeCell ref="F25:F27"/>
    <mergeCell ref="H25:H27"/>
    <mergeCell ref="A40:D41"/>
    <mergeCell ref="E40:E41"/>
    <mergeCell ref="F40:F41"/>
    <mergeCell ref="H40:H41"/>
    <mergeCell ref="E66:E70"/>
    <mergeCell ref="F66:F70"/>
    <mergeCell ref="C19:F19"/>
    <mergeCell ref="B3:B4"/>
    <mergeCell ref="C3:D4"/>
    <mergeCell ref="A5:B5"/>
    <mergeCell ref="D6:H6"/>
    <mergeCell ref="A9:I9"/>
    <mergeCell ref="D10:F10"/>
    <mergeCell ref="C14:F14"/>
    <mergeCell ref="C15:F15"/>
    <mergeCell ref="C16:F16"/>
    <mergeCell ref="C17:F17"/>
    <mergeCell ref="C18:F18"/>
  </mergeCells>
  <phoneticPr fontId="10" type="noConversion"/>
  <conditionalFormatting sqref="F71:F76 F286:F301 F311:F318 F96:F97 F103:F104 F106 F110:F114 F118:F124 F128:F134 F138:F142 F146:F149 F159:F162 F166:F168 F171:F172 F175:F177 F183:F190 F199:F200 F204:F206 F210:F213 F217:F218 F226:F230 F240:F241 F245:F246 F250:F253 F256 F267:F276 H250 F80:F88">
    <cfRule type="expression" dxfId="50" priority="259" stopIfTrue="1">
      <formula>ISBLANK(F71)</formula>
    </cfRule>
    <cfRule type="expression" dxfId="49" priority="260" stopIfTrue="1">
      <formula>IF(AND(OR(F71-E71&gt;500,F71-E71&lt;-500),OR(#REF!&gt;0.1,#REF!&lt;-0.1)),TRUE,FALSE)</formula>
    </cfRule>
  </conditionalFormatting>
  <dataValidations count="1">
    <dataValidation type="list" errorStyle="information" allowBlank="1" showInputMessage="1" showErrorMessage="1" errorTitle="POBE 2006" error="Please select from the drop-down menu..." prompt="Please select your Authority from the drop-down menu..." sqref="C3:D4">
      <formula1>#REF!</formula1>
    </dataValidation>
  </dataValidations>
  <hyperlinks>
    <hyperlink ref="F7" r:id="rId1" display="lgfstats@scotland.gsi.gov.uk"/>
    <hyperlink ref="D6" r:id="rId2"/>
    <hyperlink ref="D10" r:id="rId3" display="^lgfstats@gov.scot"/>
    <hyperlink ref="B14" location="'POBE 2017'!A28" display="PART 1 - Expenditure"/>
    <hyperlink ref="C19:F19" location="'POBE 2017'!A323" display="Sheet 10. - PUBLIC PRIVATE PARTNERSHIPS/PRIVATE FINANCE INITIATIVES"/>
    <hyperlink ref="B15" location="'POBE 2017'!A40" display="PART 2 - Income and Balances"/>
    <hyperlink ref="B16" location="'POBE 2017'!A66" display="Sheet 1. EDUCATION"/>
    <hyperlink ref="B17" location="'POBE 2017'!A91" display="Sheet 2. SOCIAL WORK"/>
    <hyperlink ref="B18" location="'POBE 2017'!A153" display="Sheet 3. ROADS AND TRANSPORT"/>
    <hyperlink ref="B19" location="'POBE 2017'!A193" display="Sheet 4. ENVIRONMENTAL SERVICES"/>
    <hyperlink ref="C14:F14" location="'POBE 2017'!A221" display="Sheet 5. PLANNING AND DEVELOPMENT SERVICES"/>
    <hyperlink ref="C15:F15" location="'POBE 2017'!A234" display="Sheet 6. CULTURAL AND RELATED SERVICES"/>
    <hyperlink ref="C16:F16" location="'POBE 2017'!A261" display="Sheet 7. HOUSING"/>
    <hyperlink ref="C17:F17" location="'POBE 2017'!A280" display="Sheet 8. CENTRAL SERVICES"/>
    <hyperlink ref="C18:F18" location="'POBE 2017'!A305" display="Sheet 9. OTHER EXPENDITURE"/>
  </hyperlinks>
  <pageMargins left="0.75" right="0.75" top="1" bottom="1" header="0.5" footer="0.5"/>
  <pageSetup paperSize="9" orientation="portrait" r:id="rId4"/>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AK411"/>
  <sheetViews>
    <sheetView topLeftCell="A178" zoomScale="80" zoomScaleNormal="80" workbookViewId="0">
      <selection activeCell="G189" sqref="G189"/>
    </sheetView>
  </sheetViews>
  <sheetFormatPr defaultColWidth="9.140625" defaultRowHeight="12.75"/>
  <cols>
    <col min="1" max="1" width="10.5703125" style="1" customWidth="1"/>
    <col min="2" max="2" width="43" style="1" customWidth="1"/>
    <col min="3" max="3" width="24.5703125" style="1" customWidth="1"/>
    <col min="4" max="4" width="14.7109375" style="1" customWidth="1"/>
    <col min="5" max="5" width="21.5703125" style="1" customWidth="1"/>
    <col min="6" max="6" width="19.140625" style="1" customWidth="1"/>
    <col min="7" max="7" width="17.42578125" style="1" customWidth="1"/>
    <col min="8" max="8" width="19.28515625" style="1" customWidth="1"/>
    <col min="9" max="9" width="17.85546875" style="1" customWidth="1"/>
    <col min="10" max="19" width="9.140625" style="8" customWidth="1"/>
    <col min="20" max="30" width="9.140625" style="8"/>
    <col min="31" max="31" width="0" style="8" hidden="1" customWidth="1"/>
    <col min="32" max="37" width="9.140625" style="8"/>
    <col min="38" max="16384" width="9.140625" style="1"/>
  </cols>
  <sheetData>
    <row r="1" spans="1:37" s="203" customFormat="1" ht="51" customHeight="1">
      <c r="A1" s="3" t="s">
        <v>410</v>
      </c>
      <c r="B1" s="4"/>
      <c r="C1" s="224"/>
      <c r="D1" s="224"/>
      <c r="E1" s="224"/>
      <c r="F1" s="224"/>
      <c r="G1" s="225"/>
      <c r="H1" s="226"/>
      <c r="I1" s="227"/>
      <c r="J1" s="231"/>
      <c r="K1" s="231"/>
      <c r="L1" s="231"/>
      <c r="M1" s="231"/>
      <c r="N1" s="231"/>
      <c r="O1" s="231"/>
      <c r="P1" s="231"/>
      <c r="Q1" s="231"/>
      <c r="R1" s="231"/>
      <c r="S1" s="231"/>
      <c r="T1" s="231"/>
      <c r="U1" s="231"/>
      <c r="V1" s="231"/>
      <c r="W1" s="231"/>
      <c r="X1" s="231"/>
      <c r="Y1" s="231"/>
      <c r="Z1" s="231"/>
      <c r="AA1" s="231"/>
      <c r="AB1" s="231"/>
      <c r="AC1" s="231"/>
      <c r="AD1" s="231"/>
      <c r="AE1" s="231"/>
      <c r="AF1" s="231"/>
      <c r="AG1" s="231"/>
      <c r="AH1" s="231"/>
      <c r="AI1" s="231"/>
      <c r="AJ1" s="231"/>
      <c r="AK1" s="231"/>
    </row>
    <row r="2" spans="1:37" s="203" customFormat="1" ht="35.25">
      <c r="A2" s="9"/>
      <c r="B2" s="10"/>
      <c r="C2" s="232"/>
      <c r="D2" s="232"/>
      <c r="E2" s="232"/>
      <c r="F2" s="11"/>
      <c r="G2" s="11"/>
      <c r="H2" s="11"/>
      <c r="I2" s="11"/>
      <c r="J2" s="231"/>
      <c r="K2" s="231"/>
      <c r="L2" s="231"/>
      <c r="M2" s="231"/>
      <c r="N2" s="231"/>
      <c r="O2" s="231"/>
      <c r="P2" s="231"/>
      <c r="Q2" s="231"/>
      <c r="R2" s="231"/>
      <c r="S2" s="231"/>
      <c r="T2" s="231"/>
      <c r="U2" s="231"/>
      <c r="V2" s="231"/>
      <c r="W2" s="231"/>
      <c r="X2" s="231"/>
      <c r="Y2" s="231"/>
      <c r="Z2" s="231"/>
      <c r="AA2" s="231"/>
      <c r="AB2" s="231"/>
      <c r="AC2" s="231"/>
      <c r="AD2" s="231"/>
      <c r="AE2" s="231"/>
      <c r="AF2" s="231"/>
      <c r="AG2" s="231"/>
      <c r="AH2" s="231"/>
      <c r="AI2" s="231"/>
      <c r="AJ2" s="231"/>
      <c r="AK2" s="231"/>
    </row>
    <row r="3" spans="1:37" s="203" customFormat="1" ht="15">
      <c r="A3" s="12"/>
      <c r="B3" s="882" t="s">
        <v>0</v>
      </c>
      <c r="C3" s="884" t="s">
        <v>16</v>
      </c>
      <c r="D3" s="885"/>
      <c r="E3" s="13"/>
      <c r="F3" s="14"/>
      <c r="G3" s="14"/>
      <c r="H3" s="15"/>
      <c r="I3" s="14"/>
      <c r="J3" s="231"/>
      <c r="K3" s="231"/>
      <c r="L3" s="231"/>
      <c r="M3" s="231"/>
      <c r="N3" s="231"/>
      <c r="O3" s="231"/>
      <c r="P3" s="231"/>
      <c r="Q3" s="231"/>
      <c r="R3" s="231"/>
      <c r="S3" s="231"/>
      <c r="T3" s="231"/>
      <c r="U3" s="231"/>
      <c r="V3" s="231"/>
      <c r="W3" s="231"/>
      <c r="X3" s="231"/>
      <c r="Y3" s="231"/>
      <c r="Z3" s="231"/>
      <c r="AA3" s="231"/>
      <c r="AB3" s="231"/>
      <c r="AC3" s="231"/>
      <c r="AD3" s="231"/>
      <c r="AE3" s="231"/>
      <c r="AF3" s="231"/>
      <c r="AG3" s="231"/>
      <c r="AH3" s="231"/>
      <c r="AI3" s="231"/>
      <c r="AJ3" s="231"/>
      <c r="AK3" s="231"/>
    </row>
    <row r="4" spans="1:37" s="203" customFormat="1" ht="15">
      <c r="A4" s="17"/>
      <c r="B4" s="883"/>
      <c r="C4" s="886"/>
      <c r="D4" s="887"/>
      <c r="E4" s="13"/>
      <c r="F4" s="14"/>
      <c r="G4" s="14"/>
      <c r="H4" s="15"/>
      <c r="I4" s="14"/>
      <c r="J4" s="231"/>
      <c r="K4" s="231"/>
      <c r="L4" s="231"/>
      <c r="M4" s="231"/>
      <c r="N4" s="231"/>
      <c r="O4" s="231"/>
      <c r="P4" s="231"/>
      <c r="Q4" s="231"/>
      <c r="R4" s="231"/>
      <c r="S4" s="231"/>
      <c r="T4" s="231"/>
      <c r="U4" s="231"/>
      <c r="V4" s="231"/>
      <c r="W4" s="231"/>
      <c r="X4" s="231"/>
      <c r="Y4" s="231"/>
      <c r="Z4" s="231"/>
      <c r="AA4" s="231"/>
      <c r="AB4" s="231"/>
      <c r="AC4" s="231"/>
      <c r="AD4" s="231"/>
      <c r="AE4" s="231"/>
      <c r="AF4" s="231"/>
      <c r="AG4" s="231"/>
      <c r="AH4" s="231"/>
      <c r="AI4" s="231"/>
      <c r="AJ4" s="231"/>
      <c r="AK4" s="231"/>
    </row>
    <row r="5" spans="1:37" s="203" customFormat="1" ht="15">
      <c r="A5" s="888"/>
      <c r="B5" s="889"/>
      <c r="C5" s="18"/>
      <c r="D5" s="206"/>
      <c r="E5" s="206"/>
      <c r="F5" s="14"/>
      <c r="G5" s="14"/>
      <c r="H5" s="14"/>
      <c r="I5" s="234"/>
      <c r="J5" s="231"/>
      <c r="K5" s="231"/>
      <c r="L5" s="231"/>
      <c r="M5" s="231"/>
      <c r="N5" s="231"/>
      <c r="O5" s="231"/>
      <c r="P5" s="231"/>
      <c r="Q5" s="231"/>
      <c r="R5" s="231"/>
      <c r="S5" s="231"/>
      <c r="T5" s="231"/>
      <c r="U5" s="231"/>
      <c r="V5" s="231"/>
      <c r="W5" s="231"/>
      <c r="X5" s="231"/>
      <c r="Y5" s="231"/>
      <c r="Z5" s="231"/>
      <c r="AA5" s="231"/>
      <c r="AB5" s="231"/>
      <c r="AC5" s="231"/>
      <c r="AD5" s="231"/>
      <c r="AE5" s="231"/>
      <c r="AF5" s="231"/>
      <c r="AG5" s="231"/>
      <c r="AH5" s="231"/>
      <c r="AI5" s="231"/>
      <c r="AJ5" s="231"/>
      <c r="AK5" s="231"/>
    </row>
    <row r="6" spans="1:37" s="203" customFormat="1" ht="23.25" customHeight="1">
      <c r="A6" s="19" t="s">
        <v>1</v>
      </c>
      <c r="B6" s="207"/>
      <c r="C6" s="20"/>
      <c r="D6" s="890" t="s">
        <v>249</v>
      </c>
      <c r="E6" s="890"/>
      <c r="F6" s="890"/>
      <c r="G6" s="890"/>
      <c r="H6" s="890"/>
      <c r="I6" s="29"/>
      <c r="J6" s="231"/>
      <c r="K6" s="231"/>
      <c r="L6" s="231"/>
      <c r="M6" s="231"/>
      <c r="N6" s="231"/>
      <c r="O6" s="231"/>
      <c r="P6" s="231"/>
      <c r="Q6" s="231"/>
      <c r="R6" s="231"/>
      <c r="S6" s="231"/>
      <c r="T6" s="231"/>
      <c r="U6" s="231"/>
      <c r="V6" s="231"/>
      <c r="W6" s="231"/>
      <c r="X6" s="231"/>
      <c r="Y6" s="231"/>
      <c r="Z6" s="231"/>
      <c r="AA6" s="231"/>
      <c r="AB6" s="231"/>
      <c r="AC6" s="231"/>
      <c r="AD6" s="231"/>
      <c r="AE6" s="231"/>
      <c r="AF6" s="231"/>
      <c r="AG6" s="231"/>
      <c r="AH6" s="231"/>
      <c r="AI6" s="231"/>
      <c r="AJ6" s="231"/>
      <c r="AK6" s="231"/>
    </row>
    <row r="7" spans="1:37" s="203" customFormat="1" ht="18.75" customHeight="1">
      <c r="A7" s="19" t="s">
        <v>419</v>
      </c>
      <c r="B7" s="207"/>
      <c r="C7" s="207"/>
      <c r="D7" s="207"/>
      <c r="E7" s="207"/>
      <c r="F7" s="362" t="s">
        <v>250</v>
      </c>
      <c r="G7" s="1"/>
      <c r="H7" s="21"/>
      <c r="I7" s="29"/>
      <c r="J7" s="231"/>
      <c r="K7" s="231"/>
      <c r="L7" s="231"/>
      <c r="M7" s="231"/>
      <c r="N7" s="231"/>
      <c r="O7" s="231"/>
      <c r="P7" s="231"/>
      <c r="Q7" s="231"/>
      <c r="R7" s="231"/>
      <c r="S7" s="231"/>
      <c r="T7" s="231"/>
      <c r="U7" s="231"/>
      <c r="V7" s="231"/>
      <c r="W7" s="231"/>
      <c r="X7" s="231"/>
      <c r="Y7" s="231"/>
      <c r="Z7" s="231"/>
      <c r="AA7" s="231"/>
      <c r="AB7" s="231"/>
      <c r="AC7" s="231"/>
      <c r="AD7" s="231"/>
      <c r="AE7" s="231"/>
      <c r="AF7" s="231"/>
      <c r="AG7" s="231"/>
      <c r="AH7" s="231"/>
      <c r="AI7" s="231"/>
      <c r="AJ7" s="231"/>
      <c r="AK7" s="231"/>
    </row>
    <row r="8" spans="1:37" s="203" customFormat="1" ht="24" customHeight="1">
      <c r="A8" s="22" t="s">
        <v>408</v>
      </c>
      <c r="B8" s="207"/>
      <c r="C8" s="207"/>
      <c r="D8" s="207"/>
      <c r="E8" s="207"/>
      <c r="F8" s="207"/>
      <c r="G8" s="710"/>
      <c r="H8" s="21"/>
      <c r="I8" s="29"/>
      <c r="J8" s="231"/>
      <c r="K8" s="231"/>
      <c r="L8" s="231"/>
      <c r="M8" s="231"/>
      <c r="N8" s="231"/>
      <c r="O8" s="231"/>
      <c r="P8" s="231"/>
      <c r="Q8" s="231"/>
      <c r="R8" s="231"/>
      <c r="S8" s="231"/>
      <c r="T8" s="231"/>
      <c r="U8" s="231"/>
      <c r="V8" s="231"/>
      <c r="W8" s="231"/>
      <c r="X8" s="231"/>
      <c r="Y8" s="231"/>
      <c r="Z8" s="231"/>
      <c r="AA8" s="231"/>
      <c r="AB8" s="231"/>
      <c r="AC8" s="231"/>
      <c r="AD8" s="231"/>
      <c r="AE8" s="231"/>
      <c r="AF8" s="231"/>
      <c r="AG8" s="231"/>
      <c r="AH8" s="231"/>
      <c r="AI8" s="231"/>
      <c r="AJ8" s="231"/>
      <c r="AK8" s="231"/>
    </row>
    <row r="9" spans="1:37" s="203" customFormat="1" ht="30.75" customHeight="1">
      <c r="A9" s="891" t="s">
        <v>420</v>
      </c>
      <c r="B9" s="892"/>
      <c r="C9" s="892"/>
      <c r="D9" s="892"/>
      <c r="E9" s="892"/>
      <c r="F9" s="892"/>
      <c r="G9" s="892"/>
      <c r="H9" s="892"/>
      <c r="I9" s="892"/>
      <c r="J9" s="231"/>
      <c r="K9" s="231"/>
      <c r="L9" s="231"/>
      <c r="M9" s="231"/>
      <c r="N9" s="231"/>
      <c r="O9" s="231"/>
      <c r="P9" s="231"/>
      <c r="Q9" s="231"/>
      <c r="R9" s="231"/>
      <c r="S9" s="231"/>
      <c r="T9" s="231"/>
      <c r="U9" s="231"/>
      <c r="V9" s="231"/>
      <c r="W9" s="231"/>
      <c r="X9" s="231"/>
      <c r="Y9" s="231"/>
      <c r="Z9" s="231"/>
      <c r="AA9" s="231"/>
      <c r="AB9" s="231"/>
      <c r="AC9" s="231"/>
      <c r="AD9" s="231"/>
      <c r="AE9" s="231"/>
      <c r="AF9" s="231"/>
      <c r="AG9" s="231"/>
      <c r="AH9" s="231"/>
      <c r="AI9" s="231"/>
      <c r="AJ9" s="231"/>
      <c r="AK9" s="231"/>
    </row>
    <row r="10" spans="1:37" s="203" customFormat="1" ht="12.75" customHeight="1">
      <c r="A10" s="22" t="s">
        <v>409</v>
      </c>
      <c r="B10" s="19"/>
      <c r="C10" s="1"/>
      <c r="D10" s="880" t="s">
        <v>250</v>
      </c>
      <c r="E10" s="881"/>
      <c r="F10" s="881"/>
      <c r="G10" s="207"/>
      <c r="H10" s="207"/>
      <c r="I10" s="29"/>
      <c r="J10" s="231"/>
      <c r="K10" s="231"/>
      <c r="L10" s="231"/>
      <c r="M10" s="231"/>
      <c r="N10" s="231"/>
      <c r="O10" s="231"/>
      <c r="P10" s="231"/>
      <c r="Q10" s="231"/>
      <c r="R10" s="231"/>
      <c r="S10" s="231"/>
      <c r="T10" s="231"/>
      <c r="U10" s="231"/>
      <c r="V10" s="231"/>
      <c r="W10" s="231"/>
      <c r="X10" s="231"/>
      <c r="Y10" s="231"/>
      <c r="Z10" s="231"/>
      <c r="AA10" s="231"/>
      <c r="AB10" s="231"/>
      <c r="AC10" s="231"/>
      <c r="AD10" s="231"/>
      <c r="AE10" s="231"/>
      <c r="AF10" s="231"/>
      <c r="AG10" s="231"/>
      <c r="AH10" s="231"/>
      <c r="AI10" s="231"/>
      <c r="AJ10" s="231"/>
      <c r="AK10" s="231"/>
    </row>
    <row r="11" spans="1:37" s="203" customFormat="1">
      <c r="A11" s="23"/>
      <c r="B11" s="207"/>
      <c r="C11" s="207"/>
      <c r="D11" s="207"/>
      <c r="E11" s="207"/>
      <c r="F11" s="207"/>
      <c r="G11" s="21"/>
      <c r="H11" s="21"/>
      <c r="I11" s="29"/>
      <c r="J11" s="231"/>
      <c r="K11" s="231"/>
      <c r="L11" s="231"/>
      <c r="M11" s="231"/>
      <c r="N11" s="231"/>
      <c r="O11" s="231"/>
      <c r="P11" s="231"/>
      <c r="Q11" s="231"/>
      <c r="R11" s="231"/>
      <c r="S11" s="231"/>
      <c r="T11" s="231"/>
      <c r="U11" s="231"/>
      <c r="V11" s="231"/>
      <c r="W11" s="231"/>
      <c r="X11" s="231"/>
      <c r="Y11" s="231"/>
      <c r="Z11" s="231"/>
      <c r="AA11" s="231"/>
      <c r="AB11" s="231"/>
      <c r="AC11" s="231"/>
      <c r="AD11" s="231"/>
      <c r="AE11" s="231"/>
      <c r="AF11" s="231"/>
      <c r="AG11" s="231"/>
      <c r="AH11" s="231"/>
      <c r="AI11" s="231"/>
      <c r="AJ11" s="231"/>
      <c r="AK11" s="231"/>
    </row>
    <row r="12" spans="1:37" s="203" customFormat="1">
      <c r="A12" s="24"/>
      <c r="B12" s="25" t="s">
        <v>7</v>
      </c>
      <c r="C12" s="26"/>
      <c r="D12" s="356"/>
      <c r="E12" s="356"/>
      <c r="F12" s="357"/>
      <c r="G12" s="21"/>
      <c r="H12" s="21"/>
      <c r="I12" s="29"/>
      <c r="J12" s="231"/>
      <c r="K12" s="231"/>
      <c r="L12" s="231"/>
      <c r="M12" s="231"/>
      <c r="N12" s="231"/>
      <c r="O12" s="231"/>
      <c r="P12" s="231"/>
      <c r="Q12" s="231"/>
      <c r="R12" s="231"/>
      <c r="S12" s="231"/>
      <c r="T12" s="231"/>
      <c r="U12" s="231"/>
      <c r="V12" s="231"/>
      <c r="W12" s="231"/>
      <c r="X12" s="231"/>
      <c r="Y12" s="231"/>
      <c r="Z12" s="231"/>
      <c r="AA12" s="231"/>
      <c r="AB12" s="231"/>
      <c r="AC12" s="231"/>
      <c r="AD12" s="231"/>
      <c r="AE12" s="231"/>
      <c r="AF12" s="231"/>
      <c r="AG12" s="231"/>
      <c r="AH12" s="231"/>
      <c r="AI12" s="231"/>
      <c r="AJ12" s="231"/>
      <c r="AK12" s="231"/>
    </row>
    <row r="13" spans="1:37" s="203" customFormat="1">
      <c r="A13" s="23"/>
      <c r="B13" s="27"/>
      <c r="C13" s="358"/>
      <c r="D13" s="15"/>
      <c r="E13" s="15"/>
      <c r="F13" s="359"/>
      <c r="G13" s="207"/>
      <c r="H13" s="21"/>
      <c r="I13" s="29"/>
      <c r="J13" s="231"/>
      <c r="K13" s="231"/>
      <c r="L13" s="231"/>
      <c r="M13" s="231"/>
      <c r="N13" s="231"/>
      <c r="O13" s="231"/>
      <c r="P13" s="231"/>
      <c r="Q13" s="231"/>
      <c r="R13" s="231"/>
      <c r="S13" s="231"/>
      <c r="T13" s="231"/>
      <c r="U13" s="231"/>
      <c r="V13" s="231"/>
      <c r="W13" s="231"/>
      <c r="X13" s="231"/>
      <c r="Y13" s="231"/>
      <c r="Z13" s="231"/>
      <c r="AA13" s="231"/>
      <c r="AB13" s="231"/>
      <c r="AC13" s="231"/>
      <c r="AD13" s="231"/>
      <c r="AE13" s="231"/>
      <c r="AF13" s="231"/>
      <c r="AG13" s="231"/>
      <c r="AH13" s="231"/>
      <c r="AI13" s="231"/>
      <c r="AJ13" s="231"/>
      <c r="AK13" s="231"/>
    </row>
    <row r="14" spans="1:37" s="203" customFormat="1">
      <c r="A14" s="23"/>
      <c r="B14" s="363" t="s">
        <v>328</v>
      </c>
      <c r="C14" s="870" t="s">
        <v>10</v>
      </c>
      <c r="D14" s="870"/>
      <c r="E14" s="870"/>
      <c r="F14" s="871"/>
      <c r="G14" s="207"/>
      <c r="H14" s="21"/>
      <c r="I14" s="29"/>
      <c r="J14" s="231"/>
      <c r="K14" s="231"/>
      <c r="L14" s="231"/>
      <c r="M14" s="231"/>
      <c r="N14" s="231"/>
      <c r="O14" s="231"/>
      <c r="P14" s="231"/>
      <c r="Q14" s="231"/>
      <c r="R14" s="231"/>
      <c r="S14" s="231"/>
      <c r="T14" s="231"/>
      <c r="U14" s="231"/>
      <c r="V14" s="231"/>
      <c r="W14" s="231"/>
      <c r="X14" s="231"/>
      <c r="Y14" s="231"/>
      <c r="Z14" s="231"/>
      <c r="AA14" s="231"/>
      <c r="AB14" s="231"/>
      <c r="AC14" s="231"/>
      <c r="AD14" s="231"/>
      <c r="AE14" s="231"/>
      <c r="AF14" s="231"/>
      <c r="AG14" s="231"/>
      <c r="AH14" s="231"/>
      <c r="AI14" s="231"/>
      <c r="AJ14" s="231"/>
      <c r="AK14" s="231"/>
    </row>
    <row r="15" spans="1:37" s="203" customFormat="1">
      <c r="A15" s="23"/>
      <c r="B15" s="363" t="s">
        <v>329</v>
      </c>
      <c r="C15" s="870" t="s">
        <v>12</v>
      </c>
      <c r="D15" s="870"/>
      <c r="E15" s="870"/>
      <c r="F15" s="871"/>
      <c r="G15" s="207"/>
      <c r="H15" s="21"/>
      <c r="I15" s="29"/>
      <c r="J15" s="231"/>
      <c r="K15" s="231"/>
      <c r="L15" s="231"/>
      <c r="M15" s="231"/>
      <c r="N15" s="231"/>
      <c r="O15" s="231"/>
      <c r="P15" s="231"/>
      <c r="Q15" s="231"/>
      <c r="R15" s="231"/>
      <c r="S15" s="231"/>
      <c r="T15" s="231"/>
      <c r="U15" s="231"/>
      <c r="V15" s="231"/>
      <c r="W15" s="231"/>
      <c r="X15" s="231"/>
      <c r="Y15" s="231"/>
      <c r="Z15" s="231"/>
      <c r="AA15" s="231"/>
      <c r="AB15" s="231"/>
      <c r="AC15" s="231"/>
      <c r="AD15" s="231"/>
      <c r="AE15" s="231"/>
      <c r="AF15" s="231"/>
      <c r="AG15" s="231"/>
      <c r="AH15" s="231"/>
      <c r="AI15" s="231"/>
      <c r="AJ15" s="231"/>
      <c r="AK15" s="231"/>
    </row>
    <row r="16" spans="1:37" s="203" customFormat="1">
      <c r="A16" s="23"/>
      <c r="B16" s="360" t="s">
        <v>14</v>
      </c>
      <c r="C16" s="870" t="s">
        <v>15</v>
      </c>
      <c r="D16" s="870"/>
      <c r="E16" s="870"/>
      <c r="F16" s="871"/>
      <c r="G16" s="207"/>
      <c r="H16" s="21"/>
      <c r="I16" s="29"/>
      <c r="J16" s="231"/>
      <c r="K16" s="231"/>
      <c r="L16" s="231"/>
      <c r="M16" s="231"/>
      <c r="N16" s="231"/>
      <c r="O16" s="231"/>
      <c r="P16" s="231"/>
      <c r="Q16" s="231"/>
      <c r="R16" s="231"/>
      <c r="S16" s="231"/>
      <c r="T16" s="231"/>
      <c r="U16" s="231"/>
      <c r="V16" s="231"/>
      <c r="W16" s="231"/>
      <c r="X16" s="231"/>
      <c r="Y16" s="231"/>
      <c r="Z16" s="231"/>
      <c r="AA16" s="231"/>
      <c r="AB16" s="231"/>
      <c r="AC16" s="231"/>
      <c r="AD16" s="231"/>
      <c r="AE16" s="231"/>
      <c r="AF16" s="231"/>
      <c r="AG16" s="231"/>
      <c r="AH16" s="231"/>
      <c r="AI16" s="231"/>
      <c r="AJ16" s="231"/>
      <c r="AK16" s="231"/>
    </row>
    <row r="17" spans="1:37" s="203" customFormat="1">
      <c r="A17" s="23"/>
      <c r="B17" s="360" t="s">
        <v>17</v>
      </c>
      <c r="C17" s="870" t="s">
        <v>18</v>
      </c>
      <c r="D17" s="870"/>
      <c r="E17" s="870"/>
      <c r="F17" s="871"/>
      <c r="G17" s="207"/>
      <c r="H17" s="21"/>
      <c r="I17" s="29"/>
      <c r="J17" s="231"/>
      <c r="K17" s="231"/>
      <c r="L17" s="231"/>
      <c r="M17" s="231"/>
      <c r="N17" s="231"/>
      <c r="O17" s="231"/>
      <c r="P17" s="231"/>
      <c r="Q17" s="231"/>
      <c r="R17" s="231"/>
      <c r="S17" s="231"/>
      <c r="T17" s="231"/>
      <c r="U17" s="231"/>
      <c r="V17" s="231"/>
      <c r="W17" s="231"/>
      <c r="X17" s="231"/>
      <c r="Y17" s="231"/>
      <c r="Z17" s="231"/>
      <c r="AA17" s="231"/>
      <c r="AB17" s="231"/>
      <c r="AC17" s="231"/>
      <c r="AD17" s="231"/>
      <c r="AE17" s="231"/>
      <c r="AF17" s="231"/>
      <c r="AG17" s="231"/>
      <c r="AH17" s="231"/>
      <c r="AI17" s="231"/>
      <c r="AJ17" s="231"/>
      <c r="AK17" s="231"/>
    </row>
    <row r="18" spans="1:37" s="203" customFormat="1">
      <c r="A18" s="23"/>
      <c r="B18" s="360" t="s">
        <v>20</v>
      </c>
      <c r="C18" s="870" t="s">
        <v>21</v>
      </c>
      <c r="D18" s="870"/>
      <c r="E18" s="870"/>
      <c r="F18" s="871"/>
      <c r="G18" s="207"/>
      <c r="H18" s="21"/>
      <c r="I18" s="29"/>
      <c r="J18" s="231"/>
      <c r="K18" s="231"/>
      <c r="L18" s="231"/>
      <c r="M18" s="231"/>
      <c r="N18" s="231"/>
      <c r="O18" s="231"/>
      <c r="P18" s="231"/>
      <c r="Q18" s="231"/>
      <c r="R18" s="231"/>
      <c r="S18" s="231"/>
      <c r="T18" s="231"/>
      <c r="U18" s="231"/>
      <c r="V18" s="231"/>
      <c r="W18" s="231"/>
      <c r="X18" s="231"/>
      <c r="Y18" s="231"/>
      <c r="Z18" s="231"/>
      <c r="AA18" s="231"/>
      <c r="AB18" s="231"/>
      <c r="AC18" s="231"/>
      <c r="AD18" s="231"/>
      <c r="AE18" s="231"/>
      <c r="AF18" s="231"/>
      <c r="AG18" s="231"/>
      <c r="AH18" s="231"/>
      <c r="AI18" s="231"/>
      <c r="AJ18" s="231"/>
      <c r="AK18" s="231"/>
    </row>
    <row r="19" spans="1:37" s="203" customFormat="1">
      <c r="A19" s="23"/>
      <c r="B19" s="361" t="s">
        <v>23</v>
      </c>
      <c r="C19" s="872" t="s">
        <v>24</v>
      </c>
      <c r="D19" s="872"/>
      <c r="E19" s="872"/>
      <c r="F19" s="873"/>
      <c r="G19" s="21"/>
      <c r="H19" s="21"/>
      <c r="I19" s="29"/>
      <c r="J19" s="231"/>
      <c r="K19" s="231"/>
      <c r="L19" s="231"/>
      <c r="M19" s="231"/>
      <c r="N19" s="231"/>
      <c r="O19" s="231"/>
      <c r="P19" s="231"/>
      <c r="Q19" s="231"/>
      <c r="R19" s="231"/>
      <c r="S19" s="231"/>
      <c r="T19" s="231"/>
      <c r="U19" s="231"/>
      <c r="V19" s="231"/>
      <c r="W19" s="231"/>
      <c r="X19" s="231"/>
      <c r="Y19" s="231"/>
      <c r="Z19" s="231"/>
      <c r="AA19" s="231"/>
      <c r="AB19" s="231"/>
      <c r="AC19" s="231"/>
      <c r="AD19" s="231"/>
      <c r="AE19" s="231"/>
      <c r="AF19" s="231"/>
      <c r="AG19" s="231"/>
      <c r="AH19" s="231"/>
      <c r="AI19" s="231"/>
      <c r="AJ19" s="231"/>
      <c r="AK19" s="231"/>
    </row>
    <row r="20" spans="1:37" s="203" customFormat="1">
      <c r="A20" s="236"/>
      <c r="B20" s="206"/>
      <c r="C20" s="206"/>
      <c r="D20" s="206"/>
      <c r="E20" s="206"/>
      <c r="F20" s="206"/>
      <c r="G20" s="206"/>
      <c r="H20" s="206"/>
      <c r="I20" s="206"/>
      <c r="J20" s="231"/>
      <c r="K20" s="231"/>
      <c r="L20" s="231"/>
      <c r="M20" s="231"/>
      <c r="N20" s="231"/>
      <c r="O20" s="231"/>
      <c r="P20" s="231"/>
      <c r="Q20" s="231"/>
      <c r="R20" s="231"/>
      <c r="S20" s="231"/>
      <c r="T20" s="231"/>
      <c r="U20" s="231"/>
      <c r="V20" s="231"/>
      <c r="W20" s="231"/>
      <c r="X20" s="231"/>
      <c r="Y20" s="231"/>
      <c r="Z20" s="231"/>
      <c r="AA20" s="231"/>
      <c r="AB20" s="231"/>
      <c r="AC20" s="231"/>
      <c r="AD20" s="231"/>
      <c r="AE20" s="231"/>
      <c r="AF20" s="231"/>
      <c r="AG20" s="231"/>
      <c r="AH20" s="231"/>
      <c r="AI20" s="231"/>
      <c r="AJ20" s="231"/>
      <c r="AK20" s="231"/>
    </row>
    <row r="21" spans="1:37" s="203" customFormat="1" ht="19.5">
      <c r="A21" s="30"/>
      <c r="B21" s="13"/>
      <c r="C21" s="13"/>
      <c r="D21" s="13"/>
      <c r="E21" s="13"/>
      <c r="F21" s="13"/>
      <c r="G21" s="13"/>
      <c r="H21" s="31" t="s">
        <v>27</v>
      </c>
      <c r="I21" s="237"/>
      <c r="J21" s="231"/>
      <c r="K21" s="231"/>
      <c r="L21" s="231"/>
      <c r="M21" s="231"/>
      <c r="N21" s="231"/>
      <c r="O21" s="231"/>
      <c r="P21" s="231"/>
      <c r="Q21" s="231"/>
      <c r="R21" s="231"/>
      <c r="S21" s="231"/>
      <c r="T21" s="231"/>
      <c r="U21" s="231"/>
      <c r="V21" s="231"/>
      <c r="W21" s="231"/>
      <c r="X21" s="231"/>
      <c r="Y21" s="231"/>
      <c r="Z21" s="231"/>
      <c r="AA21" s="231"/>
      <c r="AB21" s="231"/>
      <c r="AC21" s="231"/>
      <c r="AD21" s="231"/>
      <c r="AE21" s="231"/>
      <c r="AF21" s="231"/>
      <c r="AG21" s="231"/>
      <c r="AH21" s="231"/>
      <c r="AI21" s="231"/>
      <c r="AJ21" s="231"/>
      <c r="AK21" s="231"/>
    </row>
    <row r="22" spans="1:37" s="203" customFormat="1" ht="18.75" customHeight="1">
      <c r="A22" s="32"/>
      <c r="B22" s="29"/>
      <c r="C22" s="29"/>
      <c r="D22" s="29"/>
      <c r="E22" s="29"/>
      <c r="F22" s="33">
        <v>1</v>
      </c>
      <c r="G22" s="34"/>
      <c r="H22" s="33">
        <v>2</v>
      </c>
      <c r="I22" s="34"/>
      <c r="J22" s="231"/>
      <c r="K22" s="231"/>
      <c r="L22" s="231"/>
      <c r="M22" s="231"/>
      <c r="N22" s="231"/>
      <c r="O22" s="231"/>
      <c r="P22" s="231"/>
      <c r="Q22" s="231"/>
      <c r="R22" s="231"/>
      <c r="S22" s="231"/>
      <c r="T22" s="231"/>
      <c r="U22" s="231"/>
      <c r="V22" s="231"/>
      <c r="W22" s="231"/>
      <c r="X22" s="231"/>
      <c r="Y22" s="231"/>
      <c r="Z22" s="231"/>
      <c r="AA22" s="231"/>
      <c r="AB22" s="231"/>
      <c r="AC22" s="231"/>
      <c r="AD22" s="231"/>
      <c r="AE22" s="231"/>
      <c r="AF22" s="231"/>
      <c r="AG22" s="231"/>
      <c r="AH22" s="231"/>
      <c r="AI22" s="231"/>
      <c r="AJ22" s="231"/>
      <c r="AK22" s="231"/>
    </row>
    <row r="23" spans="1:37" s="203" customFormat="1" ht="21.95" customHeight="1">
      <c r="A23" s="874" t="s">
        <v>30</v>
      </c>
      <c r="B23" s="875"/>
      <c r="C23" s="875"/>
      <c r="D23" s="875"/>
      <c r="E23" s="878" t="s">
        <v>376</v>
      </c>
      <c r="F23" s="856" t="s">
        <v>407</v>
      </c>
      <c r="G23" s="36"/>
      <c r="H23" s="878" t="s">
        <v>406</v>
      </c>
      <c r="I23" s="36"/>
      <c r="J23" s="231"/>
      <c r="K23" s="231"/>
      <c r="L23" s="231"/>
      <c r="M23" s="231"/>
      <c r="N23" s="231"/>
      <c r="O23" s="231"/>
      <c r="P23" s="231"/>
      <c r="Q23" s="231"/>
      <c r="R23" s="231"/>
      <c r="S23" s="231"/>
      <c r="T23" s="231"/>
      <c r="U23" s="231"/>
      <c r="V23" s="231"/>
      <c r="W23" s="231"/>
      <c r="X23" s="231"/>
      <c r="Y23" s="231"/>
      <c r="Z23" s="231"/>
      <c r="AA23" s="231"/>
      <c r="AB23" s="231"/>
      <c r="AC23" s="231"/>
      <c r="AD23" s="231"/>
      <c r="AE23" s="231"/>
      <c r="AF23" s="231"/>
      <c r="AG23" s="231"/>
      <c r="AH23" s="231"/>
      <c r="AI23" s="231"/>
      <c r="AJ23" s="231"/>
      <c r="AK23" s="231"/>
    </row>
    <row r="24" spans="1:37" s="203" customFormat="1" ht="21.95" customHeight="1">
      <c r="A24" s="876"/>
      <c r="B24" s="877"/>
      <c r="C24" s="877"/>
      <c r="D24" s="877"/>
      <c r="E24" s="879"/>
      <c r="F24" s="860"/>
      <c r="G24" s="23"/>
      <c r="H24" s="879"/>
      <c r="I24" s="36"/>
      <c r="J24" s="231"/>
      <c r="K24" s="231"/>
      <c r="L24" s="231"/>
      <c r="M24" s="231"/>
      <c r="N24" s="231"/>
      <c r="O24" s="231"/>
      <c r="P24" s="231"/>
      <c r="Q24" s="231"/>
      <c r="R24" s="231"/>
      <c r="S24" s="231"/>
      <c r="T24" s="231"/>
      <c r="U24" s="231"/>
      <c r="V24" s="231"/>
      <c r="W24" s="231"/>
      <c r="X24" s="231"/>
      <c r="Y24" s="231"/>
      <c r="Z24" s="231"/>
      <c r="AA24" s="231"/>
      <c r="AB24" s="231"/>
      <c r="AC24" s="231"/>
      <c r="AD24" s="231"/>
      <c r="AE24" s="231"/>
      <c r="AF24" s="231"/>
      <c r="AG24" s="231"/>
      <c r="AH24" s="231"/>
      <c r="AI24" s="231"/>
      <c r="AJ24" s="231"/>
      <c r="AK24" s="231"/>
    </row>
    <row r="25" spans="1:37" s="203" customFormat="1" ht="21.95" customHeight="1">
      <c r="A25" s="898" t="s">
        <v>48</v>
      </c>
      <c r="B25" s="901" t="s">
        <v>49</v>
      </c>
      <c r="C25" s="901"/>
      <c r="D25" s="902"/>
      <c r="E25" s="907" t="s">
        <v>50</v>
      </c>
      <c r="F25" s="909" t="s">
        <v>51</v>
      </c>
      <c r="G25" s="34"/>
      <c r="H25" s="907" t="s">
        <v>50</v>
      </c>
      <c r="I25" s="36"/>
      <c r="J25" s="231"/>
      <c r="K25" s="231"/>
      <c r="L25" s="231"/>
      <c r="M25" s="231"/>
      <c r="N25" s="231"/>
      <c r="O25" s="231"/>
      <c r="P25" s="231"/>
      <c r="Q25" s="231"/>
      <c r="R25" s="231"/>
      <c r="S25" s="231"/>
      <c r="T25" s="231"/>
      <c r="U25" s="231"/>
      <c r="V25" s="231"/>
      <c r="W25" s="231"/>
      <c r="X25" s="231"/>
      <c r="Y25" s="231"/>
      <c r="Z25" s="231"/>
      <c r="AA25" s="231"/>
      <c r="AB25" s="231"/>
      <c r="AC25" s="231"/>
      <c r="AD25" s="231"/>
      <c r="AE25" s="231"/>
      <c r="AF25" s="231"/>
      <c r="AG25" s="231"/>
      <c r="AH25" s="231"/>
      <c r="AI25" s="231"/>
      <c r="AJ25" s="231"/>
      <c r="AK25" s="231"/>
    </row>
    <row r="26" spans="1:37" s="203" customFormat="1" ht="21.95" customHeight="1">
      <c r="A26" s="899"/>
      <c r="B26" s="903"/>
      <c r="C26" s="903"/>
      <c r="D26" s="904"/>
      <c r="E26" s="908"/>
      <c r="F26" s="859"/>
      <c r="G26" s="34"/>
      <c r="H26" s="908"/>
      <c r="I26" s="36"/>
      <c r="J26" s="231"/>
      <c r="K26" s="231"/>
      <c r="L26" s="231"/>
      <c r="M26" s="231"/>
      <c r="N26" s="231"/>
      <c r="O26" s="231"/>
      <c r="P26" s="231"/>
      <c r="Q26" s="231"/>
      <c r="R26" s="231"/>
      <c r="S26" s="231"/>
      <c r="T26" s="231"/>
      <c r="U26" s="231"/>
      <c r="V26" s="231"/>
      <c r="W26" s="231"/>
      <c r="X26" s="231"/>
      <c r="Y26" s="231"/>
      <c r="Z26" s="231"/>
      <c r="AA26" s="231"/>
      <c r="AB26" s="231"/>
      <c r="AC26" s="231"/>
      <c r="AD26" s="231"/>
      <c r="AE26" s="231"/>
      <c r="AF26" s="231"/>
      <c r="AG26" s="231"/>
      <c r="AH26" s="231"/>
      <c r="AI26" s="231"/>
      <c r="AJ26" s="231"/>
      <c r="AK26" s="231"/>
    </row>
    <row r="27" spans="1:37" s="203" customFormat="1" ht="21.95" customHeight="1">
      <c r="A27" s="900"/>
      <c r="B27" s="905"/>
      <c r="C27" s="905"/>
      <c r="D27" s="906"/>
      <c r="E27" s="879"/>
      <c r="F27" s="860"/>
      <c r="G27" s="34"/>
      <c r="H27" s="879"/>
      <c r="I27" s="36"/>
      <c r="J27" s="231"/>
      <c r="K27" s="231"/>
      <c r="L27" s="231"/>
      <c r="M27" s="231"/>
      <c r="N27" s="231"/>
      <c r="O27" s="231"/>
      <c r="P27" s="231"/>
      <c r="Q27" s="231"/>
      <c r="R27" s="231"/>
      <c r="S27" s="231"/>
      <c r="T27" s="231"/>
      <c r="U27" s="231"/>
      <c r="V27" s="231"/>
      <c r="W27" s="231"/>
      <c r="X27" s="231"/>
      <c r="Y27" s="231"/>
      <c r="Z27" s="231"/>
      <c r="AA27" s="231"/>
      <c r="AB27" s="231"/>
      <c r="AC27" s="231"/>
      <c r="AD27" s="231"/>
      <c r="AE27" s="231"/>
      <c r="AF27" s="231"/>
      <c r="AG27" s="231"/>
      <c r="AH27" s="231"/>
      <c r="AI27" s="231"/>
      <c r="AJ27" s="231"/>
      <c r="AK27" s="231"/>
    </row>
    <row r="28" spans="1:37" s="203" customFormat="1">
      <c r="A28" s="38">
        <v>1</v>
      </c>
      <c r="B28" s="39" t="s">
        <v>52</v>
      </c>
      <c r="C28" s="39"/>
      <c r="D28" s="40"/>
      <c r="E28" s="41">
        <v>118896.265</v>
      </c>
      <c r="F28" s="42">
        <f>F77</f>
        <v>119123</v>
      </c>
      <c r="G28" s="43"/>
      <c r="H28" s="44">
        <f>H77</f>
        <v>127634</v>
      </c>
      <c r="I28" s="43"/>
      <c r="J28" s="231"/>
      <c r="K28" s="231"/>
      <c r="L28" s="231"/>
      <c r="M28" s="231"/>
      <c r="N28" s="231"/>
      <c r="O28" s="231"/>
      <c r="P28" s="231"/>
      <c r="Q28" s="231"/>
      <c r="R28" s="231"/>
      <c r="S28" s="231"/>
      <c r="T28" s="231"/>
      <c r="U28" s="231"/>
      <c r="V28" s="231"/>
      <c r="W28" s="231"/>
      <c r="X28" s="231"/>
      <c r="Y28" s="231"/>
      <c r="Z28" s="231"/>
      <c r="AA28" s="231"/>
      <c r="AB28" s="231"/>
      <c r="AC28" s="231"/>
      <c r="AD28" s="231"/>
      <c r="AE28" s="231"/>
      <c r="AF28" s="231"/>
      <c r="AG28" s="231"/>
      <c r="AH28" s="231"/>
      <c r="AI28" s="231"/>
      <c r="AJ28" s="231"/>
      <c r="AK28" s="231"/>
    </row>
    <row r="29" spans="1:37" s="203" customFormat="1">
      <c r="A29" s="46">
        <v>2</v>
      </c>
      <c r="B29" s="47" t="s">
        <v>53</v>
      </c>
      <c r="C29" s="47"/>
      <c r="D29" s="48"/>
      <c r="E29" s="49">
        <v>57536</v>
      </c>
      <c r="F29" s="50">
        <f>F105</f>
        <v>60409</v>
      </c>
      <c r="G29" s="43"/>
      <c r="H29" s="51">
        <f>H105</f>
        <v>60040</v>
      </c>
      <c r="I29" s="43"/>
      <c r="J29" s="231"/>
      <c r="K29" s="231"/>
      <c r="L29" s="231"/>
      <c r="M29" s="231"/>
      <c r="N29" s="231"/>
      <c r="O29" s="231"/>
      <c r="P29" s="231"/>
      <c r="Q29" s="231"/>
      <c r="R29" s="231"/>
      <c r="S29" s="231"/>
      <c r="T29" s="231"/>
      <c r="U29" s="231"/>
      <c r="V29" s="231"/>
      <c r="W29" s="231"/>
      <c r="X29" s="231"/>
      <c r="Y29" s="231"/>
      <c r="Z29" s="231"/>
      <c r="AA29" s="231"/>
      <c r="AB29" s="231"/>
      <c r="AC29" s="231"/>
      <c r="AD29" s="231"/>
      <c r="AE29" s="231"/>
      <c r="AF29" s="231"/>
      <c r="AG29" s="231"/>
      <c r="AH29" s="231"/>
      <c r="AI29" s="231"/>
      <c r="AJ29" s="231"/>
      <c r="AK29" s="231"/>
    </row>
    <row r="30" spans="1:37" s="203" customFormat="1">
      <c r="A30" s="46">
        <v>3</v>
      </c>
      <c r="B30" s="47" t="s">
        <v>54</v>
      </c>
      <c r="C30" s="47"/>
      <c r="D30" s="48"/>
      <c r="E30" s="49">
        <v>8202.2189999999991</v>
      </c>
      <c r="F30" s="50">
        <f>F180</f>
        <v>7697</v>
      </c>
      <c r="G30" s="43"/>
      <c r="H30" s="51">
        <f>H180</f>
        <v>7183</v>
      </c>
      <c r="I30" s="43"/>
      <c r="J30" s="231"/>
      <c r="K30" s="231"/>
      <c r="L30" s="231"/>
      <c r="M30" s="231"/>
      <c r="N30" s="231"/>
      <c r="O30" s="231"/>
      <c r="P30" s="231"/>
      <c r="Q30" s="231"/>
      <c r="R30" s="231"/>
      <c r="S30" s="231"/>
      <c r="T30" s="231"/>
      <c r="U30" s="231"/>
      <c r="V30" s="231"/>
      <c r="W30" s="231"/>
      <c r="X30" s="231"/>
      <c r="Y30" s="231"/>
      <c r="Z30" s="231"/>
      <c r="AA30" s="231"/>
      <c r="AB30" s="231"/>
      <c r="AC30" s="231"/>
      <c r="AD30" s="231"/>
      <c r="AE30" s="231"/>
      <c r="AF30" s="231"/>
      <c r="AG30" s="231"/>
      <c r="AH30" s="231"/>
      <c r="AI30" s="231"/>
      <c r="AJ30" s="231"/>
      <c r="AK30" s="231"/>
    </row>
    <row r="31" spans="1:37" s="203" customFormat="1">
      <c r="A31" s="46">
        <v>4</v>
      </c>
      <c r="B31" s="47" t="s">
        <v>55</v>
      </c>
      <c r="C31" s="47"/>
      <c r="D31" s="48"/>
      <c r="E31" s="49">
        <v>13569.757</v>
      </c>
      <c r="F31" s="50">
        <f>F214</f>
        <v>13225</v>
      </c>
      <c r="G31" s="43"/>
      <c r="H31" s="51">
        <f>H214</f>
        <v>13796</v>
      </c>
      <c r="I31" s="43"/>
      <c r="J31" s="231"/>
      <c r="K31" s="231"/>
      <c r="L31" s="231"/>
      <c r="M31" s="231"/>
      <c r="N31" s="231"/>
      <c r="O31" s="231"/>
      <c r="P31" s="231"/>
      <c r="Q31" s="231"/>
      <c r="R31" s="231"/>
      <c r="S31" s="231"/>
      <c r="T31" s="231"/>
      <c r="U31" s="231"/>
      <c r="V31" s="231"/>
      <c r="W31" s="231"/>
      <c r="X31" s="231"/>
      <c r="Y31" s="231"/>
      <c r="Z31" s="231"/>
      <c r="AA31" s="231"/>
      <c r="AB31" s="231"/>
      <c r="AC31" s="231"/>
      <c r="AD31" s="231"/>
      <c r="AE31" s="231"/>
      <c r="AF31" s="231"/>
      <c r="AG31" s="231"/>
      <c r="AH31" s="231"/>
      <c r="AI31" s="231"/>
      <c r="AJ31" s="231"/>
      <c r="AK31" s="231"/>
    </row>
    <row r="32" spans="1:37" s="203" customFormat="1">
      <c r="A32" s="46">
        <v>5</v>
      </c>
      <c r="B32" s="47" t="s">
        <v>56</v>
      </c>
      <c r="C32" s="47"/>
      <c r="D32" s="48"/>
      <c r="E32" s="49">
        <v>4411.4520000000002</v>
      </c>
      <c r="F32" s="50">
        <f>F231</f>
        <v>3819</v>
      </c>
      <c r="G32" s="43"/>
      <c r="H32" s="51">
        <f>H231</f>
        <v>4708</v>
      </c>
      <c r="I32" s="43"/>
      <c r="J32" s="231"/>
      <c r="K32" s="231"/>
      <c r="L32" s="231"/>
      <c r="M32" s="231"/>
      <c r="N32" s="231"/>
      <c r="O32" s="231"/>
      <c r="P32" s="231"/>
      <c r="Q32" s="231"/>
      <c r="R32" s="231"/>
      <c r="S32" s="231"/>
      <c r="T32" s="231"/>
      <c r="U32" s="231"/>
      <c r="V32" s="231"/>
      <c r="W32" s="231"/>
      <c r="X32" s="231"/>
      <c r="Y32" s="231"/>
      <c r="Z32" s="231"/>
      <c r="AA32" s="231"/>
      <c r="AB32" s="231"/>
      <c r="AC32" s="231"/>
      <c r="AD32" s="231"/>
      <c r="AE32" s="231"/>
      <c r="AF32" s="231"/>
      <c r="AG32" s="231"/>
      <c r="AH32" s="231"/>
      <c r="AI32" s="231"/>
      <c r="AJ32" s="231"/>
      <c r="AK32" s="231"/>
    </row>
    <row r="33" spans="1:37" s="203" customFormat="1">
      <c r="A33" s="46">
        <v>6</v>
      </c>
      <c r="B33" s="47" t="s">
        <v>57</v>
      </c>
      <c r="C33" s="47"/>
      <c r="D33" s="48"/>
      <c r="E33" s="49">
        <v>9514.3430000000008</v>
      </c>
      <c r="F33" s="50">
        <f>F257</f>
        <v>9481</v>
      </c>
      <c r="G33" s="43"/>
      <c r="H33" s="51">
        <f>H257</f>
        <v>9423</v>
      </c>
      <c r="I33" s="43"/>
      <c r="J33" s="231"/>
      <c r="K33" s="231"/>
      <c r="L33" s="231"/>
      <c r="M33" s="231"/>
      <c r="N33" s="231"/>
      <c r="O33" s="231"/>
      <c r="P33" s="231"/>
      <c r="Q33" s="231"/>
      <c r="R33" s="231"/>
      <c r="S33" s="231"/>
      <c r="T33" s="231"/>
      <c r="U33" s="231"/>
      <c r="V33" s="231"/>
      <c r="W33" s="231"/>
      <c r="X33" s="231"/>
      <c r="Y33" s="231"/>
      <c r="Z33" s="231"/>
      <c r="AA33" s="231"/>
      <c r="AB33" s="231"/>
      <c r="AC33" s="231"/>
      <c r="AD33" s="231"/>
      <c r="AE33" s="231"/>
      <c r="AF33" s="231"/>
      <c r="AG33" s="231"/>
      <c r="AH33" s="231"/>
      <c r="AI33" s="231"/>
      <c r="AJ33" s="231"/>
      <c r="AK33" s="231"/>
    </row>
    <row r="34" spans="1:37" s="203" customFormat="1">
      <c r="A34" s="46">
        <v>7</v>
      </c>
      <c r="B34" s="47" t="s">
        <v>58</v>
      </c>
      <c r="C34" s="47"/>
      <c r="D34" s="48"/>
      <c r="E34" s="49">
        <v>3399.7689999999998</v>
      </c>
      <c r="F34" s="50">
        <f>F277</f>
        <v>3725</v>
      </c>
      <c r="G34" s="43"/>
      <c r="H34" s="50">
        <f>H277</f>
        <v>3827</v>
      </c>
      <c r="I34" s="43"/>
      <c r="J34" s="231"/>
      <c r="K34" s="231"/>
      <c r="L34" s="231"/>
      <c r="M34" s="231"/>
      <c r="N34" s="231"/>
      <c r="O34" s="231"/>
      <c r="P34" s="231"/>
      <c r="Q34" s="231"/>
      <c r="R34" s="231"/>
      <c r="S34" s="231"/>
      <c r="T34" s="231"/>
      <c r="U34" s="231"/>
      <c r="V34" s="231"/>
      <c r="W34" s="231"/>
      <c r="X34" s="231"/>
      <c r="Y34" s="231"/>
      <c r="Z34" s="231"/>
      <c r="AA34" s="231"/>
      <c r="AB34" s="231"/>
      <c r="AC34" s="231"/>
      <c r="AD34" s="231"/>
      <c r="AE34" s="231"/>
      <c r="AF34" s="231"/>
      <c r="AG34" s="231"/>
      <c r="AH34" s="231"/>
      <c r="AI34" s="231"/>
      <c r="AJ34" s="231"/>
      <c r="AK34" s="231"/>
    </row>
    <row r="35" spans="1:37" s="203" customFormat="1">
      <c r="A35" s="46">
        <v>8</v>
      </c>
      <c r="B35" s="47" t="s">
        <v>59</v>
      </c>
      <c r="C35" s="47"/>
      <c r="D35" s="48"/>
      <c r="E35" s="49">
        <v>4738.1640000000007</v>
      </c>
      <c r="F35" s="50">
        <f>F302</f>
        <v>6798</v>
      </c>
      <c r="G35" s="43"/>
      <c r="H35" s="50">
        <f>H302</f>
        <v>6324</v>
      </c>
      <c r="I35" s="21"/>
      <c r="J35" s="231"/>
      <c r="K35" s="231"/>
      <c r="L35" s="231"/>
      <c r="M35" s="231"/>
      <c r="N35" s="231"/>
      <c r="O35" s="231"/>
      <c r="P35" s="231"/>
      <c r="Q35" s="231"/>
      <c r="R35" s="231"/>
      <c r="S35" s="231"/>
      <c r="T35" s="231"/>
      <c r="U35" s="231"/>
      <c r="V35" s="231"/>
      <c r="W35" s="231"/>
      <c r="X35" s="231"/>
      <c r="Y35" s="231"/>
      <c r="Z35" s="231"/>
      <c r="AA35" s="231"/>
      <c r="AB35" s="231"/>
      <c r="AC35" s="231"/>
      <c r="AD35" s="231"/>
      <c r="AE35" s="231"/>
      <c r="AF35" s="231"/>
      <c r="AG35" s="231"/>
      <c r="AH35" s="231"/>
      <c r="AI35" s="231"/>
      <c r="AJ35" s="231"/>
      <c r="AK35" s="231"/>
    </row>
    <row r="36" spans="1:37" s="203" customFormat="1">
      <c r="A36" s="46">
        <v>9</v>
      </c>
      <c r="B36" s="47" t="s">
        <v>60</v>
      </c>
      <c r="C36" s="47"/>
      <c r="D36" s="48"/>
      <c r="E36" s="49">
        <v>0</v>
      </c>
      <c r="F36" s="52">
        <v>0</v>
      </c>
      <c r="G36" s="43"/>
      <c r="H36" s="52"/>
      <c r="I36" s="21"/>
      <c r="J36" s="231"/>
      <c r="K36" s="231"/>
      <c r="L36" s="231"/>
      <c r="M36" s="231"/>
      <c r="N36" s="231"/>
      <c r="O36" s="231"/>
      <c r="P36" s="231"/>
      <c r="Q36" s="231"/>
      <c r="R36" s="231"/>
      <c r="S36" s="231"/>
      <c r="T36" s="231"/>
      <c r="U36" s="231"/>
      <c r="V36" s="231"/>
      <c r="W36" s="231"/>
      <c r="X36" s="231"/>
      <c r="Y36" s="231"/>
      <c r="Z36" s="231"/>
      <c r="AA36" s="231"/>
      <c r="AB36" s="231"/>
      <c r="AC36" s="231"/>
      <c r="AD36" s="231"/>
      <c r="AE36" s="231"/>
      <c r="AF36" s="231"/>
      <c r="AG36" s="231"/>
      <c r="AH36" s="231"/>
      <c r="AI36" s="231"/>
      <c r="AJ36" s="231"/>
      <c r="AK36" s="231"/>
    </row>
    <row r="37" spans="1:37" s="203" customFormat="1">
      <c r="A37" s="53">
        <v>10</v>
      </c>
      <c r="B37" s="54" t="s">
        <v>61</v>
      </c>
      <c r="C37" s="54"/>
      <c r="D37" s="55"/>
      <c r="E37" s="56">
        <v>24964</v>
      </c>
      <c r="F37" s="57">
        <f>F320</f>
        <v>24923</v>
      </c>
      <c r="G37" s="43"/>
      <c r="H37" s="57">
        <f>H320</f>
        <v>26752</v>
      </c>
      <c r="I37" s="21"/>
      <c r="J37" s="231"/>
      <c r="K37" s="231"/>
      <c r="L37" s="231"/>
      <c r="M37" s="231"/>
      <c r="N37" s="231"/>
      <c r="O37" s="231"/>
      <c r="P37" s="231"/>
      <c r="Q37" s="231"/>
      <c r="R37" s="231"/>
      <c r="S37" s="231"/>
      <c r="T37" s="231"/>
      <c r="U37" s="231"/>
      <c r="V37" s="231"/>
      <c r="W37" s="231"/>
      <c r="X37" s="231"/>
      <c r="Y37" s="231"/>
      <c r="Z37" s="231"/>
      <c r="AA37" s="231"/>
      <c r="AB37" s="231"/>
      <c r="AC37" s="231"/>
      <c r="AD37" s="231"/>
      <c r="AE37" s="231"/>
      <c r="AF37" s="231"/>
      <c r="AG37" s="231"/>
      <c r="AH37" s="231"/>
      <c r="AI37" s="231"/>
      <c r="AJ37" s="231"/>
      <c r="AK37" s="231"/>
    </row>
    <row r="38" spans="1:37" s="203" customFormat="1">
      <c r="A38" s="33">
        <v>11</v>
      </c>
      <c r="B38" s="58" t="s">
        <v>62</v>
      </c>
      <c r="C38" s="58"/>
      <c r="D38" s="59"/>
      <c r="E38" s="60">
        <v>245231.96900000001</v>
      </c>
      <c r="F38" s="61">
        <f>SUM(F28:F37)</f>
        <v>249200</v>
      </c>
      <c r="G38" s="43"/>
      <c r="H38" s="61">
        <f>SUM(H28:H37)</f>
        <v>259687</v>
      </c>
      <c r="I38" s="68"/>
      <c r="J38" s="231"/>
      <c r="K38" s="231"/>
      <c r="L38" s="231"/>
      <c r="M38" s="231"/>
      <c r="N38" s="231"/>
      <c r="O38" s="231"/>
      <c r="P38" s="231"/>
      <c r="Q38" s="231"/>
      <c r="R38" s="231"/>
      <c r="S38" s="231"/>
      <c r="T38" s="231"/>
      <c r="U38" s="231"/>
      <c r="V38" s="231"/>
      <c r="W38" s="231"/>
      <c r="X38" s="231"/>
      <c r="Y38" s="231"/>
      <c r="Z38" s="231"/>
      <c r="AA38" s="231"/>
      <c r="AB38" s="231"/>
      <c r="AC38" s="231"/>
      <c r="AD38" s="231"/>
      <c r="AE38" s="231"/>
      <c r="AF38" s="231"/>
      <c r="AG38" s="231"/>
      <c r="AH38" s="231"/>
      <c r="AI38" s="231"/>
      <c r="AJ38" s="231"/>
      <c r="AK38" s="231"/>
    </row>
    <row r="39" spans="1:37" s="203" customFormat="1" ht="12.75" customHeight="1">
      <c r="A39" s="63"/>
      <c r="B39" s="64"/>
      <c r="C39" s="64"/>
      <c r="D39" s="65"/>
      <c r="E39" s="66"/>
      <c r="F39" s="67"/>
      <c r="G39" s="21"/>
      <c r="H39" s="67"/>
      <c r="I39" s="68"/>
      <c r="J39" s="231"/>
      <c r="K39" s="231"/>
      <c r="L39" s="231"/>
      <c r="M39" s="231"/>
      <c r="N39" s="231"/>
      <c r="O39" s="231"/>
      <c r="P39" s="231"/>
      <c r="Q39" s="231"/>
      <c r="R39" s="231"/>
      <c r="S39" s="231"/>
      <c r="T39" s="231"/>
      <c r="U39" s="231"/>
      <c r="V39" s="231"/>
      <c r="W39" s="231"/>
      <c r="X39" s="231"/>
      <c r="Y39" s="231"/>
      <c r="Z39" s="231"/>
      <c r="AA39" s="231"/>
      <c r="AB39" s="231"/>
      <c r="AC39" s="231"/>
      <c r="AD39" s="231"/>
      <c r="AE39" s="231"/>
      <c r="AF39" s="231"/>
      <c r="AG39" s="231"/>
      <c r="AH39" s="231"/>
      <c r="AI39" s="231"/>
      <c r="AJ39" s="231"/>
      <c r="AK39" s="231"/>
    </row>
    <row r="40" spans="1:37" s="203" customFormat="1" ht="12.75" customHeight="1">
      <c r="A40" s="893" t="s">
        <v>63</v>
      </c>
      <c r="B40" s="894"/>
      <c r="C40" s="894"/>
      <c r="D40" s="895"/>
      <c r="E40" s="878" t="s">
        <v>376</v>
      </c>
      <c r="F40" s="856" t="s">
        <v>407</v>
      </c>
      <c r="G40" s="36"/>
      <c r="H40" s="878" t="s">
        <v>406</v>
      </c>
      <c r="I40" s="43"/>
      <c r="J40" s="231"/>
      <c r="K40" s="231"/>
      <c r="L40" s="231"/>
      <c r="M40" s="231"/>
      <c r="N40" s="231"/>
      <c r="O40" s="231"/>
      <c r="P40" s="231"/>
      <c r="Q40" s="231"/>
      <c r="R40" s="231"/>
      <c r="S40" s="231"/>
      <c r="T40" s="231"/>
      <c r="U40" s="231"/>
      <c r="V40" s="231"/>
      <c r="W40" s="231"/>
      <c r="X40" s="231"/>
      <c r="Y40" s="231"/>
      <c r="Z40" s="231"/>
      <c r="AA40" s="231"/>
      <c r="AB40" s="231"/>
      <c r="AC40" s="231"/>
      <c r="AD40" s="231"/>
      <c r="AE40" s="231"/>
      <c r="AF40" s="231"/>
      <c r="AG40" s="231"/>
      <c r="AH40" s="231"/>
      <c r="AI40" s="231"/>
      <c r="AJ40" s="231"/>
      <c r="AK40" s="231"/>
    </row>
    <row r="41" spans="1:37" s="203" customFormat="1" ht="27.75" customHeight="1">
      <c r="A41" s="876"/>
      <c r="B41" s="877"/>
      <c r="C41" s="877"/>
      <c r="D41" s="896"/>
      <c r="E41" s="879"/>
      <c r="F41" s="860"/>
      <c r="G41" s="23"/>
      <c r="H41" s="879"/>
      <c r="I41" s="43"/>
      <c r="J41" s="231"/>
      <c r="K41" s="231"/>
      <c r="L41" s="231"/>
      <c r="M41" s="231"/>
      <c r="N41" s="231"/>
      <c r="O41" s="231"/>
      <c r="P41" s="231"/>
      <c r="Q41" s="231"/>
      <c r="R41" s="231"/>
      <c r="S41" s="231"/>
      <c r="T41" s="231"/>
      <c r="U41" s="231"/>
      <c r="V41" s="231"/>
      <c r="W41" s="231"/>
      <c r="X41" s="231"/>
      <c r="Y41" s="231"/>
      <c r="Z41" s="231"/>
      <c r="AA41" s="231"/>
      <c r="AB41" s="231"/>
      <c r="AC41" s="231"/>
      <c r="AD41" s="231"/>
      <c r="AE41" s="231"/>
      <c r="AF41" s="231"/>
      <c r="AG41" s="231"/>
      <c r="AH41" s="231"/>
      <c r="AI41" s="231"/>
      <c r="AJ41" s="231"/>
      <c r="AK41" s="231"/>
    </row>
    <row r="42" spans="1:37" s="203" customFormat="1">
      <c r="A42" s="706" t="s">
        <v>64</v>
      </c>
      <c r="B42" s="69" t="s">
        <v>65</v>
      </c>
      <c r="C42" s="69"/>
      <c r="D42" s="70"/>
      <c r="E42" s="71"/>
      <c r="F42" s="72" t="str">
        <f>IF(OR(F43&lt;0,F44&lt;0,F47&lt;0,F48&lt;0,H43&lt;0,H44&lt;0,H47&lt;0,H48&lt;0),"Funding should be recorded as positive figures",".")</f>
        <v>.</v>
      </c>
      <c r="G42" s="45"/>
      <c r="H42" s="73"/>
      <c r="I42" s="43"/>
      <c r="J42" s="231"/>
      <c r="K42" s="231"/>
      <c r="L42" s="231"/>
      <c r="M42" s="231"/>
      <c r="N42" s="231"/>
      <c r="O42" s="231"/>
      <c r="P42" s="231"/>
      <c r="Q42" s="231"/>
      <c r="R42" s="231"/>
      <c r="S42" s="231"/>
      <c r="T42" s="231"/>
      <c r="U42" s="231"/>
      <c r="V42" s="231"/>
      <c r="W42" s="231"/>
      <c r="X42" s="231"/>
      <c r="Y42" s="231"/>
      <c r="Z42" s="231"/>
      <c r="AA42" s="231"/>
      <c r="AB42" s="231"/>
      <c r="AC42" s="231"/>
      <c r="AD42" s="231"/>
      <c r="AE42" s="231"/>
      <c r="AF42" s="231"/>
      <c r="AG42" s="231"/>
      <c r="AH42" s="231"/>
      <c r="AI42" s="231"/>
      <c r="AJ42" s="231"/>
      <c r="AK42" s="231"/>
    </row>
    <row r="43" spans="1:37" s="203" customFormat="1">
      <c r="A43" s="46">
        <v>1</v>
      </c>
      <c r="B43" s="47" t="s">
        <v>66</v>
      </c>
      <c r="C43" s="47"/>
      <c r="D43" s="48"/>
      <c r="E43" s="74">
        <v>158907</v>
      </c>
      <c r="F43" s="241">
        <v>159514.00000000003</v>
      </c>
      <c r="G43" s="45"/>
      <c r="H43" s="75">
        <v>158945</v>
      </c>
      <c r="I43" s="43"/>
      <c r="J43" s="231"/>
      <c r="K43" s="231"/>
      <c r="L43" s="231"/>
      <c r="M43" s="231"/>
      <c r="N43" s="231"/>
      <c r="O43" s="231"/>
      <c r="P43" s="231"/>
      <c r="Q43" s="231"/>
      <c r="R43" s="231"/>
      <c r="S43" s="231"/>
      <c r="T43" s="231"/>
      <c r="U43" s="231"/>
      <c r="V43" s="231"/>
      <c r="W43" s="231"/>
      <c r="X43" s="231"/>
      <c r="Y43" s="231"/>
      <c r="Z43" s="231"/>
      <c r="AA43" s="231"/>
      <c r="AB43" s="231"/>
      <c r="AC43" s="231"/>
      <c r="AD43" s="231"/>
      <c r="AE43" s="231"/>
      <c r="AF43" s="231"/>
      <c r="AG43" s="231"/>
      <c r="AH43" s="231"/>
      <c r="AI43" s="231"/>
      <c r="AJ43" s="231"/>
      <c r="AK43" s="231"/>
    </row>
    <row r="44" spans="1:37" s="203" customFormat="1">
      <c r="A44" s="46">
        <v>2</v>
      </c>
      <c r="B44" s="47" t="s">
        <v>67</v>
      </c>
      <c r="C44" s="47"/>
      <c r="D44" s="48"/>
      <c r="E44" s="49">
        <v>21791</v>
      </c>
      <c r="F44" s="241">
        <v>21791</v>
      </c>
      <c r="G44" s="45"/>
      <c r="H44" s="75">
        <v>22669</v>
      </c>
      <c r="I44" s="43"/>
      <c r="J44" s="231"/>
      <c r="K44" s="231"/>
      <c r="L44" s="231"/>
      <c r="M44" s="231"/>
      <c r="N44" s="231"/>
      <c r="O44" s="231"/>
      <c r="P44" s="231"/>
      <c r="Q44" s="231"/>
      <c r="R44" s="231"/>
      <c r="S44" s="231"/>
      <c r="T44" s="231"/>
      <c r="U44" s="231"/>
      <c r="V44" s="231"/>
      <c r="W44" s="231"/>
      <c r="X44" s="231"/>
      <c r="Y44" s="231"/>
      <c r="Z44" s="231"/>
      <c r="AA44" s="231"/>
      <c r="AB44" s="231"/>
      <c r="AC44" s="231"/>
      <c r="AD44" s="231"/>
      <c r="AE44" s="231"/>
      <c r="AF44" s="231"/>
      <c r="AG44" s="231"/>
      <c r="AH44" s="231"/>
      <c r="AI44" s="231"/>
      <c r="AJ44" s="231"/>
      <c r="AK44" s="231"/>
    </row>
    <row r="45" spans="1:37" s="203" customFormat="1">
      <c r="A45" s="46">
        <v>3</v>
      </c>
      <c r="B45" s="47" t="s">
        <v>68</v>
      </c>
      <c r="C45" s="47"/>
      <c r="D45" s="48"/>
      <c r="E45" s="49">
        <v>0</v>
      </c>
      <c r="F45" s="52">
        <v>0</v>
      </c>
      <c r="G45" s="45"/>
      <c r="H45" s="75">
        <v>0</v>
      </c>
      <c r="I45" s="43"/>
      <c r="J45" s="231"/>
      <c r="K45" s="231"/>
      <c r="L45" s="231"/>
      <c r="M45" s="231"/>
      <c r="N45" s="231"/>
      <c r="O45" s="231"/>
      <c r="P45" s="231"/>
      <c r="Q45" s="231"/>
      <c r="R45" s="231"/>
      <c r="S45" s="231"/>
      <c r="T45" s="231"/>
      <c r="U45" s="231"/>
      <c r="V45" s="231"/>
      <c r="W45" s="231"/>
      <c r="X45" s="231"/>
      <c r="Y45" s="231"/>
      <c r="Z45" s="231"/>
      <c r="AA45" s="231"/>
      <c r="AB45" s="231"/>
      <c r="AC45" s="231"/>
      <c r="AD45" s="231"/>
      <c r="AE45" s="231"/>
      <c r="AF45" s="231"/>
      <c r="AG45" s="231"/>
      <c r="AH45" s="231"/>
      <c r="AI45" s="231"/>
      <c r="AJ45" s="231"/>
      <c r="AK45" s="231"/>
    </row>
    <row r="46" spans="1:37" s="203" customFormat="1">
      <c r="A46" s="46">
        <v>4</v>
      </c>
      <c r="B46" s="47" t="s">
        <v>70</v>
      </c>
      <c r="C46" s="47"/>
      <c r="D46" s="48"/>
      <c r="E46" s="49">
        <v>0</v>
      </c>
      <c r="F46" s="52">
        <v>0</v>
      </c>
      <c r="G46" s="45"/>
      <c r="H46" s="75">
        <v>0</v>
      </c>
      <c r="I46" s="43"/>
      <c r="J46" s="231"/>
      <c r="K46" s="231"/>
      <c r="L46" s="231"/>
      <c r="M46" s="231"/>
      <c r="N46" s="231"/>
      <c r="O46" s="231"/>
      <c r="P46" s="231"/>
      <c r="Q46" s="231"/>
      <c r="R46" s="231"/>
      <c r="S46" s="231"/>
      <c r="T46" s="231"/>
      <c r="U46" s="231"/>
      <c r="V46" s="231"/>
      <c r="W46" s="231"/>
      <c r="X46" s="231"/>
      <c r="Y46" s="231"/>
      <c r="Z46" s="231"/>
      <c r="AA46" s="231"/>
      <c r="AB46" s="231"/>
      <c r="AC46" s="231"/>
      <c r="AD46" s="231"/>
      <c r="AE46" s="231"/>
      <c r="AF46" s="231"/>
      <c r="AG46" s="231"/>
      <c r="AH46" s="231"/>
      <c r="AI46" s="231"/>
      <c r="AJ46" s="231"/>
      <c r="AK46" s="231"/>
    </row>
    <row r="47" spans="1:37" s="203" customFormat="1">
      <c r="A47" s="46">
        <v>5</v>
      </c>
      <c r="B47" s="47" t="s">
        <v>69</v>
      </c>
      <c r="C47" s="47"/>
      <c r="D47" s="48"/>
      <c r="E47" s="49">
        <v>2989</v>
      </c>
      <c r="F47" s="52">
        <v>2989</v>
      </c>
      <c r="G47" s="45"/>
      <c r="H47" s="76">
        <v>8113</v>
      </c>
      <c r="I47" s="43"/>
      <c r="J47" s="231"/>
      <c r="K47" s="231"/>
      <c r="L47" s="231"/>
      <c r="M47" s="231"/>
      <c r="N47" s="231"/>
      <c r="O47" s="231"/>
      <c r="P47" s="231"/>
      <c r="Q47" s="231"/>
      <c r="R47" s="231"/>
      <c r="S47" s="231"/>
      <c r="T47" s="231"/>
      <c r="U47" s="231"/>
      <c r="V47" s="231"/>
      <c r="W47" s="231"/>
      <c r="X47" s="231"/>
      <c r="Y47" s="231"/>
      <c r="Z47" s="231"/>
      <c r="AA47" s="231"/>
      <c r="AB47" s="231"/>
      <c r="AC47" s="231"/>
      <c r="AD47" s="231"/>
      <c r="AE47" s="231"/>
      <c r="AF47" s="231"/>
      <c r="AG47" s="231"/>
      <c r="AH47" s="231"/>
      <c r="AI47" s="231"/>
      <c r="AJ47" s="231"/>
      <c r="AK47" s="231"/>
    </row>
    <row r="48" spans="1:37" s="203" customFormat="1">
      <c r="A48" s="46">
        <v>6</v>
      </c>
      <c r="B48" s="90" t="s">
        <v>253</v>
      </c>
      <c r="C48" s="47"/>
      <c r="D48" s="195"/>
      <c r="E48" s="49">
        <v>59904</v>
      </c>
      <c r="F48" s="52">
        <v>60266</v>
      </c>
      <c r="G48" s="45"/>
      <c r="H48" s="52">
        <v>63141</v>
      </c>
      <c r="I48" s="43"/>
      <c r="J48" s="231"/>
      <c r="K48" s="231"/>
      <c r="L48" s="231"/>
      <c r="M48" s="231"/>
      <c r="N48" s="231"/>
      <c r="O48" s="231"/>
      <c r="P48" s="231"/>
      <c r="Q48" s="231"/>
      <c r="R48" s="231"/>
      <c r="S48" s="231"/>
      <c r="T48" s="231"/>
      <c r="U48" s="231"/>
      <c r="V48" s="231"/>
      <c r="W48" s="231"/>
      <c r="X48" s="231"/>
      <c r="Y48" s="231"/>
      <c r="Z48" s="231"/>
      <c r="AA48" s="231"/>
      <c r="AB48" s="231"/>
      <c r="AC48" s="231"/>
      <c r="AD48" s="231"/>
      <c r="AE48" s="231"/>
      <c r="AF48" s="231"/>
      <c r="AG48" s="231"/>
      <c r="AH48" s="231"/>
      <c r="AI48" s="231"/>
      <c r="AJ48" s="231"/>
      <c r="AK48" s="231"/>
    </row>
    <row r="49" spans="1:37" s="203" customFormat="1">
      <c r="A49" s="77">
        <v>7</v>
      </c>
      <c r="B49" s="78" t="s">
        <v>71</v>
      </c>
      <c r="C49" s="58"/>
      <c r="D49" s="79"/>
      <c r="E49" s="80">
        <v>243591</v>
      </c>
      <c r="F49" s="81">
        <f>SUM(F43:F48)</f>
        <v>244560.00000000003</v>
      </c>
      <c r="G49" s="82"/>
      <c r="H49" s="62">
        <f>SUM(H43:H48)</f>
        <v>252868</v>
      </c>
      <c r="I49" s="242"/>
      <c r="J49" s="231"/>
      <c r="K49" s="231"/>
      <c r="L49" s="231"/>
      <c r="M49" s="231"/>
      <c r="N49" s="231"/>
      <c r="O49" s="231"/>
      <c r="P49" s="231"/>
      <c r="Q49" s="231"/>
      <c r="R49" s="231"/>
      <c r="S49" s="231"/>
      <c r="T49" s="231"/>
      <c r="U49" s="231"/>
      <c r="V49" s="231"/>
      <c r="W49" s="231"/>
      <c r="X49" s="231"/>
      <c r="Y49" s="231"/>
      <c r="Z49" s="231"/>
      <c r="AA49" s="231"/>
      <c r="AB49" s="231"/>
      <c r="AC49" s="231"/>
      <c r="AD49" s="231"/>
      <c r="AE49" s="231"/>
      <c r="AF49" s="231"/>
      <c r="AG49" s="231"/>
      <c r="AH49" s="231"/>
      <c r="AI49" s="231"/>
      <c r="AJ49" s="231"/>
      <c r="AK49" s="231"/>
    </row>
    <row r="50" spans="1:37" s="203" customFormat="1">
      <c r="A50" s="83"/>
      <c r="B50" s="244"/>
      <c r="C50" s="244"/>
      <c r="D50" s="244"/>
      <c r="E50" s="85"/>
      <c r="F50" s="244"/>
      <c r="G50" s="86"/>
      <c r="H50" s="86"/>
      <c r="I50" s="21"/>
      <c r="J50" s="231"/>
      <c r="K50" s="231"/>
      <c r="L50" s="231"/>
      <c r="M50" s="231"/>
      <c r="N50" s="231"/>
      <c r="O50" s="231"/>
      <c r="P50" s="231"/>
      <c r="Q50" s="231"/>
      <c r="R50" s="231"/>
      <c r="S50" s="231"/>
      <c r="T50" s="231"/>
      <c r="U50" s="231"/>
      <c r="V50" s="231"/>
      <c r="W50" s="231"/>
      <c r="X50" s="231"/>
      <c r="Y50" s="231"/>
      <c r="Z50" s="231"/>
      <c r="AA50" s="231"/>
      <c r="AB50" s="231"/>
      <c r="AC50" s="231"/>
      <c r="AD50" s="231"/>
      <c r="AE50" s="231"/>
      <c r="AF50" s="231"/>
      <c r="AG50" s="231"/>
      <c r="AH50" s="231"/>
      <c r="AI50" s="231"/>
      <c r="AJ50" s="231"/>
      <c r="AK50" s="231"/>
    </row>
    <row r="51" spans="1:37" s="203" customFormat="1">
      <c r="A51" s="706" t="s">
        <v>72</v>
      </c>
      <c r="B51" s="196" t="s">
        <v>254</v>
      </c>
      <c r="C51" s="69"/>
      <c r="D51" s="70"/>
      <c r="E51" s="87"/>
      <c r="F51" s="88"/>
      <c r="G51" s="45"/>
      <c r="H51" s="89"/>
      <c r="I51" s="43"/>
      <c r="J51" s="231"/>
      <c r="K51" s="231"/>
      <c r="L51" s="231"/>
      <c r="M51" s="231"/>
      <c r="N51" s="231"/>
      <c r="O51" s="231"/>
      <c r="P51" s="231"/>
      <c r="Q51" s="231"/>
      <c r="R51" s="231"/>
      <c r="S51" s="231"/>
      <c r="T51" s="231"/>
      <c r="U51" s="231"/>
      <c r="V51" s="231"/>
      <c r="W51" s="231"/>
      <c r="X51" s="231"/>
      <c r="Y51" s="231"/>
      <c r="Z51" s="231"/>
      <c r="AA51" s="231"/>
      <c r="AB51" s="231"/>
      <c r="AC51" s="231"/>
      <c r="AD51" s="231"/>
      <c r="AE51" s="231"/>
      <c r="AF51" s="231"/>
      <c r="AG51" s="231"/>
      <c r="AH51" s="231"/>
      <c r="AI51" s="231"/>
      <c r="AJ51" s="231"/>
      <c r="AK51" s="231"/>
    </row>
    <row r="52" spans="1:37" s="203" customFormat="1">
      <c r="A52" s="46">
        <v>8</v>
      </c>
      <c r="B52" s="90" t="s">
        <v>73</v>
      </c>
      <c r="C52" s="47"/>
      <c r="D52" s="48"/>
      <c r="E52" s="74">
        <v>245231.96900000001</v>
      </c>
      <c r="F52" s="50">
        <f>F38</f>
        <v>249200</v>
      </c>
      <c r="G52" s="45"/>
      <c r="H52" s="91">
        <f>H38</f>
        <v>259687</v>
      </c>
      <c r="I52" s="43"/>
      <c r="J52" s="231"/>
      <c r="K52" s="231"/>
      <c r="L52" s="231"/>
      <c r="M52" s="231"/>
      <c r="N52" s="231"/>
      <c r="O52" s="231"/>
      <c r="P52" s="231"/>
      <c r="Q52" s="231"/>
      <c r="R52" s="231"/>
      <c r="S52" s="231"/>
      <c r="T52" s="231"/>
      <c r="U52" s="231"/>
      <c r="V52" s="231"/>
      <c r="W52" s="231"/>
      <c r="X52" s="231"/>
      <c r="Y52" s="231"/>
      <c r="Z52" s="231"/>
      <c r="AA52" s="231"/>
      <c r="AB52" s="231"/>
      <c r="AC52" s="231"/>
      <c r="AD52" s="231"/>
      <c r="AE52" s="231"/>
      <c r="AF52" s="231"/>
      <c r="AG52" s="231"/>
      <c r="AH52" s="231"/>
      <c r="AI52" s="231"/>
      <c r="AJ52" s="231"/>
      <c r="AK52" s="231"/>
    </row>
    <row r="53" spans="1:37" s="203" customFormat="1">
      <c r="A53" s="46">
        <v>9</v>
      </c>
      <c r="B53" s="90" t="s">
        <v>74</v>
      </c>
      <c r="C53" s="47"/>
      <c r="D53" s="48"/>
      <c r="E53" s="49">
        <v>243591</v>
      </c>
      <c r="F53" s="92">
        <f>F49</f>
        <v>244560.00000000003</v>
      </c>
      <c r="G53" s="45"/>
      <c r="H53" s="91">
        <f>H49</f>
        <v>252868</v>
      </c>
      <c r="I53" s="43"/>
      <c r="J53" s="231"/>
      <c r="K53" s="231"/>
      <c r="L53" s="231"/>
      <c r="M53" s="231"/>
      <c r="N53" s="231"/>
      <c r="O53" s="231"/>
      <c r="P53" s="231"/>
      <c r="Q53" s="231"/>
      <c r="R53" s="231"/>
      <c r="S53" s="231"/>
      <c r="T53" s="231"/>
      <c r="U53" s="231"/>
      <c r="V53" s="231"/>
      <c r="W53" s="231"/>
      <c r="X53" s="231"/>
      <c r="Y53" s="231"/>
      <c r="Z53" s="231"/>
      <c r="AA53" s="231"/>
      <c r="AB53" s="231"/>
      <c r="AC53" s="231"/>
      <c r="AD53" s="231"/>
      <c r="AE53" s="231"/>
      <c r="AF53" s="231"/>
      <c r="AG53" s="231"/>
      <c r="AH53" s="231"/>
      <c r="AI53" s="231"/>
      <c r="AJ53" s="231"/>
      <c r="AK53" s="231"/>
    </row>
    <row r="54" spans="1:37" s="203" customFormat="1">
      <c r="A54" s="708">
        <v>10</v>
      </c>
      <c r="B54" s="93" t="s">
        <v>255</v>
      </c>
      <c r="C54" s="94"/>
      <c r="D54" s="55"/>
      <c r="E54" s="95">
        <v>-1640.9690000000119</v>
      </c>
      <c r="F54" s="96">
        <f>F53-F52</f>
        <v>-4639.9999999999709</v>
      </c>
      <c r="G54" s="45"/>
      <c r="H54" s="97">
        <f>H53-H52</f>
        <v>-6819</v>
      </c>
      <c r="I54" s="43"/>
      <c r="J54" s="231"/>
      <c r="K54" s="231"/>
      <c r="L54" s="231"/>
      <c r="M54" s="231"/>
      <c r="N54" s="231"/>
      <c r="O54" s="231"/>
      <c r="P54" s="231"/>
      <c r="Q54" s="231"/>
      <c r="R54" s="231"/>
      <c r="S54" s="231"/>
      <c r="T54" s="231"/>
      <c r="U54" s="231"/>
      <c r="V54" s="231"/>
      <c r="W54" s="231"/>
      <c r="X54" s="231"/>
      <c r="Y54" s="231"/>
      <c r="Z54" s="231"/>
      <c r="AA54" s="231"/>
      <c r="AB54" s="231"/>
      <c r="AC54" s="231"/>
      <c r="AD54" s="231"/>
      <c r="AE54" s="231"/>
      <c r="AF54" s="231"/>
      <c r="AG54" s="231"/>
      <c r="AH54" s="231"/>
      <c r="AI54" s="231"/>
      <c r="AJ54" s="231"/>
      <c r="AK54" s="231"/>
    </row>
    <row r="55" spans="1:37" s="203" customFormat="1">
      <c r="A55" s="83"/>
      <c r="B55" s="244"/>
      <c r="C55" s="244"/>
      <c r="D55" s="244"/>
      <c r="E55" s="85"/>
      <c r="F55" s="244"/>
      <c r="G55" s="86"/>
      <c r="H55" s="86"/>
      <c r="I55" s="21"/>
      <c r="J55" s="231"/>
      <c r="K55" s="231"/>
      <c r="L55" s="231"/>
      <c r="M55" s="231"/>
      <c r="N55" s="231"/>
      <c r="O55" s="231"/>
      <c r="P55" s="231"/>
      <c r="Q55" s="231"/>
      <c r="R55" s="231"/>
      <c r="S55" s="231"/>
      <c r="T55" s="231"/>
      <c r="U55" s="231"/>
      <c r="V55" s="231"/>
      <c r="W55" s="231"/>
      <c r="X55" s="231"/>
      <c r="Y55" s="231"/>
      <c r="Z55" s="231"/>
      <c r="AA55" s="231"/>
      <c r="AB55" s="231"/>
      <c r="AC55" s="231"/>
      <c r="AD55" s="231"/>
      <c r="AE55" s="231"/>
      <c r="AF55" s="231"/>
      <c r="AG55" s="231"/>
      <c r="AH55" s="231"/>
      <c r="AI55" s="231"/>
      <c r="AJ55" s="231"/>
      <c r="AK55" s="231"/>
    </row>
    <row r="56" spans="1:37" s="203" customFormat="1">
      <c r="A56" s="706" t="s">
        <v>75</v>
      </c>
      <c r="B56" s="69" t="s">
        <v>256</v>
      </c>
      <c r="C56" s="69"/>
      <c r="D56" s="70"/>
      <c r="E56" s="87"/>
      <c r="F56" s="88"/>
      <c r="G56" s="45"/>
      <c r="H56" s="89"/>
      <c r="I56" s="43"/>
      <c r="J56" s="231"/>
      <c r="K56" s="231"/>
      <c r="L56" s="231"/>
      <c r="M56" s="231"/>
      <c r="N56" s="231"/>
      <c r="O56" s="231"/>
      <c r="P56" s="231"/>
      <c r="Q56" s="231"/>
      <c r="R56" s="231"/>
      <c r="S56" s="231"/>
      <c r="T56" s="231"/>
      <c r="U56" s="231"/>
      <c r="V56" s="231"/>
      <c r="W56" s="231"/>
      <c r="X56" s="231"/>
      <c r="Y56" s="231"/>
      <c r="Z56" s="231"/>
      <c r="AA56" s="231"/>
      <c r="AB56" s="231"/>
      <c r="AC56" s="231"/>
      <c r="AD56" s="231"/>
      <c r="AE56" s="231"/>
      <c r="AF56" s="231"/>
      <c r="AG56" s="231"/>
      <c r="AH56" s="231"/>
      <c r="AI56" s="231"/>
      <c r="AJ56" s="231"/>
      <c r="AK56" s="231"/>
    </row>
    <row r="57" spans="1:37" s="203" customFormat="1">
      <c r="A57" s="46">
        <v>11</v>
      </c>
      <c r="B57" s="47" t="s">
        <v>76</v>
      </c>
      <c r="C57" s="47"/>
      <c r="D57" s="48"/>
      <c r="E57" s="74">
        <v>17275.478000000003</v>
      </c>
      <c r="F57" s="52">
        <v>17105</v>
      </c>
      <c r="G57" s="45"/>
      <c r="H57" s="91">
        <f>F61</f>
        <v>14786.000000000029</v>
      </c>
      <c r="I57" s="43"/>
      <c r="J57" s="231"/>
      <c r="K57" s="231"/>
      <c r="L57" s="231"/>
      <c r="M57" s="231"/>
      <c r="N57" s="231"/>
      <c r="O57" s="231"/>
      <c r="P57" s="231"/>
      <c r="Q57" s="231"/>
      <c r="R57" s="231"/>
      <c r="S57" s="231"/>
      <c r="T57" s="231"/>
      <c r="U57" s="231"/>
      <c r="V57" s="231"/>
      <c r="W57" s="231"/>
      <c r="X57" s="231"/>
      <c r="Y57" s="231"/>
      <c r="Z57" s="231"/>
      <c r="AA57" s="231"/>
      <c r="AB57" s="231"/>
      <c r="AC57" s="231"/>
      <c r="AD57" s="231"/>
      <c r="AE57" s="231"/>
      <c r="AF57" s="231"/>
      <c r="AG57" s="231"/>
      <c r="AH57" s="231"/>
      <c r="AI57" s="231"/>
      <c r="AJ57" s="231"/>
      <c r="AK57" s="231"/>
    </row>
    <row r="58" spans="1:37" s="203" customFormat="1">
      <c r="A58" s="46">
        <v>12</v>
      </c>
      <c r="B58" s="90" t="s">
        <v>257</v>
      </c>
      <c r="C58" s="47"/>
      <c r="D58" s="48"/>
      <c r="E58" s="49">
        <v>-1640.9690000000119</v>
      </c>
      <c r="F58" s="92">
        <f>F54</f>
        <v>-4639.9999999999709</v>
      </c>
      <c r="G58" s="45"/>
      <c r="H58" s="98">
        <f>H54</f>
        <v>-6819</v>
      </c>
      <c r="I58" s="43"/>
      <c r="J58" s="231"/>
      <c r="K58" s="231"/>
      <c r="L58" s="231"/>
      <c r="M58" s="231"/>
      <c r="N58" s="231"/>
      <c r="O58" s="231"/>
      <c r="P58" s="231"/>
      <c r="Q58" s="231"/>
      <c r="R58" s="231"/>
      <c r="S58" s="231"/>
      <c r="T58" s="231"/>
      <c r="U58" s="231"/>
      <c r="V58" s="231"/>
      <c r="W58" s="231"/>
      <c r="X58" s="231"/>
      <c r="Y58" s="231"/>
      <c r="Z58" s="231"/>
      <c r="AA58" s="231"/>
      <c r="AB58" s="231"/>
      <c r="AC58" s="231"/>
      <c r="AD58" s="231"/>
      <c r="AE58" s="231"/>
      <c r="AF58" s="231"/>
      <c r="AG58" s="231"/>
      <c r="AH58" s="231"/>
      <c r="AI58" s="231"/>
      <c r="AJ58" s="231"/>
      <c r="AK58" s="231"/>
    </row>
    <row r="59" spans="1:37" s="203" customFormat="1">
      <c r="A59" s="46">
        <v>13</v>
      </c>
      <c r="B59" s="47" t="s">
        <v>77</v>
      </c>
      <c r="C59" s="47"/>
      <c r="D59" s="48"/>
      <c r="E59" s="49">
        <v>0</v>
      </c>
      <c r="F59" s="52"/>
      <c r="G59" s="45"/>
      <c r="H59" s="99"/>
      <c r="I59" s="43"/>
      <c r="J59" s="231"/>
      <c r="K59" s="231"/>
      <c r="L59" s="231"/>
      <c r="M59" s="231"/>
      <c r="N59" s="231"/>
      <c r="O59" s="231"/>
      <c r="P59" s="231"/>
      <c r="Q59" s="231"/>
      <c r="R59" s="231"/>
      <c r="S59" s="231"/>
      <c r="T59" s="231"/>
      <c r="U59" s="231"/>
      <c r="V59" s="231"/>
      <c r="W59" s="231"/>
      <c r="X59" s="231"/>
      <c r="Y59" s="231"/>
      <c r="Z59" s="231"/>
      <c r="AA59" s="231"/>
      <c r="AB59" s="231"/>
      <c r="AC59" s="231"/>
      <c r="AD59" s="231"/>
      <c r="AE59" s="231"/>
      <c r="AF59" s="231"/>
      <c r="AG59" s="231"/>
      <c r="AH59" s="231"/>
      <c r="AI59" s="231"/>
      <c r="AJ59" s="231"/>
      <c r="AK59" s="231"/>
    </row>
    <row r="60" spans="1:37" s="203" customFormat="1">
      <c r="A60" s="46">
        <v>14</v>
      </c>
      <c r="B60" s="47" t="s">
        <v>78</v>
      </c>
      <c r="C60" s="47"/>
      <c r="D60" s="48"/>
      <c r="E60" s="49">
        <v>0</v>
      </c>
      <c r="F60" s="52">
        <v>2321</v>
      </c>
      <c r="G60" s="45"/>
      <c r="H60" s="100"/>
      <c r="I60" s="43"/>
      <c r="J60" s="231"/>
      <c r="K60" s="231"/>
      <c r="L60" s="231"/>
      <c r="M60" s="231"/>
      <c r="N60" s="231"/>
      <c r="O60" s="231"/>
      <c r="P60" s="231"/>
      <c r="Q60" s="231"/>
      <c r="R60" s="231"/>
      <c r="S60" s="231"/>
      <c r="T60" s="231"/>
      <c r="U60" s="231"/>
      <c r="V60" s="231"/>
      <c r="W60" s="231"/>
      <c r="X60" s="231"/>
      <c r="Y60" s="231"/>
      <c r="Z60" s="231"/>
      <c r="AA60" s="231"/>
      <c r="AB60" s="231"/>
      <c r="AC60" s="231"/>
      <c r="AD60" s="231"/>
      <c r="AE60" s="231"/>
      <c r="AF60" s="231"/>
      <c r="AG60" s="231"/>
      <c r="AH60" s="231"/>
      <c r="AI60" s="231"/>
      <c r="AJ60" s="231"/>
      <c r="AK60" s="231"/>
    </row>
    <row r="61" spans="1:37" s="203" customFormat="1">
      <c r="A61" s="53">
        <v>15</v>
      </c>
      <c r="B61" s="54" t="s">
        <v>79</v>
      </c>
      <c r="C61" s="54"/>
      <c r="D61" s="55"/>
      <c r="E61" s="56">
        <v>15634.508999999991</v>
      </c>
      <c r="F61" s="96">
        <f>F57+F58+F59+F60</f>
        <v>14786.000000000029</v>
      </c>
      <c r="G61" s="45"/>
      <c r="H61" s="101">
        <f>H57+H58+H59+H60</f>
        <v>7967.0000000000291</v>
      </c>
      <c r="I61" s="43"/>
      <c r="J61" s="231"/>
      <c r="K61" s="231"/>
      <c r="L61" s="231"/>
      <c r="M61" s="231"/>
      <c r="N61" s="231"/>
      <c r="O61" s="231"/>
      <c r="P61" s="231"/>
      <c r="Q61" s="231"/>
      <c r="R61" s="231"/>
      <c r="S61" s="231"/>
      <c r="T61" s="231"/>
      <c r="U61" s="231"/>
      <c r="V61" s="231"/>
      <c r="W61" s="231"/>
      <c r="X61" s="231"/>
      <c r="Y61" s="231"/>
      <c r="Z61" s="231"/>
      <c r="AA61" s="231"/>
      <c r="AB61" s="231"/>
      <c r="AC61" s="231"/>
      <c r="AD61" s="231"/>
      <c r="AE61" s="231"/>
      <c r="AF61" s="231"/>
      <c r="AG61" s="231"/>
      <c r="AH61" s="231"/>
      <c r="AI61" s="231"/>
      <c r="AJ61" s="231"/>
      <c r="AK61" s="231"/>
    </row>
    <row r="62" spans="1:37" s="203" customFormat="1">
      <c r="A62" s="102"/>
      <c r="B62" s="207"/>
      <c r="C62" s="207"/>
      <c r="D62" s="207"/>
      <c r="E62" s="103"/>
      <c r="F62" s="21"/>
      <c r="G62" s="21"/>
      <c r="H62" s="21"/>
      <c r="I62" s="21"/>
      <c r="J62" s="231"/>
      <c r="K62" s="231"/>
      <c r="L62" s="231"/>
      <c r="M62" s="231"/>
      <c r="N62" s="231"/>
      <c r="O62" s="231"/>
      <c r="P62" s="231"/>
      <c r="Q62" s="231"/>
      <c r="R62" s="231"/>
      <c r="S62" s="231"/>
      <c r="T62" s="231"/>
      <c r="U62" s="231"/>
      <c r="V62" s="231"/>
      <c r="W62" s="231"/>
      <c r="X62" s="231"/>
      <c r="Y62" s="231"/>
      <c r="Z62" s="231"/>
      <c r="AA62" s="231"/>
      <c r="AB62" s="231"/>
      <c r="AC62" s="231"/>
      <c r="AD62" s="231"/>
      <c r="AE62" s="231"/>
      <c r="AF62" s="231"/>
      <c r="AG62" s="231"/>
      <c r="AH62" s="231"/>
      <c r="AI62" s="231"/>
      <c r="AJ62" s="231"/>
      <c r="AK62" s="231"/>
    </row>
    <row r="63" spans="1:37" s="203" customFormat="1" ht="12.75" customHeight="1">
      <c r="A63" s="23"/>
      <c r="B63" s="207"/>
      <c r="C63" s="207"/>
      <c r="D63" s="207"/>
      <c r="E63" s="15"/>
      <c r="F63" s="207"/>
      <c r="G63" s="207"/>
      <c r="H63" s="21"/>
      <c r="I63" s="21"/>
      <c r="J63" s="231"/>
      <c r="K63" s="231"/>
      <c r="L63" s="231"/>
      <c r="M63" s="231"/>
      <c r="N63" s="231"/>
      <c r="O63" s="231"/>
      <c r="P63" s="231"/>
      <c r="Q63" s="231"/>
      <c r="R63" s="231"/>
      <c r="S63" s="231"/>
      <c r="T63" s="231"/>
      <c r="U63" s="231"/>
      <c r="V63" s="231"/>
      <c r="W63" s="231"/>
      <c r="X63" s="231"/>
      <c r="Y63" s="231"/>
      <c r="Z63" s="231"/>
      <c r="AA63" s="231"/>
      <c r="AB63" s="231"/>
      <c r="AC63" s="231"/>
      <c r="AD63" s="231"/>
      <c r="AE63" s="231"/>
      <c r="AF63" s="231"/>
      <c r="AG63" s="231"/>
      <c r="AH63" s="231"/>
      <c r="AI63" s="231"/>
      <c r="AJ63" s="231"/>
      <c r="AK63" s="231"/>
    </row>
    <row r="64" spans="1:37" s="203" customFormat="1" ht="15">
      <c r="A64" s="104" t="s">
        <v>80</v>
      </c>
      <c r="B64" s="29"/>
      <c r="C64" s="29"/>
      <c r="D64" s="29"/>
      <c r="E64" s="15"/>
      <c r="F64" s="29"/>
      <c r="G64" s="29"/>
      <c r="H64" s="29"/>
      <c r="I64" s="29"/>
      <c r="J64" s="231"/>
      <c r="K64" s="231"/>
      <c r="L64" s="231"/>
      <c r="M64" s="231"/>
      <c r="N64" s="231"/>
      <c r="O64" s="231"/>
      <c r="P64" s="231"/>
      <c r="Q64" s="231"/>
      <c r="R64" s="231"/>
      <c r="S64" s="231"/>
      <c r="T64" s="231"/>
      <c r="U64" s="231"/>
      <c r="V64" s="231"/>
      <c r="W64" s="231"/>
      <c r="X64" s="231"/>
      <c r="Y64" s="231"/>
      <c r="Z64" s="231"/>
      <c r="AA64" s="231"/>
      <c r="AB64" s="231"/>
      <c r="AC64" s="231"/>
      <c r="AD64" s="231"/>
      <c r="AE64" s="231"/>
      <c r="AF64" s="231"/>
      <c r="AG64" s="231"/>
      <c r="AH64" s="231"/>
      <c r="AI64" s="231"/>
      <c r="AJ64" s="231"/>
      <c r="AK64" s="231"/>
    </row>
    <row r="65" spans="1:37" s="203" customFormat="1">
      <c r="A65" s="32"/>
      <c r="B65" s="29"/>
      <c r="C65" s="29"/>
      <c r="D65" s="29"/>
      <c r="E65" s="105"/>
      <c r="F65" s="29"/>
      <c r="G65" s="29"/>
      <c r="H65" s="29"/>
      <c r="I65" s="131" t="s">
        <v>27</v>
      </c>
      <c r="J65" s="231"/>
      <c r="K65" s="231"/>
      <c r="L65" s="231"/>
      <c r="M65" s="231"/>
      <c r="N65" s="231"/>
      <c r="O65" s="231"/>
      <c r="P65" s="231"/>
      <c r="Q65" s="231"/>
      <c r="R65" s="231"/>
      <c r="S65" s="231"/>
      <c r="T65" s="231"/>
      <c r="U65" s="231"/>
      <c r="V65" s="231"/>
      <c r="W65" s="231"/>
      <c r="X65" s="231"/>
      <c r="Y65" s="231"/>
      <c r="Z65" s="231"/>
      <c r="AA65" s="231"/>
      <c r="AB65" s="231"/>
      <c r="AC65" s="231"/>
      <c r="AD65" s="231"/>
      <c r="AE65" s="231"/>
      <c r="AF65" s="231"/>
      <c r="AG65" s="231"/>
      <c r="AH65" s="231"/>
      <c r="AI65" s="231"/>
      <c r="AJ65" s="231"/>
      <c r="AK65" s="231"/>
    </row>
    <row r="66" spans="1:37" s="203" customFormat="1">
      <c r="A66" s="106" t="s">
        <v>14</v>
      </c>
      <c r="B66" s="107"/>
      <c r="C66" s="107"/>
      <c r="D66" s="107"/>
      <c r="E66" s="856" t="s">
        <v>377</v>
      </c>
      <c r="F66" s="962" t="s">
        <v>402</v>
      </c>
      <c r="G66" s="867" t="s">
        <v>81</v>
      </c>
      <c r="H66" s="962" t="s">
        <v>403</v>
      </c>
      <c r="I66" s="867" t="s">
        <v>81</v>
      </c>
      <c r="J66" s="231"/>
      <c r="K66" s="231"/>
      <c r="L66" s="231"/>
      <c r="M66" s="231"/>
      <c r="N66" s="231"/>
      <c r="O66" s="231"/>
      <c r="P66" s="231"/>
      <c r="Q66" s="231"/>
      <c r="R66" s="231"/>
      <c r="S66" s="231"/>
      <c r="T66" s="231"/>
      <c r="U66" s="231"/>
      <c r="V66" s="231"/>
      <c r="W66" s="231"/>
      <c r="X66" s="231"/>
      <c r="Y66" s="231"/>
      <c r="Z66" s="231"/>
      <c r="AA66" s="231"/>
      <c r="AB66" s="231"/>
      <c r="AC66" s="231"/>
      <c r="AD66" s="231"/>
      <c r="AE66" s="231"/>
      <c r="AF66" s="231"/>
      <c r="AG66" s="231"/>
      <c r="AH66" s="231"/>
      <c r="AI66" s="231"/>
      <c r="AJ66" s="231"/>
      <c r="AK66" s="231"/>
    </row>
    <row r="67" spans="1:37" s="203" customFormat="1" ht="21" customHeight="1">
      <c r="A67" s="108"/>
      <c r="B67" s="47"/>
      <c r="C67" s="47"/>
      <c r="D67" s="47"/>
      <c r="E67" s="859"/>
      <c r="F67" s="963"/>
      <c r="G67" s="868"/>
      <c r="H67" s="963"/>
      <c r="I67" s="868"/>
      <c r="J67" s="231"/>
      <c r="K67" s="231"/>
      <c r="L67" s="231"/>
      <c r="M67" s="231"/>
      <c r="N67" s="231"/>
      <c r="O67" s="231"/>
      <c r="P67" s="231"/>
      <c r="Q67" s="231"/>
      <c r="R67" s="231"/>
      <c r="S67" s="231"/>
      <c r="T67" s="231"/>
      <c r="U67" s="231"/>
      <c r="V67" s="231"/>
      <c r="W67" s="231"/>
      <c r="X67" s="231"/>
      <c r="Y67" s="231"/>
      <c r="Z67" s="231"/>
      <c r="AA67" s="231"/>
      <c r="AB67" s="231"/>
      <c r="AC67" s="231"/>
      <c r="AD67" s="231"/>
      <c r="AE67" s="231"/>
      <c r="AF67" s="231"/>
      <c r="AG67" s="231"/>
      <c r="AH67" s="231"/>
      <c r="AI67" s="231"/>
      <c r="AJ67" s="231"/>
      <c r="AK67" s="231"/>
    </row>
    <row r="68" spans="1:37" s="203" customFormat="1">
      <c r="A68" s="109" t="s">
        <v>82</v>
      </c>
      <c r="B68" s="47"/>
      <c r="C68" s="47"/>
      <c r="D68" s="47"/>
      <c r="E68" s="859"/>
      <c r="F68" s="963"/>
      <c r="G68" s="868"/>
      <c r="H68" s="963"/>
      <c r="I68" s="868"/>
      <c r="J68" s="231"/>
      <c r="K68" s="231"/>
      <c r="L68" s="231"/>
      <c r="M68" s="231"/>
      <c r="N68" s="231"/>
      <c r="O68" s="231"/>
      <c r="P68" s="231"/>
      <c r="Q68" s="231"/>
      <c r="R68" s="231"/>
      <c r="S68" s="231"/>
      <c r="T68" s="231"/>
      <c r="U68" s="231"/>
      <c r="V68" s="231"/>
      <c r="W68" s="231"/>
      <c r="X68" s="231"/>
      <c r="Y68" s="231"/>
      <c r="Z68" s="231"/>
      <c r="AA68" s="231"/>
      <c r="AB68" s="231"/>
      <c r="AC68" s="231"/>
      <c r="AD68" s="231"/>
      <c r="AE68" s="231"/>
      <c r="AF68" s="231"/>
      <c r="AG68" s="231"/>
      <c r="AH68" s="231"/>
      <c r="AI68" s="231"/>
      <c r="AJ68" s="231"/>
      <c r="AK68" s="231"/>
    </row>
    <row r="69" spans="1:37" s="203" customFormat="1">
      <c r="A69" s="109" t="s">
        <v>83</v>
      </c>
      <c r="B69" s="47"/>
      <c r="C69" s="47"/>
      <c r="D69" s="47"/>
      <c r="E69" s="859"/>
      <c r="F69" s="963"/>
      <c r="G69" s="868"/>
      <c r="H69" s="963"/>
      <c r="I69" s="868"/>
      <c r="J69" s="231"/>
      <c r="K69" s="231"/>
      <c r="L69" s="231"/>
      <c r="M69" s="231"/>
      <c r="N69" s="231"/>
      <c r="O69" s="231"/>
      <c r="P69" s="231"/>
      <c r="Q69" s="231"/>
      <c r="R69" s="231"/>
      <c r="S69" s="231"/>
      <c r="T69" s="231"/>
      <c r="U69" s="231"/>
      <c r="V69" s="231"/>
      <c r="W69" s="231"/>
      <c r="X69" s="231"/>
      <c r="Y69" s="231"/>
      <c r="Z69" s="231"/>
      <c r="AA69" s="231"/>
      <c r="AB69" s="231"/>
      <c r="AC69" s="231"/>
      <c r="AD69" s="231"/>
      <c r="AE69" s="231"/>
      <c r="AF69" s="231"/>
      <c r="AG69" s="231"/>
      <c r="AH69" s="231"/>
      <c r="AI69" s="231"/>
      <c r="AJ69" s="231"/>
      <c r="AK69" s="231"/>
    </row>
    <row r="70" spans="1:37" s="203" customFormat="1">
      <c r="A70" s="110" t="s">
        <v>84</v>
      </c>
      <c r="B70" s="47"/>
      <c r="C70" s="47"/>
      <c r="D70" s="47"/>
      <c r="E70" s="860"/>
      <c r="F70" s="964"/>
      <c r="G70" s="869"/>
      <c r="H70" s="964"/>
      <c r="I70" s="869"/>
      <c r="J70" s="231"/>
      <c r="K70" s="231"/>
      <c r="L70" s="231"/>
      <c r="M70" s="231"/>
      <c r="N70" s="231"/>
      <c r="O70" s="231"/>
      <c r="P70" s="231"/>
      <c r="Q70" s="231"/>
      <c r="R70" s="231"/>
      <c r="S70" s="231"/>
      <c r="T70" s="231"/>
      <c r="U70" s="231"/>
      <c r="V70" s="231"/>
      <c r="W70" s="231"/>
      <c r="X70" s="231"/>
      <c r="Y70" s="231"/>
      <c r="Z70" s="231"/>
      <c r="AA70" s="231"/>
      <c r="AB70" s="231"/>
      <c r="AC70" s="231"/>
      <c r="AD70" s="231"/>
      <c r="AE70" s="231"/>
      <c r="AF70" s="231"/>
      <c r="AG70" s="231"/>
      <c r="AH70" s="231"/>
      <c r="AI70" s="231"/>
      <c r="AJ70" s="231"/>
      <c r="AK70" s="231"/>
    </row>
    <row r="71" spans="1:37" s="203" customFormat="1">
      <c r="A71" s="111">
        <v>1</v>
      </c>
      <c r="B71" s="47" t="s">
        <v>85</v>
      </c>
      <c r="C71" s="47"/>
      <c r="D71" s="47"/>
      <c r="E71" s="41">
        <v>8010</v>
      </c>
      <c r="F71" s="247">
        <v>7810</v>
      </c>
      <c r="G71" s="112">
        <v>41</v>
      </c>
      <c r="H71" s="248">
        <v>13459</v>
      </c>
      <c r="I71" s="112">
        <v>16</v>
      </c>
      <c r="J71" s="231"/>
      <c r="K71" s="231"/>
      <c r="L71" s="231"/>
      <c r="M71" s="231"/>
      <c r="N71" s="231"/>
      <c r="O71" s="231"/>
      <c r="P71" s="231"/>
      <c r="Q71" s="231"/>
      <c r="R71" s="231"/>
      <c r="S71" s="231"/>
      <c r="T71" s="231"/>
      <c r="U71" s="231"/>
      <c r="V71" s="231"/>
      <c r="W71" s="231"/>
      <c r="X71" s="231"/>
      <c r="Y71" s="231"/>
      <c r="Z71" s="231"/>
      <c r="AA71" s="231"/>
      <c r="AB71" s="231"/>
      <c r="AC71" s="231"/>
      <c r="AD71" s="231"/>
      <c r="AE71" s="231"/>
      <c r="AF71" s="231"/>
      <c r="AG71" s="231"/>
      <c r="AH71" s="231"/>
      <c r="AI71" s="231"/>
      <c r="AJ71" s="231"/>
      <c r="AK71" s="231"/>
    </row>
    <row r="72" spans="1:37" s="203" customFormat="1">
      <c r="A72" s="111">
        <v>2</v>
      </c>
      <c r="B72" s="47" t="s">
        <v>86</v>
      </c>
      <c r="C72" s="47"/>
      <c r="D72" s="47"/>
      <c r="E72" s="49">
        <v>42904.286</v>
      </c>
      <c r="F72" s="247">
        <v>43000</v>
      </c>
      <c r="G72" s="113">
        <v>3858</v>
      </c>
      <c r="H72" s="123">
        <v>43560</v>
      </c>
      <c r="I72" s="113">
        <v>1789</v>
      </c>
      <c r="J72" s="231"/>
      <c r="K72" s="231"/>
      <c r="L72" s="231"/>
      <c r="M72" s="231"/>
      <c r="N72" s="231"/>
      <c r="O72" s="231"/>
      <c r="P72" s="231"/>
      <c r="Q72" s="231"/>
      <c r="R72" s="231"/>
      <c r="S72" s="231"/>
      <c r="T72" s="231"/>
      <c r="U72" s="231"/>
      <c r="V72" s="231"/>
      <c r="W72" s="231"/>
      <c r="X72" s="231"/>
      <c r="Y72" s="231"/>
      <c r="Z72" s="231"/>
      <c r="AA72" s="231"/>
      <c r="AB72" s="231"/>
      <c r="AC72" s="231"/>
      <c r="AD72" s="231"/>
      <c r="AE72" s="231"/>
      <c r="AF72" s="231"/>
      <c r="AG72" s="231"/>
      <c r="AH72" s="231"/>
      <c r="AI72" s="231"/>
      <c r="AJ72" s="231"/>
      <c r="AK72" s="231"/>
    </row>
    <row r="73" spans="1:37" s="203" customFormat="1">
      <c r="A73" s="111">
        <v>3</v>
      </c>
      <c r="B73" s="47" t="s">
        <v>87</v>
      </c>
      <c r="C73" s="47"/>
      <c r="D73" s="47"/>
      <c r="E73" s="114">
        <v>54078.879999999997</v>
      </c>
      <c r="F73" s="247">
        <v>54441</v>
      </c>
      <c r="G73" s="113">
        <v>2611</v>
      </c>
      <c r="H73" s="123">
        <v>56209</v>
      </c>
      <c r="I73" s="113">
        <v>873</v>
      </c>
      <c r="J73" s="231"/>
      <c r="K73" s="231"/>
      <c r="L73" s="231"/>
      <c r="M73" s="231"/>
      <c r="N73" s="231"/>
      <c r="O73" s="231"/>
      <c r="P73" s="231"/>
      <c r="Q73" s="231"/>
      <c r="R73" s="231"/>
      <c r="S73" s="231"/>
      <c r="T73" s="231"/>
      <c r="U73" s="231"/>
      <c r="V73" s="231"/>
      <c r="W73" s="231"/>
      <c r="X73" s="231"/>
      <c r="Y73" s="231"/>
      <c r="Z73" s="231"/>
      <c r="AA73" s="231"/>
      <c r="AB73" s="231"/>
      <c r="AC73" s="231"/>
      <c r="AD73" s="231"/>
      <c r="AE73" s="231"/>
      <c r="AF73" s="231"/>
      <c r="AG73" s="231"/>
      <c r="AH73" s="231"/>
      <c r="AI73" s="231"/>
      <c r="AJ73" s="231"/>
      <c r="AK73" s="231"/>
    </row>
    <row r="74" spans="1:37" s="203" customFormat="1">
      <c r="A74" s="111">
        <v>4</v>
      </c>
      <c r="B74" s="47" t="s">
        <v>88</v>
      </c>
      <c r="C74" s="47"/>
      <c r="D74" s="47"/>
      <c r="E74" s="114">
        <v>11562.73</v>
      </c>
      <c r="F74" s="247">
        <v>11972</v>
      </c>
      <c r="G74" s="113">
        <v>1506</v>
      </c>
      <c r="H74" s="123">
        <v>12419</v>
      </c>
      <c r="I74" s="113">
        <v>1556</v>
      </c>
      <c r="J74" s="231"/>
      <c r="K74" s="231"/>
      <c r="L74" s="231"/>
      <c r="M74" s="231"/>
      <c r="N74" s="231"/>
      <c r="O74" s="231"/>
      <c r="P74" s="231"/>
      <c r="Q74" s="231"/>
      <c r="R74" s="231"/>
      <c r="S74" s="231"/>
      <c r="T74" s="231"/>
      <c r="U74" s="231"/>
      <c r="V74" s="231"/>
      <c r="W74" s="231"/>
      <c r="X74" s="231"/>
      <c r="Y74" s="231"/>
      <c r="Z74" s="231"/>
      <c r="AA74" s="231"/>
      <c r="AB74" s="231"/>
      <c r="AC74" s="231"/>
      <c r="AD74" s="231"/>
      <c r="AE74" s="231"/>
      <c r="AF74" s="231"/>
      <c r="AG74" s="231"/>
      <c r="AH74" s="231"/>
      <c r="AI74" s="231"/>
      <c r="AJ74" s="231"/>
      <c r="AK74" s="231"/>
    </row>
    <row r="75" spans="1:37" s="203" customFormat="1">
      <c r="A75" s="111">
        <v>5</v>
      </c>
      <c r="B75" s="47" t="s">
        <v>89</v>
      </c>
      <c r="C75" s="47" t="s">
        <v>90</v>
      </c>
      <c r="D75" s="47"/>
      <c r="E75" s="114">
        <v>1830.7539999999999</v>
      </c>
      <c r="F75" s="247">
        <v>1598</v>
      </c>
      <c r="G75" s="113">
        <v>0</v>
      </c>
      <c r="H75" s="123">
        <v>1504</v>
      </c>
      <c r="I75" s="113">
        <v>0</v>
      </c>
      <c r="J75" s="231"/>
      <c r="K75" s="231"/>
      <c r="L75" s="231"/>
      <c r="M75" s="231"/>
      <c r="N75" s="231"/>
      <c r="O75" s="231"/>
      <c r="P75" s="231"/>
      <c r="Q75" s="231"/>
      <c r="R75" s="231"/>
      <c r="S75" s="231"/>
      <c r="T75" s="231"/>
      <c r="U75" s="231"/>
      <c r="V75" s="231"/>
      <c r="W75" s="231"/>
      <c r="X75" s="231"/>
      <c r="Y75" s="231"/>
      <c r="Z75" s="231"/>
      <c r="AA75" s="231"/>
      <c r="AB75" s="231"/>
      <c r="AC75" s="231"/>
      <c r="AD75" s="231"/>
      <c r="AE75" s="231"/>
      <c r="AF75" s="231"/>
      <c r="AG75" s="231"/>
      <c r="AH75" s="231"/>
      <c r="AI75" s="231"/>
      <c r="AJ75" s="231"/>
      <c r="AK75" s="231"/>
    </row>
    <row r="76" spans="1:37" s="203" customFormat="1">
      <c r="A76" s="707"/>
      <c r="B76" s="709"/>
      <c r="C76" s="47" t="s">
        <v>91</v>
      </c>
      <c r="D76" s="47"/>
      <c r="E76" s="114">
        <v>509.61500000000001</v>
      </c>
      <c r="F76" s="247">
        <v>302</v>
      </c>
      <c r="G76" s="115">
        <v>0</v>
      </c>
      <c r="H76" s="249">
        <v>483</v>
      </c>
      <c r="I76" s="115">
        <v>0</v>
      </c>
      <c r="J76" s="231"/>
      <c r="K76" s="231"/>
      <c r="L76" s="231"/>
      <c r="M76" s="231"/>
      <c r="N76" s="231"/>
      <c r="O76" s="231"/>
      <c r="P76" s="231"/>
      <c r="Q76" s="231"/>
      <c r="R76" s="231"/>
      <c r="S76" s="231"/>
      <c r="T76" s="231"/>
      <c r="U76" s="231"/>
      <c r="V76" s="231"/>
      <c r="W76" s="231"/>
      <c r="X76" s="231"/>
      <c r="Y76" s="231"/>
      <c r="Z76" s="231"/>
      <c r="AA76" s="231"/>
      <c r="AB76" s="231"/>
      <c r="AC76" s="231"/>
      <c r="AD76" s="231"/>
      <c r="AE76" s="231"/>
      <c r="AF76" s="231"/>
      <c r="AG76" s="231"/>
      <c r="AH76" s="231"/>
      <c r="AI76" s="231"/>
      <c r="AJ76" s="231"/>
      <c r="AK76" s="231"/>
    </row>
    <row r="77" spans="1:37" s="203" customFormat="1">
      <c r="A77" s="111">
        <v>6</v>
      </c>
      <c r="B77" s="116" t="s">
        <v>92</v>
      </c>
      <c r="C77" s="116"/>
      <c r="D77" s="47"/>
      <c r="E77" s="80">
        <v>118896.265</v>
      </c>
      <c r="F77" s="250">
        <f>SUM(F71:F76)</f>
        <v>119123</v>
      </c>
      <c r="G77" s="251">
        <f>SUM(G71:G76)</f>
        <v>8016</v>
      </c>
      <c r="H77" s="252">
        <f>SUM(H71:H76)</f>
        <v>127634</v>
      </c>
      <c r="I77" s="251">
        <f>SUM(I71:I76)</f>
        <v>4234</v>
      </c>
      <c r="J77" s="231"/>
      <c r="K77" s="231"/>
      <c r="L77" s="231"/>
      <c r="M77" s="231"/>
      <c r="N77" s="231"/>
      <c r="O77" s="231"/>
      <c r="P77" s="231"/>
      <c r="Q77" s="231"/>
      <c r="R77" s="231"/>
      <c r="S77" s="231"/>
      <c r="T77" s="231"/>
      <c r="U77" s="231"/>
      <c r="V77" s="231"/>
      <c r="W77" s="231"/>
      <c r="X77" s="231"/>
      <c r="Y77" s="231"/>
      <c r="Z77" s="231"/>
      <c r="AA77" s="231"/>
      <c r="AB77" s="231"/>
      <c r="AC77" s="231"/>
      <c r="AD77" s="231"/>
      <c r="AE77" s="231"/>
      <c r="AF77" s="231"/>
      <c r="AG77" s="231"/>
      <c r="AH77" s="231"/>
      <c r="AI77" s="231"/>
      <c r="AJ77" s="231"/>
      <c r="AK77" s="231"/>
    </row>
    <row r="78" spans="1:37" s="203" customFormat="1">
      <c r="A78" s="707"/>
      <c r="B78" s="47"/>
      <c r="C78" s="47"/>
      <c r="D78" s="47"/>
      <c r="E78" s="117"/>
      <c r="F78" s="118"/>
      <c r="G78" s="118"/>
      <c r="H78" s="118"/>
      <c r="I78" s="118"/>
      <c r="J78" s="231"/>
      <c r="K78" s="231"/>
      <c r="L78" s="231"/>
      <c r="M78" s="231"/>
      <c r="N78" s="231"/>
      <c r="O78" s="231"/>
      <c r="P78" s="231"/>
      <c r="Q78" s="231"/>
      <c r="R78" s="231"/>
      <c r="S78" s="231"/>
      <c r="T78" s="231"/>
      <c r="U78" s="231"/>
      <c r="V78" s="231"/>
      <c r="W78" s="231"/>
      <c r="X78" s="231"/>
      <c r="Y78" s="231"/>
      <c r="Z78" s="231"/>
      <c r="AA78" s="231"/>
      <c r="AB78" s="231"/>
      <c r="AC78" s="231"/>
      <c r="AD78" s="231"/>
      <c r="AE78" s="231"/>
      <c r="AF78" s="231"/>
      <c r="AG78" s="231"/>
      <c r="AH78" s="231"/>
      <c r="AI78" s="231"/>
      <c r="AJ78" s="231"/>
      <c r="AK78" s="231"/>
    </row>
    <row r="79" spans="1:37" s="203" customFormat="1">
      <c r="A79" s="119" t="s">
        <v>93</v>
      </c>
      <c r="B79" s="116"/>
      <c r="C79" s="116"/>
      <c r="D79" s="116"/>
      <c r="E79" s="117"/>
      <c r="F79" s="118"/>
      <c r="G79" s="118"/>
      <c r="H79" s="118"/>
      <c r="I79" s="118"/>
      <c r="J79" s="231"/>
      <c r="K79" s="231"/>
      <c r="L79" s="231"/>
      <c r="M79" s="231"/>
      <c r="N79" s="231"/>
      <c r="O79" s="231"/>
      <c r="P79" s="231"/>
      <c r="Q79" s="231"/>
      <c r="R79" s="231"/>
      <c r="S79" s="231"/>
      <c r="T79" s="231"/>
      <c r="U79" s="231"/>
      <c r="V79" s="231"/>
      <c r="W79" s="231"/>
      <c r="X79" s="231"/>
      <c r="Y79" s="231"/>
      <c r="Z79" s="231"/>
      <c r="AA79" s="231"/>
      <c r="AB79" s="231"/>
      <c r="AC79" s="231"/>
      <c r="AD79" s="231"/>
      <c r="AE79" s="231"/>
      <c r="AF79" s="231"/>
      <c r="AG79" s="231"/>
      <c r="AH79" s="231"/>
      <c r="AI79" s="231"/>
      <c r="AJ79" s="231"/>
      <c r="AK79" s="231"/>
    </row>
    <row r="80" spans="1:37" s="203" customFormat="1">
      <c r="A80" s="120">
        <v>7</v>
      </c>
      <c r="B80" s="47" t="s">
        <v>94</v>
      </c>
      <c r="C80" s="47"/>
      <c r="D80" s="47"/>
      <c r="E80" s="41">
        <v>992.68299999999999</v>
      </c>
      <c r="F80" s="253">
        <v>991</v>
      </c>
      <c r="G80" s="112">
        <v>991</v>
      </c>
      <c r="H80" s="248">
        <v>1072</v>
      </c>
      <c r="I80" s="112">
        <v>1072</v>
      </c>
      <c r="J80" s="231"/>
      <c r="K80" s="231"/>
      <c r="L80" s="231"/>
      <c r="M80" s="231"/>
      <c r="N80" s="231"/>
      <c r="O80" s="231"/>
      <c r="P80" s="231"/>
      <c r="Q80" s="231"/>
      <c r="R80" s="231"/>
      <c r="S80" s="231"/>
      <c r="T80" s="231"/>
      <c r="U80" s="231"/>
      <c r="V80" s="231"/>
      <c r="W80" s="231"/>
      <c r="X80" s="231"/>
      <c r="Y80" s="231"/>
      <c r="Z80" s="231"/>
      <c r="AA80" s="231"/>
      <c r="AB80" s="231"/>
      <c r="AC80" s="231"/>
      <c r="AD80" s="231"/>
      <c r="AE80" s="231"/>
      <c r="AF80" s="231"/>
      <c r="AG80" s="231"/>
      <c r="AH80" s="231"/>
      <c r="AI80" s="231"/>
      <c r="AJ80" s="231"/>
      <c r="AK80" s="231"/>
    </row>
    <row r="81" spans="1:37" s="203" customFormat="1">
      <c r="A81" s="120">
        <v>8</v>
      </c>
      <c r="B81" s="47" t="s">
        <v>95</v>
      </c>
      <c r="C81" s="47"/>
      <c r="D81" s="47"/>
      <c r="E81" s="49">
        <v>24547.991999999998</v>
      </c>
      <c r="F81" s="247">
        <v>26222</v>
      </c>
      <c r="G81" s="113">
        <v>26222</v>
      </c>
      <c r="H81" s="123">
        <v>26630</v>
      </c>
      <c r="I81" s="113">
        <v>26630</v>
      </c>
      <c r="J81" s="231"/>
      <c r="K81" s="231"/>
      <c r="L81" s="231"/>
      <c r="M81" s="231"/>
      <c r="N81" s="231"/>
      <c r="O81" s="231"/>
      <c r="P81" s="231"/>
      <c r="Q81" s="231"/>
      <c r="R81" s="231"/>
      <c r="S81" s="231"/>
      <c r="T81" s="231"/>
      <c r="U81" s="231"/>
      <c r="V81" s="231"/>
      <c r="W81" s="231"/>
      <c r="X81" s="231"/>
      <c r="Y81" s="231"/>
      <c r="Z81" s="231"/>
      <c r="AA81" s="231"/>
      <c r="AB81" s="231"/>
      <c r="AC81" s="231"/>
      <c r="AD81" s="231"/>
      <c r="AE81" s="231"/>
      <c r="AF81" s="231"/>
      <c r="AG81" s="231"/>
      <c r="AH81" s="231"/>
      <c r="AI81" s="231"/>
      <c r="AJ81" s="231"/>
      <c r="AK81" s="231"/>
    </row>
    <row r="82" spans="1:37" s="203" customFormat="1">
      <c r="A82" s="120">
        <v>9</v>
      </c>
      <c r="B82" s="47" t="s">
        <v>96</v>
      </c>
      <c r="C82" s="47"/>
      <c r="D82" s="47"/>
      <c r="E82" s="49">
        <v>31088.26</v>
      </c>
      <c r="F82" s="247">
        <v>32361</v>
      </c>
      <c r="G82" s="113">
        <v>32361</v>
      </c>
      <c r="H82" s="123">
        <v>34069</v>
      </c>
      <c r="I82" s="113">
        <v>34069</v>
      </c>
      <c r="J82" s="231"/>
      <c r="K82" s="231"/>
      <c r="L82" s="231"/>
      <c r="M82" s="231"/>
      <c r="N82" s="231"/>
      <c r="O82" s="231"/>
      <c r="P82" s="231"/>
      <c r="Q82" s="231"/>
      <c r="R82" s="231"/>
      <c r="S82" s="231"/>
      <c r="T82" s="231"/>
      <c r="U82" s="231"/>
      <c r="V82" s="231"/>
      <c r="W82" s="231"/>
      <c r="X82" s="231"/>
      <c r="Y82" s="231"/>
      <c r="Z82" s="231"/>
      <c r="AA82" s="231"/>
      <c r="AB82" s="231"/>
      <c r="AC82" s="231"/>
      <c r="AD82" s="231"/>
      <c r="AE82" s="231"/>
      <c r="AF82" s="231"/>
      <c r="AG82" s="231"/>
      <c r="AH82" s="231"/>
      <c r="AI82" s="231"/>
      <c r="AJ82" s="231"/>
      <c r="AK82" s="231"/>
    </row>
    <row r="83" spans="1:37" s="203" customFormat="1">
      <c r="A83" s="120">
        <v>10</v>
      </c>
      <c r="B83" s="90" t="s">
        <v>97</v>
      </c>
      <c r="C83" s="47"/>
      <c r="D83" s="47"/>
      <c r="E83" s="49">
        <v>10907.22558</v>
      </c>
      <c r="F83" s="247">
        <v>11154</v>
      </c>
      <c r="G83" s="113">
        <v>3036</v>
      </c>
      <c r="H83" s="123">
        <v>11631</v>
      </c>
      <c r="I83" s="113">
        <v>3166</v>
      </c>
      <c r="J83" s="231"/>
      <c r="K83" s="231"/>
      <c r="L83" s="231"/>
      <c r="M83" s="231"/>
      <c r="N83" s="231"/>
      <c r="O83" s="231"/>
      <c r="P83" s="231"/>
      <c r="Q83" s="231"/>
      <c r="R83" s="231"/>
      <c r="S83" s="231"/>
      <c r="T83" s="231"/>
      <c r="U83" s="231"/>
      <c r="V83" s="231"/>
      <c r="W83" s="231"/>
      <c r="X83" s="231"/>
      <c r="Y83" s="231"/>
      <c r="Z83" s="231"/>
      <c r="AA83" s="231"/>
      <c r="AB83" s="231"/>
      <c r="AC83" s="231"/>
      <c r="AD83" s="231"/>
      <c r="AE83" s="231"/>
      <c r="AF83" s="231"/>
      <c r="AG83" s="231"/>
      <c r="AH83" s="231"/>
      <c r="AI83" s="231"/>
      <c r="AJ83" s="231"/>
      <c r="AK83" s="231"/>
    </row>
    <row r="84" spans="1:37" s="203" customFormat="1">
      <c r="A84" s="120">
        <v>11</v>
      </c>
      <c r="B84" s="90" t="s">
        <v>98</v>
      </c>
      <c r="C84" s="47"/>
      <c r="D84" s="47"/>
      <c r="E84" s="49">
        <v>1691.682</v>
      </c>
      <c r="F84" s="247">
        <v>1692</v>
      </c>
      <c r="G84" s="113">
        <v>0</v>
      </c>
      <c r="H84" s="123">
        <v>1692</v>
      </c>
      <c r="I84" s="113">
        <v>0</v>
      </c>
      <c r="J84" s="231"/>
      <c r="K84" s="231"/>
      <c r="L84" s="231"/>
      <c r="M84" s="231"/>
      <c r="N84" s="231"/>
      <c r="O84" s="231"/>
      <c r="P84" s="231"/>
      <c r="Q84" s="231"/>
      <c r="R84" s="231"/>
      <c r="S84" s="231"/>
      <c r="T84" s="231"/>
      <c r="U84" s="231"/>
      <c r="V84" s="231"/>
      <c r="W84" s="231"/>
      <c r="X84" s="231"/>
      <c r="Y84" s="231"/>
      <c r="Z84" s="231"/>
      <c r="AA84" s="231"/>
      <c r="AB84" s="231"/>
      <c r="AC84" s="231"/>
      <c r="AD84" s="231"/>
      <c r="AE84" s="231"/>
      <c r="AF84" s="231"/>
      <c r="AG84" s="231"/>
      <c r="AH84" s="231"/>
      <c r="AI84" s="231"/>
      <c r="AJ84" s="231"/>
      <c r="AK84" s="231"/>
    </row>
    <row r="85" spans="1:37" s="203" customFormat="1">
      <c r="A85" s="120">
        <v>12</v>
      </c>
      <c r="B85" s="47" t="s">
        <v>99</v>
      </c>
      <c r="C85" s="47"/>
      <c r="D85" s="47"/>
      <c r="E85" s="49">
        <v>1719.9929999999999</v>
      </c>
      <c r="F85" s="247">
        <v>1693</v>
      </c>
      <c r="G85" s="113">
        <v>0</v>
      </c>
      <c r="H85" s="123">
        <v>1825</v>
      </c>
      <c r="I85" s="113">
        <v>0</v>
      </c>
      <c r="J85" s="231"/>
      <c r="K85" s="231"/>
      <c r="L85" s="231"/>
      <c r="M85" s="231"/>
      <c r="N85" s="231"/>
      <c r="O85" s="231"/>
      <c r="P85" s="231"/>
      <c r="Q85" s="231"/>
      <c r="R85" s="231"/>
      <c r="S85" s="231"/>
      <c r="T85" s="231"/>
      <c r="U85" s="231"/>
      <c r="V85" s="231"/>
      <c r="W85" s="231"/>
      <c r="X85" s="231"/>
      <c r="Y85" s="231"/>
      <c r="Z85" s="231"/>
      <c r="AA85" s="231"/>
      <c r="AB85" s="231"/>
      <c r="AC85" s="231"/>
      <c r="AD85" s="231"/>
      <c r="AE85" s="231"/>
      <c r="AF85" s="231"/>
      <c r="AG85" s="231"/>
      <c r="AH85" s="231"/>
      <c r="AI85" s="231"/>
      <c r="AJ85" s="231"/>
      <c r="AK85" s="231"/>
    </row>
    <row r="86" spans="1:37" s="203" customFormat="1">
      <c r="A86" s="120">
        <v>13</v>
      </c>
      <c r="B86" s="47" t="s">
        <v>100</v>
      </c>
      <c r="C86" s="47"/>
      <c r="D86" s="47"/>
      <c r="E86" s="49">
        <v>13691.486999999999</v>
      </c>
      <c r="F86" s="247">
        <v>16279</v>
      </c>
      <c r="G86" s="113">
        <v>16279</v>
      </c>
      <c r="H86" s="123">
        <v>20242</v>
      </c>
      <c r="I86" s="113">
        <v>20242</v>
      </c>
      <c r="J86" s="231"/>
      <c r="K86" s="231"/>
      <c r="L86" s="231"/>
      <c r="M86" s="231"/>
      <c r="N86" s="231"/>
      <c r="O86" s="231"/>
      <c r="P86" s="231"/>
      <c r="Q86" s="231"/>
      <c r="R86" s="231"/>
      <c r="S86" s="231"/>
      <c r="T86" s="231"/>
      <c r="U86" s="231"/>
      <c r="V86" s="231"/>
      <c r="W86" s="231"/>
      <c r="X86" s="231"/>
      <c r="Y86" s="231"/>
      <c r="Z86" s="231"/>
      <c r="AA86" s="231"/>
      <c r="AB86" s="231"/>
      <c r="AC86" s="231"/>
      <c r="AD86" s="231"/>
      <c r="AE86" s="231"/>
      <c r="AF86" s="231"/>
      <c r="AG86" s="231"/>
      <c r="AH86" s="231"/>
      <c r="AI86" s="231"/>
      <c r="AJ86" s="231"/>
      <c r="AK86" s="231"/>
    </row>
    <row r="87" spans="1:37" s="203" customFormat="1">
      <c r="A87" s="120">
        <v>14</v>
      </c>
      <c r="B87" s="47" t="s">
        <v>101</v>
      </c>
      <c r="C87" s="47"/>
      <c r="D87" s="47"/>
      <c r="E87" s="49">
        <v>225.01660849999999</v>
      </c>
      <c r="F87" s="247">
        <v>225</v>
      </c>
      <c r="G87" s="113">
        <v>0</v>
      </c>
      <c r="H87" s="123">
        <v>225</v>
      </c>
      <c r="I87" s="113">
        <v>0</v>
      </c>
      <c r="J87" s="231"/>
      <c r="K87" s="231"/>
      <c r="L87" s="231"/>
      <c r="M87" s="231"/>
      <c r="N87" s="231"/>
      <c r="O87" s="231"/>
      <c r="P87" s="231"/>
      <c r="Q87" s="231"/>
      <c r="R87" s="231"/>
      <c r="S87" s="231"/>
      <c r="T87" s="231"/>
      <c r="U87" s="231"/>
      <c r="V87" s="231"/>
      <c r="W87" s="231"/>
      <c r="X87" s="231"/>
      <c r="Y87" s="231"/>
      <c r="Z87" s="231"/>
      <c r="AA87" s="231"/>
      <c r="AB87" s="231"/>
      <c r="AC87" s="231"/>
      <c r="AD87" s="231"/>
      <c r="AE87" s="231"/>
      <c r="AF87" s="231"/>
      <c r="AG87" s="231"/>
      <c r="AH87" s="231"/>
      <c r="AI87" s="231"/>
      <c r="AJ87" s="231"/>
      <c r="AK87" s="231"/>
    </row>
    <row r="88" spans="1:37" s="203" customFormat="1">
      <c r="A88" s="124">
        <v>15</v>
      </c>
      <c r="B88" s="125" t="s">
        <v>102</v>
      </c>
      <c r="C88" s="54"/>
      <c r="D88" s="54"/>
      <c r="E88" s="56">
        <v>0</v>
      </c>
      <c r="F88" s="254">
        <v>0</v>
      </c>
      <c r="G88" s="127">
        <v>0</v>
      </c>
      <c r="H88" s="255">
        <v>0</v>
      </c>
      <c r="I88" s="127">
        <v>0</v>
      </c>
      <c r="J88" s="231"/>
      <c r="K88" s="231"/>
      <c r="L88" s="231"/>
      <c r="M88" s="231"/>
      <c r="N88" s="231"/>
      <c r="O88" s="231"/>
      <c r="P88" s="231"/>
      <c r="Q88" s="231"/>
      <c r="R88" s="231"/>
      <c r="S88" s="231"/>
      <c r="T88" s="231"/>
      <c r="U88" s="231"/>
      <c r="V88" s="231"/>
      <c r="W88" s="231"/>
      <c r="X88" s="231"/>
      <c r="Y88" s="231"/>
      <c r="Z88" s="231"/>
      <c r="AA88" s="231"/>
      <c r="AB88" s="231"/>
      <c r="AC88" s="231"/>
      <c r="AD88" s="231"/>
      <c r="AE88" s="231"/>
      <c r="AF88" s="231"/>
      <c r="AG88" s="231"/>
      <c r="AH88" s="231"/>
      <c r="AI88" s="231"/>
      <c r="AJ88" s="231"/>
      <c r="AK88" s="231"/>
    </row>
    <row r="89" spans="1:37" s="203" customFormat="1">
      <c r="A89" s="128"/>
      <c r="B89" s="129"/>
      <c r="C89" s="129"/>
      <c r="D89" s="129"/>
      <c r="E89" s="15"/>
      <c r="F89" s="130"/>
      <c r="G89" s="29"/>
      <c r="H89" s="207"/>
      <c r="I89" s="29"/>
      <c r="J89" s="231"/>
      <c r="K89" s="231"/>
      <c r="L89" s="231"/>
      <c r="M89" s="231"/>
      <c r="N89" s="231"/>
      <c r="O89" s="231"/>
      <c r="P89" s="231"/>
      <c r="Q89" s="231"/>
      <c r="R89" s="231"/>
      <c r="S89" s="231"/>
      <c r="T89" s="231"/>
      <c r="U89" s="231"/>
      <c r="V89" s="231"/>
      <c r="W89" s="231"/>
      <c r="X89" s="231"/>
      <c r="Y89" s="231"/>
      <c r="Z89" s="231"/>
      <c r="AA89" s="231"/>
      <c r="AB89" s="231"/>
      <c r="AC89" s="231"/>
      <c r="AD89" s="231"/>
      <c r="AE89" s="231"/>
      <c r="AF89" s="231"/>
      <c r="AG89" s="231"/>
      <c r="AH89" s="231"/>
      <c r="AI89" s="231"/>
      <c r="AJ89" s="231"/>
      <c r="AK89" s="231"/>
    </row>
    <row r="90" spans="1:37" s="203" customFormat="1">
      <c r="A90" s="128"/>
      <c r="B90" s="129"/>
      <c r="C90" s="129"/>
      <c r="D90" s="129"/>
      <c r="E90" s="105"/>
      <c r="F90" s="130"/>
      <c r="G90" s="29"/>
      <c r="H90" s="131" t="s">
        <v>27</v>
      </c>
      <c r="I90" s="29"/>
      <c r="J90" s="231"/>
      <c r="K90" s="231"/>
      <c r="L90" s="231"/>
      <c r="M90" s="231"/>
      <c r="N90" s="231"/>
      <c r="O90" s="231"/>
      <c r="P90" s="231"/>
      <c r="Q90" s="231"/>
      <c r="R90" s="231"/>
      <c r="S90" s="231"/>
      <c r="T90" s="231"/>
      <c r="U90" s="231"/>
      <c r="V90" s="231"/>
      <c r="W90" s="231"/>
      <c r="X90" s="231"/>
      <c r="Y90" s="231"/>
      <c r="Z90" s="231"/>
      <c r="AA90" s="231"/>
      <c r="AB90" s="231"/>
      <c r="AC90" s="231"/>
      <c r="AD90" s="231"/>
      <c r="AE90" s="231"/>
      <c r="AF90" s="231"/>
      <c r="AG90" s="231"/>
      <c r="AH90" s="231"/>
      <c r="AI90" s="231"/>
      <c r="AJ90" s="231"/>
      <c r="AK90" s="231"/>
    </row>
    <row r="91" spans="1:37" s="203" customFormat="1">
      <c r="A91" s="106" t="s">
        <v>17</v>
      </c>
      <c r="B91" s="107"/>
      <c r="C91" s="107"/>
      <c r="D91" s="107"/>
      <c r="E91" s="856" t="s">
        <v>421</v>
      </c>
      <c r="F91" s="856" t="s">
        <v>402</v>
      </c>
      <c r="G91" s="257"/>
      <c r="H91" s="856" t="s">
        <v>403</v>
      </c>
      <c r="I91" s="29"/>
      <c r="J91" s="231"/>
      <c r="K91" s="231"/>
      <c r="L91" s="231"/>
      <c r="M91" s="231"/>
      <c r="N91" s="231"/>
      <c r="O91" s="231"/>
      <c r="P91" s="231"/>
      <c r="Q91" s="231"/>
      <c r="R91" s="231"/>
      <c r="S91" s="231"/>
      <c r="T91" s="231"/>
      <c r="U91" s="231"/>
      <c r="V91" s="231"/>
      <c r="W91" s="231"/>
      <c r="X91" s="231"/>
      <c r="Y91" s="231"/>
      <c r="Z91" s="231"/>
      <c r="AA91" s="231"/>
      <c r="AB91" s="231"/>
      <c r="AC91" s="231"/>
      <c r="AD91" s="231"/>
      <c r="AE91" s="231"/>
      <c r="AF91" s="231"/>
      <c r="AG91" s="231"/>
      <c r="AH91" s="231"/>
      <c r="AI91" s="231"/>
      <c r="AJ91" s="231"/>
      <c r="AK91" s="231"/>
    </row>
    <row r="92" spans="1:37" s="203" customFormat="1" ht="12.75" customHeight="1">
      <c r="A92" s="109"/>
      <c r="B92" s="132"/>
      <c r="C92" s="132"/>
      <c r="D92" s="132"/>
      <c r="E92" s="859"/>
      <c r="F92" s="859"/>
      <c r="G92" s="29"/>
      <c r="H92" s="859"/>
      <c r="I92" s="29"/>
      <c r="J92" s="231"/>
      <c r="K92" s="231"/>
      <c r="L92" s="231"/>
      <c r="M92" s="231"/>
      <c r="N92" s="231"/>
      <c r="O92" s="231"/>
      <c r="P92" s="231"/>
      <c r="Q92" s="231"/>
      <c r="R92" s="231"/>
      <c r="S92" s="231"/>
      <c r="T92" s="231"/>
      <c r="U92" s="231"/>
      <c r="V92" s="231"/>
      <c r="W92" s="231"/>
      <c r="X92" s="231"/>
      <c r="Y92" s="231"/>
      <c r="Z92" s="231"/>
      <c r="AA92" s="231"/>
      <c r="AB92" s="231"/>
      <c r="AC92" s="231"/>
      <c r="AD92" s="231"/>
      <c r="AE92" s="231"/>
      <c r="AF92" s="231"/>
      <c r="AG92" s="231"/>
      <c r="AH92" s="231"/>
      <c r="AI92" s="231"/>
      <c r="AJ92" s="231"/>
      <c r="AK92" s="231"/>
    </row>
    <row r="93" spans="1:37" s="203" customFormat="1">
      <c r="A93" s="109" t="s">
        <v>103</v>
      </c>
      <c r="B93" s="132"/>
      <c r="C93" s="132"/>
      <c r="D93" s="132"/>
      <c r="E93" s="859"/>
      <c r="F93" s="859"/>
      <c r="G93" s="29"/>
      <c r="H93" s="859"/>
      <c r="I93" s="29"/>
      <c r="J93" s="231"/>
      <c r="K93" s="231"/>
      <c r="L93" s="231"/>
      <c r="M93" s="231"/>
      <c r="N93" s="231"/>
      <c r="O93" s="231"/>
      <c r="P93" s="231"/>
      <c r="Q93" s="231"/>
      <c r="R93" s="231"/>
      <c r="S93" s="231"/>
      <c r="T93" s="231"/>
      <c r="U93" s="231"/>
      <c r="V93" s="231"/>
      <c r="W93" s="231"/>
      <c r="X93" s="231"/>
      <c r="Y93" s="231"/>
      <c r="Z93" s="231"/>
      <c r="AA93" s="231"/>
      <c r="AB93" s="231"/>
      <c r="AC93" s="231"/>
      <c r="AD93" s="231"/>
      <c r="AE93" s="231"/>
      <c r="AF93" s="231"/>
      <c r="AG93" s="231"/>
      <c r="AH93" s="231"/>
      <c r="AI93" s="231"/>
      <c r="AJ93" s="231"/>
      <c r="AK93" s="231"/>
    </row>
    <row r="94" spans="1:37" s="203" customFormat="1">
      <c r="A94" s="109" t="s">
        <v>83</v>
      </c>
      <c r="B94" s="132"/>
      <c r="C94" s="132"/>
      <c r="D94" s="132"/>
      <c r="E94" s="859"/>
      <c r="F94" s="859"/>
      <c r="G94" s="130"/>
      <c r="H94" s="859"/>
      <c r="I94" s="29"/>
      <c r="J94" s="231"/>
      <c r="K94" s="231"/>
      <c r="L94" s="231"/>
      <c r="M94" s="231"/>
      <c r="N94" s="231"/>
      <c r="O94" s="231"/>
      <c r="P94" s="231"/>
      <c r="Q94" s="231"/>
      <c r="R94" s="231"/>
      <c r="S94" s="231"/>
      <c r="T94" s="231"/>
      <c r="U94" s="231"/>
      <c r="V94" s="231"/>
      <c r="W94" s="231"/>
      <c r="X94" s="231"/>
      <c r="Y94" s="231"/>
      <c r="Z94" s="231"/>
      <c r="AA94" s="231"/>
      <c r="AB94" s="231"/>
      <c r="AC94" s="231"/>
      <c r="AD94" s="231"/>
      <c r="AE94" s="231"/>
      <c r="AF94" s="231"/>
      <c r="AG94" s="231"/>
      <c r="AH94" s="231"/>
      <c r="AI94" s="231"/>
      <c r="AJ94" s="231"/>
      <c r="AK94" s="231"/>
    </row>
    <row r="95" spans="1:37" s="203" customFormat="1">
      <c r="A95" s="110" t="s">
        <v>84</v>
      </c>
      <c r="B95" s="132"/>
      <c r="C95" s="132"/>
      <c r="D95" s="132"/>
      <c r="E95" s="860"/>
      <c r="F95" s="860"/>
      <c r="G95" s="130"/>
      <c r="H95" s="860"/>
      <c r="I95" s="130"/>
      <c r="J95" s="231"/>
      <c r="K95" s="231"/>
      <c r="L95" s="231"/>
      <c r="M95" s="231"/>
      <c r="N95" s="231"/>
      <c r="O95" s="231"/>
      <c r="P95" s="231"/>
      <c r="Q95" s="231"/>
      <c r="R95" s="231"/>
      <c r="S95" s="231"/>
      <c r="T95" s="231"/>
      <c r="U95" s="231"/>
      <c r="V95" s="231"/>
      <c r="W95" s="231"/>
      <c r="X95" s="231"/>
      <c r="Y95" s="231"/>
      <c r="Z95" s="231"/>
      <c r="AA95" s="231"/>
      <c r="AB95" s="231"/>
      <c r="AC95" s="231"/>
      <c r="AD95" s="231"/>
      <c r="AE95" s="231"/>
      <c r="AF95" s="231"/>
      <c r="AG95" s="231"/>
      <c r="AH95" s="231"/>
      <c r="AI95" s="231"/>
      <c r="AJ95" s="231"/>
      <c r="AK95" s="231"/>
    </row>
    <row r="96" spans="1:37" s="203" customFormat="1">
      <c r="A96" s="120">
        <v>1</v>
      </c>
      <c r="B96" s="47" t="s">
        <v>104</v>
      </c>
      <c r="C96" s="47"/>
      <c r="D96" s="47"/>
      <c r="E96" s="41">
        <v>-4483</v>
      </c>
      <c r="F96" s="52">
        <v>622</v>
      </c>
      <c r="G96" s="118"/>
      <c r="H96" s="133">
        <v>677</v>
      </c>
      <c r="I96" s="139"/>
      <c r="J96" s="231"/>
      <c r="K96" s="231"/>
      <c r="L96" s="231"/>
      <c r="M96" s="231"/>
      <c r="N96" s="231"/>
      <c r="O96" s="231"/>
      <c r="P96" s="231"/>
      <c r="Q96" s="231"/>
      <c r="R96" s="231"/>
      <c r="S96" s="231"/>
      <c r="T96" s="231"/>
      <c r="U96" s="231"/>
      <c r="V96" s="231"/>
      <c r="W96" s="231"/>
      <c r="X96" s="231"/>
      <c r="Y96" s="231"/>
      <c r="Z96" s="231"/>
      <c r="AA96" s="231"/>
      <c r="AB96" s="231"/>
      <c r="AC96" s="231"/>
      <c r="AD96" s="231"/>
      <c r="AE96" s="231"/>
      <c r="AF96" s="231"/>
      <c r="AG96" s="231"/>
      <c r="AH96" s="231"/>
      <c r="AI96" s="231"/>
      <c r="AJ96" s="231"/>
      <c r="AK96" s="231"/>
    </row>
    <row r="97" spans="1:37" s="203" customFormat="1">
      <c r="A97" s="120">
        <v>2</v>
      </c>
      <c r="B97" s="47" t="s">
        <v>105</v>
      </c>
      <c r="C97" s="47"/>
      <c r="D97" s="47"/>
      <c r="E97" s="49">
        <v>3</v>
      </c>
      <c r="F97" s="52">
        <v>3</v>
      </c>
      <c r="G97" s="118"/>
      <c r="H97" s="122">
        <v>1</v>
      </c>
      <c r="I97" s="139"/>
      <c r="J97" s="231"/>
      <c r="K97" s="231"/>
      <c r="L97" s="231"/>
      <c r="M97" s="231"/>
      <c r="N97" s="231"/>
      <c r="O97" s="231"/>
      <c r="P97" s="231"/>
      <c r="Q97" s="231"/>
      <c r="R97" s="231"/>
      <c r="S97" s="231"/>
      <c r="T97" s="231"/>
      <c r="U97" s="231"/>
      <c r="V97" s="231"/>
      <c r="W97" s="231"/>
      <c r="X97" s="231"/>
      <c r="Y97" s="231"/>
      <c r="Z97" s="231"/>
      <c r="AA97" s="231"/>
      <c r="AB97" s="231"/>
      <c r="AC97" s="231"/>
      <c r="AD97" s="231"/>
      <c r="AE97" s="231"/>
      <c r="AF97" s="231"/>
      <c r="AG97" s="231"/>
      <c r="AH97" s="231"/>
      <c r="AI97" s="231"/>
      <c r="AJ97" s="231"/>
      <c r="AK97" s="231"/>
    </row>
    <row r="98" spans="1:37" s="203" customFormat="1">
      <c r="A98" s="120">
        <v>3</v>
      </c>
      <c r="B98" s="47" t="s">
        <v>106</v>
      </c>
      <c r="C98" s="47"/>
      <c r="D98" s="47"/>
      <c r="E98" s="114">
        <v>13814</v>
      </c>
      <c r="F98" s="50">
        <f>F115</f>
        <v>12725</v>
      </c>
      <c r="G98" s="118"/>
      <c r="H98" s="50">
        <f>H115</f>
        <v>13443</v>
      </c>
      <c r="I98" s="139"/>
      <c r="J98" s="231"/>
      <c r="K98" s="231"/>
      <c r="L98" s="231"/>
      <c r="M98" s="231"/>
      <c r="N98" s="231"/>
      <c r="O98" s="231"/>
      <c r="P98" s="231"/>
      <c r="Q98" s="231"/>
      <c r="R98" s="231"/>
      <c r="S98" s="231"/>
      <c r="T98" s="231"/>
      <c r="U98" s="231"/>
      <c r="V98" s="231"/>
      <c r="W98" s="231"/>
      <c r="X98" s="231"/>
      <c r="Y98" s="231"/>
      <c r="Z98" s="231"/>
      <c r="AA98" s="231"/>
      <c r="AB98" s="231"/>
      <c r="AC98" s="231"/>
      <c r="AD98" s="231"/>
      <c r="AE98" s="231"/>
      <c r="AF98" s="231"/>
      <c r="AG98" s="231"/>
      <c r="AH98" s="231"/>
      <c r="AI98" s="231"/>
      <c r="AJ98" s="231"/>
      <c r="AK98" s="231"/>
    </row>
    <row r="99" spans="1:37" s="203" customFormat="1">
      <c r="A99" s="120">
        <v>4</v>
      </c>
      <c r="B99" s="47" t="s">
        <v>107</v>
      </c>
      <c r="C99" s="47"/>
      <c r="D99" s="47"/>
      <c r="E99" s="114">
        <v>27073</v>
      </c>
      <c r="F99" s="50">
        <f>F125</f>
        <v>26748</v>
      </c>
      <c r="G99" s="118"/>
      <c r="H99" s="50">
        <f>H125</f>
        <v>24503</v>
      </c>
      <c r="I99" s="139"/>
      <c r="J99" s="231"/>
      <c r="K99" s="231"/>
      <c r="L99" s="231"/>
      <c r="M99" s="231"/>
      <c r="N99" s="231"/>
      <c r="O99" s="231"/>
      <c r="P99" s="231"/>
      <c r="Q99" s="231"/>
      <c r="R99" s="231"/>
      <c r="S99" s="231"/>
      <c r="T99" s="231"/>
      <c r="U99" s="231"/>
      <c r="V99" s="231"/>
      <c r="W99" s="231"/>
      <c r="X99" s="231"/>
      <c r="Y99" s="231"/>
      <c r="Z99" s="231"/>
      <c r="AA99" s="231"/>
      <c r="AB99" s="231"/>
      <c r="AC99" s="231"/>
      <c r="AD99" s="231"/>
      <c r="AE99" s="231"/>
      <c r="AF99" s="231"/>
      <c r="AG99" s="231"/>
      <c r="AH99" s="231"/>
      <c r="AI99" s="231"/>
      <c r="AJ99" s="231"/>
      <c r="AK99" s="231"/>
    </row>
    <row r="100" spans="1:37" s="203" customFormat="1">
      <c r="A100" s="120">
        <v>5</v>
      </c>
      <c r="B100" s="47" t="s">
        <v>108</v>
      </c>
      <c r="C100" s="47"/>
      <c r="D100" s="47"/>
      <c r="E100" s="114">
        <v>3625</v>
      </c>
      <c r="F100" s="50">
        <f>F135</f>
        <v>3808</v>
      </c>
      <c r="G100" s="118"/>
      <c r="H100" s="50">
        <f>H135</f>
        <v>4062</v>
      </c>
      <c r="I100" s="139"/>
      <c r="J100" s="231"/>
      <c r="K100" s="231"/>
      <c r="L100" s="231"/>
      <c r="M100" s="231"/>
      <c r="N100" s="231"/>
      <c r="O100" s="231"/>
      <c r="P100" s="231"/>
      <c r="Q100" s="231"/>
      <c r="R100" s="231"/>
      <c r="S100" s="231"/>
      <c r="T100" s="231"/>
      <c r="U100" s="231"/>
      <c r="V100" s="231"/>
      <c r="W100" s="231"/>
      <c r="X100" s="231"/>
      <c r="Y100" s="231"/>
      <c r="Z100" s="231"/>
      <c r="AA100" s="231"/>
      <c r="AB100" s="231"/>
      <c r="AC100" s="231"/>
      <c r="AD100" s="231"/>
      <c r="AE100" s="231"/>
      <c r="AF100" s="231"/>
      <c r="AG100" s="231"/>
      <c r="AH100" s="231"/>
      <c r="AI100" s="231"/>
      <c r="AJ100" s="231"/>
      <c r="AK100" s="231"/>
    </row>
    <row r="101" spans="1:37" s="203" customFormat="1">
      <c r="A101" s="120">
        <v>6</v>
      </c>
      <c r="B101" s="47" t="s">
        <v>109</v>
      </c>
      <c r="C101" s="47"/>
      <c r="D101" s="47"/>
      <c r="E101" s="114">
        <v>13981</v>
      </c>
      <c r="F101" s="50">
        <f>F143</f>
        <v>13373</v>
      </c>
      <c r="G101" s="118"/>
      <c r="H101" s="50">
        <f>H143</f>
        <v>14227</v>
      </c>
      <c r="I101" s="139"/>
      <c r="J101" s="231"/>
      <c r="K101" s="231"/>
      <c r="L101" s="231"/>
      <c r="M101" s="231"/>
      <c r="N101" s="231"/>
      <c r="O101" s="231"/>
      <c r="P101" s="231"/>
      <c r="Q101" s="231"/>
      <c r="R101" s="231"/>
      <c r="S101" s="231"/>
      <c r="T101" s="231"/>
      <c r="U101" s="231"/>
      <c r="V101" s="231"/>
      <c r="W101" s="231"/>
      <c r="X101" s="231"/>
      <c r="Y101" s="231"/>
      <c r="Z101" s="231"/>
      <c r="AA101" s="231"/>
      <c r="AB101" s="231"/>
      <c r="AC101" s="231"/>
      <c r="AD101" s="231"/>
      <c r="AE101" s="231"/>
      <c r="AF101" s="231"/>
      <c r="AG101" s="231"/>
      <c r="AH101" s="231"/>
      <c r="AI101" s="231"/>
      <c r="AJ101" s="231"/>
      <c r="AK101" s="231"/>
    </row>
    <row r="102" spans="1:37" s="203" customFormat="1">
      <c r="A102" s="120">
        <v>7</v>
      </c>
      <c r="B102" s="47" t="s">
        <v>110</v>
      </c>
      <c r="C102" s="47"/>
      <c r="D102" s="47"/>
      <c r="E102" s="114">
        <v>2409</v>
      </c>
      <c r="F102" s="50">
        <f>F150</f>
        <v>1775</v>
      </c>
      <c r="G102" s="118"/>
      <c r="H102" s="50">
        <f>H150</f>
        <v>1677</v>
      </c>
      <c r="I102" s="139"/>
      <c r="J102" s="231"/>
      <c r="K102" s="231"/>
      <c r="L102" s="231"/>
      <c r="M102" s="231"/>
      <c r="N102" s="231"/>
      <c r="O102" s="231"/>
      <c r="P102" s="231"/>
      <c r="Q102" s="231"/>
      <c r="R102" s="231"/>
      <c r="S102" s="231"/>
      <c r="T102" s="231"/>
      <c r="U102" s="231"/>
      <c r="V102" s="231"/>
      <c r="W102" s="231"/>
      <c r="X102" s="231"/>
      <c r="Y102" s="231"/>
      <c r="Z102" s="231"/>
      <c r="AA102" s="231"/>
      <c r="AB102" s="231"/>
      <c r="AC102" s="231"/>
      <c r="AD102" s="231"/>
      <c r="AE102" s="231"/>
      <c r="AF102" s="231"/>
      <c r="AG102" s="231"/>
      <c r="AH102" s="231"/>
      <c r="AI102" s="231"/>
      <c r="AJ102" s="231"/>
      <c r="AK102" s="231"/>
    </row>
    <row r="103" spans="1:37" s="203" customFormat="1">
      <c r="A103" s="120">
        <v>8</v>
      </c>
      <c r="B103" s="47" t="s">
        <v>111</v>
      </c>
      <c r="C103" s="47"/>
      <c r="D103" s="47"/>
      <c r="E103" s="114">
        <v>291</v>
      </c>
      <c r="F103" s="52">
        <v>720</v>
      </c>
      <c r="G103" s="118"/>
      <c r="H103" s="122">
        <v>717</v>
      </c>
      <c r="I103" s="139"/>
      <c r="J103" s="231"/>
      <c r="K103" s="231"/>
      <c r="L103" s="231"/>
      <c r="M103" s="231"/>
      <c r="N103" s="231"/>
      <c r="O103" s="231"/>
      <c r="P103" s="231"/>
      <c r="Q103" s="231"/>
      <c r="R103" s="231"/>
      <c r="S103" s="231"/>
      <c r="T103" s="231"/>
      <c r="U103" s="231"/>
      <c r="V103" s="231"/>
      <c r="W103" s="231"/>
      <c r="X103" s="231"/>
      <c r="Y103" s="231"/>
      <c r="Z103" s="231"/>
      <c r="AA103" s="231"/>
      <c r="AB103" s="231"/>
      <c r="AC103" s="231"/>
      <c r="AD103" s="231"/>
      <c r="AE103" s="231"/>
      <c r="AF103" s="231"/>
      <c r="AG103" s="231"/>
      <c r="AH103" s="231"/>
      <c r="AI103" s="231"/>
      <c r="AJ103" s="231"/>
      <c r="AK103" s="231"/>
    </row>
    <row r="104" spans="1:37" s="203" customFormat="1">
      <c r="A104" s="120">
        <v>9</v>
      </c>
      <c r="B104" s="47" t="s">
        <v>112</v>
      </c>
      <c r="C104" s="47"/>
      <c r="D104" s="47"/>
      <c r="E104" s="114">
        <v>823</v>
      </c>
      <c r="F104" s="52">
        <v>635</v>
      </c>
      <c r="G104" s="118"/>
      <c r="H104" s="122">
        <v>733</v>
      </c>
      <c r="I104" s="139"/>
      <c r="J104" s="231"/>
      <c r="K104" s="231"/>
      <c r="L104" s="231"/>
      <c r="M104" s="231"/>
      <c r="N104" s="231"/>
      <c r="O104" s="231"/>
      <c r="P104" s="231"/>
      <c r="Q104" s="231"/>
      <c r="R104" s="231"/>
      <c r="S104" s="231"/>
      <c r="T104" s="231"/>
      <c r="U104" s="231"/>
      <c r="V104" s="231"/>
      <c r="W104" s="231"/>
      <c r="X104" s="231"/>
      <c r="Y104" s="231"/>
      <c r="Z104" s="231"/>
      <c r="AA104" s="231"/>
      <c r="AB104" s="231"/>
      <c r="AC104" s="231"/>
      <c r="AD104" s="231"/>
      <c r="AE104" s="231"/>
      <c r="AF104" s="231"/>
      <c r="AG104" s="231"/>
      <c r="AH104" s="231"/>
      <c r="AI104" s="231"/>
      <c r="AJ104" s="231"/>
      <c r="AK104" s="231"/>
    </row>
    <row r="105" spans="1:37" s="203" customFormat="1">
      <c r="A105" s="111" t="s">
        <v>113</v>
      </c>
      <c r="B105" s="116" t="s">
        <v>114</v>
      </c>
      <c r="C105" s="116"/>
      <c r="D105" s="47"/>
      <c r="E105" s="134">
        <v>57536</v>
      </c>
      <c r="F105" s="61">
        <f>SUM(F96:F104)</f>
        <v>60409</v>
      </c>
      <c r="G105" s="118"/>
      <c r="H105" s="61">
        <f>SUM(H96:H104)</f>
        <v>60040</v>
      </c>
      <c r="I105" s="139"/>
      <c r="J105" s="231"/>
      <c r="K105" s="231"/>
      <c r="L105" s="231"/>
      <c r="M105" s="231"/>
      <c r="N105" s="231"/>
      <c r="O105" s="231"/>
      <c r="P105" s="231"/>
      <c r="Q105" s="231"/>
      <c r="R105" s="231"/>
      <c r="S105" s="231"/>
      <c r="T105" s="231"/>
      <c r="U105" s="231"/>
      <c r="V105" s="231"/>
      <c r="W105" s="231"/>
      <c r="X105" s="231"/>
      <c r="Y105" s="231"/>
      <c r="Z105" s="231"/>
      <c r="AA105" s="231"/>
      <c r="AB105" s="231"/>
      <c r="AC105" s="231"/>
      <c r="AD105" s="231"/>
      <c r="AE105" s="231"/>
      <c r="AF105" s="231"/>
      <c r="AG105" s="231"/>
      <c r="AH105" s="231"/>
      <c r="AI105" s="231"/>
      <c r="AJ105" s="231"/>
      <c r="AK105" s="231"/>
    </row>
    <row r="106" spans="1:37" s="203" customFormat="1">
      <c r="A106" s="120">
        <v>11</v>
      </c>
      <c r="B106" s="90" t="s">
        <v>115</v>
      </c>
      <c r="C106" s="47"/>
      <c r="D106" s="47"/>
      <c r="E106" s="135">
        <v>132</v>
      </c>
      <c r="F106" s="136">
        <v>279</v>
      </c>
      <c r="G106" s="118"/>
      <c r="H106" s="137">
        <v>300</v>
      </c>
      <c r="I106" s="139"/>
      <c r="J106" s="231"/>
      <c r="K106" s="231"/>
      <c r="L106" s="231"/>
      <c r="M106" s="231"/>
      <c r="N106" s="231"/>
      <c r="O106" s="231"/>
      <c r="P106" s="231"/>
      <c r="Q106" s="231"/>
      <c r="R106" s="231"/>
      <c r="S106" s="231"/>
      <c r="T106" s="231"/>
      <c r="U106" s="231"/>
      <c r="V106" s="231"/>
      <c r="W106" s="231"/>
      <c r="X106" s="231"/>
      <c r="Y106" s="231"/>
      <c r="Z106" s="231"/>
      <c r="AA106" s="231"/>
      <c r="AB106" s="231"/>
      <c r="AC106" s="231"/>
      <c r="AD106" s="231"/>
      <c r="AE106" s="231"/>
      <c r="AF106" s="231"/>
      <c r="AG106" s="231"/>
      <c r="AH106" s="231"/>
      <c r="AI106" s="231"/>
      <c r="AJ106" s="231"/>
      <c r="AK106" s="231"/>
    </row>
    <row r="107" spans="1:37" s="203" customFormat="1">
      <c r="A107" s="111"/>
      <c r="B107" s="47"/>
      <c r="C107" s="47"/>
      <c r="D107" s="138"/>
      <c r="E107" s="117"/>
      <c r="F107" s="139"/>
      <c r="G107" s="139"/>
      <c r="H107" s="139"/>
      <c r="I107" s="139"/>
      <c r="J107" s="231"/>
      <c r="K107" s="231"/>
      <c r="L107" s="231"/>
      <c r="M107" s="231"/>
      <c r="N107" s="231"/>
      <c r="O107" s="231"/>
      <c r="P107" s="231"/>
      <c r="Q107" s="231"/>
      <c r="R107" s="231"/>
      <c r="S107" s="231"/>
      <c r="T107" s="231"/>
      <c r="U107" s="231"/>
      <c r="V107" s="231"/>
      <c r="W107" s="231"/>
      <c r="X107" s="231"/>
      <c r="Y107" s="231"/>
      <c r="Z107" s="231"/>
      <c r="AA107" s="231"/>
      <c r="AB107" s="231"/>
      <c r="AC107" s="231"/>
      <c r="AD107" s="231"/>
      <c r="AE107" s="231"/>
      <c r="AF107" s="231"/>
      <c r="AG107" s="231"/>
      <c r="AH107" s="231"/>
      <c r="AI107" s="231"/>
      <c r="AJ107" s="231"/>
      <c r="AK107" s="231"/>
    </row>
    <row r="108" spans="1:37" s="203" customFormat="1">
      <c r="A108" s="119" t="s">
        <v>116</v>
      </c>
      <c r="B108" s="47"/>
      <c r="C108" s="47"/>
      <c r="D108" s="47"/>
      <c r="E108" s="117"/>
      <c r="F108" s="139"/>
      <c r="G108" s="139"/>
      <c r="H108" s="139"/>
      <c r="I108" s="139"/>
      <c r="J108" s="231"/>
      <c r="K108" s="231"/>
      <c r="L108" s="231"/>
      <c r="M108" s="231"/>
      <c r="N108" s="231"/>
      <c r="O108" s="231"/>
      <c r="P108" s="231"/>
      <c r="Q108" s="231"/>
      <c r="R108" s="231"/>
      <c r="S108" s="231"/>
      <c r="T108" s="231"/>
      <c r="U108" s="231"/>
      <c r="V108" s="231"/>
      <c r="W108" s="231"/>
      <c r="X108" s="231"/>
      <c r="Y108" s="231"/>
      <c r="Z108" s="231"/>
      <c r="AA108" s="231"/>
      <c r="AB108" s="231"/>
      <c r="AC108" s="231"/>
      <c r="AD108" s="231"/>
      <c r="AE108" s="231"/>
      <c r="AF108" s="231"/>
      <c r="AG108" s="231"/>
      <c r="AH108" s="231"/>
      <c r="AI108" s="231"/>
      <c r="AJ108" s="231"/>
      <c r="AK108" s="231"/>
    </row>
    <row r="109" spans="1:37" s="203" customFormat="1">
      <c r="A109" s="119" t="s">
        <v>106</v>
      </c>
      <c r="B109" s="47"/>
      <c r="C109" s="47"/>
      <c r="D109" s="47"/>
      <c r="E109" s="140"/>
      <c r="F109" s="141"/>
      <c r="G109" s="139"/>
      <c r="H109" s="141"/>
      <c r="I109" s="139"/>
      <c r="J109" s="231"/>
      <c r="K109" s="231"/>
      <c r="L109" s="231"/>
      <c r="M109" s="231"/>
      <c r="N109" s="231"/>
      <c r="O109" s="231"/>
      <c r="P109" s="231"/>
      <c r="Q109" s="231"/>
      <c r="R109" s="231"/>
      <c r="S109" s="231"/>
      <c r="T109" s="231"/>
      <c r="U109" s="231"/>
      <c r="V109" s="231"/>
      <c r="W109" s="231"/>
      <c r="X109" s="231"/>
      <c r="Y109" s="231"/>
      <c r="Z109" s="231"/>
      <c r="AA109" s="231"/>
      <c r="AB109" s="231"/>
      <c r="AC109" s="231"/>
      <c r="AD109" s="231"/>
      <c r="AE109" s="231"/>
      <c r="AF109" s="231"/>
      <c r="AG109" s="231"/>
      <c r="AH109" s="231"/>
      <c r="AI109" s="231"/>
      <c r="AJ109" s="231"/>
      <c r="AK109" s="231"/>
    </row>
    <row r="110" spans="1:37" s="203" customFormat="1">
      <c r="A110" s="120">
        <v>12</v>
      </c>
      <c r="B110" s="47" t="s">
        <v>117</v>
      </c>
      <c r="C110" s="47"/>
      <c r="D110" s="47"/>
      <c r="E110" s="49">
        <v>2866</v>
      </c>
      <c r="F110" s="52">
        <v>1772</v>
      </c>
      <c r="G110" s="118"/>
      <c r="H110" s="122">
        <v>1992</v>
      </c>
      <c r="I110" s="139"/>
      <c r="J110" s="231"/>
      <c r="K110" s="231"/>
      <c r="L110" s="231"/>
      <c r="M110" s="231"/>
      <c r="N110" s="231"/>
      <c r="O110" s="231"/>
      <c r="P110" s="231"/>
      <c r="Q110" s="231"/>
      <c r="R110" s="231"/>
      <c r="S110" s="231"/>
      <c r="T110" s="231"/>
      <c r="U110" s="231"/>
      <c r="V110" s="231"/>
      <c r="W110" s="231"/>
      <c r="X110" s="231"/>
      <c r="Y110" s="231"/>
      <c r="Z110" s="231"/>
      <c r="AA110" s="231"/>
      <c r="AB110" s="231"/>
      <c r="AC110" s="231"/>
      <c r="AD110" s="231"/>
      <c r="AE110" s="231"/>
      <c r="AF110" s="231"/>
      <c r="AG110" s="231"/>
      <c r="AH110" s="231"/>
      <c r="AI110" s="231"/>
      <c r="AJ110" s="231"/>
      <c r="AK110" s="231"/>
    </row>
    <row r="111" spans="1:37" s="203" customFormat="1">
      <c r="A111" s="120">
        <v>13</v>
      </c>
      <c r="B111" s="47" t="s">
        <v>118</v>
      </c>
      <c r="C111" s="47"/>
      <c r="D111" s="47"/>
      <c r="E111" s="49">
        <v>2984</v>
      </c>
      <c r="F111" s="52">
        <v>2337</v>
      </c>
      <c r="G111" s="118"/>
      <c r="H111" s="122">
        <v>2249</v>
      </c>
      <c r="I111" s="139"/>
      <c r="J111" s="231"/>
      <c r="K111" s="231"/>
      <c r="L111" s="231"/>
      <c r="M111" s="231"/>
      <c r="N111" s="231"/>
      <c r="O111" s="231"/>
      <c r="P111" s="231"/>
      <c r="Q111" s="231"/>
      <c r="R111" s="231"/>
      <c r="S111" s="231"/>
      <c r="T111" s="231"/>
      <c r="U111" s="231"/>
      <c r="V111" s="231"/>
      <c r="W111" s="231"/>
      <c r="X111" s="231"/>
      <c r="Y111" s="231"/>
      <c r="Z111" s="231"/>
      <c r="AA111" s="231"/>
      <c r="AB111" s="231"/>
      <c r="AC111" s="231"/>
      <c r="AD111" s="231"/>
      <c r="AE111" s="231"/>
      <c r="AF111" s="231"/>
      <c r="AG111" s="231"/>
      <c r="AH111" s="231"/>
      <c r="AI111" s="231"/>
      <c r="AJ111" s="231"/>
      <c r="AK111" s="231"/>
    </row>
    <row r="112" spans="1:37" s="203" customFormat="1">
      <c r="A112" s="120">
        <v>14</v>
      </c>
      <c r="B112" s="47" t="s">
        <v>119</v>
      </c>
      <c r="C112" s="47"/>
      <c r="D112" s="47"/>
      <c r="E112" s="49">
        <v>4520</v>
      </c>
      <c r="F112" s="52">
        <v>3999</v>
      </c>
      <c r="G112" s="118"/>
      <c r="H112" s="122">
        <v>4478</v>
      </c>
      <c r="I112" s="139"/>
      <c r="J112" s="231"/>
      <c r="K112" s="231"/>
      <c r="L112" s="231"/>
      <c r="M112" s="231"/>
      <c r="N112" s="231"/>
      <c r="O112" s="231"/>
      <c r="P112" s="231"/>
      <c r="Q112" s="231"/>
      <c r="R112" s="231"/>
      <c r="S112" s="231"/>
      <c r="T112" s="231"/>
      <c r="U112" s="231"/>
      <c r="V112" s="231"/>
      <c r="W112" s="231"/>
      <c r="X112" s="231"/>
      <c r="Y112" s="231"/>
      <c r="Z112" s="231"/>
      <c r="AA112" s="231"/>
      <c r="AB112" s="231"/>
      <c r="AC112" s="231"/>
      <c r="AD112" s="231"/>
      <c r="AE112" s="231"/>
      <c r="AF112" s="231"/>
      <c r="AG112" s="231"/>
      <c r="AH112" s="231"/>
      <c r="AI112" s="231"/>
      <c r="AJ112" s="231"/>
      <c r="AK112" s="231"/>
    </row>
    <row r="113" spans="1:37" s="203" customFormat="1">
      <c r="A113" s="120">
        <v>15</v>
      </c>
      <c r="B113" s="47" t="s">
        <v>120</v>
      </c>
      <c r="C113" s="47"/>
      <c r="D113" s="47"/>
      <c r="E113" s="49">
        <v>577</v>
      </c>
      <c r="F113" s="52">
        <v>1140</v>
      </c>
      <c r="G113" s="118"/>
      <c r="H113" s="122">
        <v>983</v>
      </c>
      <c r="I113" s="139"/>
      <c r="J113" s="231"/>
      <c r="K113" s="231"/>
      <c r="L113" s="231"/>
      <c r="M113" s="231"/>
      <c r="N113" s="231"/>
      <c r="O113" s="231"/>
      <c r="P113" s="231"/>
      <c r="Q113" s="231"/>
      <c r="R113" s="231"/>
      <c r="S113" s="231"/>
      <c r="T113" s="231"/>
      <c r="U113" s="231"/>
      <c r="V113" s="231"/>
      <c r="W113" s="231"/>
      <c r="X113" s="231"/>
      <c r="Y113" s="231"/>
      <c r="Z113" s="231"/>
      <c r="AA113" s="231"/>
      <c r="AB113" s="231"/>
      <c r="AC113" s="231"/>
      <c r="AD113" s="231"/>
      <c r="AE113" s="231"/>
      <c r="AF113" s="231"/>
      <c r="AG113" s="231"/>
      <c r="AH113" s="231"/>
      <c r="AI113" s="231"/>
      <c r="AJ113" s="231"/>
      <c r="AK113" s="231"/>
    </row>
    <row r="114" spans="1:37" s="203" customFormat="1">
      <c r="A114" s="120">
        <v>16</v>
      </c>
      <c r="B114" s="47" t="s">
        <v>121</v>
      </c>
      <c r="C114" s="47"/>
      <c r="D114" s="47"/>
      <c r="E114" s="49">
        <v>2867</v>
      </c>
      <c r="F114" s="52">
        <v>3477</v>
      </c>
      <c r="G114" s="118"/>
      <c r="H114" s="100">
        <v>3741</v>
      </c>
      <c r="I114" s="139"/>
      <c r="J114" s="231"/>
      <c r="K114" s="231"/>
      <c r="L114" s="231"/>
      <c r="M114" s="231"/>
      <c r="N114" s="231"/>
      <c r="O114" s="231"/>
      <c r="P114" s="231"/>
      <c r="Q114" s="231"/>
      <c r="R114" s="231"/>
      <c r="S114" s="231"/>
      <c r="T114" s="231"/>
      <c r="U114" s="231"/>
      <c r="V114" s="231"/>
      <c r="W114" s="231"/>
      <c r="X114" s="231"/>
      <c r="Y114" s="231"/>
      <c r="Z114" s="231"/>
      <c r="AA114" s="231"/>
      <c r="AB114" s="231"/>
      <c r="AC114" s="231"/>
      <c r="AD114" s="231"/>
      <c r="AE114" s="231"/>
      <c r="AF114" s="231"/>
      <c r="AG114" s="231"/>
      <c r="AH114" s="231"/>
      <c r="AI114" s="231"/>
      <c r="AJ114" s="231"/>
      <c r="AK114" s="231"/>
    </row>
    <row r="115" spans="1:37" s="203" customFormat="1">
      <c r="A115" s="120">
        <v>17</v>
      </c>
      <c r="B115" s="116" t="s">
        <v>122</v>
      </c>
      <c r="C115" s="116"/>
      <c r="D115" s="116"/>
      <c r="E115" s="80">
        <v>13814</v>
      </c>
      <c r="F115" s="142">
        <f>SUM(F110:F114)</f>
        <v>12725</v>
      </c>
      <c r="G115" s="118"/>
      <c r="H115" s="142">
        <f>SUM(H110:H114)</f>
        <v>13443</v>
      </c>
      <c r="I115" s="139"/>
      <c r="J115" s="231"/>
      <c r="K115" s="231"/>
      <c r="L115" s="231"/>
      <c r="M115" s="231"/>
      <c r="N115" s="231"/>
      <c r="O115" s="231"/>
      <c r="P115" s="231"/>
      <c r="Q115" s="231"/>
      <c r="R115" s="231"/>
      <c r="S115" s="231"/>
      <c r="T115" s="231"/>
      <c r="U115" s="231"/>
      <c r="V115" s="231"/>
      <c r="W115" s="231"/>
      <c r="X115" s="231"/>
      <c r="Y115" s="231"/>
      <c r="Z115" s="231"/>
      <c r="AA115" s="231"/>
      <c r="AB115" s="231"/>
      <c r="AC115" s="231"/>
      <c r="AD115" s="231"/>
      <c r="AE115" s="231"/>
      <c r="AF115" s="231"/>
      <c r="AG115" s="231"/>
      <c r="AH115" s="231"/>
      <c r="AI115" s="231"/>
      <c r="AJ115" s="231"/>
      <c r="AK115" s="231"/>
    </row>
    <row r="116" spans="1:37" s="203" customFormat="1">
      <c r="A116" s="111"/>
      <c r="B116" s="116"/>
      <c r="C116" s="116"/>
      <c r="D116" s="116"/>
      <c r="E116" s="143"/>
      <c r="F116" s="118"/>
      <c r="G116" s="118"/>
      <c r="H116" s="118"/>
      <c r="I116" s="139"/>
      <c r="J116" s="231"/>
      <c r="K116" s="231"/>
      <c r="L116" s="231"/>
      <c r="M116" s="231"/>
      <c r="N116" s="231"/>
      <c r="O116" s="231"/>
      <c r="P116" s="231"/>
      <c r="Q116" s="231"/>
      <c r="R116" s="231"/>
      <c r="S116" s="231"/>
      <c r="T116" s="231"/>
      <c r="U116" s="231"/>
      <c r="V116" s="231"/>
      <c r="W116" s="231"/>
      <c r="X116" s="231"/>
      <c r="Y116" s="231"/>
      <c r="Z116" s="231"/>
      <c r="AA116" s="231"/>
      <c r="AB116" s="231"/>
      <c r="AC116" s="231"/>
      <c r="AD116" s="231"/>
      <c r="AE116" s="231"/>
      <c r="AF116" s="231"/>
      <c r="AG116" s="231"/>
      <c r="AH116" s="231"/>
      <c r="AI116" s="231"/>
      <c r="AJ116" s="231"/>
      <c r="AK116" s="231"/>
    </row>
    <row r="117" spans="1:37" s="203" customFormat="1">
      <c r="A117" s="144" t="s">
        <v>107</v>
      </c>
      <c r="B117" s="116"/>
      <c r="C117" s="116"/>
      <c r="D117" s="116"/>
      <c r="E117" s="145"/>
      <c r="F117" s="146"/>
      <c r="G117" s="118"/>
      <c r="H117" s="146"/>
      <c r="I117" s="139"/>
      <c r="J117" s="231"/>
      <c r="K117" s="231"/>
      <c r="L117" s="231"/>
      <c r="M117" s="231"/>
      <c r="N117" s="231"/>
      <c r="O117" s="231"/>
      <c r="P117" s="231"/>
      <c r="Q117" s="231"/>
      <c r="R117" s="231"/>
      <c r="S117" s="231"/>
      <c r="T117" s="231"/>
      <c r="U117" s="231"/>
      <c r="V117" s="231"/>
      <c r="W117" s="231"/>
      <c r="X117" s="231"/>
      <c r="Y117" s="231"/>
      <c r="Z117" s="231"/>
      <c r="AA117" s="231"/>
      <c r="AB117" s="231"/>
      <c r="AC117" s="231"/>
      <c r="AD117" s="231"/>
      <c r="AE117" s="231"/>
      <c r="AF117" s="231"/>
      <c r="AG117" s="231"/>
      <c r="AH117" s="231"/>
      <c r="AI117" s="231"/>
      <c r="AJ117" s="231"/>
      <c r="AK117" s="231"/>
    </row>
    <row r="118" spans="1:37" s="203" customFormat="1">
      <c r="A118" s="120">
        <v>18</v>
      </c>
      <c r="B118" s="47" t="s">
        <v>123</v>
      </c>
      <c r="C118" s="47"/>
      <c r="D118" s="47"/>
      <c r="E118" s="49">
        <v>1094</v>
      </c>
      <c r="F118" s="52">
        <v>1448</v>
      </c>
      <c r="G118" s="118"/>
      <c r="H118" s="122">
        <v>1007</v>
      </c>
      <c r="I118" s="139"/>
      <c r="J118" s="231"/>
      <c r="K118" s="231"/>
      <c r="L118" s="231"/>
      <c r="M118" s="231"/>
      <c r="N118" s="231"/>
      <c r="O118" s="231"/>
      <c r="P118" s="231"/>
      <c r="Q118" s="231"/>
      <c r="R118" s="231"/>
      <c r="S118" s="231"/>
      <c r="T118" s="231"/>
      <c r="U118" s="231"/>
      <c r="V118" s="231"/>
      <c r="W118" s="231"/>
      <c r="X118" s="231"/>
      <c r="Y118" s="231"/>
      <c r="Z118" s="231"/>
      <c r="AA118" s="231"/>
      <c r="AB118" s="231"/>
      <c r="AC118" s="231"/>
      <c r="AD118" s="231"/>
      <c r="AE118" s="231"/>
      <c r="AF118" s="231"/>
      <c r="AG118" s="231"/>
      <c r="AH118" s="231"/>
      <c r="AI118" s="231"/>
      <c r="AJ118" s="231"/>
      <c r="AK118" s="231"/>
    </row>
    <row r="119" spans="1:37" s="203" customFormat="1">
      <c r="A119" s="120">
        <v>19</v>
      </c>
      <c r="B119" s="47" t="s">
        <v>124</v>
      </c>
      <c r="C119" s="47"/>
      <c r="D119" s="47"/>
      <c r="E119" s="49">
        <v>10732</v>
      </c>
      <c r="F119" s="52">
        <v>10791</v>
      </c>
      <c r="G119" s="118"/>
      <c r="H119" s="122">
        <v>9980</v>
      </c>
      <c r="I119" s="139"/>
      <c r="J119" s="231"/>
      <c r="K119" s="231"/>
      <c r="L119" s="231"/>
      <c r="M119" s="231"/>
      <c r="N119" s="231"/>
      <c r="O119" s="231"/>
      <c r="P119" s="231"/>
      <c r="Q119" s="231"/>
      <c r="R119" s="231"/>
      <c r="S119" s="231"/>
      <c r="T119" s="231"/>
      <c r="U119" s="231"/>
      <c r="V119" s="231"/>
      <c r="W119" s="231"/>
      <c r="X119" s="231"/>
      <c r="Y119" s="231"/>
      <c r="Z119" s="231"/>
      <c r="AA119" s="231"/>
      <c r="AB119" s="231"/>
      <c r="AC119" s="231"/>
      <c r="AD119" s="231"/>
      <c r="AE119" s="231"/>
      <c r="AF119" s="231"/>
      <c r="AG119" s="231"/>
      <c r="AH119" s="231"/>
      <c r="AI119" s="231"/>
      <c r="AJ119" s="231"/>
      <c r="AK119" s="231"/>
    </row>
    <row r="120" spans="1:37" s="203" customFormat="1">
      <c r="A120" s="120">
        <v>20</v>
      </c>
      <c r="B120" s="47" t="s">
        <v>119</v>
      </c>
      <c r="C120" s="47"/>
      <c r="D120" s="47"/>
      <c r="E120" s="49">
        <v>10150</v>
      </c>
      <c r="F120" s="52">
        <v>10044</v>
      </c>
      <c r="G120" s="118"/>
      <c r="H120" s="122">
        <v>9167</v>
      </c>
      <c r="I120" s="139"/>
      <c r="J120" s="231"/>
      <c r="K120" s="231"/>
      <c r="L120" s="231"/>
      <c r="M120" s="231"/>
      <c r="N120" s="231"/>
      <c r="O120" s="231"/>
      <c r="P120" s="231"/>
      <c r="Q120" s="231"/>
      <c r="R120" s="231"/>
      <c r="S120" s="231"/>
      <c r="T120" s="231"/>
      <c r="U120" s="231"/>
      <c r="V120" s="231"/>
      <c r="W120" s="231"/>
      <c r="X120" s="231"/>
      <c r="Y120" s="231"/>
      <c r="Z120" s="231"/>
      <c r="AA120" s="231"/>
      <c r="AB120" s="231"/>
      <c r="AC120" s="231"/>
      <c r="AD120" s="231"/>
      <c r="AE120" s="231"/>
      <c r="AF120" s="231"/>
      <c r="AG120" s="231"/>
      <c r="AH120" s="231"/>
      <c r="AI120" s="231"/>
      <c r="AJ120" s="231"/>
      <c r="AK120" s="231"/>
    </row>
    <row r="121" spans="1:37" s="203" customFormat="1">
      <c r="A121" s="120">
        <v>21</v>
      </c>
      <c r="B121" s="47" t="s">
        <v>120</v>
      </c>
      <c r="C121" s="47"/>
      <c r="D121" s="47"/>
      <c r="E121" s="49">
        <v>1738</v>
      </c>
      <c r="F121" s="52">
        <v>1487</v>
      </c>
      <c r="G121" s="118"/>
      <c r="H121" s="122">
        <v>1262</v>
      </c>
      <c r="I121" s="139"/>
      <c r="J121" s="231"/>
      <c r="K121" s="231"/>
      <c r="L121" s="231"/>
      <c r="M121" s="231"/>
      <c r="N121" s="231"/>
      <c r="O121" s="231"/>
      <c r="P121" s="231"/>
      <c r="Q121" s="231"/>
      <c r="R121" s="231"/>
      <c r="S121" s="231"/>
      <c r="T121" s="231"/>
      <c r="U121" s="231"/>
      <c r="V121" s="231"/>
      <c r="W121" s="231"/>
      <c r="X121" s="231"/>
      <c r="Y121" s="231"/>
      <c r="Z121" s="231"/>
      <c r="AA121" s="231"/>
      <c r="AB121" s="231"/>
      <c r="AC121" s="231"/>
      <c r="AD121" s="231"/>
      <c r="AE121" s="231"/>
      <c r="AF121" s="231"/>
      <c r="AG121" s="231"/>
      <c r="AH121" s="231"/>
      <c r="AI121" s="231"/>
      <c r="AJ121" s="231"/>
      <c r="AK121" s="231"/>
    </row>
    <row r="122" spans="1:37" s="203" customFormat="1">
      <c r="A122" s="120">
        <v>22</v>
      </c>
      <c r="B122" s="47" t="s">
        <v>125</v>
      </c>
      <c r="C122" s="47"/>
      <c r="D122" s="47"/>
      <c r="E122" s="49">
        <v>515</v>
      </c>
      <c r="F122" s="52">
        <v>511</v>
      </c>
      <c r="G122" s="118"/>
      <c r="H122" s="122">
        <v>496</v>
      </c>
      <c r="I122" s="139"/>
      <c r="J122" s="231"/>
      <c r="K122" s="231"/>
      <c r="L122" s="231"/>
      <c r="M122" s="231"/>
      <c r="N122" s="231"/>
      <c r="O122" s="231"/>
      <c r="P122" s="231"/>
      <c r="Q122" s="231"/>
      <c r="R122" s="231"/>
      <c r="S122" s="231"/>
      <c r="T122" s="231"/>
      <c r="U122" s="231"/>
      <c r="V122" s="231"/>
      <c r="W122" s="231"/>
      <c r="X122" s="231"/>
      <c r="Y122" s="231"/>
      <c r="Z122" s="231"/>
      <c r="AA122" s="231"/>
      <c r="AB122" s="231"/>
      <c r="AC122" s="231"/>
      <c r="AD122" s="231"/>
      <c r="AE122" s="231"/>
      <c r="AF122" s="231"/>
      <c r="AG122" s="231"/>
      <c r="AH122" s="231"/>
      <c r="AI122" s="231"/>
      <c r="AJ122" s="231"/>
      <c r="AK122" s="231"/>
    </row>
    <row r="123" spans="1:37" s="203" customFormat="1">
      <c r="A123" s="120">
        <v>23</v>
      </c>
      <c r="B123" s="90" t="s">
        <v>126</v>
      </c>
      <c r="C123" s="47"/>
      <c r="D123" s="47"/>
      <c r="E123" s="49">
        <v>2724</v>
      </c>
      <c r="F123" s="52">
        <v>1299</v>
      </c>
      <c r="G123" s="118"/>
      <c r="H123" s="99">
        <v>1448</v>
      </c>
      <c r="I123" s="139"/>
      <c r="J123" s="231"/>
      <c r="K123" s="231"/>
      <c r="L123" s="231"/>
      <c r="M123" s="231"/>
      <c r="N123" s="231"/>
      <c r="O123" s="231"/>
      <c r="P123" s="231"/>
      <c r="Q123" s="231"/>
      <c r="R123" s="231"/>
      <c r="S123" s="231"/>
      <c r="T123" s="231"/>
      <c r="U123" s="231"/>
      <c r="V123" s="231"/>
      <c r="W123" s="231"/>
      <c r="X123" s="231"/>
      <c r="Y123" s="231"/>
      <c r="Z123" s="231"/>
      <c r="AA123" s="231"/>
      <c r="AB123" s="231"/>
      <c r="AC123" s="231"/>
      <c r="AD123" s="231"/>
      <c r="AE123" s="231"/>
      <c r="AF123" s="231"/>
      <c r="AG123" s="231"/>
      <c r="AH123" s="231"/>
      <c r="AI123" s="231"/>
      <c r="AJ123" s="231"/>
      <c r="AK123" s="231"/>
    </row>
    <row r="124" spans="1:37" s="203" customFormat="1">
      <c r="A124" s="120">
        <v>24</v>
      </c>
      <c r="B124" s="47" t="s">
        <v>121</v>
      </c>
      <c r="C124" s="47"/>
      <c r="D124" s="47"/>
      <c r="E124" s="49">
        <v>120</v>
      </c>
      <c r="F124" s="52">
        <v>1168</v>
      </c>
      <c r="G124" s="118"/>
      <c r="H124" s="100">
        <v>1143</v>
      </c>
      <c r="I124" s="139"/>
      <c r="J124" s="231"/>
      <c r="K124" s="231"/>
      <c r="L124" s="231"/>
      <c r="M124" s="231"/>
      <c r="N124" s="231"/>
      <c r="O124" s="231"/>
      <c r="P124" s="231"/>
      <c r="Q124" s="231"/>
      <c r="R124" s="231"/>
      <c r="S124" s="231"/>
      <c r="T124" s="231"/>
      <c r="U124" s="231"/>
      <c r="V124" s="231"/>
      <c r="W124" s="231"/>
      <c r="X124" s="231"/>
      <c r="Y124" s="231"/>
      <c r="Z124" s="231"/>
      <c r="AA124" s="231"/>
      <c r="AB124" s="231"/>
      <c r="AC124" s="231"/>
      <c r="AD124" s="231"/>
      <c r="AE124" s="231"/>
      <c r="AF124" s="231"/>
      <c r="AG124" s="231"/>
      <c r="AH124" s="231"/>
      <c r="AI124" s="231"/>
      <c r="AJ124" s="231"/>
      <c r="AK124" s="231"/>
    </row>
    <row r="125" spans="1:37" s="203" customFormat="1">
      <c r="A125" s="120">
        <v>25</v>
      </c>
      <c r="B125" s="147" t="s">
        <v>127</v>
      </c>
      <c r="C125" s="147"/>
      <c r="D125" s="147"/>
      <c r="E125" s="80">
        <v>27073</v>
      </c>
      <c r="F125" s="142">
        <f>SUM(F118:F124)</f>
        <v>26748</v>
      </c>
      <c r="G125" s="118"/>
      <c r="H125" s="142">
        <f>SUM(H118:H124)</f>
        <v>24503</v>
      </c>
      <c r="I125" s="139"/>
      <c r="J125" s="231"/>
      <c r="K125" s="231"/>
      <c r="L125" s="231"/>
      <c r="M125" s="231"/>
      <c r="N125" s="231"/>
      <c r="O125" s="231"/>
      <c r="P125" s="231"/>
      <c r="Q125" s="231"/>
      <c r="R125" s="231"/>
      <c r="S125" s="231"/>
      <c r="T125" s="231"/>
      <c r="U125" s="231"/>
      <c r="V125" s="231"/>
      <c r="W125" s="231"/>
      <c r="X125" s="231"/>
      <c r="Y125" s="231"/>
      <c r="Z125" s="231"/>
      <c r="AA125" s="231"/>
      <c r="AB125" s="231"/>
      <c r="AC125" s="231"/>
      <c r="AD125" s="231"/>
      <c r="AE125" s="231"/>
      <c r="AF125" s="231"/>
      <c r="AG125" s="231"/>
      <c r="AH125" s="231"/>
      <c r="AI125" s="231"/>
      <c r="AJ125" s="231"/>
      <c r="AK125" s="231"/>
    </row>
    <row r="126" spans="1:37" s="203" customFormat="1">
      <c r="A126" s="111"/>
      <c r="B126" s="47"/>
      <c r="C126" s="47"/>
      <c r="D126" s="47"/>
      <c r="E126" s="117"/>
      <c r="F126" s="118"/>
      <c r="G126" s="118"/>
      <c r="H126" s="118"/>
      <c r="I126" s="139"/>
      <c r="J126" s="231"/>
      <c r="K126" s="231"/>
      <c r="L126" s="231"/>
      <c r="M126" s="231"/>
      <c r="N126" s="231"/>
      <c r="O126" s="231"/>
      <c r="P126" s="231"/>
      <c r="Q126" s="231"/>
      <c r="R126" s="231"/>
      <c r="S126" s="231"/>
      <c r="T126" s="231"/>
      <c r="U126" s="231"/>
      <c r="V126" s="231"/>
      <c r="W126" s="231"/>
      <c r="X126" s="231"/>
      <c r="Y126" s="231"/>
      <c r="Z126" s="231"/>
      <c r="AA126" s="231"/>
      <c r="AB126" s="231"/>
      <c r="AC126" s="231"/>
      <c r="AD126" s="231"/>
      <c r="AE126" s="231"/>
      <c r="AF126" s="231"/>
      <c r="AG126" s="231"/>
      <c r="AH126" s="231"/>
      <c r="AI126" s="231"/>
      <c r="AJ126" s="231"/>
      <c r="AK126" s="231"/>
    </row>
    <row r="127" spans="1:37" s="203" customFormat="1">
      <c r="A127" s="119" t="s">
        <v>108</v>
      </c>
      <c r="B127" s="147"/>
      <c r="C127" s="147"/>
      <c r="D127" s="147"/>
      <c r="E127" s="140"/>
      <c r="F127" s="146"/>
      <c r="G127" s="118"/>
      <c r="H127" s="146"/>
      <c r="I127" s="139"/>
      <c r="J127" s="231"/>
      <c r="K127" s="231"/>
      <c r="L127" s="231"/>
      <c r="M127" s="231"/>
      <c r="N127" s="231"/>
      <c r="O127" s="231"/>
      <c r="P127" s="231"/>
      <c r="Q127" s="231"/>
      <c r="R127" s="231"/>
      <c r="S127" s="231"/>
      <c r="T127" s="231"/>
      <c r="U127" s="231"/>
      <c r="V127" s="231"/>
      <c r="W127" s="231"/>
      <c r="X127" s="231"/>
      <c r="Y127" s="231"/>
      <c r="Z127" s="231"/>
      <c r="AA127" s="231"/>
      <c r="AB127" s="231"/>
      <c r="AC127" s="231"/>
      <c r="AD127" s="231"/>
      <c r="AE127" s="231"/>
      <c r="AF127" s="231"/>
      <c r="AG127" s="231"/>
      <c r="AH127" s="231"/>
      <c r="AI127" s="231"/>
      <c r="AJ127" s="231"/>
      <c r="AK127" s="231"/>
    </row>
    <row r="128" spans="1:37" s="203" customFormat="1">
      <c r="A128" s="120">
        <v>26</v>
      </c>
      <c r="B128" s="47" t="s">
        <v>123</v>
      </c>
      <c r="C128" s="47"/>
      <c r="D128" s="47"/>
      <c r="E128" s="74">
        <v>758</v>
      </c>
      <c r="F128" s="52">
        <v>351</v>
      </c>
      <c r="G128" s="118"/>
      <c r="H128" s="122">
        <v>372</v>
      </c>
      <c r="I128" s="139"/>
      <c r="J128" s="231"/>
      <c r="K128" s="231"/>
      <c r="L128" s="231"/>
      <c r="M128" s="231"/>
      <c r="N128" s="231"/>
      <c r="O128" s="231"/>
      <c r="P128" s="231"/>
      <c r="Q128" s="231"/>
      <c r="R128" s="231"/>
      <c r="S128" s="231"/>
      <c r="T128" s="231"/>
      <c r="U128" s="231"/>
      <c r="V128" s="231"/>
      <c r="W128" s="231"/>
      <c r="X128" s="231"/>
      <c r="Y128" s="231"/>
      <c r="Z128" s="231"/>
      <c r="AA128" s="231"/>
      <c r="AB128" s="231"/>
      <c r="AC128" s="231"/>
      <c r="AD128" s="231"/>
      <c r="AE128" s="231"/>
      <c r="AF128" s="231"/>
      <c r="AG128" s="231"/>
      <c r="AH128" s="231"/>
      <c r="AI128" s="231"/>
      <c r="AJ128" s="231"/>
      <c r="AK128" s="231"/>
    </row>
    <row r="129" spans="1:37" s="203" customFormat="1">
      <c r="A129" s="120">
        <v>27</v>
      </c>
      <c r="B129" s="47" t="s">
        <v>124</v>
      </c>
      <c r="C129" s="47"/>
      <c r="D129" s="47"/>
      <c r="E129" s="49">
        <v>34</v>
      </c>
      <c r="F129" s="52">
        <v>345</v>
      </c>
      <c r="G129" s="118"/>
      <c r="H129" s="122">
        <v>371</v>
      </c>
      <c r="I129" s="139"/>
      <c r="J129" s="231"/>
      <c r="K129" s="231"/>
      <c r="L129" s="231"/>
      <c r="M129" s="231"/>
      <c r="N129" s="231"/>
      <c r="O129" s="231"/>
      <c r="P129" s="231"/>
      <c r="Q129" s="231"/>
      <c r="R129" s="231"/>
      <c r="S129" s="231"/>
      <c r="T129" s="231"/>
      <c r="U129" s="231"/>
      <c r="V129" s="231"/>
      <c r="W129" s="231"/>
      <c r="X129" s="231"/>
      <c r="Y129" s="231"/>
      <c r="Z129" s="231"/>
      <c r="AA129" s="231"/>
      <c r="AB129" s="231"/>
      <c r="AC129" s="231"/>
      <c r="AD129" s="231"/>
      <c r="AE129" s="231"/>
      <c r="AF129" s="231"/>
      <c r="AG129" s="231"/>
      <c r="AH129" s="231"/>
      <c r="AI129" s="231"/>
      <c r="AJ129" s="231"/>
      <c r="AK129" s="231"/>
    </row>
    <row r="130" spans="1:37" s="203" customFormat="1">
      <c r="A130" s="120">
        <v>28</v>
      </c>
      <c r="B130" s="47" t="s">
        <v>119</v>
      </c>
      <c r="C130" s="47"/>
      <c r="D130" s="47"/>
      <c r="E130" s="49">
        <v>456</v>
      </c>
      <c r="F130" s="52">
        <v>711</v>
      </c>
      <c r="G130" s="118"/>
      <c r="H130" s="122">
        <v>775</v>
      </c>
      <c r="I130" s="139"/>
      <c r="J130" s="231"/>
      <c r="K130" s="231"/>
      <c r="L130" s="231"/>
      <c r="M130" s="231"/>
      <c r="N130" s="231"/>
      <c r="O130" s="231"/>
      <c r="P130" s="231"/>
      <c r="Q130" s="231"/>
      <c r="R130" s="231"/>
      <c r="S130" s="231"/>
      <c r="T130" s="231"/>
      <c r="U130" s="231"/>
      <c r="V130" s="231"/>
      <c r="W130" s="231"/>
      <c r="X130" s="231"/>
      <c r="Y130" s="231"/>
      <c r="Z130" s="231"/>
      <c r="AA130" s="231"/>
      <c r="AB130" s="231"/>
      <c r="AC130" s="231"/>
      <c r="AD130" s="231"/>
      <c r="AE130" s="231"/>
      <c r="AF130" s="231"/>
      <c r="AG130" s="231"/>
      <c r="AH130" s="231"/>
      <c r="AI130" s="231"/>
      <c r="AJ130" s="231"/>
      <c r="AK130" s="231"/>
    </row>
    <row r="131" spans="1:37" s="203" customFormat="1">
      <c r="A131" s="120">
        <v>29</v>
      </c>
      <c r="B131" s="47" t="s">
        <v>120</v>
      </c>
      <c r="C131" s="47"/>
      <c r="D131" s="47"/>
      <c r="E131" s="49">
        <v>690</v>
      </c>
      <c r="F131" s="52">
        <v>416</v>
      </c>
      <c r="G131" s="118"/>
      <c r="H131" s="122">
        <v>490</v>
      </c>
      <c r="I131" s="139"/>
      <c r="J131" s="231"/>
      <c r="K131" s="231"/>
      <c r="L131" s="231"/>
      <c r="M131" s="231"/>
      <c r="N131" s="231"/>
      <c r="O131" s="231"/>
      <c r="P131" s="231"/>
      <c r="Q131" s="231"/>
      <c r="R131" s="231"/>
      <c r="S131" s="231"/>
      <c r="T131" s="231"/>
      <c r="U131" s="231"/>
      <c r="V131" s="231"/>
      <c r="W131" s="231"/>
      <c r="X131" s="231"/>
      <c r="Y131" s="231"/>
      <c r="Z131" s="231"/>
      <c r="AA131" s="231"/>
      <c r="AB131" s="231"/>
      <c r="AC131" s="231"/>
      <c r="AD131" s="231"/>
      <c r="AE131" s="231"/>
      <c r="AF131" s="231"/>
      <c r="AG131" s="231"/>
      <c r="AH131" s="231"/>
      <c r="AI131" s="231"/>
      <c r="AJ131" s="231"/>
      <c r="AK131" s="231"/>
    </row>
    <row r="132" spans="1:37" s="203" customFormat="1">
      <c r="A132" s="120">
        <v>30</v>
      </c>
      <c r="B132" s="47" t="s">
        <v>125</v>
      </c>
      <c r="C132" s="47"/>
      <c r="D132" s="47"/>
      <c r="E132" s="49">
        <v>447</v>
      </c>
      <c r="F132" s="52">
        <v>426</v>
      </c>
      <c r="G132" s="118"/>
      <c r="H132" s="122">
        <v>414</v>
      </c>
      <c r="I132" s="139"/>
      <c r="J132" s="231"/>
      <c r="K132" s="231"/>
      <c r="L132" s="231"/>
      <c r="M132" s="231"/>
      <c r="N132" s="231"/>
      <c r="O132" s="231"/>
      <c r="P132" s="231"/>
      <c r="Q132" s="231"/>
      <c r="R132" s="231"/>
      <c r="S132" s="231"/>
      <c r="T132" s="231"/>
      <c r="U132" s="231"/>
      <c r="V132" s="231"/>
      <c r="W132" s="231"/>
      <c r="X132" s="231"/>
      <c r="Y132" s="231"/>
      <c r="Z132" s="231"/>
      <c r="AA132" s="231"/>
      <c r="AB132" s="231"/>
      <c r="AC132" s="231"/>
      <c r="AD132" s="231"/>
      <c r="AE132" s="231"/>
      <c r="AF132" s="231"/>
      <c r="AG132" s="231"/>
      <c r="AH132" s="231"/>
      <c r="AI132" s="231"/>
      <c r="AJ132" s="231"/>
      <c r="AK132" s="231"/>
    </row>
    <row r="133" spans="1:37" s="203" customFormat="1">
      <c r="A133" s="120">
        <v>31</v>
      </c>
      <c r="B133" s="90" t="s">
        <v>126</v>
      </c>
      <c r="C133" s="47"/>
      <c r="D133" s="47"/>
      <c r="E133" s="49">
        <v>1158</v>
      </c>
      <c r="F133" s="52">
        <v>816</v>
      </c>
      <c r="G133" s="118"/>
      <c r="H133" s="122">
        <v>889</v>
      </c>
      <c r="I133" s="139"/>
      <c r="J133" s="231"/>
      <c r="K133" s="231"/>
      <c r="L133" s="231"/>
      <c r="M133" s="231"/>
      <c r="N133" s="231"/>
      <c r="O133" s="231"/>
      <c r="P133" s="231"/>
      <c r="Q133" s="231"/>
      <c r="R133" s="231"/>
      <c r="S133" s="231"/>
      <c r="T133" s="231"/>
      <c r="U133" s="231"/>
      <c r="V133" s="231"/>
      <c r="W133" s="231"/>
      <c r="X133" s="231"/>
      <c r="Y133" s="231"/>
      <c r="Z133" s="231"/>
      <c r="AA133" s="231"/>
      <c r="AB133" s="231"/>
      <c r="AC133" s="231"/>
      <c r="AD133" s="231"/>
      <c r="AE133" s="231"/>
      <c r="AF133" s="231"/>
      <c r="AG133" s="231"/>
      <c r="AH133" s="231"/>
      <c r="AI133" s="231"/>
      <c r="AJ133" s="231"/>
      <c r="AK133" s="231"/>
    </row>
    <row r="134" spans="1:37" s="203" customFormat="1">
      <c r="A134" s="120">
        <v>32</v>
      </c>
      <c r="B134" s="47" t="s">
        <v>121</v>
      </c>
      <c r="C134" s="47"/>
      <c r="D134" s="47"/>
      <c r="E134" s="49">
        <v>82</v>
      </c>
      <c r="F134" s="52">
        <v>743</v>
      </c>
      <c r="G134" s="118"/>
      <c r="H134" s="100">
        <v>751</v>
      </c>
      <c r="I134" s="139"/>
      <c r="J134" s="231"/>
      <c r="K134" s="231"/>
      <c r="L134" s="231"/>
      <c r="M134" s="231"/>
      <c r="N134" s="231"/>
      <c r="O134" s="231"/>
      <c r="P134" s="231"/>
      <c r="Q134" s="231"/>
      <c r="R134" s="231"/>
      <c r="S134" s="231"/>
      <c r="T134" s="231"/>
      <c r="U134" s="231"/>
      <c r="V134" s="231"/>
      <c r="W134" s="231"/>
      <c r="X134" s="231"/>
      <c r="Y134" s="231"/>
      <c r="Z134" s="231"/>
      <c r="AA134" s="231"/>
      <c r="AB134" s="231"/>
      <c r="AC134" s="231"/>
      <c r="AD134" s="231"/>
      <c r="AE134" s="231"/>
      <c r="AF134" s="231"/>
      <c r="AG134" s="231"/>
      <c r="AH134" s="231"/>
      <c r="AI134" s="231"/>
      <c r="AJ134" s="231"/>
      <c r="AK134" s="231"/>
    </row>
    <row r="135" spans="1:37" s="203" customFormat="1">
      <c r="A135" s="120">
        <v>33</v>
      </c>
      <c r="B135" s="116" t="s">
        <v>128</v>
      </c>
      <c r="C135" s="116"/>
      <c r="D135" s="116"/>
      <c r="E135" s="80">
        <v>3625</v>
      </c>
      <c r="F135" s="142">
        <f>SUM(F128:F134)</f>
        <v>3808</v>
      </c>
      <c r="G135" s="118"/>
      <c r="H135" s="142">
        <f>SUM(H128:H134)</f>
        <v>4062</v>
      </c>
      <c r="I135" s="139"/>
      <c r="J135" s="231"/>
      <c r="K135" s="231"/>
      <c r="L135" s="231"/>
      <c r="M135" s="231"/>
      <c r="N135" s="231"/>
      <c r="O135" s="231"/>
      <c r="P135" s="231"/>
      <c r="Q135" s="231"/>
      <c r="R135" s="231"/>
      <c r="S135" s="231"/>
      <c r="T135" s="231"/>
      <c r="U135" s="231"/>
      <c r="V135" s="231"/>
      <c r="W135" s="231"/>
      <c r="X135" s="231"/>
      <c r="Y135" s="231"/>
      <c r="Z135" s="231"/>
      <c r="AA135" s="231"/>
      <c r="AB135" s="231"/>
      <c r="AC135" s="231"/>
      <c r="AD135" s="231"/>
      <c r="AE135" s="231"/>
      <c r="AF135" s="231"/>
      <c r="AG135" s="231"/>
      <c r="AH135" s="231"/>
      <c r="AI135" s="231"/>
      <c r="AJ135" s="231"/>
      <c r="AK135" s="231"/>
    </row>
    <row r="136" spans="1:37" s="203" customFormat="1">
      <c r="A136" s="111"/>
      <c r="B136" s="47"/>
      <c r="C136" s="47"/>
      <c r="D136" s="138"/>
      <c r="E136" s="117"/>
      <c r="F136" s="118"/>
      <c r="G136" s="118"/>
      <c r="H136" s="118"/>
      <c r="I136" s="139"/>
      <c r="J136" s="231"/>
      <c r="K136" s="231"/>
      <c r="L136" s="231"/>
      <c r="M136" s="231"/>
      <c r="N136" s="231"/>
      <c r="O136" s="231"/>
      <c r="P136" s="231"/>
      <c r="Q136" s="231"/>
      <c r="R136" s="231"/>
      <c r="S136" s="231"/>
      <c r="T136" s="231"/>
      <c r="U136" s="231"/>
      <c r="V136" s="231"/>
      <c r="W136" s="231"/>
      <c r="X136" s="231"/>
      <c r="Y136" s="231"/>
      <c r="Z136" s="231"/>
      <c r="AA136" s="231"/>
      <c r="AB136" s="231"/>
      <c r="AC136" s="231"/>
      <c r="AD136" s="231"/>
      <c r="AE136" s="231"/>
      <c r="AF136" s="231"/>
      <c r="AG136" s="231"/>
      <c r="AH136" s="231"/>
      <c r="AI136" s="231"/>
      <c r="AJ136" s="231"/>
      <c r="AK136" s="231"/>
    </row>
    <row r="137" spans="1:37" s="203" customFormat="1">
      <c r="A137" s="119" t="s">
        <v>109</v>
      </c>
      <c r="B137" s="116"/>
      <c r="C137" s="116"/>
      <c r="D137" s="116"/>
      <c r="E137" s="140"/>
      <c r="F137" s="146"/>
      <c r="G137" s="118"/>
      <c r="H137" s="146"/>
      <c r="I137" s="139"/>
      <c r="J137" s="231"/>
      <c r="K137" s="231"/>
      <c r="L137" s="231"/>
      <c r="M137" s="231"/>
      <c r="N137" s="231"/>
      <c r="O137" s="231"/>
      <c r="P137" s="231"/>
      <c r="Q137" s="231"/>
      <c r="R137" s="231"/>
      <c r="S137" s="231"/>
      <c r="T137" s="231"/>
      <c r="U137" s="231"/>
      <c r="V137" s="231"/>
      <c r="W137" s="231"/>
      <c r="X137" s="231"/>
      <c r="Y137" s="231"/>
      <c r="Z137" s="231"/>
      <c r="AA137" s="231"/>
      <c r="AB137" s="231"/>
      <c r="AC137" s="231"/>
      <c r="AD137" s="231"/>
      <c r="AE137" s="231"/>
      <c r="AF137" s="231"/>
      <c r="AG137" s="231"/>
      <c r="AH137" s="231"/>
      <c r="AI137" s="231"/>
      <c r="AJ137" s="231"/>
      <c r="AK137" s="231"/>
    </row>
    <row r="138" spans="1:37" s="203" customFormat="1">
      <c r="A138" s="120">
        <v>34</v>
      </c>
      <c r="B138" s="47" t="s">
        <v>123</v>
      </c>
      <c r="C138" s="47"/>
      <c r="D138" s="47"/>
      <c r="E138" s="49">
        <v>727</v>
      </c>
      <c r="F138" s="52">
        <v>335</v>
      </c>
      <c r="G138" s="118"/>
      <c r="H138" s="122">
        <v>465</v>
      </c>
      <c r="I138" s="139"/>
      <c r="J138" s="231"/>
      <c r="K138" s="231"/>
      <c r="L138" s="231"/>
      <c r="M138" s="231"/>
      <c r="N138" s="231"/>
      <c r="O138" s="231"/>
      <c r="P138" s="231"/>
      <c r="Q138" s="231"/>
      <c r="R138" s="231"/>
      <c r="S138" s="231"/>
      <c r="T138" s="231"/>
      <c r="U138" s="231"/>
      <c r="V138" s="231"/>
      <c r="W138" s="231"/>
      <c r="X138" s="231"/>
      <c r="Y138" s="231"/>
      <c r="Z138" s="231"/>
      <c r="AA138" s="231"/>
      <c r="AB138" s="231"/>
      <c r="AC138" s="231"/>
      <c r="AD138" s="231"/>
      <c r="AE138" s="231"/>
      <c r="AF138" s="231"/>
      <c r="AG138" s="231"/>
      <c r="AH138" s="231"/>
      <c r="AI138" s="231"/>
      <c r="AJ138" s="231"/>
      <c r="AK138" s="231"/>
    </row>
    <row r="139" spans="1:37" s="203" customFormat="1">
      <c r="A139" s="120">
        <v>35</v>
      </c>
      <c r="B139" s="47" t="s">
        <v>119</v>
      </c>
      <c r="C139" s="47"/>
      <c r="D139" s="47"/>
      <c r="E139" s="49">
        <v>7601</v>
      </c>
      <c r="F139" s="52">
        <v>7426</v>
      </c>
      <c r="G139" s="118"/>
      <c r="H139" s="122">
        <v>7900</v>
      </c>
      <c r="I139" s="139"/>
      <c r="J139" s="231"/>
      <c r="K139" s="231"/>
      <c r="L139" s="231"/>
      <c r="M139" s="231"/>
      <c r="N139" s="231"/>
      <c r="O139" s="231"/>
      <c r="P139" s="231"/>
      <c r="Q139" s="231"/>
      <c r="R139" s="231"/>
      <c r="S139" s="231"/>
      <c r="T139" s="231"/>
      <c r="U139" s="231"/>
      <c r="V139" s="231"/>
      <c r="W139" s="231"/>
      <c r="X139" s="231"/>
      <c r="Y139" s="231"/>
      <c r="Z139" s="231"/>
      <c r="AA139" s="231"/>
      <c r="AB139" s="231"/>
      <c r="AC139" s="231"/>
      <c r="AD139" s="231"/>
      <c r="AE139" s="231"/>
      <c r="AF139" s="231"/>
      <c r="AG139" s="231"/>
      <c r="AH139" s="231"/>
      <c r="AI139" s="231"/>
      <c r="AJ139" s="231"/>
      <c r="AK139" s="231"/>
    </row>
    <row r="140" spans="1:37" s="203" customFormat="1">
      <c r="A140" s="120">
        <v>36</v>
      </c>
      <c r="B140" s="47" t="s">
        <v>120</v>
      </c>
      <c r="C140" s="47"/>
      <c r="D140" s="47"/>
      <c r="E140" s="49">
        <v>3970</v>
      </c>
      <c r="F140" s="52">
        <v>3444</v>
      </c>
      <c r="G140" s="118"/>
      <c r="H140" s="122">
        <v>3797</v>
      </c>
      <c r="I140" s="139"/>
      <c r="J140" s="231"/>
      <c r="K140" s="231"/>
      <c r="L140" s="231"/>
      <c r="M140" s="231"/>
      <c r="N140" s="231"/>
      <c r="O140" s="231"/>
      <c r="P140" s="231"/>
      <c r="Q140" s="231"/>
      <c r="R140" s="231"/>
      <c r="S140" s="231"/>
      <c r="T140" s="231"/>
      <c r="U140" s="231"/>
      <c r="V140" s="231"/>
      <c r="W140" s="231"/>
      <c r="X140" s="231"/>
      <c r="Y140" s="231"/>
      <c r="Z140" s="231"/>
      <c r="AA140" s="231"/>
      <c r="AB140" s="231"/>
      <c r="AC140" s="231"/>
      <c r="AD140" s="231"/>
      <c r="AE140" s="231"/>
      <c r="AF140" s="231"/>
      <c r="AG140" s="231"/>
      <c r="AH140" s="231"/>
      <c r="AI140" s="231"/>
      <c r="AJ140" s="231"/>
      <c r="AK140" s="231"/>
    </row>
    <row r="141" spans="1:37" s="203" customFormat="1">
      <c r="A141" s="120">
        <v>37</v>
      </c>
      <c r="B141" s="90" t="s">
        <v>126</v>
      </c>
      <c r="C141" s="47"/>
      <c r="D141" s="47"/>
      <c r="E141" s="49">
        <v>1464</v>
      </c>
      <c r="F141" s="52">
        <v>670</v>
      </c>
      <c r="G141" s="118"/>
      <c r="H141" s="99">
        <v>676</v>
      </c>
      <c r="I141" s="139"/>
      <c r="J141" s="231"/>
      <c r="K141" s="231"/>
      <c r="L141" s="231"/>
      <c r="M141" s="231"/>
      <c r="N141" s="231"/>
      <c r="O141" s="231"/>
      <c r="P141" s="231"/>
      <c r="Q141" s="231"/>
      <c r="R141" s="231"/>
      <c r="S141" s="231"/>
      <c r="T141" s="231"/>
      <c r="U141" s="231"/>
      <c r="V141" s="231"/>
      <c r="W141" s="231"/>
      <c r="X141" s="231"/>
      <c r="Y141" s="231"/>
      <c r="Z141" s="231"/>
      <c r="AA141" s="231"/>
      <c r="AB141" s="231"/>
      <c r="AC141" s="231"/>
      <c r="AD141" s="231"/>
      <c r="AE141" s="231"/>
      <c r="AF141" s="231"/>
      <c r="AG141" s="231"/>
      <c r="AH141" s="231"/>
      <c r="AI141" s="231"/>
      <c r="AJ141" s="231"/>
      <c r="AK141" s="231"/>
    </row>
    <row r="142" spans="1:37" s="203" customFormat="1">
      <c r="A142" s="120">
        <v>38</v>
      </c>
      <c r="B142" s="47" t="s">
        <v>121</v>
      </c>
      <c r="C142" s="47"/>
      <c r="D142" s="47"/>
      <c r="E142" s="49">
        <v>219</v>
      </c>
      <c r="F142" s="52">
        <v>1498</v>
      </c>
      <c r="G142" s="118"/>
      <c r="H142" s="100">
        <v>1389</v>
      </c>
      <c r="I142" s="139"/>
      <c r="J142" s="231"/>
      <c r="K142" s="231"/>
      <c r="L142" s="231"/>
      <c r="M142" s="231"/>
      <c r="N142" s="231"/>
      <c r="O142" s="231"/>
      <c r="P142" s="231"/>
      <c r="Q142" s="231"/>
      <c r="R142" s="231"/>
      <c r="S142" s="231"/>
      <c r="T142" s="231"/>
      <c r="U142" s="231"/>
      <c r="V142" s="231"/>
      <c r="W142" s="231"/>
      <c r="X142" s="231"/>
      <c r="Y142" s="231"/>
      <c r="Z142" s="231"/>
      <c r="AA142" s="231"/>
      <c r="AB142" s="231"/>
      <c r="AC142" s="231"/>
      <c r="AD142" s="231"/>
      <c r="AE142" s="231"/>
      <c r="AF142" s="231"/>
      <c r="AG142" s="231"/>
      <c r="AH142" s="231"/>
      <c r="AI142" s="231"/>
      <c r="AJ142" s="231"/>
      <c r="AK142" s="231"/>
    </row>
    <row r="143" spans="1:37" s="203" customFormat="1">
      <c r="A143" s="120">
        <v>39</v>
      </c>
      <c r="B143" s="116" t="s">
        <v>129</v>
      </c>
      <c r="C143" s="116"/>
      <c r="D143" s="116"/>
      <c r="E143" s="80">
        <v>13981</v>
      </c>
      <c r="F143" s="142">
        <f>SUM(F138:F142)</f>
        <v>13373</v>
      </c>
      <c r="G143" s="118"/>
      <c r="H143" s="142">
        <f>SUM(H138:H142)</f>
        <v>14227</v>
      </c>
      <c r="I143" s="139"/>
      <c r="J143" s="231"/>
      <c r="K143" s="231"/>
      <c r="L143" s="231"/>
      <c r="M143" s="231"/>
      <c r="N143" s="231"/>
      <c r="O143" s="231"/>
      <c r="P143" s="231"/>
      <c r="Q143" s="231"/>
      <c r="R143" s="231"/>
      <c r="S143" s="231"/>
      <c r="T143" s="231"/>
      <c r="U143" s="231"/>
      <c r="V143" s="231"/>
      <c r="W143" s="231"/>
      <c r="X143" s="231"/>
      <c r="Y143" s="231"/>
      <c r="Z143" s="231"/>
      <c r="AA143" s="231"/>
      <c r="AB143" s="231"/>
      <c r="AC143" s="231"/>
      <c r="AD143" s="231"/>
      <c r="AE143" s="231"/>
      <c r="AF143" s="231"/>
      <c r="AG143" s="231"/>
      <c r="AH143" s="231"/>
      <c r="AI143" s="231"/>
      <c r="AJ143" s="231"/>
      <c r="AK143" s="231"/>
    </row>
    <row r="144" spans="1:37" s="203" customFormat="1">
      <c r="A144" s="111"/>
      <c r="B144" s="47"/>
      <c r="C144" s="47"/>
      <c r="D144" s="47"/>
      <c r="E144" s="117"/>
      <c r="F144" s="118"/>
      <c r="G144" s="118"/>
      <c r="H144" s="118"/>
      <c r="I144" s="139"/>
      <c r="J144" s="231"/>
      <c r="K144" s="231"/>
      <c r="L144" s="231"/>
      <c r="M144" s="231"/>
      <c r="N144" s="231"/>
      <c r="O144" s="231"/>
      <c r="P144" s="231"/>
      <c r="Q144" s="231"/>
      <c r="R144" s="231"/>
      <c r="S144" s="231"/>
      <c r="T144" s="231"/>
      <c r="U144" s="231"/>
      <c r="V144" s="231"/>
      <c r="W144" s="231"/>
      <c r="X144" s="231"/>
      <c r="Y144" s="231"/>
      <c r="Z144" s="231"/>
      <c r="AA144" s="231"/>
      <c r="AB144" s="231"/>
      <c r="AC144" s="231"/>
      <c r="AD144" s="231"/>
      <c r="AE144" s="231"/>
      <c r="AF144" s="231"/>
      <c r="AG144" s="231"/>
      <c r="AH144" s="231"/>
      <c r="AI144" s="231"/>
      <c r="AJ144" s="231"/>
      <c r="AK144" s="231"/>
    </row>
    <row r="145" spans="1:37" s="203" customFormat="1">
      <c r="A145" s="119" t="s">
        <v>110</v>
      </c>
      <c r="B145" s="116"/>
      <c r="C145" s="116"/>
      <c r="D145" s="116"/>
      <c r="E145" s="140"/>
      <c r="F145" s="146"/>
      <c r="G145" s="118"/>
      <c r="H145" s="146"/>
      <c r="I145" s="139"/>
      <c r="J145" s="231"/>
      <c r="K145" s="231"/>
      <c r="L145" s="231"/>
      <c r="M145" s="231"/>
      <c r="N145" s="231"/>
      <c r="O145" s="231"/>
      <c r="P145" s="231"/>
      <c r="Q145" s="231"/>
      <c r="R145" s="231"/>
      <c r="S145" s="231"/>
      <c r="T145" s="231"/>
      <c r="U145" s="231"/>
      <c r="V145" s="231"/>
      <c r="W145" s="231"/>
      <c r="X145" s="231"/>
      <c r="Y145" s="231"/>
      <c r="Z145" s="231"/>
      <c r="AA145" s="231"/>
      <c r="AB145" s="231"/>
      <c r="AC145" s="231"/>
      <c r="AD145" s="231"/>
      <c r="AE145" s="231"/>
      <c r="AF145" s="231"/>
      <c r="AG145" s="231"/>
      <c r="AH145" s="231"/>
      <c r="AI145" s="231"/>
      <c r="AJ145" s="231"/>
      <c r="AK145" s="231"/>
    </row>
    <row r="146" spans="1:37" s="203" customFormat="1">
      <c r="A146" s="120">
        <v>40</v>
      </c>
      <c r="B146" s="47" t="s">
        <v>123</v>
      </c>
      <c r="C146" s="47"/>
      <c r="D146" s="47"/>
      <c r="E146" s="49">
        <v>956</v>
      </c>
      <c r="F146" s="52">
        <v>308</v>
      </c>
      <c r="G146" s="118"/>
      <c r="H146" s="122">
        <v>261</v>
      </c>
      <c r="I146" s="139"/>
      <c r="J146" s="231"/>
      <c r="K146" s="231"/>
      <c r="L146" s="231"/>
      <c r="M146" s="231"/>
      <c r="N146" s="231"/>
      <c r="O146" s="231"/>
      <c r="P146" s="231"/>
      <c r="Q146" s="231"/>
      <c r="R146" s="231"/>
      <c r="S146" s="231"/>
      <c r="T146" s="231"/>
      <c r="U146" s="231"/>
      <c r="V146" s="231"/>
      <c r="W146" s="231"/>
      <c r="X146" s="231"/>
      <c r="Y146" s="231"/>
      <c r="Z146" s="231"/>
      <c r="AA146" s="231"/>
      <c r="AB146" s="231"/>
      <c r="AC146" s="231"/>
      <c r="AD146" s="231"/>
      <c r="AE146" s="231"/>
      <c r="AF146" s="231"/>
      <c r="AG146" s="231"/>
      <c r="AH146" s="231"/>
      <c r="AI146" s="231"/>
      <c r="AJ146" s="231"/>
      <c r="AK146" s="231"/>
    </row>
    <row r="147" spans="1:37" s="203" customFormat="1">
      <c r="A147" s="120">
        <v>41</v>
      </c>
      <c r="B147" s="47" t="s">
        <v>119</v>
      </c>
      <c r="C147" s="47"/>
      <c r="D147" s="47"/>
      <c r="E147" s="49">
        <v>474</v>
      </c>
      <c r="F147" s="52">
        <v>543</v>
      </c>
      <c r="G147" s="118"/>
      <c r="H147" s="122">
        <v>467</v>
      </c>
      <c r="I147" s="139"/>
      <c r="J147" s="231"/>
      <c r="K147" s="231"/>
      <c r="L147" s="231"/>
      <c r="M147" s="231"/>
      <c r="N147" s="231"/>
      <c r="O147" s="231"/>
      <c r="P147" s="231"/>
      <c r="Q147" s="231"/>
      <c r="R147" s="231"/>
      <c r="S147" s="231"/>
      <c r="T147" s="231"/>
      <c r="U147" s="231"/>
      <c r="V147" s="231"/>
      <c r="W147" s="231"/>
      <c r="X147" s="231"/>
      <c r="Y147" s="231"/>
      <c r="Z147" s="231"/>
      <c r="AA147" s="231"/>
      <c r="AB147" s="231"/>
      <c r="AC147" s="231"/>
      <c r="AD147" s="231"/>
      <c r="AE147" s="231"/>
      <c r="AF147" s="231"/>
      <c r="AG147" s="231"/>
      <c r="AH147" s="231"/>
      <c r="AI147" s="231"/>
      <c r="AJ147" s="231"/>
      <c r="AK147" s="231"/>
    </row>
    <row r="148" spans="1:37" s="203" customFormat="1">
      <c r="A148" s="120">
        <v>42</v>
      </c>
      <c r="B148" s="47" t="s">
        <v>120</v>
      </c>
      <c r="C148" s="47"/>
      <c r="D148" s="47"/>
      <c r="E148" s="49">
        <v>649</v>
      </c>
      <c r="F148" s="52">
        <v>343</v>
      </c>
      <c r="G148" s="118"/>
      <c r="H148" s="122">
        <v>364</v>
      </c>
      <c r="I148" s="139"/>
      <c r="J148" s="231"/>
      <c r="K148" s="231"/>
      <c r="L148" s="231"/>
      <c r="M148" s="231"/>
      <c r="N148" s="231"/>
      <c r="O148" s="231"/>
      <c r="P148" s="231"/>
      <c r="Q148" s="231"/>
      <c r="R148" s="231"/>
      <c r="S148" s="231"/>
      <c r="T148" s="231"/>
      <c r="U148" s="231"/>
      <c r="V148" s="231"/>
      <c r="W148" s="231"/>
      <c r="X148" s="231"/>
      <c r="Y148" s="231"/>
      <c r="Z148" s="231"/>
      <c r="AA148" s="231"/>
      <c r="AB148" s="231"/>
      <c r="AC148" s="231"/>
      <c r="AD148" s="231"/>
      <c r="AE148" s="231"/>
      <c r="AF148" s="231"/>
      <c r="AG148" s="231"/>
      <c r="AH148" s="231"/>
      <c r="AI148" s="231"/>
      <c r="AJ148" s="231"/>
      <c r="AK148" s="231"/>
    </row>
    <row r="149" spans="1:37" s="203" customFormat="1">
      <c r="A149" s="120">
        <v>43</v>
      </c>
      <c r="B149" s="47" t="s">
        <v>121</v>
      </c>
      <c r="C149" s="47"/>
      <c r="D149" s="47"/>
      <c r="E149" s="49">
        <v>330</v>
      </c>
      <c r="F149" s="52">
        <v>581</v>
      </c>
      <c r="G149" s="118"/>
      <c r="H149" s="100">
        <v>585</v>
      </c>
      <c r="I149" s="139"/>
      <c r="J149" s="231"/>
      <c r="K149" s="231"/>
      <c r="L149" s="231"/>
      <c r="M149" s="231"/>
      <c r="N149" s="231"/>
      <c r="O149" s="231"/>
      <c r="P149" s="231"/>
      <c r="Q149" s="231"/>
      <c r="R149" s="231"/>
      <c r="S149" s="231"/>
      <c r="T149" s="231"/>
      <c r="U149" s="231"/>
      <c r="V149" s="231"/>
      <c r="W149" s="231"/>
      <c r="X149" s="231"/>
      <c r="Y149" s="231"/>
      <c r="Z149" s="231"/>
      <c r="AA149" s="231"/>
      <c r="AB149" s="231"/>
      <c r="AC149" s="231"/>
      <c r="AD149" s="231"/>
      <c r="AE149" s="231"/>
      <c r="AF149" s="231"/>
      <c r="AG149" s="231"/>
      <c r="AH149" s="231"/>
      <c r="AI149" s="231"/>
      <c r="AJ149" s="231"/>
      <c r="AK149" s="231"/>
    </row>
    <row r="150" spans="1:37" s="203" customFormat="1">
      <c r="A150" s="124">
        <v>44</v>
      </c>
      <c r="B150" s="94" t="s">
        <v>130</v>
      </c>
      <c r="C150" s="94"/>
      <c r="D150" s="94"/>
      <c r="E150" s="80">
        <v>2409</v>
      </c>
      <c r="F150" s="142">
        <f>SUM(F146:F149)</f>
        <v>1775</v>
      </c>
      <c r="G150" s="259"/>
      <c r="H150" s="142">
        <f>SUM(H146:H149)</f>
        <v>1677</v>
      </c>
      <c r="I150" s="139"/>
      <c r="J150" s="231"/>
      <c r="K150" s="231"/>
      <c r="L150" s="231"/>
      <c r="M150" s="231"/>
      <c r="N150" s="231"/>
      <c r="O150" s="231"/>
      <c r="P150" s="231"/>
      <c r="Q150" s="231"/>
      <c r="R150" s="231"/>
      <c r="S150" s="231"/>
      <c r="T150" s="231"/>
      <c r="U150" s="231"/>
      <c r="V150" s="231"/>
      <c r="W150" s="231"/>
      <c r="X150" s="231"/>
      <c r="Y150" s="231"/>
      <c r="Z150" s="231"/>
      <c r="AA150" s="231"/>
      <c r="AB150" s="231"/>
      <c r="AC150" s="231"/>
      <c r="AD150" s="231"/>
      <c r="AE150" s="231"/>
      <c r="AF150" s="231"/>
      <c r="AG150" s="231"/>
      <c r="AH150" s="231"/>
      <c r="AI150" s="231"/>
      <c r="AJ150" s="231"/>
      <c r="AK150" s="231"/>
    </row>
    <row r="151" spans="1:37" s="203" customFormat="1">
      <c r="A151" s="148"/>
      <c r="B151" s="129"/>
      <c r="C151" s="129"/>
      <c r="D151" s="149"/>
      <c r="E151" s="150"/>
      <c r="F151" s="29"/>
      <c r="G151" s="29"/>
      <c r="H151" s="207"/>
      <c r="I151" s="29"/>
      <c r="J151" s="231"/>
      <c r="K151" s="231"/>
      <c r="L151" s="231"/>
      <c r="M151" s="231"/>
      <c r="N151" s="231"/>
      <c r="O151" s="231"/>
      <c r="P151" s="231"/>
      <c r="Q151" s="231"/>
      <c r="R151" s="231"/>
      <c r="S151" s="231"/>
      <c r="T151" s="231"/>
      <c r="U151" s="231"/>
      <c r="V151" s="231"/>
      <c r="W151" s="231"/>
      <c r="X151" s="231"/>
      <c r="Y151" s="231"/>
      <c r="Z151" s="231"/>
      <c r="AA151" s="231"/>
      <c r="AB151" s="231"/>
      <c r="AC151" s="231"/>
      <c r="AD151" s="231"/>
      <c r="AE151" s="231"/>
      <c r="AF151" s="231"/>
      <c r="AG151" s="231"/>
      <c r="AH151" s="231"/>
      <c r="AI151" s="231"/>
      <c r="AJ151" s="231"/>
      <c r="AK151" s="231"/>
    </row>
    <row r="152" spans="1:37" s="203" customFormat="1">
      <c r="A152" s="148"/>
      <c r="B152" s="129"/>
      <c r="C152" s="129"/>
      <c r="D152" s="151"/>
      <c r="E152" s="152"/>
      <c r="F152" s="29"/>
      <c r="G152" s="29"/>
      <c r="H152" s="131" t="s">
        <v>27</v>
      </c>
      <c r="I152" s="29"/>
      <c r="J152" s="231"/>
      <c r="K152" s="231"/>
      <c r="L152" s="231"/>
      <c r="M152" s="231"/>
      <c r="N152" s="231"/>
      <c r="O152" s="231"/>
      <c r="P152" s="231"/>
      <c r="Q152" s="231"/>
      <c r="R152" s="231"/>
      <c r="S152" s="231"/>
      <c r="T152" s="231"/>
      <c r="U152" s="231"/>
      <c r="V152" s="231"/>
      <c r="W152" s="231"/>
      <c r="X152" s="231"/>
      <c r="Y152" s="231"/>
      <c r="Z152" s="231"/>
      <c r="AA152" s="231"/>
      <c r="AB152" s="231"/>
      <c r="AC152" s="231"/>
      <c r="AD152" s="231"/>
      <c r="AE152" s="231"/>
      <c r="AF152" s="231"/>
      <c r="AG152" s="231"/>
      <c r="AH152" s="231"/>
      <c r="AI152" s="231"/>
      <c r="AJ152" s="231"/>
      <c r="AK152" s="231"/>
    </row>
    <row r="153" spans="1:37" s="203" customFormat="1">
      <c r="A153" s="106" t="s">
        <v>20</v>
      </c>
      <c r="B153" s="107"/>
      <c r="C153" s="107"/>
      <c r="D153" s="107"/>
      <c r="E153" s="856" t="s">
        <v>377</v>
      </c>
      <c r="F153" s="856" t="s">
        <v>402</v>
      </c>
      <c r="G153" s="130"/>
      <c r="H153" s="856" t="s">
        <v>403</v>
      </c>
      <c r="I153" s="130"/>
      <c r="J153" s="231"/>
      <c r="K153" s="231"/>
      <c r="L153" s="231"/>
      <c r="M153" s="231"/>
      <c r="N153" s="231"/>
      <c r="O153" s="231"/>
      <c r="P153" s="231"/>
      <c r="Q153" s="231"/>
      <c r="R153" s="231"/>
      <c r="S153" s="231"/>
      <c r="T153" s="231"/>
      <c r="U153" s="231"/>
      <c r="V153" s="231"/>
      <c r="W153" s="231"/>
      <c r="X153" s="231"/>
      <c r="Y153" s="231"/>
      <c r="Z153" s="231"/>
      <c r="AA153" s="231"/>
      <c r="AB153" s="231"/>
      <c r="AC153" s="231"/>
      <c r="AD153" s="231"/>
      <c r="AE153" s="231"/>
      <c r="AF153" s="231"/>
      <c r="AG153" s="231"/>
      <c r="AH153" s="231"/>
      <c r="AI153" s="231"/>
      <c r="AJ153" s="231"/>
      <c r="AK153" s="231"/>
    </row>
    <row r="154" spans="1:37" s="203" customFormat="1">
      <c r="A154" s="153"/>
      <c r="B154" s="132"/>
      <c r="C154" s="132"/>
      <c r="D154" s="132"/>
      <c r="E154" s="859"/>
      <c r="F154" s="859"/>
      <c r="G154" s="130"/>
      <c r="H154" s="859"/>
      <c r="I154" s="130"/>
      <c r="J154" s="231"/>
      <c r="K154" s="231"/>
      <c r="L154" s="231"/>
      <c r="M154" s="231"/>
      <c r="N154" s="231"/>
      <c r="O154" s="231"/>
      <c r="P154" s="231"/>
      <c r="Q154" s="231"/>
      <c r="R154" s="231"/>
      <c r="S154" s="231"/>
      <c r="T154" s="231"/>
      <c r="U154" s="231"/>
      <c r="V154" s="231"/>
      <c r="W154" s="231"/>
      <c r="X154" s="231"/>
      <c r="Y154" s="231"/>
      <c r="Z154" s="231"/>
      <c r="AA154" s="231"/>
      <c r="AB154" s="231"/>
      <c r="AC154" s="231"/>
      <c r="AD154" s="231"/>
      <c r="AE154" s="231"/>
      <c r="AF154" s="231"/>
      <c r="AG154" s="231"/>
      <c r="AH154" s="231"/>
      <c r="AI154" s="231"/>
      <c r="AJ154" s="231"/>
      <c r="AK154" s="231"/>
    </row>
    <row r="155" spans="1:37" s="203" customFormat="1">
      <c r="A155" s="154" t="s">
        <v>131</v>
      </c>
      <c r="B155" s="116"/>
      <c r="C155" s="116"/>
      <c r="D155" s="116"/>
      <c r="E155" s="859"/>
      <c r="F155" s="859"/>
      <c r="G155" s="130"/>
      <c r="H155" s="859"/>
      <c r="I155" s="130"/>
      <c r="J155" s="231"/>
      <c r="K155" s="231"/>
      <c r="L155" s="231"/>
      <c r="M155" s="231"/>
      <c r="N155" s="231"/>
      <c r="O155" s="231"/>
      <c r="P155" s="231"/>
      <c r="Q155" s="231"/>
      <c r="R155" s="231"/>
      <c r="S155" s="231"/>
      <c r="T155" s="231"/>
      <c r="U155" s="231"/>
      <c r="V155" s="231"/>
      <c r="W155" s="231"/>
      <c r="X155" s="231"/>
      <c r="Y155" s="231"/>
      <c r="Z155" s="231"/>
      <c r="AA155" s="231"/>
      <c r="AB155" s="231"/>
      <c r="AC155" s="231"/>
      <c r="AD155" s="231"/>
      <c r="AE155" s="231"/>
      <c r="AF155" s="231"/>
      <c r="AG155" s="231"/>
      <c r="AH155" s="231"/>
      <c r="AI155" s="231"/>
      <c r="AJ155" s="231"/>
      <c r="AK155" s="231"/>
    </row>
    <row r="156" spans="1:37" s="203" customFormat="1" ht="12.75" customHeight="1">
      <c r="A156" s="109" t="s">
        <v>83</v>
      </c>
      <c r="B156" s="47"/>
      <c r="C156" s="47"/>
      <c r="D156" s="47"/>
      <c r="E156" s="859"/>
      <c r="F156" s="859"/>
      <c r="G156" s="130"/>
      <c r="H156" s="859"/>
      <c r="I156" s="130"/>
      <c r="J156" s="231"/>
      <c r="K156" s="231"/>
      <c r="L156" s="231"/>
      <c r="M156" s="231"/>
      <c r="N156" s="231"/>
      <c r="O156" s="231"/>
      <c r="P156" s="231"/>
      <c r="Q156" s="231"/>
      <c r="R156" s="231"/>
      <c r="S156" s="231"/>
      <c r="T156" s="231"/>
      <c r="U156" s="231"/>
      <c r="V156" s="231"/>
      <c r="W156" s="231"/>
      <c r="X156" s="231"/>
      <c r="Y156" s="231"/>
      <c r="Z156" s="231"/>
      <c r="AA156" s="231"/>
      <c r="AB156" s="231"/>
      <c r="AC156" s="231"/>
      <c r="AD156" s="231"/>
      <c r="AE156" s="231"/>
      <c r="AF156" s="231"/>
      <c r="AG156" s="231"/>
      <c r="AH156" s="231"/>
      <c r="AI156" s="231"/>
      <c r="AJ156" s="231"/>
      <c r="AK156" s="231"/>
    </row>
    <row r="157" spans="1:37" s="203" customFormat="1">
      <c r="A157" s="110" t="s">
        <v>84</v>
      </c>
      <c r="B157" s="132"/>
      <c r="C157" s="132"/>
      <c r="D157" s="132"/>
      <c r="E157" s="860"/>
      <c r="F157" s="860"/>
      <c r="G157" s="130"/>
      <c r="H157" s="860"/>
      <c r="I157" s="130"/>
      <c r="J157" s="231"/>
      <c r="K157" s="231"/>
      <c r="L157" s="231"/>
      <c r="M157" s="231"/>
      <c r="N157" s="231"/>
      <c r="O157" s="231"/>
      <c r="P157" s="231"/>
      <c r="Q157" s="231"/>
      <c r="R157" s="231"/>
      <c r="S157" s="231"/>
      <c r="T157" s="231"/>
      <c r="U157" s="231"/>
      <c r="V157" s="231"/>
      <c r="W157" s="231"/>
      <c r="X157" s="231"/>
      <c r="Y157" s="231"/>
      <c r="Z157" s="231"/>
      <c r="AA157" s="231"/>
      <c r="AB157" s="231"/>
      <c r="AC157" s="231"/>
      <c r="AD157" s="231"/>
      <c r="AE157" s="231"/>
      <c r="AF157" s="231"/>
      <c r="AG157" s="231"/>
      <c r="AH157" s="231"/>
      <c r="AI157" s="231"/>
      <c r="AJ157" s="231"/>
      <c r="AK157" s="231"/>
    </row>
    <row r="158" spans="1:37" s="203" customFormat="1">
      <c r="A158" s="119" t="s">
        <v>132</v>
      </c>
      <c r="B158" s="47"/>
      <c r="C158" s="47"/>
      <c r="D158" s="47"/>
      <c r="E158" s="155"/>
      <c r="F158" s="146" t="s">
        <v>133</v>
      </c>
      <c r="G158" s="118"/>
      <c r="H158" s="146"/>
      <c r="I158" s="29"/>
      <c r="J158" s="231"/>
      <c r="K158" s="231"/>
      <c r="L158" s="231"/>
      <c r="M158" s="231"/>
      <c r="N158" s="231"/>
      <c r="O158" s="231"/>
      <c r="P158" s="231"/>
      <c r="Q158" s="231"/>
      <c r="R158" s="231"/>
      <c r="S158" s="231"/>
      <c r="T158" s="231"/>
      <c r="U158" s="231"/>
      <c r="V158" s="231"/>
      <c r="W158" s="231"/>
      <c r="X158" s="231"/>
      <c r="Y158" s="231"/>
      <c r="Z158" s="231"/>
      <c r="AA158" s="231"/>
      <c r="AB158" s="231"/>
      <c r="AC158" s="231"/>
      <c r="AD158" s="231"/>
      <c r="AE158" s="231"/>
      <c r="AF158" s="231"/>
      <c r="AG158" s="231"/>
      <c r="AH158" s="231"/>
      <c r="AI158" s="231"/>
      <c r="AJ158" s="231"/>
      <c r="AK158" s="231"/>
    </row>
    <row r="159" spans="1:37" s="203" customFormat="1">
      <c r="A159" s="120">
        <v>1</v>
      </c>
      <c r="B159" s="47" t="s">
        <v>134</v>
      </c>
      <c r="C159" s="47"/>
      <c r="D159" s="47"/>
      <c r="E159" s="74">
        <v>8.4610000000000003</v>
      </c>
      <c r="F159" s="52">
        <v>6</v>
      </c>
      <c r="G159" s="118"/>
      <c r="H159" s="122">
        <v>12</v>
      </c>
      <c r="I159" s="29"/>
      <c r="J159" s="231"/>
      <c r="K159" s="231"/>
      <c r="L159" s="231"/>
      <c r="M159" s="231"/>
      <c r="N159" s="231"/>
      <c r="O159" s="231"/>
      <c r="P159" s="231"/>
      <c r="Q159" s="231"/>
      <c r="R159" s="231"/>
      <c r="S159" s="231"/>
      <c r="T159" s="231"/>
      <c r="U159" s="231"/>
      <c r="V159" s="231"/>
      <c r="W159" s="231"/>
      <c r="X159" s="231"/>
      <c r="Y159" s="231"/>
      <c r="Z159" s="231"/>
      <c r="AA159" s="231"/>
      <c r="AB159" s="231"/>
      <c r="AC159" s="231"/>
      <c r="AD159" s="231"/>
      <c r="AE159" s="231"/>
      <c r="AF159" s="231"/>
      <c r="AG159" s="231"/>
      <c r="AH159" s="231"/>
      <c r="AI159" s="231"/>
      <c r="AJ159" s="231"/>
      <c r="AK159" s="231"/>
    </row>
    <row r="160" spans="1:37" s="203" customFormat="1">
      <c r="A160" s="120">
        <v>2</v>
      </c>
      <c r="B160" s="47" t="s">
        <v>135</v>
      </c>
      <c r="C160" s="47"/>
      <c r="D160" s="47"/>
      <c r="E160" s="49">
        <v>373.66899999999998</v>
      </c>
      <c r="F160" s="52">
        <v>430</v>
      </c>
      <c r="G160" s="118"/>
      <c r="H160" s="122">
        <v>404</v>
      </c>
      <c r="I160" s="29"/>
      <c r="J160" s="231"/>
      <c r="K160" s="231"/>
      <c r="L160" s="231"/>
      <c r="M160" s="231"/>
      <c r="N160" s="231"/>
      <c r="O160" s="231"/>
      <c r="P160" s="231"/>
      <c r="Q160" s="231"/>
      <c r="R160" s="231"/>
      <c r="S160" s="231"/>
      <c r="T160" s="231"/>
      <c r="U160" s="231"/>
      <c r="V160" s="231"/>
      <c r="W160" s="231"/>
      <c r="X160" s="231"/>
      <c r="Y160" s="231"/>
      <c r="Z160" s="231"/>
      <c r="AA160" s="231"/>
      <c r="AB160" s="231"/>
      <c r="AC160" s="231"/>
      <c r="AD160" s="231"/>
      <c r="AE160" s="231"/>
      <c r="AF160" s="231"/>
      <c r="AG160" s="231"/>
      <c r="AH160" s="231"/>
      <c r="AI160" s="231"/>
      <c r="AJ160" s="231"/>
      <c r="AK160" s="231"/>
    </row>
    <row r="161" spans="1:37" s="203" customFormat="1">
      <c r="A161" s="120">
        <v>3</v>
      </c>
      <c r="B161" s="47" t="s">
        <v>136</v>
      </c>
      <c r="C161" s="47"/>
      <c r="D161" s="47"/>
      <c r="E161" s="114">
        <v>2793.7860000000001</v>
      </c>
      <c r="F161" s="52">
        <v>2978</v>
      </c>
      <c r="G161" s="118"/>
      <c r="H161" s="122">
        <v>2862</v>
      </c>
      <c r="I161" s="29"/>
      <c r="J161" s="231"/>
      <c r="K161" s="231"/>
      <c r="L161" s="231"/>
      <c r="M161" s="231"/>
      <c r="N161" s="231"/>
      <c r="O161" s="231"/>
      <c r="P161" s="231"/>
      <c r="Q161" s="231"/>
      <c r="R161" s="231"/>
      <c r="S161" s="231"/>
      <c r="T161" s="231"/>
      <c r="U161" s="231"/>
      <c r="V161" s="231"/>
      <c r="W161" s="231"/>
      <c r="X161" s="231"/>
      <c r="Y161" s="231"/>
      <c r="Z161" s="231"/>
      <c r="AA161" s="231"/>
      <c r="AB161" s="231"/>
      <c r="AC161" s="231"/>
      <c r="AD161" s="231"/>
      <c r="AE161" s="231"/>
      <c r="AF161" s="231"/>
      <c r="AG161" s="231"/>
      <c r="AH161" s="231"/>
      <c r="AI161" s="231"/>
      <c r="AJ161" s="231"/>
      <c r="AK161" s="231"/>
    </row>
    <row r="162" spans="1:37" s="203" customFormat="1">
      <c r="A162" s="120">
        <v>4</v>
      </c>
      <c r="B162" s="47" t="s">
        <v>137</v>
      </c>
      <c r="C162" s="47"/>
      <c r="D162" s="47"/>
      <c r="E162" s="114">
        <v>1159.1769999999999</v>
      </c>
      <c r="F162" s="52">
        <v>984</v>
      </c>
      <c r="G162" s="118"/>
      <c r="H162" s="100">
        <v>856</v>
      </c>
      <c r="I162" s="29"/>
      <c r="J162" s="231"/>
      <c r="K162" s="231"/>
      <c r="L162" s="231"/>
      <c r="M162" s="231"/>
      <c r="N162" s="231"/>
      <c r="O162" s="231"/>
      <c r="P162" s="231"/>
      <c r="Q162" s="231"/>
      <c r="R162" s="231"/>
      <c r="S162" s="231"/>
      <c r="T162" s="231"/>
      <c r="U162" s="231"/>
      <c r="V162" s="231"/>
      <c r="W162" s="231"/>
      <c r="X162" s="231"/>
      <c r="Y162" s="231"/>
      <c r="Z162" s="231"/>
      <c r="AA162" s="231"/>
      <c r="AB162" s="231"/>
      <c r="AC162" s="231"/>
      <c r="AD162" s="231"/>
      <c r="AE162" s="231"/>
      <c r="AF162" s="231"/>
      <c r="AG162" s="231"/>
      <c r="AH162" s="231"/>
      <c r="AI162" s="231"/>
      <c r="AJ162" s="231"/>
      <c r="AK162" s="231"/>
    </row>
    <row r="163" spans="1:37" s="203" customFormat="1">
      <c r="A163" s="120">
        <v>5</v>
      </c>
      <c r="B163" s="116" t="s">
        <v>138</v>
      </c>
      <c r="C163" s="116"/>
      <c r="D163" s="116"/>
      <c r="E163" s="80">
        <v>4335.0929999999998</v>
      </c>
      <c r="F163" s="142">
        <f>SUM(F159:F162)</f>
        <v>4398</v>
      </c>
      <c r="G163" s="118"/>
      <c r="H163" s="142">
        <f>SUM(H159:H162)</f>
        <v>4134</v>
      </c>
      <c r="I163" s="29"/>
      <c r="J163" s="231"/>
      <c r="K163" s="231"/>
      <c r="L163" s="231"/>
      <c r="M163" s="231"/>
      <c r="N163" s="231"/>
      <c r="O163" s="231"/>
      <c r="P163" s="231"/>
      <c r="Q163" s="231"/>
      <c r="R163" s="231"/>
      <c r="S163" s="231"/>
      <c r="T163" s="231"/>
      <c r="U163" s="231"/>
      <c r="V163" s="231"/>
      <c r="W163" s="231"/>
      <c r="X163" s="231"/>
      <c r="Y163" s="231"/>
      <c r="Z163" s="231"/>
      <c r="AA163" s="231"/>
      <c r="AB163" s="231"/>
      <c r="AC163" s="231"/>
      <c r="AD163" s="231"/>
      <c r="AE163" s="231"/>
      <c r="AF163" s="231"/>
      <c r="AG163" s="231"/>
      <c r="AH163" s="231"/>
      <c r="AI163" s="231"/>
      <c r="AJ163" s="231"/>
      <c r="AK163" s="231"/>
    </row>
    <row r="164" spans="1:37" s="203" customFormat="1">
      <c r="A164" s="46"/>
      <c r="B164" s="132"/>
      <c r="C164" s="132"/>
      <c r="D164" s="132"/>
      <c r="E164" s="156"/>
      <c r="F164" s="139"/>
      <c r="G164" s="139"/>
      <c r="H164" s="139"/>
      <c r="I164" s="29"/>
      <c r="J164" s="231"/>
      <c r="K164" s="231"/>
      <c r="L164" s="231"/>
      <c r="M164" s="231"/>
      <c r="N164" s="231"/>
      <c r="O164" s="231"/>
      <c r="P164" s="231"/>
      <c r="Q164" s="231"/>
      <c r="R164" s="231"/>
      <c r="S164" s="231"/>
      <c r="T164" s="231"/>
      <c r="U164" s="231"/>
      <c r="V164" s="231"/>
      <c r="W164" s="231"/>
      <c r="X164" s="231"/>
      <c r="Y164" s="231"/>
      <c r="Z164" s="231"/>
      <c r="AA164" s="231"/>
      <c r="AB164" s="231"/>
      <c r="AC164" s="231"/>
      <c r="AD164" s="231"/>
      <c r="AE164" s="231"/>
      <c r="AF164" s="231"/>
      <c r="AG164" s="231"/>
      <c r="AH164" s="231"/>
      <c r="AI164" s="231"/>
      <c r="AJ164" s="231"/>
      <c r="AK164" s="231"/>
    </row>
    <row r="165" spans="1:37" s="203" customFormat="1">
      <c r="A165" s="119" t="s">
        <v>139</v>
      </c>
      <c r="B165" s="47"/>
      <c r="C165" s="47"/>
      <c r="D165" s="47"/>
      <c r="E165" s="140"/>
      <c r="F165" s="146"/>
      <c r="G165" s="118"/>
      <c r="H165" s="146"/>
      <c r="I165" s="29"/>
      <c r="J165" s="231"/>
      <c r="K165" s="231"/>
      <c r="L165" s="231"/>
      <c r="M165" s="231"/>
      <c r="N165" s="231"/>
      <c r="O165" s="231"/>
      <c r="P165" s="231"/>
      <c r="Q165" s="231"/>
      <c r="R165" s="231"/>
      <c r="S165" s="231"/>
      <c r="T165" s="231"/>
      <c r="U165" s="231"/>
      <c r="V165" s="231"/>
      <c r="W165" s="231"/>
      <c r="X165" s="231"/>
      <c r="Y165" s="231"/>
      <c r="Z165" s="231"/>
      <c r="AA165" s="231"/>
      <c r="AB165" s="231"/>
      <c r="AC165" s="231"/>
      <c r="AD165" s="231"/>
      <c r="AE165" s="231"/>
      <c r="AF165" s="231"/>
      <c r="AG165" s="231"/>
      <c r="AH165" s="231"/>
      <c r="AI165" s="231"/>
      <c r="AJ165" s="231"/>
      <c r="AK165" s="231"/>
    </row>
    <row r="166" spans="1:37" s="203" customFormat="1">
      <c r="A166" s="120">
        <v>6</v>
      </c>
      <c r="B166" s="47" t="s">
        <v>140</v>
      </c>
      <c r="C166" s="47"/>
      <c r="D166" s="47"/>
      <c r="E166" s="74">
        <v>473.06400000000002</v>
      </c>
      <c r="F166" s="52">
        <v>403</v>
      </c>
      <c r="G166" s="118"/>
      <c r="H166" s="122">
        <v>338</v>
      </c>
      <c r="I166" s="29"/>
      <c r="J166" s="231"/>
      <c r="K166" s="231"/>
      <c r="L166" s="231"/>
      <c r="M166" s="231"/>
      <c r="N166" s="231"/>
      <c r="O166" s="231"/>
      <c r="P166" s="231"/>
      <c r="Q166" s="231"/>
      <c r="R166" s="231"/>
      <c r="S166" s="231"/>
      <c r="T166" s="231"/>
      <c r="U166" s="231"/>
      <c r="V166" s="231"/>
      <c r="W166" s="231"/>
      <c r="X166" s="231"/>
      <c r="Y166" s="231"/>
      <c r="Z166" s="231"/>
      <c r="AA166" s="231"/>
      <c r="AB166" s="231"/>
      <c r="AC166" s="231"/>
      <c r="AD166" s="231"/>
      <c r="AE166" s="231"/>
      <c r="AF166" s="231"/>
      <c r="AG166" s="231"/>
      <c r="AH166" s="231"/>
      <c r="AI166" s="231"/>
      <c r="AJ166" s="231"/>
      <c r="AK166" s="231"/>
    </row>
    <row r="167" spans="1:37" s="203" customFormat="1">
      <c r="A167" s="120">
        <v>7</v>
      </c>
      <c r="B167" s="47" t="s">
        <v>141</v>
      </c>
      <c r="C167" s="47"/>
      <c r="D167" s="47"/>
      <c r="E167" s="49">
        <v>823.9</v>
      </c>
      <c r="F167" s="52">
        <v>741</v>
      </c>
      <c r="G167" s="118"/>
      <c r="H167" s="122">
        <v>766</v>
      </c>
      <c r="I167" s="29"/>
      <c r="J167" s="231"/>
      <c r="K167" s="231"/>
      <c r="L167" s="231"/>
      <c r="M167" s="231"/>
      <c r="N167" s="231"/>
      <c r="O167" s="231"/>
      <c r="P167" s="231"/>
      <c r="Q167" s="231"/>
      <c r="R167" s="231"/>
      <c r="S167" s="231"/>
      <c r="T167" s="231"/>
      <c r="U167" s="231"/>
      <c r="V167" s="231"/>
      <c r="W167" s="231"/>
      <c r="X167" s="231"/>
      <c r="Y167" s="231"/>
      <c r="Z167" s="231"/>
      <c r="AA167" s="231"/>
      <c r="AB167" s="231"/>
      <c r="AC167" s="231"/>
      <c r="AD167" s="231"/>
      <c r="AE167" s="231"/>
      <c r="AF167" s="231"/>
      <c r="AG167" s="231"/>
      <c r="AH167" s="231"/>
      <c r="AI167" s="231"/>
      <c r="AJ167" s="231"/>
      <c r="AK167" s="231"/>
    </row>
    <row r="168" spans="1:37" s="203" customFormat="1">
      <c r="A168" s="120">
        <v>8</v>
      </c>
      <c r="B168" s="47" t="s">
        <v>121</v>
      </c>
      <c r="C168" s="47"/>
      <c r="D168" s="47"/>
      <c r="E168" s="49">
        <v>8.0000000000000002E-3</v>
      </c>
      <c r="F168" s="52">
        <v>223</v>
      </c>
      <c r="G168" s="118"/>
      <c r="H168" s="100">
        <v>277</v>
      </c>
      <c r="I168" s="29"/>
      <c r="J168" s="231"/>
      <c r="K168" s="231"/>
      <c r="L168" s="231"/>
      <c r="M168" s="231"/>
      <c r="N168" s="231"/>
      <c r="O168" s="231"/>
      <c r="P168" s="231"/>
      <c r="Q168" s="231"/>
      <c r="R168" s="231"/>
      <c r="S168" s="231"/>
      <c r="T168" s="231"/>
      <c r="U168" s="231"/>
      <c r="V168" s="231"/>
      <c r="W168" s="231"/>
      <c r="X168" s="231"/>
      <c r="Y168" s="231"/>
      <c r="Z168" s="231"/>
      <c r="AA168" s="231"/>
      <c r="AB168" s="231"/>
      <c r="AC168" s="231"/>
      <c r="AD168" s="231"/>
      <c r="AE168" s="231"/>
      <c r="AF168" s="231"/>
      <c r="AG168" s="231"/>
      <c r="AH168" s="231"/>
      <c r="AI168" s="231"/>
      <c r="AJ168" s="231"/>
      <c r="AK168" s="231"/>
    </row>
    <row r="169" spans="1:37" s="203" customFormat="1">
      <c r="A169" s="120">
        <v>9</v>
      </c>
      <c r="B169" s="116" t="s">
        <v>142</v>
      </c>
      <c r="C169" s="116"/>
      <c r="D169" s="116"/>
      <c r="E169" s="80">
        <v>1296.972</v>
      </c>
      <c r="F169" s="142">
        <f>SUM(F166:F168)</f>
        <v>1367</v>
      </c>
      <c r="G169" s="118"/>
      <c r="H169" s="142">
        <f>SUM(H166:H168)</f>
        <v>1381</v>
      </c>
      <c r="I169" s="29"/>
      <c r="J169" s="231"/>
      <c r="K169" s="231"/>
      <c r="L169" s="231"/>
      <c r="M169" s="231"/>
      <c r="N169" s="231"/>
      <c r="O169" s="231"/>
      <c r="P169" s="231"/>
      <c r="Q169" s="231"/>
      <c r="R169" s="231"/>
      <c r="S169" s="231"/>
      <c r="T169" s="231"/>
      <c r="U169" s="231"/>
      <c r="V169" s="231"/>
      <c r="W169" s="231"/>
      <c r="X169" s="231"/>
      <c r="Y169" s="231"/>
      <c r="Z169" s="231"/>
      <c r="AA169" s="231"/>
      <c r="AB169" s="231"/>
      <c r="AC169" s="231"/>
      <c r="AD169" s="231"/>
      <c r="AE169" s="231"/>
      <c r="AF169" s="231"/>
      <c r="AG169" s="231"/>
      <c r="AH169" s="231"/>
      <c r="AI169" s="231"/>
      <c r="AJ169" s="231"/>
      <c r="AK169" s="231"/>
    </row>
    <row r="170" spans="1:37" s="203" customFormat="1">
      <c r="A170" s="46"/>
      <c r="B170" s="132"/>
      <c r="C170" s="132"/>
      <c r="D170" s="132"/>
      <c r="E170" s="156"/>
      <c r="F170" s="139"/>
      <c r="G170" s="139"/>
      <c r="H170" s="139"/>
      <c r="I170" s="29"/>
      <c r="J170" s="231"/>
      <c r="K170" s="231"/>
      <c r="L170" s="231"/>
      <c r="M170" s="231"/>
      <c r="N170" s="231"/>
      <c r="O170" s="231"/>
      <c r="P170" s="231"/>
      <c r="Q170" s="231"/>
      <c r="R170" s="231"/>
      <c r="S170" s="231"/>
      <c r="T170" s="231"/>
      <c r="U170" s="231"/>
      <c r="V170" s="231"/>
      <c r="W170" s="231"/>
      <c r="X170" s="231"/>
      <c r="Y170" s="231"/>
      <c r="Z170" s="231"/>
      <c r="AA170" s="231"/>
      <c r="AB170" s="231"/>
      <c r="AC170" s="231"/>
      <c r="AD170" s="231"/>
      <c r="AE170" s="231"/>
      <c r="AF170" s="231"/>
      <c r="AG170" s="231"/>
      <c r="AH170" s="231"/>
      <c r="AI170" s="231"/>
      <c r="AJ170" s="231"/>
      <c r="AK170" s="231"/>
    </row>
    <row r="171" spans="1:37" s="203" customFormat="1">
      <c r="A171" s="120">
        <v>10</v>
      </c>
      <c r="B171" s="47" t="s">
        <v>143</v>
      </c>
      <c r="C171" s="47"/>
      <c r="D171" s="47"/>
      <c r="E171" s="41">
        <v>507.154</v>
      </c>
      <c r="F171" s="121">
        <v>-96</v>
      </c>
      <c r="G171" s="118"/>
      <c r="H171" s="133">
        <v>-268</v>
      </c>
      <c r="I171" s="29"/>
      <c r="J171" s="231"/>
      <c r="K171" s="231"/>
      <c r="L171" s="231"/>
      <c r="M171" s="231"/>
      <c r="N171" s="231"/>
      <c r="O171" s="231"/>
      <c r="P171" s="231"/>
      <c r="Q171" s="231"/>
      <c r="R171" s="231"/>
      <c r="S171" s="231"/>
      <c r="T171" s="231"/>
      <c r="U171" s="231"/>
      <c r="V171" s="231"/>
      <c r="W171" s="231"/>
      <c r="X171" s="231"/>
      <c r="Y171" s="231"/>
      <c r="Z171" s="231"/>
      <c r="AA171" s="231"/>
      <c r="AB171" s="231"/>
      <c r="AC171" s="231"/>
      <c r="AD171" s="231"/>
      <c r="AE171" s="231"/>
      <c r="AF171" s="231"/>
      <c r="AG171" s="231"/>
      <c r="AH171" s="231"/>
      <c r="AI171" s="231"/>
      <c r="AJ171" s="231"/>
      <c r="AK171" s="231"/>
    </row>
    <row r="172" spans="1:37" s="203" customFormat="1">
      <c r="A172" s="120">
        <v>11</v>
      </c>
      <c r="B172" s="47" t="s">
        <v>144</v>
      </c>
      <c r="C172" s="47"/>
      <c r="D172" s="47"/>
      <c r="E172" s="56">
        <v>0</v>
      </c>
      <c r="F172" s="126"/>
      <c r="G172" s="118"/>
      <c r="H172" s="100"/>
      <c r="I172" s="29"/>
      <c r="J172" s="231"/>
      <c r="K172" s="231"/>
      <c r="L172" s="231"/>
      <c r="M172" s="231"/>
      <c r="N172" s="231"/>
      <c r="O172" s="231"/>
      <c r="P172" s="231"/>
      <c r="Q172" s="231"/>
      <c r="R172" s="231"/>
      <c r="S172" s="231"/>
      <c r="T172" s="231"/>
      <c r="U172" s="231"/>
      <c r="V172" s="231"/>
      <c r="W172" s="231"/>
      <c r="X172" s="231"/>
      <c r="Y172" s="231"/>
      <c r="Z172" s="231"/>
      <c r="AA172" s="231"/>
      <c r="AB172" s="231"/>
      <c r="AC172" s="231"/>
      <c r="AD172" s="231"/>
      <c r="AE172" s="231"/>
      <c r="AF172" s="231"/>
      <c r="AG172" s="231"/>
      <c r="AH172" s="231"/>
      <c r="AI172" s="231"/>
      <c r="AJ172" s="231"/>
      <c r="AK172" s="231"/>
    </row>
    <row r="173" spans="1:37" s="203" customFormat="1">
      <c r="A173" s="46"/>
      <c r="B173" s="132"/>
      <c r="C173" s="132"/>
      <c r="D173" s="132"/>
      <c r="E173" s="156"/>
      <c r="F173" s="139"/>
      <c r="G173" s="139"/>
      <c r="H173" s="139"/>
      <c r="I173" s="29"/>
      <c r="J173" s="231"/>
      <c r="K173" s="231"/>
      <c r="L173" s="231"/>
      <c r="M173" s="231"/>
      <c r="N173" s="231"/>
      <c r="O173" s="231"/>
      <c r="P173" s="231"/>
      <c r="Q173" s="231"/>
      <c r="R173" s="231"/>
      <c r="S173" s="231"/>
      <c r="T173" s="231"/>
      <c r="U173" s="231"/>
      <c r="V173" s="231"/>
      <c r="W173" s="231"/>
      <c r="X173" s="231"/>
      <c r="Y173" s="231"/>
      <c r="Z173" s="231"/>
      <c r="AA173" s="231"/>
      <c r="AB173" s="231"/>
      <c r="AC173" s="231"/>
      <c r="AD173" s="231"/>
      <c r="AE173" s="231"/>
      <c r="AF173" s="231"/>
      <c r="AG173" s="231"/>
      <c r="AH173" s="231"/>
      <c r="AI173" s="231"/>
      <c r="AJ173" s="231"/>
      <c r="AK173" s="231"/>
    </row>
    <row r="174" spans="1:37" s="203" customFormat="1">
      <c r="A174" s="119" t="s">
        <v>145</v>
      </c>
      <c r="B174" s="47"/>
      <c r="C174" s="47"/>
      <c r="D174" s="47"/>
      <c r="E174" s="157"/>
      <c r="F174" s="146"/>
      <c r="G174" s="118"/>
      <c r="H174" s="146"/>
      <c r="I174" s="29"/>
      <c r="J174" s="231"/>
      <c r="K174" s="231"/>
      <c r="L174" s="231"/>
      <c r="M174" s="231"/>
      <c r="N174" s="231"/>
      <c r="O174" s="231"/>
      <c r="P174" s="231"/>
      <c r="Q174" s="231"/>
      <c r="R174" s="231"/>
      <c r="S174" s="231"/>
      <c r="T174" s="231"/>
      <c r="U174" s="231"/>
      <c r="V174" s="231"/>
      <c r="W174" s="231"/>
      <c r="X174" s="231"/>
      <c r="Y174" s="231"/>
      <c r="Z174" s="231"/>
      <c r="AA174" s="231"/>
      <c r="AB174" s="231"/>
      <c r="AC174" s="231"/>
      <c r="AD174" s="231"/>
      <c r="AE174" s="231"/>
      <c r="AF174" s="231"/>
      <c r="AG174" s="231"/>
      <c r="AH174" s="231"/>
      <c r="AI174" s="231"/>
      <c r="AJ174" s="231"/>
      <c r="AK174" s="231"/>
    </row>
    <row r="175" spans="1:37" s="203" customFormat="1">
      <c r="A175" s="120">
        <v>12</v>
      </c>
      <c r="B175" s="47" t="s">
        <v>146</v>
      </c>
      <c r="C175" s="47"/>
      <c r="D175" s="47"/>
      <c r="E175" s="74">
        <v>413.83</v>
      </c>
      <c r="F175" s="52">
        <v>210</v>
      </c>
      <c r="G175" s="118"/>
      <c r="H175" s="122">
        <v>418</v>
      </c>
      <c r="I175" s="29"/>
      <c r="J175" s="231"/>
      <c r="K175" s="231"/>
      <c r="L175" s="231"/>
      <c r="M175" s="231"/>
      <c r="N175" s="231"/>
      <c r="O175" s="231"/>
      <c r="P175" s="231"/>
      <c r="Q175" s="231"/>
      <c r="R175" s="231"/>
      <c r="S175" s="231"/>
      <c r="T175" s="231"/>
      <c r="U175" s="231"/>
      <c r="V175" s="231"/>
      <c r="W175" s="231"/>
      <c r="X175" s="231"/>
      <c r="Y175" s="231"/>
      <c r="Z175" s="231"/>
      <c r="AA175" s="231"/>
      <c r="AB175" s="231"/>
      <c r="AC175" s="231"/>
      <c r="AD175" s="231"/>
      <c r="AE175" s="231"/>
      <c r="AF175" s="231"/>
      <c r="AG175" s="231"/>
      <c r="AH175" s="231"/>
      <c r="AI175" s="231"/>
      <c r="AJ175" s="231"/>
      <c r="AK175" s="231"/>
    </row>
    <row r="176" spans="1:37" s="203" customFormat="1">
      <c r="A176" s="120">
        <v>13</v>
      </c>
      <c r="B176" s="47" t="s">
        <v>147</v>
      </c>
      <c r="C176" s="47"/>
      <c r="D176" s="47"/>
      <c r="E176" s="49">
        <v>1649.17</v>
      </c>
      <c r="F176" s="52">
        <v>1618</v>
      </c>
      <c r="G176" s="118"/>
      <c r="H176" s="122">
        <v>1518</v>
      </c>
      <c r="I176" s="29"/>
      <c r="J176" s="231"/>
      <c r="K176" s="231"/>
      <c r="L176" s="231"/>
      <c r="M176" s="231"/>
      <c r="N176" s="231"/>
      <c r="O176" s="231"/>
      <c r="P176" s="231"/>
      <c r="Q176" s="231"/>
      <c r="R176" s="231"/>
      <c r="S176" s="231"/>
      <c r="T176" s="231"/>
      <c r="U176" s="231"/>
      <c r="V176" s="231"/>
      <c r="W176" s="231"/>
      <c r="X176" s="231"/>
      <c r="Y176" s="231"/>
      <c r="Z176" s="231"/>
      <c r="AA176" s="231"/>
      <c r="AB176" s="231"/>
      <c r="AC176" s="231"/>
      <c r="AD176" s="231"/>
      <c r="AE176" s="231"/>
      <c r="AF176" s="231"/>
      <c r="AG176" s="231"/>
      <c r="AH176" s="231"/>
      <c r="AI176" s="231"/>
      <c r="AJ176" s="231"/>
      <c r="AK176" s="231"/>
    </row>
    <row r="177" spans="1:37" s="203" customFormat="1">
      <c r="A177" s="120">
        <v>14</v>
      </c>
      <c r="B177" s="47" t="s">
        <v>148</v>
      </c>
      <c r="C177" s="47"/>
      <c r="D177" s="47"/>
      <c r="E177" s="56">
        <v>0</v>
      </c>
      <c r="F177" s="52">
        <v>200</v>
      </c>
      <c r="G177" s="118"/>
      <c r="H177" s="100"/>
      <c r="I177" s="29"/>
      <c r="J177" s="231"/>
      <c r="K177" s="231"/>
      <c r="L177" s="231"/>
      <c r="M177" s="231"/>
      <c r="N177" s="231"/>
      <c r="O177" s="231"/>
      <c r="P177" s="231"/>
      <c r="Q177" s="231"/>
      <c r="R177" s="231"/>
      <c r="S177" s="231"/>
      <c r="T177" s="231"/>
      <c r="U177" s="231"/>
      <c r="V177" s="231"/>
      <c r="W177" s="231"/>
      <c r="X177" s="231"/>
      <c r="Y177" s="231"/>
      <c r="Z177" s="231"/>
      <c r="AA177" s="231"/>
      <c r="AB177" s="231"/>
      <c r="AC177" s="231"/>
      <c r="AD177" s="231"/>
      <c r="AE177" s="231"/>
      <c r="AF177" s="231"/>
      <c r="AG177" s="231"/>
      <c r="AH177" s="231"/>
      <c r="AI177" s="231"/>
      <c r="AJ177" s="231"/>
      <c r="AK177" s="231"/>
    </row>
    <row r="178" spans="1:37" s="203" customFormat="1">
      <c r="A178" s="120">
        <v>15</v>
      </c>
      <c r="B178" s="116" t="s">
        <v>149</v>
      </c>
      <c r="C178" s="116"/>
      <c r="D178" s="116"/>
      <c r="E178" s="80">
        <v>2063</v>
      </c>
      <c r="F178" s="142">
        <f>SUM(F175:F177)</f>
        <v>2028</v>
      </c>
      <c r="G178" s="118"/>
      <c r="H178" s="142">
        <f>SUM(H175:H177)</f>
        <v>1936</v>
      </c>
      <c r="I178" s="29"/>
      <c r="J178" s="231"/>
      <c r="K178" s="231"/>
      <c r="L178" s="231"/>
      <c r="M178" s="231"/>
      <c r="N178" s="231"/>
      <c r="O178" s="231"/>
      <c r="P178" s="231"/>
      <c r="Q178" s="231"/>
      <c r="R178" s="231"/>
      <c r="S178" s="231"/>
      <c r="T178" s="231"/>
      <c r="U178" s="231"/>
      <c r="V178" s="231"/>
      <c r="W178" s="231"/>
      <c r="X178" s="231"/>
      <c r="Y178" s="231"/>
      <c r="Z178" s="231"/>
      <c r="AA178" s="231"/>
      <c r="AB178" s="231"/>
      <c r="AC178" s="231"/>
      <c r="AD178" s="231"/>
      <c r="AE178" s="231"/>
      <c r="AF178" s="231"/>
      <c r="AG178" s="231"/>
      <c r="AH178" s="231"/>
      <c r="AI178" s="231"/>
      <c r="AJ178" s="231"/>
      <c r="AK178" s="231"/>
    </row>
    <row r="179" spans="1:37" s="203" customFormat="1">
      <c r="A179" s="120">
        <v>16</v>
      </c>
      <c r="B179" s="116" t="s">
        <v>150</v>
      </c>
      <c r="C179" s="116"/>
      <c r="D179" s="116"/>
      <c r="E179" s="80">
        <v>2063</v>
      </c>
      <c r="F179" s="158">
        <f>F172+F178</f>
        <v>2028</v>
      </c>
      <c r="G179" s="118"/>
      <c r="H179" s="158">
        <f>H172+H178</f>
        <v>1936</v>
      </c>
      <c r="I179" s="29"/>
      <c r="J179" s="231"/>
      <c r="K179" s="231"/>
      <c r="L179" s="231"/>
      <c r="M179" s="231"/>
      <c r="N179" s="231"/>
      <c r="O179" s="231"/>
      <c r="P179" s="231"/>
      <c r="Q179" s="231"/>
      <c r="R179" s="231"/>
      <c r="S179" s="231"/>
      <c r="T179" s="231"/>
      <c r="U179" s="231"/>
      <c r="V179" s="231"/>
      <c r="W179" s="231"/>
      <c r="X179" s="231"/>
      <c r="Y179" s="231"/>
      <c r="Z179" s="231"/>
      <c r="AA179" s="231"/>
      <c r="AB179" s="231"/>
      <c r="AC179" s="231"/>
      <c r="AD179" s="231"/>
      <c r="AE179" s="231"/>
      <c r="AF179" s="231"/>
      <c r="AG179" s="231"/>
      <c r="AH179" s="231"/>
      <c r="AI179" s="231"/>
      <c r="AJ179" s="231"/>
      <c r="AK179" s="231"/>
    </row>
    <row r="180" spans="1:37" s="203" customFormat="1">
      <c r="A180" s="120">
        <v>17</v>
      </c>
      <c r="B180" s="116" t="s">
        <v>151</v>
      </c>
      <c r="C180" s="116"/>
      <c r="D180" s="116"/>
      <c r="E180" s="159">
        <v>8202.2189999999991</v>
      </c>
      <c r="F180" s="61">
        <f>SUM(F163+F169+F171+F179)</f>
        <v>7697</v>
      </c>
      <c r="G180" s="118"/>
      <c r="H180" s="61">
        <f>SUM(H163+H169+H171+H179)</f>
        <v>7183</v>
      </c>
      <c r="I180" s="29"/>
      <c r="J180" s="231"/>
      <c r="K180" s="231"/>
      <c r="L180" s="231"/>
      <c r="M180" s="231"/>
      <c r="N180" s="231"/>
      <c r="O180" s="231"/>
      <c r="P180" s="231"/>
      <c r="Q180" s="231"/>
      <c r="R180" s="231"/>
      <c r="S180" s="231"/>
      <c r="T180" s="231"/>
      <c r="U180" s="231"/>
      <c r="V180" s="231"/>
      <c r="W180" s="231"/>
      <c r="X180" s="231"/>
      <c r="Y180" s="231"/>
      <c r="Z180" s="231"/>
      <c r="AA180" s="231"/>
      <c r="AB180" s="231"/>
      <c r="AC180" s="231"/>
      <c r="AD180" s="231"/>
      <c r="AE180" s="231"/>
      <c r="AF180" s="231"/>
      <c r="AG180" s="231"/>
      <c r="AH180" s="231"/>
      <c r="AI180" s="231"/>
      <c r="AJ180" s="231"/>
      <c r="AK180" s="231"/>
    </row>
    <row r="181" spans="1:37" s="203" customFormat="1">
      <c r="A181" s="46"/>
      <c r="B181" s="132"/>
      <c r="C181" s="132"/>
      <c r="D181" s="132"/>
      <c r="E181" s="156"/>
      <c r="F181" s="139"/>
      <c r="G181" s="139"/>
      <c r="H181" s="139"/>
      <c r="I181" s="29"/>
      <c r="J181" s="231"/>
      <c r="K181" s="231"/>
      <c r="L181" s="231"/>
      <c r="M181" s="231"/>
      <c r="N181" s="231"/>
      <c r="O181" s="231"/>
      <c r="P181" s="231"/>
      <c r="Q181" s="231"/>
      <c r="R181" s="231"/>
      <c r="S181" s="231"/>
      <c r="T181" s="231"/>
      <c r="U181" s="231"/>
      <c r="V181" s="231"/>
      <c r="W181" s="231"/>
      <c r="X181" s="231"/>
      <c r="Y181" s="231"/>
      <c r="Z181" s="231"/>
      <c r="AA181" s="231"/>
      <c r="AB181" s="231"/>
      <c r="AC181" s="231"/>
      <c r="AD181" s="231"/>
      <c r="AE181" s="231"/>
      <c r="AF181" s="231"/>
      <c r="AG181" s="231"/>
      <c r="AH181" s="231"/>
      <c r="AI181" s="231"/>
      <c r="AJ181" s="231"/>
      <c r="AK181" s="231"/>
    </row>
    <row r="182" spans="1:37" s="203" customFormat="1">
      <c r="A182" s="119" t="s">
        <v>152</v>
      </c>
      <c r="B182" s="47"/>
      <c r="C182" s="47"/>
      <c r="D182" s="116"/>
      <c r="E182" s="117"/>
      <c r="F182" s="118"/>
      <c r="G182" s="118"/>
      <c r="H182" s="118"/>
      <c r="I182" s="29"/>
      <c r="J182" s="231"/>
      <c r="K182" s="231"/>
      <c r="L182" s="231"/>
      <c r="M182" s="231"/>
      <c r="N182" s="231"/>
      <c r="O182" s="231"/>
      <c r="P182" s="231"/>
      <c r="Q182" s="231"/>
      <c r="R182" s="231"/>
      <c r="S182" s="231"/>
      <c r="T182" s="231"/>
      <c r="U182" s="231"/>
      <c r="V182" s="231"/>
      <c r="W182" s="231"/>
      <c r="X182" s="231"/>
      <c r="Y182" s="231"/>
      <c r="Z182" s="231"/>
      <c r="AA182" s="231"/>
      <c r="AB182" s="231"/>
      <c r="AC182" s="231"/>
      <c r="AD182" s="231"/>
      <c r="AE182" s="231"/>
      <c r="AF182" s="231"/>
      <c r="AG182" s="231"/>
      <c r="AH182" s="231"/>
      <c r="AI182" s="231"/>
      <c r="AJ182" s="231"/>
      <c r="AK182" s="231"/>
    </row>
    <row r="183" spans="1:37" s="203" customFormat="1">
      <c r="A183" s="120">
        <v>18</v>
      </c>
      <c r="B183" s="47" t="s">
        <v>153</v>
      </c>
      <c r="C183" s="47"/>
      <c r="D183" s="47"/>
      <c r="E183" s="41">
        <v>622</v>
      </c>
      <c r="F183" s="121">
        <v>605</v>
      </c>
      <c r="G183" s="118"/>
      <c r="H183" s="133">
        <v>628</v>
      </c>
      <c r="I183" s="29"/>
      <c r="J183" s="231"/>
      <c r="K183" s="231"/>
      <c r="L183" s="231"/>
      <c r="M183" s="231"/>
      <c r="N183" s="231"/>
      <c r="O183" s="231"/>
      <c r="P183" s="231"/>
      <c r="Q183" s="231"/>
      <c r="R183" s="231"/>
      <c r="S183" s="231"/>
      <c r="T183" s="231"/>
      <c r="U183" s="231"/>
      <c r="V183" s="231"/>
      <c r="W183" s="231"/>
      <c r="X183" s="231"/>
      <c r="Y183" s="231"/>
      <c r="Z183" s="231"/>
      <c r="AA183" s="231"/>
      <c r="AB183" s="231"/>
      <c r="AC183" s="231"/>
      <c r="AD183" s="231"/>
      <c r="AE183" s="231"/>
      <c r="AF183" s="231"/>
      <c r="AG183" s="231"/>
      <c r="AH183" s="231"/>
      <c r="AI183" s="231"/>
      <c r="AJ183" s="231"/>
      <c r="AK183" s="231"/>
    </row>
    <row r="184" spans="1:37" s="203" customFormat="1">
      <c r="A184" s="120">
        <v>19</v>
      </c>
      <c r="B184" s="47" t="s">
        <v>154</v>
      </c>
      <c r="C184" s="47"/>
      <c r="D184" s="47"/>
      <c r="E184" s="49">
        <v>208</v>
      </c>
      <c r="F184" s="52">
        <v>167</v>
      </c>
      <c r="G184" s="118"/>
      <c r="H184" s="122">
        <v>150</v>
      </c>
      <c r="I184" s="29"/>
      <c r="J184" s="231"/>
      <c r="K184" s="231"/>
      <c r="L184" s="231"/>
      <c r="M184" s="231"/>
      <c r="N184" s="231"/>
      <c r="O184" s="231"/>
      <c r="P184" s="231"/>
      <c r="Q184" s="231"/>
      <c r="R184" s="231"/>
      <c r="S184" s="231"/>
      <c r="T184" s="231"/>
      <c r="U184" s="231"/>
      <c r="V184" s="231"/>
      <c r="W184" s="231"/>
      <c r="X184" s="231"/>
      <c r="Y184" s="231"/>
      <c r="Z184" s="231"/>
      <c r="AA184" s="231"/>
      <c r="AB184" s="231"/>
      <c r="AC184" s="231"/>
      <c r="AD184" s="231"/>
      <c r="AE184" s="231"/>
      <c r="AF184" s="231"/>
      <c r="AG184" s="231"/>
      <c r="AH184" s="231"/>
      <c r="AI184" s="231"/>
      <c r="AJ184" s="231"/>
      <c r="AK184" s="231"/>
    </row>
    <row r="185" spans="1:37" s="203" customFormat="1">
      <c r="A185" s="120">
        <v>20</v>
      </c>
      <c r="B185" s="47" t="s">
        <v>155</v>
      </c>
      <c r="C185" s="47"/>
      <c r="D185" s="47"/>
      <c r="E185" s="49">
        <v>0</v>
      </c>
      <c r="F185" s="52"/>
      <c r="G185" s="118"/>
      <c r="H185" s="122"/>
      <c r="I185" s="29"/>
      <c r="J185" s="231"/>
      <c r="K185" s="231"/>
      <c r="L185" s="231"/>
      <c r="M185" s="231"/>
      <c r="N185" s="231"/>
      <c r="O185" s="231"/>
      <c r="P185" s="231"/>
      <c r="Q185" s="231"/>
      <c r="R185" s="231"/>
      <c r="S185" s="231"/>
      <c r="T185" s="231"/>
      <c r="U185" s="231"/>
      <c r="V185" s="231"/>
      <c r="W185" s="231"/>
      <c r="X185" s="231"/>
      <c r="Y185" s="231"/>
      <c r="Z185" s="231"/>
      <c r="AA185" s="231"/>
      <c r="AB185" s="231"/>
      <c r="AC185" s="231"/>
      <c r="AD185" s="231"/>
      <c r="AE185" s="231"/>
      <c r="AF185" s="231"/>
      <c r="AG185" s="231"/>
      <c r="AH185" s="231"/>
      <c r="AI185" s="231"/>
      <c r="AJ185" s="231"/>
      <c r="AK185" s="231"/>
    </row>
    <row r="186" spans="1:37" s="203" customFormat="1">
      <c r="A186" s="120">
        <v>21</v>
      </c>
      <c r="B186" s="47" t="s">
        <v>156</v>
      </c>
      <c r="C186" s="47"/>
      <c r="D186" s="47"/>
      <c r="E186" s="49">
        <v>18</v>
      </c>
      <c r="F186" s="52">
        <v>18</v>
      </c>
      <c r="G186" s="118"/>
      <c r="H186" s="122">
        <v>16</v>
      </c>
      <c r="I186" s="29"/>
      <c r="J186" s="231"/>
      <c r="K186" s="231"/>
      <c r="L186" s="231"/>
      <c r="M186" s="231"/>
      <c r="N186" s="231"/>
      <c r="O186" s="231"/>
      <c r="P186" s="231"/>
      <c r="Q186" s="231"/>
      <c r="R186" s="231"/>
      <c r="S186" s="231"/>
      <c r="T186" s="231"/>
      <c r="U186" s="231"/>
      <c r="V186" s="231"/>
      <c r="W186" s="231"/>
      <c r="X186" s="231"/>
      <c r="Y186" s="231"/>
      <c r="Z186" s="231"/>
      <c r="AA186" s="231"/>
      <c r="AB186" s="231"/>
      <c r="AC186" s="231"/>
      <c r="AD186" s="231"/>
      <c r="AE186" s="231"/>
      <c r="AF186" s="231"/>
      <c r="AG186" s="231"/>
      <c r="AH186" s="231"/>
      <c r="AI186" s="231"/>
      <c r="AJ186" s="231"/>
      <c r="AK186" s="231"/>
    </row>
    <row r="187" spans="1:37" s="203" customFormat="1">
      <c r="A187" s="120">
        <v>22</v>
      </c>
      <c r="B187" s="47" t="s">
        <v>157</v>
      </c>
      <c r="C187" s="47"/>
      <c r="D187" s="47"/>
      <c r="E187" s="49">
        <v>556</v>
      </c>
      <c r="F187" s="52">
        <v>664</v>
      </c>
      <c r="G187" s="118"/>
      <c r="H187" s="122">
        <v>571</v>
      </c>
      <c r="I187" s="29"/>
      <c r="J187" s="231"/>
      <c r="K187" s="231"/>
      <c r="L187" s="231"/>
      <c r="M187" s="231"/>
      <c r="N187" s="231"/>
      <c r="O187" s="231"/>
      <c r="P187" s="231"/>
      <c r="Q187" s="231"/>
      <c r="R187" s="231"/>
      <c r="S187" s="231"/>
      <c r="T187" s="231"/>
      <c r="U187" s="231"/>
      <c r="V187" s="231"/>
      <c r="W187" s="231"/>
      <c r="X187" s="231"/>
      <c r="Y187" s="231"/>
      <c r="Z187" s="231"/>
      <c r="AA187" s="231"/>
      <c r="AB187" s="231"/>
      <c r="AC187" s="231"/>
      <c r="AD187" s="231"/>
      <c r="AE187" s="231"/>
      <c r="AF187" s="231"/>
      <c r="AG187" s="231"/>
      <c r="AH187" s="231"/>
      <c r="AI187" s="231"/>
      <c r="AJ187" s="231"/>
      <c r="AK187" s="231"/>
    </row>
    <row r="188" spans="1:37" s="203" customFormat="1">
      <c r="A188" s="120">
        <v>23</v>
      </c>
      <c r="B188" s="47" t="s">
        <v>158</v>
      </c>
      <c r="C188" s="47"/>
      <c r="D188" s="47"/>
      <c r="E188" s="49">
        <v>0</v>
      </c>
      <c r="F188" s="52"/>
      <c r="G188" s="118"/>
      <c r="H188" s="122"/>
      <c r="I188" s="29"/>
      <c r="J188" s="231"/>
      <c r="K188" s="231"/>
      <c r="L188" s="231"/>
      <c r="M188" s="231"/>
      <c r="N188" s="231"/>
      <c r="O188" s="231"/>
      <c r="P188" s="231"/>
      <c r="Q188" s="231"/>
      <c r="R188" s="231"/>
      <c r="S188" s="231"/>
      <c r="T188" s="231"/>
      <c r="U188" s="231"/>
      <c r="V188" s="231"/>
      <c r="W188" s="231"/>
      <c r="X188" s="231"/>
      <c r="Y188" s="231"/>
      <c r="Z188" s="231"/>
      <c r="AA188" s="231"/>
      <c r="AB188" s="231"/>
      <c r="AC188" s="231"/>
      <c r="AD188" s="231"/>
      <c r="AE188" s="231"/>
      <c r="AF188" s="231"/>
      <c r="AG188" s="231"/>
      <c r="AH188" s="231"/>
      <c r="AI188" s="231"/>
      <c r="AJ188" s="231"/>
      <c r="AK188" s="231"/>
    </row>
    <row r="189" spans="1:37" s="203" customFormat="1">
      <c r="A189" s="120">
        <v>24</v>
      </c>
      <c r="B189" s="47" t="s">
        <v>159</v>
      </c>
      <c r="C189" s="47"/>
      <c r="D189" s="47"/>
      <c r="E189" s="49">
        <v>0</v>
      </c>
      <c r="F189" s="52"/>
      <c r="G189" s="118"/>
      <c r="H189" s="122"/>
      <c r="I189" s="29"/>
      <c r="J189" s="231"/>
      <c r="K189" s="231"/>
      <c r="L189" s="231"/>
      <c r="M189" s="231"/>
      <c r="N189" s="231"/>
      <c r="O189" s="231"/>
      <c r="P189" s="231"/>
      <c r="Q189" s="231"/>
      <c r="R189" s="231"/>
      <c r="S189" s="231"/>
      <c r="T189" s="231"/>
      <c r="U189" s="231"/>
      <c r="V189" s="231"/>
      <c r="W189" s="231"/>
      <c r="X189" s="231"/>
      <c r="Y189" s="231"/>
      <c r="Z189" s="231"/>
      <c r="AA189" s="231"/>
      <c r="AB189" s="231"/>
      <c r="AC189" s="231"/>
      <c r="AD189" s="231"/>
      <c r="AE189" s="231"/>
      <c r="AF189" s="231"/>
      <c r="AG189" s="231"/>
      <c r="AH189" s="231"/>
      <c r="AI189" s="231"/>
      <c r="AJ189" s="231"/>
      <c r="AK189" s="231"/>
    </row>
    <row r="190" spans="1:37" s="203" customFormat="1">
      <c r="A190" s="124">
        <v>25</v>
      </c>
      <c r="B190" s="54" t="s">
        <v>160</v>
      </c>
      <c r="C190" s="54"/>
      <c r="D190" s="54"/>
      <c r="E190" s="56">
        <v>414</v>
      </c>
      <c r="F190" s="126">
        <v>364</v>
      </c>
      <c r="G190" s="118"/>
      <c r="H190" s="100">
        <v>359</v>
      </c>
      <c r="I190" s="24"/>
      <c r="J190" s="231"/>
      <c r="K190" s="231"/>
      <c r="L190" s="231"/>
      <c r="M190" s="231"/>
      <c r="N190" s="231"/>
      <c r="O190" s="231"/>
      <c r="P190" s="231"/>
      <c r="Q190" s="231"/>
      <c r="R190" s="231"/>
      <c r="S190" s="231"/>
      <c r="T190" s="231"/>
      <c r="U190" s="231"/>
      <c r="V190" s="231"/>
      <c r="W190" s="231"/>
      <c r="X190" s="231"/>
      <c r="Y190" s="231"/>
      <c r="Z190" s="231"/>
      <c r="AA190" s="231"/>
      <c r="AB190" s="231"/>
      <c r="AC190" s="231"/>
      <c r="AD190" s="231"/>
      <c r="AE190" s="231"/>
      <c r="AF190" s="231"/>
      <c r="AG190" s="231"/>
      <c r="AH190" s="231"/>
      <c r="AI190" s="231"/>
      <c r="AJ190" s="231"/>
      <c r="AK190" s="231"/>
    </row>
    <row r="191" spans="1:37" s="203" customFormat="1">
      <c r="A191" s="161"/>
      <c r="B191" s="129"/>
      <c r="C191" s="129"/>
      <c r="D191" s="149"/>
      <c r="E191" s="162"/>
      <c r="F191" s="29"/>
      <c r="G191" s="29"/>
      <c r="H191" s="207"/>
      <c r="I191" s="29"/>
      <c r="J191" s="231"/>
      <c r="K191" s="231"/>
      <c r="L191" s="231"/>
      <c r="M191" s="231"/>
      <c r="N191" s="231"/>
      <c r="O191" s="231"/>
      <c r="P191" s="231"/>
      <c r="Q191" s="231"/>
      <c r="R191" s="231"/>
      <c r="S191" s="231"/>
      <c r="T191" s="231"/>
      <c r="U191" s="231"/>
      <c r="V191" s="231"/>
      <c r="W191" s="231"/>
      <c r="X191" s="231"/>
      <c r="Y191" s="231"/>
      <c r="Z191" s="231"/>
      <c r="AA191" s="231"/>
      <c r="AB191" s="231"/>
      <c r="AC191" s="231"/>
      <c r="AD191" s="231"/>
      <c r="AE191" s="231"/>
      <c r="AF191" s="231"/>
      <c r="AG191" s="231"/>
      <c r="AH191" s="231"/>
      <c r="AI191" s="231"/>
      <c r="AJ191" s="231"/>
      <c r="AK191" s="231"/>
    </row>
    <row r="192" spans="1:37" s="203" customFormat="1">
      <c r="A192" s="161"/>
      <c r="B192" s="129"/>
      <c r="C192" s="129"/>
      <c r="D192" s="151"/>
      <c r="E192" s="163"/>
      <c r="F192" s="29"/>
      <c r="G192" s="29"/>
      <c r="H192" s="131" t="s">
        <v>27</v>
      </c>
      <c r="I192" s="29"/>
      <c r="J192" s="231"/>
      <c r="K192" s="231"/>
      <c r="L192" s="231"/>
      <c r="M192" s="231"/>
      <c r="N192" s="231"/>
      <c r="O192" s="231"/>
      <c r="P192" s="231"/>
      <c r="Q192" s="231"/>
      <c r="R192" s="231"/>
      <c r="S192" s="231"/>
      <c r="T192" s="231"/>
      <c r="U192" s="231"/>
      <c r="V192" s="231"/>
      <c r="W192" s="231"/>
      <c r="X192" s="231"/>
      <c r="Y192" s="231"/>
      <c r="Z192" s="231"/>
      <c r="AA192" s="231"/>
      <c r="AB192" s="231"/>
      <c r="AC192" s="231"/>
      <c r="AD192" s="231"/>
      <c r="AE192" s="231"/>
      <c r="AF192" s="231"/>
      <c r="AG192" s="231"/>
      <c r="AH192" s="231"/>
      <c r="AI192" s="231"/>
      <c r="AJ192" s="231"/>
      <c r="AK192" s="231"/>
    </row>
    <row r="193" spans="1:37" s="203" customFormat="1" ht="12.75" customHeight="1">
      <c r="A193" s="106" t="s">
        <v>23</v>
      </c>
      <c r="B193" s="164"/>
      <c r="C193" s="164"/>
      <c r="D193" s="164"/>
      <c r="E193" s="856" t="s">
        <v>377</v>
      </c>
      <c r="F193" s="856" t="s">
        <v>402</v>
      </c>
      <c r="G193" s="130"/>
      <c r="H193" s="856" t="s">
        <v>403</v>
      </c>
      <c r="I193" s="130"/>
      <c r="J193" s="231"/>
      <c r="K193" s="231"/>
      <c r="L193" s="231"/>
      <c r="M193" s="231"/>
      <c r="N193" s="231"/>
      <c r="O193" s="231"/>
      <c r="P193" s="231"/>
      <c r="Q193" s="231"/>
      <c r="R193" s="231"/>
      <c r="S193" s="231"/>
      <c r="T193" s="231"/>
      <c r="U193" s="231"/>
      <c r="V193" s="231"/>
      <c r="W193" s="231"/>
      <c r="X193" s="231"/>
      <c r="Y193" s="231"/>
      <c r="Z193" s="231"/>
      <c r="AA193" s="231"/>
      <c r="AB193" s="231"/>
      <c r="AC193" s="231"/>
      <c r="AD193" s="231"/>
      <c r="AE193" s="231"/>
      <c r="AF193" s="231"/>
      <c r="AG193" s="231"/>
      <c r="AH193" s="231"/>
      <c r="AI193" s="231"/>
      <c r="AJ193" s="231"/>
      <c r="AK193" s="231"/>
    </row>
    <row r="194" spans="1:37" s="203" customFormat="1" ht="23.25" customHeight="1">
      <c r="A194" s="165"/>
      <c r="B194" s="132"/>
      <c r="C194" s="132"/>
      <c r="D194" s="132"/>
      <c r="E194" s="859"/>
      <c r="F194" s="859"/>
      <c r="G194" s="130"/>
      <c r="H194" s="859"/>
      <c r="I194" s="130"/>
      <c r="J194" s="231"/>
      <c r="K194" s="231"/>
      <c r="L194" s="231"/>
      <c r="M194" s="231"/>
      <c r="N194" s="231"/>
      <c r="O194" s="231"/>
      <c r="P194" s="231"/>
      <c r="Q194" s="231"/>
      <c r="R194" s="231"/>
      <c r="S194" s="231"/>
      <c r="T194" s="231"/>
      <c r="U194" s="231"/>
      <c r="V194" s="231"/>
      <c r="W194" s="231"/>
      <c r="X194" s="231"/>
      <c r="Y194" s="231"/>
      <c r="Z194" s="231"/>
      <c r="AA194" s="231"/>
      <c r="AB194" s="231"/>
      <c r="AC194" s="231"/>
      <c r="AD194" s="231"/>
      <c r="AE194" s="231"/>
      <c r="AF194" s="231"/>
      <c r="AG194" s="231"/>
      <c r="AH194" s="231"/>
      <c r="AI194" s="231"/>
      <c r="AJ194" s="231"/>
      <c r="AK194" s="231"/>
    </row>
    <row r="195" spans="1:37" s="203" customFormat="1">
      <c r="A195" s="154" t="s">
        <v>161</v>
      </c>
      <c r="B195" s="116"/>
      <c r="C195" s="116"/>
      <c r="D195" s="116"/>
      <c r="E195" s="859"/>
      <c r="F195" s="859"/>
      <c r="G195" s="130"/>
      <c r="H195" s="859"/>
      <c r="I195" s="130"/>
      <c r="J195" s="231"/>
      <c r="K195" s="231"/>
      <c r="L195" s="231"/>
      <c r="M195" s="231"/>
      <c r="N195" s="231"/>
      <c r="O195" s="231"/>
      <c r="P195" s="231"/>
      <c r="Q195" s="231"/>
      <c r="R195" s="231"/>
      <c r="S195" s="231"/>
      <c r="T195" s="231"/>
      <c r="U195" s="231"/>
      <c r="V195" s="231"/>
      <c r="W195" s="231"/>
      <c r="X195" s="231"/>
      <c r="Y195" s="231"/>
      <c r="Z195" s="231"/>
      <c r="AA195" s="231"/>
      <c r="AB195" s="231"/>
      <c r="AC195" s="231"/>
      <c r="AD195" s="231"/>
      <c r="AE195" s="231"/>
      <c r="AF195" s="231"/>
      <c r="AG195" s="231"/>
      <c r="AH195" s="231"/>
      <c r="AI195" s="231"/>
      <c r="AJ195" s="231"/>
      <c r="AK195" s="231"/>
    </row>
    <row r="196" spans="1:37" s="203" customFormat="1">
      <c r="A196" s="109" t="s">
        <v>83</v>
      </c>
      <c r="B196" s="47"/>
      <c r="C196" s="47"/>
      <c r="D196" s="47"/>
      <c r="E196" s="859"/>
      <c r="F196" s="859"/>
      <c r="G196" s="130"/>
      <c r="H196" s="859"/>
      <c r="I196" s="130"/>
      <c r="J196" s="231"/>
      <c r="K196" s="231"/>
      <c r="L196" s="231"/>
      <c r="M196" s="231"/>
      <c r="N196" s="231"/>
      <c r="O196" s="231"/>
      <c r="P196" s="231"/>
      <c r="Q196" s="231"/>
      <c r="R196" s="231"/>
      <c r="S196" s="231"/>
      <c r="T196" s="231"/>
      <c r="U196" s="231"/>
      <c r="V196" s="231"/>
      <c r="W196" s="231"/>
      <c r="X196" s="231"/>
      <c r="Y196" s="231"/>
      <c r="Z196" s="231"/>
      <c r="AA196" s="231"/>
      <c r="AB196" s="231"/>
      <c r="AC196" s="231"/>
      <c r="AD196" s="231"/>
      <c r="AE196" s="231"/>
      <c r="AF196" s="231"/>
      <c r="AG196" s="231"/>
      <c r="AH196" s="231"/>
      <c r="AI196" s="231"/>
      <c r="AJ196" s="231"/>
      <c r="AK196" s="231"/>
    </row>
    <row r="197" spans="1:37" s="203" customFormat="1">
      <c r="A197" s="110" t="s">
        <v>84</v>
      </c>
      <c r="B197" s="132"/>
      <c r="C197" s="132"/>
      <c r="D197" s="132"/>
      <c r="E197" s="860"/>
      <c r="F197" s="860"/>
      <c r="G197" s="130"/>
      <c r="H197" s="860"/>
      <c r="I197" s="130"/>
      <c r="J197" s="231"/>
      <c r="K197" s="231"/>
      <c r="L197" s="231"/>
      <c r="M197" s="231"/>
      <c r="N197" s="231"/>
      <c r="O197" s="231"/>
      <c r="P197" s="231"/>
      <c r="Q197" s="231"/>
      <c r="R197" s="231"/>
      <c r="S197" s="231"/>
      <c r="T197" s="231"/>
      <c r="U197" s="231"/>
      <c r="V197" s="231"/>
      <c r="W197" s="231"/>
      <c r="X197" s="231"/>
      <c r="Y197" s="231"/>
      <c r="Z197" s="231"/>
      <c r="AA197" s="231"/>
      <c r="AB197" s="231"/>
      <c r="AC197" s="231"/>
      <c r="AD197" s="231"/>
      <c r="AE197" s="231"/>
      <c r="AF197" s="231"/>
      <c r="AG197" s="231"/>
      <c r="AH197" s="231"/>
      <c r="AI197" s="231"/>
      <c r="AJ197" s="231"/>
      <c r="AK197" s="231"/>
    </row>
    <row r="198" spans="1:37" s="203" customFormat="1">
      <c r="A198" s="153" t="s">
        <v>162</v>
      </c>
      <c r="B198" s="166"/>
      <c r="C198" s="166"/>
      <c r="D198" s="166"/>
      <c r="E198" s="167"/>
      <c r="F198" s="146"/>
      <c r="G198" s="118"/>
      <c r="H198" s="146"/>
      <c r="I198" s="29"/>
      <c r="J198" s="231"/>
      <c r="K198" s="231"/>
      <c r="L198" s="231"/>
      <c r="M198" s="231"/>
      <c r="N198" s="231"/>
      <c r="O198" s="231"/>
      <c r="P198" s="231"/>
      <c r="Q198" s="231"/>
      <c r="R198" s="231"/>
      <c r="S198" s="231"/>
      <c r="T198" s="231"/>
      <c r="U198" s="231"/>
      <c r="V198" s="231"/>
      <c r="W198" s="231"/>
      <c r="X198" s="231"/>
      <c r="Y198" s="231"/>
      <c r="Z198" s="231"/>
      <c r="AA198" s="231"/>
      <c r="AB198" s="231"/>
      <c r="AC198" s="231"/>
      <c r="AD198" s="231"/>
      <c r="AE198" s="231"/>
      <c r="AF198" s="231"/>
      <c r="AG198" s="231"/>
      <c r="AH198" s="231"/>
      <c r="AI198" s="231"/>
      <c r="AJ198" s="231"/>
      <c r="AK198" s="231"/>
    </row>
    <row r="199" spans="1:37" s="203" customFormat="1">
      <c r="A199" s="120">
        <v>1</v>
      </c>
      <c r="B199" s="47" t="s">
        <v>163</v>
      </c>
      <c r="C199" s="47"/>
      <c r="D199" s="47"/>
      <c r="E199" s="74">
        <v>269.24200000000002</v>
      </c>
      <c r="F199" s="52">
        <v>302</v>
      </c>
      <c r="G199" s="118"/>
      <c r="H199" s="122">
        <v>302</v>
      </c>
      <c r="I199" s="29"/>
      <c r="J199" s="231"/>
      <c r="K199" s="231"/>
      <c r="L199" s="231"/>
      <c r="M199" s="231"/>
      <c r="N199" s="231"/>
      <c r="O199" s="231"/>
      <c r="P199" s="231"/>
      <c r="Q199" s="231"/>
      <c r="R199" s="231"/>
      <c r="S199" s="231"/>
      <c r="T199" s="231"/>
      <c r="U199" s="231"/>
      <c r="V199" s="231"/>
      <c r="W199" s="231"/>
      <c r="X199" s="231"/>
      <c r="Y199" s="231"/>
      <c r="Z199" s="231"/>
      <c r="AA199" s="231"/>
      <c r="AB199" s="231"/>
      <c r="AC199" s="231"/>
      <c r="AD199" s="231"/>
      <c r="AE199" s="231"/>
      <c r="AF199" s="231"/>
      <c r="AG199" s="231"/>
      <c r="AH199" s="231"/>
      <c r="AI199" s="231"/>
      <c r="AJ199" s="231"/>
      <c r="AK199" s="231"/>
    </row>
    <row r="200" spans="1:37" s="203" customFormat="1">
      <c r="A200" s="120">
        <v>2</v>
      </c>
      <c r="B200" s="47" t="s">
        <v>164</v>
      </c>
      <c r="C200" s="47"/>
      <c r="D200" s="47"/>
      <c r="E200" s="56">
        <v>717.23199999999997</v>
      </c>
      <c r="F200" s="52">
        <v>642</v>
      </c>
      <c r="G200" s="118"/>
      <c r="H200" s="100">
        <v>705</v>
      </c>
      <c r="I200" s="29"/>
      <c r="J200" s="231"/>
      <c r="K200" s="231"/>
      <c r="L200" s="231"/>
      <c r="M200" s="231"/>
      <c r="N200" s="231"/>
      <c r="O200" s="231"/>
      <c r="P200" s="231"/>
      <c r="Q200" s="231"/>
      <c r="R200" s="231"/>
      <c r="S200" s="231"/>
      <c r="T200" s="231"/>
      <c r="U200" s="231"/>
      <c r="V200" s="231"/>
      <c r="W200" s="231"/>
      <c r="X200" s="231"/>
      <c r="Y200" s="231"/>
      <c r="Z200" s="231"/>
      <c r="AA200" s="231"/>
      <c r="AB200" s="231"/>
      <c r="AC200" s="231"/>
      <c r="AD200" s="231"/>
      <c r="AE200" s="231"/>
      <c r="AF200" s="231"/>
      <c r="AG200" s="231"/>
      <c r="AH200" s="231"/>
      <c r="AI200" s="231"/>
      <c r="AJ200" s="231"/>
      <c r="AK200" s="231"/>
    </row>
    <row r="201" spans="1:37" s="203" customFormat="1">
      <c r="A201" s="120">
        <v>3</v>
      </c>
      <c r="B201" s="116" t="s">
        <v>165</v>
      </c>
      <c r="C201" s="116"/>
      <c r="D201" s="116"/>
      <c r="E201" s="80">
        <v>986.47399999999993</v>
      </c>
      <c r="F201" s="142">
        <f>SUM(F199:F200)</f>
        <v>944</v>
      </c>
      <c r="G201" s="118"/>
      <c r="H201" s="142">
        <f>SUM(H199:H200)</f>
        <v>1007</v>
      </c>
      <c r="I201" s="29"/>
      <c r="J201" s="231"/>
      <c r="K201" s="231"/>
      <c r="L201" s="231"/>
      <c r="M201" s="231"/>
      <c r="N201" s="231"/>
      <c r="O201" s="231"/>
      <c r="P201" s="231"/>
      <c r="Q201" s="231"/>
      <c r="R201" s="231"/>
      <c r="S201" s="231"/>
      <c r="T201" s="231"/>
      <c r="U201" s="231"/>
      <c r="V201" s="231"/>
      <c r="W201" s="231"/>
      <c r="X201" s="231"/>
      <c r="Y201" s="231"/>
      <c r="Z201" s="231"/>
      <c r="AA201" s="231"/>
      <c r="AB201" s="231"/>
      <c r="AC201" s="231"/>
      <c r="AD201" s="231"/>
      <c r="AE201" s="231"/>
      <c r="AF201" s="231"/>
      <c r="AG201" s="231"/>
      <c r="AH201" s="231"/>
      <c r="AI201" s="231"/>
      <c r="AJ201" s="231"/>
      <c r="AK201" s="231"/>
    </row>
    <row r="202" spans="1:37" s="203" customFormat="1">
      <c r="A202" s="46"/>
      <c r="B202" s="132"/>
      <c r="C202" s="132"/>
      <c r="D202" s="132"/>
      <c r="E202" s="156"/>
      <c r="F202" s="139"/>
      <c r="G202" s="139"/>
      <c r="H202" s="139"/>
      <c r="I202" s="29"/>
      <c r="J202" s="231"/>
      <c r="K202" s="231"/>
      <c r="L202" s="231"/>
      <c r="M202" s="231"/>
      <c r="N202" s="231"/>
      <c r="O202" s="231"/>
      <c r="P202" s="231"/>
      <c r="Q202" s="231"/>
      <c r="R202" s="231"/>
      <c r="S202" s="231"/>
      <c r="T202" s="231"/>
      <c r="U202" s="231"/>
      <c r="V202" s="231"/>
      <c r="W202" s="231"/>
      <c r="X202" s="231"/>
      <c r="Y202" s="231"/>
      <c r="Z202" s="231"/>
      <c r="AA202" s="231"/>
      <c r="AB202" s="231"/>
      <c r="AC202" s="231"/>
      <c r="AD202" s="231"/>
      <c r="AE202" s="231"/>
      <c r="AF202" s="231"/>
      <c r="AG202" s="231"/>
      <c r="AH202" s="231"/>
      <c r="AI202" s="231"/>
      <c r="AJ202" s="231"/>
      <c r="AK202" s="231"/>
    </row>
    <row r="203" spans="1:37" s="203" customFormat="1">
      <c r="A203" s="153" t="s">
        <v>166</v>
      </c>
      <c r="B203" s="116"/>
      <c r="C203" s="116"/>
      <c r="D203" s="116"/>
      <c r="E203" s="140"/>
      <c r="F203" s="146"/>
      <c r="G203" s="118"/>
      <c r="H203" s="146"/>
      <c r="I203" s="29"/>
      <c r="J203" s="231"/>
      <c r="K203" s="231"/>
      <c r="L203" s="231"/>
      <c r="M203" s="231"/>
      <c r="N203" s="231"/>
      <c r="O203" s="231"/>
      <c r="P203" s="231"/>
      <c r="Q203" s="231"/>
      <c r="R203" s="231"/>
      <c r="S203" s="231"/>
      <c r="T203" s="231"/>
      <c r="U203" s="231"/>
      <c r="V203" s="231"/>
      <c r="W203" s="231"/>
      <c r="X203" s="231"/>
      <c r="Y203" s="231"/>
      <c r="Z203" s="231"/>
      <c r="AA203" s="231"/>
      <c r="AB203" s="231"/>
      <c r="AC203" s="231"/>
      <c r="AD203" s="231"/>
      <c r="AE203" s="231"/>
      <c r="AF203" s="231"/>
      <c r="AG203" s="231"/>
      <c r="AH203" s="231"/>
      <c r="AI203" s="231"/>
      <c r="AJ203" s="231"/>
      <c r="AK203" s="231"/>
    </row>
    <row r="204" spans="1:37" s="203" customFormat="1">
      <c r="A204" s="120">
        <v>4</v>
      </c>
      <c r="B204" s="47" t="s">
        <v>167</v>
      </c>
      <c r="C204" s="47"/>
      <c r="D204" s="47"/>
      <c r="E204" s="74">
        <v>3375.252</v>
      </c>
      <c r="F204" s="52">
        <v>3586</v>
      </c>
      <c r="G204" s="118"/>
      <c r="H204" s="122">
        <v>3502</v>
      </c>
      <c r="I204" s="29"/>
      <c r="J204" s="231"/>
      <c r="K204" s="231"/>
      <c r="L204" s="231"/>
      <c r="M204" s="231"/>
      <c r="N204" s="231"/>
      <c r="O204" s="231"/>
      <c r="P204" s="231"/>
      <c r="Q204" s="231"/>
      <c r="R204" s="231"/>
      <c r="S204" s="231"/>
      <c r="T204" s="231"/>
      <c r="U204" s="231"/>
      <c r="V204" s="231"/>
      <c r="W204" s="231"/>
      <c r="X204" s="231"/>
      <c r="Y204" s="231"/>
      <c r="Z204" s="231"/>
      <c r="AA204" s="231"/>
      <c r="AB204" s="231"/>
      <c r="AC204" s="231"/>
      <c r="AD204" s="231"/>
      <c r="AE204" s="231"/>
      <c r="AF204" s="231"/>
      <c r="AG204" s="231"/>
      <c r="AH204" s="231"/>
      <c r="AI204" s="231"/>
      <c r="AJ204" s="231"/>
      <c r="AK204" s="231"/>
    </row>
    <row r="205" spans="1:37" s="203" customFormat="1">
      <c r="A205" s="120">
        <v>5</v>
      </c>
      <c r="B205" s="47" t="s">
        <v>168</v>
      </c>
      <c r="C205" s="47"/>
      <c r="D205" s="47"/>
      <c r="E205" s="49">
        <v>6707.1229999999996</v>
      </c>
      <c r="F205" s="52">
        <v>6242</v>
      </c>
      <c r="G205" s="118"/>
      <c r="H205" s="122">
        <v>6626</v>
      </c>
      <c r="I205" s="29"/>
      <c r="J205" s="231"/>
      <c r="K205" s="231"/>
      <c r="L205" s="231"/>
      <c r="M205" s="231"/>
      <c r="N205" s="231"/>
      <c r="O205" s="231"/>
      <c r="P205" s="231"/>
      <c r="Q205" s="231"/>
      <c r="R205" s="231"/>
      <c r="S205" s="231"/>
      <c r="T205" s="231"/>
      <c r="U205" s="231"/>
      <c r="V205" s="231"/>
      <c r="W205" s="231"/>
      <c r="X205" s="231"/>
      <c r="Y205" s="231"/>
      <c r="Z205" s="231"/>
      <c r="AA205" s="231"/>
      <c r="AB205" s="231"/>
      <c r="AC205" s="231"/>
      <c r="AD205" s="231"/>
      <c r="AE205" s="231"/>
      <c r="AF205" s="231"/>
      <c r="AG205" s="231"/>
      <c r="AH205" s="231"/>
      <c r="AI205" s="231"/>
      <c r="AJ205" s="231"/>
      <c r="AK205" s="231"/>
    </row>
    <row r="206" spans="1:37" s="203" customFormat="1">
      <c r="A206" s="120">
        <v>6</v>
      </c>
      <c r="B206" s="47" t="s">
        <v>169</v>
      </c>
      <c r="C206" s="47"/>
      <c r="D206" s="47"/>
      <c r="E206" s="49">
        <v>866.971</v>
      </c>
      <c r="F206" s="52">
        <v>803</v>
      </c>
      <c r="G206" s="118"/>
      <c r="H206" s="100">
        <v>933</v>
      </c>
      <c r="I206" s="29"/>
      <c r="J206" s="231"/>
      <c r="K206" s="231"/>
      <c r="L206" s="231"/>
      <c r="M206" s="231"/>
      <c r="N206" s="231"/>
      <c r="O206" s="231"/>
      <c r="P206" s="231"/>
      <c r="Q206" s="231"/>
      <c r="R206" s="231"/>
      <c r="S206" s="231"/>
      <c r="T206" s="231"/>
      <c r="U206" s="231"/>
      <c r="V206" s="231"/>
      <c r="W206" s="231"/>
      <c r="X206" s="231"/>
      <c r="Y206" s="231"/>
      <c r="Z206" s="231"/>
      <c r="AA206" s="231"/>
      <c r="AB206" s="231"/>
      <c r="AC206" s="231"/>
      <c r="AD206" s="231"/>
      <c r="AE206" s="231"/>
      <c r="AF206" s="231"/>
      <c r="AG206" s="231"/>
      <c r="AH206" s="231"/>
      <c r="AI206" s="231"/>
      <c r="AJ206" s="231"/>
      <c r="AK206" s="231"/>
    </row>
    <row r="207" spans="1:37" s="203" customFormat="1">
      <c r="A207" s="120">
        <v>7</v>
      </c>
      <c r="B207" s="116" t="s">
        <v>170</v>
      </c>
      <c r="C207" s="116"/>
      <c r="D207" s="116"/>
      <c r="E207" s="80">
        <v>10949.346</v>
      </c>
      <c r="F207" s="142">
        <f>SUM(F204:F206)</f>
        <v>10631</v>
      </c>
      <c r="G207" s="118"/>
      <c r="H207" s="142">
        <f>SUM(H204:H206)</f>
        <v>11061</v>
      </c>
      <c r="I207" s="29"/>
      <c r="J207" s="231"/>
      <c r="K207" s="231"/>
      <c r="L207" s="231"/>
      <c r="M207" s="231"/>
      <c r="N207" s="231"/>
      <c r="O207" s="231"/>
      <c r="P207" s="231"/>
      <c r="Q207" s="231"/>
      <c r="R207" s="231"/>
      <c r="S207" s="231"/>
      <c r="T207" s="231"/>
      <c r="U207" s="231"/>
      <c r="V207" s="231"/>
      <c r="W207" s="231"/>
      <c r="X207" s="231"/>
      <c r="Y207" s="231"/>
      <c r="Z207" s="231"/>
      <c r="AA207" s="231"/>
      <c r="AB207" s="231"/>
      <c r="AC207" s="231"/>
      <c r="AD207" s="231"/>
      <c r="AE207" s="231"/>
      <c r="AF207" s="231"/>
      <c r="AG207" s="231"/>
      <c r="AH207" s="231"/>
      <c r="AI207" s="231"/>
      <c r="AJ207" s="231"/>
      <c r="AK207" s="231"/>
    </row>
    <row r="208" spans="1:37" s="203" customFormat="1">
      <c r="A208" s="46"/>
      <c r="B208" s="132"/>
      <c r="C208" s="132"/>
      <c r="D208" s="132"/>
      <c r="E208" s="156"/>
      <c r="F208" s="139"/>
      <c r="G208" s="139"/>
      <c r="H208" s="139"/>
      <c r="I208" s="29"/>
      <c r="J208" s="231"/>
      <c r="K208" s="231"/>
      <c r="L208" s="231"/>
      <c r="M208" s="231"/>
      <c r="N208" s="231"/>
      <c r="O208" s="231"/>
      <c r="P208" s="231"/>
      <c r="Q208" s="231"/>
      <c r="R208" s="231"/>
      <c r="S208" s="231"/>
      <c r="T208" s="231"/>
      <c r="U208" s="231"/>
      <c r="V208" s="231"/>
      <c r="W208" s="231"/>
      <c r="X208" s="231"/>
      <c r="Y208" s="231"/>
      <c r="Z208" s="231"/>
      <c r="AA208" s="231"/>
      <c r="AB208" s="231"/>
      <c r="AC208" s="231"/>
      <c r="AD208" s="231"/>
      <c r="AE208" s="231"/>
      <c r="AF208" s="231"/>
      <c r="AG208" s="231"/>
      <c r="AH208" s="231"/>
      <c r="AI208" s="231"/>
      <c r="AJ208" s="231"/>
      <c r="AK208" s="231"/>
    </row>
    <row r="209" spans="1:37" s="203" customFormat="1">
      <c r="A209" s="153" t="s">
        <v>121</v>
      </c>
      <c r="B209" s="168"/>
      <c r="C209" s="168"/>
      <c r="D209" s="168"/>
      <c r="E209" s="140"/>
      <c r="F209" s="146"/>
      <c r="G209" s="118"/>
      <c r="H209" s="146"/>
      <c r="I209" s="29"/>
      <c r="J209" s="231"/>
      <c r="K209" s="231"/>
      <c r="L209" s="231"/>
      <c r="M209" s="231"/>
      <c r="N209" s="231"/>
      <c r="O209" s="231"/>
      <c r="P209" s="231"/>
      <c r="Q209" s="231"/>
      <c r="R209" s="231"/>
      <c r="S209" s="231"/>
      <c r="T209" s="231"/>
      <c r="U209" s="231"/>
      <c r="V209" s="231"/>
      <c r="W209" s="231"/>
      <c r="X209" s="231"/>
      <c r="Y209" s="231"/>
      <c r="Z209" s="231"/>
      <c r="AA209" s="231"/>
      <c r="AB209" s="231"/>
      <c r="AC209" s="231"/>
      <c r="AD209" s="231"/>
      <c r="AE209" s="231"/>
      <c r="AF209" s="231"/>
      <c r="AG209" s="231"/>
      <c r="AH209" s="231"/>
      <c r="AI209" s="231"/>
      <c r="AJ209" s="231"/>
      <c r="AK209" s="231"/>
    </row>
    <row r="210" spans="1:37" s="203" customFormat="1">
      <c r="A210" s="120">
        <v>8</v>
      </c>
      <c r="B210" s="47" t="s">
        <v>171</v>
      </c>
      <c r="C210" s="47"/>
      <c r="D210" s="47"/>
      <c r="E210" s="74">
        <v>-10.548</v>
      </c>
      <c r="F210" s="52">
        <v>-156</v>
      </c>
      <c r="G210" s="118"/>
      <c r="H210" s="122">
        <v>-64</v>
      </c>
      <c r="I210" s="29"/>
      <c r="J210" s="231"/>
      <c r="K210" s="231"/>
      <c r="L210" s="231"/>
      <c r="M210" s="231"/>
      <c r="N210" s="231"/>
      <c r="O210" s="231"/>
      <c r="P210" s="231"/>
      <c r="Q210" s="231"/>
      <c r="R210" s="231"/>
      <c r="S210" s="231"/>
      <c r="T210" s="231"/>
      <c r="U210" s="231"/>
      <c r="V210" s="231"/>
      <c r="W210" s="231"/>
      <c r="X210" s="231"/>
      <c r="Y210" s="231"/>
      <c r="Z210" s="231"/>
      <c r="AA210" s="231"/>
      <c r="AB210" s="231"/>
      <c r="AC210" s="231"/>
      <c r="AD210" s="231"/>
      <c r="AE210" s="231"/>
      <c r="AF210" s="231"/>
      <c r="AG210" s="231"/>
      <c r="AH210" s="231"/>
      <c r="AI210" s="231"/>
      <c r="AJ210" s="231"/>
      <c r="AK210" s="231"/>
    </row>
    <row r="211" spans="1:37" s="203" customFormat="1">
      <c r="A211" s="120">
        <v>9</v>
      </c>
      <c r="B211" s="47" t="s">
        <v>172</v>
      </c>
      <c r="C211" s="47"/>
      <c r="D211" s="47"/>
      <c r="E211" s="49">
        <v>0</v>
      </c>
      <c r="F211" s="52"/>
      <c r="G211" s="118"/>
      <c r="H211" s="122"/>
      <c r="I211" s="29"/>
      <c r="J211" s="231"/>
      <c r="K211" s="231"/>
      <c r="L211" s="231"/>
      <c r="M211" s="231"/>
      <c r="N211" s="231"/>
      <c r="O211" s="231"/>
      <c r="P211" s="231"/>
      <c r="Q211" s="231"/>
      <c r="R211" s="231"/>
      <c r="S211" s="231"/>
      <c r="T211" s="231"/>
      <c r="U211" s="231"/>
      <c r="V211" s="231"/>
      <c r="W211" s="231"/>
      <c r="X211" s="231"/>
      <c r="Y211" s="231"/>
      <c r="Z211" s="231"/>
      <c r="AA211" s="231"/>
      <c r="AB211" s="231"/>
      <c r="AC211" s="231"/>
      <c r="AD211" s="231"/>
      <c r="AE211" s="231"/>
      <c r="AF211" s="231"/>
      <c r="AG211" s="231"/>
      <c r="AH211" s="231"/>
      <c r="AI211" s="231"/>
      <c r="AJ211" s="231"/>
      <c r="AK211" s="231"/>
    </row>
    <row r="212" spans="1:37" s="203" customFormat="1">
      <c r="A212" s="120">
        <v>10</v>
      </c>
      <c r="B212" s="47" t="s">
        <v>173</v>
      </c>
      <c r="C212" s="47"/>
      <c r="D212" s="47"/>
      <c r="E212" s="49">
        <v>220.20599999999999</v>
      </c>
      <c r="F212" s="52">
        <v>205</v>
      </c>
      <c r="G212" s="118"/>
      <c r="H212" s="122">
        <v>224</v>
      </c>
      <c r="I212" s="29"/>
      <c r="J212" s="231"/>
      <c r="K212" s="231"/>
      <c r="L212" s="231"/>
      <c r="M212" s="231"/>
      <c r="N212" s="231"/>
      <c r="O212" s="231"/>
      <c r="P212" s="231"/>
      <c r="Q212" s="231"/>
      <c r="R212" s="231"/>
      <c r="S212" s="231"/>
      <c r="T212" s="231"/>
      <c r="U212" s="231"/>
      <c r="V212" s="231"/>
      <c r="W212" s="231"/>
      <c r="X212" s="231"/>
      <c r="Y212" s="231"/>
      <c r="Z212" s="231"/>
      <c r="AA212" s="231"/>
      <c r="AB212" s="231"/>
      <c r="AC212" s="231"/>
      <c r="AD212" s="231"/>
      <c r="AE212" s="231"/>
      <c r="AF212" s="231"/>
      <c r="AG212" s="231"/>
      <c r="AH212" s="231"/>
      <c r="AI212" s="231"/>
      <c r="AJ212" s="231"/>
      <c r="AK212" s="231"/>
    </row>
    <row r="213" spans="1:37" s="203" customFormat="1">
      <c r="A213" s="120">
        <v>11</v>
      </c>
      <c r="B213" s="47" t="s">
        <v>174</v>
      </c>
      <c r="C213" s="47"/>
      <c r="D213" s="47"/>
      <c r="E213" s="49">
        <v>1424.279</v>
      </c>
      <c r="F213" s="52">
        <v>1601</v>
      </c>
      <c r="G213" s="118"/>
      <c r="H213" s="99">
        <v>1568</v>
      </c>
      <c r="I213" s="29"/>
      <c r="J213" s="231"/>
      <c r="K213" s="231"/>
      <c r="L213" s="231"/>
      <c r="M213" s="231"/>
      <c r="N213" s="231"/>
      <c r="O213" s="231"/>
      <c r="P213" s="231"/>
      <c r="Q213" s="231"/>
      <c r="R213" s="231"/>
      <c r="S213" s="231"/>
      <c r="T213" s="231"/>
      <c r="U213" s="231"/>
      <c r="V213" s="231"/>
      <c r="W213" s="231"/>
      <c r="X213" s="231"/>
      <c r="Y213" s="231"/>
      <c r="Z213" s="231"/>
      <c r="AA213" s="231"/>
      <c r="AB213" s="231"/>
      <c r="AC213" s="231"/>
      <c r="AD213" s="231"/>
      <c r="AE213" s="231"/>
      <c r="AF213" s="231"/>
      <c r="AG213" s="231"/>
      <c r="AH213" s="231"/>
      <c r="AI213" s="231"/>
      <c r="AJ213" s="231"/>
      <c r="AK213" s="231"/>
    </row>
    <row r="214" spans="1:37" s="203" customFormat="1">
      <c r="A214" s="120">
        <v>12</v>
      </c>
      <c r="B214" s="116" t="s">
        <v>175</v>
      </c>
      <c r="C214" s="116"/>
      <c r="D214" s="116"/>
      <c r="E214" s="159">
        <v>13569.757</v>
      </c>
      <c r="F214" s="61">
        <f>F201+F207+SUM(F210:F213)</f>
        <v>13225</v>
      </c>
      <c r="G214" s="118"/>
      <c r="H214" s="61">
        <f>H201+H207+SUM(H210:H213)</f>
        <v>13796</v>
      </c>
      <c r="I214" s="29"/>
      <c r="J214" s="231"/>
      <c r="K214" s="231"/>
      <c r="L214" s="231"/>
      <c r="M214" s="231"/>
      <c r="N214" s="231"/>
      <c r="O214" s="231"/>
      <c r="P214" s="231"/>
      <c r="Q214" s="231"/>
      <c r="R214" s="231"/>
      <c r="S214" s="231"/>
      <c r="T214" s="231"/>
      <c r="U214" s="231"/>
      <c r="V214" s="231"/>
      <c r="W214" s="231"/>
      <c r="X214" s="231"/>
      <c r="Y214" s="231"/>
      <c r="Z214" s="231"/>
      <c r="AA214" s="231"/>
      <c r="AB214" s="231"/>
      <c r="AC214" s="231"/>
      <c r="AD214" s="231"/>
      <c r="AE214" s="231"/>
      <c r="AF214" s="231"/>
      <c r="AG214" s="231"/>
      <c r="AH214" s="231"/>
      <c r="AI214" s="231"/>
      <c r="AJ214" s="231"/>
      <c r="AK214" s="231"/>
    </row>
    <row r="215" spans="1:37" s="203" customFormat="1">
      <c r="A215" s="111"/>
      <c r="B215" s="47"/>
      <c r="C215" s="47"/>
      <c r="D215" s="47"/>
      <c r="E215" s="117"/>
      <c r="F215" s="118"/>
      <c r="G215" s="118"/>
      <c r="H215" s="118"/>
      <c r="I215" s="29"/>
      <c r="J215" s="231"/>
      <c r="K215" s="231"/>
      <c r="L215" s="231"/>
      <c r="M215" s="231"/>
      <c r="N215" s="231"/>
      <c r="O215" s="231"/>
      <c r="P215" s="231"/>
      <c r="Q215" s="231"/>
      <c r="R215" s="231"/>
      <c r="S215" s="231"/>
      <c r="T215" s="231"/>
      <c r="U215" s="231"/>
      <c r="V215" s="231"/>
      <c r="W215" s="231"/>
      <c r="X215" s="231"/>
      <c r="Y215" s="231"/>
      <c r="Z215" s="231"/>
      <c r="AA215" s="231"/>
      <c r="AB215" s="231"/>
      <c r="AC215" s="231"/>
      <c r="AD215" s="231"/>
      <c r="AE215" s="231"/>
      <c r="AF215" s="231"/>
      <c r="AG215" s="231"/>
      <c r="AH215" s="231"/>
      <c r="AI215" s="231"/>
      <c r="AJ215" s="231"/>
      <c r="AK215" s="231"/>
    </row>
    <row r="216" spans="1:37" s="203" customFormat="1">
      <c r="A216" s="119" t="s">
        <v>176</v>
      </c>
      <c r="B216" s="116"/>
      <c r="C216" s="116"/>
      <c r="D216" s="116"/>
      <c r="E216" s="117"/>
      <c r="F216" s="160"/>
      <c r="G216" s="118"/>
      <c r="H216" s="160"/>
      <c r="I216" s="29"/>
      <c r="J216" s="231"/>
      <c r="K216" s="231"/>
      <c r="L216" s="231"/>
      <c r="M216" s="231"/>
      <c r="N216" s="231"/>
      <c r="O216" s="231"/>
      <c r="P216" s="231"/>
      <c r="Q216" s="231"/>
      <c r="R216" s="231"/>
      <c r="S216" s="231"/>
      <c r="T216" s="231"/>
      <c r="U216" s="231"/>
      <c r="V216" s="231"/>
      <c r="W216" s="231"/>
      <c r="X216" s="231"/>
      <c r="Y216" s="231"/>
      <c r="Z216" s="231"/>
      <c r="AA216" s="231"/>
      <c r="AB216" s="231"/>
      <c r="AC216" s="231"/>
      <c r="AD216" s="231"/>
      <c r="AE216" s="231"/>
      <c r="AF216" s="231"/>
      <c r="AG216" s="231"/>
      <c r="AH216" s="231"/>
      <c r="AI216" s="231"/>
      <c r="AJ216" s="231"/>
      <c r="AK216" s="231"/>
    </row>
    <row r="217" spans="1:37" s="203" customFormat="1">
      <c r="A217" s="120">
        <v>13</v>
      </c>
      <c r="B217" s="47" t="s">
        <v>177</v>
      </c>
      <c r="C217" s="47"/>
      <c r="D217" s="47"/>
      <c r="E217" s="41">
        <v>57</v>
      </c>
      <c r="F217" s="121">
        <v>7</v>
      </c>
      <c r="G217" s="118"/>
      <c r="H217" s="169">
        <v>9</v>
      </c>
      <c r="I217" s="29"/>
      <c r="J217" s="231"/>
      <c r="K217" s="231"/>
      <c r="L217" s="231"/>
      <c r="M217" s="231"/>
      <c r="N217" s="231"/>
      <c r="O217" s="231"/>
      <c r="P217" s="231"/>
      <c r="Q217" s="231"/>
      <c r="R217" s="231"/>
      <c r="S217" s="231"/>
      <c r="T217" s="231"/>
      <c r="U217" s="231"/>
      <c r="V217" s="231"/>
      <c r="W217" s="231"/>
      <c r="X217" s="231"/>
      <c r="Y217" s="231"/>
      <c r="Z217" s="231"/>
      <c r="AA217" s="231"/>
      <c r="AB217" s="231"/>
      <c r="AC217" s="231"/>
      <c r="AD217" s="231"/>
      <c r="AE217" s="231"/>
      <c r="AF217" s="231"/>
      <c r="AG217" s="231"/>
      <c r="AH217" s="231"/>
      <c r="AI217" s="231"/>
      <c r="AJ217" s="231"/>
      <c r="AK217" s="231"/>
    </row>
    <row r="218" spans="1:37" s="203" customFormat="1">
      <c r="A218" s="124">
        <v>14</v>
      </c>
      <c r="B218" s="54" t="s">
        <v>178</v>
      </c>
      <c r="C218" s="54"/>
      <c r="D218" s="54"/>
      <c r="E218" s="56">
        <v>866.971</v>
      </c>
      <c r="F218" s="126">
        <v>804</v>
      </c>
      <c r="G218" s="118"/>
      <c r="H218" s="100">
        <v>933</v>
      </c>
      <c r="I218" s="29"/>
      <c r="J218" s="231"/>
      <c r="K218" s="231"/>
      <c r="L218" s="231"/>
      <c r="M218" s="231"/>
      <c r="N218" s="231"/>
      <c r="O218" s="231"/>
      <c r="P218" s="231"/>
      <c r="Q218" s="231"/>
      <c r="R218" s="231"/>
      <c r="S218" s="231"/>
      <c r="T218" s="231"/>
      <c r="U218" s="231"/>
      <c r="V218" s="231"/>
      <c r="W218" s="231"/>
      <c r="X218" s="231"/>
      <c r="Y218" s="231"/>
      <c r="Z218" s="231"/>
      <c r="AA218" s="231"/>
      <c r="AB218" s="231"/>
      <c r="AC218" s="231"/>
      <c r="AD218" s="231"/>
      <c r="AE218" s="231"/>
      <c r="AF218" s="231"/>
      <c r="AG218" s="231"/>
      <c r="AH218" s="231"/>
      <c r="AI218" s="231"/>
      <c r="AJ218" s="231"/>
      <c r="AK218" s="231"/>
    </row>
    <row r="219" spans="1:37" s="203" customFormat="1">
      <c r="A219" s="148"/>
      <c r="B219" s="29"/>
      <c r="C219" s="29"/>
      <c r="D219" s="170"/>
      <c r="E219" s="171"/>
      <c r="F219" s="29"/>
      <c r="G219" s="29"/>
      <c r="H219" s="207"/>
      <c r="I219" s="29"/>
      <c r="J219" s="231"/>
      <c r="K219" s="231"/>
      <c r="L219" s="231"/>
      <c r="M219" s="231"/>
      <c r="N219" s="231"/>
      <c r="O219" s="231"/>
      <c r="P219" s="231"/>
      <c r="Q219" s="231"/>
      <c r="R219" s="231"/>
      <c r="S219" s="231"/>
      <c r="T219" s="231"/>
      <c r="U219" s="231"/>
      <c r="V219" s="231"/>
      <c r="W219" s="231"/>
      <c r="X219" s="231"/>
      <c r="Y219" s="231"/>
      <c r="Z219" s="231"/>
      <c r="AA219" s="231"/>
      <c r="AB219" s="231"/>
      <c r="AC219" s="231"/>
      <c r="AD219" s="231"/>
      <c r="AE219" s="231"/>
      <c r="AF219" s="231"/>
      <c r="AG219" s="231"/>
      <c r="AH219" s="231"/>
      <c r="AI219" s="231"/>
      <c r="AJ219" s="231"/>
      <c r="AK219" s="231"/>
    </row>
    <row r="220" spans="1:37" s="203" customFormat="1">
      <c r="A220" s="148"/>
      <c r="B220" s="29"/>
      <c r="C220" s="29"/>
      <c r="D220" s="172"/>
      <c r="E220" s="152"/>
      <c r="F220" s="29"/>
      <c r="G220" s="29"/>
      <c r="H220" s="131" t="s">
        <v>27</v>
      </c>
      <c r="I220" s="29"/>
      <c r="J220" s="231"/>
      <c r="K220" s="231"/>
      <c r="L220" s="231"/>
      <c r="M220" s="231"/>
      <c r="N220" s="231"/>
      <c r="O220" s="231"/>
      <c r="P220" s="231"/>
      <c r="Q220" s="231"/>
      <c r="R220" s="231"/>
      <c r="S220" s="231"/>
      <c r="T220" s="231"/>
      <c r="U220" s="231"/>
      <c r="V220" s="231"/>
      <c r="W220" s="231"/>
      <c r="X220" s="231"/>
      <c r="Y220" s="231"/>
      <c r="Z220" s="231"/>
      <c r="AA220" s="231"/>
      <c r="AB220" s="231"/>
      <c r="AC220" s="231"/>
      <c r="AD220" s="231"/>
      <c r="AE220" s="231"/>
      <c r="AF220" s="231"/>
      <c r="AG220" s="231"/>
      <c r="AH220" s="231"/>
      <c r="AI220" s="231"/>
      <c r="AJ220" s="231"/>
      <c r="AK220" s="231"/>
    </row>
    <row r="221" spans="1:37" s="203" customFormat="1" ht="12.75" customHeight="1">
      <c r="A221" s="106" t="s">
        <v>10</v>
      </c>
      <c r="B221" s="164"/>
      <c r="C221" s="164"/>
      <c r="D221" s="164"/>
      <c r="E221" s="856" t="s">
        <v>377</v>
      </c>
      <c r="F221" s="856" t="s">
        <v>402</v>
      </c>
      <c r="G221" s="130"/>
      <c r="H221" s="856" t="s">
        <v>403</v>
      </c>
      <c r="I221" s="130"/>
      <c r="J221" s="231"/>
      <c r="K221" s="231"/>
      <c r="L221" s="231"/>
      <c r="M221" s="231"/>
      <c r="N221" s="231"/>
      <c r="O221" s="231"/>
      <c r="P221" s="231"/>
      <c r="Q221" s="231"/>
      <c r="R221" s="231"/>
      <c r="S221" s="231"/>
      <c r="T221" s="231"/>
      <c r="U221" s="231"/>
      <c r="V221" s="231"/>
      <c r="W221" s="231"/>
      <c r="X221" s="231"/>
      <c r="Y221" s="231"/>
      <c r="Z221" s="231"/>
      <c r="AA221" s="231"/>
      <c r="AB221" s="231"/>
      <c r="AC221" s="231"/>
      <c r="AD221" s="231"/>
      <c r="AE221" s="231"/>
      <c r="AF221" s="231"/>
      <c r="AG221" s="231"/>
      <c r="AH221" s="231"/>
      <c r="AI221" s="231"/>
      <c r="AJ221" s="231"/>
      <c r="AK221" s="231"/>
    </row>
    <row r="222" spans="1:37" s="203" customFormat="1">
      <c r="A222" s="109"/>
      <c r="B222" s="132"/>
      <c r="C222" s="132"/>
      <c r="D222" s="132"/>
      <c r="E222" s="859"/>
      <c r="F222" s="859"/>
      <c r="G222" s="130"/>
      <c r="H222" s="859"/>
      <c r="I222" s="130"/>
      <c r="J222" s="231"/>
      <c r="K222" s="231"/>
      <c r="L222" s="231"/>
      <c r="M222" s="231"/>
      <c r="N222" s="231"/>
      <c r="O222" s="231"/>
      <c r="P222" s="231"/>
      <c r="Q222" s="231"/>
      <c r="R222" s="231"/>
      <c r="S222" s="231"/>
      <c r="T222" s="231"/>
      <c r="U222" s="231"/>
      <c r="V222" s="231"/>
      <c r="W222" s="231"/>
      <c r="X222" s="231"/>
      <c r="Y222" s="231"/>
      <c r="Z222" s="231"/>
      <c r="AA222" s="231"/>
      <c r="AB222" s="231"/>
      <c r="AC222" s="231"/>
      <c r="AD222" s="231"/>
      <c r="AE222" s="231"/>
      <c r="AF222" s="231"/>
      <c r="AG222" s="231"/>
      <c r="AH222" s="231"/>
      <c r="AI222" s="231"/>
      <c r="AJ222" s="231"/>
      <c r="AK222" s="231"/>
    </row>
    <row r="223" spans="1:37" s="203" customFormat="1">
      <c r="A223" s="154" t="s">
        <v>179</v>
      </c>
      <c r="B223" s="116"/>
      <c r="C223" s="116"/>
      <c r="D223" s="116"/>
      <c r="E223" s="859"/>
      <c r="F223" s="859"/>
      <c r="G223" s="130"/>
      <c r="H223" s="859"/>
      <c r="I223" s="130"/>
      <c r="J223" s="231"/>
      <c r="K223" s="231"/>
      <c r="L223" s="231"/>
      <c r="M223" s="231"/>
      <c r="N223" s="231"/>
      <c r="O223" s="231"/>
      <c r="P223" s="231"/>
      <c r="Q223" s="231"/>
      <c r="R223" s="231"/>
      <c r="S223" s="231"/>
      <c r="T223" s="231"/>
      <c r="U223" s="231"/>
      <c r="V223" s="231"/>
      <c r="W223" s="231"/>
      <c r="X223" s="231"/>
      <c r="Y223" s="231"/>
      <c r="Z223" s="231"/>
      <c r="AA223" s="231"/>
      <c r="AB223" s="231"/>
      <c r="AC223" s="231"/>
      <c r="AD223" s="231"/>
      <c r="AE223" s="231"/>
      <c r="AF223" s="231"/>
      <c r="AG223" s="231"/>
      <c r="AH223" s="231"/>
      <c r="AI223" s="231"/>
      <c r="AJ223" s="231"/>
      <c r="AK223" s="231"/>
    </row>
    <row r="224" spans="1:37" s="203" customFormat="1">
      <c r="A224" s="109" t="s">
        <v>83</v>
      </c>
      <c r="B224" s="47"/>
      <c r="C224" s="47"/>
      <c r="D224" s="47"/>
      <c r="E224" s="859"/>
      <c r="F224" s="859"/>
      <c r="G224" s="130"/>
      <c r="H224" s="859"/>
      <c r="I224" s="130"/>
      <c r="J224" s="231"/>
      <c r="K224" s="231"/>
      <c r="L224" s="231"/>
      <c r="M224" s="231"/>
      <c r="N224" s="231"/>
      <c r="O224" s="231"/>
      <c r="P224" s="231"/>
      <c r="Q224" s="231"/>
      <c r="R224" s="231"/>
      <c r="S224" s="231"/>
      <c r="T224" s="231"/>
      <c r="U224" s="231"/>
      <c r="V224" s="231"/>
      <c r="W224" s="231"/>
      <c r="X224" s="231"/>
      <c r="Y224" s="231"/>
      <c r="Z224" s="231"/>
      <c r="AA224" s="231"/>
      <c r="AB224" s="231"/>
      <c r="AC224" s="231"/>
      <c r="AD224" s="231"/>
      <c r="AE224" s="231"/>
      <c r="AF224" s="231"/>
      <c r="AG224" s="231"/>
      <c r="AH224" s="231"/>
      <c r="AI224" s="231"/>
      <c r="AJ224" s="231"/>
      <c r="AK224" s="231"/>
    </row>
    <row r="225" spans="1:37" s="203" customFormat="1">
      <c r="A225" s="110" t="s">
        <v>84</v>
      </c>
      <c r="B225" s="132"/>
      <c r="C225" s="132"/>
      <c r="D225" s="132"/>
      <c r="E225" s="860"/>
      <c r="F225" s="860"/>
      <c r="G225" s="130"/>
      <c r="H225" s="860"/>
      <c r="I225" s="130"/>
      <c r="J225" s="231"/>
      <c r="K225" s="231"/>
      <c r="L225" s="231"/>
      <c r="M225" s="231"/>
      <c r="N225" s="231"/>
      <c r="O225" s="231"/>
      <c r="P225" s="231"/>
      <c r="Q225" s="231"/>
      <c r="R225" s="231"/>
      <c r="S225" s="231"/>
      <c r="T225" s="231"/>
      <c r="U225" s="231"/>
      <c r="V225" s="231"/>
      <c r="W225" s="231"/>
      <c r="X225" s="231"/>
      <c r="Y225" s="231"/>
      <c r="Z225" s="231"/>
      <c r="AA225" s="231"/>
      <c r="AB225" s="231"/>
      <c r="AC225" s="231"/>
      <c r="AD225" s="231"/>
      <c r="AE225" s="231"/>
      <c r="AF225" s="231"/>
      <c r="AG225" s="231"/>
      <c r="AH225" s="231"/>
      <c r="AI225" s="231"/>
      <c r="AJ225" s="231"/>
      <c r="AK225" s="231"/>
    </row>
    <row r="226" spans="1:37" s="203" customFormat="1">
      <c r="A226" s="120">
        <v>1</v>
      </c>
      <c r="B226" s="47" t="s">
        <v>180</v>
      </c>
      <c r="C226" s="47"/>
      <c r="D226" s="47"/>
      <c r="E226" s="41">
        <v>390.35</v>
      </c>
      <c r="F226" s="52">
        <v>310</v>
      </c>
      <c r="G226" s="118"/>
      <c r="H226" s="133">
        <v>406</v>
      </c>
      <c r="I226" s="29"/>
      <c r="J226" s="231"/>
      <c r="K226" s="231"/>
      <c r="L226" s="231"/>
      <c r="M226" s="231"/>
      <c r="N226" s="231"/>
      <c r="O226" s="231"/>
      <c r="P226" s="231"/>
      <c r="Q226" s="231"/>
      <c r="R226" s="231"/>
      <c r="S226" s="231"/>
      <c r="T226" s="231"/>
      <c r="U226" s="231"/>
      <c r="V226" s="231"/>
      <c r="W226" s="231"/>
      <c r="X226" s="231"/>
      <c r="Y226" s="231"/>
      <c r="Z226" s="231"/>
      <c r="AA226" s="231"/>
      <c r="AB226" s="231"/>
      <c r="AC226" s="231"/>
      <c r="AD226" s="231"/>
      <c r="AE226" s="231"/>
      <c r="AF226" s="231"/>
      <c r="AG226" s="231"/>
      <c r="AH226" s="231"/>
      <c r="AI226" s="231"/>
      <c r="AJ226" s="231"/>
      <c r="AK226" s="231"/>
    </row>
    <row r="227" spans="1:37" s="203" customFormat="1">
      <c r="A227" s="120">
        <v>2</v>
      </c>
      <c r="B227" s="47" t="s">
        <v>181</v>
      </c>
      <c r="C227" s="47"/>
      <c r="D227" s="47"/>
      <c r="E227" s="49">
        <v>177.369</v>
      </c>
      <c r="F227" s="52">
        <v>129</v>
      </c>
      <c r="G227" s="118"/>
      <c r="H227" s="122">
        <v>208</v>
      </c>
      <c r="I227" s="29"/>
      <c r="J227" s="231"/>
      <c r="K227" s="231"/>
      <c r="L227" s="231"/>
      <c r="M227" s="231"/>
      <c r="N227" s="231"/>
      <c r="O227" s="231"/>
      <c r="P227" s="231"/>
      <c r="Q227" s="231"/>
      <c r="R227" s="231"/>
      <c r="S227" s="231"/>
      <c r="T227" s="231"/>
      <c r="U227" s="231"/>
      <c r="V227" s="231"/>
      <c r="W227" s="231"/>
      <c r="X227" s="231"/>
      <c r="Y227" s="231"/>
      <c r="Z227" s="231"/>
      <c r="AA227" s="231"/>
      <c r="AB227" s="231"/>
      <c r="AC227" s="231"/>
      <c r="AD227" s="231"/>
      <c r="AE227" s="231"/>
      <c r="AF227" s="231"/>
      <c r="AG227" s="231"/>
      <c r="AH227" s="231"/>
      <c r="AI227" s="231"/>
      <c r="AJ227" s="231"/>
      <c r="AK227" s="231"/>
    </row>
    <row r="228" spans="1:37" s="203" customFormat="1">
      <c r="A228" s="120">
        <v>3</v>
      </c>
      <c r="B228" s="47" t="s">
        <v>182</v>
      </c>
      <c r="C228" s="47"/>
      <c r="D228" s="47"/>
      <c r="E228" s="114">
        <v>1506.7650000000001</v>
      </c>
      <c r="F228" s="52">
        <v>1449</v>
      </c>
      <c r="G228" s="118"/>
      <c r="H228" s="122">
        <v>1522</v>
      </c>
      <c r="I228" s="29"/>
      <c r="J228" s="231"/>
      <c r="K228" s="231"/>
      <c r="L228" s="231"/>
      <c r="M228" s="231"/>
      <c r="N228" s="231"/>
      <c r="O228" s="231"/>
      <c r="P228" s="231"/>
      <c r="Q228" s="231"/>
      <c r="R228" s="231"/>
      <c r="S228" s="231"/>
      <c r="T228" s="231"/>
      <c r="U228" s="231"/>
      <c r="V228" s="231"/>
      <c r="W228" s="231"/>
      <c r="X228" s="231"/>
      <c r="Y228" s="231"/>
      <c r="Z228" s="231"/>
      <c r="AA228" s="231"/>
      <c r="AB228" s="231"/>
      <c r="AC228" s="231"/>
      <c r="AD228" s="231"/>
      <c r="AE228" s="231"/>
      <c r="AF228" s="231"/>
      <c r="AG228" s="231"/>
      <c r="AH228" s="231"/>
      <c r="AI228" s="231"/>
      <c r="AJ228" s="231"/>
      <c r="AK228" s="231"/>
    </row>
    <row r="229" spans="1:37" s="203" customFormat="1">
      <c r="A229" s="120">
        <v>4</v>
      </c>
      <c r="B229" s="47" t="s">
        <v>183</v>
      </c>
      <c r="C229" s="47"/>
      <c r="D229" s="47"/>
      <c r="E229" s="114">
        <v>1.7410000000000001</v>
      </c>
      <c r="F229" s="52">
        <v>-73</v>
      </c>
      <c r="G229" s="118"/>
      <c r="H229" s="122">
        <v>2</v>
      </c>
      <c r="I229" s="29"/>
      <c r="J229" s="231"/>
      <c r="K229" s="231"/>
      <c r="L229" s="231"/>
      <c r="M229" s="231"/>
      <c r="N229" s="231"/>
      <c r="O229" s="231"/>
      <c r="P229" s="231"/>
      <c r="Q229" s="231"/>
      <c r="R229" s="231"/>
      <c r="S229" s="231"/>
      <c r="T229" s="231"/>
      <c r="U229" s="231"/>
      <c r="V229" s="231"/>
      <c r="W229" s="231"/>
      <c r="X229" s="231"/>
      <c r="Y229" s="231"/>
      <c r="Z229" s="231"/>
      <c r="AA229" s="231"/>
      <c r="AB229" s="231"/>
      <c r="AC229" s="231"/>
      <c r="AD229" s="231"/>
      <c r="AE229" s="231"/>
      <c r="AF229" s="231"/>
      <c r="AG229" s="231"/>
      <c r="AH229" s="231"/>
      <c r="AI229" s="231"/>
      <c r="AJ229" s="231"/>
      <c r="AK229" s="231"/>
    </row>
    <row r="230" spans="1:37" s="203" customFormat="1">
      <c r="A230" s="120">
        <v>5</v>
      </c>
      <c r="B230" s="47" t="s">
        <v>184</v>
      </c>
      <c r="C230" s="47"/>
      <c r="D230" s="47"/>
      <c r="E230" s="114">
        <v>2335.2269999999999</v>
      </c>
      <c r="F230" s="52">
        <v>2004</v>
      </c>
      <c r="G230" s="118"/>
      <c r="H230" s="99">
        <v>2570</v>
      </c>
      <c r="I230" s="29"/>
      <c r="J230" s="231"/>
      <c r="K230" s="231"/>
      <c r="L230" s="231"/>
      <c r="M230" s="231"/>
      <c r="N230" s="231"/>
      <c r="O230" s="231"/>
      <c r="P230" s="231"/>
      <c r="Q230" s="231"/>
      <c r="R230" s="231"/>
      <c r="S230" s="231"/>
      <c r="T230" s="231"/>
      <c r="U230" s="231"/>
      <c r="V230" s="231"/>
      <c r="W230" s="231"/>
      <c r="X230" s="231"/>
      <c r="Y230" s="231"/>
      <c r="Z230" s="231"/>
      <c r="AA230" s="231"/>
      <c r="AB230" s="231"/>
      <c r="AC230" s="231"/>
      <c r="AD230" s="231"/>
      <c r="AE230" s="231"/>
      <c r="AF230" s="231"/>
      <c r="AG230" s="231"/>
      <c r="AH230" s="231"/>
      <c r="AI230" s="231"/>
      <c r="AJ230" s="231"/>
      <c r="AK230" s="231"/>
    </row>
    <row r="231" spans="1:37" s="203" customFormat="1">
      <c r="A231" s="124">
        <v>6</v>
      </c>
      <c r="B231" s="173" t="s">
        <v>185</v>
      </c>
      <c r="C231" s="173"/>
      <c r="D231" s="173"/>
      <c r="E231" s="159">
        <v>4411.4520000000002</v>
      </c>
      <c r="F231" s="61">
        <f>SUM(F226:F230)</f>
        <v>3819</v>
      </c>
      <c r="G231" s="118"/>
      <c r="H231" s="61">
        <f>SUM(H226:H230)</f>
        <v>4708</v>
      </c>
      <c r="I231" s="29"/>
      <c r="J231" s="231"/>
      <c r="K231" s="231"/>
      <c r="L231" s="231"/>
      <c r="M231" s="231"/>
      <c r="N231" s="231"/>
      <c r="O231" s="231"/>
      <c r="P231" s="231"/>
      <c r="Q231" s="231"/>
      <c r="R231" s="231"/>
      <c r="S231" s="231"/>
      <c r="T231" s="231"/>
      <c r="U231" s="231"/>
      <c r="V231" s="231"/>
      <c r="W231" s="231"/>
      <c r="X231" s="231"/>
      <c r="Y231" s="231"/>
      <c r="Z231" s="231"/>
      <c r="AA231" s="231"/>
      <c r="AB231" s="231"/>
      <c r="AC231" s="231"/>
      <c r="AD231" s="231"/>
      <c r="AE231" s="231"/>
      <c r="AF231" s="231"/>
      <c r="AG231" s="231"/>
      <c r="AH231" s="231"/>
      <c r="AI231" s="231"/>
      <c r="AJ231" s="231"/>
      <c r="AK231" s="231"/>
    </row>
    <row r="232" spans="1:37" s="203" customFormat="1">
      <c r="A232" s="148"/>
      <c r="B232" s="29"/>
      <c r="C232" s="29"/>
      <c r="D232" s="170"/>
      <c r="E232" s="150"/>
      <c r="F232" s="29"/>
      <c r="G232" s="29"/>
      <c r="H232" s="207"/>
      <c r="I232" s="29"/>
      <c r="J232" s="231"/>
      <c r="K232" s="231"/>
      <c r="L232" s="231"/>
      <c r="M232" s="231"/>
      <c r="N232" s="231"/>
      <c r="O232" s="231"/>
      <c r="P232" s="231"/>
      <c r="Q232" s="231"/>
      <c r="R232" s="231"/>
      <c r="S232" s="231"/>
      <c r="T232" s="231"/>
      <c r="U232" s="231"/>
      <c r="V232" s="231"/>
      <c r="W232" s="231"/>
      <c r="X232" s="231"/>
      <c r="Y232" s="231"/>
      <c r="Z232" s="231"/>
      <c r="AA232" s="231"/>
      <c r="AB232" s="231"/>
      <c r="AC232" s="231"/>
      <c r="AD232" s="231"/>
      <c r="AE232" s="231"/>
      <c r="AF232" s="231"/>
      <c r="AG232" s="231"/>
      <c r="AH232" s="231"/>
      <c r="AI232" s="231"/>
      <c r="AJ232" s="231"/>
      <c r="AK232" s="231"/>
    </row>
    <row r="233" spans="1:37" s="203" customFormat="1">
      <c r="A233" s="148"/>
      <c r="B233" s="29"/>
      <c r="C233" s="29"/>
      <c r="D233" s="172"/>
      <c r="E233" s="152"/>
      <c r="F233" s="29"/>
      <c r="G233" s="29"/>
      <c r="H233" s="131" t="s">
        <v>27</v>
      </c>
      <c r="I233" s="29"/>
      <c r="J233" s="231"/>
      <c r="K233" s="231"/>
      <c r="L233" s="231"/>
      <c r="M233" s="231"/>
      <c r="N233" s="231"/>
      <c r="O233" s="231"/>
      <c r="P233" s="231"/>
      <c r="Q233" s="231"/>
      <c r="R233" s="231"/>
      <c r="S233" s="231"/>
      <c r="T233" s="231"/>
      <c r="U233" s="231"/>
      <c r="V233" s="231"/>
      <c r="W233" s="231"/>
      <c r="X233" s="231"/>
      <c r="Y233" s="231"/>
      <c r="Z233" s="231"/>
      <c r="AA233" s="231"/>
      <c r="AB233" s="231"/>
      <c r="AC233" s="231"/>
      <c r="AD233" s="231"/>
      <c r="AE233" s="231"/>
      <c r="AF233" s="231"/>
      <c r="AG233" s="231"/>
      <c r="AH233" s="231"/>
      <c r="AI233" s="231"/>
      <c r="AJ233" s="231"/>
      <c r="AK233" s="231"/>
    </row>
    <row r="234" spans="1:37" s="203" customFormat="1" ht="12.75" customHeight="1">
      <c r="A234" s="106" t="s">
        <v>12</v>
      </c>
      <c r="B234" s="164"/>
      <c r="C234" s="164"/>
      <c r="D234" s="164"/>
      <c r="E234" s="856" t="s">
        <v>377</v>
      </c>
      <c r="F234" s="856" t="s">
        <v>402</v>
      </c>
      <c r="G234" s="130"/>
      <c r="H234" s="856" t="s">
        <v>403</v>
      </c>
      <c r="I234" s="130"/>
      <c r="J234" s="231"/>
      <c r="K234" s="231"/>
      <c r="L234" s="231"/>
      <c r="M234" s="231"/>
      <c r="N234" s="231"/>
      <c r="O234" s="231"/>
      <c r="P234" s="231"/>
      <c r="Q234" s="231"/>
      <c r="R234" s="231"/>
      <c r="S234" s="231"/>
      <c r="T234" s="231"/>
      <c r="U234" s="231"/>
      <c r="V234" s="231"/>
      <c r="W234" s="231"/>
      <c r="X234" s="231"/>
      <c r="Y234" s="231"/>
      <c r="Z234" s="231"/>
      <c r="AA234" s="231"/>
      <c r="AB234" s="231"/>
      <c r="AC234" s="231"/>
      <c r="AD234" s="231"/>
      <c r="AE234" s="231"/>
      <c r="AF234" s="231"/>
      <c r="AG234" s="231"/>
      <c r="AH234" s="231"/>
      <c r="AI234" s="231"/>
      <c r="AJ234" s="231"/>
      <c r="AK234" s="231"/>
    </row>
    <row r="235" spans="1:37" s="203" customFormat="1">
      <c r="A235" s="165"/>
      <c r="B235" s="47"/>
      <c r="C235" s="47"/>
      <c r="D235" s="47"/>
      <c r="E235" s="859"/>
      <c r="F235" s="859"/>
      <c r="G235" s="130"/>
      <c r="H235" s="859"/>
      <c r="I235" s="130"/>
      <c r="J235" s="231"/>
      <c r="K235" s="231"/>
      <c r="L235" s="231"/>
      <c r="M235" s="231"/>
      <c r="N235" s="231"/>
      <c r="O235" s="231"/>
      <c r="P235" s="231"/>
      <c r="Q235" s="231"/>
      <c r="R235" s="231"/>
      <c r="S235" s="231"/>
      <c r="T235" s="231"/>
      <c r="U235" s="231"/>
      <c r="V235" s="231"/>
      <c r="W235" s="231"/>
      <c r="X235" s="231"/>
      <c r="Y235" s="231"/>
      <c r="Z235" s="231"/>
      <c r="AA235" s="231"/>
      <c r="AB235" s="231"/>
      <c r="AC235" s="231"/>
      <c r="AD235" s="231"/>
      <c r="AE235" s="231"/>
      <c r="AF235" s="231"/>
      <c r="AG235" s="231"/>
      <c r="AH235" s="231"/>
      <c r="AI235" s="231"/>
      <c r="AJ235" s="231"/>
      <c r="AK235" s="231"/>
    </row>
    <row r="236" spans="1:37" s="203" customFormat="1">
      <c r="A236" s="154" t="s">
        <v>186</v>
      </c>
      <c r="B236" s="174"/>
      <c r="C236" s="174"/>
      <c r="D236" s="174"/>
      <c r="E236" s="859"/>
      <c r="F236" s="859"/>
      <c r="G236" s="130"/>
      <c r="H236" s="859"/>
      <c r="I236" s="130"/>
      <c r="J236" s="231"/>
      <c r="K236" s="231"/>
      <c r="L236" s="231"/>
      <c r="M236" s="231"/>
      <c r="N236" s="231"/>
      <c r="O236" s="231"/>
      <c r="P236" s="231"/>
      <c r="Q236" s="231"/>
      <c r="R236" s="231"/>
      <c r="S236" s="231"/>
      <c r="T236" s="231"/>
      <c r="U236" s="231"/>
      <c r="V236" s="231"/>
      <c r="W236" s="231"/>
      <c r="X236" s="231"/>
      <c r="Y236" s="231"/>
      <c r="Z236" s="231"/>
      <c r="AA236" s="231"/>
      <c r="AB236" s="231"/>
      <c r="AC236" s="231"/>
      <c r="AD236" s="231"/>
      <c r="AE236" s="231"/>
      <c r="AF236" s="231"/>
      <c r="AG236" s="231"/>
      <c r="AH236" s="231"/>
      <c r="AI236" s="231"/>
      <c r="AJ236" s="231"/>
      <c r="AK236" s="231"/>
    </row>
    <row r="237" spans="1:37" s="203" customFormat="1">
      <c r="A237" s="109" t="s">
        <v>83</v>
      </c>
      <c r="B237" s="47"/>
      <c r="C237" s="47"/>
      <c r="D237" s="47"/>
      <c r="E237" s="859"/>
      <c r="F237" s="859"/>
      <c r="G237" s="130"/>
      <c r="H237" s="859"/>
      <c r="I237" s="130"/>
      <c r="J237" s="231"/>
      <c r="K237" s="231"/>
      <c r="L237" s="231"/>
      <c r="M237" s="231"/>
      <c r="N237" s="231"/>
      <c r="O237" s="231"/>
      <c r="P237" s="231"/>
      <c r="Q237" s="231"/>
      <c r="R237" s="231"/>
      <c r="S237" s="231"/>
      <c r="T237" s="231"/>
      <c r="U237" s="231"/>
      <c r="V237" s="231"/>
      <c r="W237" s="231"/>
      <c r="X237" s="231"/>
      <c r="Y237" s="231"/>
      <c r="Z237" s="231"/>
      <c r="AA237" s="231"/>
      <c r="AB237" s="231"/>
      <c r="AC237" s="231"/>
      <c r="AD237" s="231"/>
      <c r="AE237" s="231"/>
      <c r="AF237" s="231"/>
      <c r="AG237" s="231"/>
      <c r="AH237" s="231"/>
      <c r="AI237" s="231"/>
      <c r="AJ237" s="231"/>
      <c r="AK237" s="231"/>
    </row>
    <row r="238" spans="1:37" s="203" customFormat="1">
      <c r="A238" s="110" t="s">
        <v>84</v>
      </c>
      <c r="B238" s="174"/>
      <c r="C238" s="174"/>
      <c r="D238" s="174"/>
      <c r="E238" s="860"/>
      <c r="F238" s="860"/>
      <c r="G238" s="130"/>
      <c r="H238" s="860"/>
      <c r="I238" s="130"/>
      <c r="J238" s="231"/>
      <c r="K238" s="231"/>
      <c r="L238" s="231"/>
      <c r="M238" s="231"/>
      <c r="N238" s="231"/>
      <c r="O238" s="231"/>
      <c r="P238" s="231"/>
      <c r="Q238" s="231"/>
      <c r="R238" s="231"/>
      <c r="S238" s="231"/>
      <c r="T238" s="231"/>
      <c r="U238" s="231"/>
      <c r="V238" s="231"/>
      <c r="W238" s="231"/>
      <c r="X238" s="231"/>
      <c r="Y238" s="231"/>
      <c r="Z238" s="231"/>
      <c r="AA238" s="231"/>
      <c r="AB238" s="231"/>
      <c r="AC238" s="231"/>
      <c r="AD238" s="231"/>
      <c r="AE238" s="231"/>
      <c r="AF238" s="231"/>
      <c r="AG238" s="231"/>
      <c r="AH238" s="231"/>
      <c r="AI238" s="231"/>
      <c r="AJ238" s="231"/>
      <c r="AK238" s="231"/>
    </row>
    <row r="239" spans="1:37" s="203" customFormat="1">
      <c r="A239" s="153" t="s">
        <v>187</v>
      </c>
      <c r="B239" s="116"/>
      <c r="C239" s="116"/>
      <c r="D239" s="116"/>
      <c r="E239" s="167"/>
      <c r="F239" s="146"/>
      <c r="G239" s="118"/>
      <c r="H239" s="146"/>
      <c r="I239" s="29"/>
      <c r="J239" s="231"/>
      <c r="K239" s="231"/>
      <c r="L239" s="231"/>
      <c r="M239" s="231"/>
      <c r="N239" s="231"/>
      <c r="O239" s="231"/>
      <c r="P239" s="231"/>
      <c r="Q239" s="231"/>
      <c r="R239" s="231"/>
      <c r="S239" s="231"/>
      <c r="T239" s="231"/>
      <c r="U239" s="231"/>
      <c r="V239" s="231"/>
      <c r="W239" s="231"/>
      <c r="X239" s="231"/>
      <c r="Y239" s="231"/>
      <c r="Z239" s="231"/>
      <c r="AA239" s="231"/>
      <c r="AB239" s="231"/>
      <c r="AC239" s="231"/>
      <c r="AD239" s="231"/>
      <c r="AE239" s="231"/>
      <c r="AF239" s="231"/>
      <c r="AG239" s="231"/>
      <c r="AH239" s="231"/>
      <c r="AI239" s="231"/>
      <c r="AJ239" s="231"/>
      <c r="AK239" s="231"/>
    </row>
    <row r="240" spans="1:37" s="203" customFormat="1">
      <c r="A240" s="120">
        <v>1</v>
      </c>
      <c r="B240" s="47" t="s">
        <v>188</v>
      </c>
      <c r="C240" s="47"/>
      <c r="D240" s="47"/>
      <c r="E240" s="74">
        <v>170.172</v>
      </c>
      <c r="F240" s="52">
        <v>170</v>
      </c>
      <c r="G240" s="118"/>
      <c r="H240" s="122">
        <v>177</v>
      </c>
      <c r="I240" s="29"/>
      <c r="J240" s="231"/>
      <c r="K240" s="231"/>
      <c r="L240" s="231"/>
      <c r="M240" s="231"/>
      <c r="N240" s="231"/>
      <c r="O240" s="231"/>
      <c r="P240" s="231"/>
      <c r="Q240" s="231"/>
      <c r="R240" s="231"/>
      <c r="S240" s="231"/>
      <c r="T240" s="231"/>
      <c r="U240" s="231"/>
      <c r="V240" s="231"/>
      <c r="W240" s="231"/>
      <c r="X240" s="231"/>
      <c r="Y240" s="231"/>
      <c r="Z240" s="231"/>
      <c r="AA240" s="231"/>
      <c r="AB240" s="231"/>
      <c r="AC240" s="231"/>
      <c r="AD240" s="231"/>
      <c r="AE240" s="231"/>
      <c r="AF240" s="231"/>
      <c r="AG240" s="231"/>
      <c r="AH240" s="231"/>
      <c r="AI240" s="231"/>
      <c r="AJ240" s="231"/>
      <c r="AK240" s="231"/>
    </row>
    <row r="241" spans="1:37" s="203" customFormat="1">
      <c r="A241" s="707">
        <v>2</v>
      </c>
      <c r="B241" s="47" t="s">
        <v>189</v>
      </c>
      <c r="C241" s="47"/>
      <c r="D241" s="47"/>
      <c r="E241" s="114">
        <v>277.85199999999998</v>
      </c>
      <c r="F241" s="52">
        <v>278</v>
      </c>
      <c r="G241" s="118"/>
      <c r="H241" s="100">
        <v>289</v>
      </c>
      <c r="I241" s="29"/>
      <c r="J241" s="231"/>
      <c r="K241" s="231"/>
      <c r="L241" s="231"/>
      <c r="M241" s="231"/>
      <c r="N241" s="231"/>
      <c r="O241" s="231"/>
      <c r="P241" s="231"/>
      <c r="Q241" s="231"/>
      <c r="R241" s="231"/>
      <c r="S241" s="231"/>
      <c r="T241" s="231"/>
      <c r="U241" s="231"/>
      <c r="V241" s="231"/>
      <c r="W241" s="231"/>
      <c r="X241" s="231"/>
      <c r="Y241" s="231"/>
      <c r="Z241" s="231"/>
      <c r="AA241" s="231"/>
      <c r="AB241" s="231"/>
      <c r="AC241" s="231"/>
      <c r="AD241" s="231"/>
      <c r="AE241" s="231"/>
      <c r="AF241" s="231"/>
      <c r="AG241" s="231"/>
      <c r="AH241" s="231"/>
      <c r="AI241" s="231"/>
      <c r="AJ241" s="231"/>
      <c r="AK241" s="231"/>
    </row>
    <row r="242" spans="1:37" s="203" customFormat="1">
      <c r="A242" s="707">
        <v>3</v>
      </c>
      <c r="B242" s="168" t="s">
        <v>190</v>
      </c>
      <c r="C242" s="168"/>
      <c r="D242" s="168"/>
      <c r="E242" s="80">
        <v>448.024</v>
      </c>
      <c r="F242" s="142">
        <f>SUM(F240:F241)</f>
        <v>448</v>
      </c>
      <c r="G242" s="118"/>
      <c r="H242" s="142">
        <f>SUM(H240:H241)</f>
        <v>466</v>
      </c>
      <c r="I242" s="29"/>
      <c r="J242" s="231"/>
      <c r="K242" s="231"/>
      <c r="L242" s="231"/>
      <c r="M242" s="231"/>
      <c r="N242" s="231"/>
      <c r="O242" s="231"/>
      <c r="P242" s="231"/>
      <c r="Q242" s="231"/>
      <c r="R242" s="231"/>
      <c r="S242" s="231"/>
      <c r="T242" s="231"/>
      <c r="U242" s="231"/>
      <c r="V242" s="231"/>
      <c r="W242" s="231"/>
      <c r="X242" s="231"/>
      <c r="Y242" s="231"/>
      <c r="Z242" s="231"/>
      <c r="AA242" s="231"/>
      <c r="AB242" s="231"/>
      <c r="AC242" s="231"/>
      <c r="AD242" s="231"/>
      <c r="AE242" s="231"/>
      <c r="AF242" s="231"/>
      <c r="AG242" s="231"/>
      <c r="AH242" s="231"/>
      <c r="AI242" s="231"/>
      <c r="AJ242" s="231"/>
      <c r="AK242" s="231"/>
    </row>
    <row r="243" spans="1:37" s="203" customFormat="1">
      <c r="A243" s="707"/>
      <c r="B243" s="116"/>
      <c r="C243" s="116"/>
      <c r="D243" s="116"/>
      <c r="E243" s="117"/>
      <c r="F243" s="118"/>
      <c r="G243" s="118"/>
      <c r="H243" s="118"/>
      <c r="I243" s="29"/>
      <c r="J243" s="231"/>
      <c r="K243" s="231"/>
      <c r="L243" s="231"/>
      <c r="M243" s="231"/>
      <c r="N243" s="231"/>
      <c r="O243" s="231"/>
      <c r="P243" s="231"/>
      <c r="Q243" s="231"/>
      <c r="R243" s="231"/>
      <c r="S243" s="231"/>
      <c r="T243" s="231"/>
      <c r="U243" s="231"/>
      <c r="V243" s="231"/>
      <c r="W243" s="231"/>
      <c r="X243" s="231"/>
      <c r="Y243" s="231"/>
      <c r="Z243" s="231"/>
      <c r="AA243" s="231"/>
      <c r="AB243" s="231"/>
      <c r="AC243" s="231"/>
      <c r="AD243" s="231"/>
      <c r="AE243" s="231"/>
      <c r="AF243" s="231"/>
      <c r="AG243" s="231"/>
      <c r="AH243" s="231"/>
      <c r="AI243" s="231"/>
      <c r="AJ243" s="231"/>
      <c r="AK243" s="231"/>
    </row>
    <row r="244" spans="1:37" s="203" customFormat="1">
      <c r="A244" s="108" t="s">
        <v>191</v>
      </c>
      <c r="B244" s="47"/>
      <c r="C244" s="47"/>
      <c r="D244" s="47"/>
      <c r="E244" s="140"/>
      <c r="F244" s="146"/>
      <c r="G244" s="118"/>
      <c r="H244" s="146"/>
      <c r="I244" s="29"/>
      <c r="J244" s="231"/>
      <c r="K244" s="231"/>
      <c r="L244" s="231"/>
      <c r="M244" s="231"/>
      <c r="N244" s="231"/>
      <c r="O244" s="231"/>
      <c r="P244" s="231"/>
      <c r="Q244" s="231"/>
      <c r="R244" s="231"/>
      <c r="S244" s="231"/>
      <c r="T244" s="231"/>
      <c r="U244" s="231"/>
      <c r="V244" s="231"/>
      <c r="W244" s="231"/>
      <c r="X244" s="231"/>
      <c r="Y244" s="231"/>
      <c r="Z244" s="231"/>
      <c r="AA244" s="231"/>
      <c r="AB244" s="231"/>
      <c r="AC244" s="231"/>
      <c r="AD244" s="231"/>
      <c r="AE244" s="231"/>
      <c r="AF244" s="231"/>
      <c r="AG244" s="231"/>
      <c r="AH244" s="231"/>
      <c r="AI244" s="231"/>
      <c r="AJ244" s="231"/>
      <c r="AK244" s="231"/>
    </row>
    <row r="245" spans="1:37" s="203" customFormat="1">
      <c r="A245" s="707">
        <v>4</v>
      </c>
      <c r="B245" s="47" t="s">
        <v>192</v>
      </c>
      <c r="C245" s="47"/>
      <c r="D245" s="47"/>
      <c r="E245" s="74">
        <v>60</v>
      </c>
      <c r="F245" s="52">
        <v>79</v>
      </c>
      <c r="G245" s="118"/>
      <c r="H245" s="122">
        <v>60</v>
      </c>
      <c r="I245" s="29"/>
      <c r="J245" s="231"/>
      <c r="K245" s="231"/>
      <c r="L245" s="231"/>
      <c r="M245" s="231"/>
      <c r="N245" s="231"/>
      <c r="O245" s="231"/>
      <c r="P245" s="231"/>
      <c r="Q245" s="231"/>
      <c r="R245" s="231"/>
      <c r="S245" s="231"/>
      <c r="T245" s="231"/>
      <c r="U245" s="231"/>
      <c r="V245" s="231"/>
      <c r="W245" s="231"/>
      <c r="X245" s="231"/>
      <c r="Y245" s="231"/>
      <c r="Z245" s="231"/>
      <c r="AA245" s="231"/>
      <c r="AB245" s="231"/>
      <c r="AC245" s="231"/>
      <c r="AD245" s="231"/>
      <c r="AE245" s="231"/>
      <c r="AF245" s="231"/>
      <c r="AG245" s="231"/>
      <c r="AH245" s="231"/>
      <c r="AI245" s="231"/>
      <c r="AJ245" s="231"/>
      <c r="AK245" s="231"/>
    </row>
    <row r="246" spans="1:37" s="203" customFormat="1">
      <c r="A246" s="707">
        <v>5</v>
      </c>
      <c r="B246" s="47" t="s">
        <v>193</v>
      </c>
      <c r="C246" s="47"/>
      <c r="D246" s="47"/>
      <c r="E246" s="49">
        <v>38.156999999999996</v>
      </c>
      <c r="F246" s="52">
        <v>39</v>
      </c>
      <c r="G246" s="118"/>
      <c r="H246" s="100">
        <v>41</v>
      </c>
      <c r="I246" s="29"/>
      <c r="J246" s="231"/>
      <c r="K246" s="231"/>
      <c r="L246" s="231"/>
      <c r="M246" s="231"/>
      <c r="N246" s="231"/>
      <c r="O246" s="231"/>
      <c r="P246" s="231"/>
      <c r="Q246" s="231"/>
      <c r="R246" s="231"/>
      <c r="S246" s="231"/>
      <c r="T246" s="231"/>
      <c r="U246" s="231"/>
      <c r="V246" s="231"/>
      <c r="W246" s="231"/>
      <c r="X246" s="231"/>
      <c r="Y246" s="231"/>
      <c r="Z246" s="231"/>
      <c r="AA246" s="231"/>
      <c r="AB246" s="231"/>
      <c r="AC246" s="231"/>
      <c r="AD246" s="231"/>
      <c r="AE246" s="231"/>
      <c r="AF246" s="231"/>
      <c r="AG246" s="231"/>
      <c r="AH246" s="231"/>
      <c r="AI246" s="231"/>
      <c r="AJ246" s="231"/>
      <c r="AK246" s="231"/>
    </row>
    <row r="247" spans="1:37" s="203" customFormat="1">
      <c r="A247" s="707">
        <v>6</v>
      </c>
      <c r="B247" s="116" t="s">
        <v>194</v>
      </c>
      <c r="C247" s="116"/>
      <c r="D247" s="116"/>
      <c r="E247" s="80">
        <v>98.156999999999996</v>
      </c>
      <c r="F247" s="142">
        <f>SUM(F245:F246)</f>
        <v>118</v>
      </c>
      <c r="G247" s="118"/>
      <c r="H247" s="142">
        <f>SUM(H245:H246)</f>
        <v>101</v>
      </c>
      <c r="I247" s="29"/>
      <c r="J247" s="231"/>
      <c r="K247" s="231"/>
      <c r="L247" s="231"/>
      <c r="M247" s="231"/>
      <c r="N247" s="231"/>
      <c r="O247" s="231"/>
      <c r="P247" s="231"/>
      <c r="Q247" s="231"/>
      <c r="R247" s="231"/>
      <c r="S247" s="231"/>
      <c r="T247" s="231"/>
      <c r="U247" s="231"/>
      <c r="V247" s="231"/>
      <c r="W247" s="231"/>
      <c r="X247" s="231"/>
      <c r="Y247" s="231"/>
      <c r="Z247" s="231"/>
      <c r="AA247" s="231"/>
      <c r="AB247" s="231"/>
      <c r="AC247" s="231"/>
      <c r="AD247" s="231"/>
      <c r="AE247" s="231"/>
      <c r="AF247" s="231"/>
      <c r="AG247" s="231"/>
      <c r="AH247" s="231"/>
      <c r="AI247" s="231"/>
      <c r="AJ247" s="231"/>
      <c r="AK247" s="231"/>
    </row>
    <row r="248" spans="1:37" s="203" customFormat="1">
      <c r="A248" s="707"/>
      <c r="B248" s="116"/>
      <c r="C248" s="116"/>
      <c r="D248" s="116"/>
      <c r="E248" s="117"/>
      <c r="F248" s="118"/>
      <c r="G248" s="118"/>
      <c r="H248" s="118"/>
      <c r="I248" s="29"/>
      <c r="J248" s="231"/>
      <c r="K248" s="231"/>
      <c r="L248" s="231"/>
      <c r="M248" s="231"/>
      <c r="N248" s="231"/>
      <c r="O248" s="231"/>
      <c r="P248" s="231"/>
      <c r="Q248" s="231"/>
      <c r="R248" s="231"/>
      <c r="S248" s="231"/>
      <c r="T248" s="231"/>
      <c r="U248" s="231"/>
      <c r="V248" s="231"/>
      <c r="W248" s="231"/>
      <c r="X248" s="231"/>
      <c r="Y248" s="231"/>
      <c r="Z248" s="231"/>
      <c r="AA248" s="231"/>
      <c r="AB248" s="231"/>
      <c r="AC248" s="231"/>
      <c r="AD248" s="231"/>
      <c r="AE248" s="231"/>
      <c r="AF248" s="231"/>
      <c r="AG248" s="231"/>
      <c r="AH248" s="231"/>
      <c r="AI248" s="231"/>
      <c r="AJ248" s="231"/>
      <c r="AK248" s="231"/>
    </row>
    <row r="249" spans="1:37" s="203" customFormat="1">
      <c r="A249" s="108" t="s">
        <v>195</v>
      </c>
      <c r="B249" s="116"/>
      <c r="C249" s="116"/>
      <c r="D249" s="116"/>
      <c r="E249" s="140"/>
      <c r="F249" s="146"/>
      <c r="G249" s="118"/>
      <c r="H249" s="146"/>
      <c r="I249" s="29"/>
      <c r="J249" s="231"/>
      <c r="K249" s="231"/>
      <c r="L249" s="231"/>
      <c r="M249" s="231"/>
      <c r="N249" s="231"/>
      <c r="O249" s="231"/>
      <c r="P249" s="231"/>
      <c r="Q249" s="231"/>
      <c r="R249" s="231"/>
      <c r="S249" s="231"/>
      <c r="T249" s="231"/>
      <c r="U249" s="231"/>
      <c r="V249" s="231"/>
      <c r="W249" s="231"/>
      <c r="X249" s="231"/>
      <c r="Y249" s="231"/>
      <c r="Z249" s="231"/>
      <c r="AA249" s="231"/>
      <c r="AB249" s="231"/>
      <c r="AC249" s="231"/>
      <c r="AD249" s="231"/>
      <c r="AE249" s="231"/>
      <c r="AF249" s="231"/>
      <c r="AG249" s="231"/>
      <c r="AH249" s="231"/>
      <c r="AI249" s="231"/>
      <c r="AJ249" s="231"/>
      <c r="AK249" s="231"/>
    </row>
    <row r="250" spans="1:37" s="203" customFormat="1">
      <c r="A250" s="707">
        <v>7</v>
      </c>
      <c r="B250" s="47" t="s">
        <v>196</v>
      </c>
      <c r="C250" s="47"/>
      <c r="D250" s="47"/>
      <c r="E250" s="74">
        <v>321.529</v>
      </c>
      <c r="F250" s="52">
        <v>343</v>
      </c>
      <c r="G250" s="118"/>
      <c r="H250" s="52">
        <v>315</v>
      </c>
      <c r="I250" s="29"/>
      <c r="J250" s="231"/>
      <c r="K250" s="231"/>
      <c r="L250" s="231"/>
      <c r="M250" s="231"/>
      <c r="N250" s="231"/>
      <c r="O250" s="231"/>
      <c r="P250" s="231"/>
      <c r="Q250" s="231"/>
      <c r="R250" s="231"/>
      <c r="S250" s="231"/>
      <c r="T250" s="231"/>
      <c r="U250" s="231"/>
      <c r="V250" s="231"/>
      <c r="W250" s="231"/>
      <c r="X250" s="231"/>
      <c r="Y250" s="231"/>
      <c r="Z250" s="231"/>
      <c r="AA250" s="231"/>
      <c r="AB250" s="231"/>
      <c r="AC250" s="231"/>
      <c r="AD250" s="231"/>
      <c r="AE250" s="231"/>
      <c r="AF250" s="231"/>
      <c r="AG250" s="231"/>
      <c r="AH250" s="231"/>
      <c r="AI250" s="231"/>
      <c r="AJ250" s="231"/>
      <c r="AK250" s="231"/>
    </row>
    <row r="251" spans="1:37" s="203" customFormat="1">
      <c r="A251" s="707">
        <v>8</v>
      </c>
      <c r="B251" s="47" t="s">
        <v>197</v>
      </c>
      <c r="C251" s="47"/>
      <c r="D251" s="47"/>
      <c r="E251" s="49">
        <v>2148.7860000000001</v>
      </c>
      <c r="F251" s="52">
        <v>2148</v>
      </c>
      <c r="G251" s="118"/>
      <c r="H251" s="122">
        <v>2238</v>
      </c>
      <c r="I251" s="29"/>
      <c r="J251" s="231"/>
      <c r="K251" s="231"/>
      <c r="L251" s="231"/>
      <c r="M251" s="231"/>
      <c r="N251" s="231"/>
      <c r="O251" s="231"/>
      <c r="P251" s="231"/>
      <c r="Q251" s="231"/>
      <c r="R251" s="231"/>
      <c r="S251" s="231"/>
      <c r="T251" s="231"/>
      <c r="U251" s="231"/>
      <c r="V251" s="231"/>
      <c r="W251" s="231"/>
      <c r="X251" s="231"/>
      <c r="Y251" s="231"/>
      <c r="Z251" s="231"/>
      <c r="AA251" s="231"/>
      <c r="AB251" s="231"/>
      <c r="AC251" s="231"/>
      <c r="AD251" s="231"/>
      <c r="AE251" s="231"/>
      <c r="AF251" s="231"/>
      <c r="AG251" s="231"/>
      <c r="AH251" s="231"/>
      <c r="AI251" s="231"/>
      <c r="AJ251" s="231"/>
      <c r="AK251" s="231"/>
    </row>
    <row r="252" spans="1:37" s="203" customFormat="1">
      <c r="A252" s="707">
        <v>9</v>
      </c>
      <c r="B252" s="47" t="s">
        <v>198</v>
      </c>
      <c r="C252" s="47"/>
      <c r="D252" s="47"/>
      <c r="E252" s="49">
        <v>3067.123</v>
      </c>
      <c r="F252" s="52">
        <v>2790</v>
      </c>
      <c r="G252" s="118"/>
      <c r="H252" s="122">
        <v>3005</v>
      </c>
      <c r="I252" s="29"/>
      <c r="J252" s="231"/>
      <c r="K252" s="231"/>
      <c r="L252" s="231"/>
      <c r="M252" s="231"/>
      <c r="N252" s="231"/>
      <c r="O252" s="231"/>
      <c r="P252" s="231"/>
      <c r="Q252" s="231"/>
      <c r="R252" s="231"/>
      <c r="S252" s="231"/>
      <c r="T252" s="231"/>
      <c r="U252" s="231"/>
      <c r="V252" s="231"/>
      <c r="W252" s="231"/>
      <c r="X252" s="231"/>
      <c r="Y252" s="231"/>
      <c r="Z252" s="231"/>
      <c r="AA252" s="231"/>
      <c r="AB252" s="231"/>
      <c r="AC252" s="231"/>
      <c r="AD252" s="231"/>
      <c r="AE252" s="231"/>
      <c r="AF252" s="231"/>
      <c r="AG252" s="231"/>
      <c r="AH252" s="231"/>
      <c r="AI252" s="231"/>
      <c r="AJ252" s="231"/>
      <c r="AK252" s="231"/>
    </row>
    <row r="253" spans="1:37" s="203" customFormat="1">
      <c r="A253" s="707">
        <v>10</v>
      </c>
      <c r="B253" s="47" t="s">
        <v>199</v>
      </c>
      <c r="C253" s="47"/>
      <c r="D253" s="47"/>
      <c r="E253" s="49">
        <v>1326.645</v>
      </c>
      <c r="F253" s="52">
        <v>1530</v>
      </c>
      <c r="G253" s="118"/>
      <c r="H253" s="100">
        <v>1107</v>
      </c>
      <c r="I253" s="29"/>
      <c r="J253" s="231"/>
      <c r="K253" s="231"/>
      <c r="L253" s="231"/>
      <c r="M253" s="231"/>
      <c r="N253" s="231"/>
      <c r="O253" s="231"/>
      <c r="P253" s="231"/>
      <c r="Q253" s="231"/>
      <c r="R253" s="231"/>
      <c r="S253" s="231"/>
      <c r="T253" s="231"/>
      <c r="U253" s="231"/>
      <c r="V253" s="231"/>
      <c r="W253" s="231"/>
      <c r="X253" s="231"/>
      <c r="Y253" s="231"/>
      <c r="Z253" s="231"/>
      <c r="AA253" s="231"/>
      <c r="AB253" s="231"/>
      <c r="AC253" s="231"/>
      <c r="AD253" s="231"/>
      <c r="AE253" s="231"/>
      <c r="AF253" s="231"/>
      <c r="AG253" s="231"/>
      <c r="AH253" s="231"/>
      <c r="AI253" s="231"/>
      <c r="AJ253" s="231"/>
      <c r="AK253" s="231"/>
    </row>
    <row r="254" spans="1:37" s="203" customFormat="1">
      <c r="A254" s="707">
        <v>11</v>
      </c>
      <c r="B254" s="116" t="s">
        <v>200</v>
      </c>
      <c r="C254" s="116"/>
      <c r="D254" s="116"/>
      <c r="E254" s="80">
        <v>6864.0830000000005</v>
      </c>
      <c r="F254" s="142">
        <f>SUM(F250:F253)</f>
        <v>6811</v>
      </c>
      <c r="G254" s="118"/>
      <c r="H254" s="142">
        <f>SUM(H250:H253)</f>
        <v>6665</v>
      </c>
      <c r="I254" s="260"/>
      <c r="J254" s="231"/>
      <c r="K254" s="231"/>
      <c r="L254" s="231"/>
      <c r="M254" s="231"/>
      <c r="N254" s="231"/>
      <c r="O254" s="231"/>
      <c r="P254" s="231"/>
      <c r="Q254" s="231"/>
      <c r="R254" s="231"/>
      <c r="S254" s="231"/>
      <c r="T254" s="231"/>
      <c r="U254" s="231"/>
      <c r="V254" s="231"/>
      <c r="W254" s="231"/>
      <c r="X254" s="231"/>
      <c r="Y254" s="231"/>
      <c r="Z254" s="231"/>
      <c r="AA254" s="231"/>
      <c r="AB254" s="231"/>
      <c r="AC254" s="231"/>
      <c r="AD254" s="231"/>
      <c r="AE254" s="231"/>
      <c r="AF254" s="231"/>
      <c r="AG254" s="231"/>
      <c r="AH254" s="231"/>
      <c r="AI254" s="231"/>
      <c r="AJ254" s="231"/>
      <c r="AK254" s="231"/>
    </row>
    <row r="255" spans="1:37" s="203" customFormat="1">
      <c r="A255" s="707"/>
      <c r="B255" s="116"/>
      <c r="C255" s="116"/>
      <c r="D255" s="116"/>
      <c r="E255" s="117"/>
      <c r="F255" s="118"/>
      <c r="G255" s="118"/>
      <c r="H255" s="118"/>
      <c r="I255" s="29"/>
      <c r="J255" s="231"/>
      <c r="K255" s="231"/>
      <c r="L255" s="231"/>
      <c r="M255" s="231"/>
      <c r="N255" s="231"/>
      <c r="O255" s="231"/>
      <c r="P255" s="231"/>
      <c r="Q255" s="231"/>
      <c r="R255" s="231"/>
      <c r="S255" s="231"/>
      <c r="T255" s="231"/>
      <c r="U255" s="231"/>
      <c r="V255" s="231"/>
      <c r="W255" s="231"/>
      <c r="X255" s="231"/>
      <c r="Y255" s="231"/>
      <c r="Z255" s="231"/>
      <c r="AA255" s="231"/>
      <c r="AB255" s="231"/>
      <c r="AC255" s="231"/>
      <c r="AD255" s="231"/>
      <c r="AE255" s="231"/>
      <c r="AF255" s="231"/>
      <c r="AG255" s="231"/>
      <c r="AH255" s="231"/>
      <c r="AI255" s="231"/>
      <c r="AJ255" s="231"/>
      <c r="AK255" s="231"/>
    </row>
    <row r="256" spans="1:37" s="203" customFormat="1">
      <c r="A256" s="707">
        <v>12</v>
      </c>
      <c r="B256" s="47" t="s">
        <v>201</v>
      </c>
      <c r="C256" s="47"/>
      <c r="D256" s="47"/>
      <c r="E256" s="176">
        <v>2104.0790000000002</v>
      </c>
      <c r="F256" s="136">
        <v>2104</v>
      </c>
      <c r="G256" s="118"/>
      <c r="H256" s="177">
        <v>2191</v>
      </c>
      <c r="I256" s="260"/>
      <c r="J256" s="231"/>
      <c r="K256" s="231"/>
      <c r="L256" s="231"/>
      <c r="M256" s="231"/>
      <c r="N256" s="231"/>
      <c r="O256" s="231"/>
      <c r="P256" s="231"/>
      <c r="Q256" s="231"/>
      <c r="R256" s="231"/>
      <c r="S256" s="231"/>
      <c r="T256" s="231"/>
      <c r="U256" s="231"/>
      <c r="V256" s="231"/>
      <c r="W256" s="231"/>
      <c r="X256" s="231"/>
      <c r="Y256" s="231"/>
      <c r="Z256" s="231"/>
      <c r="AA256" s="231"/>
      <c r="AB256" s="231"/>
      <c r="AC256" s="231"/>
      <c r="AD256" s="231"/>
      <c r="AE256" s="231"/>
      <c r="AF256" s="231"/>
      <c r="AG256" s="231"/>
      <c r="AH256" s="231"/>
      <c r="AI256" s="231"/>
      <c r="AJ256" s="231"/>
      <c r="AK256" s="231"/>
    </row>
    <row r="257" spans="1:37" s="203" customFormat="1">
      <c r="A257" s="124">
        <v>13</v>
      </c>
      <c r="B257" s="94" t="s">
        <v>202</v>
      </c>
      <c r="C257" s="94"/>
      <c r="D257" s="94"/>
      <c r="E257" s="159">
        <v>9514.3430000000008</v>
      </c>
      <c r="F257" s="61">
        <f>F242+F247+F254+F256</f>
        <v>9481</v>
      </c>
      <c r="G257" s="118"/>
      <c r="H257" s="61">
        <f>H242+H247+H254+H256</f>
        <v>9423</v>
      </c>
      <c r="I257" s="21"/>
      <c r="J257" s="231"/>
      <c r="K257" s="231"/>
      <c r="L257" s="231"/>
      <c r="M257" s="231"/>
      <c r="N257" s="231"/>
      <c r="O257" s="231"/>
      <c r="P257" s="231"/>
      <c r="Q257" s="231"/>
      <c r="R257" s="231"/>
      <c r="S257" s="231"/>
      <c r="T257" s="231"/>
      <c r="U257" s="231"/>
      <c r="V257" s="231"/>
      <c r="W257" s="231"/>
      <c r="X257" s="231"/>
      <c r="Y257" s="231"/>
      <c r="Z257" s="231"/>
      <c r="AA257" s="231"/>
      <c r="AB257" s="231"/>
      <c r="AC257" s="231"/>
      <c r="AD257" s="231"/>
      <c r="AE257" s="231"/>
      <c r="AF257" s="231"/>
      <c r="AG257" s="231"/>
      <c r="AH257" s="231"/>
      <c r="AI257" s="231"/>
      <c r="AJ257" s="231"/>
      <c r="AK257" s="231"/>
    </row>
    <row r="258" spans="1:37" s="203" customFormat="1">
      <c r="A258" s="207"/>
      <c r="B258" s="207"/>
      <c r="C258" s="207"/>
      <c r="D258" s="208"/>
      <c r="E258" s="208"/>
      <c r="F258" s="207"/>
      <c r="G258" s="207"/>
      <c r="H258" s="207"/>
      <c r="I258" s="21"/>
      <c r="J258" s="231"/>
      <c r="K258" s="231"/>
      <c r="L258" s="231"/>
      <c r="M258" s="231"/>
      <c r="N258" s="231"/>
      <c r="O258" s="231"/>
      <c r="P258" s="231"/>
      <c r="Q258" s="231"/>
      <c r="R258" s="231"/>
      <c r="S258" s="231"/>
      <c r="T258" s="231"/>
      <c r="U258" s="231"/>
      <c r="V258" s="231"/>
      <c r="W258" s="231"/>
      <c r="X258" s="231"/>
      <c r="Y258" s="231"/>
      <c r="Z258" s="231"/>
      <c r="AA258" s="231"/>
      <c r="AB258" s="231"/>
      <c r="AC258" s="231"/>
      <c r="AD258" s="231"/>
      <c r="AE258" s="231"/>
      <c r="AF258" s="231"/>
      <c r="AG258" s="231"/>
      <c r="AH258" s="231"/>
      <c r="AI258" s="231"/>
      <c r="AJ258" s="231"/>
      <c r="AK258" s="231"/>
    </row>
    <row r="259" spans="1:37" s="203" customFormat="1">
      <c r="A259" s="23"/>
      <c r="B259" s="207"/>
      <c r="C259" s="207"/>
      <c r="D259" s="207"/>
      <c r="E259" s="207"/>
      <c r="F259" s="207"/>
      <c r="G259" s="207"/>
      <c r="H259" s="21"/>
      <c r="I259" s="21"/>
      <c r="J259" s="231"/>
      <c r="K259" s="231"/>
      <c r="L259" s="231"/>
      <c r="M259" s="231"/>
      <c r="N259" s="231"/>
      <c r="O259" s="231"/>
      <c r="P259" s="231"/>
      <c r="Q259" s="231"/>
      <c r="R259" s="231"/>
      <c r="S259" s="231"/>
      <c r="T259" s="231"/>
      <c r="U259" s="231"/>
      <c r="V259" s="231"/>
      <c r="W259" s="231"/>
      <c r="X259" s="231"/>
      <c r="Y259" s="231"/>
      <c r="Z259" s="231"/>
      <c r="AA259" s="231"/>
      <c r="AB259" s="231"/>
      <c r="AC259" s="231"/>
      <c r="AD259" s="231"/>
      <c r="AE259" s="231"/>
      <c r="AF259" s="231"/>
      <c r="AG259" s="231"/>
      <c r="AH259" s="231"/>
      <c r="AI259" s="231"/>
      <c r="AJ259" s="231"/>
      <c r="AK259" s="231"/>
    </row>
    <row r="260" spans="1:37" s="203" customFormat="1">
      <c r="A260" s="148"/>
      <c r="B260" s="29"/>
      <c r="C260" s="29"/>
      <c r="D260" s="172"/>
      <c r="E260" s="152"/>
      <c r="F260" s="29"/>
      <c r="G260" s="29"/>
      <c r="H260" s="131" t="s">
        <v>27</v>
      </c>
      <c r="I260" s="21"/>
      <c r="J260" s="231"/>
      <c r="K260" s="231"/>
      <c r="L260" s="231"/>
      <c r="M260" s="231"/>
      <c r="N260" s="231"/>
      <c r="O260" s="231"/>
      <c r="P260" s="231"/>
      <c r="Q260" s="231"/>
      <c r="R260" s="231"/>
      <c r="S260" s="231"/>
      <c r="T260" s="231"/>
      <c r="U260" s="231"/>
      <c r="V260" s="231"/>
      <c r="W260" s="231"/>
      <c r="X260" s="231"/>
      <c r="Y260" s="231"/>
      <c r="Z260" s="231"/>
      <c r="AA260" s="231"/>
      <c r="AB260" s="231"/>
      <c r="AC260" s="231"/>
      <c r="AD260" s="231"/>
      <c r="AE260" s="231"/>
      <c r="AF260" s="231"/>
      <c r="AG260" s="231"/>
      <c r="AH260" s="231"/>
      <c r="AI260" s="231"/>
      <c r="AJ260" s="231"/>
      <c r="AK260" s="231"/>
    </row>
    <row r="261" spans="1:37" s="203" customFormat="1" ht="12.75" customHeight="1">
      <c r="A261" s="106" t="s">
        <v>15</v>
      </c>
      <c r="B261" s="164"/>
      <c r="C261" s="164"/>
      <c r="D261" s="164"/>
      <c r="E261" s="856" t="s">
        <v>377</v>
      </c>
      <c r="F261" s="856" t="s">
        <v>402</v>
      </c>
      <c r="G261" s="130"/>
      <c r="H261" s="856" t="s">
        <v>403</v>
      </c>
      <c r="I261" s="21"/>
      <c r="J261" s="231"/>
      <c r="K261" s="231"/>
      <c r="L261" s="231"/>
      <c r="M261" s="231"/>
      <c r="N261" s="231"/>
      <c r="O261" s="231"/>
      <c r="P261" s="231"/>
      <c r="Q261" s="231"/>
      <c r="R261" s="231"/>
      <c r="S261" s="231"/>
      <c r="T261" s="231"/>
      <c r="U261" s="231"/>
      <c r="V261" s="231"/>
      <c r="W261" s="231"/>
      <c r="X261" s="231"/>
      <c r="Y261" s="231"/>
      <c r="Z261" s="231"/>
      <c r="AA261" s="231"/>
      <c r="AB261" s="231"/>
      <c r="AC261" s="231"/>
      <c r="AD261" s="231"/>
      <c r="AE261" s="231"/>
      <c r="AF261" s="231"/>
      <c r="AG261" s="231"/>
      <c r="AH261" s="231"/>
      <c r="AI261" s="231"/>
      <c r="AJ261" s="231"/>
      <c r="AK261" s="231"/>
    </row>
    <row r="262" spans="1:37" s="203" customFormat="1">
      <c r="A262" s="165"/>
      <c r="B262" s="47"/>
      <c r="C262" s="47"/>
      <c r="D262" s="47"/>
      <c r="E262" s="859"/>
      <c r="F262" s="859"/>
      <c r="G262" s="130"/>
      <c r="H262" s="859"/>
      <c r="I262" s="21"/>
      <c r="J262" s="231"/>
      <c r="K262" s="231"/>
      <c r="L262" s="231"/>
      <c r="M262" s="231"/>
      <c r="N262" s="231"/>
      <c r="O262" s="231"/>
      <c r="P262" s="231"/>
      <c r="Q262" s="231"/>
      <c r="R262" s="231"/>
      <c r="S262" s="231"/>
      <c r="T262" s="231"/>
      <c r="U262" s="231"/>
      <c r="V262" s="231"/>
      <c r="W262" s="231"/>
      <c r="X262" s="231"/>
      <c r="Y262" s="231"/>
      <c r="Z262" s="231"/>
      <c r="AA262" s="231"/>
      <c r="AB262" s="231"/>
      <c r="AC262" s="231"/>
      <c r="AD262" s="231"/>
      <c r="AE262" s="231"/>
      <c r="AF262" s="231"/>
      <c r="AG262" s="231"/>
      <c r="AH262" s="231"/>
      <c r="AI262" s="231"/>
      <c r="AJ262" s="231"/>
      <c r="AK262" s="231"/>
    </row>
    <row r="263" spans="1:37" s="203" customFormat="1">
      <c r="A263" s="109"/>
      <c r="B263" s="174"/>
      <c r="C263" s="174"/>
      <c r="D263" s="174"/>
      <c r="E263" s="859"/>
      <c r="F263" s="859"/>
      <c r="G263" s="130"/>
      <c r="H263" s="859"/>
      <c r="I263" s="21"/>
      <c r="J263" s="231"/>
      <c r="K263" s="231"/>
      <c r="L263" s="231"/>
      <c r="M263" s="231"/>
      <c r="N263" s="231"/>
      <c r="O263" s="231"/>
      <c r="P263" s="231"/>
      <c r="Q263" s="231"/>
      <c r="R263" s="231"/>
      <c r="S263" s="231"/>
      <c r="T263" s="231"/>
      <c r="U263" s="231"/>
      <c r="V263" s="231"/>
      <c r="W263" s="231"/>
      <c r="X263" s="231"/>
      <c r="Y263" s="231"/>
      <c r="Z263" s="231"/>
      <c r="AA263" s="231"/>
      <c r="AB263" s="231"/>
      <c r="AC263" s="231"/>
      <c r="AD263" s="231"/>
      <c r="AE263" s="231"/>
      <c r="AF263" s="231"/>
      <c r="AG263" s="231"/>
      <c r="AH263" s="231"/>
      <c r="AI263" s="231"/>
      <c r="AJ263" s="231"/>
      <c r="AK263" s="231"/>
    </row>
    <row r="264" spans="1:37" s="203" customFormat="1">
      <c r="A264" s="154" t="s">
        <v>203</v>
      </c>
      <c r="B264" s="47"/>
      <c r="C264" s="47"/>
      <c r="D264" s="47"/>
      <c r="E264" s="859"/>
      <c r="F264" s="859"/>
      <c r="G264" s="130"/>
      <c r="H264" s="859"/>
      <c r="I264" s="21"/>
      <c r="J264" s="231"/>
      <c r="K264" s="231"/>
      <c r="L264" s="231"/>
      <c r="M264" s="231"/>
      <c r="N264" s="231"/>
      <c r="O264" s="231"/>
      <c r="P264" s="231"/>
      <c r="Q264" s="231"/>
      <c r="R264" s="231"/>
      <c r="S264" s="231"/>
      <c r="T264" s="231"/>
      <c r="U264" s="231"/>
      <c r="V264" s="231"/>
      <c r="W264" s="231"/>
      <c r="X264" s="231"/>
      <c r="Y264" s="231"/>
      <c r="Z264" s="231"/>
      <c r="AA264" s="231"/>
      <c r="AB264" s="231"/>
      <c r="AC264" s="231"/>
      <c r="AD264" s="231"/>
      <c r="AE264" s="231"/>
      <c r="AF264" s="231"/>
      <c r="AG264" s="231"/>
      <c r="AH264" s="231"/>
      <c r="AI264" s="231"/>
      <c r="AJ264" s="231"/>
      <c r="AK264" s="231"/>
    </row>
    <row r="265" spans="1:37" s="203" customFormat="1">
      <c r="A265" s="109" t="s">
        <v>83</v>
      </c>
      <c r="B265" s="174"/>
      <c r="C265" s="174"/>
      <c r="D265" s="174"/>
      <c r="E265" s="860"/>
      <c r="F265" s="860"/>
      <c r="G265" s="130"/>
      <c r="H265" s="860"/>
      <c r="I265" s="21"/>
      <c r="J265" s="231"/>
      <c r="K265" s="231"/>
      <c r="L265" s="231"/>
      <c r="M265" s="231"/>
      <c r="N265" s="231"/>
      <c r="O265" s="231"/>
      <c r="P265" s="231"/>
      <c r="Q265" s="231"/>
      <c r="R265" s="231"/>
      <c r="S265" s="231"/>
      <c r="T265" s="231"/>
      <c r="U265" s="231"/>
      <c r="V265" s="231"/>
      <c r="W265" s="231"/>
      <c r="X265" s="231"/>
      <c r="Y265" s="231"/>
      <c r="Z265" s="231"/>
      <c r="AA265" s="231"/>
      <c r="AB265" s="231"/>
      <c r="AC265" s="231"/>
      <c r="AD265" s="231"/>
      <c r="AE265" s="231"/>
      <c r="AF265" s="231"/>
      <c r="AG265" s="231"/>
      <c r="AH265" s="231"/>
      <c r="AI265" s="231"/>
      <c r="AJ265" s="231"/>
      <c r="AK265" s="231"/>
    </row>
    <row r="266" spans="1:37" s="203" customFormat="1">
      <c r="A266" s="110" t="s">
        <v>84</v>
      </c>
      <c r="B266" s="116"/>
      <c r="C266" s="116"/>
      <c r="D266" s="116"/>
      <c r="E266" s="178"/>
      <c r="F266" s="146"/>
      <c r="G266" s="118"/>
      <c r="H266" s="146"/>
      <c r="I266" s="21"/>
      <c r="J266" s="231"/>
      <c r="K266" s="231"/>
      <c r="L266" s="231"/>
      <c r="M266" s="231"/>
      <c r="N266" s="231"/>
      <c r="O266" s="231"/>
      <c r="P266" s="231"/>
      <c r="Q266" s="231"/>
      <c r="R266" s="231"/>
      <c r="S266" s="231"/>
      <c r="T266" s="231"/>
      <c r="U266" s="231"/>
      <c r="V266" s="231"/>
      <c r="W266" s="231"/>
      <c r="X266" s="231"/>
      <c r="Y266" s="231"/>
      <c r="Z266" s="231"/>
      <c r="AA266" s="231"/>
      <c r="AB266" s="231"/>
      <c r="AC266" s="231"/>
      <c r="AD266" s="231"/>
      <c r="AE266" s="231"/>
      <c r="AF266" s="231"/>
      <c r="AG266" s="231"/>
      <c r="AH266" s="231"/>
      <c r="AI266" s="231"/>
      <c r="AJ266" s="231"/>
      <c r="AK266" s="231"/>
    </row>
    <row r="267" spans="1:37" s="203" customFormat="1">
      <c r="A267" s="120">
        <v>1</v>
      </c>
      <c r="B267" s="47" t="s">
        <v>204</v>
      </c>
      <c r="C267" s="47"/>
      <c r="D267" s="47"/>
      <c r="E267" s="74">
        <v>0</v>
      </c>
      <c r="F267" s="52">
        <v>0</v>
      </c>
      <c r="G267" s="118"/>
      <c r="H267" s="122"/>
      <c r="I267" s="21"/>
      <c r="J267" s="231"/>
      <c r="K267" s="231"/>
      <c r="L267" s="231"/>
      <c r="M267" s="231"/>
      <c r="N267" s="231"/>
      <c r="O267" s="231"/>
      <c r="P267" s="231"/>
      <c r="Q267" s="231"/>
      <c r="R267" s="231"/>
      <c r="S267" s="231"/>
      <c r="T267" s="231"/>
      <c r="U267" s="231"/>
      <c r="V267" s="231"/>
      <c r="W267" s="231"/>
      <c r="X267" s="231"/>
      <c r="Y267" s="231"/>
      <c r="Z267" s="231"/>
      <c r="AA267" s="231"/>
      <c r="AB267" s="231"/>
      <c r="AC267" s="231"/>
      <c r="AD267" s="231"/>
      <c r="AE267" s="231"/>
      <c r="AF267" s="231"/>
      <c r="AG267" s="231"/>
      <c r="AH267" s="231"/>
      <c r="AI267" s="231"/>
      <c r="AJ267" s="231"/>
      <c r="AK267" s="231"/>
    </row>
    <row r="268" spans="1:37" s="203" customFormat="1">
      <c r="A268" s="707">
        <v>2</v>
      </c>
      <c r="B268" s="166" t="s">
        <v>205</v>
      </c>
      <c r="C268" s="166"/>
      <c r="D268" s="47"/>
      <c r="E268" s="114">
        <v>817.90700000000004</v>
      </c>
      <c r="F268" s="52">
        <v>323</v>
      </c>
      <c r="G268" s="118"/>
      <c r="H268" s="122">
        <v>369</v>
      </c>
      <c r="I268" s="21"/>
      <c r="J268" s="231"/>
      <c r="K268" s="231"/>
      <c r="L268" s="231"/>
      <c r="M268" s="231"/>
      <c r="N268" s="231"/>
      <c r="O268" s="231"/>
      <c r="P268" s="231"/>
      <c r="Q268" s="231"/>
      <c r="R268" s="231"/>
      <c r="S268" s="231"/>
      <c r="T268" s="231"/>
      <c r="U268" s="231"/>
      <c r="V268" s="231"/>
      <c r="W268" s="231"/>
      <c r="X268" s="231"/>
      <c r="Y268" s="231"/>
      <c r="Z268" s="231"/>
      <c r="AA268" s="231"/>
      <c r="AB268" s="231"/>
      <c r="AC268" s="231"/>
      <c r="AD268" s="231"/>
      <c r="AE268" s="231"/>
      <c r="AF268" s="231"/>
      <c r="AG268" s="231"/>
      <c r="AH268" s="231"/>
      <c r="AI268" s="231"/>
      <c r="AJ268" s="231"/>
      <c r="AK268" s="231"/>
    </row>
    <row r="269" spans="1:37" s="203" customFormat="1">
      <c r="A269" s="120">
        <v>3</v>
      </c>
      <c r="B269" s="47" t="s">
        <v>206</v>
      </c>
      <c r="C269" s="47"/>
      <c r="D269" s="168"/>
      <c r="E269" s="114">
        <v>-335</v>
      </c>
      <c r="F269" s="52">
        <v>50</v>
      </c>
      <c r="G269" s="118"/>
      <c r="H269" s="122">
        <v>50</v>
      </c>
      <c r="I269" s="21"/>
      <c r="J269" s="231"/>
      <c r="K269" s="231"/>
      <c r="L269" s="231"/>
      <c r="M269" s="231"/>
      <c r="N269" s="231"/>
      <c r="O269" s="231"/>
      <c r="P269" s="231"/>
      <c r="Q269" s="231"/>
      <c r="R269" s="231"/>
      <c r="S269" s="231"/>
      <c r="T269" s="231"/>
      <c r="U269" s="231"/>
      <c r="V269" s="231"/>
      <c r="W269" s="231"/>
      <c r="X269" s="231"/>
      <c r="Y269" s="231"/>
      <c r="Z269" s="231"/>
      <c r="AA269" s="231"/>
      <c r="AB269" s="231"/>
      <c r="AC269" s="231"/>
      <c r="AD269" s="231"/>
      <c r="AE269" s="231"/>
      <c r="AF269" s="231"/>
      <c r="AG269" s="231"/>
      <c r="AH269" s="231"/>
      <c r="AI269" s="231"/>
      <c r="AJ269" s="231"/>
      <c r="AK269" s="231"/>
    </row>
    <row r="270" spans="1:37" s="203" customFormat="1">
      <c r="A270" s="707">
        <v>4</v>
      </c>
      <c r="B270" s="47" t="s">
        <v>207</v>
      </c>
      <c r="C270" s="47"/>
      <c r="D270" s="116"/>
      <c r="E270" s="114">
        <v>0</v>
      </c>
      <c r="F270" s="52"/>
      <c r="G270" s="118"/>
      <c r="H270" s="122"/>
      <c r="I270" s="21"/>
      <c r="J270" s="231"/>
      <c r="K270" s="231"/>
      <c r="L270" s="231"/>
      <c r="M270" s="231"/>
      <c r="N270" s="231"/>
      <c r="O270" s="231"/>
      <c r="P270" s="231"/>
      <c r="Q270" s="231"/>
      <c r="R270" s="231"/>
      <c r="S270" s="231"/>
      <c r="T270" s="231"/>
      <c r="U270" s="231"/>
      <c r="V270" s="231"/>
      <c r="W270" s="231"/>
      <c r="X270" s="231"/>
      <c r="Y270" s="231"/>
      <c r="Z270" s="231"/>
      <c r="AA270" s="231"/>
      <c r="AB270" s="231"/>
      <c r="AC270" s="231"/>
      <c r="AD270" s="231"/>
      <c r="AE270" s="231"/>
      <c r="AF270" s="231"/>
      <c r="AG270" s="231"/>
      <c r="AH270" s="231"/>
      <c r="AI270" s="231"/>
      <c r="AJ270" s="231"/>
      <c r="AK270" s="231"/>
    </row>
    <row r="271" spans="1:37" s="203" customFormat="1">
      <c r="A271" s="120">
        <v>5</v>
      </c>
      <c r="B271" s="47" t="s">
        <v>208</v>
      </c>
      <c r="C271" s="47"/>
      <c r="D271" s="47"/>
      <c r="E271" s="114">
        <v>337.02600000000001</v>
      </c>
      <c r="F271" s="52">
        <v>302</v>
      </c>
      <c r="G271" s="118"/>
      <c r="H271" s="122">
        <v>357</v>
      </c>
      <c r="I271" s="21"/>
      <c r="J271" s="231"/>
      <c r="K271" s="231"/>
      <c r="L271" s="231"/>
      <c r="M271" s="231"/>
      <c r="N271" s="231"/>
      <c r="O271" s="231"/>
      <c r="P271" s="231"/>
      <c r="Q271" s="231"/>
      <c r="R271" s="231"/>
      <c r="S271" s="231"/>
      <c r="T271" s="231"/>
      <c r="U271" s="231"/>
      <c r="V271" s="231"/>
      <c r="W271" s="231"/>
      <c r="X271" s="231"/>
      <c r="Y271" s="231"/>
      <c r="Z271" s="231"/>
      <c r="AA271" s="231"/>
      <c r="AB271" s="231"/>
      <c r="AC271" s="231"/>
      <c r="AD271" s="231"/>
      <c r="AE271" s="231"/>
      <c r="AF271" s="231"/>
      <c r="AG271" s="231"/>
      <c r="AH271" s="231"/>
      <c r="AI271" s="231"/>
      <c r="AJ271" s="231"/>
      <c r="AK271" s="231"/>
    </row>
    <row r="272" spans="1:37" s="203" customFormat="1">
      <c r="A272" s="707">
        <v>6</v>
      </c>
      <c r="B272" s="47" t="s">
        <v>209</v>
      </c>
      <c r="C272" s="47"/>
      <c r="D272" s="47"/>
      <c r="E272" s="114">
        <v>348.79700000000003</v>
      </c>
      <c r="F272" s="52">
        <v>219</v>
      </c>
      <c r="G272" s="118"/>
      <c r="H272" s="122">
        <v>199</v>
      </c>
      <c r="I272" s="21"/>
      <c r="J272" s="231"/>
      <c r="K272" s="231"/>
      <c r="L272" s="231"/>
      <c r="M272" s="231"/>
      <c r="N272" s="231"/>
      <c r="O272" s="231"/>
      <c r="P272" s="231"/>
      <c r="Q272" s="231"/>
      <c r="R272" s="231"/>
      <c r="S272" s="231"/>
      <c r="T272" s="231"/>
      <c r="U272" s="231"/>
      <c r="V272" s="231"/>
      <c r="W272" s="231"/>
      <c r="X272" s="231"/>
      <c r="Y272" s="231"/>
      <c r="Z272" s="231"/>
      <c r="AA272" s="231"/>
      <c r="AB272" s="231"/>
      <c r="AC272" s="231"/>
      <c r="AD272" s="231"/>
      <c r="AE272" s="231"/>
      <c r="AF272" s="231"/>
      <c r="AG272" s="231"/>
      <c r="AH272" s="231"/>
      <c r="AI272" s="231"/>
      <c r="AJ272" s="231"/>
      <c r="AK272" s="231"/>
    </row>
    <row r="273" spans="1:37" s="203" customFormat="1">
      <c r="A273" s="120">
        <v>7</v>
      </c>
      <c r="B273" s="47" t="s">
        <v>210</v>
      </c>
      <c r="C273" s="47"/>
      <c r="D273" s="47"/>
      <c r="E273" s="114">
        <v>1058.1669999999999</v>
      </c>
      <c r="F273" s="52">
        <v>976</v>
      </c>
      <c r="G273" s="118"/>
      <c r="H273" s="122">
        <v>894</v>
      </c>
      <c r="I273" s="21"/>
      <c r="J273" s="231"/>
      <c r="K273" s="231"/>
      <c r="L273" s="231"/>
      <c r="M273" s="231"/>
      <c r="N273" s="231"/>
      <c r="O273" s="231"/>
      <c r="P273" s="231"/>
      <c r="Q273" s="231"/>
      <c r="R273" s="231"/>
      <c r="S273" s="231"/>
      <c r="T273" s="231"/>
      <c r="U273" s="231"/>
      <c r="V273" s="231"/>
      <c r="W273" s="231"/>
      <c r="X273" s="231"/>
      <c r="Y273" s="231"/>
      <c r="Z273" s="231"/>
      <c r="AA273" s="231"/>
      <c r="AB273" s="231"/>
      <c r="AC273" s="231"/>
      <c r="AD273" s="231"/>
      <c r="AE273" s="231"/>
      <c r="AF273" s="231"/>
      <c r="AG273" s="231"/>
      <c r="AH273" s="231"/>
      <c r="AI273" s="231"/>
      <c r="AJ273" s="231"/>
      <c r="AK273" s="231"/>
    </row>
    <row r="274" spans="1:37" s="203" customFormat="1">
      <c r="A274" s="707">
        <v>8</v>
      </c>
      <c r="B274" s="47" t="s">
        <v>211</v>
      </c>
      <c r="C274" s="47"/>
      <c r="D274" s="47"/>
      <c r="E274" s="114">
        <v>75.114999999999995</v>
      </c>
      <c r="F274" s="52">
        <v>75</v>
      </c>
      <c r="G274" s="118"/>
      <c r="H274" s="122">
        <v>77</v>
      </c>
      <c r="I274" s="21"/>
      <c r="J274" s="231"/>
      <c r="K274" s="231"/>
      <c r="L274" s="231"/>
      <c r="M274" s="231"/>
      <c r="N274" s="231"/>
      <c r="O274" s="231"/>
      <c r="P274" s="231"/>
      <c r="Q274" s="231"/>
      <c r="R274" s="231"/>
      <c r="S274" s="231"/>
      <c r="T274" s="231"/>
      <c r="U274" s="231"/>
      <c r="V274" s="231"/>
      <c r="W274" s="231"/>
      <c r="X274" s="231"/>
      <c r="Y274" s="231"/>
      <c r="Z274" s="231"/>
      <c r="AA274" s="231"/>
      <c r="AB274" s="231"/>
      <c r="AC274" s="231"/>
      <c r="AD274" s="231"/>
      <c r="AE274" s="231"/>
      <c r="AF274" s="231"/>
      <c r="AG274" s="231"/>
      <c r="AH274" s="231"/>
      <c r="AI274" s="231"/>
      <c r="AJ274" s="231"/>
      <c r="AK274" s="231"/>
    </row>
    <row r="275" spans="1:37" s="203" customFormat="1">
      <c r="A275" s="120">
        <v>9</v>
      </c>
      <c r="B275" s="47" t="s">
        <v>212</v>
      </c>
      <c r="C275" s="47"/>
      <c r="D275" s="47"/>
      <c r="E275" s="114">
        <v>186.964</v>
      </c>
      <c r="F275" s="52">
        <v>188</v>
      </c>
      <c r="G275" s="118"/>
      <c r="H275" s="122">
        <v>179</v>
      </c>
      <c r="I275" s="21"/>
      <c r="J275" s="231"/>
      <c r="K275" s="231"/>
      <c r="L275" s="231"/>
      <c r="M275" s="231"/>
      <c r="N275" s="231"/>
      <c r="O275" s="231"/>
      <c r="P275" s="231"/>
      <c r="Q275" s="231"/>
      <c r="R275" s="231"/>
      <c r="S275" s="231"/>
      <c r="T275" s="231"/>
      <c r="U275" s="231"/>
      <c r="V275" s="231"/>
      <c r="W275" s="231"/>
      <c r="X275" s="231"/>
      <c r="Y275" s="231"/>
      <c r="Z275" s="231"/>
      <c r="AA275" s="231"/>
      <c r="AB275" s="231"/>
      <c r="AC275" s="231"/>
      <c r="AD275" s="231"/>
      <c r="AE275" s="231"/>
      <c r="AF275" s="231"/>
      <c r="AG275" s="231"/>
      <c r="AH275" s="231"/>
      <c r="AI275" s="231"/>
      <c r="AJ275" s="231"/>
      <c r="AK275" s="231"/>
    </row>
    <row r="276" spans="1:37" s="203" customFormat="1">
      <c r="A276" s="707">
        <v>10</v>
      </c>
      <c r="B276" s="47" t="s">
        <v>213</v>
      </c>
      <c r="C276" s="47"/>
      <c r="D276" s="47"/>
      <c r="E276" s="114">
        <v>910.79300000000001</v>
      </c>
      <c r="F276" s="52">
        <v>1592</v>
      </c>
      <c r="G276" s="118"/>
      <c r="H276" s="99">
        <v>1702</v>
      </c>
      <c r="I276" s="21"/>
      <c r="J276" s="231"/>
      <c r="K276" s="231"/>
      <c r="L276" s="231"/>
      <c r="M276" s="231"/>
      <c r="N276" s="231"/>
      <c r="O276" s="231"/>
      <c r="P276" s="231"/>
      <c r="Q276" s="231"/>
      <c r="R276" s="231"/>
      <c r="S276" s="231"/>
      <c r="T276" s="231"/>
      <c r="U276" s="231"/>
      <c r="V276" s="231"/>
      <c r="W276" s="231"/>
      <c r="X276" s="231"/>
      <c r="Y276" s="231"/>
      <c r="Z276" s="231"/>
      <c r="AA276" s="231"/>
      <c r="AB276" s="231"/>
      <c r="AC276" s="231"/>
      <c r="AD276" s="231"/>
      <c r="AE276" s="231"/>
      <c r="AF276" s="231"/>
      <c r="AG276" s="231"/>
      <c r="AH276" s="231"/>
      <c r="AI276" s="231"/>
      <c r="AJ276" s="231"/>
      <c r="AK276" s="231"/>
    </row>
    <row r="277" spans="1:37" s="203" customFormat="1">
      <c r="A277" s="124">
        <v>11</v>
      </c>
      <c r="B277" s="94" t="s">
        <v>214</v>
      </c>
      <c r="C277" s="94"/>
      <c r="D277" s="94"/>
      <c r="E277" s="159">
        <v>3399.7689999999998</v>
      </c>
      <c r="F277" s="61">
        <f>SUM(F267:F276)</f>
        <v>3725</v>
      </c>
      <c r="G277" s="118"/>
      <c r="H277" s="61">
        <f>SUM(H267:H276)</f>
        <v>3827</v>
      </c>
      <c r="I277" s="21"/>
      <c r="J277" s="231"/>
      <c r="K277" s="231"/>
      <c r="L277" s="231"/>
      <c r="M277" s="231"/>
      <c r="N277" s="231"/>
      <c r="O277" s="231"/>
      <c r="P277" s="231"/>
      <c r="Q277" s="231"/>
      <c r="R277" s="231"/>
      <c r="S277" s="231"/>
      <c r="T277" s="231"/>
      <c r="U277" s="231"/>
      <c r="V277" s="231"/>
      <c r="W277" s="231"/>
      <c r="X277" s="231"/>
      <c r="Y277" s="231"/>
      <c r="Z277" s="231"/>
      <c r="AA277" s="231"/>
      <c r="AB277" s="231"/>
      <c r="AC277" s="231"/>
      <c r="AD277" s="231"/>
      <c r="AE277" s="231"/>
      <c r="AF277" s="231"/>
      <c r="AG277" s="231"/>
      <c r="AH277" s="231"/>
      <c r="AI277" s="231"/>
      <c r="AJ277" s="231"/>
      <c r="AK277" s="231"/>
    </row>
    <row r="278" spans="1:37" s="203" customFormat="1">
      <c r="A278" s="207"/>
      <c r="B278" s="207"/>
      <c r="C278" s="207"/>
      <c r="D278" s="207"/>
      <c r="E278" s="207"/>
      <c r="F278" s="207"/>
      <c r="G278" s="207"/>
      <c r="H278" s="207"/>
      <c r="I278" s="21"/>
      <c r="J278" s="231"/>
      <c r="K278" s="231"/>
      <c r="L278" s="231"/>
      <c r="M278" s="231"/>
      <c r="N278" s="231"/>
      <c r="O278" s="231"/>
      <c r="P278" s="231"/>
      <c r="Q278" s="231"/>
      <c r="R278" s="231"/>
      <c r="S278" s="231"/>
      <c r="T278" s="231"/>
      <c r="U278" s="231"/>
      <c r="V278" s="231"/>
      <c r="W278" s="231"/>
      <c r="X278" s="231"/>
      <c r="Y278" s="231"/>
      <c r="Z278" s="231"/>
      <c r="AA278" s="231"/>
      <c r="AB278" s="231"/>
      <c r="AC278" s="231"/>
      <c r="AD278" s="231"/>
      <c r="AE278" s="231"/>
      <c r="AF278" s="231"/>
      <c r="AG278" s="231"/>
      <c r="AH278" s="231"/>
      <c r="AI278" s="231"/>
      <c r="AJ278" s="231"/>
      <c r="AK278" s="231"/>
    </row>
    <row r="279" spans="1:37" s="203" customFormat="1">
      <c r="A279" s="207"/>
      <c r="B279" s="207"/>
      <c r="C279" s="207"/>
      <c r="D279" s="207"/>
      <c r="E279" s="207"/>
      <c r="F279" s="207"/>
      <c r="G279" s="207"/>
      <c r="H279" s="131" t="s">
        <v>27</v>
      </c>
      <c r="I279" s="21"/>
      <c r="J279" s="231"/>
      <c r="K279" s="231"/>
      <c r="L279" s="231"/>
      <c r="M279" s="231"/>
      <c r="N279" s="231"/>
      <c r="O279" s="231"/>
      <c r="P279" s="231"/>
      <c r="Q279" s="231"/>
      <c r="R279" s="231"/>
      <c r="S279" s="231"/>
      <c r="T279" s="231"/>
      <c r="U279" s="231"/>
      <c r="V279" s="231"/>
      <c r="W279" s="231"/>
      <c r="X279" s="231"/>
      <c r="Y279" s="231"/>
      <c r="Z279" s="231"/>
      <c r="AA279" s="231"/>
      <c r="AB279" s="231"/>
      <c r="AC279" s="231"/>
      <c r="AD279" s="231"/>
      <c r="AE279" s="231"/>
      <c r="AF279" s="231"/>
      <c r="AG279" s="231"/>
      <c r="AH279" s="231"/>
      <c r="AI279" s="231"/>
      <c r="AJ279" s="231"/>
      <c r="AK279" s="231"/>
    </row>
    <row r="280" spans="1:37" s="203" customFormat="1" ht="12.75" customHeight="1">
      <c r="A280" s="106" t="s">
        <v>18</v>
      </c>
      <c r="B280" s="164"/>
      <c r="C280" s="164"/>
      <c r="D280" s="164"/>
      <c r="E280" s="856" t="s">
        <v>377</v>
      </c>
      <c r="F280" s="856" t="s">
        <v>402</v>
      </c>
      <c r="G280" s="130"/>
      <c r="H280" s="856" t="s">
        <v>403</v>
      </c>
      <c r="I280" s="21"/>
      <c r="J280" s="231"/>
      <c r="K280" s="231"/>
      <c r="L280" s="231"/>
      <c r="M280" s="231"/>
      <c r="N280" s="231"/>
      <c r="O280" s="231"/>
      <c r="P280" s="231"/>
      <c r="Q280" s="231"/>
      <c r="R280" s="231"/>
      <c r="S280" s="231"/>
      <c r="T280" s="231"/>
      <c r="U280" s="231"/>
      <c r="V280" s="231"/>
      <c r="W280" s="231"/>
      <c r="X280" s="231"/>
      <c r="Y280" s="231"/>
      <c r="Z280" s="231"/>
      <c r="AA280" s="231"/>
      <c r="AB280" s="231"/>
      <c r="AC280" s="231"/>
      <c r="AD280" s="231"/>
      <c r="AE280" s="231"/>
      <c r="AF280" s="231"/>
      <c r="AG280" s="231"/>
      <c r="AH280" s="231"/>
      <c r="AI280" s="231"/>
      <c r="AJ280" s="231"/>
      <c r="AK280" s="231"/>
    </row>
    <row r="281" spans="1:37" s="203" customFormat="1">
      <c r="A281" s="165"/>
      <c r="B281" s="47"/>
      <c r="C281" s="47"/>
      <c r="D281" s="47"/>
      <c r="E281" s="859"/>
      <c r="F281" s="859"/>
      <c r="G281" s="130"/>
      <c r="H281" s="859"/>
      <c r="I281" s="21"/>
      <c r="J281" s="231"/>
      <c r="K281" s="231"/>
      <c r="L281" s="231"/>
      <c r="M281" s="231"/>
      <c r="N281" s="231"/>
      <c r="O281" s="231"/>
      <c r="P281" s="231"/>
      <c r="Q281" s="231"/>
      <c r="R281" s="231"/>
      <c r="S281" s="231"/>
      <c r="T281" s="231"/>
      <c r="U281" s="231"/>
      <c r="V281" s="231"/>
      <c r="W281" s="231"/>
      <c r="X281" s="231"/>
      <c r="Y281" s="231"/>
      <c r="Z281" s="231"/>
      <c r="AA281" s="231"/>
      <c r="AB281" s="231"/>
      <c r="AC281" s="231"/>
      <c r="AD281" s="231"/>
      <c r="AE281" s="231"/>
      <c r="AF281" s="231"/>
      <c r="AG281" s="231"/>
      <c r="AH281" s="231"/>
      <c r="AI281" s="231"/>
      <c r="AJ281" s="231"/>
      <c r="AK281" s="231"/>
    </row>
    <row r="282" spans="1:37" s="203" customFormat="1" ht="21.75" customHeight="1">
      <c r="A282" s="109"/>
      <c r="B282" s="174"/>
      <c r="C282" s="174"/>
      <c r="D282" s="174"/>
      <c r="E282" s="859"/>
      <c r="F282" s="859"/>
      <c r="G282" s="130"/>
      <c r="H282" s="859"/>
      <c r="I282" s="21"/>
      <c r="J282" s="231"/>
      <c r="K282" s="231"/>
      <c r="L282" s="231"/>
      <c r="M282" s="231"/>
      <c r="N282" s="231"/>
      <c r="O282" s="231"/>
      <c r="P282" s="231"/>
      <c r="Q282" s="231"/>
      <c r="R282" s="231"/>
      <c r="S282" s="231"/>
      <c r="T282" s="231"/>
      <c r="U282" s="231"/>
      <c r="V282" s="231"/>
      <c r="W282" s="231"/>
      <c r="X282" s="231"/>
      <c r="Y282" s="231"/>
      <c r="Z282" s="231"/>
      <c r="AA282" s="231"/>
      <c r="AB282" s="231"/>
      <c r="AC282" s="231"/>
      <c r="AD282" s="231"/>
      <c r="AE282" s="231"/>
      <c r="AF282" s="231"/>
      <c r="AG282" s="231"/>
      <c r="AH282" s="231"/>
      <c r="AI282" s="231"/>
      <c r="AJ282" s="231"/>
      <c r="AK282" s="231"/>
    </row>
    <row r="283" spans="1:37" s="203" customFormat="1">
      <c r="A283" s="154" t="s">
        <v>215</v>
      </c>
      <c r="B283" s="47"/>
      <c r="C283" s="47"/>
      <c r="D283" s="47"/>
      <c r="E283" s="859"/>
      <c r="F283" s="859"/>
      <c r="G283" s="130"/>
      <c r="H283" s="859"/>
      <c r="I283" s="21"/>
      <c r="J283" s="231"/>
      <c r="K283" s="231"/>
      <c r="L283" s="231"/>
      <c r="M283" s="231"/>
      <c r="N283" s="231"/>
      <c r="O283" s="231"/>
      <c r="P283" s="231"/>
      <c r="Q283" s="231"/>
      <c r="R283" s="231"/>
      <c r="S283" s="231"/>
      <c r="T283" s="231"/>
      <c r="U283" s="231"/>
      <c r="V283" s="231"/>
      <c r="W283" s="231"/>
      <c r="X283" s="231"/>
      <c r="Y283" s="231"/>
      <c r="Z283" s="231"/>
      <c r="AA283" s="231"/>
      <c r="AB283" s="231"/>
      <c r="AC283" s="231"/>
      <c r="AD283" s="231"/>
      <c r="AE283" s="231"/>
      <c r="AF283" s="231"/>
      <c r="AG283" s="231"/>
      <c r="AH283" s="231"/>
      <c r="AI283" s="231"/>
      <c r="AJ283" s="231"/>
      <c r="AK283" s="231"/>
    </row>
    <row r="284" spans="1:37" s="203" customFormat="1">
      <c r="A284" s="109" t="s">
        <v>83</v>
      </c>
      <c r="B284" s="174"/>
      <c r="C284" s="174"/>
      <c r="D284" s="174"/>
      <c r="E284" s="860"/>
      <c r="F284" s="860"/>
      <c r="G284" s="130"/>
      <c r="H284" s="860"/>
      <c r="I284" s="21"/>
      <c r="J284" s="231"/>
      <c r="K284" s="231"/>
      <c r="L284" s="231"/>
      <c r="M284" s="231"/>
      <c r="N284" s="231"/>
      <c r="O284" s="231"/>
      <c r="P284" s="231"/>
      <c r="Q284" s="231"/>
      <c r="R284" s="231"/>
      <c r="S284" s="231"/>
      <c r="T284" s="231"/>
      <c r="U284" s="231"/>
      <c r="V284" s="231"/>
      <c r="W284" s="231"/>
      <c r="X284" s="231"/>
      <c r="Y284" s="231"/>
      <c r="Z284" s="231"/>
      <c r="AA284" s="231"/>
      <c r="AB284" s="231"/>
      <c r="AC284" s="231"/>
      <c r="AD284" s="231"/>
      <c r="AE284" s="231"/>
      <c r="AF284" s="231"/>
      <c r="AG284" s="231"/>
      <c r="AH284" s="231"/>
      <c r="AI284" s="231"/>
      <c r="AJ284" s="231"/>
      <c r="AK284" s="231"/>
    </row>
    <row r="285" spans="1:37" s="203" customFormat="1">
      <c r="A285" s="110" t="s">
        <v>84</v>
      </c>
      <c r="B285" s="116"/>
      <c r="C285" s="116"/>
      <c r="D285" s="116"/>
      <c r="E285" s="178"/>
      <c r="F285" s="146"/>
      <c r="G285" s="118"/>
      <c r="H285" s="146"/>
      <c r="I285" s="21"/>
      <c r="J285" s="231"/>
      <c r="K285" s="231"/>
      <c r="L285" s="231"/>
      <c r="M285" s="231"/>
      <c r="N285" s="231"/>
      <c r="O285" s="231"/>
      <c r="P285" s="231"/>
      <c r="Q285" s="231"/>
      <c r="R285" s="231"/>
      <c r="S285" s="231"/>
      <c r="T285" s="231"/>
      <c r="U285" s="231"/>
      <c r="V285" s="231"/>
      <c r="W285" s="231"/>
      <c r="X285" s="231"/>
      <c r="Y285" s="231"/>
      <c r="Z285" s="231"/>
      <c r="AA285" s="231"/>
      <c r="AB285" s="231"/>
      <c r="AC285" s="231"/>
      <c r="AD285" s="231"/>
      <c r="AE285" s="231"/>
      <c r="AF285" s="231"/>
      <c r="AG285" s="231"/>
      <c r="AH285" s="231"/>
      <c r="AI285" s="231"/>
      <c r="AJ285" s="231"/>
      <c r="AK285" s="231"/>
    </row>
    <row r="286" spans="1:37" s="203" customFormat="1">
      <c r="A286" s="120">
        <v>1</v>
      </c>
      <c r="B286" s="47" t="s">
        <v>216</v>
      </c>
      <c r="C286" s="47"/>
      <c r="D286" s="47"/>
      <c r="E286" s="74">
        <v>55.137</v>
      </c>
      <c r="F286" s="52">
        <v>92</v>
      </c>
      <c r="G286" s="118"/>
      <c r="H286" s="122">
        <v>76</v>
      </c>
      <c r="I286" s="21"/>
      <c r="J286" s="231"/>
      <c r="K286" s="231"/>
      <c r="L286" s="231"/>
      <c r="M286" s="231"/>
      <c r="N286" s="231"/>
      <c r="O286" s="231"/>
      <c r="P286" s="231"/>
      <c r="Q286" s="231"/>
      <c r="R286" s="231"/>
      <c r="S286" s="231"/>
      <c r="T286" s="231"/>
      <c r="U286" s="231"/>
      <c r="V286" s="231"/>
      <c r="W286" s="231"/>
      <c r="X286" s="231"/>
      <c r="Y286" s="231"/>
      <c r="Z286" s="231"/>
      <c r="AA286" s="231"/>
      <c r="AB286" s="231"/>
      <c r="AC286" s="231"/>
      <c r="AD286" s="231"/>
      <c r="AE286" s="231"/>
      <c r="AF286" s="231"/>
      <c r="AG286" s="231"/>
      <c r="AH286" s="231"/>
      <c r="AI286" s="231"/>
      <c r="AJ286" s="231"/>
      <c r="AK286" s="231"/>
    </row>
    <row r="287" spans="1:37" s="203" customFormat="1">
      <c r="A287" s="707">
        <v>2</v>
      </c>
      <c r="B287" s="47" t="s">
        <v>217</v>
      </c>
      <c r="C287" s="47"/>
      <c r="D287" s="47"/>
      <c r="E287" s="114">
        <v>0</v>
      </c>
      <c r="F287" s="52">
        <v>0</v>
      </c>
      <c r="G287" s="118"/>
      <c r="H287" s="122"/>
      <c r="I287" s="21"/>
      <c r="J287" s="231"/>
      <c r="K287" s="231"/>
      <c r="L287" s="231"/>
      <c r="M287" s="231"/>
      <c r="N287" s="231"/>
      <c r="O287" s="231"/>
      <c r="P287" s="231"/>
      <c r="Q287" s="231"/>
      <c r="R287" s="231"/>
      <c r="S287" s="231"/>
      <c r="T287" s="231"/>
      <c r="U287" s="231"/>
      <c r="V287" s="231"/>
      <c r="W287" s="231"/>
      <c r="X287" s="231"/>
      <c r="Y287" s="231"/>
      <c r="Z287" s="231"/>
      <c r="AA287" s="231"/>
      <c r="AB287" s="231"/>
      <c r="AC287" s="231"/>
      <c r="AD287" s="231"/>
      <c r="AE287" s="231"/>
      <c r="AF287" s="231"/>
      <c r="AG287" s="231"/>
      <c r="AH287" s="231"/>
      <c r="AI287" s="231"/>
      <c r="AJ287" s="231"/>
      <c r="AK287" s="231"/>
    </row>
    <row r="288" spans="1:37" s="203" customFormat="1">
      <c r="A288" s="120">
        <v>3</v>
      </c>
      <c r="B288" s="90" t="s">
        <v>218</v>
      </c>
      <c r="C288" s="166"/>
      <c r="D288" s="168"/>
      <c r="E288" s="114">
        <v>771.34799999999996</v>
      </c>
      <c r="F288" s="52">
        <v>736</v>
      </c>
      <c r="G288" s="118"/>
      <c r="H288" s="122">
        <v>811</v>
      </c>
      <c r="I288" s="21"/>
      <c r="J288" s="231"/>
      <c r="K288" s="231"/>
      <c r="L288" s="231"/>
      <c r="M288" s="231"/>
      <c r="N288" s="231"/>
      <c r="O288" s="231"/>
      <c r="P288" s="231"/>
      <c r="Q288" s="231"/>
      <c r="R288" s="231"/>
      <c r="S288" s="231"/>
      <c r="T288" s="231"/>
      <c r="U288" s="231"/>
      <c r="V288" s="231"/>
      <c r="W288" s="231"/>
      <c r="X288" s="231"/>
      <c r="Y288" s="231"/>
      <c r="Z288" s="231"/>
      <c r="AA288" s="231"/>
      <c r="AB288" s="231"/>
      <c r="AC288" s="231"/>
      <c r="AD288" s="231"/>
      <c r="AE288" s="231"/>
      <c r="AF288" s="231"/>
      <c r="AG288" s="231"/>
      <c r="AH288" s="231"/>
      <c r="AI288" s="231"/>
      <c r="AJ288" s="231"/>
      <c r="AK288" s="231"/>
    </row>
    <row r="289" spans="1:37" s="203" customFormat="1">
      <c r="A289" s="707">
        <v>4</v>
      </c>
      <c r="B289" s="47" t="s">
        <v>219</v>
      </c>
      <c r="C289" s="47"/>
      <c r="D289" s="116"/>
      <c r="E289" s="114">
        <v>41.533000000000001</v>
      </c>
      <c r="F289" s="52">
        <v>53</v>
      </c>
      <c r="G289" s="118"/>
      <c r="H289" s="122">
        <v>49</v>
      </c>
      <c r="I289" s="21"/>
      <c r="J289" s="231"/>
      <c r="K289" s="231"/>
      <c r="L289" s="231"/>
      <c r="M289" s="231"/>
      <c r="N289" s="231"/>
      <c r="O289" s="231"/>
      <c r="P289" s="231"/>
      <c r="Q289" s="231"/>
      <c r="R289" s="231"/>
      <c r="S289" s="231"/>
      <c r="T289" s="231"/>
      <c r="U289" s="231"/>
      <c r="V289" s="231"/>
      <c r="W289" s="231"/>
      <c r="X289" s="231"/>
      <c r="Y289" s="231"/>
      <c r="Z289" s="231"/>
      <c r="AA289" s="231"/>
      <c r="AB289" s="231"/>
      <c r="AC289" s="231"/>
      <c r="AD289" s="231"/>
      <c r="AE289" s="231"/>
      <c r="AF289" s="231"/>
      <c r="AG289" s="231"/>
      <c r="AH289" s="231"/>
      <c r="AI289" s="231"/>
      <c r="AJ289" s="231"/>
      <c r="AK289" s="231"/>
    </row>
    <row r="290" spans="1:37" s="203" customFormat="1">
      <c r="A290" s="707">
        <v>5</v>
      </c>
      <c r="B290" s="47" t="s">
        <v>220</v>
      </c>
      <c r="C290" s="47"/>
      <c r="D290" s="47"/>
      <c r="E290" s="114">
        <v>-83.974000000000004</v>
      </c>
      <c r="F290" s="52">
        <v>-5</v>
      </c>
      <c r="G290" s="118"/>
      <c r="H290" s="122">
        <v>-88</v>
      </c>
      <c r="I290" s="21"/>
      <c r="J290" s="231"/>
      <c r="K290" s="231"/>
      <c r="L290" s="231"/>
      <c r="M290" s="231"/>
      <c r="N290" s="231"/>
      <c r="O290" s="231"/>
      <c r="P290" s="231"/>
      <c r="Q290" s="231"/>
      <c r="R290" s="231"/>
      <c r="S290" s="231"/>
      <c r="T290" s="231"/>
      <c r="U290" s="231"/>
      <c r="V290" s="231"/>
      <c r="W290" s="231"/>
      <c r="X290" s="231"/>
      <c r="Y290" s="231"/>
      <c r="Z290" s="231"/>
      <c r="AA290" s="231"/>
      <c r="AB290" s="231"/>
      <c r="AC290" s="231"/>
      <c r="AD290" s="231"/>
      <c r="AE290" s="231"/>
      <c r="AF290" s="231"/>
      <c r="AG290" s="231"/>
      <c r="AH290" s="231"/>
      <c r="AI290" s="231"/>
      <c r="AJ290" s="231"/>
      <c r="AK290" s="231"/>
    </row>
    <row r="291" spans="1:37" s="203" customFormat="1">
      <c r="A291" s="120">
        <v>6</v>
      </c>
      <c r="B291" s="47" t="s">
        <v>221</v>
      </c>
      <c r="C291" s="47"/>
      <c r="D291" s="47"/>
      <c r="E291" s="114">
        <v>0</v>
      </c>
      <c r="F291" s="52">
        <v>8</v>
      </c>
      <c r="G291" s="118"/>
      <c r="H291" s="122"/>
      <c r="I291" s="21"/>
      <c r="J291" s="231"/>
      <c r="K291" s="231"/>
      <c r="L291" s="231"/>
      <c r="M291" s="231"/>
      <c r="N291" s="231"/>
      <c r="O291" s="231"/>
      <c r="P291" s="231"/>
      <c r="Q291" s="231"/>
      <c r="R291" s="231"/>
      <c r="S291" s="231"/>
      <c r="T291" s="231"/>
      <c r="U291" s="231"/>
      <c r="V291" s="231"/>
      <c r="W291" s="231"/>
      <c r="X291" s="231"/>
      <c r="Y291" s="231"/>
      <c r="Z291" s="231"/>
      <c r="AA291" s="231"/>
      <c r="AB291" s="231"/>
      <c r="AC291" s="231"/>
      <c r="AD291" s="231"/>
      <c r="AE291" s="231"/>
      <c r="AF291" s="231"/>
      <c r="AG291" s="231"/>
      <c r="AH291" s="231"/>
      <c r="AI291" s="231"/>
      <c r="AJ291" s="231"/>
      <c r="AK291" s="231"/>
    </row>
    <row r="292" spans="1:37" s="203" customFormat="1">
      <c r="A292" s="707">
        <v>7</v>
      </c>
      <c r="B292" s="47" t="s">
        <v>222</v>
      </c>
      <c r="C292" s="47"/>
      <c r="D292" s="116"/>
      <c r="E292" s="114">
        <v>187.34</v>
      </c>
      <c r="F292" s="52">
        <v>186</v>
      </c>
      <c r="G292" s="118"/>
      <c r="H292" s="122">
        <v>196</v>
      </c>
      <c r="I292" s="21"/>
      <c r="J292" s="231"/>
      <c r="K292" s="231"/>
      <c r="L292" s="231"/>
      <c r="M292" s="231"/>
      <c r="N292" s="231"/>
      <c r="O292" s="231"/>
      <c r="P292" s="231"/>
      <c r="Q292" s="231"/>
      <c r="R292" s="231"/>
      <c r="S292" s="231"/>
      <c r="T292" s="231"/>
      <c r="U292" s="231"/>
      <c r="V292" s="231"/>
      <c r="W292" s="231"/>
      <c r="X292" s="231"/>
      <c r="Y292" s="231"/>
      <c r="Z292" s="231"/>
      <c r="AA292" s="231"/>
      <c r="AB292" s="231"/>
      <c r="AC292" s="231"/>
      <c r="AD292" s="231"/>
      <c r="AE292" s="231"/>
      <c r="AF292" s="231"/>
      <c r="AG292" s="231"/>
      <c r="AH292" s="231"/>
      <c r="AI292" s="231"/>
      <c r="AJ292" s="231"/>
      <c r="AK292" s="231"/>
    </row>
    <row r="293" spans="1:37" s="203" customFormat="1">
      <c r="A293" s="120">
        <v>8</v>
      </c>
      <c r="B293" s="47" t="s">
        <v>223</v>
      </c>
      <c r="C293" s="47"/>
      <c r="D293" s="116"/>
      <c r="E293" s="114">
        <v>290.7</v>
      </c>
      <c r="F293" s="52">
        <v>289</v>
      </c>
      <c r="G293" s="118"/>
      <c r="H293" s="122">
        <v>304</v>
      </c>
      <c r="I293" s="21"/>
      <c r="J293" s="231"/>
      <c r="K293" s="231"/>
      <c r="L293" s="231"/>
      <c r="M293" s="231"/>
      <c r="N293" s="231"/>
      <c r="O293" s="231"/>
      <c r="P293" s="231"/>
      <c r="Q293" s="231"/>
      <c r="R293" s="231"/>
      <c r="S293" s="231"/>
      <c r="T293" s="231"/>
      <c r="U293" s="231"/>
      <c r="V293" s="231"/>
      <c r="W293" s="231"/>
      <c r="X293" s="231"/>
      <c r="Y293" s="231"/>
      <c r="Z293" s="231"/>
      <c r="AA293" s="231"/>
      <c r="AB293" s="231"/>
      <c r="AC293" s="231"/>
      <c r="AD293" s="231"/>
      <c r="AE293" s="231"/>
      <c r="AF293" s="231"/>
      <c r="AG293" s="231"/>
      <c r="AH293" s="231"/>
      <c r="AI293" s="231"/>
      <c r="AJ293" s="231"/>
      <c r="AK293" s="231"/>
    </row>
    <row r="294" spans="1:37" s="203" customFormat="1">
      <c r="A294" s="707">
        <v>9</v>
      </c>
      <c r="B294" s="47" t="s">
        <v>224</v>
      </c>
      <c r="C294" s="47"/>
      <c r="D294" s="116"/>
      <c r="E294" s="114">
        <v>167.96</v>
      </c>
      <c r="F294" s="52">
        <v>167</v>
      </c>
      <c r="G294" s="118"/>
      <c r="H294" s="122">
        <v>176</v>
      </c>
      <c r="I294" s="21"/>
      <c r="J294" s="231"/>
      <c r="K294" s="231"/>
      <c r="L294" s="231"/>
      <c r="M294" s="231"/>
      <c r="N294" s="231"/>
      <c r="O294" s="231"/>
      <c r="P294" s="231"/>
      <c r="Q294" s="231"/>
      <c r="R294" s="231"/>
      <c r="S294" s="231"/>
      <c r="T294" s="231"/>
      <c r="U294" s="231"/>
      <c r="V294" s="231"/>
      <c r="W294" s="231"/>
      <c r="X294" s="231"/>
      <c r="Y294" s="231"/>
      <c r="Z294" s="231"/>
      <c r="AA294" s="231"/>
      <c r="AB294" s="231"/>
      <c r="AC294" s="231"/>
      <c r="AD294" s="231"/>
      <c r="AE294" s="231"/>
      <c r="AF294" s="231"/>
      <c r="AG294" s="231"/>
      <c r="AH294" s="231"/>
      <c r="AI294" s="231"/>
      <c r="AJ294" s="231"/>
      <c r="AK294" s="231"/>
    </row>
    <row r="295" spans="1:37" s="203" customFormat="1">
      <c r="A295" s="120">
        <v>10</v>
      </c>
      <c r="B295" s="47" t="s">
        <v>225</v>
      </c>
      <c r="C295" s="47"/>
      <c r="D295" s="47"/>
      <c r="E295" s="114">
        <v>97</v>
      </c>
      <c r="F295" s="52">
        <v>76</v>
      </c>
      <c r="G295" s="118"/>
      <c r="H295" s="122">
        <v>64</v>
      </c>
      <c r="I295" s="21"/>
      <c r="J295" s="231"/>
      <c r="K295" s="231"/>
      <c r="L295" s="231"/>
      <c r="M295" s="231"/>
      <c r="N295" s="231"/>
      <c r="O295" s="231"/>
      <c r="P295" s="231"/>
      <c r="Q295" s="231"/>
      <c r="R295" s="231"/>
      <c r="S295" s="231"/>
      <c r="T295" s="231"/>
      <c r="U295" s="231"/>
      <c r="V295" s="231"/>
      <c r="W295" s="231"/>
      <c r="X295" s="231"/>
      <c r="Y295" s="231"/>
      <c r="Z295" s="231"/>
      <c r="AA295" s="231"/>
      <c r="AB295" s="231"/>
      <c r="AC295" s="231"/>
      <c r="AD295" s="231"/>
      <c r="AE295" s="231"/>
      <c r="AF295" s="231"/>
      <c r="AG295" s="231"/>
      <c r="AH295" s="231"/>
      <c r="AI295" s="231"/>
      <c r="AJ295" s="231"/>
      <c r="AK295" s="231"/>
    </row>
    <row r="296" spans="1:37" s="203" customFormat="1">
      <c r="A296" s="707">
        <v>11</v>
      </c>
      <c r="B296" s="47" t="s">
        <v>226</v>
      </c>
      <c r="C296" s="47"/>
      <c r="D296" s="47"/>
      <c r="E296" s="114">
        <v>0</v>
      </c>
      <c r="F296" s="52"/>
      <c r="G296" s="118"/>
      <c r="H296" s="122"/>
      <c r="I296" s="21"/>
      <c r="J296" s="231"/>
      <c r="K296" s="231"/>
      <c r="L296" s="231"/>
      <c r="M296" s="231"/>
      <c r="N296" s="231"/>
      <c r="O296" s="231"/>
      <c r="P296" s="231"/>
      <c r="Q296" s="231"/>
      <c r="R296" s="231"/>
      <c r="S296" s="231"/>
      <c r="T296" s="231"/>
      <c r="U296" s="231"/>
      <c r="V296" s="231"/>
      <c r="W296" s="231"/>
      <c r="X296" s="231"/>
      <c r="Y296" s="231"/>
      <c r="Z296" s="231"/>
      <c r="AA296" s="231"/>
      <c r="AB296" s="231"/>
      <c r="AC296" s="231"/>
      <c r="AD296" s="231"/>
      <c r="AE296" s="231"/>
      <c r="AF296" s="231"/>
      <c r="AG296" s="231"/>
      <c r="AH296" s="231"/>
      <c r="AI296" s="231"/>
      <c r="AJ296" s="231"/>
      <c r="AK296" s="231"/>
    </row>
    <row r="297" spans="1:37" s="203" customFormat="1">
      <c r="A297" s="120">
        <v>12</v>
      </c>
      <c r="B297" s="47" t="s">
        <v>227</v>
      </c>
      <c r="C297" s="47"/>
      <c r="D297" s="47"/>
      <c r="E297" s="114">
        <v>24.259</v>
      </c>
      <c r="F297" s="52">
        <v>49</v>
      </c>
      <c r="G297" s="118"/>
      <c r="H297" s="122">
        <v>10</v>
      </c>
      <c r="I297" s="21"/>
      <c r="J297" s="231"/>
      <c r="K297" s="231"/>
      <c r="L297" s="231"/>
      <c r="M297" s="231"/>
      <c r="N297" s="231"/>
      <c r="O297" s="231"/>
      <c r="P297" s="231"/>
      <c r="Q297" s="231"/>
      <c r="R297" s="231"/>
      <c r="S297" s="231"/>
      <c r="T297" s="231"/>
      <c r="U297" s="231"/>
      <c r="V297" s="231"/>
      <c r="W297" s="231"/>
      <c r="X297" s="231"/>
      <c r="Y297" s="231"/>
      <c r="Z297" s="231"/>
      <c r="AA297" s="231"/>
      <c r="AB297" s="231"/>
      <c r="AC297" s="231"/>
      <c r="AD297" s="231"/>
      <c r="AE297" s="231"/>
      <c r="AF297" s="231"/>
      <c r="AG297" s="231"/>
      <c r="AH297" s="231"/>
      <c r="AI297" s="231"/>
      <c r="AJ297" s="231"/>
      <c r="AK297" s="231"/>
    </row>
    <row r="298" spans="1:37" s="203" customFormat="1">
      <c r="A298" s="707">
        <v>13</v>
      </c>
      <c r="B298" s="47" t="s">
        <v>228</v>
      </c>
      <c r="C298" s="47"/>
      <c r="D298" s="47"/>
      <c r="E298" s="114">
        <v>2686.9490000000001</v>
      </c>
      <c r="F298" s="52">
        <v>2678</v>
      </c>
      <c r="G298" s="118"/>
      <c r="H298" s="122">
        <v>2732</v>
      </c>
      <c r="I298" s="21"/>
      <c r="J298" s="231"/>
      <c r="K298" s="231"/>
      <c r="L298" s="231"/>
      <c r="M298" s="231"/>
      <c r="N298" s="231"/>
      <c r="O298" s="231"/>
      <c r="P298" s="231"/>
      <c r="Q298" s="231"/>
      <c r="R298" s="231"/>
      <c r="S298" s="231"/>
      <c r="T298" s="231"/>
      <c r="U298" s="231"/>
      <c r="V298" s="231"/>
      <c r="W298" s="231"/>
      <c r="X298" s="231"/>
      <c r="Y298" s="231"/>
      <c r="Z298" s="231"/>
      <c r="AA298" s="231"/>
      <c r="AB298" s="231"/>
      <c r="AC298" s="231"/>
      <c r="AD298" s="231"/>
      <c r="AE298" s="231"/>
      <c r="AF298" s="231"/>
      <c r="AG298" s="231"/>
      <c r="AH298" s="231"/>
      <c r="AI298" s="231"/>
      <c r="AJ298" s="231"/>
      <c r="AK298" s="231"/>
    </row>
    <row r="299" spans="1:37" s="203" customFormat="1">
      <c r="A299" s="120">
        <v>14</v>
      </c>
      <c r="B299" s="47" t="s">
        <v>229</v>
      </c>
      <c r="C299" s="47"/>
      <c r="D299" s="116"/>
      <c r="E299" s="114">
        <v>0</v>
      </c>
      <c r="F299" s="52"/>
      <c r="G299" s="118"/>
      <c r="H299" s="122"/>
      <c r="I299" s="21"/>
      <c r="J299" s="231"/>
      <c r="K299" s="231"/>
      <c r="L299" s="231"/>
      <c r="M299" s="231"/>
      <c r="N299" s="231"/>
      <c r="O299" s="231"/>
      <c r="P299" s="231"/>
      <c r="Q299" s="231"/>
      <c r="R299" s="231"/>
      <c r="S299" s="231"/>
      <c r="T299" s="231"/>
      <c r="U299" s="231"/>
      <c r="V299" s="231"/>
      <c r="W299" s="231"/>
      <c r="X299" s="231"/>
      <c r="Y299" s="231"/>
      <c r="Z299" s="231"/>
      <c r="AA299" s="231"/>
      <c r="AB299" s="231"/>
      <c r="AC299" s="231"/>
      <c r="AD299" s="231"/>
      <c r="AE299" s="231"/>
      <c r="AF299" s="231"/>
      <c r="AG299" s="231"/>
      <c r="AH299" s="231"/>
      <c r="AI299" s="231"/>
      <c r="AJ299" s="231"/>
      <c r="AK299" s="231"/>
    </row>
    <row r="300" spans="1:37" s="203" customFormat="1">
      <c r="A300" s="707">
        <v>15</v>
      </c>
      <c r="B300" s="47" t="s">
        <v>230</v>
      </c>
      <c r="C300" s="47"/>
      <c r="D300" s="116"/>
      <c r="E300" s="114">
        <v>1096.644</v>
      </c>
      <c r="F300" s="52">
        <v>2863</v>
      </c>
      <c r="G300" s="118"/>
      <c r="H300" s="122">
        <v>2101</v>
      </c>
      <c r="I300" s="21"/>
      <c r="J300" s="231"/>
      <c r="K300" s="231"/>
      <c r="L300" s="231"/>
      <c r="M300" s="231"/>
      <c r="N300" s="231"/>
      <c r="O300" s="231"/>
      <c r="P300" s="231"/>
      <c r="Q300" s="231"/>
      <c r="R300" s="231"/>
      <c r="S300" s="231"/>
      <c r="T300" s="231"/>
      <c r="U300" s="231"/>
      <c r="V300" s="231"/>
      <c r="W300" s="231"/>
      <c r="X300" s="231"/>
      <c r="Y300" s="231"/>
      <c r="Z300" s="231"/>
      <c r="AA300" s="231"/>
      <c r="AB300" s="231"/>
      <c r="AC300" s="231"/>
      <c r="AD300" s="231"/>
      <c r="AE300" s="231"/>
      <c r="AF300" s="231"/>
      <c r="AG300" s="231"/>
      <c r="AH300" s="231"/>
      <c r="AI300" s="231"/>
      <c r="AJ300" s="231"/>
      <c r="AK300" s="231"/>
    </row>
    <row r="301" spans="1:37" s="203" customFormat="1">
      <c r="A301" s="120">
        <v>17</v>
      </c>
      <c r="B301" s="47" t="s">
        <v>231</v>
      </c>
      <c r="C301" s="47"/>
      <c r="D301" s="47"/>
      <c r="E301" s="114">
        <v>-596.73199999999997</v>
      </c>
      <c r="F301" s="52">
        <v>-394</v>
      </c>
      <c r="G301" s="118"/>
      <c r="H301" s="99">
        <v>-107</v>
      </c>
      <c r="I301" s="21"/>
      <c r="J301" s="231"/>
      <c r="K301" s="231"/>
      <c r="L301" s="231"/>
      <c r="M301" s="231"/>
      <c r="N301" s="231"/>
      <c r="O301" s="231"/>
      <c r="P301" s="231"/>
      <c r="Q301" s="231"/>
      <c r="R301" s="231"/>
      <c r="S301" s="231"/>
      <c r="T301" s="231"/>
      <c r="U301" s="231"/>
      <c r="V301" s="231"/>
      <c r="W301" s="231"/>
      <c r="X301" s="231"/>
      <c r="Y301" s="231"/>
      <c r="Z301" s="231"/>
      <c r="AA301" s="231"/>
      <c r="AB301" s="231"/>
      <c r="AC301" s="231"/>
      <c r="AD301" s="231"/>
      <c r="AE301" s="231"/>
      <c r="AF301" s="231"/>
      <c r="AG301" s="231"/>
      <c r="AH301" s="231"/>
      <c r="AI301" s="231"/>
      <c r="AJ301" s="231"/>
      <c r="AK301" s="231"/>
    </row>
    <row r="302" spans="1:37" s="203" customFormat="1">
      <c r="A302" s="708">
        <v>18</v>
      </c>
      <c r="B302" s="94" t="s">
        <v>232</v>
      </c>
      <c r="C302" s="94"/>
      <c r="D302" s="94"/>
      <c r="E302" s="159">
        <v>4738.1640000000007</v>
      </c>
      <c r="F302" s="61">
        <f>SUM(F286:F301)</f>
        <v>6798</v>
      </c>
      <c r="G302" s="118"/>
      <c r="H302" s="61">
        <f>SUM(H286:H301)</f>
        <v>6324</v>
      </c>
      <c r="I302" s="21"/>
      <c r="J302" s="231"/>
      <c r="K302" s="231"/>
      <c r="L302" s="231"/>
      <c r="M302" s="231"/>
      <c r="N302" s="231"/>
      <c r="O302" s="231"/>
      <c r="P302" s="231"/>
      <c r="Q302" s="231"/>
      <c r="R302" s="231"/>
      <c r="S302" s="231"/>
      <c r="T302" s="231"/>
      <c r="U302" s="231"/>
      <c r="V302" s="231"/>
      <c r="W302" s="231"/>
      <c r="X302" s="231"/>
      <c r="Y302" s="231"/>
      <c r="Z302" s="231"/>
      <c r="AA302" s="231"/>
      <c r="AB302" s="231"/>
      <c r="AC302" s="231"/>
      <c r="AD302" s="231"/>
      <c r="AE302" s="231"/>
      <c r="AF302" s="231"/>
      <c r="AG302" s="231"/>
      <c r="AH302" s="231"/>
      <c r="AI302" s="231"/>
      <c r="AJ302" s="231"/>
      <c r="AK302" s="231"/>
    </row>
    <row r="303" spans="1:37" s="203" customFormat="1">
      <c r="A303" s="179"/>
      <c r="B303" s="180"/>
      <c r="C303" s="180"/>
      <c r="D303" s="181"/>
      <c r="E303" s="182"/>
      <c r="F303" s="183"/>
      <c r="G303" s="21"/>
      <c r="H303" s="183"/>
      <c r="I303" s="21"/>
      <c r="J303" s="231"/>
      <c r="K303" s="231"/>
      <c r="L303" s="231"/>
      <c r="M303" s="231"/>
      <c r="N303" s="231"/>
      <c r="O303" s="231"/>
      <c r="P303" s="231"/>
      <c r="Q303" s="231"/>
      <c r="R303" s="231"/>
      <c r="S303" s="231"/>
      <c r="T303" s="231"/>
      <c r="U303" s="231"/>
      <c r="V303" s="231"/>
      <c r="W303" s="231"/>
      <c r="X303" s="231"/>
      <c r="Y303" s="231"/>
      <c r="Z303" s="231"/>
      <c r="AA303" s="231"/>
      <c r="AB303" s="231"/>
      <c r="AC303" s="231"/>
      <c r="AD303" s="231"/>
      <c r="AE303" s="231"/>
      <c r="AF303" s="231"/>
      <c r="AG303" s="231"/>
      <c r="AH303" s="231"/>
      <c r="AI303" s="231"/>
      <c r="AJ303" s="231"/>
      <c r="AK303" s="231"/>
    </row>
    <row r="304" spans="1:37" s="203" customFormat="1">
      <c r="A304" s="184"/>
      <c r="B304" s="207"/>
      <c r="C304" s="207"/>
      <c r="D304" s="209"/>
      <c r="E304" s="185"/>
      <c r="F304" s="207"/>
      <c r="G304" s="207"/>
      <c r="H304" s="131" t="s">
        <v>27</v>
      </c>
      <c r="I304" s="21"/>
      <c r="J304" s="231"/>
      <c r="K304" s="231"/>
      <c r="L304" s="231"/>
      <c r="M304" s="231"/>
      <c r="N304" s="231"/>
      <c r="O304" s="231"/>
      <c r="P304" s="231"/>
      <c r="Q304" s="231"/>
      <c r="R304" s="231"/>
      <c r="S304" s="231"/>
      <c r="T304" s="231"/>
      <c r="U304" s="231"/>
      <c r="V304" s="231"/>
      <c r="W304" s="231"/>
      <c r="X304" s="231"/>
      <c r="Y304" s="231"/>
      <c r="Z304" s="231"/>
      <c r="AA304" s="231"/>
      <c r="AB304" s="231"/>
      <c r="AC304" s="231"/>
      <c r="AD304" s="231"/>
      <c r="AE304" s="231"/>
      <c r="AF304" s="231"/>
      <c r="AG304" s="231"/>
      <c r="AH304" s="231"/>
      <c r="AI304" s="231"/>
      <c r="AJ304" s="231"/>
      <c r="AK304" s="231"/>
    </row>
    <row r="305" spans="1:37" s="203" customFormat="1" ht="12.75" customHeight="1">
      <c r="A305" s="106" t="s">
        <v>21</v>
      </c>
      <c r="B305" s="164"/>
      <c r="C305" s="164"/>
      <c r="D305" s="164"/>
      <c r="E305" s="856" t="s">
        <v>377</v>
      </c>
      <c r="F305" s="856" t="s">
        <v>402</v>
      </c>
      <c r="G305" s="130"/>
      <c r="H305" s="856" t="s">
        <v>403</v>
      </c>
      <c r="I305" s="21"/>
      <c r="J305" s="231"/>
      <c r="K305" s="231"/>
      <c r="L305" s="231"/>
      <c r="M305" s="231"/>
      <c r="N305" s="231"/>
      <c r="O305" s="231"/>
      <c r="P305" s="231"/>
      <c r="Q305" s="231"/>
      <c r="R305" s="231"/>
      <c r="S305" s="231"/>
      <c r="T305" s="231"/>
      <c r="U305" s="231"/>
      <c r="V305" s="231"/>
      <c r="W305" s="231"/>
      <c r="X305" s="231"/>
      <c r="Y305" s="231"/>
      <c r="Z305" s="231"/>
      <c r="AA305" s="231"/>
      <c r="AB305" s="231"/>
      <c r="AC305" s="231"/>
      <c r="AD305" s="231"/>
      <c r="AE305" s="231"/>
      <c r="AF305" s="231"/>
      <c r="AG305" s="231"/>
      <c r="AH305" s="231"/>
      <c r="AI305" s="231"/>
      <c r="AJ305" s="231"/>
      <c r="AK305" s="231"/>
    </row>
    <row r="306" spans="1:37" s="203" customFormat="1">
      <c r="A306" s="165"/>
      <c r="B306" s="47"/>
      <c r="C306" s="47"/>
      <c r="D306" s="47"/>
      <c r="E306" s="859"/>
      <c r="F306" s="859"/>
      <c r="G306" s="130"/>
      <c r="H306" s="859"/>
      <c r="I306" s="21"/>
      <c r="J306" s="231"/>
      <c r="K306" s="231"/>
      <c r="L306" s="231"/>
      <c r="M306" s="231"/>
      <c r="N306" s="231"/>
      <c r="O306" s="231"/>
      <c r="P306" s="231"/>
      <c r="Q306" s="231"/>
      <c r="R306" s="231"/>
      <c r="S306" s="231"/>
      <c r="T306" s="231"/>
      <c r="U306" s="231"/>
      <c r="V306" s="231"/>
      <c r="W306" s="231"/>
      <c r="X306" s="231"/>
      <c r="Y306" s="231"/>
      <c r="Z306" s="231"/>
      <c r="AA306" s="231"/>
      <c r="AB306" s="231"/>
      <c r="AC306" s="231"/>
      <c r="AD306" s="231"/>
      <c r="AE306" s="231"/>
      <c r="AF306" s="231"/>
      <c r="AG306" s="231"/>
      <c r="AH306" s="231"/>
      <c r="AI306" s="231"/>
      <c r="AJ306" s="231"/>
      <c r="AK306" s="231"/>
    </row>
    <row r="307" spans="1:37" s="203" customFormat="1" ht="12.75" customHeight="1">
      <c r="A307" s="109"/>
      <c r="B307" s="174"/>
      <c r="C307" s="174"/>
      <c r="D307" s="174"/>
      <c r="E307" s="859"/>
      <c r="F307" s="859"/>
      <c r="G307" s="130"/>
      <c r="H307" s="859"/>
      <c r="I307" s="21"/>
      <c r="J307" s="231"/>
      <c r="K307" s="231"/>
      <c r="L307" s="231"/>
      <c r="M307" s="231"/>
      <c r="N307" s="231"/>
      <c r="O307" s="231"/>
      <c r="P307" s="231"/>
      <c r="Q307" s="231"/>
      <c r="R307" s="231"/>
      <c r="S307" s="231"/>
      <c r="T307" s="231"/>
      <c r="U307" s="231"/>
      <c r="V307" s="231"/>
      <c r="W307" s="231"/>
      <c r="X307" s="231"/>
      <c r="Y307" s="231"/>
      <c r="Z307" s="231"/>
      <c r="AA307" s="231"/>
      <c r="AB307" s="231"/>
      <c r="AC307" s="231"/>
      <c r="AD307" s="231"/>
      <c r="AE307" s="231"/>
      <c r="AF307" s="231"/>
      <c r="AG307" s="231"/>
      <c r="AH307" s="231"/>
      <c r="AI307" s="231"/>
      <c r="AJ307" s="231"/>
      <c r="AK307" s="231"/>
    </row>
    <row r="308" spans="1:37" s="203" customFormat="1">
      <c r="A308" s="154" t="s">
        <v>233</v>
      </c>
      <c r="B308" s="47"/>
      <c r="C308" s="47"/>
      <c r="D308" s="47"/>
      <c r="E308" s="859"/>
      <c r="F308" s="859"/>
      <c r="G308" s="130"/>
      <c r="H308" s="859"/>
      <c r="I308" s="21"/>
      <c r="J308" s="231"/>
      <c r="K308" s="231"/>
      <c r="L308" s="231"/>
      <c r="M308" s="231"/>
      <c r="N308" s="231"/>
      <c r="O308" s="231"/>
      <c r="P308" s="231"/>
      <c r="Q308" s="231"/>
      <c r="R308" s="231"/>
      <c r="S308" s="231"/>
      <c r="T308" s="231"/>
      <c r="U308" s="231"/>
      <c r="V308" s="231"/>
      <c r="W308" s="231"/>
      <c r="X308" s="231"/>
      <c r="Y308" s="231"/>
      <c r="Z308" s="231"/>
      <c r="AA308" s="231"/>
      <c r="AB308" s="231"/>
      <c r="AC308" s="231"/>
      <c r="AD308" s="231"/>
      <c r="AE308" s="231"/>
      <c r="AF308" s="231"/>
      <c r="AG308" s="231"/>
      <c r="AH308" s="231"/>
      <c r="AI308" s="231"/>
      <c r="AJ308" s="231"/>
      <c r="AK308" s="231"/>
    </row>
    <row r="309" spans="1:37" s="203" customFormat="1">
      <c r="A309" s="109" t="s">
        <v>83</v>
      </c>
      <c r="B309" s="174"/>
      <c r="C309" s="174"/>
      <c r="D309" s="174"/>
      <c r="E309" s="860"/>
      <c r="F309" s="860"/>
      <c r="G309" s="130"/>
      <c r="H309" s="860"/>
      <c r="I309" s="21"/>
      <c r="J309" s="231"/>
      <c r="K309" s="231"/>
      <c r="L309" s="231"/>
      <c r="M309" s="231"/>
      <c r="N309" s="231"/>
      <c r="O309" s="231"/>
      <c r="P309" s="231"/>
      <c r="Q309" s="231"/>
      <c r="R309" s="231"/>
      <c r="S309" s="231"/>
      <c r="T309" s="231"/>
      <c r="U309" s="231"/>
      <c r="V309" s="231"/>
      <c r="W309" s="231"/>
      <c r="X309" s="231"/>
      <c r="Y309" s="231"/>
      <c r="Z309" s="231"/>
      <c r="AA309" s="231"/>
      <c r="AB309" s="231"/>
      <c r="AC309" s="231"/>
      <c r="AD309" s="231"/>
      <c r="AE309" s="231"/>
      <c r="AF309" s="231"/>
      <c r="AG309" s="231"/>
      <c r="AH309" s="231"/>
      <c r="AI309" s="231"/>
      <c r="AJ309" s="231"/>
      <c r="AK309" s="231"/>
    </row>
    <row r="310" spans="1:37" s="203" customFormat="1">
      <c r="A310" s="110" t="s">
        <v>84</v>
      </c>
      <c r="B310" s="116"/>
      <c r="C310" s="116"/>
      <c r="D310" s="116"/>
      <c r="E310" s="262"/>
      <c r="F310" s="146"/>
      <c r="G310" s="118"/>
      <c r="H310" s="146"/>
      <c r="I310" s="21"/>
      <c r="J310" s="231"/>
      <c r="K310" s="231"/>
      <c r="L310" s="231"/>
      <c r="M310" s="231"/>
      <c r="N310" s="231"/>
      <c r="O310" s="231"/>
      <c r="P310" s="231"/>
      <c r="Q310" s="231"/>
      <c r="R310" s="231"/>
      <c r="S310" s="231"/>
      <c r="T310" s="231"/>
      <c r="U310" s="231"/>
      <c r="V310" s="231"/>
      <c r="W310" s="231"/>
      <c r="X310" s="231"/>
      <c r="Y310" s="231"/>
      <c r="Z310" s="231"/>
      <c r="AA310" s="231"/>
      <c r="AB310" s="231"/>
      <c r="AC310" s="231"/>
      <c r="AD310" s="231"/>
      <c r="AE310" s="231"/>
      <c r="AF310" s="231"/>
      <c r="AG310" s="231"/>
      <c r="AH310" s="231"/>
      <c r="AI310" s="231"/>
      <c r="AJ310" s="231"/>
      <c r="AK310" s="231"/>
    </row>
    <row r="311" spans="1:37" s="203" customFormat="1">
      <c r="A311" s="120">
        <v>1</v>
      </c>
      <c r="B311" s="47" t="s">
        <v>258</v>
      </c>
      <c r="C311" s="47"/>
      <c r="D311" s="186"/>
      <c r="E311" s="74">
        <v>0</v>
      </c>
      <c r="F311" s="52"/>
      <c r="G311" s="43"/>
      <c r="H311" s="52"/>
      <c r="I311" s="21"/>
      <c r="J311" s="231"/>
      <c r="K311" s="231"/>
      <c r="L311" s="231"/>
      <c r="M311" s="231"/>
      <c r="N311" s="231"/>
      <c r="O311" s="231"/>
      <c r="P311" s="231"/>
      <c r="Q311" s="231"/>
      <c r="R311" s="231"/>
      <c r="S311" s="231"/>
      <c r="T311" s="231"/>
      <c r="U311" s="231"/>
      <c r="V311" s="231"/>
      <c r="W311" s="231"/>
      <c r="X311" s="231"/>
      <c r="Y311" s="231"/>
      <c r="Z311" s="231"/>
      <c r="AA311" s="231"/>
      <c r="AB311" s="231"/>
      <c r="AC311" s="231"/>
      <c r="AD311" s="231"/>
      <c r="AE311" s="231"/>
      <c r="AF311" s="231"/>
      <c r="AG311" s="231"/>
      <c r="AH311" s="231"/>
      <c r="AI311" s="231"/>
      <c r="AJ311" s="231"/>
      <c r="AK311" s="231"/>
    </row>
    <row r="312" spans="1:37" s="203" customFormat="1">
      <c r="A312" s="120">
        <v>2</v>
      </c>
      <c r="B312" s="47" t="s">
        <v>234</v>
      </c>
      <c r="C312" s="47"/>
      <c r="D312" s="186"/>
      <c r="E312" s="114">
        <v>0</v>
      </c>
      <c r="F312" s="52"/>
      <c r="G312" s="43"/>
      <c r="H312" s="52"/>
      <c r="I312" s="21"/>
      <c r="J312" s="231"/>
      <c r="K312" s="231"/>
      <c r="L312" s="231"/>
      <c r="M312" s="231"/>
      <c r="N312" s="231"/>
      <c r="O312" s="231"/>
      <c r="P312" s="231"/>
      <c r="Q312" s="231"/>
      <c r="R312" s="231"/>
      <c r="S312" s="231"/>
      <c r="T312" s="231"/>
      <c r="U312" s="231"/>
      <c r="V312" s="231"/>
      <c r="W312" s="231"/>
      <c r="X312" s="231"/>
      <c r="Y312" s="231"/>
      <c r="Z312" s="231"/>
      <c r="AA312" s="231"/>
      <c r="AB312" s="231"/>
      <c r="AC312" s="231"/>
      <c r="AD312" s="231"/>
      <c r="AE312" s="231"/>
      <c r="AF312" s="231"/>
      <c r="AG312" s="231"/>
      <c r="AH312" s="231"/>
      <c r="AI312" s="231"/>
      <c r="AJ312" s="231"/>
      <c r="AK312" s="231"/>
    </row>
    <row r="313" spans="1:37" s="203" customFormat="1">
      <c r="A313" s="120">
        <v>3</v>
      </c>
      <c r="B313" s="47" t="s">
        <v>259</v>
      </c>
      <c r="C313" s="47"/>
      <c r="D313" s="186"/>
      <c r="E313" s="114">
        <v>0</v>
      </c>
      <c r="F313" s="52"/>
      <c r="G313" s="43"/>
      <c r="H313" s="52"/>
      <c r="I313" s="21"/>
      <c r="J313" s="231"/>
      <c r="K313" s="231"/>
      <c r="L313" s="231"/>
      <c r="M313" s="231"/>
      <c r="N313" s="231"/>
      <c r="O313" s="231"/>
      <c r="P313" s="231"/>
      <c r="Q313" s="231"/>
      <c r="R313" s="231"/>
      <c r="S313" s="231"/>
      <c r="T313" s="231"/>
      <c r="U313" s="231"/>
      <c r="V313" s="231"/>
      <c r="W313" s="231"/>
      <c r="X313" s="231"/>
      <c r="Y313" s="231"/>
      <c r="Z313" s="231"/>
      <c r="AA313" s="231"/>
      <c r="AB313" s="231"/>
      <c r="AC313" s="231"/>
      <c r="AD313" s="231"/>
      <c r="AE313" s="231"/>
      <c r="AF313" s="231"/>
      <c r="AG313" s="231"/>
      <c r="AH313" s="231"/>
      <c r="AI313" s="231"/>
      <c r="AJ313" s="231"/>
      <c r="AK313" s="231"/>
    </row>
    <row r="314" spans="1:37" s="203" customFormat="1">
      <c r="A314" s="120">
        <v>4</v>
      </c>
      <c r="B314" s="47" t="s">
        <v>235</v>
      </c>
      <c r="C314" s="47"/>
      <c r="D314" s="186"/>
      <c r="E314" s="114">
        <v>8494</v>
      </c>
      <c r="F314" s="52">
        <v>8651</v>
      </c>
      <c r="G314" s="43"/>
      <c r="H314" s="52">
        <v>9539</v>
      </c>
      <c r="I314" s="21"/>
      <c r="J314" s="231"/>
      <c r="K314" s="231"/>
      <c r="L314" s="231"/>
      <c r="M314" s="231"/>
      <c r="N314" s="231"/>
      <c r="O314" s="231"/>
      <c r="P314" s="231"/>
      <c r="Q314" s="231"/>
      <c r="R314" s="231"/>
      <c r="S314" s="231"/>
      <c r="T314" s="231"/>
      <c r="U314" s="231"/>
      <c r="V314" s="231"/>
      <c r="W314" s="231"/>
      <c r="X314" s="231"/>
      <c r="Y314" s="231"/>
      <c r="Z314" s="231"/>
      <c r="AA314" s="231"/>
      <c r="AB314" s="231"/>
      <c r="AC314" s="231"/>
      <c r="AD314" s="231"/>
      <c r="AE314" s="231"/>
      <c r="AF314" s="231"/>
      <c r="AG314" s="231"/>
      <c r="AH314" s="231"/>
      <c r="AI314" s="231"/>
      <c r="AJ314" s="231"/>
      <c r="AK314" s="231"/>
    </row>
    <row r="315" spans="1:37" s="203" customFormat="1">
      <c r="A315" s="120">
        <v>5</v>
      </c>
      <c r="B315" s="47" t="s">
        <v>236</v>
      </c>
      <c r="C315" s="47"/>
      <c r="D315" s="186"/>
      <c r="E315" s="114">
        <v>2098</v>
      </c>
      <c r="F315" s="52">
        <v>2098</v>
      </c>
      <c r="G315" s="187"/>
      <c r="H315" s="52">
        <v>2711</v>
      </c>
      <c r="I315" s="21"/>
      <c r="J315" s="231"/>
      <c r="K315" s="231"/>
      <c r="L315" s="231"/>
      <c r="M315" s="231"/>
      <c r="N315" s="231"/>
      <c r="O315" s="231"/>
      <c r="P315" s="231"/>
      <c r="Q315" s="231"/>
      <c r="R315" s="231"/>
      <c r="S315" s="231"/>
      <c r="T315" s="231"/>
      <c r="U315" s="231"/>
      <c r="V315" s="231"/>
      <c r="W315" s="231"/>
      <c r="X315" s="231"/>
      <c r="Y315" s="231"/>
      <c r="Z315" s="231"/>
      <c r="AA315" s="231"/>
      <c r="AB315" s="231"/>
      <c r="AC315" s="231"/>
      <c r="AD315" s="231"/>
      <c r="AE315" s="231"/>
      <c r="AF315" s="231"/>
      <c r="AG315" s="231"/>
      <c r="AH315" s="231"/>
      <c r="AI315" s="231"/>
      <c r="AJ315" s="231"/>
      <c r="AK315" s="231"/>
    </row>
    <row r="316" spans="1:37" s="203" customFormat="1">
      <c r="A316" s="120">
        <v>6</v>
      </c>
      <c r="B316" s="47" t="s">
        <v>237</v>
      </c>
      <c r="C316" s="47"/>
      <c r="D316" s="186"/>
      <c r="E316" s="114">
        <v>14249</v>
      </c>
      <c r="F316" s="52">
        <v>14045</v>
      </c>
      <c r="G316" s="43"/>
      <c r="H316" s="52">
        <v>14459</v>
      </c>
      <c r="I316" s="21"/>
      <c r="J316" s="231"/>
      <c r="K316" s="231"/>
      <c r="L316" s="231"/>
      <c r="M316" s="231"/>
      <c r="N316" s="231"/>
      <c r="O316" s="231"/>
      <c r="P316" s="231"/>
      <c r="Q316" s="231"/>
      <c r="R316" s="231"/>
      <c r="S316" s="231"/>
      <c r="T316" s="231"/>
      <c r="U316" s="231"/>
      <c r="V316" s="231"/>
      <c r="W316" s="231"/>
      <c r="X316" s="231"/>
      <c r="Y316" s="231"/>
      <c r="Z316" s="231"/>
      <c r="AA316" s="231"/>
      <c r="AB316" s="231"/>
      <c r="AC316" s="231"/>
      <c r="AD316" s="231"/>
      <c r="AE316" s="231"/>
      <c r="AF316" s="231"/>
      <c r="AG316" s="231"/>
      <c r="AH316" s="231"/>
      <c r="AI316" s="231"/>
      <c r="AJ316" s="231"/>
      <c r="AK316" s="231"/>
    </row>
    <row r="317" spans="1:37" s="203" customFormat="1">
      <c r="A317" s="120">
        <v>7</v>
      </c>
      <c r="B317" s="47" t="s">
        <v>238</v>
      </c>
      <c r="C317" s="47"/>
      <c r="D317" s="186"/>
      <c r="E317" s="114">
        <v>0</v>
      </c>
      <c r="F317" s="52"/>
      <c r="G317" s="43"/>
      <c r="H317" s="52"/>
      <c r="I317" s="21"/>
      <c r="J317" s="231"/>
      <c r="K317" s="231"/>
      <c r="L317" s="231"/>
      <c r="M317" s="231"/>
      <c r="N317" s="231"/>
      <c r="O317" s="231"/>
      <c r="P317" s="231"/>
      <c r="Q317" s="231"/>
      <c r="R317" s="231"/>
      <c r="S317" s="231"/>
      <c r="T317" s="231"/>
      <c r="U317" s="231"/>
      <c r="V317" s="231"/>
      <c r="W317" s="231"/>
      <c r="X317" s="231"/>
      <c r="Y317" s="231"/>
      <c r="Z317" s="231"/>
      <c r="AA317" s="231"/>
      <c r="AB317" s="231"/>
      <c r="AC317" s="231"/>
      <c r="AD317" s="231"/>
      <c r="AE317" s="231"/>
      <c r="AF317" s="231"/>
      <c r="AG317" s="231"/>
      <c r="AH317" s="231"/>
      <c r="AI317" s="231"/>
      <c r="AJ317" s="231"/>
      <c r="AK317" s="231"/>
    </row>
    <row r="318" spans="1:37" s="203" customFormat="1">
      <c r="A318" s="120">
        <v>8</v>
      </c>
      <c r="B318" s="47" t="s">
        <v>239</v>
      </c>
      <c r="C318" s="47"/>
      <c r="D318" s="186"/>
      <c r="E318" s="114">
        <v>123</v>
      </c>
      <c r="F318" s="52">
        <v>129</v>
      </c>
      <c r="G318" s="43"/>
      <c r="H318" s="52">
        <v>43</v>
      </c>
      <c r="I318" s="21"/>
      <c r="J318" s="231"/>
      <c r="K318" s="231"/>
      <c r="L318" s="231"/>
      <c r="M318" s="231"/>
      <c r="N318" s="231"/>
      <c r="O318" s="231"/>
      <c r="P318" s="231"/>
      <c r="Q318" s="231"/>
      <c r="R318" s="231"/>
      <c r="S318" s="231"/>
      <c r="T318" s="231"/>
      <c r="U318" s="231"/>
      <c r="V318" s="231"/>
      <c r="W318" s="231"/>
      <c r="X318" s="231"/>
      <c r="Y318" s="231"/>
      <c r="Z318" s="231"/>
      <c r="AA318" s="231"/>
      <c r="AB318" s="231"/>
      <c r="AC318" s="231"/>
      <c r="AD318" s="231"/>
      <c r="AE318" s="231"/>
      <c r="AF318" s="231"/>
      <c r="AG318" s="231"/>
      <c r="AH318" s="231"/>
      <c r="AI318" s="231"/>
      <c r="AJ318" s="231"/>
      <c r="AK318" s="231"/>
    </row>
    <row r="319" spans="1:37" s="203" customFormat="1">
      <c r="A319" s="707">
        <v>9</v>
      </c>
      <c r="B319" s="90" t="s">
        <v>260</v>
      </c>
      <c r="C319" s="47"/>
      <c r="D319" s="47"/>
      <c r="E319" s="114">
        <v>0</v>
      </c>
      <c r="F319" s="188"/>
      <c r="G319" s="43"/>
      <c r="H319" s="189"/>
      <c r="I319" s="21"/>
      <c r="J319" s="231"/>
      <c r="K319" s="231"/>
      <c r="L319" s="231"/>
      <c r="M319" s="231"/>
      <c r="N319" s="231"/>
      <c r="O319" s="231"/>
      <c r="P319" s="231"/>
      <c r="Q319" s="231"/>
      <c r="R319" s="231"/>
      <c r="S319" s="231"/>
      <c r="T319" s="231"/>
      <c r="U319" s="231"/>
      <c r="V319" s="231"/>
      <c r="W319" s="231"/>
      <c r="X319" s="231"/>
      <c r="Y319" s="231"/>
      <c r="Z319" s="231"/>
      <c r="AA319" s="231"/>
      <c r="AB319" s="231"/>
      <c r="AC319" s="231"/>
      <c r="AD319" s="231"/>
      <c r="AE319" s="231"/>
      <c r="AF319" s="231"/>
      <c r="AG319" s="231"/>
      <c r="AH319" s="231"/>
      <c r="AI319" s="231"/>
      <c r="AJ319" s="231"/>
      <c r="AK319" s="231"/>
    </row>
    <row r="320" spans="1:37" s="203" customFormat="1">
      <c r="A320" s="124">
        <v>10</v>
      </c>
      <c r="B320" s="94" t="s">
        <v>62</v>
      </c>
      <c r="C320" s="94"/>
      <c r="D320" s="94"/>
      <c r="E320" s="159">
        <v>24964</v>
      </c>
      <c r="F320" s="61">
        <f>F311+F312+F313+F314+F315+F316+F317+F318</f>
        <v>24923</v>
      </c>
      <c r="G320" s="118"/>
      <c r="H320" s="61">
        <f>H311+H312+H313+H314+H315+H316+H317+H318+H319</f>
        <v>26752</v>
      </c>
      <c r="I320" s="183"/>
      <c r="J320" s="231"/>
      <c r="K320" s="231"/>
      <c r="L320" s="231"/>
      <c r="M320" s="231"/>
      <c r="N320" s="231"/>
      <c r="O320" s="231"/>
      <c r="P320" s="231"/>
      <c r="Q320" s="231"/>
      <c r="R320" s="231"/>
      <c r="S320" s="231"/>
      <c r="T320" s="231"/>
      <c r="U320" s="231"/>
      <c r="V320" s="231"/>
      <c r="W320" s="231"/>
      <c r="X320" s="231"/>
      <c r="Y320" s="231"/>
      <c r="Z320" s="231"/>
      <c r="AA320" s="231"/>
      <c r="AB320" s="231"/>
      <c r="AC320" s="231"/>
      <c r="AD320" s="231"/>
      <c r="AE320" s="231"/>
      <c r="AF320" s="231"/>
      <c r="AG320" s="231"/>
      <c r="AH320" s="231"/>
      <c r="AI320" s="231"/>
      <c r="AJ320" s="231"/>
      <c r="AK320" s="231"/>
    </row>
    <row r="321" spans="1:37" s="203" customFormat="1">
      <c r="A321" s="179"/>
      <c r="B321" s="180"/>
      <c r="C321" s="180"/>
      <c r="D321" s="180"/>
      <c r="E321" s="180"/>
      <c r="F321" s="183"/>
      <c r="G321" s="21"/>
      <c r="H321" s="183"/>
      <c r="I321" s="183"/>
      <c r="J321" s="231"/>
      <c r="K321" s="231"/>
      <c r="L321" s="231"/>
      <c r="M321" s="231"/>
      <c r="N321" s="231"/>
      <c r="O321" s="231"/>
      <c r="P321" s="231"/>
      <c r="Q321" s="231"/>
      <c r="R321" s="231"/>
      <c r="S321" s="231"/>
      <c r="T321" s="231"/>
      <c r="U321" s="231"/>
      <c r="V321" s="231"/>
      <c r="W321" s="231"/>
      <c r="X321" s="231"/>
      <c r="Y321" s="231"/>
      <c r="Z321" s="231"/>
      <c r="AA321" s="231"/>
      <c r="AB321" s="231"/>
      <c r="AC321" s="231"/>
      <c r="AD321" s="231"/>
      <c r="AE321" s="231"/>
      <c r="AF321" s="231"/>
      <c r="AG321" s="231"/>
      <c r="AH321" s="231"/>
      <c r="AI321" s="231"/>
      <c r="AJ321" s="231"/>
      <c r="AK321" s="231"/>
    </row>
    <row r="322" spans="1:37" s="203" customFormat="1">
      <c r="A322" s="148"/>
      <c r="B322" s="207"/>
      <c r="C322" s="207"/>
      <c r="D322" s="29"/>
      <c r="E322" s="29"/>
      <c r="F322" s="29"/>
      <c r="G322" s="29"/>
      <c r="H322" s="31" t="s">
        <v>27</v>
      </c>
      <c r="I322" s="2"/>
      <c r="J322" s="231"/>
      <c r="K322" s="231"/>
      <c r="L322" s="231"/>
      <c r="M322" s="231"/>
      <c r="N322" s="231"/>
      <c r="O322" s="231"/>
      <c r="P322" s="231"/>
      <c r="Q322" s="231"/>
      <c r="R322" s="231"/>
      <c r="S322" s="231"/>
      <c r="T322" s="231"/>
      <c r="U322" s="231"/>
      <c r="V322" s="231"/>
      <c r="W322" s="231"/>
      <c r="X322" s="231"/>
      <c r="Y322" s="231"/>
      <c r="Z322" s="231"/>
      <c r="AA322" s="231"/>
      <c r="AB322" s="231"/>
      <c r="AC322" s="231"/>
      <c r="AD322" s="231"/>
      <c r="AE322" s="231"/>
      <c r="AF322" s="231"/>
      <c r="AG322" s="231"/>
      <c r="AH322" s="231"/>
      <c r="AI322" s="231"/>
      <c r="AJ322" s="231"/>
      <c r="AK322" s="231"/>
    </row>
    <row r="323" spans="1:37" s="203" customFormat="1">
      <c r="A323" s="190" t="s">
        <v>240</v>
      </c>
      <c r="B323" s="263"/>
      <c r="C323" s="861" t="s">
        <v>405</v>
      </c>
      <c r="D323" s="862"/>
      <c r="E323" s="862"/>
      <c r="F323" s="862"/>
      <c r="G323" s="862"/>
      <c r="H323" s="863"/>
      <c r="I323" s="210"/>
      <c r="J323" s="231"/>
      <c r="K323" s="231"/>
      <c r="L323" s="231"/>
      <c r="M323" s="231"/>
      <c r="N323" s="231"/>
      <c r="O323" s="231"/>
      <c r="P323" s="231"/>
      <c r="Q323" s="231"/>
      <c r="R323" s="231"/>
      <c r="S323" s="231"/>
      <c r="T323" s="231"/>
      <c r="U323" s="231"/>
      <c r="V323" s="231"/>
      <c r="W323" s="231"/>
      <c r="X323" s="231"/>
      <c r="Y323" s="231"/>
      <c r="Z323" s="231"/>
      <c r="AA323" s="231"/>
      <c r="AB323" s="231"/>
      <c r="AC323" s="231"/>
      <c r="AD323" s="231"/>
      <c r="AE323" s="231"/>
      <c r="AF323" s="231"/>
      <c r="AG323" s="231"/>
      <c r="AH323" s="231"/>
      <c r="AI323" s="231"/>
      <c r="AJ323" s="231"/>
      <c r="AK323" s="231"/>
    </row>
    <row r="324" spans="1:37" s="203" customFormat="1" ht="39" thickBot="1">
      <c r="A324" s="110" t="s">
        <v>84</v>
      </c>
      <c r="B324" s="116"/>
      <c r="C324" s="35" t="s">
        <v>52</v>
      </c>
      <c r="D324" s="35" t="s">
        <v>53</v>
      </c>
      <c r="E324" s="37" t="s">
        <v>54</v>
      </c>
      <c r="F324" s="37" t="s">
        <v>55</v>
      </c>
      <c r="G324" s="37" t="s">
        <v>241</v>
      </c>
      <c r="H324" s="35" t="s">
        <v>121</v>
      </c>
      <c r="I324" s="29"/>
      <c r="J324" s="231"/>
      <c r="K324" s="231"/>
      <c r="L324" s="231"/>
      <c r="M324" s="231"/>
      <c r="N324" s="231"/>
      <c r="O324" s="231"/>
      <c r="P324" s="231"/>
      <c r="Q324" s="231"/>
      <c r="R324" s="231"/>
      <c r="S324" s="231"/>
      <c r="T324" s="231"/>
      <c r="U324" s="231"/>
      <c r="V324" s="231"/>
      <c r="W324" s="231"/>
      <c r="X324" s="231"/>
      <c r="Y324" s="231"/>
      <c r="Z324" s="231"/>
      <c r="AA324" s="231"/>
      <c r="AB324" s="231"/>
      <c r="AC324" s="231"/>
      <c r="AD324" s="231"/>
      <c r="AE324" s="231"/>
      <c r="AF324" s="231"/>
      <c r="AG324" s="231"/>
      <c r="AH324" s="231"/>
      <c r="AI324" s="231"/>
      <c r="AJ324" s="231"/>
      <c r="AK324" s="231"/>
    </row>
    <row r="325" spans="1:37" s="203" customFormat="1" ht="13.5" thickBot="1">
      <c r="A325" s="707">
        <v>1</v>
      </c>
      <c r="B325" s="116" t="s">
        <v>242</v>
      </c>
      <c r="C325" s="193">
        <f t="shared" ref="C325:H325" si="0">SUM(C326:C329)</f>
        <v>15240</v>
      </c>
      <c r="D325" s="193">
        <f t="shared" si="0"/>
        <v>0</v>
      </c>
      <c r="E325" s="193">
        <v>0</v>
      </c>
      <c r="F325" s="193">
        <f t="shared" si="0"/>
        <v>0</v>
      </c>
      <c r="G325" s="193">
        <f>SUM(G326:G329)</f>
        <v>0</v>
      </c>
      <c r="H325" s="193">
        <f t="shared" si="0"/>
        <v>0</v>
      </c>
      <c r="I325" s="207"/>
      <c r="J325" s="231"/>
      <c r="K325" s="231"/>
      <c r="L325" s="231"/>
      <c r="M325" s="231"/>
      <c r="N325" s="231"/>
      <c r="O325" s="231"/>
      <c r="P325" s="231"/>
      <c r="Q325" s="231"/>
      <c r="R325" s="231"/>
      <c r="S325" s="231"/>
      <c r="T325" s="231"/>
      <c r="U325" s="231"/>
      <c r="V325" s="231"/>
      <c r="W325" s="231"/>
      <c r="X325" s="231"/>
      <c r="Y325" s="231"/>
      <c r="Z325" s="231"/>
      <c r="AA325" s="231"/>
      <c r="AB325" s="231"/>
      <c r="AC325" s="231"/>
      <c r="AD325" s="231"/>
      <c r="AE325" s="231"/>
      <c r="AF325" s="231"/>
      <c r="AG325" s="231"/>
      <c r="AH325" s="231"/>
      <c r="AI325" s="231"/>
      <c r="AJ325" s="231"/>
      <c r="AK325" s="231"/>
    </row>
    <row r="326" spans="1:37" s="203" customFormat="1">
      <c r="A326" s="707">
        <v>2</v>
      </c>
      <c r="B326" s="47" t="s">
        <v>243</v>
      </c>
      <c r="C326" s="169">
        <v>5700</v>
      </c>
      <c r="D326" s="169"/>
      <c r="E326" s="169"/>
      <c r="F326" s="169"/>
      <c r="G326" s="169"/>
      <c r="H326" s="169"/>
      <c r="I326" s="207"/>
      <c r="J326" s="231"/>
      <c r="K326" s="231"/>
      <c r="L326" s="231"/>
      <c r="M326" s="231"/>
      <c r="N326" s="231"/>
      <c r="O326" s="231"/>
      <c r="P326" s="231"/>
      <c r="Q326" s="231"/>
      <c r="R326" s="231"/>
      <c r="S326" s="231"/>
      <c r="T326" s="231"/>
      <c r="U326" s="231"/>
      <c r="V326" s="231"/>
      <c r="W326" s="231"/>
      <c r="X326" s="231"/>
      <c r="Y326" s="231"/>
      <c r="Z326" s="231"/>
      <c r="AA326" s="231"/>
      <c r="AB326" s="231"/>
      <c r="AC326" s="231"/>
      <c r="AD326" s="231"/>
      <c r="AE326" s="231"/>
      <c r="AF326" s="231"/>
      <c r="AG326" s="231"/>
      <c r="AH326" s="231"/>
      <c r="AI326" s="231"/>
      <c r="AJ326" s="231"/>
      <c r="AK326" s="231"/>
    </row>
    <row r="327" spans="1:37" s="203" customFormat="1">
      <c r="A327" s="707">
        <v>3</v>
      </c>
      <c r="B327" s="47" t="s">
        <v>244</v>
      </c>
      <c r="C327" s="99">
        <v>7442</v>
      </c>
      <c r="D327" s="99"/>
      <c r="E327" s="99"/>
      <c r="F327" s="99"/>
      <c r="G327" s="99"/>
      <c r="H327" s="99"/>
      <c r="I327" s="207"/>
      <c r="J327" s="231"/>
      <c r="K327" s="231"/>
      <c r="L327" s="231"/>
      <c r="M327" s="231"/>
      <c r="N327" s="231"/>
      <c r="O327" s="231"/>
      <c r="P327" s="231"/>
      <c r="Q327" s="231"/>
      <c r="R327" s="231"/>
      <c r="S327" s="231"/>
      <c r="T327" s="231"/>
      <c r="U327" s="231"/>
      <c r="V327" s="231"/>
      <c r="W327" s="231"/>
      <c r="X327" s="231"/>
      <c r="Y327" s="231"/>
      <c r="Z327" s="231"/>
      <c r="AA327" s="231"/>
      <c r="AB327" s="231"/>
      <c r="AC327" s="231"/>
      <c r="AD327" s="231"/>
      <c r="AE327" s="231"/>
      <c r="AF327" s="231"/>
      <c r="AG327" s="231"/>
      <c r="AH327" s="231"/>
      <c r="AI327" s="231"/>
      <c r="AJ327" s="231"/>
      <c r="AK327" s="231"/>
    </row>
    <row r="328" spans="1:37" s="203" customFormat="1">
      <c r="A328" s="707">
        <v>4</v>
      </c>
      <c r="B328" s="47" t="s">
        <v>245</v>
      </c>
      <c r="C328" s="99">
        <v>2098</v>
      </c>
      <c r="D328" s="99"/>
      <c r="E328" s="99"/>
      <c r="F328" s="99"/>
      <c r="G328" s="99"/>
      <c r="H328" s="99"/>
      <c r="I328" s="207"/>
      <c r="J328" s="231"/>
      <c r="K328" s="231"/>
      <c r="L328" s="231"/>
      <c r="M328" s="231"/>
      <c r="N328" s="231"/>
      <c r="O328" s="231"/>
      <c r="P328" s="231"/>
      <c r="Q328" s="231"/>
      <c r="R328" s="231"/>
      <c r="S328" s="231"/>
      <c r="T328" s="231"/>
      <c r="U328" s="231"/>
      <c r="V328" s="231"/>
      <c r="W328" s="231"/>
      <c r="X328" s="231"/>
      <c r="Y328" s="231"/>
      <c r="Z328" s="231"/>
      <c r="AA328" s="231"/>
      <c r="AB328" s="231"/>
      <c r="AC328" s="231"/>
      <c r="AD328" s="231"/>
      <c r="AE328" s="231"/>
      <c r="AF328" s="231"/>
      <c r="AG328" s="231"/>
      <c r="AH328" s="231"/>
      <c r="AI328" s="231"/>
      <c r="AJ328" s="231"/>
      <c r="AK328" s="231"/>
    </row>
    <row r="329" spans="1:37" s="203" customFormat="1">
      <c r="A329" s="708">
        <v>5</v>
      </c>
      <c r="B329" s="54" t="s">
        <v>246</v>
      </c>
      <c r="C329" s="100"/>
      <c r="D329" s="100"/>
      <c r="E329" s="100"/>
      <c r="F329" s="100"/>
      <c r="G329" s="100"/>
      <c r="H329" s="100"/>
      <c r="I329" s="207"/>
      <c r="J329" s="231"/>
      <c r="K329" s="231"/>
      <c r="L329" s="231"/>
      <c r="M329" s="231"/>
      <c r="N329" s="231"/>
      <c r="O329" s="231"/>
      <c r="P329" s="231"/>
      <c r="Q329" s="231"/>
      <c r="R329" s="231"/>
      <c r="S329" s="231"/>
      <c r="T329" s="231"/>
      <c r="U329" s="231"/>
      <c r="V329" s="231"/>
      <c r="W329" s="231"/>
      <c r="X329" s="231"/>
      <c r="Y329" s="231"/>
      <c r="Z329" s="231"/>
      <c r="AA329" s="231"/>
      <c r="AB329" s="231"/>
      <c r="AC329" s="231"/>
      <c r="AD329" s="231"/>
      <c r="AE329" s="231"/>
      <c r="AF329" s="231"/>
      <c r="AG329" s="231"/>
      <c r="AH329" s="231"/>
      <c r="AI329" s="231"/>
      <c r="AJ329" s="231"/>
      <c r="AK329" s="231"/>
    </row>
    <row r="330" spans="1:37" s="203" customFormat="1">
      <c r="A330" s="707"/>
      <c r="B330" s="47"/>
      <c r="C330" s="864" t="s">
        <v>404</v>
      </c>
      <c r="D330" s="865"/>
      <c r="E330" s="865"/>
      <c r="F330" s="865"/>
      <c r="G330" s="865"/>
      <c r="H330" s="866"/>
      <c r="I330" s="207"/>
      <c r="J330" s="231"/>
      <c r="K330" s="231"/>
      <c r="L330" s="231"/>
      <c r="M330" s="231"/>
      <c r="N330" s="231"/>
      <c r="O330" s="231"/>
      <c r="P330" s="231"/>
      <c r="Q330" s="231"/>
      <c r="R330" s="231"/>
      <c r="S330" s="231"/>
      <c r="T330" s="231"/>
      <c r="U330" s="231"/>
      <c r="V330" s="231"/>
      <c r="W330" s="231"/>
      <c r="X330" s="231"/>
      <c r="Y330" s="231"/>
      <c r="Z330" s="231"/>
      <c r="AA330" s="231"/>
      <c r="AB330" s="231"/>
      <c r="AC330" s="231"/>
      <c r="AD330" s="231"/>
      <c r="AE330" s="231"/>
      <c r="AF330" s="231"/>
      <c r="AG330" s="231"/>
      <c r="AH330" s="231"/>
      <c r="AI330" s="231"/>
      <c r="AJ330" s="231"/>
      <c r="AK330" s="231"/>
    </row>
    <row r="331" spans="1:37" s="203" customFormat="1" ht="39" thickBot="1">
      <c r="A331" s="110" t="s">
        <v>84</v>
      </c>
      <c r="B331" s="116"/>
      <c r="C331" s="35" t="s">
        <v>52</v>
      </c>
      <c r="D331" s="35" t="s">
        <v>53</v>
      </c>
      <c r="E331" s="37" t="s">
        <v>54</v>
      </c>
      <c r="F331" s="37" t="s">
        <v>55</v>
      </c>
      <c r="G331" s="37" t="s">
        <v>241</v>
      </c>
      <c r="H331" s="35" t="s">
        <v>121</v>
      </c>
      <c r="I331" s="207"/>
      <c r="J331" s="231"/>
      <c r="K331" s="231"/>
      <c r="L331" s="231"/>
      <c r="M331" s="231"/>
      <c r="N331" s="231"/>
      <c r="O331" s="231"/>
      <c r="P331" s="231"/>
      <c r="Q331" s="231"/>
      <c r="R331" s="231"/>
      <c r="S331" s="231"/>
      <c r="T331" s="231"/>
      <c r="U331" s="231"/>
      <c r="V331" s="231"/>
      <c r="W331" s="231"/>
      <c r="X331" s="231"/>
      <c r="Y331" s="231"/>
      <c r="Z331" s="231"/>
      <c r="AA331" s="231"/>
      <c r="AB331" s="231"/>
      <c r="AC331" s="231"/>
      <c r="AD331" s="231"/>
      <c r="AE331" s="231"/>
      <c r="AF331" s="231"/>
      <c r="AG331" s="231"/>
      <c r="AH331" s="231"/>
      <c r="AI331" s="231"/>
      <c r="AJ331" s="231"/>
      <c r="AK331" s="231"/>
    </row>
    <row r="332" spans="1:37" s="203" customFormat="1" ht="13.5" thickBot="1">
      <c r="A332" s="707">
        <v>1</v>
      </c>
      <c r="B332" s="116" t="s">
        <v>242</v>
      </c>
      <c r="C332" s="193">
        <f t="shared" ref="C332:H332" si="1">SUM(C333:C336)</f>
        <v>15545</v>
      </c>
      <c r="D332" s="193">
        <f t="shared" si="1"/>
        <v>0</v>
      </c>
      <c r="E332" s="193">
        <v>0</v>
      </c>
      <c r="F332" s="193">
        <f t="shared" si="1"/>
        <v>0</v>
      </c>
      <c r="G332" s="193">
        <f>SUM(G333:G336)</f>
        <v>0</v>
      </c>
      <c r="H332" s="193">
        <f t="shared" si="1"/>
        <v>0</v>
      </c>
      <c r="I332" s="207"/>
      <c r="J332" s="231"/>
      <c r="K332" s="231"/>
      <c r="L332" s="231"/>
      <c r="M332" s="231"/>
      <c r="N332" s="231"/>
      <c r="O332" s="231"/>
      <c r="P332" s="231"/>
      <c r="Q332" s="231"/>
      <c r="R332" s="231"/>
      <c r="S332" s="231"/>
      <c r="T332" s="231"/>
      <c r="U332" s="231"/>
      <c r="V332" s="231"/>
      <c r="W332" s="231"/>
      <c r="X332" s="231"/>
      <c r="Y332" s="231"/>
      <c r="Z332" s="231"/>
      <c r="AA332" s="231"/>
      <c r="AB332" s="231"/>
      <c r="AC332" s="231"/>
      <c r="AD332" s="231"/>
      <c r="AE332" s="231"/>
      <c r="AF332" s="231"/>
      <c r="AG332" s="231"/>
      <c r="AH332" s="231"/>
      <c r="AI332" s="231"/>
      <c r="AJ332" s="231"/>
      <c r="AK332" s="231"/>
    </row>
    <row r="333" spans="1:37" s="203" customFormat="1">
      <c r="A333" s="707">
        <v>2</v>
      </c>
      <c r="B333" s="47" t="s">
        <v>243</v>
      </c>
      <c r="C333" s="169">
        <v>5268</v>
      </c>
      <c r="D333" s="169"/>
      <c r="E333" s="169"/>
      <c r="F333" s="169"/>
      <c r="G333" s="169"/>
      <c r="H333" s="169"/>
      <c r="I333" s="207"/>
      <c r="J333" s="231"/>
      <c r="K333" s="231"/>
      <c r="L333" s="231"/>
      <c r="M333" s="231"/>
      <c r="N333" s="231"/>
      <c r="O333" s="231"/>
      <c r="P333" s="231"/>
      <c r="Q333" s="231"/>
      <c r="R333" s="231"/>
      <c r="S333" s="231"/>
      <c r="T333" s="231"/>
      <c r="U333" s="231"/>
      <c r="V333" s="231"/>
      <c r="W333" s="231"/>
      <c r="X333" s="231"/>
      <c r="Y333" s="231"/>
      <c r="Z333" s="231"/>
      <c r="AA333" s="231"/>
      <c r="AB333" s="231"/>
      <c r="AC333" s="231"/>
      <c r="AD333" s="231"/>
      <c r="AE333" s="231"/>
      <c r="AF333" s="231"/>
      <c r="AG333" s="231"/>
      <c r="AH333" s="231"/>
      <c r="AI333" s="231"/>
      <c r="AJ333" s="231"/>
      <c r="AK333" s="231"/>
    </row>
    <row r="334" spans="1:37" s="203" customFormat="1">
      <c r="A334" s="707">
        <v>3</v>
      </c>
      <c r="B334" s="47" t="s">
        <v>244</v>
      </c>
      <c r="C334" s="99">
        <v>7566</v>
      </c>
      <c r="D334" s="99"/>
      <c r="E334" s="99"/>
      <c r="F334" s="99"/>
      <c r="G334" s="99"/>
      <c r="H334" s="99"/>
      <c r="I334" s="207"/>
      <c r="J334" s="231"/>
      <c r="K334" s="231"/>
      <c r="L334" s="231"/>
      <c r="M334" s="231"/>
      <c r="N334" s="231"/>
      <c r="O334" s="231"/>
      <c r="P334" s="231"/>
      <c r="Q334" s="231"/>
      <c r="R334" s="231"/>
      <c r="S334" s="231"/>
      <c r="T334" s="231"/>
      <c r="U334" s="231"/>
      <c r="V334" s="231"/>
      <c r="W334" s="231"/>
      <c r="X334" s="231"/>
      <c r="Y334" s="231"/>
      <c r="Z334" s="231"/>
      <c r="AA334" s="231"/>
      <c r="AB334" s="231"/>
      <c r="AC334" s="231"/>
      <c r="AD334" s="231"/>
      <c r="AE334" s="231"/>
      <c r="AF334" s="231"/>
      <c r="AG334" s="231"/>
      <c r="AH334" s="231"/>
      <c r="AI334" s="231"/>
      <c r="AJ334" s="231"/>
      <c r="AK334" s="231"/>
    </row>
    <row r="335" spans="1:37" s="203" customFormat="1">
      <c r="A335" s="707">
        <v>4</v>
      </c>
      <c r="B335" s="47" t="s">
        <v>245</v>
      </c>
      <c r="C335" s="99">
        <v>2711</v>
      </c>
      <c r="D335" s="99"/>
      <c r="E335" s="99"/>
      <c r="F335" s="99"/>
      <c r="G335" s="99"/>
      <c r="H335" s="99"/>
      <c r="I335" s="207"/>
      <c r="J335" s="231"/>
      <c r="K335" s="231"/>
      <c r="L335" s="231"/>
      <c r="M335" s="231"/>
      <c r="N335" s="231"/>
      <c r="O335" s="231"/>
      <c r="P335" s="231"/>
      <c r="Q335" s="231"/>
      <c r="R335" s="231"/>
      <c r="S335" s="231"/>
      <c r="T335" s="231"/>
      <c r="U335" s="231"/>
      <c r="V335" s="231"/>
      <c r="W335" s="231"/>
      <c r="X335" s="231"/>
      <c r="Y335" s="231"/>
      <c r="Z335" s="231"/>
      <c r="AA335" s="231"/>
      <c r="AB335" s="231"/>
      <c r="AC335" s="231"/>
      <c r="AD335" s="231"/>
      <c r="AE335" s="231"/>
      <c r="AF335" s="231"/>
      <c r="AG335" s="231"/>
      <c r="AH335" s="231"/>
      <c r="AI335" s="231"/>
      <c r="AJ335" s="231"/>
      <c r="AK335" s="231"/>
    </row>
    <row r="336" spans="1:37" s="203" customFormat="1">
      <c r="A336" s="708">
        <v>5</v>
      </c>
      <c r="B336" s="54" t="s">
        <v>246</v>
      </c>
      <c r="C336" s="100"/>
      <c r="D336" s="100"/>
      <c r="E336" s="100"/>
      <c r="F336" s="100"/>
      <c r="G336" s="100"/>
      <c r="H336" s="100"/>
      <c r="I336" s="207"/>
      <c r="J336" s="231"/>
      <c r="K336" s="231"/>
      <c r="L336" s="231"/>
      <c r="M336" s="231"/>
      <c r="N336" s="231"/>
      <c r="O336" s="231"/>
      <c r="P336" s="231"/>
      <c r="Q336" s="231"/>
      <c r="R336" s="231"/>
      <c r="S336" s="231"/>
      <c r="T336" s="231"/>
      <c r="U336" s="231"/>
      <c r="V336" s="231"/>
      <c r="W336" s="231"/>
      <c r="X336" s="231"/>
      <c r="Y336" s="231"/>
      <c r="Z336" s="231"/>
      <c r="AA336" s="231"/>
      <c r="AB336" s="231"/>
      <c r="AC336" s="231"/>
      <c r="AD336" s="231"/>
      <c r="AE336" s="231"/>
      <c r="AF336" s="231"/>
      <c r="AG336" s="231"/>
      <c r="AH336" s="231"/>
      <c r="AI336" s="231"/>
      <c r="AJ336" s="231"/>
      <c r="AK336" s="231"/>
    </row>
    <row r="337" spans="1:37" s="203" customFormat="1">
      <c r="A337" s="23"/>
      <c r="B337" s="207"/>
      <c r="C337" s="207"/>
      <c r="D337" s="207"/>
      <c r="E337" s="207"/>
      <c r="F337" s="207"/>
      <c r="G337" s="207"/>
      <c r="H337" s="21"/>
      <c r="I337" s="21"/>
      <c r="J337" s="231"/>
      <c r="K337" s="231"/>
      <c r="L337" s="231"/>
      <c r="M337" s="231"/>
      <c r="N337" s="231"/>
      <c r="O337" s="231"/>
      <c r="P337" s="231"/>
      <c r="Q337" s="231"/>
      <c r="R337" s="231"/>
      <c r="S337" s="231"/>
      <c r="T337" s="231"/>
      <c r="U337" s="231"/>
      <c r="V337" s="231"/>
      <c r="W337" s="231"/>
      <c r="X337" s="231"/>
      <c r="Y337" s="231"/>
      <c r="Z337" s="231"/>
      <c r="AA337" s="231"/>
      <c r="AB337" s="231"/>
      <c r="AC337" s="231"/>
      <c r="AD337" s="231"/>
      <c r="AE337" s="231"/>
      <c r="AF337" s="231"/>
      <c r="AG337" s="231"/>
      <c r="AH337" s="231"/>
      <c r="AI337" s="231"/>
      <c r="AJ337" s="231"/>
      <c r="AK337" s="231"/>
    </row>
    <row r="338" spans="1:37" s="203" customFormat="1" ht="12.75" customHeight="1">
      <c r="A338" s="23"/>
      <c r="B338" s="207"/>
      <c r="C338" s="207"/>
      <c r="D338" s="207"/>
      <c r="E338" s="207"/>
      <c r="F338" s="207"/>
      <c r="G338" s="207"/>
      <c r="H338" s="21"/>
      <c r="I338" s="21"/>
      <c r="J338" s="231"/>
      <c r="K338" s="231"/>
      <c r="L338" s="231"/>
      <c r="M338" s="231"/>
      <c r="N338" s="231"/>
      <c r="O338" s="231"/>
      <c r="P338" s="231"/>
      <c r="Q338" s="231"/>
      <c r="R338" s="231"/>
      <c r="S338" s="231"/>
      <c r="T338" s="231"/>
      <c r="U338" s="231"/>
      <c r="V338" s="231"/>
      <c r="W338" s="231"/>
      <c r="X338" s="231"/>
      <c r="Y338" s="231"/>
      <c r="Z338" s="231"/>
      <c r="AA338" s="231"/>
      <c r="AB338" s="231"/>
      <c r="AC338" s="231"/>
      <c r="AD338" s="231"/>
      <c r="AE338" s="231"/>
      <c r="AF338" s="231"/>
      <c r="AG338" s="231"/>
      <c r="AH338" s="231"/>
      <c r="AI338" s="231"/>
      <c r="AJ338" s="231"/>
      <c r="AK338" s="231"/>
    </row>
    <row r="339" spans="1:37" s="203" customFormat="1">
      <c r="A339" s="23"/>
      <c r="B339" s="207"/>
      <c r="C339" s="207"/>
      <c r="D339" s="207"/>
      <c r="E339" s="207"/>
      <c r="F339" s="207"/>
      <c r="G339" s="207"/>
      <c r="H339" s="21"/>
      <c r="I339" s="21"/>
      <c r="J339" s="231"/>
      <c r="K339" s="231"/>
      <c r="L339" s="231"/>
      <c r="M339" s="231"/>
      <c r="N339" s="231"/>
      <c r="O339" s="231"/>
      <c r="P339" s="231"/>
      <c r="Q339" s="231"/>
      <c r="R339" s="231"/>
      <c r="S339" s="231"/>
      <c r="T339" s="231"/>
      <c r="U339" s="231"/>
      <c r="V339" s="231"/>
      <c r="W339" s="231"/>
      <c r="X339" s="231"/>
      <c r="Y339" s="231"/>
      <c r="Z339" s="231"/>
      <c r="AA339" s="231"/>
      <c r="AB339" s="231"/>
      <c r="AC339" s="231"/>
      <c r="AD339" s="231"/>
      <c r="AE339" s="231"/>
      <c r="AF339" s="231"/>
      <c r="AG339" s="231"/>
      <c r="AH339" s="231"/>
      <c r="AI339" s="231"/>
      <c r="AJ339" s="231"/>
      <c r="AK339" s="231"/>
    </row>
    <row r="340" spans="1:37" s="203" customFormat="1">
      <c r="A340" s="23"/>
      <c r="B340" s="207"/>
      <c r="C340" s="207"/>
      <c r="D340" s="207"/>
      <c r="E340" s="207"/>
      <c r="F340" s="207"/>
      <c r="G340" s="207"/>
      <c r="H340" s="131" t="s">
        <v>27</v>
      </c>
      <c r="I340" s="21"/>
      <c r="J340" s="231"/>
      <c r="K340" s="231"/>
      <c r="L340" s="231"/>
      <c r="M340" s="231"/>
      <c r="N340" s="231"/>
      <c r="O340" s="231"/>
      <c r="P340" s="231"/>
      <c r="Q340" s="231"/>
      <c r="R340" s="231"/>
      <c r="S340" s="231"/>
      <c r="T340" s="231"/>
      <c r="U340" s="231"/>
      <c r="V340" s="231"/>
      <c r="W340" s="231"/>
      <c r="X340" s="231"/>
      <c r="Y340" s="231"/>
      <c r="Z340" s="231"/>
      <c r="AA340" s="231"/>
      <c r="AB340" s="231"/>
      <c r="AC340" s="231"/>
      <c r="AD340" s="231"/>
      <c r="AE340" s="231"/>
      <c r="AF340" s="231"/>
      <c r="AG340" s="231"/>
      <c r="AH340" s="231"/>
      <c r="AI340" s="231"/>
      <c r="AJ340" s="231"/>
      <c r="AK340" s="231"/>
    </row>
    <row r="341" spans="1:37" s="203" customFormat="1">
      <c r="A341" s="197"/>
      <c r="B341" s="69"/>
      <c r="C341" s="69"/>
      <c r="D341" s="69"/>
      <c r="E341" s="856" t="s">
        <v>377</v>
      </c>
      <c r="F341" s="853" t="s">
        <v>402</v>
      </c>
      <c r="G341" s="207"/>
      <c r="H341" s="856" t="s">
        <v>403</v>
      </c>
      <c r="I341" s="21"/>
      <c r="J341" s="231"/>
      <c r="K341" s="231"/>
      <c r="L341" s="231"/>
      <c r="M341" s="231"/>
      <c r="N341" s="231"/>
      <c r="O341" s="231"/>
      <c r="P341" s="231"/>
      <c r="Q341" s="231"/>
      <c r="R341" s="231"/>
      <c r="S341" s="231"/>
      <c r="T341" s="231"/>
      <c r="U341" s="231"/>
      <c r="V341" s="231"/>
      <c r="W341" s="231"/>
      <c r="X341" s="231"/>
      <c r="Y341" s="231"/>
      <c r="Z341" s="231"/>
      <c r="AA341" s="231"/>
      <c r="AB341" s="231"/>
      <c r="AC341" s="231"/>
      <c r="AD341" s="231"/>
      <c r="AE341" s="231"/>
      <c r="AF341" s="231"/>
      <c r="AG341" s="231"/>
      <c r="AH341" s="231"/>
      <c r="AI341" s="231"/>
      <c r="AJ341" s="231"/>
      <c r="AK341" s="231"/>
    </row>
    <row r="342" spans="1:37" s="203" customFormat="1">
      <c r="A342" s="144" t="s">
        <v>261</v>
      </c>
      <c r="B342" s="116"/>
      <c r="C342" s="116"/>
      <c r="D342" s="116"/>
      <c r="E342" s="859"/>
      <c r="F342" s="854"/>
      <c r="G342" s="207"/>
      <c r="H342" s="857"/>
      <c r="I342" s="21"/>
      <c r="J342" s="231"/>
      <c r="K342" s="231"/>
      <c r="L342" s="231"/>
      <c r="M342" s="231"/>
      <c r="N342" s="231"/>
      <c r="O342" s="231"/>
      <c r="P342" s="231"/>
      <c r="Q342" s="231"/>
      <c r="R342" s="231"/>
      <c r="S342" s="231"/>
      <c r="T342" s="231"/>
      <c r="U342" s="231"/>
      <c r="V342" s="231"/>
      <c r="W342" s="231"/>
      <c r="X342" s="231"/>
      <c r="Y342" s="231"/>
      <c r="Z342" s="231"/>
      <c r="AA342" s="231"/>
      <c r="AB342" s="231"/>
      <c r="AC342" s="231"/>
      <c r="AD342" s="231"/>
      <c r="AE342" s="231"/>
      <c r="AF342" s="231"/>
      <c r="AG342" s="231"/>
      <c r="AH342" s="231"/>
      <c r="AI342" s="231"/>
      <c r="AJ342" s="231"/>
      <c r="AK342" s="231"/>
    </row>
    <row r="343" spans="1:37" s="203" customFormat="1">
      <c r="A343" s="119"/>
      <c r="B343" s="116"/>
      <c r="C343" s="116"/>
      <c r="D343" s="116"/>
      <c r="E343" s="859"/>
      <c r="F343" s="854"/>
      <c r="G343" s="207"/>
      <c r="H343" s="857"/>
      <c r="I343" s="21"/>
      <c r="J343" s="231"/>
      <c r="K343" s="231"/>
      <c r="L343" s="231"/>
      <c r="M343" s="231"/>
      <c r="N343" s="231"/>
      <c r="O343" s="231"/>
      <c r="P343" s="231"/>
      <c r="Q343" s="231"/>
      <c r="R343" s="231"/>
      <c r="S343" s="231"/>
      <c r="T343" s="231"/>
      <c r="U343" s="231"/>
      <c r="V343" s="231"/>
      <c r="W343" s="231"/>
      <c r="X343" s="231"/>
      <c r="Y343" s="231"/>
      <c r="Z343" s="231"/>
      <c r="AA343" s="231"/>
      <c r="AB343" s="231"/>
      <c r="AC343" s="231"/>
      <c r="AD343" s="231"/>
      <c r="AE343" s="231"/>
      <c r="AF343" s="231"/>
      <c r="AG343" s="231"/>
      <c r="AH343" s="231"/>
      <c r="AI343" s="231"/>
      <c r="AJ343" s="231"/>
      <c r="AK343" s="231"/>
    </row>
    <row r="344" spans="1:37" s="203" customFormat="1">
      <c r="A344" s="198" t="s">
        <v>262</v>
      </c>
      <c r="B344" s="116"/>
      <c r="C344" s="116"/>
      <c r="D344" s="116"/>
      <c r="E344" s="859"/>
      <c r="F344" s="854"/>
      <c r="G344" s="207"/>
      <c r="H344" s="857"/>
      <c r="I344" s="21"/>
      <c r="J344" s="231"/>
      <c r="K344" s="231"/>
      <c r="L344" s="231"/>
      <c r="M344" s="231"/>
      <c r="N344" s="231"/>
      <c r="O344" s="231"/>
      <c r="P344" s="231"/>
      <c r="Q344" s="231"/>
      <c r="R344" s="231"/>
      <c r="S344" s="231"/>
      <c r="T344" s="231"/>
      <c r="U344" s="231"/>
      <c r="V344" s="231"/>
      <c r="W344" s="231"/>
      <c r="X344" s="231"/>
      <c r="Y344" s="231"/>
      <c r="Z344" s="231"/>
      <c r="AA344" s="231"/>
      <c r="AB344" s="231"/>
      <c r="AC344" s="231"/>
      <c r="AD344" s="231"/>
      <c r="AE344" s="231"/>
      <c r="AF344" s="231"/>
      <c r="AG344" s="231"/>
      <c r="AH344" s="231"/>
      <c r="AI344" s="231"/>
      <c r="AJ344" s="231"/>
      <c r="AK344" s="231"/>
    </row>
    <row r="345" spans="1:37" s="203" customFormat="1">
      <c r="A345" s="198" t="s">
        <v>330</v>
      </c>
      <c r="B345" s="116"/>
      <c r="C345" s="116"/>
      <c r="D345" s="116"/>
      <c r="E345" s="860"/>
      <c r="F345" s="855"/>
      <c r="G345" s="207"/>
      <c r="H345" s="858"/>
      <c r="I345" s="21"/>
      <c r="J345" s="231"/>
      <c r="K345" s="231"/>
      <c r="L345" s="231"/>
      <c r="M345" s="231"/>
      <c r="N345" s="231"/>
      <c r="O345" s="231"/>
      <c r="P345" s="231"/>
      <c r="Q345" s="231"/>
      <c r="R345" s="231"/>
      <c r="S345" s="231"/>
      <c r="T345" s="231"/>
      <c r="U345" s="231"/>
      <c r="V345" s="231"/>
      <c r="W345" s="231"/>
      <c r="X345" s="231"/>
      <c r="Y345" s="231"/>
      <c r="Z345" s="231"/>
      <c r="AA345" s="231"/>
      <c r="AB345" s="231"/>
      <c r="AC345" s="231"/>
      <c r="AD345" s="231"/>
      <c r="AE345" s="231"/>
      <c r="AF345" s="231"/>
      <c r="AG345" s="231"/>
      <c r="AH345" s="231"/>
      <c r="AI345" s="231"/>
      <c r="AJ345" s="231"/>
      <c r="AK345" s="231"/>
    </row>
    <row r="346" spans="1:37" s="203" customFormat="1">
      <c r="A346" s="119"/>
      <c r="B346" s="47"/>
      <c r="C346" s="116"/>
      <c r="D346" s="116"/>
      <c r="E346" s="178"/>
      <c r="F346" s="146"/>
      <c r="G346" s="23"/>
      <c r="H346" s="264"/>
      <c r="I346" s="21"/>
      <c r="J346" s="231"/>
      <c r="K346" s="231"/>
      <c r="L346" s="231"/>
      <c r="M346" s="231"/>
      <c r="N346" s="231"/>
      <c r="O346" s="231"/>
      <c r="P346" s="231"/>
      <c r="Q346" s="231"/>
      <c r="R346" s="231"/>
      <c r="S346" s="231"/>
      <c r="T346" s="231"/>
      <c r="U346" s="231"/>
      <c r="V346" s="231"/>
      <c r="W346" s="231"/>
      <c r="X346" s="231"/>
      <c r="Y346" s="231"/>
      <c r="Z346" s="231"/>
      <c r="AA346" s="231"/>
      <c r="AB346" s="231"/>
      <c r="AC346" s="231"/>
      <c r="AD346" s="231"/>
      <c r="AE346" s="231"/>
      <c r="AF346" s="231"/>
      <c r="AG346" s="231"/>
      <c r="AH346" s="231"/>
      <c r="AI346" s="231"/>
      <c r="AJ346" s="231"/>
      <c r="AK346" s="231"/>
    </row>
    <row r="347" spans="1:37" s="203" customFormat="1">
      <c r="A347" s="707">
        <v>1</v>
      </c>
      <c r="B347" s="47" t="s">
        <v>263</v>
      </c>
      <c r="C347" s="116"/>
      <c r="D347" s="116"/>
      <c r="E347" s="354">
        <v>4619</v>
      </c>
      <c r="F347" s="265">
        <v>4619</v>
      </c>
      <c r="G347" s="43"/>
      <c r="H347" s="126">
        <v>4550</v>
      </c>
      <c r="I347" s="86"/>
      <c r="J347" s="231"/>
      <c r="K347" s="231"/>
      <c r="L347" s="231"/>
      <c r="M347" s="231"/>
      <c r="N347" s="231"/>
      <c r="O347" s="231"/>
      <c r="P347" s="231"/>
      <c r="Q347" s="231"/>
      <c r="R347" s="231"/>
      <c r="S347" s="231"/>
      <c r="T347" s="231"/>
      <c r="U347" s="231"/>
      <c r="V347" s="231"/>
      <c r="W347" s="231"/>
      <c r="X347" s="231"/>
      <c r="Y347" s="231"/>
      <c r="Z347" s="231"/>
      <c r="AA347" s="231"/>
      <c r="AB347" s="231"/>
      <c r="AC347" s="231"/>
      <c r="AD347" s="231"/>
      <c r="AE347" s="231"/>
      <c r="AF347" s="231"/>
      <c r="AG347" s="231"/>
      <c r="AH347" s="231"/>
      <c r="AI347" s="231"/>
      <c r="AJ347" s="231"/>
      <c r="AK347" s="231"/>
    </row>
    <row r="348" spans="1:37" s="203" customFormat="1">
      <c r="A348" s="707"/>
      <c r="B348" s="47"/>
      <c r="C348" s="116"/>
      <c r="D348" s="116"/>
      <c r="E348" s="355"/>
      <c r="F348" s="188"/>
      <c r="G348" s="43"/>
      <c r="H348" s="188"/>
      <c r="I348" s="86"/>
      <c r="J348" s="231"/>
      <c r="K348" s="231"/>
      <c r="L348" s="231"/>
      <c r="M348" s="231"/>
      <c r="N348" s="231"/>
      <c r="O348" s="231"/>
      <c r="P348" s="231"/>
      <c r="Q348" s="231"/>
      <c r="R348" s="231"/>
      <c r="S348" s="231"/>
      <c r="T348" s="231"/>
      <c r="U348" s="231"/>
      <c r="V348" s="231"/>
      <c r="W348" s="231"/>
      <c r="X348" s="231"/>
      <c r="Y348" s="231"/>
      <c r="Z348" s="231"/>
      <c r="AA348" s="231"/>
      <c r="AB348" s="231"/>
      <c r="AC348" s="231"/>
      <c r="AD348" s="231"/>
      <c r="AE348" s="231"/>
      <c r="AF348" s="231"/>
      <c r="AG348" s="231"/>
      <c r="AH348" s="231"/>
      <c r="AI348" s="231"/>
      <c r="AJ348" s="231"/>
      <c r="AK348" s="231"/>
    </row>
    <row r="349" spans="1:37" s="203" customFormat="1">
      <c r="A349" s="108" t="s">
        <v>378</v>
      </c>
      <c r="B349" s="47"/>
      <c r="C349" s="116"/>
      <c r="D349" s="116"/>
      <c r="E349" s="355"/>
      <c r="F349" s="188"/>
      <c r="G349" s="43"/>
      <c r="H349" s="188"/>
      <c r="I349" s="86"/>
      <c r="J349" s="231"/>
      <c r="K349" s="231"/>
      <c r="L349" s="231"/>
      <c r="M349" s="231"/>
      <c r="N349" s="231"/>
      <c r="O349" s="231"/>
      <c r="P349" s="231"/>
      <c r="Q349" s="231"/>
      <c r="R349" s="231"/>
      <c r="S349" s="231"/>
      <c r="T349" s="231"/>
      <c r="U349" s="231"/>
      <c r="V349" s="231"/>
      <c r="W349" s="231"/>
      <c r="X349" s="231"/>
      <c r="Y349" s="231"/>
      <c r="Z349" s="231"/>
      <c r="AA349" s="231"/>
      <c r="AB349" s="231"/>
      <c r="AC349" s="231"/>
      <c r="AD349" s="231"/>
      <c r="AE349" s="231"/>
      <c r="AF349" s="231"/>
      <c r="AG349" s="231"/>
      <c r="AH349" s="231"/>
      <c r="AI349" s="231"/>
      <c r="AJ349" s="231"/>
      <c r="AK349" s="231"/>
    </row>
    <row r="350" spans="1:37" s="203" customFormat="1">
      <c r="A350" s="707"/>
      <c r="B350" s="47"/>
      <c r="C350" s="116"/>
      <c r="D350" s="116"/>
      <c r="E350" s="355"/>
      <c r="F350" s="188"/>
      <c r="G350" s="43"/>
      <c r="H350" s="188"/>
      <c r="I350" s="86"/>
      <c r="J350" s="231"/>
      <c r="K350" s="231"/>
      <c r="L350" s="231"/>
      <c r="M350" s="231"/>
      <c r="N350" s="231"/>
      <c r="O350" s="231"/>
      <c r="P350" s="231"/>
      <c r="Q350" s="231"/>
      <c r="R350" s="231"/>
      <c r="S350" s="231"/>
      <c r="T350" s="231"/>
      <c r="U350" s="231"/>
      <c r="V350" s="231"/>
      <c r="W350" s="231"/>
      <c r="X350" s="231"/>
      <c r="Y350" s="231"/>
      <c r="Z350" s="231"/>
      <c r="AA350" s="231"/>
      <c r="AB350" s="231"/>
      <c r="AC350" s="231"/>
      <c r="AD350" s="231"/>
      <c r="AE350" s="231"/>
      <c r="AF350" s="231"/>
      <c r="AG350" s="231"/>
      <c r="AH350" s="231"/>
      <c r="AI350" s="231"/>
      <c r="AJ350" s="231"/>
      <c r="AK350" s="231"/>
    </row>
    <row r="351" spans="1:37" s="203" customFormat="1">
      <c r="A351" s="198" t="s">
        <v>379</v>
      </c>
      <c r="B351" s="47"/>
      <c r="C351" s="116"/>
      <c r="D351" s="116"/>
      <c r="E351" s="355"/>
      <c r="F351" s="188"/>
      <c r="G351" s="43"/>
      <c r="H351" s="188"/>
      <c r="I351" s="86"/>
      <c r="J351" s="231"/>
      <c r="K351" s="231"/>
      <c r="L351" s="231"/>
      <c r="M351" s="231"/>
      <c r="N351" s="231"/>
      <c r="O351" s="231"/>
      <c r="P351" s="231"/>
      <c r="Q351" s="231"/>
      <c r="R351" s="231"/>
      <c r="S351" s="231"/>
      <c r="T351" s="231"/>
      <c r="U351" s="231"/>
      <c r="V351" s="231"/>
      <c r="W351" s="231"/>
      <c r="X351" s="231"/>
      <c r="Y351" s="231"/>
      <c r="Z351" s="231"/>
      <c r="AA351" s="231"/>
      <c r="AB351" s="231"/>
      <c r="AC351" s="231"/>
      <c r="AD351" s="231"/>
      <c r="AE351" s="231"/>
      <c r="AF351" s="231"/>
      <c r="AG351" s="231"/>
      <c r="AH351" s="231"/>
      <c r="AI351" s="231"/>
      <c r="AJ351" s="231"/>
      <c r="AK351" s="231"/>
    </row>
    <row r="352" spans="1:37" s="203" customFormat="1">
      <c r="A352" s="707"/>
      <c r="B352" s="47"/>
      <c r="C352" s="116"/>
      <c r="D352" s="116"/>
      <c r="E352" s="355"/>
      <c r="F352" s="188"/>
      <c r="G352" s="43"/>
      <c r="H352" s="188"/>
      <c r="I352" s="86"/>
      <c r="J352" s="231"/>
      <c r="K352" s="231"/>
      <c r="L352" s="231"/>
      <c r="M352" s="231"/>
      <c r="N352" s="231"/>
      <c r="O352" s="231"/>
      <c r="P352" s="231"/>
      <c r="Q352" s="231"/>
      <c r="R352" s="231"/>
      <c r="S352" s="231"/>
      <c r="T352" s="231"/>
      <c r="U352" s="231"/>
      <c r="V352" s="231"/>
      <c r="W352" s="231"/>
      <c r="X352" s="231"/>
      <c r="Y352" s="231"/>
      <c r="Z352" s="231"/>
      <c r="AA352" s="231"/>
      <c r="AB352" s="231"/>
      <c r="AC352" s="231"/>
      <c r="AD352" s="231"/>
      <c r="AE352" s="231"/>
      <c r="AF352" s="231"/>
      <c r="AG352" s="231"/>
      <c r="AH352" s="231"/>
      <c r="AI352" s="231"/>
      <c r="AJ352" s="231"/>
      <c r="AK352" s="231"/>
    </row>
    <row r="353" spans="1:37" s="203" customFormat="1">
      <c r="A353" s="707">
        <v>2</v>
      </c>
      <c r="B353" s="47" t="s">
        <v>52</v>
      </c>
      <c r="C353" s="116"/>
      <c r="D353" s="116"/>
      <c r="E353" s="74">
        <v>0</v>
      </c>
      <c r="F353" s="265"/>
      <c r="G353" s="43"/>
      <c r="H353" s="126"/>
      <c r="I353" s="86"/>
      <c r="J353" s="231"/>
      <c r="K353" s="231"/>
      <c r="L353" s="231"/>
      <c r="M353" s="231"/>
      <c r="N353" s="231"/>
      <c r="O353" s="231"/>
      <c r="P353" s="231"/>
      <c r="Q353" s="231"/>
      <c r="R353" s="231"/>
      <c r="S353" s="231"/>
      <c r="T353" s="231"/>
      <c r="U353" s="231"/>
      <c r="V353" s="231"/>
      <c r="W353" s="231"/>
      <c r="X353" s="231"/>
      <c r="Y353" s="231"/>
      <c r="Z353" s="231"/>
      <c r="AA353" s="231"/>
      <c r="AB353" s="231"/>
      <c r="AC353" s="231"/>
      <c r="AD353" s="231"/>
      <c r="AE353" s="231"/>
      <c r="AF353" s="231"/>
      <c r="AG353" s="231"/>
      <c r="AH353" s="231"/>
      <c r="AI353" s="231"/>
      <c r="AJ353" s="231"/>
      <c r="AK353" s="231"/>
    </row>
    <row r="354" spans="1:37" s="203" customFormat="1">
      <c r="A354" s="707">
        <v>3</v>
      </c>
      <c r="B354" s="47" t="s">
        <v>53</v>
      </c>
      <c r="C354" s="116"/>
      <c r="D354" s="116"/>
      <c r="E354" s="49">
        <v>0</v>
      </c>
      <c r="F354" s="265"/>
      <c r="G354" s="43"/>
      <c r="H354" s="126"/>
      <c r="I354" s="86"/>
      <c r="J354" s="231"/>
      <c r="K354" s="231"/>
      <c r="L354" s="231"/>
      <c r="M354" s="231"/>
      <c r="N354" s="231"/>
      <c r="O354" s="231"/>
      <c r="P354" s="231"/>
      <c r="Q354" s="231"/>
      <c r="R354" s="231"/>
      <c r="S354" s="231"/>
      <c r="T354" s="231"/>
      <c r="U354" s="231"/>
      <c r="V354" s="231"/>
      <c r="W354" s="231"/>
      <c r="X354" s="231"/>
      <c r="Y354" s="231"/>
      <c r="Z354" s="231"/>
      <c r="AA354" s="231"/>
      <c r="AB354" s="231"/>
      <c r="AC354" s="231"/>
      <c r="AD354" s="231"/>
      <c r="AE354" s="231"/>
      <c r="AF354" s="231"/>
      <c r="AG354" s="231"/>
      <c r="AH354" s="231"/>
      <c r="AI354" s="231"/>
      <c r="AJ354" s="231"/>
      <c r="AK354" s="231"/>
    </row>
    <row r="355" spans="1:37" s="203" customFormat="1">
      <c r="A355" s="707">
        <v>4</v>
      </c>
      <c r="B355" s="47" t="s">
        <v>54</v>
      </c>
      <c r="C355" s="116"/>
      <c r="D355" s="116"/>
      <c r="E355" s="49">
        <v>111.139</v>
      </c>
      <c r="F355" s="265">
        <v>111</v>
      </c>
      <c r="G355" s="43"/>
      <c r="H355" s="126">
        <v>109</v>
      </c>
      <c r="I355" s="86"/>
      <c r="J355" s="231"/>
      <c r="K355" s="231"/>
      <c r="L355" s="231"/>
      <c r="M355" s="231"/>
      <c r="N355" s="231"/>
      <c r="O355" s="231"/>
      <c r="P355" s="231"/>
      <c r="Q355" s="231"/>
      <c r="R355" s="231"/>
      <c r="S355" s="231"/>
      <c r="T355" s="231"/>
      <c r="U355" s="231"/>
      <c r="V355" s="231"/>
      <c r="W355" s="231"/>
      <c r="X355" s="231"/>
      <c r="Y355" s="231"/>
      <c r="Z355" s="231"/>
      <c r="AA355" s="231"/>
      <c r="AB355" s="231"/>
      <c r="AC355" s="231"/>
      <c r="AD355" s="231"/>
      <c r="AE355" s="231"/>
      <c r="AF355" s="231"/>
      <c r="AG355" s="231"/>
      <c r="AH355" s="231"/>
      <c r="AI355" s="231"/>
      <c r="AJ355" s="231"/>
      <c r="AK355" s="231"/>
    </row>
    <row r="356" spans="1:37" s="203" customFormat="1">
      <c r="A356" s="707">
        <v>5</v>
      </c>
      <c r="B356" s="47" t="s">
        <v>55</v>
      </c>
      <c r="C356" s="116"/>
      <c r="D356" s="116"/>
      <c r="E356" s="49">
        <v>0</v>
      </c>
      <c r="F356" s="265"/>
      <c r="G356" s="43"/>
      <c r="H356" s="126"/>
      <c r="I356" s="86"/>
      <c r="J356" s="231"/>
      <c r="K356" s="231"/>
      <c r="L356" s="231"/>
      <c r="M356" s="231"/>
      <c r="N356" s="231"/>
      <c r="O356" s="231"/>
      <c r="P356" s="231"/>
      <c r="Q356" s="231"/>
      <c r="R356" s="231"/>
      <c r="S356" s="231"/>
      <c r="T356" s="231"/>
      <c r="U356" s="231"/>
      <c r="V356" s="231"/>
      <c r="W356" s="231"/>
      <c r="X356" s="231"/>
      <c r="Y356" s="231"/>
      <c r="Z356" s="231"/>
      <c r="AA356" s="231"/>
      <c r="AB356" s="231"/>
      <c r="AC356" s="231"/>
      <c r="AD356" s="231"/>
      <c r="AE356" s="231"/>
      <c r="AF356" s="231"/>
      <c r="AG356" s="231"/>
      <c r="AH356" s="231"/>
      <c r="AI356" s="231"/>
      <c r="AJ356" s="231"/>
      <c r="AK356" s="231"/>
    </row>
    <row r="357" spans="1:37" s="203" customFormat="1">
      <c r="A357" s="707">
        <v>6</v>
      </c>
      <c r="B357" s="47" t="s">
        <v>56</v>
      </c>
      <c r="C357" s="116"/>
      <c r="D357" s="116"/>
      <c r="E357" s="49">
        <v>54.96</v>
      </c>
      <c r="F357" s="265">
        <v>55</v>
      </c>
      <c r="G357" s="43"/>
      <c r="H357" s="126">
        <v>51</v>
      </c>
      <c r="I357" s="86"/>
      <c r="J357" s="231"/>
      <c r="K357" s="231"/>
      <c r="L357" s="231"/>
      <c r="M357" s="231"/>
      <c r="N357" s="231"/>
      <c r="O357" s="231"/>
      <c r="P357" s="231"/>
      <c r="Q357" s="231"/>
      <c r="R357" s="231"/>
      <c r="S357" s="231"/>
      <c r="T357" s="231"/>
      <c r="U357" s="231"/>
      <c r="V357" s="231"/>
      <c r="W357" s="231"/>
      <c r="X357" s="231"/>
      <c r="Y357" s="231"/>
      <c r="Z357" s="231"/>
      <c r="AA357" s="231"/>
      <c r="AB357" s="231"/>
      <c r="AC357" s="231"/>
      <c r="AD357" s="231"/>
      <c r="AE357" s="231"/>
      <c r="AF357" s="231"/>
      <c r="AG357" s="231"/>
      <c r="AH357" s="231"/>
      <c r="AI357" s="231"/>
      <c r="AJ357" s="231"/>
      <c r="AK357" s="231"/>
    </row>
    <row r="358" spans="1:37" s="203" customFormat="1">
      <c r="A358" s="707">
        <v>7</v>
      </c>
      <c r="B358" s="47" t="s">
        <v>57</v>
      </c>
      <c r="C358" s="116"/>
      <c r="D358" s="116"/>
      <c r="E358" s="49">
        <v>0</v>
      </c>
      <c r="F358" s="265"/>
      <c r="G358" s="43"/>
      <c r="H358" s="126"/>
      <c r="I358" s="86"/>
      <c r="J358" s="231"/>
      <c r="K358" s="231"/>
      <c r="L358" s="231"/>
      <c r="M358" s="231"/>
      <c r="N358" s="231"/>
      <c r="O358" s="231"/>
      <c r="P358" s="231"/>
      <c r="Q358" s="231"/>
      <c r="R358" s="231"/>
      <c r="S358" s="231"/>
      <c r="T358" s="231"/>
      <c r="U358" s="231"/>
      <c r="V358" s="231"/>
      <c r="W358" s="231"/>
      <c r="X358" s="231"/>
      <c r="Y358" s="231"/>
      <c r="Z358" s="231"/>
      <c r="AA358" s="231"/>
      <c r="AB358" s="231"/>
      <c r="AC358" s="231"/>
      <c r="AD358" s="231"/>
      <c r="AE358" s="231"/>
      <c r="AF358" s="231"/>
      <c r="AG358" s="231"/>
      <c r="AH358" s="231"/>
      <c r="AI358" s="231"/>
      <c r="AJ358" s="231"/>
      <c r="AK358" s="231"/>
    </row>
    <row r="359" spans="1:37" s="203" customFormat="1">
      <c r="A359" s="707">
        <v>8</v>
      </c>
      <c r="B359" s="47" t="s">
        <v>58</v>
      </c>
      <c r="C359" s="116"/>
      <c r="D359" s="116"/>
      <c r="E359" s="49">
        <v>176.696</v>
      </c>
      <c r="F359" s="265">
        <v>177</v>
      </c>
      <c r="G359" s="43"/>
      <c r="H359" s="126">
        <v>190</v>
      </c>
      <c r="I359" s="86"/>
      <c r="J359" s="231"/>
      <c r="K359" s="231"/>
      <c r="L359" s="231"/>
      <c r="M359" s="231"/>
      <c r="N359" s="231"/>
      <c r="O359" s="231"/>
      <c r="P359" s="231"/>
      <c r="Q359" s="231"/>
      <c r="R359" s="231"/>
      <c r="S359" s="231"/>
      <c r="T359" s="231"/>
      <c r="U359" s="231"/>
      <c r="V359" s="231"/>
      <c r="W359" s="231"/>
      <c r="X359" s="231"/>
      <c r="Y359" s="231"/>
      <c r="Z359" s="231"/>
      <c r="AA359" s="231"/>
      <c r="AB359" s="231"/>
      <c r="AC359" s="231"/>
      <c r="AD359" s="231"/>
      <c r="AE359" s="231"/>
      <c r="AF359" s="231"/>
      <c r="AG359" s="231"/>
      <c r="AH359" s="231"/>
      <c r="AI359" s="231"/>
      <c r="AJ359" s="231"/>
      <c r="AK359" s="231"/>
    </row>
    <row r="360" spans="1:37" s="203" customFormat="1">
      <c r="A360" s="707">
        <v>9</v>
      </c>
      <c r="B360" s="47" t="s">
        <v>59</v>
      </c>
      <c r="C360" s="116"/>
      <c r="D360" s="116"/>
      <c r="E360" s="49">
        <v>0</v>
      </c>
      <c r="F360" s="265"/>
      <c r="G360" s="43"/>
      <c r="H360" s="126"/>
      <c r="I360" s="86"/>
      <c r="J360" s="231"/>
      <c r="K360" s="231"/>
      <c r="L360" s="231"/>
      <c r="M360" s="231"/>
      <c r="N360" s="231"/>
      <c r="O360" s="231"/>
      <c r="P360" s="231"/>
      <c r="Q360" s="231"/>
      <c r="R360" s="231"/>
      <c r="S360" s="231"/>
      <c r="T360" s="231"/>
      <c r="U360" s="231"/>
      <c r="V360" s="231"/>
      <c r="W360" s="231"/>
      <c r="X360" s="231"/>
      <c r="Y360" s="231"/>
      <c r="Z360" s="231"/>
      <c r="AA360" s="231"/>
      <c r="AB360" s="231"/>
      <c r="AC360" s="231"/>
      <c r="AD360" s="231"/>
      <c r="AE360" s="231"/>
      <c r="AF360" s="231"/>
      <c r="AG360" s="231"/>
      <c r="AH360" s="231"/>
      <c r="AI360" s="231"/>
      <c r="AJ360" s="231"/>
      <c r="AK360" s="231"/>
    </row>
    <row r="361" spans="1:37" s="203" customFormat="1">
      <c r="A361" s="707">
        <v>10</v>
      </c>
      <c r="B361" s="47" t="s">
        <v>60</v>
      </c>
      <c r="C361" s="116"/>
      <c r="D361" s="116"/>
      <c r="E361" s="49">
        <v>0</v>
      </c>
      <c r="F361" s="265"/>
      <c r="G361" s="43"/>
      <c r="H361" s="126"/>
      <c r="I361" s="86"/>
      <c r="J361" s="231"/>
      <c r="K361" s="231"/>
      <c r="L361" s="231"/>
      <c r="M361" s="231"/>
      <c r="N361" s="231"/>
      <c r="O361" s="231"/>
      <c r="P361" s="231"/>
      <c r="Q361" s="231"/>
      <c r="R361" s="231"/>
      <c r="S361" s="231"/>
      <c r="T361" s="231"/>
      <c r="U361" s="231"/>
      <c r="V361" s="231"/>
      <c r="W361" s="231"/>
      <c r="X361" s="231"/>
      <c r="Y361" s="231"/>
      <c r="Z361" s="231"/>
      <c r="AA361" s="231"/>
      <c r="AB361" s="231"/>
      <c r="AC361" s="231"/>
      <c r="AD361" s="231"/>
      <c r="AE361" s="231"/>
      <c r="AF361" s="231"/>
      <c r="AG361" s="231"/>
      <c r="AH361" s="231"/>
      <c r="AI361" s="231"/>
      <c r="AJ361" s="231"/>
      <c r="AK361" s="231"/>
    </row>
    <row r="362" spans="1:37" s="203" customFormat="1">
      <c r="A362" s="707">
        <v>11</v>
      </c>
      <c r="B362" s="47" t="s">
        <v>61</v>
      </c>
      <c r="C362" s="116"/>
      <c r="D362" s="116"/>
      <c r="E362" s="49">
        <v>0</v>
      </c>
      <c r="F362" s="265"/>
      <c r="G362" s="43"/>
      <c r="H362" s="126"/>
      <c r="I362" s="86"/>
      <c r="J362" s="231"/>
      <c r="K362" s="231"/>
      <c r="L362" s="231"/>
      <c r="M362" s="231"/>
      <c r="N362" s="231"/>
      <c r="O362" s="231"/>
      <c r="P362" s="231"/>
      <c r="Q362" s="231"/>
      <c r="R362" s="231"/>
      <c r="S362" s="231"/>
      <c r="T362" s="231"/>
      <c r="U362" s="231"/>
      <c r="V362" s="231"/>
      <c r="W362" s="231"/>
      <c r="X362" s="231"/>
      <c r="Y362" s="231"/>
      <c r="Z362" s="231"/>
      <c r="AA362" s="231"/>
      <c r="AB362" s="231"/>
      <c r="AC362" s="231"/>
      <c r="AD362" s="231"/>
      <c r="AE362" s="231"/>
      <c r="AF362" s="231"/>
      <c r="AG362" s="231"/>
      <c r="AH362" s="231"/>
      <c r="AI362" s="231"/>
      <c r="AJ362" s="231"/>
      <c r="AK362" s="231"/>
    </row>
    <row r="363" spans="1:37" s="203" customFormat="1">
      <c r="A363" s="708">
        <v>12</v>
      </c>
      <c r="B363" s="54" t="s">
        <v>380</v>
      </c>
      <c r="C363" s="94"/>
      <c r="D363" s="94"/>
      <c r="E363" s="135">
        <v>342.79499999999996</v>
      </c>
      <c r="F363" s="61">
        <f>SUM(F353:F362)</f>
        <v>343</v>
      </c>
      <c r="G363" s="43"/>
      <c r="H363" s="61">
        <f>SUM(H353:H362)</f>
        <v>350</v>
      </c>
      <c r="I363" s="86"/>
      <c r="J363" s="231"/>
      <c r="K363" s="231"/>
      <c r="L363" s="231"/>
      <c r="M363" s="231"/>
      <c r="N363" s="231"/>
      <c r="O363" s="231"/>
      <c r="P363" s="231"/>
      <c r="Q363" s="231"/>
      <c r="R363" s="231"/>
      <c r="S363" s="231"/>
      <c r="T363" s="231"/>
      <c r="U363" s="231"/>
      <c r="V363" s="231"/>
      <c r="W363" s="231"/>
      <c r="X363" s="231"/>
      <c r="Y363" s="231"/>
      <c r="Z363" s="231"/>
      <c r="AA363" s="231"/>
      <c r="AB363" s="231"/>
      <c r="AC363" s="231"/>
      <c r="AD363" s="231"/>
      <c r="AE363" s="231"/>
      <c r="AF363" s="231"/>
      <c r="AG363" s="231"/>
      <c r="AH363" s="231"/>
      <c r="AI363" s="231"/>
      <c r="AJ363" s="231"/>
      <c r="AK363" s="231"/>
    </row>
    <row r="364" spans="1:37" s="203" customFormat="1">
      <c r="A364" s="199"/>
      <c r="B364" s="15"/>
      <c r="C364" s="15"/>
      <c r="D364" s="15"/>
      <c r="E364" s="15"/>
      <c r="F364" s="15"/>
      <c r="G364" s="15"/>
      <c r="H364" s="15"/>
      <c r="I364" s="86"/>
      <c r="J364" s="231"/>
      <c r="K364" s="231"/>
      <c r="L364" s="231"/>
      <c r="M364" s="231"/>
      <c r="N364" s="231"/>
      <c r="O364" s="231"/>
      <c r="P364" s="231"/>
      <c r="Q364" s="231"/>
      <c r="R364" s="231"/>
      <c r="S364" s="231"/>
      <c r="T364" s="231"/>
      <c r="U364" s="231"/>
      <c r="V364" s="231"/>
      <c r="W364" s="231"/>
      <c r="X364" s="231"/>
      <c r="Y364" s="231"/>
      <c r="Z364" s="231"/>
      <c r="AA364" s="231"/>
      <c r="AB364" s="231"/>
      <c r="AC364" s="231"/>
      <c r="AD364" s="231"/>
      <c r="AE364" s="231"/>
      <c r="AF364" s="231"/>
      <c r="AG364" s="231"/>
      <c r="AH364" s="231"/>
      <c r="AI364" s="231"/>
      <c r="AJ364" s="231"/>
      <c r="AK364" s="231"/>
    </row>
    <row r="365" spans="1:37" s="203" customFormat="1">
      <c r="A365" s="199"/>
      <c r="B365" s="15"/>
      <c r="C365" s="15"/>
      <c r="D365" s="15"/>
      <c r="E365" s="15"/>
      <c r="F365" s="15"/>
      <c r="G365" s="15"/>
      <c r="H365" s="86"/>
      <c r="I365" s="86"/>
      <c r="J365" s="231"/>
      <c r="K365" s="231"/>
      <c r="L365" s="231"/>
      <c r="M365" s="231"/>
      <c r="N365" s="231"/>
      <c r="O365" s="231"/>
      <c r="P365" s="231"/>
      <c r="Q365" s="231"/>
      <c r="R365" s="231"/>
      <c r="S365" s="231"/>
      <c r="T365" s="231"/>
      <c r="U365" s="231"/>
      <c r="V365" s="231"/>
      <c r="W365" s="231"/>
      <c r="X365" s="231"/>
      <c r="Y365" s="231"/>
      <c r="Z365" s="231"/>
      <c r="AA365" s="231"/>
      <c r="AB365" s="231"/>
      <c r="AC365" s="231"/>
      <c r="AD365" s="231"/>
      <c r="AE365" s="231"/>
      <c r="AF365" s="231"/>
      <c r="AG365" s="231"/>
      <c r="AH365" s="231"/>
      <c r="AI365" s="231"/>
      <c r="AJ365" s="231"/>
      <c r="AK365" s="231"/>
    </row>
    <row r="366" spans="1:37" s="8" customFormat="1"/>
    <row r="367" spans="1:37" s="8" customFormat="1"/>
    <row r="368" spans="1:37" s="8" customFormat="1"/>
    <row r="369" s="8" customFormat="1"/>
    <row r="370" s="8" customFormat="1"/>
    <row r="371" s="8" customFormat="1"/>
    <row r="372" s="8" customFormat="1"/>
    <row r="373" s="8" customFormat="1"/>
    <row r="374" s="8" customFormat="1"/>
    <row r="375" s="8" customFormat="1"/>
    <row r="376" s="8" customFormat="1"/>
    <row r="377" s="8" customFormat="1"/>
    <row r="378" s="8" customFormat="1"/>
    <row r="379" s="8" customFormat="1"/>
    <row r="380" s="8" customFormat="1"/>
    <row r="381" s="8" customFormat="1"/>
    <row r="382" s="8" customFormat="1"/>
    <row r="383" s="8" customFormat="1"/>
    <row r="384" s="8" customFormat="1"/>
    <row r="385" spans="1:9" s="8" customFormat="1"/>
    <row r="386" spans="1:9" s="8" customFormat="1"/>
    <row r="387" spans="1:9" s="8" customFormat="1"/>
    <row r="388" spans="1:9" s="8" customFormat="1"/>
    <row r="389" spans="1:9" s="8" customFormat="1"/>
    <row r="390" spans="1:9" s="8" customFormat="1"/>
    <row r="391" spans="1:9" s="8" customFormat="1"/>
    <row r="392" spans="1:9" s="8" customFormat="1"/>
    <row r="393" spans="1:9" s="8" customFormat="1"/>
    <row r="394" spans="1:9" s="8" customFormat="1"/>
    <row r="395" spans="1:9" s="8" customFormat="1"/>
    <row r="396" spans="1:9" s="8" customFormat="1"/>
    <row r="397" spans="1:9">
      <c r="A397" s="8"/>
      <c r="B397" s="8"/>
      <c r="C397" s="8"/>
      <c r="D397" s="8"/>
      <c r="E397" s="8"/>
      <c r="F397" s="8"/>
      <c r="G397" s="8"/>
      <c r="H397" s="8"/>
      <c r="I397" s="8"/>
    </row>
    <row r="398" spans="1:9">
      <c r="A398" s="8"/>
      <c r="B398" s="8"/>
      <c r="C398" s="8"/>
      <c r="D398" s="8"/>
      <c r="E398" s="8"/>
      <c r="F398" s="8"/>
      <c r="G398" s="8"/>
      <c r="H398" s="8"/>
      <c r="I398" s="8"/>
    </row>
    <row r="399" spans="1:9">
      <c r="A399" s="8"/>
      <c r="B399" s="8"/>
      <c r="C399" s="8"/>
      <c r="D399" s="8"/>
      <c r="E399" s="8"/>
      <c r="F399" s="8"/>
      <c r="G399" s="8"/>
      <c r="H399" s="8"/>
      <c r="I399" s="8"/>
    </row>
    <row r="400" spans="1:9">
      <c r="A400" s="8"/>
      <c r="B400" s="8"/>
      <c r="C400" s="8"/>
      <c r="D400" s="8"/>
      <c r="E400" s="8"/>
      <c r="F400" s="8"/>
      <c r="G400" s="8"/>
      <c r="H400" s="8"/>
      <c r="I400" s="8"/>
    </row>
    <row r="401" spans="1:9">
      <c r="A401" s="8"/>
      <c r="B401" s="8"/>
      <c r="C401" s="8"/>
      <c r="D401" s="8"/>
      <c r="E401" s="8"/>
      <c r="F401" s="8"/>
      <c r="G401" s="8"/>
      <c r="H401" s="8"/>
      <c r="I401" s="8"/>
    </row>
    <row r="402" spans="1:9">
      <c r="A402" s="8"/>
      <c r="B402" s="8"/>
      <c r="C402" s="8"/>
      <c r="D402" s="8"/>
      <c r="E402" s="8"/>
      <c r="F402" s="8"/>
      <c r="G402" s="8"/>
      <c r="H402" s="8"/>
      <c r="I402" s="8"/>
    </row>
    <row r="403" spans="1:9">
      <c r="A403" s="8"/>
      <c r="B403" s="8"/>
      <c r="C403" s="8"/>
      <c r="D403" s="8"/>
      <c r="E403" s="8"/>
      <c r="F403" s="8"/>
      <c r="G403" s="8"/>
      <c r="H403" s="8"/>
      <c r="I403" s="8"/>
    </row>
    <row r="404" spans="1:9">
      <c r="A404" s="8"/>
      <c r="B404" s="8"/>
      <c r="C404" s="8"/>
      <c r="D404" s="8"/>
      <c r="E404" s="8"/>
      <c r="F404" s="8"/>
      <c r="G404" s="8"/>
      <c r="H404" s="8"/>
      <c r="I404" s="8"/>
    </row>
    <row r="405" spans="1:9">
      <c r="A405" s="8"/>
      <c r="B405" s="8"/>
      <c r="C405" s="8"/>
      <c r="D405" s="8"/>
      <c r="E405" s="8"/>
      <c r="F405" s="8"/>
      <c r="G405" s="8"/>
      <c r="H405" s="8"/>
      <c r="I405" s="8"/>
    </row>
    <row r="406" spans="1:9">
      <c r="A406" s="8"/>
      <c r="B406" s="8"/>
      <c r="C406" s="8"/>
      <c r="D406" s="8"/>
      <c r="E406" s="8"/>
      <c r="F406" s="8"/>
      <c r="G406" s="8"/>
      <c r="H406" s="8"/>
      <c r="I406" s="8"/>
    </row>
    <row r="407" spans="1:9">
      <c r="A407" s="8"/>
      <c r="B407" s="8"/>
      <c r="C407" s="8"/>
      <c r="D407" s="8"/>
      <c r="E407" s="8"/>
      <c r="F407" s="8"/>
      <c r="G407" s="8"/>
      <c r="H407" s="8"/>
      <c r="I407" s="8"/>
    </row>
    <row r="408" spans="1:9">
      <c r="A408" s="8"/>
      <c r="B408" s="8"/>
      <c r="C408" s="8"/>
      <c r="D408" s="8"/>
      <c r="E408" s="8"/>
      <c r="F408" s="8"/>
      <c r="G408" s="8"/>
      <c r="H408" s="8"/>
      <c r="I408" s="8"/>
    </row>
    <row r="409" spans="1:9">
      <c r="A409" s="8"/>
      <c r="B409" s="8"/>
      <c r="C409" s="8"/>
      <c r="D409" s="8"/>
      <c r="E409" s="8"/>
      <c r="F409" s="8"/>
      <c r="G409" s="8"/>
      <c r="H409" s="8"/>
      <c r="I409" s="8"/>
    </row>
    <row r="410" spans="1:9">
      <c r="A410" s="8"/>
      <c r="B410" s="8"/>
      <c r="C410" s="8"/>
      <c r="D410" s="8"/>
      <c r="E410" s="8"/>
      <c r="F410" s="8"/>
      <c r="G410" s="8"/>
      <c r="H410" s="8"/>
      <c r="I410" s="8"/>
    </row>
    <row r="411" spans="1:9">
      <c r="A411" s="8"/>
      <c r="B411" s="8"/>
      <c r="C411" s="8"/>
      <c r="D411" s="8"/>
      <c r="E411" s="8"/>
      <c r="F411" s="8"/>
      <c r="G411" s="8"/>
      <c r="H411" s="8"/>
      <c r="I411" s="8"/>
    </row>
  </sheetData>
  <mergeCells count="59">
    <mergeCell ref="F341:F345"/>
    <mergeCell ref="H341:H345"/>
    <mergeCell ref="E261:E265"/>
    <mergeCell ref="F261:F265"/>
    <mergeCell ref="H261:H265"/>
    <mergeCell ref="E280:E284"/>
    <mergeCell ref="F280:F284"/>
    <mergeCell ref="H280:H284"/>
    <mergeCell ref="E305:E309"/>
    <mergeCell ref="F305:F309"/>
    <mergeCell ref="H305:H309"/>
    <mergeCell ref="C323:H323"/>
    <mergeCell ref="C330:H330"/>
    <mergeCell ref="E341:E345"/>
    <mergeCell ref="E221:E225"/>
    <mergeCell ref="F221:F225"/>
    <mergeCell ref="H221:H225"/>
    <mergeCell ref="E234:E238"/>
    <mergeCell ref="F234:F238"/>
    <mergeCell ref="H234:H238"/>
    <mergeCell ref="G66:G70"/>
    <mergeCell ref="H66:H70"/>
    <mergeCell ref="F91:F95"/>
    <mergeCell ref="H91:H95"/>
    <mergeCell ref="E193:E197"/>
    <mergeCell ref="F193:F197"/>
    <mergeCell ref="H193:H197"/>
    <mergeCell ref="E153:E157"/>
    <mergeCell ref="F153:F157"/>
    <mergeCell ref="H153:H157"/>
    <mergeCell ref="E91:E95"/>
    <mergeCell ref="I66:I70"/>
    <mergeCell ref="A23:D24"/>
    <mergeCell ref="E23:E24"/>
    <mergeCell ref="F23:F24"/>
    <mergeCell ref="H23:H24"/>
    <mergeCell ref="A25:A27"/>
    <mergeCell ref="B25:D27"/>
    <mergeCell ref="E25:E27"/>
    <mergeCell ref="F25:F27"/>
    <mergeCell ref="H25:H27"/>
    <mergeCell ref="A40:D41"/>
    <mergeCell ref="E40:E41"/>
    <mergeCell ref="F40:F41"/>
    <mergeCell ref="H40:H41"/>
    <mergeCell ref="E66:E70"/>
    <mergeCell ref="F66:F70"/>
    <mergeCell ref="C19:F19"/>
    <mergeCell ref="B3:B4"/>
    <mergeCell ref="C3:D4"/>
    <mergeCell ref="A5:B5"/>
    <mergeCell ref="D6:H6"/>
    <mergeCell ref="A9:I9"/>
    <mergeCell ref="D10:F10"/>
    <mergeCell ref="C14:F14"/>
    <mergeCell ref="C15:F15"/>
    <mergeCell ref="C16:F16"/>
    <mergeCell ref="C17:F17"/>
    <mergeCell ref="C18:F18"/>
  </mergeCells>
  <phoneticPr fontId="10" type="noConversion"/>
  <conditionalFormatting sqref="F71:F76 F286:F301 F311:F318 F80:F88 F96:F97 F103:F104 F106 F110:F114 F118:F124 F128:F134 F138:F142 F146:F149 F159:F162 F166:F168 F171:F172 F175:F177 F183:F190 F199:F200 F204:F206 F210:F213 F217:F218 F226:F230 F240:F241 F245:F246 F250:F253 F256 F267:F276 H250">
    <cfRule type="expression" dxfId="48" priority="261" stopIfTrue="1">
      <formula>ISBLANK(F71)</formula>
    </cfRule>
    <cfRule type="expression" dxfId="47" priority="262" stopIfTrue="1">
      <formula>IF(AND(OR(F71-E71&gt;500,F71-E71&lt;-500),OR(#REF!&gt;0.1,#REF!&lt;-0.1)),TRUE,FALSE)</formula>
    </cfRule>
  </conditionalFormatting>
  <dataValidations count="1">
    <dataValidation type="list" errorStyle="information" allowBlank="1" showInputMessage="1" showErrorMessage="1" errorTitle="POBE 2006" error="Please select from the drop-down menu..." prompt="Please select your Authority from the drop-down menu..." sqref="C3:D4">
      <formula1>#REF!</formula1>
    </dataValidation>
  </dataValidations>
  <hyperlinks>
    <hyperlink ref="F7" r:id="rId1" display="lgfstats@scotland.gsi.gov.uk"/>
    <hyperlink ref="D6" r:id="rId2"/>
    <hyperlink ref="D10" r:id="rId3" display="^lgfstats@gov.scot"/>
    <hyperlink ref="B14" location="'POBE 2017'!A28" display="PART 1 - Expenditure"/>
    <hyperlink ref="C19:F19" location="'POBE 2017'!A323" display="Sheet 10. - PUBLIC PRIVATE PARTNERSHIPS/PRIVATE FINANCE INITIATIVES"/>
    <hyperlink ref="B15" location="'POBE 2017'!A40" display="PART 2 - Income and Balances"/>
    <hyperlink ref="B16" location="'POBE 2017'!A66" display="Sheet 1. EDUCATION"/>
    <hyperlink ref="B17" location="'POBE 2017'!A91" display="Sheet 2. SOCIAL WORK"/>
    <hyperlink ref="B18" location="'POBE 2017'!A153" display="Sheet 3. ROADS AND TRANSPORT"/>
    <hyperlink ref="B19" location="'POBE 2017'!A193" display="Sheet 4. ENVIRONMENTAL SERVICES"/>
    <hyperlink ref="C14:F14" location="'POBE 2017'!A221" display="Sheet 5. PLANNING AND DEVELOPMENT SERVICES"/>
    <hyperlink ref="C15:F15" location="'POBE 2017'!A234" display="Sheet 6. CULTURAL AND RELATED SERVICES"/>
    <hyperlink ref="C16:F16" location="'POBE 2017'!A261" display="Sheet 7. HOUSING"/>
    <hyperlink ref="C17:F17" location="'POBE 2017'!A280" display="Sheet 8. CENTRAL SERVICES"/>
    <hyperlink ref="C18:F18" location="'POBE 2017'!A305" display="Sheet 9. OTHER EXPENDITURE"/>
  </hyperlinks>
  <pageMargins left="0.75" right="0.75" top="1" bottom="1" header="0.5" footer="0.5"/>
  <pageSetup paperSize="9" orientation="portrait" r:id="rId4"/>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AH410"/>
  <sheetViews>
    <sheetView topLeftCell="A184" zoomScale="80" zoomScaleNormal="80" workbookViewId="0">
      <selection activeCell="E240" sqref="E240"/>
    </sheetView>
  </sheetViews>
  <sheetFormatPr defaultColWidth="9.140625" defaultRowHeight="12.75"/>
  <cols>
    <col min="1" max="1" width="10.5703125" style="1" customWidth="1"/>
    <col min="2" max="2" width="43" style="1" customWidth="1"/>
    <col min="3" max="3" width="24.5703125" style="1" customWidth="1"/>
    <col min="4" max="4" width="14.7109375" style="1" customWidth="1"/>
    <col min="5" max="5" width="21.5703125" style="1" customWidth="1"/>
    <col min="6" max="6" width="19.140625" style="1" customWidth="1"/>
    <col min="7" max="7" width="17.42578125" style="1" customWidth="1"/>
    <col min="8" max="8" width="19.28515625" style="1" customWidth="1"/>
    <col min="9" max="9" width="17.85546875" style="1" customWidth="1"/>
    <col min="10" max="16" width="9.140625" style="8" customWidth="1"/>
    <col min="17" max="27" width="9.140625" style="8"/>
    <col min="28" max="28" width="0" style="8" hidden="1" customWidth="1"/>
    <col min="29" max="34" width="9.140625" style="8"/>
    <col min="35" max="16384" width="9.140625" style="1"/>
  </cols>
  <sheetData>
    <row r="1" spans="1:34" s="203" customFormat="1" ht="51" customHeight="1">
      <c r="A1" s="3" t="s">
        <v>410</v>
      </c>
      <c r="B1" s="4"/>
      <c r="C1" s="224"/>
      <c r="D1" s="224"/>
      <c r="E1" s="224"/>
      <c r="F1" s="224"/>
      <c r="G1" s="225"/>
      <c r="H1" s="226"/>
      <c r="I1" s="227"/>
      <c r="J1" s="231"/>
      <c r="K1" s="231"/>
      <c r="L1" s="231"/>
      <c r="M1" s="231"/>
      <c r="N1" s="231"/>
      <c r="O1" s="231"/>
      <c r="P1" s="231"/>
      <c r="Q1" s="231"/>
      <c r="R1" s="231"/>
      <c r="S1" s="231"/>
      <c r="T1" s="231"/>
      <c r="U1" s="231"/>
      <c r="V1" s="231"/>
      <c r="W1" s="231"/>
      <c r="X1" s="231"/>
      <c r="Y1" s="231"/>
      <c r="Z1" s="231"/>
      <c r="AA1" s="231"/>
      <c r="AB1" s="231"/>
      <c r="AC1" s="231"/>
      <c r="AD1" s="231"/>
      <c r="AE1" s="231"/>
      <c r="AF1" s="231"/>
      <c r="AG1" s="231"/>
      <c r="AH1" s="231"/>
    </row>
    <row r="2" spans="1:34" s="203" customFormat="1" ht="35.25">
      <c r="A2" s="9"/>
      <c r="B2" s="10"/>
      <c r="C2" s="232"/>
      <c r="D2" s="232"/>
      <c r="E2" s="232"/>
      <c r="F2" s="11"/>
      <c r="G2" s="11"/>
      <c r="H2" s="11"/>
      <c r="I2" s="11"/>
      <c r="J2" s="231"/>
      <c r="K2" s="231"/>
      <c r="L2" s="231"/>
      <c r="M2" s="231"/>
      <c r="N2" s="231"/>
      <c r="O2" s="231"/>
      <c r="P2" s="231"/>
      <c r="Q2" s="231"/>
      <c r="R2" s="231"/>
      <c r="S2" s="231"/>
      <c r="T2" s="231"/>
      <c r="U2" s="231"/>
      <c r="V2" s="231"/>
      <c r="W2" s="231"/>
      <c r="X2" s="231"/>
      <c r="Y2" s="231"/>
      <c r="Z2" s="231"/>
      <c r="AA2" s="231"/>
      <c r="AB2" s="231"/>
      <c r="AC2" s="231"/>
      <c r="AD2" s="231"/>
      <c r="AE2" s="231"/>
      <c r="AF2" s="231"/>
      <c r="AG2" s="231"/>
      <c r="AH2" s="231"/>
    </row>
    <row r="3" spans="1:34" s="203" customFormat="1" ht="15">
      <c r="A3" s="12"/>
      <c r="B3" s="882" t="s">
        <v>0</v>
      </c>
      <c r="C3" s="884" t="s">
        <v>19</v>
      </c>
      <c r="D3" s="885"/>
      <c r="E3" s="13"/>
      <c r="F3" s="14"/>
      <c r="G3" s="14"/>
      <c r="H3" s="15"/>
      <c r="I3" s="14"/>
      <c r="J3" s="231"/>
      <c r="K3" s="231"/>
      <c r="L3" s="231"/>
      <c r="M3" s="231"/>
      <c r="N3" s="231"/>
      <c r="O3" s="231"/>
      <c r="P3" s="231"/>
      <c r="Q3" s="231"/>
      <c r="R3" s="231"/>
      <c r="S3" s="231"/>
      <c r="T3" s="231"/>
      <c r="U3" s="231"/>
      <c r="V3" s="231"/>
      <c r="W3" s="231"/>
      <c r="X3" s="231"/>
      <c r="Y3" s="231"/>
      <c r="Z3" s="231"/>
      <c r="AA3" s="231"/>
      <c r="AB3" s="231"/>
      <c r="AC3" s="231"/>
      <c r="AD3" s="231"/>
      <c r="AE3" s="231"/>
      <c r="AF3" s="231"/>
      <c r="AG3" s="231"/>
      <c r="AH3" s="231"/>
    </row>
    <row r="4" spans="1:34" s="203" customFormat="1" ht="15">
      <c r="A4" s="17"/>
      <c r="B4" s="883"/>
      <c r="C4" s="886"/>
      <c r="D4" s="887"/>
      <c r="E4" s="13"/>
      <c r="F4" s="14"/>
      <c r="G4" s="14"/>
      <c r="H4" s="15"/>
      <c r="I4" s="14"/>
      <c r="J4" s="231"/>
      <c r="K4" s="231"/>
      <c r="L4" s="231"/>
      <c r="M4" s="231"/>
      <c r="N4" s="231"/>
      <c r="O4" s="231"/>
      <c r="P4" s="231"/>
      <c r="Q4" s="231"/>
      <c r="R4" s="231"/>
      <c r="S4" s="231"/>
      <c r="T4" s="231"/>
      <c r="U4" s="231"/>
      <c r="V4" s="231"/>
      <c r="W4" s="231"/>
      <c r="X4" s="231"/>
      <c r="Y4" s="231"/>
      <c r="Z4" s="231"/>
      <c r="AA4" s="231"/>
      <c r="AB4" s="231"/>
      <c r="AC4" s="231"/>
      <c r="AD4" s="231"/>
      <c r="AE4" s="231"/>
      <c r="AF4" s="231"/>
      <c r="AG4" s="231"/>
      <c r="AH4" s="231"/>
    </row>
    <row r="5" spans="1:34" s="203" customFormat="1" ht="15">
      <c r="A5" s="888"/>
      <c r="B5" s="889"/>
      <c r="C5" s="18"/>
      <c r="D5" s="206"/>
      <c r="E5" s="206"/>
      <c r="F5" s="14"/>
      <c r="G5" s="14"/>
      <c r="H5" s="14"/>
      <c r="I5" s="234"/>
      <c r="J5" s="231"/>
      <c r="K5" s="231"/>
      <c r="L5" s="231"/>
      <c r="M5" s="231"/>
      <c r="N5" s="231"/>
      <c r="O5" s="231"/>
      <c r="P5" s="231"/>
      <c r="Q5" s="231"/>
      <c r="R5" s="231"/>
      <c r="S5" s="231"/>
      <c r="T5" s="231"/>
      <c r="U5" s="231"/>
      <c r="V5" s="231"/>
      <c r="W5" s="231"/>
      <c r="X5" s="231"/>
      <c r="Y5" s="231"/>
      <c r="Z5" s="231"/>
      <c r="AA5" s="231"/>
      <c r="AB5" s="231"/>
      <c r="AC5" s="231"/>
      <c r="AD5" s="231"/>
      <c r="AE5" s="231"/>
      <c r="AF5" s="231"/>
      <c r="AG5" s="231"/>
      <c r="AH5" s="231"/>
    </row>
    <row r="6" spans="1:34" s="203" customFormat="1" ht="23.25" customHeight="1">
      <c r="A6" s="19" t="s">
        <v>1</v>
      </c>
      <c r="B6" s="207"/>
      <c r="C6" s="20"/>
      <c r="D6" s="890" t="s">
        <v>249</v>
      </c>
      <c r="E6" s="890"/>
      <c r="F6" s="890"/>
      <c r="G6" s="890"/>
      <c r="H6" s="890"/>
      <c r="I6" s="29"/>
      <c r="J6" s="231"/>
      <c r="K6" s="231"/>
      <c r="L6" s="231"/>
      <c r="M6" s="231"/>
      <c r="N6" s="231"/>
      <c r="O6" s="231"/>
      <c r="P6" s="231"/>
      <c r="Q6" s="231"/>
      <c r="R6" s="231"/>
      <c r="S6" s="231"/>
      <c r="T6" s="231"/>
      <c r="U6" s="231"/>
      <c r="V6" s="231"/>
      <c r="W6" s="231"/>
      <c r="X6" s="231"/>
      <c r="Y6" s="231"/>
      <c r="Z6" s="231"/>
      <c r="AA6" s="231"/>
      <c r="AB6" s="231"/>
      <c r="AC6" s="231"/>
      <c r="AD6" s="231"/>
      <c r="AE6" s="231"/>
      <c r="AF6" s="231"/>
      <c r="AG6" s="231"/>
      <c r="AH6" s="231"/>
    </row>
    <row r="7" spans="1:34" s="203" customFormat="1" ht="18.75" customHeight="1">
      <c r="A7" s="19" t="s">
        <v>419</v>
      </c>
      <c r="B7" s="207"/>
      <c r="C7" s="207"/>
      <c r="D7" s="207"/>
      <c r="E7" s="207"/>
      <c r="F7" s="362" t="s">
        <v>250</v>
      </c>
      <c r="G7" s="1"/>
      <c r="H7" s="21"/>
      <c r="I7" s="29"/>
      <c r="J7" s="231"/>
      <c r="K7" s="231"/>
      <c r="L7" s="231"/>
      <c r="M7" s="231"/>
      <c r="N7" s="231"/>
      <c r="O7" s="231"/>
      <c r="P7" s="231"/>
      <c r="Q7" s="231"/>
      <c r="R7" s="231"/>
      <c r="S7" s="231"/>
      <c r="T7" s="231"/>
      <c r="U7" s="231"/>
      <c r="V7" s="231"/>
      <c r="W7" s="231"/>
      <c r="X7" s="231"/>
      <c r="Y7" s="231"/>
      <c r="Z7" s="231"/>
      <c r="AA7" s="231"/>
      <c r="AB7" s="231"/>
      <c r="AC7" s="231"/>
      <c r="AD7" s="231"/>
      <c r="AE7" s="231"/>
      <c r="AF7" s="231"/>
      <c r="AG7" s="231"/>
      <c r="AH7" s="231"/>
    </row>
    <row r="8" spans="1:34" s="203" customFormat="1" ht="24" customHeight="1">
      <c r="A8" s="22" t="s">
        <v>408</v>
      </c>
      <c r="B8" s="207"/>
      <c r="C8" s="207"/>
      <c r="D8" s="207"/>
      <c r="E8" s="207"/>
      <c r="F8" s="207"/>
      <c r="G8" s="689"/>
      <c r="H8" s="21"/>
      <c r="I8" s="29"/>
      <c r="J8" s="231"/>
      <c r="K8" s="231"/>
      <c r="L8" s="231"/>
      <c r="M8" s="231"/>
      <c r="N8" s="231"/>
      <c r="O8" s="231"/>
      <c r="P8" s="231"/>
      <c r="Q8" s="231"/>
      <c r="R8" s="231"/>
      <c r="S8" s="231"/>
      <c r="T8" s="231"/>
      <c r="U8" s="231"/>
      <c r="V8" s="231"/>
      <c r="W8" s="231"/>
      <c r="X8" s="231"/>
      <c r="Y8" s="231"/>
      <c r="Z8" s="231"/>
      <c r="AA8" s="231"/>
      <c r="AB8" s="231"/>
      <c r="AC8" s="231"/>
      <c r="AD8" s="231"/>
      <c r="AE8" s="231"/>
      <c r="AF8" s="231"/>
      <c r="AG8" s="231"/>
      <c r="AH8" s="231"/>
    </row>
    <row r="9" spans="1:34" s="203" customFormat="1" ht="30.75" customHeight="1">
      <c r="A9" s="891" t="s">
        <v>420</v>
      </c>
      <c r="B9" s="892"/>
      <c r="C9" s="892"/>
      <c r="D9" s="892"/>
      <c r="E9" s="892"/>
      <c r="F9" s="892"/>
      <c r="G9" s="892"/>
      <c r="H9" s="892"/>
      <c r="I9" s="892"/>
      <c r="J9" s="231"/>
      <c r="K9" s="231"/>
      <c r="L9" s="231"/>
      <c r="M9" s="231"/>
      <c r="N9" s="231"/>
      <c r="O9" s="231"/>
      <c r="P9" s="231"/>
      <c r="Q9" s="231"/>
      <c r="R9" s="231"/>
      <c r="S9" s="231"/>
      <c r="T9" s="231"/>
      <c r="U9" s="231"/>
      <c r="V9" s="231"/>
      <c r="W9" s="231"/>
      <c r="X9" s="231"/>
      <c r="Y9" s="231"/>
      <c r="Z9" s="231"/>
      <c r="AA9" s="231"/>
      <c r="AB9" s="231"/>
      <c r="AC9" s="231"/>
      <c r="AD9" s="231"/>
      <c r="AE9" s="231"/>
      <c r="AF9" s="231"/>
      <c r="AG9" s="231"/>
      <c r="AH9" s="231"/>
    </row>
    <row r="10" spans="1:34" s="203" customFormat="1" ht="12.75" customHeight="1">
      <c r="A10" s="22" t="s">
        <v>409</v>
      </c>
      <c r="B10" s="19"/>
      <c r="C10" s="1"/>
      <c r="D10" s="880" t="s">
        <v>250</v>
      </c>
      <c r="E10" s="881"/>
      <c r="F10" s="881"/>
      <c r="G10" s="207"/>
      <c r="H10" s="207"/>
      <c r="I10" s="29"/>
      <c r="J10" s="231"/>
      <c r="K10" s="231"/>
      <c r="L10" s="231"/>
      <c r="M10" s="231"/>
      <c r="N10" s="231"/>
      <c r="O10" s="231"/>
      <c r="P10" s="231"/>
      <c r="Q10" s="231"/>
      <c r="R10" s="231"/>
      <c r="S10" s="231"/>
      <c r="T10" s="231"/>
      <c r="U10" s="231"/>
      <c r="V10" s="231"/>
      <c r="W10" s="231"/>
      <c r="X10" s="231"/>
      <c r="Y10" s="231"/>
      <c r="Z10" s="231"/>
      <c r="AA10" s="231"/>
      <c r="AB10" s="231"/>
      <c r="AC10" s="231"/>
      <c r="AD10" s="231"/>
      <c r="AE10" s="231"/>
      <c r="AF10" s="231"/>
      <c r="AG10" s="231"/>
      <c r="AH10" s="231"/>
    </row>
    <row r="11" spans="1:34" s="203" customFormat="1">
      <c r="A11" s="23"/>
      <c r="B11" s="207"/>
      <c r="C11" s="207"/>
      <c r="D11" s="207"/>
      <c r="E11" s="207"/>
      <c r="F11" s="207"/>
      <c r="G11" s="21"/>
      <c r="H11" s="21"/>
      <c r="I11" s="29"/>
      <c r="J11" s="231"/>
      <c r="K11" s="231"/>
      <c r="L11" s="231"/>
      <c r="M11" s="231"/>
      <c r="N11" s="231"/>
      <c r="O11" s="231"/>
      <c r="P11" s="231"/>
      <c r="Q11" s="231"/>
      <c r="R11" s="231"/>
      <c r="S11" s="231"/>
      <c r="T11" s="231"/>
      <c r="U11" s="231"/>
      <c r="V11" s="231"/>
      <c r="W11" s="231"/>
      <c r="X11" s="231"/>
      <c r="Y11" s="231"/>
      <c r="Z11" s="231"/>
      <c r="AA11" s="231"/>
      <c r="AB11" s="231"/>
      <c r="AC11" s="231"/>
      <c r="AD11" s="231"/>
      <c r="AE11" s="231"/>
      <c r="AF11" s="231"/>
      <c r="AG11" s="231"/>
      <c r="AH11" s="231"/>
    </row>
    <row r="12" spans="1:34" s="203" customFormat="1">
      <c r="A12" s="24"/>
      <c r="B12" s="25" t="s">
        <v>7</v>
      </c>
      <c r="C12" s="26"/>
      <c r="D12" s="356"/>
      <c r="E12" s="356"/>
      <c r="F12" s="357"/>
      <c r="G12" s="21"/>
      <c r="H12" s="21"/>
      <c r="I12" s="29"/>
      <c r="J12" s="231"/>
      <c r="K12" s="231"/>
      <c r="L12" s="231"/>
      <c r="M12" s="231"/>
      <c r="N12" s="231"/>
      <c r="O12" s="231"/>
      <c r="P12" s="231"/>
      <c r="Q12" s="231"/>
      <c r="R12" s="231"/>
      <c r="S12" s="231"/>
      <c r="T12" s="231"/>
      <c r="U12" s="231"/>
      <c r="V12" s="231"/>
      <c r="W12" s="231"/>
      <c r="X12" s="231"/>
      <c r="Y12" s="231"/>
      <c r="Z12" s="231"/>
      <c r="AA12" s="231"/>
      <c r="AB12" s="231"/>
      <c r="AC12" s="231"/>
      <c r="AD12" s="231"/>
      <c r="AE12" s="231"/>
      <c r="AF12" s="231"/>
      <c r="AG12" s="231"/>
      <c r="AH12" s="231"/>
    </row>
    <row r="13" spans="1:34" s="203" customFormat="1">
      <c r="A13" s="23"/>
      <c r="B13" s="27"/>
      <c r="C13" s="358"/>
      <c r="D13" s="15"/>
      <c r="E13" s="15"/>
      <c r="F13" s="359"/>
      <c r="G13" s="207"/>
      <c r="H13" s="21"/>
      <c r="I13" s="29"/>
      <c r="J13" s="231"/>
      <c r="K13" s="231"/>
      <c r="L13" s="231"/>
      <c r="M13" s="231"/>
      <c r="N13" s="231"/>
      <c r="O13" s="231"/>
      <c r="P13" s="231"/>
      <c r="Q13" s="231"/>
      <c r="R13" s="231"/>
      <c r="S13" s="231"/>
      <c r="T13" s="231"/>
      <c r="U13" s="231"/>
      <c r="V13" s="231"/>
      <c r="W13" s="231"/>
      <c r="X13" s="231"/>
      <c r="Y13" s="231"/>
      <c r="Z13" s="231"/>
      <c r="AA13" s="231"/>
      <c r="AB13" s="231"/>
      <c r="AC13" s="231"/>
      <c r="AD13" s="231"/>
      <c r="AE13" s="231"/>
      <c r="AF13" s="231"/>
      <c r="AG13" s="231"/>
      <c r="AH13" s="231"/>
    </row>
    <row r="14" spans="1:34" s="203" customFormat="1">
      <c r="A14" s="23"/>
      <c r="B14" s="363" t="s">
        <v>328</v>
      </c>
      <c r="C14" s="870" t="s">
        <v>10</v>
      </c>
      <c r="D14" s="870"/>
      <c r="E14" s="870"/>
      <c r="F14" s="871"/>
      <c r="G14" s="207"/>
      <c r="H14" s="21"/>
      <c r="I14" s="29"/>
      <c r="J14" s="231"/>
      <c r="K14" s="231"/>
      <c r="L14" s="231"/>
      <c r="M14" s="231"/>
      <c r="N14" s="231"/>
      <c r="O14" s="231"/>
      <c r="P14" s="231"/>
      <c r="Q14" s="231"/>
      <c r="R14" s="231"/>
      <c r="S14" s="231"/>
      <c r="T14" s="231"/>
      <c r="U14" s="231"/>
      <c r="V14" s="231"/>
      <c r="W14" s="231"/>
      <c r="X14" s="231"/>
      <c r="Y14" s="231"/>
      <c r="Z14" s="231"/>
      <c r="AA14" s="231"/>
      <c r="AB14" s="231"/>
      <c r="AC14" s="231"/>
      <c r="AD14" s="231"/>
      <c r="AE14" s="231"/>
      <c r="AF14" s="231"/>
      <c r="AG14" s="231"/>
      <c r="AH14" s="231"/>
    </row>
    <row r="15" spans="1:34" s="203" customFormat="1">
      <c r="A15" s="23"/>
      <c r="B15" s="363" t="s">
        <v>329</v>
      </c>
      <c r="C15" s="870" t="s">
        <v>12</v>
      </c>
      <c r="D15" s="870"/>
      <c r="E15" s="870"/>
      <c r="F15" s="871"/>
      <c r="G15" s="207"/>
      <c r="H15" s="21"/>
      <c r="I15" s="29"/>
      <c r="J15" s="231"/>
      <c r="K15" s="231"/>
      <c r="L15" s="231"/>
      <c r="M15" s="231"/>
      <c r="N15" s="231"/>
      <c r="O15" s="231"/>
      <c r="P15" s="231"/>
      <c r="Q15" s="231"/>
      <c r="R15" s="231"/>
      <c r="S15" s="231"/>
      <c r="T15" s="231"/>
      <c r="U15" s="231"/>
      <c r="V15" s="231"/>
      <c r="W15" s="231"/>
      <c r="X15" s="231"/>
      <c r="Y15" s="231"/>
      <c r="Z15" s="231"/>
      <c r="AA15" s="231"/>
      <c r="AB15" s="231"/>
      <c r="AC15" s="231"/>
      <c r="AD15" s="231"/>
      <c r="AE15" s="231"/>
      <c r="AF15" s="231"/>
      <c r="AG15" s="231"/>
      <c r="AH15" s="231"/>
    </row>
    <row r="16" spans="1:34" s="203" customFormat="1">
      <c r="A16" s="23"/>
      <c r="B16" s="360" t="s">
        <v>14</v>
      </c>
      <c r="C16" s="870" t="s">
        <v>15</v>
      </c>
      <c r="D16" s="870"/>
      <c r="E16" s="870"/>
      <c r="F16" s="871"/>
      <c r="G16" s="207"/>
      <c r="H16" s="21"/>
      <c r="I16" s="29"/>
      <c r="J16" s="231"/>
      <c r="K16" s="231"/>
      <c r="L16" s="231"/>
      <c r="M16" s="231"/>
      <c r="N16" s="231"/>
      <c r="O16" s="231"/>
      <c r="P16" s="231"/>
      <c r="Q16" s="231"/>
      <c r="R16" s="231"/>
      <c r="S16" s="231"/>
      <c r="T16" s="231"/>
      <c r="U16" s="231"/>
      <c r="V16" s="231"/>
      <c r="W16" s="231"/>
      <c r="X16" s="231"/>
      <c r="Y16" s="231"/>
      <c r="Z16" s="231"/>
      <c r="AA16" s="231"/>
      <c r="AB16" s="231"/>
      <c r="AC16" s="231"/>
      <c r="AD16" s="231"/>
      <c r="AE16" s="231"/>
      <c r="AF16" s="231"/>
      <c r="AG16" s="231"/>
      <c r="AH16" s="231"/>
    </row>
    <row r="17" spans="1:34" s="203" customFormat="1">
      <c r="A17" s="23"/>
      <c r="B17" s="360" t="s">
        <v>17</v>
      </c>
      <c r="C17" s="870" t="s">
        <v>18</v>
      </c>
      <c r="D17" s="870"/>
      <c r="E17" s="870"/>
      <c r="F17" s="871"/>
      <c r="G17" s="207"/>
      <c r="H17" s="21"/>
      <c r="I17" s="29"/>
      <c r="J17" s="231"/>
      <c r="K17" s="231"/>
      <c r="L17" s="231"/>
      <c r="M17" s="231"/>
      <c r="N17" s="231"/>
      <c r="O17" s="231"/>
      <c r="P17" s="231"/>
      <c r="Q17" s="231"/>
      <c r="R17" s="231"/>
      <c r="S17" s="231"/>
      <c r="T17" s="231"/>
      <c r="U17" s="231"/>
      <c r="V17" s="231"/>
      <c r="W17" s="231"/>
      <c r="X17" s="231"/>
      <c r="Y17" s="231"/>
      <c r="Z17" s="231"/>
      <c r="AA17" s="231"/>
      <c r="AB17" s="231"/>
      <c r="AC17" s="231"/>
      <c r="AD17" s="231"/>
      <c r="AE17" s="231"/>
      <c r="AF17" s="231"/>
      <c r="AG17" s="231"/>
      <c r="AH17" s="231"/>
    </row>
    <row r="18" spans="1:34" s="203" customFormat="1">
      <c r="A18" s="23"/>
      <c r="B18" s="360" t="s">
        <v>20</v>
      </c>
      <c r="C18" s="870" t="s">
        <v>21</v>
      </c>
      <c r="D18" s="870"/>
      <c r="E18" s="870"/>
      <c r="F18" s="871"/>
      <c r="G18" s="207"/>
      <c r="H18" s="21"/>
      <c r="I18" s="29"/>
      <c r="J18" s="231"/>
      <c r="K18" s="231"/>
      <c r="L18" s="231"/>
      <c r="M18" s="231"/>
      <c r="N18" s="231"/>
      <c r="O18" s="231"/>
      <c r="P18" s="231"/>
      <c r="Q18" s="231"/>
      <c r="R18" s="231"/>
      <c r="S18" s="231"/>
      <c r="T18" s="231"/>
      <c r="U18" s="231"/>
      <c r="V18" s="231"/>
      <c r="W18" s="231"/>
      <c r="X18" s="231"/>
      <c r="Y18" s="231"/>
      <c r="Z18" s="231"/>
      <c r="AA18" s="231"/>
      <c r="AB18" s="231"/>
      <c r="AC18" s="231"/>
      <c r="AD18" s="231"/>
      <c r="AE18" s="231"/>
      <c r="AF18" s="231"/>
      <c r="AG18" s="231"/>
      <c r="AH18" s="231"/>
    </row>
    <row r="19" spans="1:34" s="203" customFormat="1">
      <c r="A19" s="23"/>
      <c r="B19" s="361" t="s">
        <v>23</v>
      </c>
      <c r="C19" s="872" t="s">
        <v>24</v>
      </c>
      <c r="D19" s="872"/>
      <c r="E19" s="872"/>
      <c r="F19" s="873"/>
      <c r="G19" s="21"/>
      <c r="H19" s="21"/>
      <c r="I19" s="29"/>
      <c r="J19" s="231"/>
      <c r="K19" s="231"/>
      <c r="L19" s="231"/>
      <c r="M19" s="231"/>
      <c r="N19" s="231"/>
      <c r="O19" s="231"/>
      <c r="P19" s="231"/>
      <c r="Q19" s="231"/>
      <c r="R19" s="231"/>
      <c r="S19" s="231"/>
      <c r="T19" s="231"/>
      <c r="U19" s="231"/>
      <c r="V19" s="231"/>
      <c r="W19" s="231"/>
      <c r="X19" s="231"/>
      <c r="Y19" s="231"/>
      <c r="Z19" s="231"/>
      <c r="AA19" s="231"/>
      <c r="AB19" s="231"/>
      <c r="AC19" s="231"/>
      <c r="AD19" s="231"/>
      <c r="AE19" s="231"/>
      <c r="AF19" s="231"/>
      <c r="AG19" s="231"/>
      <c r="AH19" s="231"/>
    </row>
    <row r="20" spans="1:34" s="203" customFormat="1">
      <c r="A20" s="236"/>
      <c r="B20" s="206"/>
      <c r="C20" s="206"/>
      <c r="D20" s="206"/>
      <c r="E20" s="206"/>
      <c r="F20" s="206"/>
      <c r="G20" s="206"/>
      <c r="H20" s="206"/>
      <c r="I20" s="206"/>
      <c r="J20" s="231"/>
      <c r="K20" s="231"/>
      <c r="L20" s="231"/>
      <c r="M20" s="231"/>
      <c r="N20" s="231"/>
      <c r="O20" s="231"/>
      <c r="P20" s="231"/>
      <c r="Q20" s="231"/>
      <c r="R20" s="231"/>
      <c r="S20" s="231"/>
      <c r="T20" s="231"/>
      <c r="U20" s="231"/>
      <c r="V20" s="231"/>
      <c r="W20" s="231"/>
      <c r="X20" s="231"/>
      <c r="Y20" s="231"/>
      <c r="Z20" s="231"/>
      <c r="AA20" s="231"/>
      <c r="AB20" s="231"/>
      <c r="AC20" s="231"/>
      <c r="AD20" s="231"/>
      <c r="AE20" s="231"/>
      <c r="AF20" s="231"/>
      <c r="AG20" s="231"/>
      <c r="AH20" s="231"/>
    </row>
    <row r="21" spans="1:34" s="203" customFormat="1" ht="19.5">
      <c r="A21" s="30"/>
      <c r="B21" s="13"/>
      <c r="C21" s="13"/>
      <c r="D21" s="13"/>
      <c r="E21" s="13"/>
      <c r="F21" s="13"/>
      <c r="G21" s="13"/>
      <c r="H21" s="31" t="s">
        <v>27</v>
      </c>
      <c r="I21" s="237"/>
      <c r="J21" s="231"/>
      <c r="K21" s="231"/>
      <c r="L21" s="231"/>
      <c r="M21" s="231"/>
      <c r="N21" s="231"/>
      <c r="O21" s="231"/>
      <c r="P21" s="231"/>
      <c r="Q21" s="231"/>
      <c r="R21" s="231"/>
      <c r="S21" s="231"/>
      <c r="T21" s="231"/>
      <c r="U21" s="231"/>
      <c r="V21" s="231"/>
      <c r="W21" s="231"/>
      <c r="X21" s="231"/>
      <c r="Y21" s="231"/>
      <c r="Z21" s="231"/>
      <c r="AA21" s="231"/>
      <c r="AB21" s="231"/>
      <c r="AC21" s="231"/>
      <c r="AD21" s="231"/>
      <c r="AE21" s="231"/>
      <c r="AF21" s="231"/>
      <c r="AG21" s="231"/>
      <c r="AH21" s="231"/>
    </row>
    <row r="22" spans="1:34" s="203" customFormat="1" ht="18.75" customHeight="1">
      <c r="A22" s="32"/>
      <c r="B22" s="29"/>
      <c r="C22" s="29"/>
      <c r="D22" s="29"/>
      <c r="E22" s="29"/>
      <c r="F22" s="33">
        <v>1</v>
      </c>
      <c r="G22" s="34"/>
      <c r="H22" s="33">
        <v>2</v>
      </c>
      <c r="I22" s="34"/>
      <c r="J22" s="231"/>
      <c r="K22" s="231"/>
      <c r="L22" s="231"/>
      <c r="M22" s="231"/>
      <c r="N22" s="231"/>
      <c r="O22" s="231"/>
      <c r="P22" s="231"/>
      <c r="Q22" s="231"/>
      <c r="R22" s="231"/>
      <c r="S22" s="231"/>
      <c r="T22" s="231"/>
      <c r="U22" s="231"/>
      <c r="V22" s="231"/>
      <c r="W22" s="231"/>
      <c r="X22" s="231"/>
      <c r="Y22" s="231"/>
      <c r="Z22" s="231"/>
      <c r="AA22" s="231"/>
      <c r="AB22" s="231"/>
      <c r="AC22" s="231"/>
      <c r="AD22" s="231"/>
      <c r="AE22" s="231"/>
      <c r="AF22" s="231"/>
      <c r="AG22" s="231"/>
      <c r="AH22" s="231"/>
    </row>
    <row r="23" spans="1:34" s="203" customFormat="1" ht="21.95" customHeight="1">
      <c r="A23" s="874" t="s">
        <v>30</v>
      </c>
      <c r="B23" s="875"/>
      <c r="C23" s="875"/>
      <c r="D23" s="875"/>
      <c r="E23" s="878" t="s">
        <v>376</v>
      </c>
      <c r="F23" s="856" t="s">
        <v>407</v>
      </c>
      <c r="G23" s="36"/>
      <c r="H23" s="878" t="s">
        <v>406</v>
      </c>
      <c r="I23" s="36"/>
      <c r="J23" s="231"/>
      <c r="K23" s="231"/>
      <c r="L23" s="231"/>
      <c r="M23" s="231"/>
      <c r="N23" s="231"/>
      <c r="O23" s="231"/>
      <c r="P23" s="231"/>
      <c r="Q23" s="231"/>
      <c r="R23" s="231"/>
      <c r="S23" s="231"/>
      <c r="T23" s="231"/>
      <c r="U23" s="231"/>
      <c r="V23" s="231"/>
      <c r="W23" s="231"/>
      <c r="X23" s="231"/>
      <c r="Y23" s="231"/>
      <c r="Z23" s="231"/>
      <c r="AA23" s="231"/>
      <c r="AB23" s="231"/>
      <c r="AC23" s="231"/>
      <c r="AD23" s="231"/>
      <c r="AE23" s="231"/>
      <c r="AF23" s="231"/>
      <c r="AG23" s="231"/>
      <c r="AH23" s="231"/>
    </row>
    <row r="24" spans="1:34" s="203" customFormat="1" ht="21.95" customHeight="1">
      <c r="A24" s="876"/>
      <c r="B24" s="877"/>
      <c r="C24" s="877"/>
      <c r="D24" s="877"/>
      <c r="E24" s="879"/>
      <c r="F24" s="860"/>
      <c r="G24" s="23"/>
      <c r="H24" s="879"/>
      <c r="I24" s="36"/>
      <c r="J24" s="231"/>
      <c r="K24" s="231"/>
      <c r="L24" s="231"/>
      <c r="M24" s="231"/>
      <c r="N24" s="231"/>
      <c r="O24" s="231"/>
      <c r="P24" s="231"/>
      <c r="Q24" s="231"/>
      <c r="R24" s="231"/>
      <c r="S24" s="231"/>
      <c r="T24" s="231"/>
      <c r="U24" s="231"/>
      <c r="V24" s="231"/>
      <c r="W24" s="231"/>
      <c r="X24" s="231"/>
      <c r="Y24" s="231"/>
      <c r="Z24" s="231"/>
      <c r="AA24" s="231"/>
      <c r="AB24" s="231"/>
      <c r="AC24" s="231"/>
      <c r="AD24" s="231"/>
      <c r="AE24" s="231"/>
      <c r="AF24" s="231"/>
      <c r="AG24" s="231"/>
      <c r="AH24" s="231"/>
    </row>
    <row r="25" spans="1:34" s="203" customFormat="1" ht="21.95" customHeight="1">
      <c r="A25" s="898" t="s">
        <v>48</v>
      </c>
      <c r="B25" s="901" t="s">
        <v>49</v>
      </c>
      <c r="C25" s="901"/>
      <c r="D25" s="902"/>
      <c r="E25" s="907" t="s">
        <v>50</v>
      </c>
      <c r="F25" s="909" t="s">
        <v>51</v>
      </c>
      <c r="G25" s="34"/>
      <c r="H25" s="907" t="s">
        <v>50</v>
      </c>
      <c r="I25" s="36"/>
      <c r="J25" s="231"/>
      <c r="K25" s="231"/>
      <c r="L25" s="231"/>
      <c r="M25" s="231"/>
      <c r="N25" s="231"/>
      <c r="O25" s="231"/>
      <c r="P25" s="231"/>
      <c r="Q25" s="231"/>
      <c r="R25" s="231"/>
      <c r="S25" s="231"/>
      <c r="T25" s="231"/>
      <c r="U25" s="231"/>
      <c r="V25" s="231"/>
      <c r="W25" s="231"/>
      <c r="X25" s="231"/>
      <c r="Y25" s="231"/>
      <c r="Z25" s="231"/>
      <c r="AA25" s="231"/>
      <c r="AB25" s="231"/>
      <c r="AC25" s="231"/>
      <c r="AD25" s="231"/>
      <c r="AE25" s="231"/>
      <c r="AF25" s="231"/>
      <c r="AG25" s="231"/>
      <c r="AH25" s="231"/>
    </row>
    <row r="26" spans="1:34" s="203" customFormat="1" ht="21.95" customHeight="1">
      <c r="A26" s="899"/>
      <c r="B26" s="903"/>
      <c r="C26" s="903"/>
      <c r="D26" s="904"/>
      <c r="E26" s="908"/>
      <c r="F26" s="859"/>
      <c r="G26" s="34"/>
      <c r="H26" s="908"/>
      <c r="I26" s="36"/>
      <c r="J26" s="231"/>
      <c r="K26" s="231"/>
      <c r="L26" s="231"/>
      <c r="M26" s="231"/>
      <c r="N26" s="231"/>
      <c r="O26" s="231"/>
      <c r="P26" s="231"/>
      <c r="Q26" s="231"/>
      <c r="R26" s="231"/>
      <c r="S26" s="231"/>
      <c r="T26" s="231"/>
      <c r="U26" s="231"/>
      <c r="V26" s="231"/>
      <c r="W26" s="231"/>
      <c r="X26" s="231"/>
      <c r="Y26" s="231"/>
      <c r="Z26" s="231"/>
      <c r="AA26" s="231"/>
      <c r="AB26" s="231"/>
      <c r="AC26" s="231"/>
      <c r="AD26" s="231"/>
      <c r="AE26" s="231"/>
      <c r="AF26" s="231"/>
      <c r="AG26" s="231"/>
      <c r="AH26" s="231"/>
    </row>
    <row r="27" spans="1:34" s="203" customFormat="1" ht="21.95" customHeight="1">
      <c r="A27" s="900"/>
      <c r="B27" s="905"/>
      <c r="C27" s="905"/>
      <c r="D27" s="906"/>
      <c r="E27" s="879"/>
      <c r="F27" s="860"/>
      <c r="G27" s="34"/>
      <c r="H27" s="879"/>
      <c r="I27" s="36"/>
      <c r="J27" s="231"/>
      <c r="K27" s="231"/>
      <c r="L27" s="231"/>
      <c r="M27" s="231"/>
      <c r="N27" s="231"/>
      <c r="O27" s="231"/>
      <c r="P27" s="231"/>
      <c r="Q27" s="231"/>
      <c r="R27" s="231"/>
      <c r="S27" s="231"/>
      <c r="T27" s="231"/>
      <c r="U27" s="231"/>
      <c r="V27" s="231"/>
      <c r="W27" s="231"/>
      <c r="X27" s="231"/>
      <c r="Y27" s="231"/>
      <c r="Z27" s="231"/>
      <c r="AA27" s="231"/>
      <c r="AB27" s="231"/>
      <c r="AC27" s="231"/>
      <c r="AD27" s="231"/>
      <c r="AE27" s="231"/>
      <c r="AF27" s="231"/>
      <c r="AG27" s="231"/>
      <c r="AH27" s="231"/>
    </row>
    <row r="28" spans="1:34" s="203" customFormat="1">
      <c r="A28" s="38">
        <v>1</v>
      </c>
      <c r="B28" s="39" t="s">
        <v>52</v>
      </c>
      <c r="C28" s="39"/>
      <c r="D28" s="40"/>
      <c r="E28" s="41">
        <v>92942</v>
      </c>
      <c r="F28" s="42">
        <f>F77</f>
        <v>93017</v>
      </c>
      <c r="G28" s="43"/>
      <c r="H28" s="44">
        <f>H77</f>
        <v>100911</v>
      </c>
      <c r="I28" s="43"/>
      <c r="J28" s="231"/>
      <c r="K28" s="231"/>
      <c r="L28" s="231"/>
      <c r="M28" s="231"/>
      <c r="N28" s="231"/>
      <c r="O28" s="231"/>
      <c r="P28" s="231"/>
      <c r="Q28" s="231"/>
      <c r="R28" s="231"/>
      <c r="S28" s="231"/>
      <c r="T28" s="231"/>
      <c r="U28" s="231"/>
      <c r="V28" s="231"/>
      <c r="W28" s="231"/>
      <c r="X28" s="231"/>
      <c r="Y28" s="231"/>
      <c r="Z28" s="231"/>
      <c r="AA28" s="231"/>
      <c r="AB28" s="231"/>
      <c r="AC28" s="231"/>
      <c r="AD28" s="231"/>
      <c r="AE28" s="231"/>
      <c r="AF28" s="231"/>
      <c r="AG28" s="231"/>
      <c r="AH28" s="231"/>
    </row>
    <row r="29" spans="1:34" s="203" customFormat="1">
      <c r="A29" s="46">
        <v>2</v>
      </c>
      <c r="B29" s="47" t="s">
        <v>53</v>
      </c>
      <c r="C29" s="47"/>
      <c r="D29" s="48"/>
      <c r="E29" s="49">
        <v>63950</v>
      </c>
      <c r="F29" s="50">
        <f>F105</f>
        <v>65947</v>
      </c>
      <c r="G29" s="43"/>
      <c r="H29" s="51">
        <f>H105</f>
        <v>66466</v>
      </c>
      <c r="I29" s="43"/>
      <c r="J29" s="231"/>
      <c r="K29" s="231"/>
      <c r="L29" s="231"/>
      <c r="M29" s="231"/>
      <c r="N29" s="231"/>
      <c r="O29" s="231"/>
      <c r="P29" s="231"/>
      <c r="Q29" s="231"/>
      <c r="R29" s="231"/>
      <c r="S29" s="231"/>
      <c r="T29" s="231"/>
      <c r="U29" s="231"/>
      <c r="V29" s="231"/>
      <c r="W29" s="231"/>
      <c r="X29" s="231"/>
      <c r="Y29" s="231"/>
      <c r="Z29" s="231"/>
      <c r="AA29" s="231"/>
      <c r="AB29" s="231"/>
      <c r="AC29" s="231"/>
      <c r="AD29" s="231"/>
      <c r="AE29" s="231"/>
      <c r="AF29" s="231"/>
      <c r="AG29" s="231"/>
      <c r="AH29" s="231"/>
    </row>
    <row r="30" spans="1:34" s="203" customFormat="1">
      <c r="A30" s="46">
        <v>3</v>
      </c>
      <c r="B30" s="47" t="s">
        <v>54</v>
      </c>
      <c r="C30" s="47"/>
      <c r="D30" s="48"/>
      <c r="E30" s="49">
        <v>5203</v>
      </c>
      <c r="F30" s="50">
        <f>F180</f>
        <v>5185</v>
      </c>
      <c r="G30" s="43"/>
      <c r="H30" s="51">
        <f>H180</f>
        <v>5380</v>
      </c>
      <c r="I30" s="43"/>
      <c r="J30" s="231"/>
      <c r="K30" s="231"/>
      <c r="L30" s="231"/>
      <c r="M30" s="231"/>
      <c r="N30" s="231"/>
      <c r="O30" s="231"/>
      <c r="P30" s="231"/>
      <c r="Q30" s="231"/>
      <c r="R30" s="231"/>
      <c r="S30" s="231"/>
      <c r="T30" s="231"/>
      <c r="U30" s="231"/>
      <c r="V30" s="231"/>
      <c r="W30" s="231"/>
      <c r="X30" s="231"/>
      <c r="Y30" s="231"/>
      <c r="Z30" s="231"/>
      <c r="AA30" s="231"/>
      <c r="AB30" s="231"/>
      <c r="AC30" s="231"/>
      <c r="AD30" s="231"/>
      <c r="AE30" s="231"/>
      <c r="AF30" s="231"/>
      <c r="AG30" s="231"/>
      <c r="AH30" s="231"/>
    </row>
    <row r="31" spans="1:34" s="203" customFormat="1">
      <c r="A31" s="46">
        <v>4</v>
      </c>
      <c r="B31" s="47" t="s">
        <v>55</v>
      </c>
      <c r="C31" s="47"/>
      <c r="D31" s="48"/>
      <c r="E31" s="49">
        <v>10520</v>
      </c>
      <c r="F31" s="50">
        <f>F214</f>
        <v>10632</v>
      </c>
      <c r="G31" s="43"/>
      <c r="H31" s="51">
        <f>H214</f>
        <v>10885</v>
      </c>
      <c r="I31" s="43"/>
      <c r="J31" s="231"/>
      <c r="K31" s="231"/>
      <c r="L31" s="231"/>
      <c r="M31" s="231"/>
      <c r="N31" s="231"/>
      <c r="O31" s="231"/>
      <c r="P31" s="231"/>
      <c r="Q31" s="231"/>
      <c r="R31" s="231"/>
      <c r="S31" s="231"/>
      <c r="T31" s="231"/>
      <c r="U31" s="231"/>
      <c r="V31" s="231"/>
      <c r="W31" s="231"/>
      <c r="X31" s="231"/>
      <c r="Y31" s="231"/>
      <c r="Z31" s="231"/>
      <c r="AA31" s="231"/>
      <c r="AB31" s="231"/>
      <c r="AC31" s="231"/>
      <c r="AD31" s="231"/>
      <c r="AE31" s="231"/>
      <c r="AF31" s="231"/>
      <c r="AG31" s="231"/>
      <c r="AH31" s="231"/>
    </row>
    <row r="32" spans="1:34" s="203" customFormat="1">
      <c r="A32" s="46">
        <v>5</v>
      </c>
      <c r="B32" s="47" t="s">
        <v>56</v>
      </c>
      <c r="C32" s="47"/>
      <c r="D32" s="48"/>
      <c r="E32" s="49">
        <v>5755</v>
      </c>
      <c r="F32" s="50">
        <f>F231</f>
        <v>5549</v>
      </c>
      <c r="G32" s="43"/>
      <c r="H32" s="51">
        <f>H231</f>
        <v>5442</v>
      </c>
      <c r="I32" s="43"/>
      <c r="J32" s="231"/>
      <c r="K32" s="231"/>
      <c r="L32" s="231"/>
      <c r="M32" s="231"/>
      <c r="N32" s="231"/>
      <c r="O32" s="231"/>
      <c r="P32" s="231"/>
      <c r="Q32" s="231"/>
      <c r="R32" s="231"/>
      <c r="S32" s="231"/>
      <c r="T32" s="231"/>
      <c r="U32" s="231"/>
      <c r="V32" s="231"/>
      <c r="W32" s="231"/>
      <c r="X32" s="231"/>
      <c r="Y32" s="231"/>
      <c r="Z32" s="231"/>
      <c r="AA32" s="231"/>
      <c r="AB32" s="231"/>
      <c r="AC32" s="231"/>
      <c r="AD32" s="231"/>
      <c r="AE32" s="231"/>
      <c r="AF32" s="231"/>
      <c r="AG32" s="231"/>
      <c r="AH32" s="231"/>
    </row>
    <row r="33" spans="1:34" s="203" customFormat="1">
      <c r="A33" s="46">
        <v>6</v>
      </c>
      <c r="B33" s="47" t="s">
        <v>57</v>
      </c>
      <c r="C33" s="47"/>
      <c r="D33" s="48"/>
      <c r="E33" s="49">
        <v>16375</v>
      </c>
      <c r="F33" s="50">
        <f>F257</f>
        <v>15983</v>
      </c>
      <c r="G33" s="43"/>
      <c r="H33" s="51">
        <f>H257</f>
        <v>16179</v>
      </c>
      <c r="I33" s="43"/>
      <c r="J33" s="231"/>
      <c r="K33" s="231"/>
      <c r="L33" s="231"/>
      <c r="M33" s="231"/>
      <c r="N33" s="231"/>
      <c r="O33" s="231"/>
      <c r="P33" s="231"/>
      <c r="Q33" s="231"/>
      <c r="R33" s="231"/>
      <c r="S33" s="231"/>
      <c r="T33" s="231"/>
      <c r="U33" s="231"/>
      <c r="V33" s="231"/>
      <c r="W33" s="231"/>
      <c r="X33" s="231"/>
      <c r="Y33" s="231"/>
      <c r="Z33" s="231"/>
      <c r="AA33" s="231"/>
      <c r="AB33" s="231"/>
      <c r="AC33" s="231"/>
      <c r="AD33" s="231"/>
      <c r="AE33" s="231"/>
      <c r="AF33" s="231"/>
      <c r="AG33" s="231"/>
      <c r="AH33" s="231"/>
    </row>
    <row r="34" spans="1:34" s="203" customFormat="1">
      <c r="A34" s="46">
        <v>7</v>
      </c>
      <c r="B34" s="47" t="s">
        <v>58</v>
      </c>
      <c r="C34" s="47"/>
      <c r="D34" s="48"/>
      <c r="E34" s="49">
        <v>5183</v>
      </c>
      <c r="F34" s="50">
        <f>F277</f>
        <v>5123</v>
      </c>
      <c r="G34" s="43"/>
      <c r="H34" s="50">
        <f>H277</f>
        <v>5279</v>
      </c>
      <c r="I34" s="43"/>
      <c r="J34" s="231"/>
      <c r="K34" s="231"/>
      <c r="L34" s="231"/>
      <c r="M34" s="231"/>
      <c r="N34" s="231"/>
      <c r="O34" s="231"/>
      <c r="P34" s="231"/>
      <c r="Q34" s="231"/>
      <c r="R34" s="231"/>
      <c r="S34" s="231"/>
      <c r="T34" s="231"/>
      <c r="U34" s="231"/>
      <c r="V34" s="231"/>
      <c r="W34" s="231"/>
      <c r="X34" s="231"/>
      <c r="Y34" s="231"/>
      <c r="Z34" s="231"/>
      <c r="AA34" s="231"/>
      <c r="AB34" s="231"/>
      <c r="AC34" s="231"/>
      <c r="AD34" s="231"/>
      <c r="AE34" s="231"/>
      <c r="AF34" s="231"/>
      <c r="AG34" s="231"/>
      <c r="AH34" s="231"/>
    </row>
    <row r="35" spans="1:34" s="203" customFormat="1">
      <c r="A35" s="46">
        <v>8</v>
      </c>
      <c r="B35" s="47" t="s">
        <v>59</v>
      </c>
      <c r="C35" s="47"/>
      <c r="D35" s="48"/>
      <c r="E35" s="49">
        <v>7414</v>
      </c>
      <c r="F35" s="50">
        <f>F302</f>
        <v>6841</v>
      </c>
      <c r="G35" s="43"/>
      <c r="H35" s="50">
        <f>H302</f>
        <v>7470</v>
      </c>
      <c r="I35" s="21"/>
      <c r="J35" s="231"/>
      <c r="K35" s="231"/>
      <c r="L35" s="231"/>
      <c r="M35" s="231"/>
      <c r="N35" s="231"/>
      <c r="O35" s="231"/>
      <c r="P35" s="231"/>
      <c r="Q35" s="231"/>
      <c r="R35" s="231"/>
      <c r="S35" s="231"/>
      <c r="T35" s="231"/>
      <c r="U35" s="231"/>
      <c r="V35" s="231"/>
      <c r="W35" s="231"/>
      <c r="X35" s="231"/>
      <c r="Y35" s="231"/>
      <c r="Z35" s="231"/>
      <c r="AA35" s="231"/>
      <c r="AB35" s="231"/>
      <c r="AC35" s="231"/>
      <c r="AD35" s="231"/>
      <c r="AE35" s="231"/>
      <c r="AF35" s="231"/>
      <c r="AG35" s="231"/>
      <c r="AH35" s="231"/>
    </row>
    <row r="36" spans="1:34" s="203" customFormat="1">
      <c r="A36" s="46">
        <v>9</v>
      </c>
      <c r="B36" s="47" t="s">
        <v>60</v>
      </c>
      <c r="C36" s="47"/>
      <c r="D36" s="48"/>
      <c r="E36" s="49">
        <v>0</v>
      </c>
      <c r="F36" s="52">
        <v>0</v>
      </c>
      <c r="G36" s="43"/>
      <c r="H36" s="52">
        <v>0</v>
      </c>
      <c r="I36" s="21"/>
      <c r="J36" s="231"/>
      <c r="K36" s="231"/>
      <c r="L36" s="231"/>
      <c r="M36" s="231"/>
      <c r="N36" s="231"/>
      <c r="O36" s="231"/>
      <c r="P36" s="231"/>
      <c r="Q36" s="231"/>
      <c r="R36" s="231"/>
      <c r="S36" s="231"/>
      <c r="T36" s="231"/>
      <c r="U36" s="231"/>
      <c r="V36" s="231"/>
      <c r="W36" s="231"/>
      <c r="X36" s="231"/>
      <c r="Y36" s="231"/>
      <c r="Z36" s="231"/>
      <c r="AA36" s="231"/>
      <c r="AB36" s="231"/>
      <c r="AC36" s="231"/>
      <c r="AD36" s="231"/>
      <c r="AE36" s="231"/>
      <c r="AF36" s="231"/>
      <c r="AG36" s="231"/>
      <c r="AH36" s="231"/>
    </row>
    <row r="37" spans="1:34" s="203" customFormat="1">
      <c r="A37" s="53">
        <v>10</v>
      </c>
      <c r="B37" s="54" t="s">
        <v>61</v>
      </c>
      <c r="C37" s="54"/>
      <c r="D37" s="55"/>
      <c r="E37" s="56">
        <v>23684</v>
      </c>
      <c r="F37" s="57">
        <f>F320</f>
        <v>23349</v>
      </c>
      <c r="G37" s="43"/>
      <c r="H37" s="57">
        <f>H320</f>
        <v>23793</v>
      </c>
      <c r="I37" s="21"/>
      <c r="J37" s="231"/>
      <c r="K37" s="231"/>
      <c r="L37" s="231"/>
      <c r="M37" s="231"/>
      <c r="N37" s="231"/>
      <c r="O37" s="231"/>
      <c r="P37" s="231"/>
      <c r="Q37" s="231"/>
      <c r="R37" s="231"/>
      <c r="S37" s="231"/>
      <c r="T37" s="231"/>
      <c r="U37" s="231"/>
      <c r="V37" s="231"/>
      <c r="W37" s="231"/>
      <c r="X37" s="231"/>
      <c r="Y37" s="231"/>
      <c r="Z37" s="231"/>
      <c r="AA37" s="231"/>
      <c r="AB37" s="231"/>
      <c r="AC37" s="231"/>
      <c r="AD37" s="231"/>
      <c r="AE37" s="231"/>
      <c r="AF37" s="231"/>
      <c r="AG37" s="231"/>
      <c r="AH37" s="231"/>
    </row>
    <row r="38" spans="1:34" s="203" customFormat="1">
      <c r="A38" s="33">
        <v>11</v>
      </c>
      <c r="B38" s="58" t="s">
        <v>62</v>
      </c>
      <c r="C38" s="58"/>
      <c r="D38" s="59"/>
      <c r="E38" s="60">
        <v>231026</v>
      </c>
      <c r="F38" s="61">
        <f>SUM(F28:F37)</f>
        <v>231626</v>
      </c>
      <c r="G38" s="43"/>
      <c r="H38" s="61">
        <f>SUM(H28:H37)</f>
        <v>241805</v>
      </c>
      <c r="I38" s="68"/>
      <c r="J38" s="231"/>
      <c r="K38" s="231"/>
      <c r="L38" s="231"/>
      <c r="M38" s="231"/>
      <c r="N38" s="231"/>
      <c r="O38" s="231"/>
      <c r="P38" s="231"/>
      <c r="Q38" s="231"/>
      <c r="R38" s="231"/>
      <c r="S38" s="231"/>
      <c r="T38" s="231"/>
      <c r="U38" s="231"/>
      <c r="V38" s="231"/>
      <c r="W38" s="231"/>
      <c r="X38" s="231"/>
      <c r="Y38" s="231"/>
      <c r="Z38" s="231"/>
      <c r="AA38" s="231"/>
      <c r="AB38" s="231"/>
      <c r="AC38" s="231"/>
      <c r="AD38" s="231"/>
      <c r="AE38" s="231"/>
      <c r="AF38" s="231"/>
      <c r="AG38" s="231"/>
      <c r="AH38" s="231"/>
    </row>
    <row r="39" spans="1:34" s="203" customFormat="1" ht="12.75" customHeight="1">
      <c r="A39" s="63"/>
      <c r="B39" s="64"/>
      <c r="C39" s="64"/>
      <c r="D39" s="65"/>
      <c r="E39" s="66"/>
      <c r="F39" s="67"/>
      <c r="G39" s="21"/>
      <c r="H39" s="67"/>
      <c r="I39" s="68"/>
      <c r="J39" s="231"/>
      <c r="K39" s="231"/>
      <c r="L39" s="231"/>
      <c r="M39" s="231"/>
      <c r="N39" s="231"/>
      <c r="O39" s="231"/>
      <c r="P39" s="231"/>
      <c r="Q39" s="231"/>
      <c r="R39" s="231"/>
      <c r="S39" s="231"/>
      <c r="T39" s="231"/>
      <c r="U39" s="231"/>
      <c r="V39" s="231"/>
      <c r="W39" s="231"/>
      <c r="X39" s="231"/>
      <c r="Y39" s="231"/>
      <c r="Z39" s="231"/>
      <c r="AA39" s="231"/>
      <c r="AB39" s="231"/>
      <c r="AC39" s="231"/>
      <c r="AD39" s="231"/>
      <c r="AE39" s="231"/>
      <c r="AF39" s="231"/>
      <c r="AG39" s="231"/>
      <c r="AH39" s="231"/>
    </row>
    <row r="40" spans="1:34" s="203" customFormat="1" ht="12.75" customHeight="1">
      <c r="A40" s="893" t="s">
        <v>63</v>
      </c>
      <c r="B40" s="894"/>
      <c r="C40" s="894"/>
      <c r="D40" s="895"/>
      <c r="E40" s="878" t="s">
        <v>376</v>
      </c>
      <c r="F40" s="856" t="s">
        <v>407</v>
      </c>
      <c r="G40" s="36"/>
      <c r="H40" s="878" t="s">
        <v>406</v>
      </c>
      <c r="I40" s="43"/>
      <c r="J40" s="231"/>
      <c r="K40" s="231"/>
      <c r="L40" s="231"/>
      <c r="M40" s="231"/>
      <c r="N40" s="231"/>
      <c r="O40" s="231"/>
      <c r="P40" s="231"/>
      <c r="Q40" s="231"/>
      <c r="R40" s="231"/>
      <c r="S40" s="231"/>
      <c r="T40" s="231"/>
      <c r="U40" s="231"/>
      <c r="V40" s="231"/>
      <c r="W40" s="231"/>
      <c r="X40" s="231"/>
      <c r="Y40" s="231"/>
      <c r="Z40" s="231"/>
      <c r="AA40" s="231"/>
      <c r="AB40" s="231"/>
      <c r="AC40" s="231"/>
      <c r="AD40" s="231"/>
      <c r="AE40" s="231"/>
      <c r="AF40" s="231"/>
      <c r="AG40" s="231"/>
      <c r="AH40" s="231"/>
    </row>
    <row r="41" spans="1:34" s="203" customFormat="1" ht="27.75" customHeight="1">
      <c r="A41" s="876"/>
      <c r="B41" s="877"/>
      <c r="C41" s="877"/>
      <c r="D41" s="896"/>
      <c r="E41" s="879"/>
      <c r="F41" s="860"/>
      <c r="G41" s="23"/>
      <c r="H41" s="879"/>
      <c r="I41" s="43"/>
      <c r="J41" s="231"/>
      <c r="K41" s="231"/>
      <c r="L41" s="231"/>
      <c r="M41" s="231"/>
      <c r="N41" s="231"/>
      <c r="O41" s="231"/>
      <c r="P41" s="231"/>
      <c r="Q41" s="231"/>
      <c r="R41" s="231"/>
      <c r="S41" s="231"/>
      <c r="T41" s="231"/>
      <c r="U41" s="231"/>
      <c r="V41" s="231"/>
      <c r="W41" s="231"/>
      <c r="X41" s="231"/>
      <c r="Y41" s="231"/>
      <c r="Z41" s="231"/>
      <c r="AA41" s="231"/>
      <c r="AB41" s="231"/>
      <c r="AC41" s="231"/>
      <c r="AD41" s="231"/>
      <c r="AE41" s="231"/>
      <c r="AF41" s="231"/>
      <c r="AG41" s="231"/>
      <c r="AH41" s="231"/>
    </row>
    <row r="42" spans="1:34" s="203" customFormat="1">
      <c r="A42" s="685" t="s">
        <v>64</v>
      </c>
      <c r="B42" s="69" t="s">
        <v>65</v>
      </c>
      <c r="C42" s="69"/>
      <c r="D42" s="70"/>
      <c r="E42" s="71"/>
      <c r="F42" s="72" t="str">
        <f>IF(OR(F43&lt;0,F44&lt;0,F47&lt;0,F48&lt;0,H43&lt;0,H44&lt;0,H47&lt;0,H48&lt;0),"Funding should be recorded as positive figures",".")</f>
        <v>.</v>
      </c>
      <c r="G42" s="45"/>
      <c r="H42" s="73"/>
      <c r="I42" s="43"/>
      <c r="J42" s="231"/>
      <c r="K42" s="231"/>
      <c r="L42" s="231"/>
      <c r="M42" s="231"/>
      <c r="N42" s="231"/>
      <c r="O42" s="231"/>
      <c r="P42" s="231"/>
      <c r="Q42" s="231"/>
      <c r="R42" s="231"/>
      <c r="S42" s="231"/>
      <c r="T42" s="231"/>
      <c r="U42" s="231"/>
      <c r="V42" s="231"/>
      <c r="W42" s="231"/>
      <c r="X42" s="231"/>
      <c r="Y42" s="231"/>
      <c r="Z42" s="231"/>
      <c r="AA42" s="231"/>
      <c r="AB42" s="231"/>
      <c r="AC42" s="231"/>
      <c r="AD42" s="231"/>
      <c r="AE42" s="231"/>
      <c r="AF42" s="231"/>
      <c r="AG42" s="231"/>
      <c r="AH42" s="231"/>
    </row>
    <row r="43" spans="1:34" s="203" customFormat="1">
      <c r="A43" s="46">
        <v>1</v>
      </c>
      <c r="B43" s="47" t="s">
        <v>66</v>
      </c>
      <c r="C43" s="47"/>
      <c r="D43" s="48"/>
      <c r="E43" s="74">
        <v>145309</v>
      </c>
      <c r="F43" s="241">
        <v>145184.00000000006</v>
      </c>
      <c r="G43" s="45"/>
      <c r="H43" s="75">
        <v>143537</v>
      </c>
      <c r="I43" s="43"/>
      <c r="J43" s="231"/>
      <c r="K43" s="231"/>
      <c r="L43" s="231"/>
      <c r="M43" s="231"/>
      <c r="N43" s="231"/>
      <c r="O43" s="231"/>
      <c r="P43" s="231"/>
      <c r="Q43" s="231"/>
      <c r="R43" s="231"/>
      <c r="S43" s="231"/>
      <c r="T43" s="231"/>
      <c r="U43" s="231"/>
      <c r="V43" s="231"/>
      <c r="W43" s="231"/>
      <c r="X43" s="231"/>
      <c r="Y43" s="231"/>
      <c r="Z43" s="231"/>
      <c r="AA43" s="231"/>
      <c r="AB43" s="231"/>
      <c r="AC43" s="231"/>
      <c r="AD43" s="231"/>
      <c r="AE43" s="231"/>
      <c r="AF43" s="231"/>
      <c r="AG43" s="231"/>
      <c r="AH43" s="231"/>
    </row>
    <row r="44" spans="1:34" s="203" customFormat="1">
      <c r="A44" s="46">
        <v>2</v>
      </c>
      <c r="B44" s="47" t="s">
        <v>67</v>
      </c>
      <c r="C44" s="47"/>
      <c r="D44" s="48"/>
      <c r="E44" s="49">
        <v>23744</v>
      </c>
      <c r="F44" s="241">
        <v>23744</v>
      </c>
      <c r="G44" s="45"/>
      <c r="H44" s="75">
        <v>25550</v>
      </c>
      <c r="I44" s="43"/>
      <c r="J44" s="231"/>
      <c r="K44" s="231"/>
      <c r="L44" s="231"/>
      <c r="M44" s="231"/>
      <c r="N44" s="231"/>
      <c r="O44" s="231"/>
      <c r="P44" s="231"/>
      <c r="Q44" s="231"/>
      <c r="R44" s="231"/>
      <c r="S44" s="231"/>
      <c r="T44" s="231"/>
      <c r="U44" s="231"/>
      <c r="V44" s="231"/>
      <c r="W44" s="231"/>
      <c r="X44" s="231"/>
      <c r="Y44" s="231"/>
      <c r="Z44" s="231"/>
      <c r="AA44" s="231"/>
      <c r="AB44" s="231"/>
      <c r="AC44" s="231"/>
      <c r="AD44" s="231"/>
      <c r="AE44" s="231"/>
      <c r="AF44" s="231"/>
      <c r="AG44" s="231"/>
      <c r="AH44" s="231"/>
    </row>
    <row r="45" spans="1:34" s="203" customFormat="1">
      <c r="A45" s="46">
        <v>3</v>
      </c>
      <c r="B45" s="47" t="s">
        <v>68</v>
      </c>
      <c r="C45" s="47"/>
      <c r="D45" s="48"/>
      <c r="E45" s="49">
        <v>0</v>
      </c>
      <c r="F45" s="52">
        <v>0</v>
      </c>
      <c r="G45" s="45"/>
      <c r="H45" s="75">
        <v>0</v>
      </c>
      <c r="I45" s="43"/>
      <c r="J45" s="231"/>
      <c r="K45" s="231"/>
      <c r="L45" s="231"/>
      <c r="M45" s="231"/>
      <c r="N45" s="231"/>
      <c r="O45" s="231"/>
      <c r="P45" s="231"/>
      <c r="Q45" s="231"/>
      <c r="R45" s="231"/>
      <c r="S45" s="231"/>
      <c r="T45" s="231"/>
      <c r="U45" s="231"/>
      <c r="V45" s="231"/>
      <c r="W45" s="231"/>
      <c r="X45" s="231"/>
      <c r="Y45" s="231"/>
      <c r="Z45" s="231"/>
      <c r="AA45" s="231"/>
      <c r="AB45" s="231"/>
      <c r="AC45" s="231"/>
      <c r="AD45" s="231"/>
      <c r="AE45" s="231"/>
      <c r="AF45" s="231"/>
      <c r="AG45" s="231"/>
      <c r="AH45" s="231"/>
    </row>
    <row r="46" spans="1:34" s="203" customFormat="1">
      <c r="A46" s="46">
        <v>4</v>
      </c>
      <c r="B46" s="47" t="s">
        <v>70</v>
      </c>
      <c r="C46" s="47"/>
      <c r="D46" s="48"/>
      <c r="E46" s="49">
        <v>0</v>
      </c>
      <c r="F46" s="52">
        <v>0</v>
      </c>
      <c r="G46" s="45"/>
      <c r="H46" s="75">
        <v>0</v>
      </c>
      <c r="I46" s="43"/>
      <c r="J46" s="231"/>
      <c r="K46" s="231"/>
      <c r="L46" s="231"/>
      <c r="M46" s="231"/>
      <c r="N46" s="231"/>
      <c r="O46" s="231"/>
      <c r="P46" s="231"/>
      <c r="Q46" s="231"/>
      <c r="R46" s="231"/>
      <c r="S46" s="231"/>
      <c r="T46" s="231"/>
      <c r="U46" s="231"/>
      <c r="V46" s="231"/>
      <c r="W46" s="231"/>
      <c r="X46" s="231"/>
      <c r="Y46" s="231"/>
      <c r="Z46" s="231"/>
      <c r="AA46" s="231"/>
      <c r="AB46" s="231"/>
      <c r="AC46" s="231"/>
      <c r="AD46" s="231"/>
      <c r="AE46" s="231"/>
      <c r="AF46" s="231"/>
      <c r="AG46" s="231"/>
      <c r="AH46" s="231"/>
    </row>
    <row r="47" spans="1:34" s="203" customFormat="1">
      <c r="A47" s="46">
        <v>5</v>
      </c>
      <c r="B47" s="47" t="s">
        <v>69</v>
      </c>
      <c r="C47" s="47"/>
      <c r="D47" s="48"/>
      <c r="E47" s="49">
        <v>3143</v>
      </c>
      <c r="F47" s="52">
        <v>3402</v>
      </c>
      <c r="G47" s="45"/>
      <c r="H47" s="76">
        <v>9403</v>
      </c>
      <c r="I47" s="43"/>
      <c r="J47" s="231"/>
      <c r="K47" s="231"/>
      <c r="L47" s="231"/>
      <c r="M47" s="231"/>
      <c r="N47" s="231"/>
      <c r="O47" s="231"/>
      <c r="P47" s="231"/>
      <c r="Q47" s="231"/>
      <c r="R47" s="231"/>
      <c r="S47" s="231"/>
      <c r="T47" s="231"/>
      <c r="U47" s="231"/>
      <c r="V47" s="231"/>
      <c r="W47" s="231"/>
      <c r="X47" s="231"/>
      <c r="Y47" s="231"/>
      <c r="Z47" s="231"/>
      <c r="AA47" s="231"/>
      <c r="AB47" s="231"/>
      <c r="AC47" s="231"/>
      <c r="AD47" s="231"/>
      <c r="AE47" s="231"/>
      <c r="AF47" s="231"/>
      <c r="AG47" s="231"/>
      <c r="AH47" s="231"/>
    </row>
    <row r="48" spans="1:34" s="203" customFormat="1">
      <c r="A48" s="46">
        <v>6</v>
      </c>
      <c r="B48" s="90" t="s">
        <v>253</v>
      </c>
      <c r="C48" s="47"/>
      <c r="D48" s="195"/>
      <c r="E48" s="49">
        <v>56690</v>
      </c>
      <c r="F48" s="52">
        <v>56059</v>
      </c>
      <c r="G48" s="45"/>
      <c r="H48" s="52">
        <v>60315</v>
      </c>
      <c r="I48" s="43"/>
      <c r="J48" s="231"/>
      <c r="K48" s="231"/>
      <c r="L48" s="231"/>
      <c r="M48" s="231"/>
      <c r="N48" s="231"/>
      <c r="O48" s="231"/>
      <c r="P48" s="231"/>
      <c r="Q48" s="231"/>
      <c r="R48" s="231"/>
      <c r="S48" s="231"/>
      <c r="T48" s="231"/>
      <c r="U48" s="231"/>
      <c r="V48" s="231"/>
      <c r="W48" s="231"/>
      <c r="X48" s="231"/>
      <c r="Y48" s="231"/>
      <c r="Z48" s="231"/>
      <c r="AA48" s="231"/>
      <c r="AB48" s="231"/>
      <c r="AC48" s="231"/>
      <c r="AD48" s="231"/>
      <c r="AE48" s="231"/>
      <c r="AF48" s="231"/>
      <c r="AG48" s="231"/>
      <c r="AH48" s="231"/>
    </row>
    <row r="49" spans="1:34" s="203" customFormat="1">
      <c r="A49" s="77">
        <v>7</v>
      </c>
      <c r="B49" s="78" t="s">
        <v>71</v>
      </c>
      <c r="C49" s="58"/>
      <c r="D49" s="79"/>
      <c r="E49" s="80">
        <v>228886</v>
      </c>
      <c r="F49" s="81">
        <f>SUM(F43:F48)</f>
        <v>228389.00000000006</v>
      </c>
      <c r="G49" s="82"/>
      <c r="H49" s="62">
        <f>SUM(H43:H48)</f>
        <v>238805</v>
      </c>
      <c r="I49" s="242"/>
      <c r="J49" s="231"/>
      <c r="K49" s="231"/>
      <c r="L49" s="231"/>
      <c r="M49" s="231"/>
      <c r="N49" s="231"/>
      <c r="O49" s="231"/>
      <c r="P49" s="231"/>
      <c r="Q49" s="231"/>
      <c r="R49" s="231"/>
      <c r="S49" s="231"/>
      <c r="T49" s="231"/>
      <c r="U49" s="231"/>
      <c r="V49" s="231"/>
      <c r="W49" s="231"/>
      <c r="X49" s="231"/>
      <c r="Y49" s="231"/>
      <c r="Z49" s="231"/>
      <c r="AA49" s="231"/>
      <c r="AB49" s="231"/>
      <c r="AC49" s="231"/>
      <c r="AD49" s="231"/>
      <c r="AE49" s="231"/>
      <c r="AF49" s="231"/>
      <c r="AG49" s="231"/>
      <c r="AH49" s="231"/>
    </row>
    <row r="50" spans="1:34" s="203" customFormat="1">
      <c r="A50" s="83"/>
      <c r="B50" s="244"/>
      <c r="C50" s="244"/>
      <c r="D50" s="244"/>
      <c r="E50" s="85"/>
      <c r="F50" s="244"/>
      <c r="G50" s="86"/>
      <c r="H50" s="86"/>
      <c r="I50" s="21"/>
      <c r="J50" s="231"/>
      <c r="K50" s="231"/>
      <c r="L50" s="231"/>
      <c r="M50" s="231"/>
      <c r="N50" s="231"/>
      <c r="O50" s="231"/>
      <c r="P50" s="231"/>
      <c r="Q50" s="231"/>
      <c r="R50" s="231"/>
      <c r="S50" s="231"/>
      <c r="T50" s="231"/>
      <c r="U50" s="231"/>
      <c r="V50" s="231"/>
      <c r="W50" s="231"/>
      <c r="X50" s="231"/>
      <c r="Y50" s="231"/>
      <c r="Z50" s="231"/>
      <c r="AA50" s="231"/>
      <c r="AB50" s="231"/>
      <c r="AC50" s="231"/>
      <c r="AD50" s="231"/>
      <c r="AE50" s="231"/>
      <c r="AF50" s="231"/>
      <c r="AG50" s="231"/>
      <c r="AH50" s="231"/>
    </row>
    <row r="51" spans="1:34" s="203" customFormat="1">
      <c r="A51" s="685" t="s">
        <v>72</v>
      </c>
      <c r="B51" s="196" t="s">
        <v>254</v>
      </c>
      <c r="C51" s="69"/>
      <c r="D51" s="70"/>
      <c r="E51" s="87"/>
      <c r="F51" s="88"/>
      <c r="G51" s="45"/>
      <c r="H51" s="89"/>
      <c r="I51" s="43"/>
      <c r="J51" s="231"/>
      <c r="K51" s="231"/>
      <c r="L51" s="231"/>
      <c r="M51" s="231"/>
      <c r="N51" s="231"/>
      <c r="O51" s="231"/>
      <c r="P51" s="231"/>
      <c r="Q51" s="231"/>
      <c r="R51" s="231"/>
      <c r="S51" s="231"/>
      <c r="T51" s="231"/>
      <c r="U51" s="231"/>
      <c r="V51" s="231"/>
      <c r="W51" s="231"/>
      <c r="X51" s="231"/>
      <c r="Y51" s="231"/>
      <c r="Z51" s="231"/>
      <c r="AA51" s="231"/>
      <c r="AB51" s="231"/>
      <c r="AC51" s="231"/>
      <c r="AD51" s="231"/>
      <c r="AE51" s="231"/>
      <c r="AF51" s="231"/>
      <c r="AG51" s="231"/>
      <c r="AH51" s="231"/>
    </row>
    <row r="52" spans="1:34" s="203" customFormat="1">
      <c r="A52" s="46">
        <v>8</v>
      </c>
      <c r="B52" s="90" t="s">
        <v>73</v>
      </c>
      <c r="C52" s="47"/>
      <c r="D52" s="48"/>
      <c r="E52" s="74">
        <v>231026</v>
      </c>
      <c r="F52" s="50">
        <f>F38</f>
        <v>231626</v>
      </c>
      <c r="G52" s="45"/>
      <c r="H52" s="91">
        <f>H38</f>
        <v>241805</v>
      </c>
      <c r="I52" s="43"/>
      <c r="J52" s="231"/>
      <c r="K52" s="231"/>
      <c r="L52" s="231"/>
      <c r="M52" s="231"/>
      <c r="N52" s="231"/>
      <c r="O52" s="231"/>
      <c r="P52" s="231"/>
      <c r="Q52" s="231"/>
      <c r="R52" s="231"/>
      <c r="S52" s="231"/>
      <c r="T52" s="231"/>
      <c r="U52" s="231"/>
      <c r="V52" s="231"/>
      <c r="W52" s="231"/>
      <c r="X52" s="231"/>
      <c r="Y52" s="231"/>
      <c r="Z52" s="231"/>
      <c r="AA52" s="231"/>
      <c r="AB52" s="231"/>
      <c r="AC52" s="231"/>
      <c r="AD52" s="231"/>
      <c r="AE52" s="231"/>
      <c r="AF52" s="231"/>
      <c r="AG52" s="231"/>
      <c r="AH52" s="231"/>
    </row>
    <row r="53" spans="1:34" s="203" customFormat="1">
      <c r="A53" s="46">
        <v>9</v>
      </c>
      <c r="B53" s="90" t="s">
        <v>74</v>
      </c>
      <c r="C53" s="47"/>
      <c r="D53" s="48"/>
      <c r="E53" s="49">
        <v>228886</v>
      </c>
      <c r="F53" s="92">
        <f>F49</f>
        <v>228389.00000000006</v>
      </c>
      <c r="G53" s="45"/>
      <c r="H53" s="91">
        <f>H49</f>
        <v>238805</v>
      </c>
      <c r="I53" s="43"/>
      <c r="J53" s="231"/>
      <c r="K53" s="231"/>
      <c r="L53" s="231"/>
      <c r="M53" s="231"/>
      <c r="N53" s="231"/>
      <c r="O53" s="231"/>
      <c r="P53" s="231"/>
      <c r="Q53" s="231"/>
      <c r="R53" s="231"/>
      <c r="S53" s="231"/>
      <c r="T53" s="231"/>
      <c r="U53" s="231"/>
      <c r="V53" s="231"/>
      <c r="W53" s="231"/>
      <c r="X53" s="231"/>
      <c r="Y53" s="231"/>
      <c r="Z53" s="231"/>
      <c r="AA53" s="231"/>
      <c r="AB53" s="231"/>
      <c r="AC53" s="231"/>
      <c r="AD53" s="231"/>
      <c r="AE53" s="231"/>
      <c r="AF53" s="231"/>
      <c r="AG53" s="231"/>
      <c r="AH53" s="231"/>
    </row>
    <row r="54" spans="1:34" s="203" customFormat="1">
      <c r="A54" s="687">
        <v>10</v>
      </c>
      <c r="B54" s="93" t="s">
        <v>255</v>
      </c>
      <c r="C54" s="94"/>
      <c r="D54" s="55"/>
      <c r="E54" s="95">
        <v>-2140</v>
      </c>
      <c r="F54" s="96">
        <f>F53-F52</f>
        <v>-3236.9999999999418</v>
      </c>
      <c r="G54" s="45"/>
      <c r="H54" s="97">
        <f>H53-H52</f>
        <v>-3000</v>
      </c>
      <c r="I54" s="43"/>
      <c r="J54" s="231"/>
      <c r="K54" s="231"/>
      <c r="L54" s="231"/>
      <c r="M54" s="231"/>
      <c r="N54" s="231"/>
      <c r="O54" s="231"/>
      <c r="P54" s="231"/>
      <c r="Q54" s="231"/>
      <c r="R54" s="231"/>
      <c r="S54" s="231"/>
      <c r="T54" s="231"/>
      <c r="U54" s="231"/>
      <c r="V54" s="231"/>
      <c r="W54" s="231"/>
      <c r="X54" s="231"/>
      <c r="Y54" s="231"/>
      <c r="Z54" s="231"/>
      <c r="AA54" s="231"/>
      <c r="AB54" s="231"/>
      <c r="AC54" s="231"/>
      <c r="AD54" s="231"/>
      <c r="AE54" s="231"/>
      <c r="AF54" s="231"/>
      <c r="AG54" s="231"/>
      <c r="AH54" s="231"/>
    </row>
    <row r="55" spans="1:34" s="203" customFormat="1">
      <c r="A55" s="83"/>
      <c r="B55" s="244"/>
      <c r="C55" s="244"/>
      <c r="D55" s="244"/>
      <c r="E55" s="85"/>
      <c r="F55" s="244"/>
      <c r="G55" s="86"/>
      <c r="H55" s="86"/>
      <c r="I55" s="21"/>
      <c r="J55" s="231"/>
      <c r="K55" s="231"/>
      <c r="L55" s="231"/>
      <c r="M55" s="231"/>
      <c r="N55" s="231"/>
      <c r="O55" s="231"/>
      <c r="P55" s="231"/>
      <c r="Q55" s="231"/>
      <c r="R55" s="231"/>
      <c r="S55" s="231"/>
      <c r="T55" s="231"/>
      <c r="U55" s="231"/>
      <c r="V55" s="231"/>
      <c r="W55" s="231"/>
      <c r="X55" s="231"/>
      <c r="Y55" s="231"/>
      <c r="Z55" s="231"/>
      <c r="AA55" s="231"/>
      <c r="AB55" s="231"/>
      <c r="AC55" s="231"/>
      <c r="AD55" s="231"/>
      <c r="AE55" s="231"/>
      <c r="AF55" s="231"/>
      <c r="AG55" s="231"/>
      <c r="AH55" s="231"/>
    </row>
    <row r="56" spans="1:34" s="203" customFormat="1">
      <c r="A56" s="685" t="s">
        <v>75</v>
      </c>
      <c r="B56" s="69" t="s">
        <v>256</v>
      </c>
      <c r="C56" s="69"/>
      <c r="D56" s="70"/>
      <c r="E56" s="87"/>
      <c r="F56" s="88"/>
      <c r="G56" s="45"/>
      <c r="H56" s="89"/>
      <c r="I56" s="43"/>
      <c r="J56" s="231"/>
      <c r="K56" s="231"/>
      <c r="L56" s="231"/>
      <c r="M56" s="231"/>
      <c r="N56" s="231"/>
      <c r="O56" s="231"/>
      <c r="P56" s="231"/>
      <c r="Q56" s="231"/>
      <c r="R56" s="231"/>
      <c r="S56" s="231"/>
      <c r="T56" s="231"/>
      <c r="U56" s="231"/>
      <c r="V56" s="231"/>
      <c r="W56" s="231"/>
      <c r="X56" s="231"/>
      <c r="Y56" s="231"/>
      <c r="Z56" s="231"/>
      <c r="AA56" s="231"/>
      <c r="AB56" s="231"/>
      <c r="AC56" s="231"/>
      <c r="AD56" s="231"/>
      <c r="AE56" s="231"/>
      <c r="AF56" s="231"/>
      <c r="AG56" s="231"/>
      <c r="AH56" s="231"/>
    </row>
    <row r="57" spans="1:34" s="203" customFormat="1">
      <c r="A57" s="46">
        <v>11</v>
      </c>
      <c r="B57" s="47" t="s">
        <v>76</v>
      </c>
      <c r="C57" s="47"/>
      <c r="D57" s="48"/>
      <c r="E57" s="74">
        <v>18999</v>
      </c>
      <c r="F57" s="52">
        <v>19036</v>
      </c>
      <c r="G57" s="45"/>
      <c r="H57" s="91">
        <f>F61</f>
        <v>15799.000000000058</v>
      </c>
      <c r="I57" s="43"/>
      <c r="J57" s="231"/>
      <c r="K57" s="231"/>
      <c r="L57" s="231"/>
      <c r="M57" s="231"/>
      <c r="N57" s="231"/>
      <c r="O57" s="231"/>
      <c r="P57" s="231"/>
      <c r="Q57" s="231"/>
      <c r="R57" s="231"/>
      <c r="S57" s="231"/>
      <c r="T57" s="231"/>
      <c r="U57" s="231"/>
      <c r="V57" s="231"/>
      <c r="W57" s="231"/>
      <c r="X57" s="231"/>
      <c r="Y57" s="231"/>
      <c r="Z57" s="231"/>
      <c r="AA57" s="231"/>
      <c r="AB57" s="231"/>
      <c r="AC57" s="231"/>
      <c r="AD57" s="231"/>
      <c r="AE57" s="231"/>
      <c r="AF57" s="231"/>
      <c r="AG57" s="231"/>
      <c r="AH57" s="231"/>
    </row>
    <row r="58" spans="1:34" s="203" customFormat="1">
      <c r="A58" s="46">
        <v>12</v>
      </c>
      <c r="B58" s="90" t="s">
        <v>257</v>
      </c>
      <c r="C58" s="47"/>
      <c r="D58" s="48"/>
      <c r="E58" s="49">
        <v>-2140</v>
      </c>
      <c r="F58" s="92">
        <f>F54</f>
        <v>-3236.9999999999418</v>
      </c>
      <c r="G58" s="45"/>
      <c r="H58" s="98">
        <f>H54</f>
        <v>-3000</v>
      </c>
      <c r="I58" s="43"/>
      <c r="J58" s="231"/>
      <c r="K58" s="231"/>
      <c r="L58" s="231"/>
      <c r="M58" s="231"/>
      <c r="N58" s="231"/>
      <c r="O58" s="231"/>
      <c r="P58" s="231"/>
      <c r="Q58" s="231"/>
      <c r="R58" s="231"/>
      <c r="S58" s="231"/>
      <c r="T58" s="231"/>
      <c r="U58" s="231"/>
      <c r="V58" s="231"/>
      <c r="W58" s="231"/>
      <c r="X58" s="231"/>
      <c r="Y58" s="231"/>
      <c r="Z58" s="231"/>
      <c r="AA58" s="231"/>
      <c r="AB58" s="231"/>
      <c r="AC58" s="231"/>
      <c r="AD58" s="231"/>
      <c r="AE58" s="231"/>
      <c r="AF58" s="231"/>
      <c r="AG58" s="231"/>
      <c r="AH58" s="231"/>
    </row>
    <row r="59" spans="1:34" s="203" customFormat="1">
      <c r="A59" s="46">
        <v>13</v>
      </c>
      <c r="B59" s="47" t="s">
        <v>77</v>
      </c>
      <c r="C59" s="47"/>
      <c r="D59" s="48"/>
      <c r="E59" s="49">
        <v>0</v>
      </c>
      <c r="F59" s="52">
        <v>0</v>
      </c>
      <c r="G59" s="45"/>
      <c r="H59" s="99">
        <v>0</v>
      </c>
      <c r="I59" s="43"/>
      <c r="J59" s="231"/>
      <c r="K59" s="231"/>
      <c r="L59" s="231"/>
      <c r="M59" s="231"/>
      <c r="N59" s="231"/>
      <c r="O59" s="231"/>
      <c r="P59" s="231"/>
      <c r="Q59" s="231"/>
      <c r="R59" s="231"/>
      <c r="S59" s="231"/>
      <c r="T59" s="231"/>
      <c r="U59" s="231"/>
      <c r="V59" s="231"/>
      <c r="W59" s="231"/>
      <c r="X59" s="231"/>
      <c r="Y59" s="231"/>
      <c r="Z59" s="231"/>
      <c r="AA59" s="231"/>
      <c r="AB59" s="231"/>
      <c r="AC59" s="231"/>
      <c r="AD59" s="231"/>
      <c r="AE59" s="231"/>
      <c r="AF59" s="231"/>
      <c r="AG59" s="231"/>
      <c r="AH59" s="231"/>
    </row>
    <row r="60" spans="1:34" s="203" customFormat="1">
      <c r="A60" s="46">
        <v>14</v>
      </c>
      <c r="B60" s="47" t="s">
        <v>78</v>
      </c>
      <c r="C60" s="47"/>
      <c r="D60" s="48"/>
      <c r="E60" s="49">
        <v>0</v>
      </c>
      <c r="F60" s="52">
        <v>0</v>
      </c>
      <c r="G60" s="45"/>
      <c r="H60" s="100">
        <v>0</v>
      </c>
      <c r="I60" s="43"/>
      <c r="J60" s="231"/>
      <c r="K60" s="231"/>
      <c r="L60" s="231"/>
      <c r="M60" s="231"/>
      <c r="N60" s="231"/>
      <c r="O60" s="231"/>
      <c r="P60" s="231"/>
      <c r="Q60" s="231"/>
      <c r="R60" s="231"/>
      <c r="S60" s="231"/>
      <c r="T60" s="231"/>
      <c r="U60" s="231"/>
      <c r="V60" s="231"/>
      <c r="W60" s="231"/>
      <c r="X60" s="231"/>
      <c r="Y60" s="231"/>
      <c r="Z60" s="231"/>
      <c r="AA60" s="231"/>
      <c r="AB60" s="231"/>
      <c r="AC60" s="231"/>
      <c r="AD60" s="231"/>
      <c r="AE60" s="231"/>
      <c r="AF60" s="231"/>
      <c r="AG60" s="231"/>
      <c r="AH60" s="231"/>
    </row>
    <row r="61" spans="1:34" s="203" customFormat="1">
      <c r="A61" s="53">
        <v>15</v>
      </c>
      <c r="B61" s="54" t="s">
        <v>79</v>
      </c>
      <c r="C61" s="54"/>
      <c r="D61" s="55"/>
      <c r="E61" s="56">
        <v>16859</v>
      </c>
      <c r="F61" s="96">
        <f>F57+F58+F59+F60</f>
        <v>15799.000000000058</v>
      </c>
      <c r="G61" s="45"/>
      <c r="H61" s="101">
        <f>H57+H58+H59+H60</f>
        <v>12799.000000000058</v>
      </c>
      <c r="I61" s="43"/>
      <c r="J61" s="231"/>
      <c r="K61" s="231"/>
      <c r="L61" s="231"/>
      <c r="M61" s="231"/>
      <c r="N61" s="231"/>
      <c r="O61" s="231"/>
      <c r="P61" s="231"/>
      <c r="Q61" s="231"/>
      <c r="R61" s="231"/>
      <c r="S61" s="231"/>
      <c r="T61" s="231"/>
      <c r="U61" s="231"/>
      <c r="V61" s="231"/>
      <c r="W61" s="231"/>
      <c r="X61" s="231"/>
      <c r="Y61" s="231"/>
      <c r="Z61" s="231"/>
      <c r="AA61" s="231"/>
      <c r="AB61" s="231"/>
      <c r="AC61" s="231"/>
      <c r="AD61" s="231"/>
      <c r="AE61" s="231"/>
      <c r="AF61" s="231"/>
      <c r="AG61" s="231"/>
      <c r="AH61" s="231"/>
    </row>
    <row r="62" spans="1:34" s="203" customFormat="1">
      <c r="A62" s="102"/>
      <c r="B62" s="207"/>
      <c r="C62" s="207"/>
      <c r="D62" s="207"/>
      <c r="E62" s="103"/>
      <c r="F62" s="21"/>
      <c r="G62" s="21"/>
      <c r="H62" s="21"/>
      <c r="I62" s="21"/>
      <c r="J62" s="231"/>
      <c r="K62" s="231"/>
      <c r="L62" s="231"/>
      <c r="M62" s="231"/>
      <c r="N62" s="231"/>
      <c r="O62" s="231"/>
      <c r="P62" s="231"/>
      <c r="Q62" s="231"/>
      <c r="R62" s="231"/>
      <c r="S62" s="231"/>
      <c r="T62" s="231"/>
      <c r="U62" s="231"/>
      <c r="V62" s="231"/>
      <c r="W62" s="231"/>
      <c r="X62" s="231"/>
      <c r="Y62" s="231"/>
      <c r="Z62" s="231"/>
      <c r="AA62" s="231"/>
      <c r="AB62" s="231"/>
      <c r="AC62" s="231"/>
      <c r="AD62" s="231"/>
      <c r="AE62" s="231"/>
      <c r="AF62" s="231"/>
      <c r="AG62" s="231"/>
      <c r="AH62" s="231"/>
    </row>
    <row r="63" spans="1:34" s="203" customFormat="1" ht="12.75" customHeight="1">
      <c r="A63" s="23"/>
      <c r="B63" s="207"/>
      <c r="C63" s="207"/>
      <c r="D63" s="207"/>
      <c r="E63" s="15"/>
      <c r="F63" s="207"/>
      <c r="G63" s="207"/>
      <c r="H63" s="21"/>
      <c r="I63" s="21"/>
      <c r="J63" s="231"/>
      <c r="K63" s="231"/>
      <c r="L63" s="231"/>
      <c r="M63" s="231"/>
      <c r="N63" s="231"/>
      <c r="O63" s="231"/>
      <c r="P63" s="231"/>
      <c r="Q63" s="231"/>
      <c r="R63" s="231"/>
      <c r="S63" s="231"/>
      <c r="T63" s="231"/>
      <c r="U63" s="231"/>
      <c r="V63" s="231"/>
      <c r="W63" s="231"/>
      <c r="X63" s="231"/>
      <c r="Y63" s="231"/>
      <c r="Z63" s="231"/>
      <c r="AA63" s="231"/>
      <c r="AB63" s="231"/>
      <c r="AC63" s="231"/>
      <c r="AD63" s="231"/>
      <c r="AE63" s="231"/>
      <c r="AF63" s="231"/>
      <c r="AG63" s="231"/>
      <c r="AH63" s="231"/>
    </row>
    <row r="64" spans="1:34" s="203" customFormat="1" ht="15">
      <c r="A64" s="104" t="s">
        <v>80</v>
      </c>
      <c r="B64" s="29"/>
      <c r="C64" s="29"/>
      <c r="D64" s="29"/>
      <c r="E64" s="15"/>
      <c r="F64" s="29"/>
      <c r="G64" s="29"/>
      <c r="H64" s="29"/>
      <c r="I64" s="29"/>
      <c r="J64" s="231"/>
      <c r="K64" s="231"/>
      <c r="L64" s="231"/>
      <c r="M64" s="231"/>
      <c r="N64" s="231"/>
      <c r="O64" s="231"/>
      <c r="P64" s="231"/>
      <c r="Q64" s="231"/>
      <c r="R64" s="231"/>
      <c r="S64" s="231"/>
      <c r="T64" s="231"/>
      <c r="U64" s="231"/>
      <c r="V64" s="231"/>
      <c r="W64" s="231"/>
      <c r="X64" s="231"/>
      <c r="Y64" s="231"/>
      <c r="Z64" s="231"/>
      <c r="AA64" s="231"/>
      <c r="AB64" s="231"/>
      <c r="AC64" s="231"/>
      <c r="AD64" s="231"/>
      <c r="AE64" s="231"/>
      <c r="AF64" s="231"/>
      <c r="AG64" s="231"/>
      <c r="AH64" s="231"/>
    </row>
    <row r="65" spans="1:34" s="203" customFormat="1">
      <c r="A65" s="32"/>
      <c r="B65" s="29"/>
      <c r="C65" s="29"/>
      <c r="D65" s="29"/>
      <c r="E65" s="105"/>
      <c r="F65" s="29"/>
      <c r="G65" s="29"/>
      <c r="H65" s="29"/>
      <c r="I65" s="131" t="s">
        <v>27</v>
      </c>
      <c r="J65" s="231"/>
      <c r="K65" s="231"/>
      <c r="L65" s="231"/>
      <c r="M65" s="231"/>
      <c r="N65" s="231"/>
      <c r="O65" s="231"/>
      <c r="P65" s="231"/>
      <c r="Q65" s="231"/>
      <c r="R65" s="231"/>
      <c r="S65" s="231"/>
      <c r="T65" s="231"/>
      <c r="U65" s="231"/>
      <c r="V65" s="231"/>
      <c r="W65" s="231"/>
      <c r="X65" s="231"/>
      <c r="Y65" s="231"/>
      <c r="Z65" s="231"/>
      <c r="AA65" s="231"/>
      <c r="AB65" s="231"/>
      <c r="AC65" s="231"/>
      <c r="AD65" s="231"/>
      <c r="AE65" s="231"/>
      <c r="AF65" s="231"/>
      <c r="AG65" s="231"/>
      <c r="AH65" s="231"/>
    </row>
    <row r="66" spans="1:34" s="203" customFormat="1">
      <c r="A66" s="106" t="s">
        <v>14</v>
      </c>
      <c r="B66" s="107"/>
      <c r="C66" s="107"/>
      <c r="D66" s="107"/>
      <c r="E66" s="856" t="s">
        <v>377</v>
      </c>
      <c r="F66" s="962" t="s">
        <v>402</v>
      </c>
      <c r="G66" s="867" t="s">
        <v>81</v>
      </c>
      <c r="H66" s="962" t="s">
        <v>403</v>
      </c>
      <c r="I66" s="867" t="s">
        <v>81</v>
      </c>
      <c r="J66" s="231"/>
      <c r="K66" s="231"/>
      <c r="L66" s="231"/>
      <c r="M66" s="231"/>
      <c r="N66" s="231"/>
      <c r="O66" s="231"/>
      <c r="P66" s="231"/>
      <c r="Q66" s="231"/>
      <c r="R66" s="231"/>
      <c r="S66" s="231"/>
      <c r="T66" s="231"/>
      <c r="U66" s="231"/>
      <c r="V66" s="231"/>
      <c r="W66" s="231"/>
      <c r="X66" s="231"/>
      <c r="Y66" s="231"/>
      <c r="Z66" s="231"/>
      <c r="AA66" s="231"/>
      <c r="AB66" s="231"/>
      <c r="AC66" s="231"/>
      <c r="AD66" s="231"/>
      <c r="AE66" s="231"/>
      <c r="AF66" s="231"/>
      <c r="AG66" s="231"/>
      <c r="AH66" s="231"/>
    </row>
    <row r="67" spans="1:34" s="203" customFormat="1" ht="21" customHeight="1">
      <c r="A67" s="108"/>
      <c r="B67" s="47"/>
      <c r="C67" s="47"/>
      <c r="D67" s="47"/>
      <c r="E67" s="859"/>
      <c r="F67" s="963"/>
      <c r="G67" s="868"/>
      <c r="H67" s="963"/>
      <c r="I67" s="868"/>
      <c r="J67" s="231"/>
      <c r="K67" s="231"/>
      <c r="L67" s="231"/>
      <c r="M67" s="231"/>
      <c r="N67" s="231"/>
      <c r="O67" s="231"/>
      <c r="P67" s="231"/>
      <c r="Q67" s="231"/>
      <c r="R67" s="231"/>
      <c r="S67" s="231"/>
      <c r="T67" s="231"/>
      <c r="U67" s="231"/>
      <c r="V67" s="231"/>
      <c r="W67" s="231"/>
      <c r="X67" s="231"/>
      <c r="Y67" s="231"/>
      <c r="Z67" s="231"/>
      <c r="AA67" s="231"/>
      <c r="AB67" s="231"/>
      <c r="AC67" s="231"/>
      <c r="AD67" s="231"/>
      <c r="AE67" s="231"/>
      <c r="AF67" s="231"/>
      <c r="AG67" s="231"/>
      <c r="AH67" s="231"/>
    </row>
    <row r="68" spans="1:34" s="203" customFormat="1">
      <c r="A68" s="109" t="s">
        <v>82</v>
      </c>
      <c r="B68" s="47"/>
      <c r="C68" s="47"/>
      <c r="D68" s="47"/>
      <c r="E68" s="859"/>
      <c r="F68" s="963"/>
      <c r="G68" s="868"/>
      <c r="H68" s="963"/>
      <c r="I68" s="868"/>
      <c r="J68" s="231"/>
      <c r="K68" s="231"/>
      <c r="L68" s="231"/>
      <c r="M68" s="231"/>
      <c r="N68" s="231"/>
      <c r="O68" s="231"/>
      <c r="P68" s="231"/>
      <c r="Q68" s="231"/>
      <c r="R68" s="231"/>
      <c r="S68" s="231"/>
      <c r="T68" s="231"/>
      <c r="U68" s="231"/>
      <c r="V68" s="231"/>
      <c r="W68" s="231"/>
      <c r="X68" s="231"/>
      <c r="Y68" s="231"/>
      <c r="Z68" s="231"/>
      <c r="AA68" s="231"/>
      <c r="AB68" s="231"/>
      <c r="AC68" s="231"/>
      <c r="AD68" s="231"/>
      <c r="AE68" s="231"/>
      <c r="AF68" s="231"/>
      <c r="AG68" s="231"/>
      <c r="AH68" s="231"/>
    </row>
    <row r="69" spans="1:34" s="203" customFormat="1">
      <c r="A69" s="109" t="s">
        <v>83</v>
      </c>
      <c r="B69" s="47"/>
      <c r="C69" s="47"/>
      <c r="D69" s="47"/>
      <c r="E69" s="859"/>
      <c r="F69" s="963"/>
      <c r="G69" s="868"/>
      <c r="H69" s="963"/>
      <c r="I69" s="868"/>
      <c r="J69" s="231"/>
      <c r="K69" s="231"/>
      <c r="L69" s="231"/>
      <c r="M69" s="231"/>
      <c r="N69" s="231"/>
      <c r="O69" s="231"/>
      <c r="P69" s="231"/>
      <c r="Q69" s="231"/>
      <c r="R69" s="231"/>
      <c r="S69" s="231"/>
      <c r="T69" s="231"/>
      <c r="U69" s="231"/>
      <c r="V69" s="231"/>
      <c r="W69" s="231"/>
      <c r="X69" s="231"/>
      <c r="Y69" s="231"/>
      <c r="Z69" s="231"/>
      <c r="AA69" s="231"/>
      <c r="AB69" s="231"/>
      <c r="AC69" s="231"/>
      <c r="AD69" s="231"/>
      <c r="AE69" s="231"/>
      <c r="AF69" s="231"/>
      <c r="AG69" s="231"/>
      <c r="AH69" s="231"/>
    </row>
    <row r="70" spans="1:34" s="203" customFormat="1">
      <c r="A70" s="110" t="s">
        <v>84</v>
      </c>
      <c r="B70" s="47"/>
      <c r="C70" s="47"/>
      <c r="D70" s="47"/>
      <c r="E70" s="860"/>
      <c r="F70" s="964"/>
      <c r="G70" s="869"/>
      <c r="H70" s="964"/>
      <c r="I70" s="869"/>
      <c r="J70" s="231"/>
      <c r="K70" s="231"/>
      <c r="L70" s="231"/>
      <c r="M70" s="231"/>
      <c r="N70" s="231"/>
      <c r="O70" s="231"/>
      <c r="P70" s="231"/>
      <c r="Q70" s="231"/>
      <c r="R70" s="231"/>
      <c r="S70" s="231"/>
      <c r="T70" s="231"/>
      <c r="U70" s="231"/>
      <c r="V70" s="231"/>
      <c r="W70" s="231"/>
      <c r="X70" s="231"/>
      <c r="Y70" s="231"/>
      <c r="Z70" s="231"/>
      <c r="AA70" s="231"/>
      <c r="AB70" s="231"/>
      <c r="AC70" s="231"/>
      <c r="AD70" s="231"/>
      <c r="AE70" s="231"/>
      <c r="AF70" s="231"/>
      <c r="AG70" s="231"/>
      <c r="AH70" s="231"/>
    </row>
    <row r="71" spans="1:34" s="203" customFormat="1">
      <c r="A71" s="111">
        <v>1</v>
      </c>
      <c r="B71" s="47" t="s">
        <v>85</v>
      </c>
      <c r="C71" s="47"/>
      <c r="D71" s="47"/>
      <c r="E71" s="41">
        <v>6106</v>
      </c>
      <c r="F71" s="247">
        <v>7048</v>
      </c>
      <c r="G71" s="112">
        <v>4174</v>
      </c>
      <c r="H71" s="248">
        <v>10730</v>
      </c>
      <c r="I71" s="112">
        <v>3319</v>
      </c>
      <c r="J71" s="231"/>
      <c r="K71" s="231"/>
      <c r="L71" s="231"/>
      <c r="M71" s="231"/>
      <c r="N71" s="231"/>
      <c r="O71" s="231"/>
      <c r="P71" s="231"/>
      <c r="Q71" s="231"/>
      <c r="R71" s="231"/>
      <c r="S71" s="231"/>
      <c r="T71" s="231"/>
      <c r="U71" s="231"/>
      <c r="V71" s="231"/>
      <c r="W71" s="231"/>
      <c r="X71" s="231"/>
      <c r="Y71" s="231"/>
      <c r="Z71" s="231"/>
      <c r="AA71" s="231"/>
      <c r="AB71" s="231"/>
      <c r="AC71" s="231"/>
      <c r="AD71" s="231"/>
      <c r="AE71" s="231"/>
      <c r="AF71" s="231"/>
      <c r="AG71" s="231"/>
      <c r="AH71" s="231"/>
    </row>
    <row r="72" spans="1:34" s="203" customFormat="1">
      <c r="A72" s="111">
        <v>2</v>
      </c>
      <c r="B72" s="47" t="s">
        <v>86</v>
      </c>
      <c r="C72" s="47"/>
      <c r="D72" s="47"/>
      <c r="E72" s="49">
        <v>40668</v>
      </c>
      <c r="F72" s="247">
        <v>40308</v>
      </c>
      <c r="G72" s="113">
        <v>26844</v>
      </c>
      <c r="H72" s="123">
        <v>42278</v>
      </c>
      <c r="I72" s="113">
        <v>28454</v>
      </c>
      <c r="J72" s="231"/>
      <c r="K72" s="231"/>
      <c r="L72" s="231"/>
      <c r="M72" s="231"/>
      <c r="N72" s="231"/>
      <c r="O72" s="231"/>
      <c r="P72" s="231"/>
      <c r="Q72" s="231"/>
      <c r="R72" s="231"/>
      <c r="S72" s="231"/>
      <c r="T72" s="231"/>
      <c r="U72" s="231"/>
      <c r="V72" s="231"/>
      <c r="W72" s="231"/>
      <c r="X72" s="231"/>
      <c r="Y72" s="231"/>
      <c r="Z72" s="231"/>
      <c r="AA72" s="231"/>
      <c r="AB72" s="231"/>
      <c r="AC72" s="231"/>
      <c r="AD72" s="231"/>
      <c r="AE72" s="231"/>
      <c r="AF72" s="231"/>
      <c r="AG72" s="231"/>
      <c r="AH72" s="231"/>
    </row>
    <row r="73" spans="1:34" s="203" customFormat="1">
      <c r="A73" s="111">
        <v>3</v>
      </c>
      <c r="B73" s="47" t="s">
        <v>87</v>
      </c>
      <c r="C73" s="47"/>
      <c r="D73" s="47"/>
      <c r="E73" s="114">
        <v>37275</v>
      </c>
      <c r="F73" s="247">
        <v>36490</v>
      </c>
      <c r="G73" s="113">
        <v>24635</v>
      </c>
      <c r="H73" s="123">
        <v>38545</v>
      </c>
      <c r="I73" s="113">
        <v>26208</v>
      </c>
      <c r="J73" s="231"/>
      <c r="K73" s="231"/>
      <c r="L73" s="231"/>
      <c r="M73" s="231"/>
      <c r="N73" s="231"/>
      <c r="O73" s="231"/>
      <c r="P73" s="231"/>
      <c r="Q73" s="231"/>
      <c r="R73" s="231"/>
      <c r="S73" s="231"/>
      <c r="T73" s="231"/>
      <c r="U73" s="231"/>
      <c r="V73" s="231"/>
      <c r="W73" s="231"/>
      <c r="X73" s="231"/>
      <c r="Y73" s="231"/>
      <c r="Z73" s="231"/>
      <c r="AA73" s="231"/>
      <c r="AB73" s="231"/>
      <c r="AC73" s="231"/>
      <c r="AD73" s="231"/>
      <c r="AE73" s="231"/>
      <c r="AF73" s="231"/>
      <c r="AG73" s="231"/>
      <c r="AH73" s="231"/>
    </row>
    <row r="74" spans="1:34" s="203" customFormat="1">
      <c r="A74" s="111">
        <v>4</v>
      </c>
      <c r="B74" s="47" t="s">
        <v>88</v>
      </c>
      <c r="C74" s="47"/>
      <c r="D74" s="47"/>
      <c r="E74" s="114">
        <v>8348</v>
      </c>
      <c r="F74" s="247">
        <v>8605</v>
      </c>
      <c r="G74" s="113">
        <v>3968</v>
      </c>
      <c r="H74" s="123">
        <v>8789</v>
      </c>
      <c r="I74" s="113">
        <v>4170</v>
      </c>
      <c r="J74" s="231"/>
      <c r="K74" s="231"/>
      <c r="L74" s="231"/>
      <c r="M74" s="231"/>
      <c r="N74" s="231"/>
      <c r="O74" s="231"/>
      <c r="P74" s="231"/>
      <c r="Q74" s="231"/>
      <c r="R74" s="231"/>
      <c r="S74" s="231"/>
      <c r="T74" s="231"/>
      <c r="U74" s="231"/>
      <c r="V74" s="231"/>
      <c r="W74" s="231"/>
      <c r="X74" s="231"/>
      <c r="Y74" s="231"/>
      <c r="Z74" s="231"/>
      <c r="AA74" s="231"/>
      <c r="AB74" s="231"/>
      <c r="AC74" s="231"/>
      <c r="AD74" s="231"/>
      <c r="AE74" s="231"/>
      <c r="AF74" s="231"/>
      <c r="AG74" s="231"/>
      <c r="AH74" s="231"/>
    </row>
    <row r="75" spans="1:34" s="203" customFormat="1">
      <c r="A75" s="111">
        <v>5</v>
      </c>
      <c r="B75" s="47" t="s">
        <v>89</v>
      </c>
      <c r="C75" s="47" t="s">
        <v>90</v>
      </c>
      <c r="D75" s="47"/>
      <c r="E75" s="114">
        <v>284</v>
      </c>
      <c r="F75" s="247">
        <v>299</v>
      </c>
      <c r="G75" s="113">
        <v>0</v>
      </c>
      <c r="H75" s="123">
        <v>301</v>
      </c>
      <c r="I75" s="113">
        <v>0</v>
      </c>
      <c r="J75" s="231"/>
      <c r="K75" s="231"/>
      <c r="L75" s="231"/>
      <c r="M75" s="231"/>
      <c r="N75" s="231"/>
      <c r="O75" s="231"/>
      <c r="P75" s="231"/>
      <c r="Q75" s="231"/>
      <c r="R75" s="231"/>
      <c r="S75" s="231"/>
      <c r="T75" s="231"/>
      <c r="U75" s="231"/>
      <c r="V75" s="231"/>
      <c r="W75" s="231"/>
      <c r="X75" s="231"/>
      <c r="Y75" s="231"/>
      <c r="Z75" s="231"/>
      <c r="AA75" s="231"/>
      <c r="AB75" s="231"/>
      <c r="AC75" s="231"/>
      <c r="AD75" s="231"/>
      <c r="AE75" s="231"/>
      <c r="AF75" s="231"/>
      <c r="AG75" s="231"/>
      <c r="AH75" s="231"/>
    </row>
    <row r="76" spans="1:34" s="203" customFormat="1">
      <c r="A76" s="686"/>
      <c r="B76" s="688"/>
      <c r="C76" s="47" t="s">
        <v>91</v>
      </c>
      <c r="D76" s="47"/>
      <c r="E76" s="114">
        <v>261</v>
      </c>
      <c r="F76" s="247">
        <v>267</v>
      </c>
      <c r="G76" s="115">
        <v>0</v>
      </c>
      <c r="H76" s="249">
        <v>268</v>
      </c>
      <c r="I76" s="115">
        <v>0</v>
      </c>
      <c r="J76" s="231"/>
      <c r="K76" s="231"/>
      <c r="L76" s="231"/>
      <c r="M76" s="231"/>
      <c r="N76" s="231"/>
      <c r="O76" s="231"/>
      <c r="P76" s="231"/>
      <c r="Q76" s="231"/>
      <c r="R76" s="231"/>
      <c r="S76" s="231"/>
      <c r="T76" s="231"/>
      <c r="U76" s="231"/>
      <c r="V76" s="231"/>
      <c r="W76" s="231"/>
      <c r="X76" s="231"/>
      <c r="Y76" s="231"/>
      <c r="Z76" s="231"/>
      <c r="AA76" s="231"/>
      <c r="AB76" s="231"/>
      <c r="AC76" s="231"/>
      <c r="AD76" s="231"/>
      <c r="AE76" s="231"/>
      <c r="AF76" s="231"/>
      <c r="AG76" s="231"/>
      <c r="AH76" s="231"/>
    </row>
    <row r="77" spans="1:34" s="203" customFormat="1">
      <c r="A77" s="111">
        <v>6</v>
      </c>
      <c r="B77" s="116" t="s">
        <v>92</v>
      </c>
      <c r="C77" s="116"/>
      <c r="D77" s="47"/>
      <c r="E77" s="80">
        <v>92942</v>
      </c>
      <c r="F77" s="250">
        <f>SUM(F71:F76)</f>
        <v>93017</v>
      </c>
      <c r="G77" s="251">
        <f>SUM(G71:G76)</f>
        <v>59621</v>
      </c>
      <c r="H77" s="252">
        <f>SUM(H71:H76)</f>
        <v>100911</v>
      </c>
      <c r="I77" s="251">
        <f>SUM(I71:I76)</f>
        <v>62151</v>
      </c>
      <c r="J77" s="231"/>
      <c r="K77" s="231"/>
      <c r="L77" s="231"/>
      <c r="M77" s="231"/>
      <c r="N77" s="231"/>
      <c r="O77" s="231"/>
      <c r="P77" s="231"/>
      <c r="Q77" s="231"/>
      <c r="R77" s="231"/>
      <c r="S77" s="231"/>
      <c r="T77" s="231"/>
      <c r="U77" s="231"/>
      <c r="V77" s="231"/>
      <c r="W77" s="231"/>
      <c r="X77" s="231"/>
      <c r="Y77" s="231"/>
      <c r="Z77" s="231"/>
      <c r="AA77" s="231"/>
      <c r="AB77" s="231"/>
      <c r="AC77" s="231"/>
      <c r="AD77" s="231"/>
      <c r="AE77" s="231"/>
      <c r="AF77" s="231"/>
      <c r="AG77" s="231"/>
      <c r="AH77" s="231"/>
    </row>
    <row r="78" spans="1:34" s="203" customFormat="1">
      <c r="A78" s="686"/>
      <c r="B78" s="47"/>
      <c r="C78" s="47"/>
      <c r="D78" s="47"/>
      <c r="E78" s="117"/>
      <c r="F78" s="118"/>
      <c r="G78" s="118"/>
      <c r="H78" s="118"/>
      <c r="I78" s="118"/>
      <c r="J78" s="231"/>
      <c r="K78" s="231"/>
      <c r="L78" s="231"/>
      <c r="M78" s="231"/>
      <c r="N78" s="231"/>
      <c r="O78" s="231"/>
      <c r="P78" s="231"/>
      <c r="Q78" s="231"/>
      <c r="R78" s="231"/>
      <c r="S78" s="231"/>
      <c r="T78" s="231"/>
      <c r="U78" s="231"/>
      <c r="V78" s="231"/>
      <c r="W78" s="231"/>
      <c r="X78" s="231"/>
      <c r="Y78" s="231"/>
      <c r="Z78" s="231"/>
      <c r="AA78" s="231"/>
      <c r="AB78" s="231"/>
      <c r="AC78" s="231"/>
      <c r="AD78" s="231"/>
      <c r="AE78" s="231"/>
      <c r="AF78" s="231"/>
      <c r="AG78" s="231"/>
      <c r="AH78" s="231"/>
    </row>
    <row r="79" spans="1:34" s="203" customFormat="1">
      <c r="A79" s="119" t="s">
        <v>93</v>
      </c>
      <c r="B79" s="116"/>
      <c r="C79" s="116"/>
      <c r="D79" s="116"/>
      <c r="E79" s="117"/>
      <c r="F79" s="118"/>
      <c r="G79" s="118"/>
      <c r="H79" s="118"/>
      <c r="I79" s="118"/>
      <c r="J79" s="231"/>
      <c r="K79" s="231"/>
      <c r="L79" s="231"/>
      <c r="M79" s="231"/>
      <c r="N79" s="231"/>
      <c r="O79" s="231"/>
      <c r="P79" s="231"/>
      <c r="Q79" s="231"/>
      <c r="R79" s="231"/>
      <c r="S79" s="231"/>
      <c r="T79" s="231"/>
      <c r="U79" s="231"/>
      <c r="V79" s="231"/>
      <c r="W79" s="231"/>
      <c r="X79" s="231"/>
      <c r="Y79" s="231"/>
      <c r="Z79" s="231"/>
      <c r="AA79" s="231"/>
      <c r="AB79" s="231"/>
      <c r="AC79" s="231"/>
      <c r="AD79" s="231"/>
      <c r="AE79" s="231"/>
      <c r="AF79" s="231"/>
      <c r="AG79" s="231"/>
      <c r="AH79" s="231"/>
    </row>
    <row r="80" spans="1:34" s="203" customFormat="1">
      <c r="A80" s="120">
        <v>7</v>
      </c>
      <c r="B80" s="47" t="s">
        <v>94</v>
      </c>
      <c r="C80" s="47"/>
      <c r="D80" s="47"/>
      <c r="E80" s="41">
        <v>195</v>
      </c>
      <c r="F80" s="253">
        <v>423</v>
      </c>
      <c r="G80" s="112">
        <v>423</v>
      </c>
      <c r="H80" s="248">
        <v>452</v>
      </c>
      <c r="I80" s="112">
        <v>452</v>
      </c>
      <c r="J80" s="231"/>
      <c r="K80" s="231"/>
      <c r="L80" s="231"/>
      <c r="M80" s="231"/>
      <c r="N80" s="231"/>
      <c r="O80" s="231"/>
      <c r="P80" s="231"/>
      <c r="Q80" s="231"/>
      <c r="R80" s="231"/>
      <c r="S80" s="231"/>
      <c r="T80" s="231"/>
      <c r="U80" s="231"/>
      <c r="V80" s="231"/>
      <c r="W80" s="231"/>
      <c r="X80" s="231"/>
      <c r="Y80" s="231"/>
      <c r="Z80" s="231"/>
      <c r="AA80" s="231"/>
      <c r="AB80" s="231"/>
      <c r="AC80" s="231"/>
      <c r="AD80" s="231"/>
      <c r="AE80" s="231"/>
      <c r="AF80" s="231"/>
      <c r="AG80" s="231"/>
      <c r="AH80" s="231"/>
    </row>
    <row r="81" spans="1:34" s="203" customFormat="1">
      <c r="A81" s="120">
        <v>8</v>
      </c>
      <c r="B81" s="47" t="s">
        <v>95</v>
      </c>
      <c r="C81" s="47"/>
      <c r="D81" s="47"/>
      <c r="E81" s="49">
        <v>25402</v>
      </c>
      <c r="F81" s="247">
        <v>27176</v>
      </c>
      <c r="G81" s="113">
        <v>27176</v>
      </c>
      <c r="H81" s="123">
        <v>29079</v>
      </c>
      <c r="I81" s="113">
        <v>29079</v>
      </c>
      <c r="J81" s="231"/>
      <c r="K81" s="231"/>
      <c r="L81" s="231"/>
      <c r="M81" s="231"/>
      <c r="N81" s="231"/>
      <c r="O81" s="231"/>
      <c r="P81" s="231"/>
      <c r="Q81" s="231"/>
      <c r="R81" s="231"/>
      <c r="S81" s="231"/>
      <c r="T81" s="231"/>
      <c r="U81" s="231"/>
      <c r="V81" s="231"/>
      <c r="W81" s="231"/>
      <c r="X81" s="231"/>
      <c r="Y81" s="231"/>
      <c r="Z81" s="231"/>
      <c r="AA81" s="231"/>
      <c r="AB81" s="231"/>
      <c r="AC81" s="231"/>
      <c r="AD81" s="231"/>
      <c r="AE81" s="231"/>
      <c r="AF81" s="231"/>
      <c r="AG81" s="231"/>
      <c r="AH81" s="231"/>
    </row>
    <row r="82" spans="1:34" s="203" customFormat="1">
      <c r="A82" s="120">
        <v>9</v>
      </c>
      <c r="B82" s="47" t="s">
        <v>96</v>
      </c>
      <c r="C82" s="47"/>
      <c r="D82" s="47"/>
      <c r="E82" s="49">
        <v>22689</v>
      </c>
      <c r="F82" s="247">
        <v>22645</v>
      </c>
      <c r="G82" s="113">
        <v>22645</v>
      </c>
      <c r="H82" s="123">
        <v>24230</v>
      </c>
      <c r="I82" s="113">
        <v>24230</v>
      </c>
      <c r="J82" s="231"/>
      <c r="K82" s="231"/>
      <c r="L82" s="231"/>
      <c r="M82" s="231"/>
      <c r="N82" s="231"/>
      <c r="O82" s="231"/>
      <c r="P82" s="231"/>
      <c r="Q82" s="231"/>
      <c r="R82" s="231"/>
      <c r="S82" s="231"/>
      <c r="T82" s="231"/>
      <c r="U82" s="231"/>
      <c r="V82" s="231"/>
      <c r="W82" s="231"/>
      <c r="X82" s="231"/>
      <c r="Y82" s="231"/>
      <c r="Z82" s="231"/>
      <c r="AA82" s="231"/>
      <c r="AB82" s="231"/>
      <c r="AC82" s="231"/>
      <c r="AD82" s="231"/>
      <c r="AE82" s="231"/>
      <c r="AF82" s="231"/>
      <c r="AG82" s="231"/>
      <c r="AH82" s="231"/>
    </row>
    <row r="83" spans="1:34" s="203" customFormat="1">
      <c r="A83" s="120">
        <v>10</v>
      </c>
      <c r="B83" s="90" t="s">
        <v>97</v>
      </c>
      <c r="C83" s="47"/>
      <c r="D83" s="47"/>
      <c r="E83" s="49">
        <v>12994</v>
      </c>
      <c r="F83" s="247">
        <v>12565</v>
      </c>
      <c r="G83" s="113">
        <v>4776</v>
      </c>
      <c r="H83" s="123">
        <v>12942</v>
      </c>
      <c r="I83" s="113">
        <v>4920</v>
      </c>
      <c r="J83" s="231"/>
      <c r="K83" s="231"/>
      <c r="L83" s="231"/>
      <c r="M83" s="231"/>
      <c r="N83" s="231"/>
      <c r="O83" s="231"/>
      <c r="P83" s="231"/>
      <c r="Q83" s="231"/>
      <c r="R83" s="231"/>
      <c r="S83" s="231"/>
      <c r="T83" s="231"/>
      <c r="U83" s="231"/>
      <c r="V83" s="231"/>
      <c r="W83" s="231"/>
      <c r="X83" s="231"/>
      <c r="Y83" s="231"/>
      <c r="Z83" s="231"/>
      <c r="AA83" s="231"/>
      <c r="AB83" s="231"/>
      <c r="AC83" s="231"/>
      <c r="AD83" s="231"/>
      <c r="AE83" s="231"/>
      <c r="AF83" s="231"/>
      <c r="AG83" s="231"/>
      <c r="AH83" s="231"/>
    </row>
    <row r="84" spans="1:34" s="203" customFormat="1">
      <c r="A84" s="120">
        <v>11</v>
      </c>
      <c r="B84" s="90" t="s">
        <v>98</v>
      </c>
      <c r="C84" s="47"/>
      <c r="D84" s="47"/>
      <c r="E84" s="49">
        <v>2869</v>
      </c>
      <c r="F84" s="247">
        <v>2466</v>
      </c>
      <c r="G84" s="113">
        <v>0</v>
      </c>
      <c r="H84" s="123">
        <v>2540</v>
      </c>
      <c r="I84" s="113">
        <v>0</v>
      </c>
      <c r="J84" s="231"/>
      <c r="K84" s="231"/>
      <c r="L84" s="231"/>
      <c r="M84" s="231"/>
      <c r="N84" s="231"/>
      <c r="O84" s="231"/>
      <c r="P84" s="231"/>
      <c r="Q84" s="231"/>
      <c r="R84" s="231"/>
      <c r="S84" s="231"/>
      <c r="T84" s="231"/>
      <c r="U84" s="231"/>
      <c r="V84" s="231"/>
      <c r="W84" s="231"/>
      <c r="X84" s="231"/>
      <c r="Y84" s="231"/>
      <c r="Z84" s="231"/>
      <c r="AA84" s="231"/>
      <c r="AB84" s="231"/>
      <c r="AC84" s="231"/>
      <c r="AD84" s="231"/>
      <c r="AE84" s="231"/>
      <c r="AF84" s="231"/>
      <c r="AG84" s="231"/>
      <c r="AH84" s="231"/>
    </row>
    <row r="85" spans="1:34" s="203" customFormat="1">
      <c r="A85" s="120">
        <v>12</v>
      </c>
      <c r="B85" s="47" t="s">
        <v>99</v>
      </c>
      <c r="C85" s="47"/>
      <c r="D85" s="47"/>
      <c r="E85" s="49">
        <v>2435</v>
      </c>
      <c r="F85" s="247">
        <v>2443</v>
      </c>
      <c r="G85" s="113">
        <v>0</v>
      </c>
      <c r="H85" s="123">
        <v>2516</v>
      </c>
      <c r="I85" s="113">
        <v>0</v>
      </c>
      <c r="J85" s="231"/>
      <c r="K85" s="231"/>
      <c r="L85" s="231"/>
      <c r="M85" s="231"/>
      <c r="N85" s="231"/>
      <c r="O85" s="231"/>
      <c r="P85" s="231"/>
      <c r="Q85" s="231"/>
      <c r="R85" s="231"/>
      <c r="S85" s="231"/>
      <c r="T85" s="231"/>
      <c r="U85" s="231"/>
      <c r="V85" s="231"/>
      <c r="W85" s="231"/>
      <c r="X85" s="231"/>
      <c r="Y85" s="231"/>
      <c r="Z85" s="231"/>
      <c r="AA85" s="231"/>
      <c r="AB85" s="231"/>
      <c r="AC85" s="231"/>
      <c r="AD85" s="231"/>
      <c r="AE85" s="231"/>
      <c r="AF85" s="231"/>
      <c r="AG85" s="231"/>
      <c r="AH85" s="231"/>
    </row>
    <row r="86" spans="1:34" s="203" customFormat="1">
      <c r="A86" s="120">
        <v>13</v>
      </c>
      <c r="B86" s="47" t="s">
        <v>100</v>
      </c>
      <c r="C86" s="47"/>
      <c r="D86" s="47"/>
      <c r="E86" s="49">
        <v>12521</v>
      </c>
      <c r="F86" s="247">
        <v>13468</v>
      </c>
      <c r="G86" s="113">
        <v>13468</v>
      </c>
      <c r="H86" s="123">
        <v>13872</v>
      </c>
      <c r="I86" s="113">
        <v>13872</v>
      </c>
      <c r="J86" s="231"/>
      <c r="K86" s="231"/>
      <c r="L86" s="231"/>
      <c r="M86" s="231"/>
      <c r="N86" s="231"/>
      <c r="O86" s="231"/>
      <c r="P86" s="231"/>
      <c r="Q86" s="231"/>
      <c r="R86" s="231"/>
      <c r="S86" s="231"/>
      <c r="T86" s="231"/>
      <c r="U86" s="231"/>
      <c r="V86" s="231"/>
      <c r="W86" s="231"/>
      <c r="X86" s="231"/>
      <c r="Y86" s="231"/>
      <c r="Z86" s="231"/>
      <c r="AA86" s="231"/>
      <c r="AB86" s="231"/>
      <c r="AC86" s="231"/>
      <c r="AD86" s="231"/>
      <c r="AE86" s="231"/>
      <c r="AF86" s="231"/>
      <c r="AG86" s="231"/>
      <c r="AH86" s="231"/>
    </row>
    <row r="87" spans="1:34" s="203" customFormat="1">
      <c r="A87" s="120">
        <v>14</v>
      </c>
      <c r="B87" s="47" t="s">
        <v>101</v>
      </c>
      <c r="C87" s="47"/>
      <c r="D87" s="47"/>
      <c r="E87" s="49">
        <v>0</v>
      </c>
      <c r="F87" s="247">
        <v>0</v>
      </c>
      <c r="G87" s="113">
        <v>0</v>
      </c>
      <c r="H87" s="123">
        <v>0</v>
      </c>
      <c r="I87" s="113">
        <v>0</v>
      </c>
      <c r="J87" s="231"/>
      <c r="K87" s="231"/>
      <c r="L87" s="231"/>
      <c r="M87" s="231"/>
      <c r="N87" s="231"/>
      <c r="O87" s="231"/>
      <c r="P87" s="231"/>
      <c r="Q87" s="231"/>
      <c r="R87" s="231"/>
      <c r="S87" s="231"/>
      <c r="T87" s="231"/>
      <c r="U87" s="231"/>
      <c r="V87" s="231"/>
      <c r="W87" s="231"/>
      <c r="X87" s="231"/>
      <c r="Y87" s="231"/>
      <c r="Z87" s="231"/>
      <c r="AA87" s="231"/>
      <c r="AB87" s="231"/>
      <c r="AC87" s="231"/>
      <c r="AD87" s="231"/>
      <c r="AE87" s="231"/>
      <c r="AF87" s="231"/>
      <c r="AG87" s="231"/>
      <c r="AH87" s="231"/>
    </row>
    <row r="88" spans="1:34" s="203" customFormat="1">
      <c r="A88" s="124">
        <v>15</v>
      </c>
      <c r="B88" s="125" t="s">
        <v>102</v>
      </c>
      <c r="C88" s="54"/>
      <c r="D88" s="54"/>
      <c r="E88" s="56">
        <v>0</v>
      </c>
      <c r="F88" s="254">
        <v>0</v>
      </c>
      <c r="G88" s="127">
        <v>0</v>
      </c>
      <c r="H88" s="255">
        <v>0</v>
      </c>
      <c r="I88" s="127">
        <v>0</v>
      </c>
      <c r="J88" s="231"/>
      <c r="K88" s="231"/>
      <c r="L88" s="231"/>
      <c r="M88" s="231"/>
      <c r="N88" s="231"/>
      <c r="O88" s="231"/>
      <c r="P88" s="231"/>
      <c r="Q88" s="231"/>
      <c r="R88" s="231"/>
      <c r="S88" s="231"/>
      <c r="T88" s="231"/>
      <c r="U88" s="231"/>
      <c r="V88" s="231"/>
      <c r="W88" s="231"/>
      <c r="X88" s="231"/>
      <c r="Y88" s="231"/>
      <c r="Z88" s="231"/>
      <c r="AA88" s="231"/>
      <c r="AB88" s="231"/>
      <c r="AC88" s="231"/>
      <c r="AD88" s="231"/>
      <c r="AE88" s="231"/>
      <c r="AF88" s="231"/>
      <c r="AG88" s="231"/>
      <c r="AH88" s="231"/>
    </row>
    <row r="89" spans="1:34" s="203" customFormat="1">
      <c r="A89" s="128"/>
      <c r="B89" s="129"/>
      <c r="C89" s="129"/>
      <c r="D89" s="129"/>
      <c r="E89" s="15"/>
      <c r="F89" s="130"/>
      <c r="G89" s="29"/>
      <c r="H89" s="207"/>
      <c r="I89" s="29"/>
      <c r="J89" s="231"/>
      <c r="K89" s="231"/>
      <c r="L89" s="231"/>
      <c r="M89" s="231"/>
      <c r="N89" s="231"/>
      <c r="O89" s="231"/>
      <c r="P89" s="231"/>
      <c r="Q89" s="231"/>
      <c r="R89" s="231"/>
      <c r="S89" s="231"/>
      <c r="T89" s="231"/>
      <c r="U89" s="231"/>
      <c r="V89" s="231"/>
      <c r="W89" s="231"/>
      <c r="X89" s="231"/>
      <c r="Y89" s="231"/>
      <c r="Z89" s="231"/>
      <c r="AA89" s="231"/>
      <c r="AB89" s="231"/>
      <c r="AC89" s="231"/>
      <c r="AD89" s="231"/>
      <c r="AE89" s="231"/>
      <c r="AF89" s="231"/>
      <c r="AG89" s="231"/>
      <c r="AH89" s="231"/>
    </row>
    <row r="90" spans="1:34" s="203" customFormat="1">
      <c r="A90" s="128"/>
      <c r="B90" s="129"/>
      <c r="C90" s="129"/>
      <c r="D90" s="129"/>
      <c r="E90" s="105"/>
      <c r="F90" s="130"/>
      <c r="G90" s="29"/>
      <c r="H90" s="131" t="s">
        <v>27</v>
      </c>
      <c r="I90" s="29"/>
      <c r="J90" s="231"/>
      <c r="K90" s="231"/>
      <c r="L90" s="231"/>
      <c r="M90" s="231"/>
      <c r="N90" s="231"/>
      <c r="O90" s="231"/>
      <c r="P90" s="231"/>
      <c r="Q90" s="231"/>
      <c r="R90" s="231"/>
      <c r="S90" s="231"/>
      <c r="T90" s="231"/>
      <c r="U90" s="231"/>
      <c r="V90" s="231"/>
      <c r="W90" s="231"/>
      <c r="X90" s="231"/>
      <c r="Y90" s="231"/>
      <c r="Z90" s="231"/>
      <c r="AA90" s="231"/>
      <c r="AB90" s="231"/>
      <c r="AC90" s="231"/>
      <c r="AD90" s="231"/>
      <c r="AE90" s="231"/>
      <c r="AF90" s="231"/>
      <c r="AG90" s="231"/>
      <c r="AH90" s="231"/>
    </row>
    <row r="91" spans="1:34" s="203" customFormat="1">
      <c r="A91" s="106" t="s">
        <v>17</v>
      </c>
      <c r="B91" s="107"/>
      <c r="C91" s="107"/>
      <c r="D91" s="107"/>
      <c r="E91" s="856" t="s">
        <v>421</v>
      </c>
      <c r="F91" s="856" t="s">
        <v>402</v>
      </c>
      <c r="G91" s="257"/>
      <c r="H91" s="856" t="s">
        <v>403</v>
      </c>
      <c r="I91" s="29"/>
      <c r="J91" s="231"/>
      <c r="K91" s="231"/>
      <c r="L91" s="231"/>
      <c r="M91" s="231"/>
      <c r="N91" s="231"/>
      <c r="O91" s="231"/>
      <c r="P91" s="231"/>
      <c r="Q91" s="231"/>
      <c r="R91" s="231"/>
      <c r="S91" s="231"/>
      <c r="T91" s="231"/>
      <c r="U91" s="231"/>
      <c r="V91" s="231"/>
      <c r="W91" s="231"/>
      <c r="X91" s="231"/>
      <c r="Y91" s="231"/>
      <c r="Z91" s="231"/>
      <c r="AA91" s="231"/>
      <c r="AB91" s="231"/>
      <c r="AC91" s="231"/>
      <c r="AD91" s="231"/>
      <c r="AE91" s="231"/>
      <c r="AF91" s="231"/>
      <c r="AG91" s="231"/>
      <c r="AH91" s="231"/>
    </row>
    <row r="92" spans="1:34" s="203" customFormat="1" ht="12.75" customHeight="1">
      <c r="A92" s="109"/>
      <c r="B92" s="132"/>
      <c r="C92" s="132"/>
      <c r="D92" s="132"/>
      <c r="E92" s="859"/>
      <c r="F92" s="859"/>
      <c r="G92" s="29"/>
      <c r="H92" s="859"/>
      <c r="I92" s="29"/>
      <c r="J92" s="231"/>
      <c r="K92" s="231"/>
      <c r="L92" s="231"/>
      <c r="M92" s="231"/>
      <c r="N92" s="231"/>
      <c r="O92" s="231"/>
      <c r="P92" s="231"/>
      <c r="Q92" s="231"/>
      <c r="R92" s="231"/>
      <c r="S92" s="231"/>
      <c r="T92" s="231"/>
      <c r="U92" s="231"/>
      <c r="V92" s="231"/>
      <c r="W92" s="231"/>
      <c r="X92" s="231"/>
      <c r="Y92" s="231"/>
      <c r="Z92" s="231"/>
      <c r="AA92" s="231"/>
      <c r="AB92" s="231"/>
      <c r="AC92" s="231"/>
      <c r="AD92" s="231"/>
      <c r="AE92" s="231"/>
      <c r="AF92" s="231"/>
      <c r="AG92" s="231"/>
      <c r="AH92" s="231"/>
    </row>
    <row r="93" spans="1:34" s="203" customFormat="1">
      <c r="A93" s="109" t="s">
        <v>103</v>
      </c>
      <c r="B93" s="132"/>
      <c r="C93" s="132"/>
      <c r="D93" s="132"/>
      <c r="E93" s="859"/>
      <c r="F93" s="859"/>
      <c r="G93" s="29"/>
      <c r="H93" s="859"/>
      <c r="I93" s="29"/>
      <c r="J93" s="231"/>
      <c r="K93" s="231"/>
      <c r="L93" s="231"/>
      <c r="M93" s="231"/>
      <c r="N93" s="231"/>
      <c r="O93" s="231"/>
      <c r="P93" s="231"/>
      <c r="Q93" s="231"/>
      <c r="R93" s="231"/>
      <c r="S93" s="231"/>
      <c r="T93" s="231"/>
      <c r="U93" s="231"/>
      <c r="V93" s="231"/>
      <c r="W93" s="231"/>
      <c r="X93" s="231"/>
      <c r="Y93" s="231"/>
      <c r="Z93" s="231"/>
      <c r="AA93" s="231"/>
      <c r="AB93" s="231"/>
      <c r="AC93" s="231"/>
      <c r="AD93" s="231"/>
      <c r="AE93" s="231"/>
      <c r="AF93" s="231"/>
      <c r="AG93" s="231"/>
      <c r="AH93" s="231"/>
    </row>
    <row r="94" spans="1:34" s="203" customFormat="1">
      <c r="A94" s="109" t="s">
        <v>83</v>
      </c>
      <c r="B94" s="132"/>
      <c r="C94" s="132"/>
      <c r="D94" s="132"/>
      <c r="E94" s="859"/>
      <c r="F94" s="859"/>
      <c r="G94" s="130"/>
      <c r="H94" s="859"/>
      <c r="I94" s="29"/>
      <c r="J94" s="231"/>
      <c r="K94" s="231"/>
      <c r="L94" s="231"/>
      <c r="M94" s="231"/>
      <c r="N94" s="231"/>
      <c r="O94" s="231"/>
      <c r="P94" s="231"/>
      <c r="Q94" s="231"/>
      <c r="R94" s="231"/>
      <c r="S94" s="231"/>
      <c r="T94" s="231"/>
      <c r="U94" s="231"/>
      <c r="V94" s="231"/>
      <c r="W94" s="231"/>
      <c r="X94" s="231"/>
      <c r="Y94" s="231"/>
      <c r="Z94" s="231"/>
      <c r="AA94" s="231"/>
      <c r="AB94" s="231"/>
      <c r="AC94" s="231"/>
      <c r="AD94" s="231"/>
      <c r="AE94" s="231"/>
      <c r="AF94" s="231"/>
      <c r="AG94" s="231"/>
      <c r="AH94" s="231"/>
    </row>
    <row r="95" spans="1:34" s="203" customFormat="1">
      <c r="A95" s="110" t="s">
        <v>84</v>
      </c>
      <c r="B95" s="132"/>
      <c r="C95" s="132"/>
      <c r="D95" s="132"/>
      <c r="E95" s="860"/>
      <c r="F95" s="860"/>
      <c r="G95" s="130"/>
      <c r="H95" s="860"/>
      <c r="I95" s="130"/>
      <c r="J95" s="231"/>
      <c r="K95" s="231"/>
      <c r="L95" s="231"/>
      <c r="M95" s="231"/>
      <c r="N95" s="231"/>
      <c r="O95" s="231"/>
      <c r="P95" s="231"/>
      <c r="Q95" s="231"/>
      <c r="R95" s="231"/>
      <c r="S95" s="231"/>
      <c r="T95" s="231"/>
      <c r="U95" s="231"/>
      <c r="V95" s="231"/>
      <c r="W95" s="231"/>
      <c r="X95" s="231"/>
      <c r="Y95" s="231"/>
      <c r="Z95" s="231"/>
      <c r="AA95" s="231"/>
      <c r="AB95" s="231"/>
      <c r="AC95" s="231"/>
      <c r="AD95" s="231"/>
      <c r="AE95" s="231"/>
      <c r="AF95" s="231"/>
      <c r="AG95" s="231"/>
      <c r="AH95" s="231"/>
    </row>
    <row r="96" spans="1:34" s="203" customFormat="1">
      <c r="A96" s="120">
        <v>1</v>
      </c>
      <c r="B96" s="47" t="s">
        <v>104</v>
      </c>
      <c r="C96" s="47"/>
      <c r="D96" s="47"/>
      <c r="E96" s="41">
        <v>2667</v>
      </c>
      <c r="F96" s="52">
        <v>2648</v>
      </c>
      <c r="G96" s="118"/>
      <c r="H96" s="133">
        <v>2695</v>
      </c>
      <c r="I96" s="139"/>
      <c r="J96" s="231"/>
      <c r="K96" s="231"/>
      <c r="L96" s="231"/>
      <c r="M96" s="231"/>
      <c r="N96" s="231"/>
      <c r="O96" s="231"/>
      <c r="P96" s="231"/>
      <c r="Q96" s="231"/>
      <c r="R96" s="231"/>
      <c r="S96" s="231"/>
      <c r="T96" s="231"/>
      <c r="U96" s="231"/>
      <c r="V96" s="231"/>
      <c r="W96" s="231"/>
      <c r="X96" s="231"/>
      <c r="Y96" s="231"/>
      <c r="Z96" s="231"/>
      <c r="AA96" s="231"/>
      <c r="AB96" s="231"/>
      <c r="AC96" s="231"/>
      <c r="AD96" s="231"/>
      <c r="AE96" s="231"/>
      <c r="AF96" s="231"/>
      <c r="AG96" s="231"/>
      <c r="AH96" s="231"/>
    </row>
    <row r="97" spans="1:34" s="203" customFormat="1">
      <c r="A97" s="120">
        <v>2</v>
      </c>
      <c r="B97" s="47" t="s">
        <v>105</v>
      </c>
      <c r="C97" s="47"/>
      <c r="D97" s="47"/>
      <c r="E97" s="49">
        <v>0</v>
      </c>
      <c r="F97" s="52">
        <v>0</v>
      </c>
      <c r="G97" s="118"/>
      <c r="H97" s="122">
        <v>0</v>
      </c>
      <c r="I97" s="139"/>
      <c r="J97" s="231"/>
      <c r="K97" s="231"/>
      <c r="L97" s="231"/>
      <c r="M97" s="231"/>
      <c r="N97" s="231"/>
      <c r="O97" s="231"/>
      <c r="P97" s="231"/>
      <c r="Q97" s="231"/>
      <c r="R97" s="231"/>
      <c r="S97" s="231"/>
      <c r="T97" s="231"/>
      <c r="U97" s="231"/>
      <c r="V97" s="231"/>
      <c r="W97" s="231"/>
      <c r="X97" s="231"/>
      <c r="Y97" s="231"/>
      <c r="Z97" s="231"/>
      <c r="AA97" s="231"/>
      <c r="AB97" s="231"/>
      <c r="AC97" s="231"/>
      <c r="AD97" s="231"/>
      <c r="AE97" s="231"/>
      <c r="AF97" s="231"/>
      <c r="AG97" s="231"/>
      <c r="AH97" s="231"/>
    </row>
    <row r="98" spans="1:34" s="203" customFormat="1">
      <c r="A98" s="120">
        <v>3</v>
      </c>
      <c r="B98" s="47" t="s">
        <v>106</v>
      </c>
      <c r="C98" s="47"/>
      <c r="D98" s="47"/>
      <c r="E98" s="114">
        <v>14938</v>
      </c>
      <c r="F98" s="50">
        <f>F115</f>
        <v>16078</v>
      </c>
      <c r="G98" s="118"/>
      <c r="H98" s="50">
        <f>H115</f>
        <v>15732</v>
      </c>
      <c r="I98" s="139"/>
      <c r="J98" s="231"/>
      <c r="K98" s="231"/>
      <c r="L98" s="231"/>
      <c r="M98" s="231"/>
      <c r="N98" s="231"/>
      <c r="O98" s="231"/>
      <c r="P98" s="231"/>
      <c r="Q98" s="231"/>
      <c r="R98" s="231"/>
      <c r="S98" s="231"/>
      <c r="T98" s="231"/>
      <c r="U98" s="231"/>
      <c r="V98" s="231"/>
      <c r="W98" s="231"/>
      <c r="X98" s="231"/>
      <c r="Y98" s="231"/>
      <c r="Z98" s="231"/>
      <c r="AA98" s="231"/>
      <c r="AB98" s="231"/>
      <c r="AC98" s="231"/>
      <c r="AD98" s="231"/>
      <c r="AE98" s="231"/>
      <c r="AF98" s="231"/>
      <c r="AG98" s="231"/>
      <c r="AH98" s="231"/>
    </row>
    <row r="99" spans="1:34" s="203" customFormat="1">
      <c r="A99" s="120">
        <v>4</v>
      </c>
      <c r="B99" s="47" t="s">
        <v>107</v>
      </c>
      <c r="C99" s="47"/>
      <c r="D99" s="47"/>
      <c r="E99" s="114">
        <v>25536</v>
      </c>
      <c r="F99" s="50">
        <f>F125</f>
        <v>25982</v>
      </c>
      <c r="G99" s="118"/>
      <c r="H99" s="50">
        <f>H125</f>
        <v>26126</v>
      </c>
      <c r="I99" s="139"/>
      <c r="J99" s="231"/>
      <c r="K99" s="231"/>
      <c r="L99" s="231"/>
      <c r="M99" s="231"/>
      <c r="N99" s="231"/>
      <c r="O99" s="231"/>
      <c r="P99" s="231"/>
      <c r="Q99" s="231"/>
      <c r="R99" s="231"/>
      <c r="S99" s="231"/>
      <c r="T99" s="231"/>
      <c r="U99" s="231"/>
      <c r="V99" s="231"/>
      <c r="W99" s="231"/>
      <c r="X99" s="231"/>
      <c r="Y99" s="231"/>
      <c r="Z99" s="231"/>
      <c r="AA99" s="231"/>
      <c r="AB99" s="231"/>
      <c r="AC99" s="231"/>
      <c r="AD99" s="231"/>
      <c r="AE99" s="231"/>
      <c r="AF99" s="231"/>
      <c r="AG99" s="231"/>
      <c r="AH99" s="231"/>
    </row>
    <row r="100" spans="1:34" s="203" customFormat="1">
      <c r="A100" s="120">
        <v>5</v>
      </c>
      <c r="B100" s="47" t="s">
        <v>108</v>
      </c>
      <c r="C100" s="47"/>
      <c r="D100" s="47"/>
      <c r="E100" s="114">
        <v>4552</v>
      </c>
      <c r="F100" s="50">
        <f>F135</f>
        <v>5047</v>
      </c>
      <c r="G100" s="118"/>
      <c r="H100" s="50">
        <f>H135</f>
        <v>5002</v>
      </c>
      <c r="I100" s="139"/>
      <c r="J100" s="231"/>
      <c r="K100" s="231"/>
      <c r="L100" s="231"/>
      <c r="M100" s="231"/>
      <c r="N100" s="231"/>
      <c r="O100" s="231"/>
      <c r="P100" s="231"/>
      <c r="Q100" s="231"/>
      <c r="R100" s="231"/>
      <c r="S100" s="231"/>
      <c r="T100" s="231"/>
      <c r="U100" s="231"/>
      <c r="V100" s="231"/>
      <c r="W100" s="231"/>
      <c r="X100" s="231"/>
      <c r="Y100" s="231"/>
      <c r="Z100" s="231"/>
      <c r="AA100" s="231"/>
      <c r="AB100" s="231"/>
      <c r="AC100" s="231"/>
      <c r="AD100" s="231"/>
      <c r="AE100" s="231"/>
      <c r="AF100" s="231"/>
      <c r="AG100" s="231"/>
      <c r="AH100" s="231"/>
    </row>
    <row r="101" spans="1:34" s="203" customFormat="1">
      <c r="A101" s="120">
        <v>6</v>
      </c>
      <c r="B101" s="47" t="s">
        <v>109</v>
      </c>
      <c r="C101" s="47"/>
      <c r="D101" s="47"/>
      <c r="E101" s="114">
        <v>13840</v>
      </c>
      <c r="F101" s="50">
        <f>F143</f>
        <v>14018</v>
      </c>
      <c r="G101" s="118"/>
      <c r="H101" s="50">
        <f>H143</f>
        <v>14425</v>
      </c>
      <c r="I101" s="139"/>
      <c r="J101" s="231"/>
      <c r="K101" s="231"/>
      <c r="L101" s="231"/>
      <c r="M101" s="231"/>
      <c r="N101" s="231"/>
      <c r="O101" s="231"/>
      <c r="P101" s="231"/>
      <c r="Q101" s="231"/>
      <c r="R101" s="231"/>
      <c r="S101" s="231"/>
      <c r="T101" s="231"/>
      <c r="U101" s="231"/>
      <c r="V101" s="231"/>
      <c r="W101" s="231"/>
      <c r="X101" s="231"/>
      <c r="Y101" s="231"/>
      <c r="Z101" s="231"/>
      <c r="AA101" s="231"/>
      <c r="AB101" s="231"/>
      <c r="AC101" s="231"/>
      <c r="AD101" s="231"/>
      <c r="AE101" s="231"/>
      <c r="AF101" s="231"/>
      <c r="AG101" s="231"/>
      <c r="AH101" s="231"/>
    </row>
    <row r="102" spans="1:34" s="203" customFormat="1">
      <c r="A102" s="120">
        <v>7</v>
      </c>
      <c r="B102" s="47" t="s">
        <v>110</v>
      </c>
      <c r="C102" s="47"/>
      <c r="D102" s="47"/>
      <c r="E102" s="114">
        <v>2011</v>
      </c>
      <c r="F102" s="50">
        <f>F150</f>
        <v>1754</v>
      </c>
      <c r="G102" s="118"/>
      <c r="H102" s="50">
        <f>H150</f>
        <v>2071</v>
      </c>
      <c r="I102" s="139"/>
      <c r="J102" s="231"/>
      <c r="K102" s="231"/>
      <c r="L102" s="231"/>
      <c r="M102" s="231"/>
      <c r="N102" s="231"/>
      <c r="O102" s="231"/>
      <c r="P102" s="231"/>
      <c r="Q102" s="231"/>
      <c r="R102" s="231"/>
      <c r="S102" s="231"/>
      <c r="T102" s="231"/>
      <c r="U102" s="231"/>
      <c r="V102" s="231"/>
      <c r="W102" s="231"/>
      <c r="X102" s="231"/>
      <c r="Y102" s="231"/>
      <c r="Z102" s="231"/>
      <c r="AA102" s="231"/>
      <c r="AB102" s="231"/>
      <c r="AC102" s="231"/>
      <c r="AD102" s="231"/>
      <c r="AE102" s="231"/>
      <c r="AF102" s="231"/>
      <c r="AG102" s="231"/>
      <c r="AH102" s="231"/>
    </row>
    <row r="103" spans="1:34" s="203" customFormat="1">
      <c r="A103" s="120">
        <v>8</v>
      </c>
      <c r="B103" s="47" t="s">
        <v>111</v>
      </c>
      <c r="C103" s="47"/>
      <c r="D103" s="47"/>
      <c r="E103" s="114">
        <v>406</v>
      </c>
      <c r="F103" s="52">
        <v>420</v>
      </c>
      <c r="G103" s="118"/>
      <c r="H103" s="122">
        <v>415</v>
      </c>
      <c r="I103" s="139"/>
      <c r="J103" s="231"/>
      <c r="K103" s="231"/>
      <c r="L103" s="231"/>
      <c r="M103" s="231"/>
      <c r="N103" s="231"/>
      <c r="O103" s="231"/>
      <c r="P103" s="231"/>
      <c r="Q103" s="231"/>
      <c r="R103" s="231"/>
      <c r="S103" s="231"/>
      <c r="T103" s="231"/>
      <c r="U103" s="231"/>
      <c r="V103" s="231"/>
      <c r="W103" s="231"/>
      <c r="X103" s="231"/>
      <c r="Y103" s="231"/>
      <c r="Z103" s="231"/>
      <c r="AA103" s="231"/>
      <c r="AB103" s="231"/>
      <c r="AC103" s="231"/>
      <c r="AD103" s="231"/>
      <c r="AE103" s="231"/>
      <c r="AF103" s="231"/>
      <c r="AG103" s="231"/>
      <c r="AH103" s="231"/>
    </row>
    <row r="104" spans="1:34" s="203" customFormat="1">
      <c r="A104" s="120">
        <v>9</v>
      </c>
      <c r="B104" s="47" t="s">
        <v>112</v>
      </c>
      <c r="C104" s="47"/>
      <c r="D104" s="47"/>
      <c r="E104" s="114">
        <v>0</v>
      </c>
      <c r="F104" s="52">
        <v>0</v>
      </c>
      <c r="G104" s="118"/>
      <c r="H104" s="122">
        <v>0</v>
      </c>
      <c r="I104" s="139"/>
      <c r="J104" s="231"/>
      <c r="K104" s="231"/>
      <c r="L104" s="231"/>
      <c r="M104" s="231"/>
      <c r="N104" s="231"/>
      <c r="O104" s="231"/>
      <c r="P104" s="231"/>
      <c r="Q104" s="231"/>
      <c r="R104" s="231"/>
      <c r="S104" s="231"/>
      <c r="T104" s="231"/>
      <c r="U104" s="231"/>
      <c r="V104" s="231"/>
      <c r="W104" s="231"/>
      <c r="X104" s="231"/>
      <c r="Y104" s="231"/>
      <c r="Z104" s="231"/>
      <c r="AA104" s="231"/>
      <c r="AB104" s="231"/>
      <c r="AC104" s="231"/>
      <c r="AD104" s="231"/>
      <c r="AE104" s="231"/>
      <c r="AF104" s="231"/>
      <c r="AG104" s="231"/>
      <c r="AH104" s="231"/>
    </row>
    <row r="105" spans="1:34" s="203" customFormat="1">
      <c r="A105" s="111" t="s">
        <v>113</v>
      </c>
      <c r="B105" s="116" t="s">
        <v>114</v>
      </c>
      <c r="C105" s="116"/>
      <c r="D105" s="47"/>
      <c r="E105" s="134">
        <v>63950</v>
      </c>
      <c r="F105" s="61">
        <f>SUM(F96:F104)</f>
        <v>65947</v>
      </c>
      <c r="G105" s="118"/>
      <c r="H105" s="61">
        <f>SUM(H96:H104)</f>
        <v>66466</v>
      </c>
      <c r="I105" s="139"/>
      <c r="J105" s="231"/>
      <c r="K105" s="231"/>
      <c r="L105" s="231"/>
      <c r="M105" s="231"/>
      <c r="N105" s="231"/>
      <c r="O105" s="231"/>
      <c r="P105" s="231"/>
      <c r="Q105" s="231"/>
      <c r="R105" s="231"/>
      <c r="S105" s="231"/>
      <c r="T105" s="231"/>
      <c r="U105" s="231"/>
      <c r="V105" s="231"/>
      <c r="W105" s="231"/>
      <c r="X105" s="231"/>
      <c r="Y105" s="231"/>
      <c r="Z105" s="231"/>
      <c r="AA105" s="231"/>
      <c r="AB105" s="231"/>
      <c r="AC105" s="231"/>
      <c r="AD105" s="231"/>
      <c r="AE105" s="231"/>
      <c r="AF105" s="231"/>
      <c r="AG105" s="231"/>
      <c r="AH105" s="231"/>
    </row>
    <row r="106" spans="1:34" s="203" customFormat="1">
      <c r="A106" s="120">
        <v>11</v>
      </c>
      <c r="B106" s="90" t="s">
        <v>115</v>
      </c>
      <c r="C106" s="47"/>
      <c r="D106" s="47"/>
      <c r="E106" s="135">
        <v>0</v>
      </c>
      <c r="F106" s="136"/>
      <c r="G106" s="118"/>
      <c r="H106" s="137"/>
      <c r="I106" s="139"/>
      <c r="J106" s="231"/>
      <c r="K106" s="231"/>
      <c r="L106" s="231"/>
      <c r="M106" s="231"/>
      <c r="N106" s="231"/>
      <c r="O106" s="231"/>
      <c r="P106" s="231"/>
      <c r="Q106" s="231"/>
      <c r="R106" s="231"/>
      <c r="S106" s="231"/>
      <c r="T106" s="231"/>
      <c r="U106" s="231"/>
      <c r="V106" s="231"/>
      <c r="W106" s="231"/>
      <c r="X106" s="231"/>
      <c r="Y106" s="231"/>
      <c r="Z106" s="231"/>
      <c r="AA106" s="231"/>
      <c r="AB106" s="231"/>
      <c r="AC106" s="231"/>
      <c r="AD106" s="231"/>
      <c r="AE106" s="231"/>
      <c r="AF106" s="231"/>
      <c r="AG106" s="231"/>
      <c r="AH106" s="231"/>
    </row>
    <row r="107" spans="1:34" s="203" customFormat="1">
      <c r="A107" s="111"/>
      <c r="B107" s="47"/>
      <c r="C107" s="47"/>
      <c r="D107" s="138"/>
      <c r="E107" s="117"/>
      <c r="F107" s="139"/>
      <c r="G107" s="139"/>
      <c r="H107" s="139"/>
      <c r="I107" s="139"/>
      <c r="J107" s="231"/>
      <c r="K107" s="231"/>
      <c r="L107" s="231"/>
      <c r="M107" s="231"/>
      <c r="N107" s="231"/>
      <c r="O107" s="231"/>
      <c r="P107" s="231"/>
      <c r="Q107" s="231"/>
      <c r="R107" s="231"/>
      <c r="S107" s="231"/>
      <c r="T107" s="231"/>
      <c r="U107" s="231"/>
      <c r="V107" s="231"/>
      <c r="W107" s="231"/>
      <c r="X107" s="231"/>
      <c r="Y107" s="231"/>
      <c r="Z107" s="231"/>
      <c r="AA107" s="231"/>
      <c r="AB107" s="231"/>
      <c r="AC107" s="231"/>
      <c r="AD107" s="231"/>
      <c r="AE107" s="231"/>
      <c r="AF107" s="231"/>
      <c r="AG107" s="231"/>
      <c r="AH107" s="231"/>
    </row>
    <row r="108" spans="1:34" s="203" customFormat="1">
      <c r="A108" s="119" t="s">
        <v>116</v>
      </c>
      <c r="B108" s="47"/>
      <c r="C108" s="47"/>
      <c r="D108" s="47"/>
      <c r="E108" s="117"/>
      <c r="F108" s="139"/>
      <c r="G108" s="139"/>
      <c r="H108" s="139"/>
      <c r="I108" s="139"/>
      <c r="J108" s="231"/>
      <c r="K108" s="231"/>
      <c r="L108" s="231"/>
      <c r="M108" s="231"/>
      <c r="N108" s="231"/>
      <c r="O108" s="231"/>
      <c r="P108" s="231"/>
      <c r="Q108" s="231"/>
      <c r="R108" s="231"/>
      <c r="S108" s="231"/>
      <c r="T108" s="231"/>
      <c r="U108" s="231"/>
      <c r="V108" s="231"/>
      <c r="W108" s="231"/>
      <c r="X108" s="231"/>
      <c r="Y108" s="231"/>
      <c r="Z108" s="231"/>
      <c r="AA108" s="231"/>
      <c r="AB108" s="231"/>
      <c r="AC108" s="231"/>
      <c r="AD108" s="231"/>
      <c r="AE108" s="231"/>
      <c r="AF108" s="231"/>
      <c r="AG108" s="231"/>
      <c r="AH108" s="231"/>
    </row>
    <row r="109" spans="1:34" s="203" customFormat="1">
      <c r="A109" s="119" t="s">
        <v>106</v>
      </c>
      <c r="B109" s="47"/>
      <c r="C109" s="47"/>
      <c r="D109" s="47"/>
      <c r="E109" s="140"/>
      <c r="F109" s="141"/>
      <c r="G109" s="139"/>
      <c r="H109" s="141"/>
      <c r="I109" s="139"/>
      <c r="J109" s="231"/>
      <c r="K109" s="231"/>
      <c r="L109" s="231"/>
      <c r="M109" s="231"/>
      <c r="N109" s="231"/>
      <c r="O109" s="231"/>
      <c r="P109" s="231"/>
      <c r="Q109" s="231"/>
      <c r="R109" s="231"/>
      <c r="S109" s="231"/>
      <c r="T109" s="231"/>
      <c r="U109" s="231"/>
      <c r="V109" s="231"/>
      <c r="W109" s="231"/>
      <c r="X109" s="231"/>
      <c r="Y109" s="231"/>
      <c r="Z109" s="231"/>
      <c r="AA109" s="231"/>
      <c r="AB109" s="231"/>
      <c r="AC109" s="231"/>
      <c r="AD109" s="231"/>
      <c r="AE109" s="231"/>
      <c r="AF109" s="231"/>
      <c r="AG109" s="231"/>
      <c r="AH109" s="231"/>
    </row>
    <row r="110" spans="1:34" s="203" customFormat="1">
      <c r="A110" s="120">
        <v>12</v>
      </c>
      <c r="B110" s="47" t="s">
        <v>117</v>
      </c>
      <c r="C110" s="47"/>
      <c r="D110" s="47"/>
      <c r="E110" s="49">
        <v>5333</v>
      </c>
      <c r="F110" s="52">
        <v>5463</v>
      </c>
      <c r="G110" s="118"/>
      <c r="H110" s="122">
        <v>5483</v>
      </c>
      <c r="I110" s="139"/>
      <c r="J110" s="231"/>
      <c r="K110" s="231"/>
      <c r="L110" s="231"/>
      <c r="M110" s="231"/>
      <c r="N110" s="231"/>
      <c r="O110" s="231"/>
      <c r="P110" s="231"/>
      <c r="Q110" s="231"/>
      <c r="R110" s="231"/>
      <c r="S110" s="231"/>
      <c r="T110" s="231"/>
      <c r="U110" s="231"/>
      <c r="V110" s="231"/>
      <c r="W110" s="231"/>
      <c r="X110" s="231"/>
      <c r="Y110" s="231"/>
      <c r="Z110" s="231"/>
      <c r="AA110" s="231"/>
      <c r="AB110" s="231"/>
      <c r="AC110" s="231"/>
      <c r="AD110" s="231"/>
      <c r="AE110" s="231"/>
      <c r="AF110" s="231"/>
      <c r="AG110" s="231"/>
      <c r="AH110" s="231"/>
    </row>
    <row r="111" spans="1:34" s="203" customFormat="1">
      <c r="A111" s="120">
        <v>13</v>
      </c>
      <c r="B111" s="47" t="s">
        <v>118</v>
      </c>
      <c r="C111" s="47"/>
      <c r="D111" s="47"/>
      <c r="E111" s="49">
        <v>5141</v>
      </c>
      <c r="F111" s="52">
        <v>5402</v>
      </c>
      <c r="G111" s="118"/>
      <c r="H111" s="122">
        <v>5445</v>
      </c>
      <c r="I111" s="139"/>
      <c r="J111" s="231"/>
      <c r="K111" s="231"/>
      <c r="L111" s="231"/>
      <c r="M111" s="231"/>
      <c r="N111" s="231"/>
      <c r="O111" s="231"/>
      <c r="P111" s="231"/>
      <c r="Q111" s="231"/>
      <c r="R111" s="231"/>
      <c r="S111" s="231"/>
      <c r="T111" s="231"/>
      <c r="U111" s="231"/>
      <c r="V111" s="231"/>
      <c r="W111" s="231"/>
      <c r="X111" s="231"/>
      <c r="Y111" s="231"/>
      <c r="Z111" s="231"/>
      <c r="AA111" s="231"/>
      <c r="AB111" s="231"/>
      <c r="AC111" s="231"/>
      <c r="AD111" s="231"/>
      <c r="AE111" s="231"/>
      <c r="AF111" s="231"/>
      <c r="AG111" s="231"/>
      <c r="AH111" s="231"/>
    </row>
    <row r="112" spans="1:34" s="203" customFormat="1">
      <c r="A112" s="120">
        <v>14</v>
      </c>
      <c r="B112" s="47" t="s">
        <v>119</v>
      </c>
      <c r="C112" s="47"/>
      <c r="D112" s="47"/>
      <c r="E112" s="49">
        <v>3338</v>
      </c>
      <c r="F112" s="52">
        <v>4116</v>
      </c>
      <c r="G112" s="118"/>
      <c r="H112" s="122">
        <v>3638</v>
      </c>
      <c r="I112" s="139"/>
      <c r="J112" s="231"/>
      <c r="K112" s="231"/>
      <c r="L112" s="231"/>
      <c r="M112" s="231"/>
      <c r="N112" s="231"/>
      <c r="O112" s="231"/>
      <c r="P112" s="231"/>
      <c r="Q112" s="231"/>
      <c r="R112" s="231"/>
      <c r="S112" s="231"/>
      <c r="T112" s="231"/>
      <c r="U112" s="231"/>
      <c r="V112" s="231"/>
      <c r="W112" s="231"/>
      <c r="X112" s="231"/>
      <c r="Y112" s="231"/>
      <c r="Z112" s="231"/>
      <c r="AA112" s="231"/>
      <c r="AB112" s="231"/>
      <c r="AC112" s="231"/>
      <c r="AD112" s="231"/>
      <c r="AE112" s="231"/>
      <c r="AF112" s="231"/>
      <c r="AG112" s="231"/>
      <c r="AH112" s="231"/>
    </row>
    <row r="113" spans="1:34" s="203" customFormat="1">
      <c r="A113" s="120">
        <v>15</v>
      </c>
      <c r="B113" s="47" t="s">
        <v>120</v>
      </c>
      <c r="C113" s="47"/>
      <c r="D113" s="47"/>
      <c r="E113" s="49">
        <v>630</v>
      </c>
      <c r="F113" s="52">
        <v>636</v>
      </c>
      <c r="G113" s="118"/>
      <c r="H113" s="122">
        <v>650</v>
      </c>
      <c r="I113" s="139"/>
      <c r="J113" s="231"/>
      <c r="K113" s="231"/>
      <c r="L113" s="231"/>
      <c r="M113" s="231"/>
      <c r="N113" s="231"/>
      <c r="O113" s="231"/>
      <c r="P113" s="231"/>
      <c r="Q113" s="231"/>
      <c r="R113" s="231"/>
      <c r="S113" s="231"/>
      <c r="T113" s="231"/>
      <c r="U113" s="231"/>
      <c r="V113" s="231"/>
      <c r="W113" s="231"/>
      <c r="X113" s="231"/>
      <c r="Y113" s="231"/>
      <c r="Z113" s="231"/>
      <c r="AA113" s="231"/>
      <c r="AB113" s="231"/>
      <c r="AC113" s="231"/>
      <c r="AD113" s="231"/>
      <c r="AE113" s="231"/>
      <c r="AF113" s="231"/>
      <c r="AG113" s="231"/>
      <c r="AH113" s="231"/>
    </row>
    <row r="114" spans="1:34" s="203" customFormat="1">
      <c r="A114" s="120">
        <v>16</v>
      </c>
      <c r="B114" s="47" t="s">
        <v>121</v>
      </c>
      <c r="C114" s="47"/>
      <c r="D114" s="47"/>
      <c r="E114" s="49">
        <v>496</v>
      </c>
      <c r="F114" s="52">
        <v>461</v>
      </c>
      <c r="G114" s="118"/>
      <c r="H114" s="100">
        <v>516</v>
      </c>
      <c r="I114" s="139"/>
      <c r="J114" s="231"/>
      <c r="K114" s="231"/>
      <c r="L114" s="231"/>
      <c r="M114" s="231"/>
      <c r="N114" s="231"/>
      <c r="O114" s="231"/>
      <c r="P114" s="231"/>
      <c r="Q114" s="231"/>
      <c r="R114" s="231"/>
      <c r="S114" s="231"/>
      <c r="T114" s="231"/>
      <c r="U114" s="231"/>
      <c r="V114" s="231"/>
      <c r="W114" s="231"/>
      <c r="X114" s="231"/>
      <c r="Y114" s="231"/>
      <c r="Z114" s="231"/>
      <c r="AA114" s="231"/>
      <c r="AB114" s="231"/>
      <c r="AC114" s="231"/>
      <c r="AD114" s="231"/>
      <c r="AE114" s="231"/>
      <c r="AF114" s="231"/>
      <c r="AG114" s="231"/>
      <c r="AH114" s="231"/>
    </row>
    <row r="115" spans="1:34" s="203" customFormat="1">
      <c r="A115" s="120">
        <v>17</v>
      </c>
      <c r="B115" s="116" t="s">
        <v>122</v>
      </c>
      <c r="C115" s="116"/>
      <c r="D115" s="116"/>
      <c r="E115" s="80">
        <v>14938</v>
      </c>
      <c r="F115" s="142">
        <f>SUM(F110:F114)</f>
        <v>16078</v>
      </c>
      <c r="G115" s="118"/>
      <c r="H115" s="142">
        <f>SUM(H110:H114)</f>
        <v>15732</v>
      </c>
      <c r="I115" s="139"/>
      <c r="J115" s="231"/>
      <c r="K115" s="231"/>
      <c r="L115" s="231"/>
      <c r="M115" s="231"/>
      <c r="N115" s="231"/>
      <c r="O115" s="231"/>
      <c r="P115" s="231"/>
      <c r="Q115" s="231"/>
      <c r="R115" s="231"/>
      <c r="S115" s="231"/>
      <c r="T115" s="231"/>
      <c r="U115" s="231"/>
      <c r="V115" s="231"/>
      <c r="W115" s="231"/>
      <c r="X115" s="231"/>
      <c r="Y115" s="231"/>
      <c r="Z115" s="231"/>
      <c r="AA115" s="231"/>
      <c r="AB115" s="231"/>
      <c r="AC115" s="231"/>
      <c r="AD115" s="231"/>
      <c r="AE115" s="231"/>
      <c r="AF115" s="231"/>
      <c r="AG115" s="231"/>
      <c r="AH115" s="231"/>
    </row>
    <row r="116" spans="1:34" s="203" customFormat="1">
      <c r="A116" s="111"/>
      <c r="B116" s="116"/>
      <c r="C116" s="116"/>
      <c r="D116" s="116"/>
      <c r="E116" s="143"/>
      <c r="F116" s="118"/>
      <c r="G116" s="118"/>
      <c r="H116" s="118"/>
      <c r="I116" s="139"/>
      <c r="J116" s="231"/>
      <c r="K116" s="231"/>
      <c r="L116" s="231"/>
      <c r="M116" s="231"/>
      <c r="N116" s="231"/>
      <c r="O116" s="231"/>
      <c r="P116" s="231"/>
      <c r="Q116" s="231"/>
      <c r="R116" s="231"/>
      <c r="S116" s="231"/>
      <c r="T116" s="231"/>
      <c r="U116" s="231"/>
      <c r="V116" s="231"/>
      <c r="W116" s="231"/>
      <c r="X116" s="231"/>
      <c r="Y116" s="231"/>
      <c r="Z116" s="231"/>
      <c r="AA116" s="231"/>
      <c r="AB116" s="231"/>
      <c r="AC116" s="231"/>
      <c r="AD116" s="231"/>
      <c r="AE116" s="231"/>
      <c r="AF116" s="231"/>
      <c r="AG116" s="231"/>
      <c r="AH116" s="231"/>
    </row>
    <row r="117" spans="1:34" s="203" customFormat="1">
      <c r="A117" s="144" t="s">
        <v>107</v>
      </c>
      <c r="B117" s="116"/>
      <c r="C117" s="116"/>
      <c r="D117" s="116"/>
      <c r="E117" s="145"/>
      <c r="F117" s="146"/>
      <c r="G117" s="118"/>
      <c r="H117" s="146"/>
      <c r="I117" s="139"/>
      <c r="J117" s="231"/>
      <c r="K117" s="231"/>
      <c r="L117" s="231"/>
      <c r="M117" s="231"/>
      <c r="N117" s="231"/>
      <c r="O117" s="231"/>
      <c r="P117" s="231"/>
      <c r="Q117" s="231"/>
      <c r="R117" s="231"/>
      <c r="S117" s="231"/>
      <c r="T117" s="231"/>
      <c r="U117" s="231"/>
      <c r="V117" s="231"/>
      <c r="W117" s="231"/>
      <c r="X117" s="231"/>
      <c r="Y117" s="231"/>
      <c r="Z117" s="231"/>
      <c r="AA117" s="231"/>
      <c r="AB117" s="231"/>
      <c r="AC117" s="231"/>
      <c r="AD117" s="231"/>
      <c r="AE117" s="231"/>
      <c r="AF117" s="231"/>
      <c r="AG117" s="231"/>
      <c r="AH117" s="231"/>
    </row>
    <row r="118" spans="1:34" s="203" customFormat="1">
      <c r="A118" s="120">
        <v>18</v>
      </c>
      <c r="B118" s="47" t="s">
        <v>123</v>
      </c>
      <c r="C118" s="47"/>
      <c r="D118" s="47"/>
      <c r="E118" s="49">
        <v>2417</v>
      </c>
      <c r="F118" s="52">
        <v>2414</v>
      </c>
      <c r="G118" s="118"/>
      <c r="H118" s="122">
        <v>2477</v>
      </c>
      <c r="I118" s="139"/>
      <c r="J118" s="231"/>
      <c r="K118" s="231"/>
      <c r="L118" s="231"/>
      <c r="M118" s="231"/>
      <c r="N118" s="231"/>
      <c r="O118" s="231"/>
      <c r="P118" s="231"/>
      <c r="Q118" s="231"/>
      <c r="R118" s="231"/>
      <c r="S118" s="231"/>
      <c r="T118" s="231"/>
      <c r="U118" s="231"/>
      <c r="V118" s="231"/>
      <c r="W118" s="231"/>
      <c r="X118" s="231"/>
      <c r="Y118" s="231"/>
      <c r="Z118" s="231"/>
      <c r="AA118" s="231"/>
      <c r="AB118" s="231"/>
      <c r="AC118" s="231"/>
      <c r="AD118" s="231"/>
      <c r="AE118" s="231"/>
      <c r="AF118" s="231"/>
      <c r="AG118" s="231"/>
      <c r="AH118" s="231"/>
    </row>
    <row r="119" spans="1:34" s="203" customFormat="1">
      <c r="A119" s="120">
        <v>19</v>
      </c>
      <c r="B119" s="47" t="s">
        <v>124</v>
      </c>
      <c r="C119" s="47"/>
      <c r="D119" s="47"/>
      <c r="E119" s="49">
        <v>7936</v>
      </c>
      <c r="F119" s="52">
        <v>8054</v>
      </c>
      <c r="G119" s="118"/>
      <c r="H119" s="122">
        <v>8286</v>
      </c>
      <c r="I119" s="139"/>
      <c r="J119" s="231"/>
      <c r="K119" s="231"/>
      <c r="L119" s="231"/>
      <c r="M119" s="231"/>
      <c r="N119" s="231"/>
      <c r="O119" s="231"/>
      <c r="P119" s="231"/>
      <c r="Q119" s="231"/>
      <c r="R119" s="231"/>
      <c r="S119" s="231"/>
      <c r="T119" s="231"/>
      <c r="U119" s="231"/>
      <c r="V119" s="231"/>
      <c r="W119" s="231"/>
      <c r="X119" s="231"/>
      <c r="Y119" s="231"/>
      <c r="Z119" s="231"/>
      <c r="AA119" s="231"/>
      <c r="AB119" s="231"/>
      <c r="AC119" s="231"/>
      <c r="AD119" s="231"/>
      <c r="AE119" s="231"/>
      <c r="AF119" s="231"/>
      <c r="AG119" s="231"/>
      <c r="AH119" s="231"/>
    </row>
    <row r="120" spans="1:34" s="203" customFormat="1">
      <c r="A120" s="120">
        <v>20</v>
      </c>
      <c r="B120" s="47" t="s">
        <v>119</v>
      </c>
      <c r="C120" s="47"/>
      <c r="D120" s="47"/>
      <c r="E120" s="49">
        <v>13177</v>
      </c>
      <c r="F120" s="52">
        <v>13335</v>
      </c>
      <c r="G120" s="118"/>
      <c r="H120" s="122">
        <v>13327</v>
      </c>
      <c r="I120" s="139"/>
      <c r="J120" s="231"/>
      <c r="K120" s="231"/>
      <c r="L120" s="231"/>
      <c r="M120" s="231"/>
      <c r="N120" s="231"/>
      <c r="O120" s="231"/>
      <c r="P120" s="231"/>
      <c r="Q120" s="231"/>
      <c r="R120" s="231"/>
      <c r="S120" s="231"/>
      <c r="T120" s="231"/>
      <c r="U120" s="231"/>
      <c r="V120" s="231"/>
      <c r="W120" s="231"/>
      <c r="X120" s="231"/>
      <c r="Y120" s="231"/>
      <c r="Z120" s="231"/>
      <c r="AA120" s="231"/>
      <c r="AB120" s="231"/>
      <c r="AC120" s="231"/>
      <c r="AD120" s="231"/>
      <c r="AE120" s="231"/>
      <c r="AF120" s="231"/>
      <c r="AG120" s="231"/>
      <c r="AH120" s="231"/>
    </row>
    <row r="121" spans="1:34" s="203" customFormat="1">
      <c r="A121" s="120">
        <v>21</v>
      </c>
      <c r="B121" s="47" t="s">
        <v>120</v>
      </c>
      <c r="C121" s="47"/>
      <c r="D121" s="47"/>
      <c r="E121" s="49">
        <v>1469</v>
      </c>
      <c r="F121" s="52">
        <v>1587</v>
      </c>
      <c r="G121" s="118"/>
      <c r="H121" s="122">
        <v>1489</v>
      </c>
      <c r="I121" s="139"/>
      <c r="J121" s="231"/>
      <c r="K121" s="231"/>
      <c r="L121" s="231"/>
      <c r="M121" s="231"/>
      <c r="N121" s="231"/>
      <c r="O121" s="231"/>
      <c r="P121" s="231"/>
      <c r="Q121" s="231"/>
      <c r="R121" s="231"/>
      <c r="S121" s="231"/>
      <c r="T121" s="231"/>
      <c r="U121" s="231"/>
      <c r="V121" s="231"/>
      <c r="W121" s="231"/>
      <c r="X121" s="231"/>
      <c r="Y121" s="231"/>
      <c r="Z121" s="231"/>
      <c r="AA121" s="231"/>
      <c r="AB121" s="231"/>
      <c r="AC121" s="231"/>
      <c r="AD121" s="231"/>
      <c r="AE121" s="231"/>
      <c r="AF121" s="231"/>
      <c r="AG121" s="231"/>
      <c r="AH121" s="231"/>
    </row>
    <row r="122" spans="1:34" s="203" customFormat="1">
      <c r="A122" s="120">
        <v>22</v>
      </c>
      <c r="B122" s="47" t="s">
        <v>125</v>
      </c>
      <c r="C122" s="47"/>
      <c r="D122" s="47"/>
      <c r="E122" s="49">
        <v>0</v>
      </c>
      <c r="F122" s="52">
        <v>0</v>
      </c>
      <c r="G122" s="118"/>
      <c r="H122" s="122">
        <v>0</v>
      </c>
      <c r="I122" s="139"/>
      <c r="J122" s="231"/>
      <c r="K122" s="231"/>
      <c r="L122" s="231"/>
      <c r="M122" s="231"/>
      <c r="N122" s="231"/>
      <c r="O122" s="231"/>
      <c r="P122" s="231"/>
      <c r="Q122" s="231"/>
      <c r="R122" s="231"/>
      <c r="S122" s="231"/>
      <c r="T122" s="231"/>
      <c r="U122" s="231"/>
      <c r="V122" s="231"/>
      <c r="W122" s="231"/>
      <c r="X122" s="231"/>
      <c r="Y122" s="231"/>
      <c r="Z122" s="231"/>
      <c r="AA122" s="231"/>
      <c r="AB122" s="231"/>
      <c r="AC122" s="231"/>
      <c r="AD122" s="231"/>
      <c r="AE122" s="231"/>
      <c r="AF122" s="231"/>
      <c r="AG122" s="231"/>
      <c r="AH122" s="231"/>
    </row>
    <row r="123" spans="1:34" s="203" customFormat="1">
      <c r="A123" s="120">
        <v>23</v>
      </c>
      <c r="B123" s="90" t="s">
        <v>126</v>
      </c>
      <c r="C123" s="47"/>
      <c r="D123" s="47"/>
      <c r="E123" s="49">
        <v>537</v>
      </c>
      <c r="F123" s="52">
        <v>592</v>
      </c>
      <c r="G123" s="118"/>
      <c r="H123" s="99">
        <v>547</v>
      </c>
      <c r="I123" s="139"/>
      <c r="J123" s="231"/>
      <c r="K123" s="231"/>
      <c r="L123" s="231"/>
      <c r="M123" s="231"/>
      <c r="N123" s="231"/>
      <c r="O123" s="231"/>
      <c r="P123" s="231"/>
      <c r="Q123" s="231"/>
      <c r="R123" s="231"/>
      <c r="S123" s="231"/>
      <c r="T123" s="231"/>
      <c r="U123" s="231"/>
      <c r="V123" s="231"/>
      <c r="W123" s="231"/>
      <c r="X123" s="231"/>
      <c r="Y123" s="231"/>
      <c r="Z123" s="231"/>
      <c r="AA123" s="231"/>
      <c r="AB123" s="231"/>
      <c r="AC123" s="231"/>
      <c r="AD123" s="231"/>
      <c r="AE123" s="231"/>
      <c r="AF123" s="231"/>
      <c r="AG123" s="231"/>
      <c r="AH123" s="231"/>
    </row>
    <row r="124" spans="1:34" s="203" customFormat="1">
      <c r="A124" s="120">
        <v>24</v>
      </c>
      <c r="B124" s="47" t="s">
        <v>121</v>
      </c>
      <c r="C124" s="47"/>
      <c r="D124" s="47"/>
      <c r="E124" s="49">
        <v>0</v>
      </c>
      <c r="F124" s="52">
        <v>0</v>
      </c>
      <c r="G124" s="118"/>
      <c r="H124" s="100">
        <v>0</v>
      </c>
      <c r="I124" s="139"/>
      <c r="J124" s="231"/>
      <c r="K124" s="231"/>
      <c r="L124" s="231"/>
      <c r="M124" s="231"/>
      <c r="N124" s="231"/>
      <c r="O124" s="231"/>
      <c r="P124" s="231"/>
      <c r="Q124" s="231"/>
      <c r="R124" s="231"/>
      <c r="S124" s="231"/>
      <c r="T124" s="231"/>
      <c r="U124" s="231"/>
      <c r="V124" s="231"/>
      <c r="W124" s="231"/>
      <c r="X124" s="231"/>
      <c r="Y124" s="231"/>
      <c r="Z124" s="231"/>
      <c r="AA124" s="231"/>
      <c r="AB124" s="231"/>
      <c r="AC124" s="231"/>
      <c r="AD124" s="231"/>
      <c r="AE124" s="231"/>
      <c r="AF124" s="231"/>
      <c r="AG124" s="231"/>
      <c r="AH124" s="231"/>
    </row>
    <row r="125" spans="1:34" s="203" customFormat="1">
      <c r="A125" s="120">
        <v>25</v>
      </c>
      <c r="B125" s="147" t="s">
        <v>127</v>
      </c>
      <c r="C125" s="147"/>
      <c r="D125" s="147"/>
      <c r="E125" s="80">
        <v>25536</v>
      </c>
      <c r="F125" s="142">
        <f>SUM(F118:F124)</f>
        <v>25982</v>
      </c>
      <c r="G125" s="118"/>
      <c r="H125" s="142">
        <f>SUM(H118:H124)</f>
        <v>26126</v>
      </c>
      <c r="I125" s="139"/>
      <c r="J125" s="231"/>
      <c r="K125" s="231"/>
      <c r="L125" s="231"/>
      <c r="M125" s="231"/>
      <c r="N125" s="231"/>
      <c r="O125" s="231"/>
      <c r="P125" s="231"/>
      <c r="Q125" s="231"/>
      <c r="R125" s="231"/>
      <c r="S125" s="231"/>
      <c r="T125" s="231"/>
      <c r="U125" s="231"/>
      <c r="V125" s="231"/>
      <c r="W125" s="231"/>
      <c r="X125" s="231"/>
      <c r="Y125" s="231"/>
      <c r="Z125" s="231"/>
      <c r="AA125" s="231"/>
      <c r="AB125" s="231"/>
      <c r="AC125" s="231"/>
      <c r="AD125" s="231"/>
      <c r="AE125" s="231"/>
      <c r="AF125" s="231"/>
      <c r="AG125" s="231"/>
      <c r="AH125" s="231"/>
    </row>
    <row r="126" spans="1:34" s="203" customFormat="1">
      <c r="A126" s="111"/>
      <c r="B126" s="47"/>
      <c r="C126" s="47"/>
      <c r="D126" s="47"/>
      <c r="E126" s="117"/>
      <c r="F126" s="118"/>
      <c r="G126" s="118"/>
      <c r="H126" s="118"/>
      <c r="I126" s="139"/>
      <c r="J126" s="231"/>
      <c r="K126" s="231"/>
      <c r="L126" s="231"/>
      <c r="M126" s="231"/>
      <c r="N126" s="231"/>
      <c r="O126" s="231"/>
      <c r="P126" s="231"/>
      <c r="Q126" s="231"/>
      <c r="R126" s="231"/>
      <c r="S126" s="231"/>
      <c r="T126" s="231"/>
      <c r="U126" s="231"/>
      <c r="V126" s="231"/>
      <c r="W126" s="231"/>
      <c r="X126" s="231"/>
      <c r="Y126" s="231"/>
      <c r="Z126" s="231"/>
      <c r="AA126" s="231"/>
      <c r="AB126" s="231"/>
      <c r="AC126" s="231"/>
      <c r="AD126" s="231"/>
      <c r="AE126" s="231"/>
      <c r="AF126" s="231"/>
      <c r="AG126" s="231"/>
      <c r="AH126" s="231"/>
    </row>
    <row r="127" spans="1:34" s="203" customFormat="1">
      <c r="A127" s="119" t="s">
        <v>108</v>
      </c>
      <c r="B127" s="147"/>
      <c r="C127" s="147"/>
      <c r="D127" s="147"/>
      <c r="E127" s="140"/>
      <c r="F127" s="146"/>
      <c r="G127" s="118"/>
      <c r="H127" s="146"/>
      <c r="I127" s="139"/>
      <c r="J127" s="231"/>
      <c r="K127" s="231"/>
      <c r="L127" s="231"/>
      <c r="M127" s="231"/>
      <c r="N127" s="231"/>
      <c r="O127" s="231"/>
      <c r="P127" s="231"/>
      <c r="Q127" s="231"/>
      <c r="R127" s="231"/>
      <c r="S127" s="231"/>
      <c r="T127" s="231"/>
      <c r="U127" s="231"/>
      <c r="V127" s="231"/>
      <c r="W127" s="231"/>
      <c r="X127" s="231"/>
      <c r="Y127" s="231"/>
      <c r="Z127" s="231"/>
      <c r="AA127" s="231"/>
      <c r="AB127" s="231"/>
      <c r="AC127" s="231"/>
      <c r="AD127" s="231"/>
      <c r="AE127" s="231"/>
      <c r="AF127" s="231"/>
      <c r="AG127" s="231"/>
      <c r="AH127" s="231"/>
    </row>
    <row r="128" spans="1:34" s="203" customFormat="1">
      <c r="A128" s="120">
        <v>26</v>
      </c>
      <c r="B128" s="47" t="s">
        <v>123</v>
      </c>
      <c r="C128" s="47"/>
      <c r="D128" s="47"/>
      <c r="E128" s="74">
        <v>304</v>
      </c>
      <c r="F128" s="52">
        <v>303</v>
      </c>
      <c r="G128" s="118"/>
      <c r="H128" s="122">
        <v>324</v>
      </c>
      <c r="I128" s="139"/>
      <c r="J128" s="231"/>
      <c r="K128" s="231"/>
      <c r="L128" s="231"/>
      <c r="M128" s="231"/>
      <c r="N128" s="231"/>
      <c r="O128" s="231"/>
      <c r="P128" s="231"/>
      <c r="Q128" s="231"/>
      <c r="R128" s="231"/>
      <c r="S128" s="231"/>
      <c r="T128" s="231"/>
      <c r="U128" s="231"/>
      <c r="V128" s="231"/>
      <c r="W128" s="231"/>
      <c r="X128" s="231"/>
      <c r="Y128" s="231"/>
      <c r="Z128" s="231"/>
      <c r="AA128" s="231"/>
      <c r="AB128" s="231"/>
      <c r="AC128" s="231"/>
      <c r="AD128" s="231"/>
      <c r="AE128" s="231"/>
      <c r="AF128" s="231"/>
      <c r="AG128" s="231"/>
      <c r="AH128" s="231"/>
    </row>
    <row r="129" spans="1:34" s="203" customFormat="1">
      <c r="A129" s="120">
        <v>27</v>
      </c>
      <c r="B129" s="47" t="s">
        <v>124</v>
      </c>
      <c r="C129" s="47"/>
      <c r="D129" s="47"/>
      <c r="E129" s="49">
        <v>1081</v>
      </c>
      <c r="F129" s="52">
        <v>1472</v>
      </c>
      <c r="G129" s="118"/>
      <c r="H129" s="122">
        <v>1331</v>
      </c>
      <c r="I129" s="139"/>
      <c r="J129" s="231"/>
      <c r="K129" s="231"/>
      <c r="L129" s="231"/>
      <c r="M129" s="231"/>
      <c r="N129" s="231"/>
      <c r="O129" s="231"/>
      <c r="P129" s="231"/>
      <c r="Q129" s="231"/>
      <c r="R129" s="231"/>
      <c r="S129" s="231"/>
      <c r="T129" s="231"/>
      <c r="U129" s="231"/>
      <c r="V129" s="231"/>
      <c r="W129" s="231"/>
      <c r="X129" s="231"/>
      <c r="Y129" s="231"/>
      <c r="Z129" s="231"/>
      <c r="AA129" s="231"/>
      <c r="AB129" s="231"/>
      <c r="AC129" s="231"/>
      <c r="AD129" s="231"/>
      <c r="AE129" s="231"/>
      <c r="AF129" s="231"/>
      <c r="AG129" s="231"/>
      <c r="AH129" s="231"/>
    </row>
    <row r="130" spans="1:34" s="203" customFormat="1">
      <c r="A130" s="120">
        <v>28</v>
      </c>
      <c r="B130" s="47" t="s">
        <v>119</v>
      </c>
      <c r="C130" s="47"/>
      <c r="D130" s="47"/>
      <c r="E130" s="49">
        <v>1226</v>
      </c>
      <c r="F130" s="52">
        <v>1244</v>
      </c>
      <c r="G130" s="118"/>
      <c r="H130" s="122">
        <v>1326</v>
      </c>
      <c r="I130" s="139"/>
      <c r="J130" s="231"/>
      <c r="K130" s="231"/>
      <c r="L130" s="231"/>
      <c r="M130" s="231"/>
      <c r="N130" s="231"/>
      <c r="O130" s="231"/>
      <c r="P130" s="231"/>
      <c r="Q130" s="231"/>
      <c r="R130" s="231"/>
      <c r="S130" s="231"/>
      <c r="T130" s="231"/>
      <c r="U130" s="231"/>
      <c r="V130" s="231"/>
      <c r="W130" s="231"/>
      <c r="X130" s="231"/>
      <c r="Y130" s="231"/>
      <c r="Z130" s="231"/>
      <c r="AA130" s="231"/>
      <c r="AB130" s="231"/>
      <c r="AC130" s="231"/>
      <c r="AD130" s="231"/>
      <c r="AE130" s="231"/>
      <c r="AF130" s="231"/>
      <c r="AG130" s="231"/>
      <c r="AH130" s="231"/>
    </row>
    <row r="131" spans="1:34" s="203" customFormat="1">
      <c r="A131" s="120">
        <v>29</v>
      </c>
      <c r="B131" s="47" t="s">
        <v>120</v>
      </c>
      <c r="C131" s="47"/>
      <c r="D131" s="47"/>
      <c r="E131" s="49">
        <v>230</v>
      </c>
      <c r="F131" s="52">
        <v>285</v>
      </c>
      <c r="G131" s="118"/>
      <c r="H131" s="122">
        <v>250</v>
      </c>
      <c r="I131" s="139"/>
      <c r="J131" s="231"/>
      <c r="K131" s="231"/>
      <c r="L131" s="231"/>
      <c r="M131" s="231"/>
      <c r="N131" s="231"/>
      <c r="O131" s="231"/>
      <c r="P131" s="231"/>
      <c r="Q131" s="231"/>
      <c r="R131" s="231"/>
      <c r="S131" s="231"/>
      <c r="T131" s="231"/>
      <c r="U131" s="231"/>
      <c r="V131" s="231"/>
      <c r="W131" s="231"/>
      <c r="X131" s="231"/>
      <c r="Y131" s="231"/>
      <c r="Z131" s="231"/>
      <c r="AA131" s="231"/>
      <c r="AB131" s="231"/>
      <c r="AC131" s="231"/>
      <c r="AD131" s="231"/>
      <c r="AE131" s="231"/>
      <c r="AF131" s="231"/>
      <c r="AG131" s="231"/>
      <c r="AH131" s="231"/>
    </row>
    <row r="132" spans="1:34" s="203" customFormat="1">
      <c r="A132" s="120">
        <v>30</v>
      </c>
      <c r="B132" s="47" t="s">
        <v>125</v>
      </c>
      <c r="C132" s="47"/>
      <c r="D132" s="47"/>
      <c r="E132" s="49">
        <v>770</v>
      </c>
      <c r="F132" s="52">
        <v>788</v>
      </c>
      <c r="G132" s="118"/>
      <c r="H132" s="122">
        <v>790</v>
      </c>
      <c r="I132" s="139"/>
      <c r="J132" s="231"/>
      <c r="K132" s="231"/>
      <c r="L132" s="231"/>
      <c r="M132" s="231"/>
      <c r="N132" s="231"/>
      <c r="O132" s="231"/>
      <c r="P132" s="231"/>
      <c r="Q132" s="231"/>
      <c r="R132" s="231"/>
      <c r="S132" s="231"/>
      <c r="T132" s="231"/>
      <c r="U132" s="231"/>
      <c r="V132" s="231"/>
      <c r="W132" s="231"/>
      <c r="X132" s="231"/>
      <c r="Y132" s="231"/>
      <c r="Z132" s="231"/>
      <c r="AA132" s="231"/>
      <c r="AB132" s="231"/>
      <c r="AC132" s="231"/>
      <c r="AD132" s="231"/>
      <c r="AE132" s="231"/>
      <c r="AF132" s="231"/>
      <c r="AG132" s="231"/>
      <c r="AH132" s="231"/>
    </row>
    <row r="133" spans="1:34" s="203" customFormat="1">
      <c r="A133" s="120">
        <v>31</v>
      </c>
      <c r="B133" s="90" t="s">
        <v>126</v>
      </c>
      <c r="C133" s="47"/>
      <c r="D133" s="47"/>
      <c r="E133" s="49">
        <v>785</v>
      </c>
      <c r="F133" s="52">
        <v>797</v>
      </c>
      <c r="G133" s="118"/>
      <c r="H133" s="122">
        <v>805</v>
      </c>
      <c r="I133" s="139"/>
      <c r="J133" s="231"/>
      <c r="K133" s="231"/>
      <c r="L133" s="231"/>
      <c r="M133" s="231"/>
      <c r="N133" s="231"/>
      <c r="O133" s="231"/>
      <c r="P133" s="231"/>
      <c r="Q133" s="231"/>
      <c r="R133" s="231"/>
      <c r="S133" s="231"/>
      <c r="T133" s="231"/>
      <c r="U133" s="231"/>
      <c r="V133" s="231"/>
      <c r="W133" s="231"/>
      <c r="X133" s="231"/>
      <c r="Y133" s="231"/>
      <c r="Z133" s="231"/>
      <c r="AA133" s="231"/>
      <c r="AB133" s="231"/>
      <c r="AC133" s="231"/>
      <c r="AD133" s="231"/>
      <c r="AE133" s="231"/>
      <c r="AF133" s="231"/>
      <c r="AG133" s="231"/>
      <c r="AH133" s="231"/>
    </row>
    <row r="134" spans="1:34" s="203" customFormat="1">
      <c r="A134" s="120">
        <v>32</v>
      </c>
      <c r="B134" s="47" t="s">
        <v>121</v>
      </c>
      <c r="C134" s="47"/>
      <c r="D134" s="47"/>
      <c r="E134" s="49">
        <v>156</v>
      </c>
      <c r="F134" s="52">
        <v>158</v>
      </c>
      <c r="G134" s="118"/>
      <c r="H134" s="100">
        <v>176</v>
      </c>
      <c r="I134" s="139"/>
      <c r="J134" s="231"/>
      <c r="K134" s="231"/>
      <c r="L134" s="231"/>
      <c r="M134" s="231"/>
      <c r="N134" s="231"/>
      <c r="O134" s="231"/>
      <c r="P134" s="231"/>
      <c r="Q134" s="231"/>
      <c r="R134" s="231"/>
      <c r="S134" s="231"/>
      <c r="T134" s="231"/>
      <c r="U134" s="231"/>
      <c r="V134" s="231"/>
      <c r="W134" s="231"/>
      <c r="X134" s="231"/>
      <c r="Y134" s="231"/>
      <c r="Z134" s="231"/>
      <c r="AA134" s="231"/>
      <c r="AB134" s="231"/>
      <c r="AC134" s="231"/>
      <c r="AD134" s="231"/>
      <c r="AE134" s="231"/>
      <c r="AF134" s="231"/>
      <c r="AG134" s="231"/>
      <c r="AH134" s="231"/>
    </row>
    <row r="135" spans="1:34" s="203" customFormat="1">
      <c r="A135" s="120">
        <v>33</v>
      </c>
      <c r="B135" s="116" t="s">
        <v>128</v>
      </c>
      <c r="C135" s="116"/>
      <c r="D135" s="116"/>
      <c r="E135" s="80">
        <v>4552</v>
      </c>
      <c r="F135" s="142">
        <f>SUM(F128:F134)</f>
        <v>5047</v>
      </c>
      <c r="G135" s="118"/>
      <c r="H135" s="142">
        <f>SUM(H128:H134)</f>
        <v>5002</v>
      </c>
      <c r="I135" s="139"/>
      <c r="J135" s="231"/>
      <c r="K135" s="231"/>
      <c r="L135" s="231"/>
      <c r="M135" s="231"/>
      <c r="N135" s="231"/>
      <c r="O135" s="231"/>
      <c r="P135" s="231"/>
      <c r="Q135" s="231"/>
      <c r="R135" s="231"/>
      <c r="S135" s="231"/>
      <c r="T135" s="231"/>
      <c r="U135" s="231"/>
      <c r="V135" s="231"/>
      <c r="W135" s="231"/>
      <c r="X135" s="231"/>
      <c r="Y135" s="231"/>
      <c r="Z135" s="231"/>
      <c r="AA135" s="231"/>
      <c r="AB135" s="231"/>
      <c r="AC135" s="231"/>
      <c r="AD135" s="231"/>
      <c r="AE135" s="231"/>
      <c r="AF135" s="231"/>
      <c r="AG135" s="231"/>
      <c r="AH135" s="231"/>
    </row>
    <row r="136" spans="1:34" s="203" customFormat="1">
      <c r="A136" s="111"/>
      <c r="B136" s="47"/>
      <c r="C136" s="47"/>
      <c r="D136" s="138"/>
      <c r="E136" s="117"/>
      <c r="F136" s="118"/>
      <c r="G136" s="118"/>
      <c r="H136" s="118"/>
      <c r="I136" s="139"/>
      <c r="J136" s="231"/>
      <c r="K136" s="231"/>
      <c r="L136" s="231"/>
      <c r="M136" s="231"/>
      <c r="N136" s="231"/>
      <c r="O136" s="231"/>
      <c r="P136" s="231"/>
      <c r="Q136" s="231"/>
      <c r="R136" s="231"/>
      <c r="S136" s="231"/>
      <c r="T136" s="231"/>
      <c r="U136" s="231"/>
      <c r="V136" s="231"/>
      <c r="W136" s="231"/>
      <c r="X136" s="231"/>
      <c r="Y136" s="231"/>
      <c r="Z136" s="231"/>
      <c r="AA136" s="231"/>
      <c r="AB136" s="231"/>
      <c r="AC136" s="231"/>
      <c r="AD136" s="231"/>
      <c r="AE136" s="231"/>
      <c r="AF136" s="231"/>
      <c r="AG136" s="231"/>
      <c r="AH136" s="231"/>
    </row>
    <row r="137" spans="1:34" s="203" customFormat="1">
      <c r="A137" s="119" t="s">
        <v>109</v>
      </c>
      <c r="B137" s="116"/>
      <c r="C137" s="116"/>
      <c r="D137" s="116"/>
      <c r="E137" s="140"/>
      <c r="F137" s="146"/>
      <c r="G137" s="118"/>
      <c r="H137" s="146"/>
      <c r="I137" s="139"/>
      <c r="J137" s="231"/>
      <c r="K137" s="231"/>
      <c r="L137" s="231"/>
      <c r="M137" s="231"/>
      <c r="N137" s="231"/>
      <c r="O137" s="231"/>
      <c r="P137" s="231"/>
      <c r="Q137" s="231"/>
      <c r="R137" s="231"/>
      <c r="S137" s="231"/>
      <c r="T137" s="231"/>
      <c r="U137" s="231"/>
      <c r="V137" s="231"/>
      <c r="W137" s="231"/>
      <c r="X137" s="231"/>
      <c r="Y137" s="231"/>
      <c r="Z137" s="231"/>
      <c r="AA137" s="231"/>
      <c r="AB137" s="231"/>
      <c r="AC137" s="231"/>
      <c r="AD137" s="231"/>
      <c r="AE137" s="231"/>
      <c r="AF137" s="231"/>
      <c r="AG137" s="231"/>
      <c r="AH137" s="231"/>
    </row>
    <row r="138" spans="1:34" s="203" customFormat="1">
      <c r="A138" s="120">
        <v>34</v>
      </c>
      <c r="B138" s="47" t="s">
        <v>123</v>
      </c>
      <c r="C138" s="47"/>
      <c r="D138" s="47"/>
      <c r="E138" s="49">
        <v>841</v>
      </c>
      <c r="F138" s="52">
        <v>833</v>
      </c>
      <c r="G138" s="118"/>
      <c r="H138" s="122">
        <v>891</v>
      </c>
      <c r="I138" s="139"/>
      <c r="J138" s="231"/>
      <c r="K138" s="231"/>
      <c r="L138" s="231"/>
      <c r="M138" s="231"/>
      <c r="N138" s="231"/>
      <c r="O138" s="231"/>
      <c r="P138" s="231"/>
      <c r="Q138" s="231"/>
      <c r="R138" s="231"/>
      <c r="S138" s="231"/>
      <c r="T138" s="231"/>
      <c r="U138" s="231"/>
      <c r="V138" s="231"/>
      <c r="W138" s="231"/>
      <c r="X138" s="231"/>
      <c r="Y138" s="231"/>
      <c r="Z138" s="231"/>
      <c r="AA138" s="231"/>
      <c r="AB138" s="231"/>
      <c r="AC138" s="231"/>
      <c r="AD138" s="231"/>
      <c r="AE138" s="231"/>
      <c r="AF138" s="231"/>
      <c r="AG138" s="231"/>
      <c r="AH138" s="231"/>
    </row>
    <row r="139" spans="1:34" s="203" customFormat="1">
      <c r="A139" s="120">
        <v>35</v>
      </c>
      <c r="B139" s="47" t="s">
        <v>119</v>
      </c>
      <c r="C139" s="47"/>
      <c r="D139" s="47"/>
      <c r="E139" s="49">
        <v>3403</v>
      </c>
      <c r="F139" s="52">
        <v>3545</v>
      </c>
      <c r="G139" s="118"/>
      <c r="H139" s="122">
        <v>3603</v>
      </c>
      <c r="I139" s="139"/>
      <c r="J139" s="231"/>
      <c r="K139" s="231"/>
      <c r="L139" s="231"/>
      <c r="M139" s="231"/>
      <c r="N139" s="231"/>
      <c r="O139" s="231"/>
      <c r="P139" s="231"/>
      <c r="Q139" s="231"/>
      <c r="R139" s="231"/>
      <c r="S139" s="231"/>
      <c r="T139" s="231"/>
      <c r="U139" s="231"/>
      <c r="V139" s="231"/>
      <c r="W139" s="231"/>
      <c r="X139" s="231"/>
      <c r="Y139" s="231"/>
      <c r="Z139" s="231"/>
      <c r="AA139" s="231"/>
      <c r="AB139" s="231"/>
      <c r="AC139" s="231"/>
      <c r="AD139" s="231"/>
      <c r="AE139" s="231"/>
      <c r="AF139" s="231"/>
      <c r="AG139" s="231"/>
      <c r="AH139" s="231"/>
    </row>
    <row r="140" spans="1:34" s="203" customFormat="1">
      <c r="A140" s="120">
        <v>36</v>
      </c>
      <c r="B140" s="47" t="s">
        <v>120</v>
      </c>
      <c r="C140" s="47"/>
      <c r="D140" s="47"/>
      <c r="E140" s="49">
        <v>1495</v>
      </c>
      <c r="F140" s="52">
        <v>1512</v>
      </c>
      <c r="G140" s="118"/>
      <c r="H140" s="122">
        <v>1580</v>
      </c>
      <c r="I140" s="139"/>
      <c r="J140" s="231"/>
      <c r="K140" s="231"/>
      <c r="L140" s="231"/>
      <c r="M140" s="231"/>
      <c r="N140" s="231"/>
      <c r="O140" s="231"/>
      <c r="P140" s="231"/>
      <c r="Q140" s="231"/>
      <c r="R140" s="231"/>
      <c r="S140" s="231"/>
      <c r="T140" s="231"/>
      <c r="U140" s="231"/>
      <c r="V140" s="231"/>
      <c r="W140" s="231"/>
      <c r="X140" s="231"/>
      <c r="Y140" s="231"/>
      <c r="Z140" s="231"/>
      <c r="AA140" s="231"/>
      <c r="AB140" s="231"/>
      <c r="AC140" s="231"/>
      <c r="AD140" s="231"/>
      <c r="AE140" s="231"/>
      <c r="AF140" s="231"/>
      <c r="AG140" s="231"/>
      <c r="AH140" s="231"/>
    </row>
    <row r="141" spans="1:34" s="203" customFormat="1">
      <c r="A141" s="120">
        <v>37</v>
      </c>
      <c r="B141" s="90" t="s">
        <v>126</v>
      </c>
      <c r="C141" s="47"/>
      <c r="D141" s="47"/>
      <c r="E141" s="49">
        <v>656</v>
      </c>
      <c r="F141" s="52">
        <v>695</v>
      </c>
      <c r="G141" s="118"/>
      <c r="H141" s="99">
        <v>706</v>
      </c>
      <c r="I141" s="139"/>
      <c r="J141" s="231"/>
      <c r="K141" s="231"/>
      <c r="L141" s="231"/>
      <c r="M141" s="231"/>
      <c r="N141" s="231"/>
      <c r="O141" s="231"/>
      <c r="P141" s="231"/>
      <c r="Q141" s="231"/>
      <c r="R141" s="231"/>
      <c r="S141" s="231"/>
      <c r="T141" s="231"/>
      <c r="U141" s="231"/>
      <c r="V141" s="231"/>
      <c r="W141" s="231"/>
      <c r="X141" s="231"/>
      <c r="Y141" s="231"/>
      <c r="Z141" s="231"/>
      <c r="AA141" s="231"/>
      <c r="AB141" s="231"/>
      <c r="AC141" s="231"/>
      <c r="AD141" s="231"/>
      <c r="AE141" s="231"/>
      <c r="AF141" s="231"/>
      <c r="AG141" s="231"/>
      <c r="AH141" s="231"/>
    </row>
    <row r="142" spans="1:34" s="203" customFormat="1">
      <c r="A142" s="120">
        <v>38</v>
      </c>
      <c r="B142" s="47" t="s">
        <v>121</v>
      </c>
      <c r="C142" s="47"/>
      <c r="D142" s="47"/>
      <c r="E142" s="49">
        <v>7445</v>
      </c>
      <c r="F142" s="52">
        <v>7433</v>
      </c>
      <c r="G142" s="118"/>
      <c r="H142" s="100">
        <v>7645</v>
      </c>
      <c r="I142" s="139"/>
      <c r="J142" s="231"/>
      <c r="K142" s="231"/>
      <c r="L142" s="231"/>
      <c r="M142" s="231"/>
      <c r="N142" s="231"/>
      <c r="O142" s="231"/>
      <c r="P142" s="231"/>
      <c r="Q142" s="231"/>
      <c r="R142" s="231"/>
      <c r="S142" s="231"/>
      <c r="T142" s="231"/>
      <c r="U142" s="231"/>
      <c r="V142" s="231"/>
      <c r="W142" s="231"/>
      <c r="X142" s="231"/>
      <c r="Y142" s="231"/>
      <c r="Z142" s="231"/>
      <c r="AA142" s="231"/>
      <c r="AB142" s="231"/>
      <c r="AC142" s="231"/>
      <c r="AD142" s="231"/>
      <c r="AE142" s="231"/>
      <c r="AF142" s="231"/>
      <c r="AG142" s="231"/>
      <c r="AH142" s="231"/>
    </row>
    <row r="143" spans="1:34" s="203" customFormat="1">
      <c r="A143" s="120">
        <v>39</v>
      </c>
      <c r="B143" s="116" t="s">
        <v>129</v>
      </c>
      <c r="C143" s="116"/>
      <c r="D143" s="116"/>
      <c r="E143" s="80">
        <v>13840</v>
      </c>
      <c r="F143" s="142">
        <f>SUM(F138:F142)</f>
        <v>14018</v>
      </c>
      <c r="G143" s="118"/>
      <c r="H143" s="142">
        <f>SUM(H138:H142)</f>
        <v>14425</v>
      </c>
      <c r="I143" s="139"/>
      <c r="J143" s="231"/>
      <c r="K143" s="231"/>
      <c r="L143" s="231"/>
      <c r="M143" s="231"/>
      <c r="N143" s="231"/>
      <c r="O143" s="231"/>
      <c r="P143" s="231"/>
      <c r="Q143" s="231"/>
      <c r="R143" s="231"/>
      <c r="S143" s="231"/>
      <c r="T143" s="231"/>
      <c r="U143" s="231"/>
      <c r="V143" s="231"/>
      <c r="W143" s="231"/>
      <c r="X143" s="231"/>
      <c r="Y143" s="231"/>
      <c r="Z143" s="231"/>
      <c r="AA143" s="231"/>
      <c r="AB143" s="231"/>
      <c r="AC143" s="231"/>
      <c r="AD143" s="231"/>
      <c r="AE143" s="231"/>
      <c r="AF143" s="231"/>
      <c r="AG143" s="231"/>
      <c r="AH143" s="231"/>
    </row>
    <row r="144" spans="1:34" s="203" customFormat="1">
      <c r="A144" s="111"/>
      <c r="B144" s="47"/>
      <c r="C144" s="47"/>
      <c r="D144" s="47"/>
      <c r="E144" s="117"/>
      <c r="F144" s="118"/>
      <c r="G144" s="118"/>
      <c r="H144" s="118"/>
      <c r="I144" s="139"/>
      <c r="J144" s="231"/>
      <c r="K144" s="231"/>
      <c r="L144" s="231"/>
      <c r="M144" s="231"/>
      <c r="N144" s="231"/>
      <c r="O144" s="231"/>
      <c r="P144" s="231"/>
      <c r="Q144" s="231"/>
      <c r="R144" s="231"/>
      <c r="S144" s="231"/>
      <c r="T144" s="231"/>
      <c r="U144" s="231"/>
      <c r="V144" s="231"/>
      <c r="W144" s="231"/>
      <c r="X144" s="231"/>
      <c r="Y144" s="231"/>
      <c r="Z144" s="231"/>
      <c r="AA144" s="231"/>
      <c r="AB144" s="231"/>
      <c r="AC144" s="231"/>
      <c r="AD144" s="231"/>
      <c r="AE144" s="231"/>
      <c r="AF144" s="231"/>
      <c r="AG144" s="231"/>
      <c r="AH144" s="231"/>
    </row>
    <row r="145" spans="1:34" s="203" customFormat="1">
      <c r="A145" s="119" t="s">
        <v>110</v>
      </c>
      <c r="B145" s="116"/>
      <c r="C145" s="116"/>
      <c r="D145" s="116"/>
      <c r="E145" s="140"/>
      <c r="F145" s="146"/>
      <c r="G145" s="118"/>
      <c r="H145" s="146"/>
      <c r="I145" s="139"/>
      <c r="J145" s="231"/>
      <c r="K145" s="231"/>
      <c r="L145" s="231"/>
      <c r="M145" s="231"/>
      <c r="N145" s="231"/>
      <c r="O145" s="231"/>
      <c r="P145" s="231"/>
      <c r="Q145" s="231"/>
      <c r="R145" s="231"/>
      <c r="S145" s="231"/>
      <c r="T145" s="231"/>
      <c r="U145" s="231"/>
      <c r="V145" s="231"/>
      <c r="W145" s="231"/>
      <c r="X145" s="231"/>
      <c r="Y145" s="231"/>
      <c r="Z145" s="231"/>
      <c r="AA145" s="231"/>
      <c r="AB145" s="231"/>
      <c r="AC145" s="231"/>
      <c r="AD145" s="231"/>
      <c r="AE145" s="231"/>
      <c r="AF145" s="231"/>
      <c r="AG145" s="231"/>
      <c r="AH145" s="231"/>
    </row>
    <row r="146" spans="1:34" s="203" customFormat="1">
      <c r="A146" s="120">
        <v>40</v>
      </c>
      <c r="B146" s="47" t="s">
        <v>123</v>
      </c>
      <c r="C146" s="47"/>
      <c r="D146" s="47"/>
      <c r="E146" s="49">
        <v>633</v>
      </c>
      <c r="F146" s="52">
        <v>604</v>
      </c>
      <c r="G146" s="118"/>
      <c r="H146" s="122">
        <v>653</v>
      </c>
      <c r="I146" s="139"/>
      <c r="J146" s="231"/>
      <c r="K146" s="231"/>
      <c r="L146" s="231"/>
      <c r="M146" s="231"/>
      <c r="N146" s="231"/>
      <c r="O146" s="231"/>
      <c r="P146" s="231"/>
      <c r="Q146" s="231"/>
      <c r="R146" s="231"/>
      <c r="S146" s="231"/>
      <c r="T146" s="231"/>
      <c r="U146" s="231"/>
      <c r="V146" s="231"/>
      <c r="W146" s="231"/>
      <c r="X146" s="231"/>
      <c r="Y146" s="231"/>
      <c r="Z146" s="231"/>
      <c r="AA146" s="231"/>
      <c r="AB146" s="231"/>
      <c r="AC146" s="231"/>
      <c r="AD146" s="231"/>
      <c r="AE146" s="231"/>
      <c r="AF146" s="231"/>
      <c r="AG146" s="231"/>
      <c r="AH146" s="231"/>
    </row>
    <row r="147" spans="1:34" s="203" customFormat="1">
      <c r="A147" s="120">
        <v>41</v>
      </c>
      <c r="B147" s="47" t="s">
        <v>119</v>
      </c>
      <c r="C147" s="47"/>
      <c r="D147" s="47"/>
      <c r="E147" s="49">
        <v>793</v>
      </c>
      <c r="F147" s="52">
        <v>623</v>
      </c>
      <c r="G147" s="118"/>
      <c r="H147" s="122">
        <v>813</v>
      </c>
      <c r="I147" s="139"/>
      <c r="J147" s="231"/>
      <c r="K147" s="231"/>
      <c r="L147" s="231"/>
      <c r="M147" s="231"/>
      <c r="N147" s="231"/>
      <c r="O147" s="231"/>
      <c r="P147" s="231"/>
      <c r="Q147" s="231"/>
      <c r="R147" s="231"/>
      <c r="S147" s="231"/>
      <c r="T147" s="231"/>
      <c r="U147" s="231"/>
      <c r="V147" s="231"/>
      <c r="W147" s="231"/>
      <c r="X147" s="231"/>
      <c r="Y147" s="231"/>
      <c r="Z147" s="231"/>
      <c r="AA147" s="231"/>
      <c r="AB147" s="231"/>
      <c r="AC147" s="231"/>
      <c r="AD147" s="231"/>
      <c r="AE147" s="231"/>
      <c r="AF147" s="231"/>
      <c r="AG147" s="231"/>
      <c r="AH147" s="231"/>
    </row>
    <row r="148" spans="1:34" s="203" customFormat="1">
      <c r="A148" s="120">
        <v>42</v>
      </c>
      <c r="B148" s="47" t="s">
        <v>120</v>
      </c>
      <c r="C148" s="47"/>
      <c r="D148" s="47"/>
      <c r="E148" s="49">
        <v>0</v>
      </c>
      <c r="F148" s="52">
        <v>0</v>
      </c>
      <c r="G148" s="118"/>
      <c r="H148" s="122">
        <v>0</v>
      </c>
      <c r="I148" s="139"/>
      <c r="J148" s="231"/>
      <c r="K148" s="231"/>
      <c r="L148" s="231"/>
      <c r="M148" s="231"/>
      <c r="N148" s="231"/>
      <c r="O148" s="231"/>
      <c r="P148" s="231"/>
      <c r="Q148" s="231"/>
      <c r="R148" s="231"/>
      <c r="S148" s="231"/>
      <c r="T148" s="231"/>
      <c r="U148" s="231"/>
      <c r="V148" s="231"/>
      <c r="W148" s="231"/>
      <c r="X148" s="231"/>
      <c r="Y148" s="231"/>
      <c r="Z148" s="231"/>
      <c r="AA148" s="231"/>
      <c r="AB148" s="231"/>
      <c r="AC148" s="231"/>
      <c r="AD148" s="231"/>
      <c r="AE148" s="231"/>
      <c r="AF148" s="231"/>
      <c r="AG148" s="231"/>
      <c r="AH148" s="231"/>
    </row>
    <row r="149" spans="1:34" s="203" customFormat="1">
      <c r="A149" s="120">
        <v>43</v>
      </c>
      <c r="B149" s="47" t="s">
        <v>121</v>
      </c>
      <c r="C149" s="47"/>
      <c r="D149" s="47"/>
      <c r="E149" s="49">
        <v>585</v>
      </c>
      <c r="F149" s="52">
        <v>527</v>
      </c>
      <c r="G149" s="118"/>
      <c r="H149" s="100">
        <v>605</v>
      </c>
      <c r="I149" s="139"/>
      <c r="J149" s="231"/>
      <c r="K149" s="231"/>
      <c r="L149" s="231"/>
      <c r="M149" s="231"/>
      <c r="N149" s="231"/>
      <c r="O149" s="231"/>
      <c r="P149" s="231"/>
      <c r="Q149" s="231"/>
      <c r="R149" s="231"/>
      <c r="S149" s="231"/>
      <c r="T149" s="231"/>
      <c r="U149" s="231"/>
      <c r="V149" s="231"/>
      <c r="W149" s="231"/>
      <c r="X149" s="231"/>
      <c r="Y149" s="231"/>
      <c r="Z149" s="231"/>
      <c r="AA149" s="231"/>
      <c r="AB149" s="231"/>
      <c r="AC149" s="231"/>
      <c r="AD149" s="231"/>
      <c r="AE149" s="231"/>
      <c r="AF149" s="231"/>
      <c r="AG149" s="231"/>
      <c r="AH149" s="231"/>
    </row>
    <row r="150" spans="1:34" s="203" customFormat="1">
      <c r="A150" s="124">
        <v>44</v>
      </c>
      <c r="B150" s="94" t="s">
        <v>130</v>
      </c>
      <c r="C150" s="94"/>
      <c r="D150" s="94"/>
      <c r="E150" s="80">
        <v>2011</v>
      </c>
      <c r="F150" s="142">
        <f>SUM(F146:F149)</f>
        <v>1754</v>
      </c>
      <c r="G150" s="259"/>
      <c r="H150" s="142">
        <f>SUM(H146:H149)</f>
        <v>2071</v>
      </c>
      <c r="I150" s="139"/>
      <c r="J150" s="231"/>
      <c r="K150" s="231"/>
      <c r="L150" s="231"/>
      <c r="M150" s="231"/>
      <c r="N150" s="231"/>
      <c r="O150" s="231"/>
      <c r="P150" s="231"/>
      <c r="Q150" s="231"/>
      <c r="R150" s="231"/>
      <c r="S150" s="231"/>
      <c r="T150" s="231"/>
      <c r="U150" s="231"/>
      <c r="V150" s="231"/>
      <c r="W150" s="231"/>
      <c r="X150" s="231"/>
      <c r="Y150" s="231"/>
      <c r="Z150" s="231"/>
      <c r="AA150" s="231"/>
      <c r="AB150" s="231"/>
      <c r="AC150" s="231"/>
      <c r="AD150" s="231"/>
      <c r="AE150" s="231"/>
      <c r="AF150" s="231"/>
      <c r="AG150" s="231"/>
      <c r="AH150" s="231"/>
    </row>
    <row r="151" spans="1:34" s="203" customFormat="1">
      <c r="A151" s="148"/>
      <c r="B151" s="129"/>
      <c r="C151" s="129"/>
      <c r="D151" s="149"/>
      <c r="E151" s="150"/>
      <c r="F151" s="29"/>
      <c r="G151" s="29"/>
      <c r="H151" s="207"/>
      <c r="I151" s="29"/>
      <c r="J151" s="231"/>
      <c r="K151" s="231"/>
      <c r="L151" s="231"/>
      <c r="M151" s="231"/>
      <c r="N151" s="231"/>
      <c r="O151" s="231"/>
      <c r="P151" s="231"/>
      <c r="Q151" s="231"/>
      <c r="R151" s="231"/>
      <c r="S151" s="231"/>
      <c r="T151" s="231"/>
      <c r="U151" s="231"/>
      <c r="V151" s="231"/>
      <c r="W151" s="231"/>
      <c r="X151" s="231"/>
      <c r="Y151" s="231"/>
      <c r="Z151" s="231"/>
      <c r="AA151" s="231"/>
      <c r="AB151" s="231"/>
      <c r="AC151" s="231"/>
      <c r="AD151" s="231"/>
      <c r="AE151" s="231"/>
      <c r="AF151" s="231"/>
      <c r="AG151" s="231"/>
      <c r="AH151" s="231"/>
    </row>
    <row r="152" spans="1:34" s="203" customFormat="1">
      <c r="A152" s="148"/>
      <c r="B152" s="129"/>
      <c r="C152" s="129"/>
      <c r="D152" s="151"/>
      <c r="E152" s="152"/>
      <c r="F152" s="29"/>
      <c r="G152" s="29"/>
      <c r="H152" s="131" t="s">
        <v>27</v>
      </c>
      <c r="I152" s="29"/>
      <c r="J152" s="231"/>
      <c r="K152" s="231"/>
      <c r="L152" s="231"/>
      <c r="M152" s="231"/>
      <c r="N152" s="231"/>
      <c r="O152" s="231"/>
      <c r="P152" s="231"/>
      <c r="Q152" s="231"/>
      <c r="R152" s="231"/>
      <c r="S152" s="231"/>
      <c r="T152" s="231"/>
      <c r="U152" s="231"/>
      <c r="V152" s="231"/>
      <c r="W152" s="231"/>
      <c r="X152" s="231"/>
      <c r="Y152" s="231"/>
      <c r="Z152" s="231"/>
      <c r="AA152" s="231"/>
      <c r="AB152" s="231"/>
      <c r="AC152" s="231"/>
      <c r="AD152" s="231"/>
      <c r="AE152" s="231"/>
      <c r="AF152" s="231"/>
      <c r="AG152" s="231"/>
      <c r="AH152" s="231"/>
    </row>
    <row r="153" spans="1:34" s="203" customFormat="1">
      <c r="A153" s="106" t="s">
        <v>20</v>
      </c>
      <c r="B153" s="107"/>
      <c r="C153" s="107"/>
      <c r="D153" s="107"/>
      <c r="E153" s="856" t="s">
        <v>377</v>
      </c>
      <c r="F153" s="856" t="s">
        <v>402</v>
      </c>
      <c r="G153" s="130"/>
      <c r="H153" s="856" t="s">
        <v>403</v>
      </c>
      <c r="I153" s="130"/>
      <c r="J153" s="231"/>
      <c r="K153" s="231"/>
      <c r="L153" s="231"/>
      <c r="M153" s="231"/>
      <c r="N153" s="231"/>
      <c r="O153" s="231"/>
      <c r="P153" s="231"/>
      <c r="Q153" s="231"/>
      <c r="R153" s="231"/>
      <c r="S153" s="231"/>
      <c r="T153" s="231"/>
      <c r="U153" s="231"/>
      <c r="V153" s="231"/>
      <c r="W153" s="231"/>
      <c r="X153" s="231"/>
      <c r="Y153" s="231"/>
      <c r="Z153" s="231"/>
      <c r="AA153" s="231"/>
      <c r="AB153" s="231"/>
      <c r="AC153" s="231"/>
      <c r="AD153" s="231"/>
      <c r="AE153" s="231"/>
      <c r="AF153" s="231"/>
      <c r="AG153" s="231"/>
      <c r="AH153" s="231"/>
    </row>
    <row r="154" spans="1:34" s="203" customFormat="1">
      <c r="A154" s="153"/>
      <c r="B154" s="132"/>
      <c r="C154" s="132"/>
      <c r="D154" s="132"/>
      <c r="E154" s="859"/>
      <c r="F154" s="859"/>
      <c r="G154" s="130"/>
      <c r="H154" s="859"/>
      <c r="I154" s="130"/>
      <c r="J154" s="231"/>
      <c r="K154" s="231"/>
      <c r="L154" s="231"/>
      <c r="M154" s="231"/>
      <c r="N154" s="231"/>
      <c r="O154" s="231"/>
      <c r="P154" s="231"/>
      <c r="Q154" s="231"/>
      <c r="R154" s="231"/>
      <c r="S154" s="231"/>
      <c r="T154" s="231"/>
      <c r="U154" s="231"/>
      <c r="V154" s="231"/>
      <c r="W154" s="231"/>
      <c r="X154" s="231"/>
      <c r="Y154" s="231"/>
      <c r="Z154" s="231"/>
      <c r="AA154" s="231"/>
      <c r="AB154" s="231"/>
      <c r="AC154" s="231"/>
      <c r="AD154" s="231"/>
      <c r="AE154" s="231"/>
      <c r="AF154" s="231"/>
      <c r="AG154" s="231"/>
      <c r="AH154" s="231"/>
    </row>
    <row r="155" spans="1:34" s="203" customFormat="1">
      <c r="A155" s="154" t="s">
        <v>131</v>
      </c>
      <c r="B155" s="116"/>
      <c r="C155" s="116"/>
      <c r="D155" s="116"/>
      <c r="E155" s="859"/>
      <c r="F155" s="859"/>
      <c r="G155" s="130"/>
      <c r="H155" s="859"/>
      <c r="I155" s="130"/>
      <c r="J155" s="231"/>
      <c r="K155" s="231"/>
      <c r="L155" s="231"/>
      <c r="M155" s="231"/>
      <c r="N155" s="231"/>
      <c r="O155" s="231"/>
      <c r="P155" s="231"/>
      <c r="Q155" s="231"/>
      <c r="R155" s="231"/>
      <c r="S155" s="231"/>
      <c r="T155" s="231"/>
      <c r="U155" s="231"/>
      <c r="V155" s="231"/>
      <c r="W155" s="231"/>
      <c r="X155" s="231"/>
      <c r="Y155" s="231"/>
      <c r="Z155" s="231"/>
      <c r="AA155" s="231"/>
      <c r="AB155" s="231"/>
      <c r="AC155" s="231"/>
      <c r="AD155" s="231"/>
      <c r="AE155" s="231"/>
      <c r="AF155" s="231"/>
      <c r="AG155" s="231"/>
      <c r="AH155" s="231"/>
    </row>
    <row r="156" spans="1:34" s="203" customFormat="1" ht="12.75" customHeight="1">
      <c r="A156" s="109" t="s">
        <v>83</v>
      </c>
      <c r="B156" s="47"/>
      <c r="C156" s="47"/>
      <c r="D156" s="47"/>
      <c r="E156" s="859"/>
      <c r="F156" s="859"/>
      <c r="G156" s="130"/>
      <c r="H156" s="859"/>
      <c r="I156" s="130"/>
      <c r="J156" s="231"/>
      <c r="K156" s="231"/>
      <c r="L156" s="231"/>
      <c r="M156" s="231"/>
      <c r="N156" s="231"/>
      <c r="O156" s="231"/>
      <c r="P156" s="231"/>
      <c r="Q156" s="231"/>
      <c r="R156" s="231"/>
      <c r="S156" s="231"/>
      <c r="T156" s="231"/>
      <c r="U156" s="231"/>
      <c r="V156" s="231"/>
      <c r="W156" s="231"/>
      <c r="X156" s="231"/>
      <c r="Y156" s="231"/>
      <c r="Z156" s="231"/>
      <c r="AA156" s="231"/>
      <c r="AB156" s="231"/>
      <c r="AC156" s="231"/>
      <c r="AD156" s="231"/>
      <c r="AE156" s="231"/>
      <c r="AF156" s="231"/>
      <c r="AG156" s="231"/>
      <c r="AH156" s="231"/>
    </row>
    <row r="157" spans="1:34" s="203" customFormat="1">
      <c r="A157" s="110" t="s">
        <v>84</v>
      </c>
      <c r="B157" s="132"/>
      <c r="C157" s="132"/>
      <c r="D157" s="132"/>
      <c r="E157" s="860"/>
      <c r="F157" s="860"/>
      <c r="G157" s="130"/>
      <c r="H157" s="860"/>
      <c r="I157" s="130"/>
      <c r="J157" s="231"/>
      <c r="K157" s="231"/>
      <c r="L157" s="231"/>
      <c r="M157" s="231"/>
      <c r="N157" s="231"/>
      <c r="O157" s="231"/>
      <c r="P157" s="231"/>
      <c r="Q157" s="231"/>
      <c r="R157" s="231"/>
      <c r="S157" s="231"/>
      <c r="T157" s="231"/>
      <c r="U157" s="231"/>
      <c r="V157" s="231"/>
      <c r="W157" s="231"/>
      <c r="X157" s="231"/>
      <c r="Y157" s="231"/>
      <c r="Z157" s="231"/>
      <c r="AA157" s="231"/>
      <c r="AB157" s="231"/>
      <c r="AC157" s="231"/>
      <c r="AD157" s="231"/>
      <c r="AE157" s="231"/>
      <c r="AF157" s="231"/>
      <c r="AG157" s="231"/>
      <c r="AH157" s="231"/>
    </row>
    <row r="158" spans="1:34" s="203" customFormat="1">
      <c r="A158" s="119" t="s">
        <v>132</v>
      </c>
      <c r="B158" s="47"/>
      <c r="C158" s="47"/>
      <c r="D158" s="47"/>
      <c r="E158" s="155"/>
      <c r="F158" s="146" t="s">
        <v>133</v>
      </c>
      <c r="G158" s="118"/>
      <c r="H158" s="146"/>
      <c r="I158" s="29"/>
      <c r="J158" s="231"/>
      <c r="K158" s="231"/>
      <c r="L158" s="231"/>
      <c r="M158" s="231"/>
      <c r="N158" s="231"/>
      <c r="O158" s="231"/>
      <c r="P158" s="231"/>
      <c r="Q158" s="231"/>
      <c r="R158" s="231"/>
      <c r="S158" s="231"/>
      <c r="T158" s="231"/>
      <c r="U158" s="231"/>
      <c r="V158" s="231"/>
      <c r="W158" s="231"/>
      <c r="X158" s="231"/>
      <c r="Y158" s="231"/>
      <c r="Z158" s="231"/>
      <c r="AA158" s="231"/>
      <c r="AB158" s="231"/>
      <c r="AC158" s="231"/>
      <c r="AD158" s="231"/>
      <c r="AE158" s="231"/>
      <c r="AF158" s="231"/>
      <c r="AG158" s="231"/>
      <c r="AH158" s="231"/>
    </row>
    <row r="159" spans="1:34" s="203" customFormat="1">
      <c r="A159" s="120">
        <v>1</v>
      </c>
      <c r="B159" s="47" t="s">
        <v>134</v>
      </c>
      <c r="C159" s="47"/>
      <c r="D159" s="47"/>
      <c r="E159" s="74">
        <v>0</v>
      </c>
      <c r="F159" s="52">
        <v>0</v>
      </c>
      <c r="G159" s="118"/>
      <c r="H159" s="122">
        <v>0</v>
      </c>
      <c r="I159" s="29"/>
      <c r="J159" s="231"/>
      <c r="K159" s="231"/>
      <c r="L159" s="231"/>
      <c r="M159" s="231"/>
      <c r="N159" s="231"/>
      <c r="O159" s="231"/>
      <c r="P159" s="231"/>
      <c r="Q159" s="231"/>
      <c r="R159" s="231"/>
      <c r="S159" s="231"/>
      <c r="T159" s="231"/>
      <c r="U159" s="231"/>
      <c r="V159" s="231"/>
      <c r="W159" s="231"/>
      <c r="X159" s="231"/>
      <c r="Y159" s="231"/>
      <c r="Z159" s="231"/>
      <c r="AA159" s="231"/>
      <c r="AB159" s="231"/>
      <c r="AC159" s="231"/>
      <c r="AD159" s="231"/>
      <c r="AE159" s="231"/>
      <c r="AF159" s="231"/>
      <c r="AG159" s="231"/>
      <c r="AH159" s="231"/>
    </row>
    <row r="160" spans="1:34" s="203" customFormat="1">
      <c r="A160" s="120">
        <v>2</v>
      </c>
      <c r="B160" s="47" t="s">
        <v>135</v>
      </c>
      <c r="C160" s="47"/>
      <c r="D160" s="47"/>
      <c r="E160" s="49">
        <v>1269</v>
      </c>
      <c r="F160" s="52">
        <v>1221</v>
      </c>
      <c r="G160" s="118"/>
      <c r="H160" s="122">
        <v>1291</v>
      </c>
      <c r="I160" s="29"/>
      <c r="J160" s="231"/>
      <c r="K160" s="231"/>
      <c r="L160" s="231"/>
      <c r="M160" s="231"/>
      <c r="N160" s="231"/>
      <c r="O160" s="231"/>
      <c r="P160" s="231"/>
      <c r="Q160" s="231"/>
      <c r="R160" s="231"/>
      <c r="S160" s="231"/>
      <c r="T160" s="231"/>
      <c r="U160" s="231"/>
      <c r="V160" s="231"/>
      <c r="W160" s="231"/>
      <c r="X160" s="231"/>
      <c r="Y160" s="231"/>
      <c r="Z160" s="231"/>
      <c r="AA160" s="231"/>
      <c r="AB160" s="231"/>
      <c r="AC160" s="231"/>
      <c r="AD160" s="231"/>
      <c r="AE160" s="231"/>
      <c r="AF160" s="231"/>
      <c r="AG160" s="231"/>
      <c r="AH160" s="231"/>
    </row>
    <row r="161" spans="1:34" s="203" customFormat="1">
      <c r="A161" s="120">
        <v>3</v>
      </c>
      <c r="B161" s="47" t="s">
        <v>136</v>
      </c>
      <c r="C161" s="47"/>
      <c r="D161" s="47"/>
      <c r="E161" s="114">
        <v>865</v>
      </c>
      <c r="F161" s="52">
        <v>915</v>
      </c>
      <c r="G161" s="118"/>
      <c r="H161" s="122">
        <v>895</v>
      </c>
      <c r="I161" s="29"/>
      <c r="J161" s="231"/>
      <c r="K161" s="231"/>
      <c r="L161" s="231"/>
      <c r="M161" s="231"/>
      <c r="N161" s="231"/>
      <c r="O161" s="231"/>
      <c r="P161" s="231"/>
      <c r="Q161" s="231"/>
      <c r="R161" s="231"/>
      <c r="S161" s="231"/>
      <c r="T161" s="231"/>
      <c r="U161" s="231"/>
      <c r="V161" s="231"/>
      <c r="W161" s="231"/>
      <c r="X161" s="231"/>
      <c r="Y161" s="231"/>
      <c r="Z161" s="231"/>
      <c r="AA161" s="231"/>
      <c r="AB161" s="231"/>
      <c r="AC161" s="231"/>
      <c r="AD161" s="231"/>
      <c r="AE161" s="231"/>
      <c r="AF161" s="231"/>
      <c r="AG161" s="231"/>
      <c r="AH161" s="231"/>
    </row>
    <row r="162" spans="1:34" s="203" customFormat="1">
      <c r="A162" s="120">
        <v>4</v>
      </c>
      <c r="B162" s="47" t="s">
        <v>137</v>
      </c>
      <c r="C162" s="47"/>
      <c r="D162" s="47"/>
      <c r="E162" s="114">
        <v>1218</v>
      </c>
      <c r="F162" s="52">
        <v>1261</v>
      </c>
      <c r="G162" s="118"/>
      <c r="H162" s="100">
        <v>1289</v>
      </c>
      <c r="I162" s="29"/>
      <c r="J162" s="231"/>
      <c r="K162" s="231"/>
      <c r="L162" s="231"/>
      <c r="M162" s="231"/>
      <c r="N162" s="231"/>
      <c r="O162" s="231"/>
      <c r="P162" s="231"/>
      <c r="Q162" s="231"/>
      <c r="R162" s="231"/>
      <c r="S162" s="231"/>
      <c r="T162" s="231"/>
      <c r="U162" s="231"/>
      <c r="V162" s="231"/>
      <c r="W162" s="231"/>
      <c r="X162" s="231"/>
      <c r="Y162" s="231"/>
      <c r="Z162" s="231"/>
      <c r="AA162" s="231"/>
      <c r="AB162" s="231"/>
      <c r="AC162" s="231"/>
      <c r="AD162" s="231"/>
      <c r="AE162" s="231"/>
      <c r="AF162" s="231"/>
      <c r="AG162" s="231"/>
      <c r="AH162" s="231"/>
    </row>
    <row r="163" spans="1:34" s="203" customFormat="1">
      <c r="A163" s="120">
        <v>5</v>
      </c>
      <c r="B163" s="116" t="s">
        <v>138</v>
      </c>
      <c r="C163" s="116"/>
      <c r="D163" s="116"/>
      <c r="E163" s="80">
        <v>3352</v>
      </c>
      <c r="F163" s="142">
        <f>SUM(F159:F162)</f>
        <v>3397</v>
      </c>
      <c r="G163" s="118"/>
      <c r="H163" s="142">
        <f>SUM(H159:H162)</f>
        <v>3475</v>
      </c>
      <c r="I163" s="29"/>
      <c r="J163" s="231"/>
      <c r="K163" s="231"/>
      <c r="L163" s="231"/>
      <c r="M163" s="231"/>
      <c r="N163" s="231"/>
      <c r="O163" s="231"/>
      <c r="P163" s="231"/>
      <c r="Q163" s="231"/>
      <c r="R163" s="231"/>
      <c r="S163" s="231"/>
      <c r="T163" s="231"/>
      <c r="U163" s="231"/>
      <c r="V163" s="231"/>
      <c r="W163" s="231"/>
      <c r="X163" s="231"/>
      <c r="Y163" s="231"/>
      <c r="Z163" s="231"/>
      <c r="AA163" s="231"/>
      <c r="AB163" s="231"/>
      <c r="AC163" s="231"/>
      <c r="AD163" s="231"/>
      <c r="AE163" s="231"/>
      <c r="AF163" s="231"/>
      <c r="AG163" s="231"/>
      <c r="AH163" s="231"/>
    </row>
    <row r="164" spans="1:34" s="203" customFormat="1">
      <c r="A164" s="46"/>
      <c r="B164" s="132"/>
      <c r="C164" s="132"/>
      <c r="D164" s="132"/>
      <c r="E164" s="156"/>
      <c r="F164" s="139"/>
      <c r="G164" s="139"/>
      <c r="H164" s="139"/>
      <c r="I164" s="29"/>
      <c r="J164" s="231"/>
      <c r="K164" s="231"/>
      <c r="L164" s="231"/>
      <c r="M164" s="231"/>
      <c r="N164" s="231"/>
      <c r="O164" s="231"/>
      <c r="P164" s="231"/>
      <c r="Q164" s="231"/>
      <c r="R164" s="231"/>
      <c r="S164" s="231"/>
      <c r="T164" s="231"/>
      <c r="U164" s="231"/>
      <c r="V164" s="231"/>
      <c r="W164" s="231"/>
      <c r="X164" s="231"/>
      <c r="Y164" s="231"/>
      <c r="Z164" s="231"/>
      <c r="AA164" s="231"/>
      <c r="AB164" s="231"/>
      <c r="AC164" s="231"/>
      <c r="AD164" s="231"/>
      <c r="AE164" s="231"/>
      <c r="AF164" s="231"/>
      <c r="AG164" s="231"/>
      <c r="AH164" s="231"/>
    </row>
    <row r="165" spans="1:34" s="203" customFormat="1">
      <c r="A165" s="119" t="s">
        <v>139</v>
      </c>
      <c r="B165" s="47"/>
      <c r="C165" s="47"/>
      <c r="D165" s="47"/>
      <c r="E165" s="140"/>
      <c r="F165" s="146"/>
      <c r="G165" s="118"/>
      <c r="H165" s="146"/>
      <c r="I165" s="29"/>
      <c r="J165" s="231"/>
      <c r="K165" s="231"/>
      <c r="L165" s="231"/>
      <c r="M165" s="231"/>
      <c r="N165" s="231"/>
      <c r="O165" s="231"/>
      <c r="P165" s="231"/>
      <c r="Q165" s="231"/>
      <c r="R165" s="231"/>
      <c r="S165" s="231"/>
      <c r="T165" s="231"/>
      <c r="U165" s="231"/>
      <c r="V165" s="231"/>
      <c r="W165" s="231"/>
      <c r="X165" s="231"/>
      <c r="Y165" s="231"/>
      <c r="Z165" s="231"/>
      <c r="AA165" s="231"/>
      <c r="AB165" s="231"/>
      <c r="AC165" s="231"/>
      <c r="AD165" s="231"/>
      <c r="AE165" s="231"/>
      <c r="AF165" s="231"/>
      <c r="AG165" s="231"/>
      <c r="AH165" s="231"/>
    </row>
    <row r="166" spans="1:34" s="203" customFormat="1">
      <c r="A166" s="120">
        <v>6</v>
      </c>
      <c r="B166" s="47" t="s">
        <v>140</v>
      </c>
      <c r="C166" s="47"/>
      <c r="D166" s="47"/>
      <c r="E166" s="74">
        <v>299</v>
      </c>
      <c r="F166" s="52">
        <v>296</v>
      </c>
      <c r="G166" s="118"/>
      <c r="H166" s="122">
        <v>308</v>
      </c>
      <c r="I166" s="29"/>
      <c r="J166" s="231"/>
      <c r="K166" s="231"/>
      <c r="L166" s="231"/>
      <c r="M166" s="231"/>
      <c r="N166" s="231"/>
      <c r="O166" s="231"/>
      <c r="P166" s="231"/>
      <c r="Q166" s="231"/>
      <c r="R166" s="231"/>
      <c r="S166" s="231"/>
      <c r="T166" s="231"/>
      <c r="U166" s="231"/>
      <c r="V166" s="231"/>
      <c r="W166" s="231"/>
      <c r="X166" s="231"/>
      <c r="Y166" s="231"/>
      <c r="Z166" s="231"/>
      <c r="AA166" s="231"/>
      <c r="AB166" s="231"/>
      <c r="AC166" s="231"/>
      <c r="AD166" s="231"/>
      <c r="AE166" s="231"/>
      <c r="AF166" s="231"/>
      <c r="AG166" s="231"/>
      <c r="AH166" s="231"/>
    </row>
    <row r="167" spans="1:34" s="203" customFormat="1">
      <c r="A167" s="120">
        <v>7</v>
      </c>
      <c r="B167" s="47" t="s">
        <v>141</v>
      </c>
      <c r="C167" s="47"/>
      <c r="D167" s="47"/>
      <c r="E167" s="49">
        <v>0</v>
      </c>
      <c r="F167" s="52">
        <v>0</v>
      </c>
      <c r="G167" s="118"/>
      <c r="H167" s="122">
        <v>0</v>
      </c>
      <c r="I167" s="29"/>
      <c r="J167" s="231"/>
      <c r="K167" s="231"/>
      <c r="L167" s="231"/>
      <c r="M167" s="231"/>
      <c r="N167" s="231"/>
      <c r="O167" s="231"/>
      <c r="P167" s="231"/>
      <c r="Q167" s="231"/>
      <c r="R167" s="231"/>
      <c r="S167" s="231"/>
      <c r="T167" s="231"/>
      <c r="U167" s="231"/>
      <c r="V167" s="231"/>
      <c r="W167" s="231"/>
      <c r="X167" s="231"/>
      <c r="Y167" s="231"/>
      <c r="Z167" s="231"/>
      <c r="AA167" s="231"/>
      <c r="AB167" s="231"/>
      <c r="AC167" s="231"/>
      <c r="AD167" s="231"/>
      <c r="AE167" s="231"/>
      <c r="AF167" s="231"/>
      <c r="AG167" s="231"/>
      <c r="AH167" s="231"/>
    </row>
    <row r="168" spans="1:34" s="203" customFormat="1">
      <c r="A168" s="120">
        <v>8</v>
      </c>
      <c r="B168" s="47" t="s">
        <v>121</v>
      </c>
      <c r="C168" s="47"/>
      <c r="D168" s="47"/>
      <c r="E168" s="49">
        <v>103</v>
      </c>
      <c r="F168" s="52">
        <v>82</v>
      </c>
      <c r="G168" s="118"/>
      <c r="H168" s="100">
        <v>106</v>
      </c>
      <c r="I168" s="29"/>
      <c r="J168" s="231"/>
      <c r="K168" s="231"/>
      <c r="L168" s="231"/>
      <c r="M168" s="231"/>
      <c r="N168" s="231"/>
      <c r="O168" s="231"/>
      <c r="P168" s="231"/>
      <c r="Q168" s="231"/>
      <c r="R168" s="231"/>
      <c r="S168" s="231"/>
      <c r="T168" s="231"/>
      <c r="U168" s="231"/>
      <c r="V168" s="231"/>
      <c r="W168" s="231"/>
      <c r="X168" s="231"/>
      <c r="Y168" s="231"/>
      <c r="Z168" s="231"/>
      <c r="AA168" s="231"/>
      <c r="AB168" s="231"/>
      <c r="AC168" s="231"/>
      <c r="AD168" s="231"/>
      <c r="AE168" s="231"/>
      <c r="AF168" s="231"/>
      <c r="AG168" s="231"/>
      <c r="AH168" s="231"/>
    </row>
    <row r="169" spans="1:34" s="203" customFormat="1">
      <c r="A169" s="120">
        <v>9</v>
      </c>
      <c r="B169" s="116" t="s">
        <v>142</v>
      </c>
      <c r="C169" s="116"/>
      <c r="D169" s="116"/>
      <c r="E169" s="80">
        <v>402</v>
      </c>
      <c r="F169" s="142">
        <f>SUM(F166:F168)</f>
        <v>378</v>
      </c>
      <c r="G169" s="118"/>
      <c r="H169" s="142">
        <f>SUM(H166:H168)</f>
        <v>414</v>
      </c>
      <c r="I169" s="29"/>
      <c r="J169" s="231"/>
      <c r="K169" s="231"/>
      <c r="L169" s="231"/>
      <c r="M169" s="231"/>
      <c r="N169" s="231"/>
      <c r="O169" s="231"/>
      <c r="P169" s="231"/>
      <c r="Q169" s="231"/>
      <c r="R169" s="231"/>
      <c r="S169" s="231"/>
      <c r="T169" s="231"/>
      <c r="U169" s="231"/>
      <c r="V169" s="231"/>
      <c r="W169" s="231"/>
      <c r="X169" s="231"/>
      <c r="Y169" s="231"/>
      <c r="Z169" s="231"/>
      <c r="AA169" s="231"/>
      <c r="AB169" s="231"/>
      <c r="AC169" s="231"/>
      <c r="AD169" s="231"/>
      <c r="AE169" s="231"/>
      <c r="AF169" s="231"/>
      <c r="AG169" s="231"/>
      <c r="AH169" s="231"/>
    </row>
    <row r="170" spans="1:34" s="203" customFormat="1">
      <c r="A170" s="46"/>
      <c r="B170" s="132"/>
      <c r="C170" s="132"/>
      <c r="D170" s="132"/>
      <c r="E170" s="156"/>
      <c r="F170" s="139"/>
      <c r="G170" s="139"/>
      <c r="H170" s="139"/>
      <c r="I170" s="29"/>
      <c r="J170" s="231"/>
      <c r="K170" s="231"/>
      <c r="L170" s="231"/>
      <c r="M170" s="231"/>
      <c r="N170" s="231"/>
      <c r="O170" s="231"/>
      <c r="P170" s="231"/>
      <c r="Q170" s="231"/>
      <c r="R170" s="231"/>
      <c r="S170" s="231"/>
      <c r="T170" s="231"/>
      <c r="U170" s="231"/>
      <c r="V170" s="231"/>
      <c r="W170" s="231"/>
      <c r="X170" s="231"/>
      <c r="Y170" s="231"/>
      <c r="Z170" s="231"/>
      <c r="AA170" s="231"/>
      <c r="AB170" s="231"/>
      <c r="AC170" s="231"/>
      <c r="AD170" s="231"/>
      <c r="AE170" s="231"/>
      <c r="AF170" s="231"/>
      <c r="AG170" s="231"/>
      <c r="AH170" s="231"/>
    </row>
    <row r="171" spans="1:34" s="203" customFormat="1">
      <c r="A171" s="120">
        <v>10</v>
      </c>
      <c r="B171" s="47" t="s">
        <v>143</v>
      </c>
      <c r="C171" s="47"/>
      <c r="D171" s="47"/>
      <c r="E171" s="41">
        <v>51</v>
      </c>
      <c r="F171" s="121">
        <v>107</v>
      </c>
      <c r="G171" s="118"/>
      <c r="H171" s="133">
        <v>55</v>
      </c>
      <c r="I171" s="29"/>
      <c r="J171" s="231"/>
      <c r="K171" s="231"/>
      <c r="L171" s="231"/>
      <c r="M171" s="231"/>
      <c r="N171" s="231"/>
      <c r="O171" s="231"/>
      <c r="P171" s="231"/>
      <c r="Q171" s="231"/>
      <c r="R171" s="231"/>
      <c r="S171" s="231"/>
      <c r="T171" s="231"/>
      <c r="U171" s="231"/>
      <c r="V171" s="231"/>
      <c r="W171" s="231"/>
      <c r="X171" s="231"/>
      <c r="Y171" s="231"/>
      <c r="Z171" s="231"/>
      <c r="AA171" s="231"/>
      <c r="AB171" s="231"/>
      <c r="AC171" s="231"/>
      <c r="AD171" s="231"/>
      <c r="AE171" s="231"/>
      <c r="AF171" s="231"/>
      <c r="AG171" s="231"/>
      <c r="AH171" s="231"/>
    </row>
    <row r="172" spans="1:34" s="203" customFormat="1">
      <c r="A172" s="120">
        <v>11</v>
      </c>
      <c r="B172" s="47" t="s">
        <v>144</v>
      </c>
      <c r="C172" s="47"/>
      <c r="D172" s="47"/>
      <c r="E172" s="56">
        <v>0</v>
      </c>
      <c r="F172" s="126">
        <v>0</v>
      </c>
      <c r="G172" s="118"/>
      <c r="H172" s="100">
        <v>0</v>
      </c>
      <c r="I172" s="29"/>
      <c r="J172" s="231"/>
      <c r="K172" s="231"/>
      <c r="L172" s="231"/>
      <c r="M172" s="231"/>
      <c r="N172" s="231"/>
      <c r="O172" s="231"/>
      <c r="P172" s="231"/>
      <c r="Q172" s="231"/>
      <c r="R172" s="231"/>
      <c r="S172" s="231"/>
      <c r="T172" s="231"/>
      <c r="U172" s="231"/>
      <c r="V172" s="231"/>
      <c r="W172" s="231"/>
      <c r="X172" s="231"/>
      <c r="Y172" s="231"/>
      <c r="Z172" s="231"/>
      <c r="AA172" s="231"/>
      <c r="AB172" s="231"/>
      <c r="AC172" s="231"/>
      <c r="AD172" s="231"/>
      <c r="AE172" s="231"/>
      <c r="AF172" s="231"/>
      <c r="AG172" s="231"/>
      <c r="AH172" s="231"/>
    </row>
    <row r="173" spans="1:34" s="203" customFormat="1">
      <c r="A173" s="46"/>
      <c r="B173" s="132"/>
      <c r="C173" s="132"/>
      <c r="D173" s="132"/>
      <c r="E173" s="156"/>
      <c r="F173" s="139"/>
      <c r="G173" s="139"/>
      <c r="H173" s="139"/>
      <c r="I173" s="29"/>
      <c r="J173" s="231"/>
      <c r="K173" s="231"/>
      <c r="L173" s="231"/>
      <c r="M173" s="231"/>
      <c r="N173" s="231"/>
      <c r="O173" s="231"/>
      <c r="P173" s="231"/>
      <c r="Q173" s="231"/>
      <c r="R173" s="231"/>
      <c r="S173" s="231"/>
      <c r="T173" s="231"/>
      <c r="U173" s="231"/>
      <c r="V173" s="231"/>
      <c r="W173" s="231"/>
      <c r="X173" s="231"/>
      <c r="Y173" s="231"/>
      <c r="Z173" s="231"/>
      <c r="AA173" s="231"/>
      <c r="AB173" s="231"/>
      <c r="AC173" s="231"/>
      <c r="AD173" s="231"/>
      <c r="AE173" s="231"/>
      <c r="AF173" s="231"/>
      <c r="AG173" s="231"/>
      <c r="AH173" s="231"/>
    </row>
    <row r="174" spans="1:34" s="203" customFormat="1">
      <c r="A174" s="119" t="s">
        <v>145</v>
      </c>
      <c r="B174" s="47"/>
      <c r="C174" s="47"/>
      <c r="D174" s="47"/>
      <c r="E174" s="157"/>
      <c r="F174" s="146"/>
      <c r="G174" s="118"/>
      <c r="H174" s="146"/>
      <c r="I174" s="29"/>
      <c r="J174" s="231"/>
      <c r="K174" s="231"/>
      <c r="L174" s="231"/>
      <c r="M174" s="231"/>
      <c r="N174" s="231"/>
      <c r="O174" s="231"/>
      <c r="P174" s="231"/>
      <c r="Q174" s="231"/>
      <c r="R174" s="231"/>
      <c r="S174" s="231"/>
      <c r="T174" s="231"/>
      <c r="U174" s="231"/>
      <c r="V174" s="231"/>
      <c r="W174" s="231"/>
      <c r="X174" s="231"/>
      <c r="Y174" s="231"/>
      <c r="Z174" s="231"/>
      <c r="AA174" s="231"/>
      <c r="AB174" s="231"/>
      <c r="AC174" s="231"/>
      <c r="AD174" s="231"/>
      <c r="AE174" s="231"/>
      <c r="AF174" s="231"/>
      <c r="AG174" s="231"/>
      <c r="AH174" s="231"/>
    </row>
    <row r="175" spans="1:34" s="203" customFormat="1">
      <c r="A175" s="120">
        <v>12</v>
      </c>
      <c r="B175" s="47" t="s">
        <v>146</v>
      </c>
      <c r="C175" s="47"/>
      <c r="D175" s="47"/>
      <c r="E175" s="74">
        <v>56</v>
      </c>
      <c r="F175" s="52">
        <v>58</v>
      </c>
      <c r="G175" s="118"/>
      <c r="H175" s="122">
        <v>60</v>
      </c>
      <c r="I175" s="29"/>
      <c r="J175" s="231"/>
      <c r="K175" s="231"/>
      <c r="L175" s="231"/>
      <c r="M175" s="231"/>
      <c r="N175" s="231"/>
      <c r="O175" s="231"/>
      <c r="P175" s="231"/>
      <c r="Q175" s="231"/>
      <c r="R175" s="231"/>
      <c r="S175" s="231"/>
      <c r="T175" s="231"/>
      <c r="U175" s="231"/>
      <c r="V175" s="231"/>
      <c r="W175" s="231"/>
      <c r="X175" s="231"/>
      <c r="Y175" s="231"/>
      <c r="Z175" s="231"/>
      <c r="AA175" s="231"/>
      <c r="AB175" s="231"/>
      <c r="AC175" s="231"/>
      <c r="AD175" s="231"/>
      <c r="AE175" s="231"/>
      <c r="AF175" s="231"/>
      <c r="AG175" s="231"/>
      <c r="AH175" s="231"/>
    </row>
    <row r="176" spans="1:34" s="203" customFormat="1">
      <c r="A176" s="120">
        <v>13</v>
      </c>
      <c r="B176" s="47" t="s">
        <v>147</v>
      </c>
      <c r="C176" s="47"/>
      <c r="D176" s="47"/>
      <c r="E176" s="49">
        <v>1141</v>
      </c>
      <c r="F176" s="52">
        <v>1131</v>
      </c>
      <c r="G176" s="118"/>
      <c r="H176" s="122">
        <v>1171</v>
      </c>
      <c r="I176" s="29"/>
      <c r="J176" s="231"/>
      <c r="K176" s="231"/>
      <c r="L176" s="231"/>
      <c r="M176" s="231"/>
      <c r="N176" s="231"/>
      <c r="O176" s="231"/>
      <c r="P176" s="231"/>
      <c r="Q176" s="231"/>
      <c r="R176" s="231"/>
      <c r="S176" s="231"/>
      <c r="T176" s="231"/>
      <c r="U176" s="231"/>
      <c r="V176" s="231"/>
      <c r="W176" s="231"/>
      <c r="X176" s="231"/>
      <c r="Y176" s="231"/>
      <c r="Z176" s="231"/>
      <c r="AA176" s="231"/>
      <c r="AB176" s="231"/>
      <c r="AC176" s="231"/>
      <c r="AD176" s="231"/>
      <c r="AE176" s="231"/>
      <c r="AF176" s="231"/>
      <c r="AG176" s="231"/>
      <c r="AH176" s="231"/>
    </row>
    <row r="177" spans="1:34" s="203" customFormat="1">
      <c r="A177" s="120">
        <v>14</v>
      </c>
      <c r="B177" s="47" t="s">
        <v>148</v>
      </c>
      <c r="C177" s="47"/>
      <c r="D177" s="47"/>
      <c r="E177" s="56">
        <v>201</v>
      </c>
      <c r="F177" s="52">
        <v>114</v>
      </c>
      <c r="G177" s="118"/>
      <c r="H177" s="100">
        <v>205</v>
      </c>
      <c r="I177" s="29"/>
      <c r="J177" s="231"/>
      <c r="K177" s="231"/>
      <c r="L177" s="231"/>
      <c r="M177" s="231"/>
      <c r="N177" s="231"/>
      <c r="O177" s="231"/>
      <c r="P177" s="231"/>
      <c r="Q177" s="231"/>
      <c r="R177" s="231"/>
      <c r="S177" s="231"/>
      <c r="T177" s="231"/>
      <c r="U177" s="231"/>
      <c r="V177" s="231"/>
      <c r="W177" s="231"/>
      <c r="X177" s="231"/>
      <c r="Y177" s="231"/>
      <c r="Z177" s="231"/>
      <c r="AA177" s="231"/>
      <c r="AB177" s="231"/>
      <c r="AC177" s="231"/>
      <c r="AD177" s="231"/>
      <c r="AE177" s="231"/>
      <c r="AF177" s="231"/>
      <c r="AG177" s="231"/>
      <c r="AH177" s="231"/>
    </row>
    <row r="178" spans="1:34" s="203" customFormat="1">
      <c r="A178" s="120">
        <v>15</v>
      </c>
      <c r="B178" s="116" t="s">
        <v>149</v>
      </c>
      <c r="C178" s="116"/>
      <c r="D178" s="116"/>
      <c r="E178" s="80">
        <v>1398</v>
      </c>
      <c r="F178" s="142">
        <f>SUM(F175:F177)</f>
        <v>1303</v>
      </c>
      <c r="G178" s="118"/>
      <c r="H178" s="142">
        <f>SUM(H175:H177)</f>
        <v>1436</v>
      </c>
      <c r="I178" s="29"/>
      <c r="J178" s="231"/>
      <c r="K178" s="231"/>
      <c r="L178" s="231"/>
      <c r="M178" s="231"/>
      <c r="N178" s="231"/>
      <c r="O178" s="231"/>
      <c r="P178" s="231"/>
      <c r="Q178" s="231"/>
      <c r="R178" s="231"/>
      <c r="S178" s="231"/>
      <c r="T178" s="231"/>
      <c r="U178" s="231"/>
      <c r="V178" s="231"/>
      <c r="W178" s="231"/>
      <c r="X178" s="231"/>
      <c r="Y178" s="231"/>
      <c r="Z178" s="231"/>
      <c r="AA178" s="231"/>
      <c r="AB178" s="231"/>
      <c r="AC178" s="231"/>
      <c r="AD178" s="231"/>
      <c r="AE178" s="231"/>
      <c r="AF178" s="231"/>
      <c r="AG178" s="231"/>
      <c r="AH178" s="231"/>
    </row>
    <row r="179" spans="1:34" s="203" customFormat="1">
      <c r="A179" s="120">
        <v>16</v>
      </c>
      <c r="B179" s="116" t="s">
        <v>150</v>
      </c>
      <c r="C179" s="116"/>
      <c r="D179" s="116"/>
      <c r="E179" s="80">
        <v>1398</v>
      </c>
      <c r="F179" s="158">
        <f>F172+F178</f>
        <v>1303</v>
      </c>
      <c r="G179" s="118"/>
      <c r="H179" s="158">
        <f>H172+H178</f>
        <v>1436</v>
      </c>
      <c r="I179" s="29"/>
      <c r="J179" s="231"/>
      <c r="K179" s="231"/>
      <c r="L179" s="231"/>
      <c r="M179" s="231"/>
      <c r="N179" s="231"/>
      <c r="O179" s="231"/>
      <c r="P179" s="231"/>
      <c r="Q179" s="231"/>
      <c r="R179" s="231"/>
      <c r="S179" s="231"/>
      <c r="T179" s="231"/>
      <c r="U179" s="231"/>
      <c r="V179" s="231"/>
      <c r="W179" s="231"/>
      <c r="X179" s="231"/>
      <c r="Y179" s="231"/>
      <c r="Z179" s="231"/>
      <c r="AA179" s="231"/>
      <c r="AB179" s="231"/>
      <c r="AC179" s="231"/>
      <c r="AD179" s="231"/>
      <c r="AE179" s="231"/>
      <c r="AF179" s="231"/>
      <c r="AG179" s="231"/>
      <c r="AH179" s="231"/>
    </row>
    <row r="180" spans="1:34" s="203" customFormat="1">
      <c r="A180" s="120">
        <v>17</v>
      </c>
      <c r="B180" s="116" t="s">
        <v>151</v>
      </c>
      <c r="C180" s="116"/>
      <c r="D180" s="116"/>
      <c r="E180" s="159">
        <v>5203</v>
      </c>
      <c r="F180" s="61">
        <f>SUM(F163+F169+F171+F179)</f>
        <v>5185</v>
      </c>
      <c r="G180" s="118"/>
      <c r="H180" s="61">
        <f>SUM(H163+H169+H171+H179)</f>
        <v>5380</v>
      </c>
      <c r="I180" s="29"/>
      <c r="J180" s="231"/>
      <c r="K180" s="231"/>
      <c r="L180" s="231"/>
      <c r="M180" s="231"/>
      <c r="N180" s="231"/>
      <c r="O180" s="231"/>
      <c r="P180" s="231"/>
      <c r="Q180" s="231"/>
      <c r="R180" s="231"/>
      <c r="S180" s="231"/>
      <c r="T180" s="231"/>
      <c r="U180" s="231"/>
      <c r="V180" s="231"/>
      <c r="W180" s="231"/>
      <c r="X180" s="231"/>
      <c r="Y180" s="231"/>
      <c r="Z180" s="231"/>
      <c r="AA180" s="231"/>
      <c r="AB180" s="231"/>
      <c r="AC180" s="231"/>
      <c r="AD180" s="231"/>
      <c r="AE180" s="231"/>
      <c r="AF180" s="231"/>
      <c r="AG180" s="231"/>
      <c r="AH180" s="231"/>
    </row>
    <row r="181" spans="1:34" s="203" customFormat="1">
      <c r="A181" s="46"/>
      <c r="B181" s="132"/>
      <c r="C181" s="132"/>
      <c r="D181" s="132"/>
      <c r="E181" s="156"/>
      <c r="F181" s="139"/>
      <c r="G181" s="139"/>
      <c r="H181" s="139"/>
      <c r="I181" s="29"/>
      <c r="J181" s="231"/>
      <c r="K181" s="231"/>
      <c r="L181" s="231"/>
      <c r="M181" s="231"/>
      <c r="N181" s="231"/>
      <c r="O181" s="231"/>
      <c r="P181" s="231"/>
      <c r="Q181" s="231"/>
      <c r="R181" s="231"/>
      <c r="S181" s="231"/>
      <c r="T181" s="231"/>
      <c r="U181" s="231"/>
      <c r="V181" s="231"/>
      <c r="W181" s="231"/>
      <c r="X181" s="231"/>
      <c r="Y181" s="231"/>
      <c r="Z181" s="231"/>
      <c r="AA181" s="231"/>
      <c r="AB181" s="231"/>
      <c r="AC181" s="231"/>
      <c r="AD181" s="231"/>
      <c r="AE181" s="231"/>
      <c r="AF181" s="231"/>
      <c r="AG181" s="231"/>
      <c r="AH181" s="231"/>
    </row>
    <row r="182" spans="1:34" s="203" customFormat="1">
      <c r="A182" s="119" t="s">
        <v>152</v>
      </c>
      <c r="B182" s="47"/>
      <c r="C182" s="47"/>
      <c r="D182" s="116"/>
      <c r="E182" s="117"/>
      <c r="F182" s="118"/>
      <c r="G182" s="118"/>
      <c r="H182" s="118"/>
      <c r="I182" s="29"/>
      <c r="J182" s="231"/>
      <c r="K182" s="231"/>
      <c r="L182" s="231"/>
      <c r="M182" s="231"/>
      <c r="N182" s="231"/>
      <c r="O182" s="231"/>
      <c r="P182" s="231"/>
      <c r="Q182" s="231"/>
      <c r="R182" s="231"/>
      <c r="S182" s="231"/>
      <c r="T182" s="231"/>
      <c r="U182" s="231"/>
      <c r="V182" s="231"/>
      <c r="W182" s="231"/>
      <c r="X182" s="231"/>
      <c r="Y182" s="231"/>
      <c r="Z182" s="231"/>
      <c r="AA182" s="231"/>
      <c r="AB182" s="231"/>
      <c r="AC182" s="231"/>
      <c r="AD182" s="231"/>
      <c r="AE182" s="231"/>
      <c r="AF182" s="231"/>
      <c r="AG182" s="231"/>
      <c r="AH182" s="231"/>
    </row>
    <row r="183" spans="1:34" s="203" customFormat="1">
      <c r="A183" s="120">
        <v>18</v>
      </c>
      <c r="B183" s="47" t="s">
        <v>153</v>
      </c>
      <c r="C183" s="47"/>
      <c r="D183" s="47"/>
      <c r="E183" s="41">
        <v>1132</v>
      </c>
      <c r="F183" s="121">
        <v>1131</v>
      </c>
      <c r="G183" s="118"/>
      <c r="H183" s="133">
        <v>1132</v>
      </c>
      <c r="I183" s="29"/>
      <c r="J183" s="231"/>
      <c r="K183" s="231"/>
      <c r="L183" s="231"/>
      <c r="M183" s="231"/>
      <c r="N183" s="231"/>
      <c r="O183" s="231"/>
      <c r="P183" s="231"/>
      <c r="Q183" s="231"/>
      <c r="R183" s="231"/>
      <c r="S183" s="231"/>
      <c r="T183" s="231"/>
      <c r="U183" s="231"/>
      <c r="V183" s="231"/>
      <c r="W183" s="231"/>
      <c r="X183" s="231"/>
      <c r="Y183" s="231"/>
      <c r="Z183" s="231"/>
      <c r="AA183" s="231"/>
      <c r="AB183" s="231"/>
      <c r="AC183" s="231"/>
      <c r="AD183" s="231"/>
      <c r="AE183" s="231"/>
      <c r="AF183" s="231"/>
      <c r="AG183" s="231"/>
      <c r="AH183" s="231"/>
    </row>
    <row r="184" spans="1:34" s="203" customFormat="1">
      <c r="A184" s="120">
        <v>19</v>
      </c>
      <c r="B184" s="47" t="s">
        <v>154</v>
      </c>
      <c r="C184" s="47"/>
      <c r="D184" s="47"/>
      <c r="E184" s="49">
        <v>0</v>
      </c>
      <c r="F184" s="52">
        <v>0</v>
      </c>
      <c r="G184" s="118"/>
      <c r="H184" s="122">
        <v>0</v>
      </c>
      <c r="I184" s="29"/>
      <c r="J184" s="231"/>
      <c r="K184" s="231"/>
      <c r="L184" s="231"/>
      <c r="M184" s="231"/>
      <c r="N184" s="231"/>
      <c r="O184" s="231"/>
      <c r="P184" s="231"/>
      <c r="Q184" s="231"/>
      <c r="R184" s="231"/>
      <c r="S184" s="231"/>
      <c r="T184" s="231"/>
      <c r="U184" s="231"/>
      <c r="V184" s="231"/>
      <c r="W184" s="231"/>
      <c r="X184" s="231"/>
      <c r="Y184" s="231"/>
      <c r="Z184" s="231"/>
      <c r="AA184" s="231"/>
      <c r="AB184" s="231"/>
      <c r="AC184" s="231"/>
      <c r="AD184" s="231"/>
      <c r="AE184" s="231"/>
      <c r="AF184" s="231"/>
      <c r="AG184" s="231"/>
      <c r="AH184" s="231"/>
    </row>
    <row r="185" spans="1:34" s="203" customFormat="1">
      <c r="A185" s="120">
        <v>20</v>
      </c>
      <c r="B185" s="47" t="s">
        <v>155</v>
      </c>
      <c r="C185" s="47"/>
      <c r="D185" s="47"/>
      <c r="E185" s="49">
        <v>0</v>
      </c>
      <c r="F185" s="52">
        <v>0</v>
      </c>
      <c r="G185" s="118"/>
      <c r="H185" s="122">
        <v>0</v>
      </c>
      <c r="I185" s="29"/>
      <c r="J185" s="231"/>
      <c r="K185" s="231"/>
      <c r="L185" s="231"/>
      <c r="M185" s="231"/>
      <c r="N185" s="231"/>
      <c r="O185" s="231"/>
      <c r="P185" s="231"/>
      <c r="Q185" s="231"/>
      <c r="R185" s="231"/>
      <c r="S185" s="231"/>
      <c r="T185" s="231"/>
      <c r="U185" s="231"/>
      <c r="V185" s="231"/>
      <c r="W185" s="231"/>
      <c r="X185" s="231"/>
      <c r="Y185" s="231"/>
      <c r="Z185" s="231"/>
      <c r="AA185" s="231"/>
      <c r="AB185" s="231"/>
      <c r="AC185" s="231"/>
      <c r="AD185" s="231"/>
      <c r="AE185" s="231"/>
      <c r="AF185" s="231"/>
      <c r="AG185" s="231"/>
      <c r="AH185" s="231"/>
    </row>
    <row r="186" spans="1:34" s="203" customFormat="1">
      <c r="A186" s="120">
        <v>21</v>
      </c>
      <c r="B186" s="47" t="s">
        <v>156</v>
      </c>
      <c r="C186" s="47"/>
      <c r="D186" s="47"/>
      <c r="E186" s="49">
        <v>0</v>
      </c>
      <c r="F186" s="52">
        <v>0</v>
      </c>
      <c r="G186" s="118"/>
      <c r="H186" s="122">
        <v>0</v>
      </c>
      <c r="I186" s="29"/>
      <c r="J186" s="231"/>
      <c r="K186" s="231"/>
      <c r="L186" s="231"/>
      <c r="M186" s="231"/>
      <c r="N186" s="231"/>
      <c r="O186" s="231"/>
      <c r="P186" s="231"/>
      <c r="Q186" s="231"/>
      <c r="R186" s="231"/>
      <c r="S186" s="231"/>
      <c r="T186" s="231"/>
      <c r="U186" s="231"/>
      <c r="V186" s="231"/>
      <c r="W186" s="231"/>
      <c r="X186" s="231"/>
      <c r="Y186" s="231"/>
      <c r="Z186" s="231"/>
      <c r="AA186" s="231"/>
      <c r="AB186" s="231"/>
      <c r="AC186" s="231"/>
      <c r="AD186" s="231"/>
      <c r="AE186" s="231"/>
      <c r="AF186" s="231"/>
      <c r="AG186" s="231"/>
      <c r="AH186" s="231"/>
    </row>
    <row r="187" spans="1:34" s="203" customFormat="1">
      <c r="A187" s="120">
        <v>22</v>
      </c>
      <c r="B187" s="47" t="s">
        <v>157</v>
      </c>
      <c r="C187" s="47"/>
      <c r="D187" s="47"/>
      <c r="E187" s="49">
        <v>0</v>
      </c>
      <c r="F187" s="52">
        <v>0</v>
      </c>
      <c r="G187" s="118"/>
      <c r="H187" s="122">
        <v>0</v>
      </c>
      <c r="I187" s="29"/>
      <c r="J187" s="231"/>
      <c r="K187" s="231"/>
      <c r="L187" s="231"/>
      <c r="M187" s="231"/>
      <c r="N187" s="231"/>
      <c r="O187" s="231"/>
      <c r="P187" s="231"/>
      <c r="Q187" s="231"/>
      <c r="R187" s="231"/>
      <c r="S187" s="231"/>
      <c r="T187" s="231"/>
      <c r="U187" s="231"/>
      <c r="V187" s="231"/>
      <c r="W187" s="231"/>
      <c r="X187" s="231"/>
      <c r="Y187" s="231"/>
      <c r="Z187" s="231"/>
      <c r="AA187" s="231"/>
      <c r="AB187" s="231"/>
      <c r="AC187" s="231"/>
      <c r="AD187" s="231"/>
      <c r="AE187" s="231"/>
      <c r="AF187" s="231"/>
      <c r="AG187" s="231"/>
      <c r="AH187" s="231"/>
    </row>
    <row r="188" spans="1:34" s="203" customFormat="1">
      <c r="A188" s="120">
        <v>23</v>
      </c>
      <c r="B188" s="47" t="s">
        <v>158</v>
      </c>
      <c r="C188" s="47"/>
      <c r="D188" s="47"/>
      <c r="E188" s="49">
        <v>0</v>
      </c>
      <c r="F188" s="52">
        <v>0</v>
      </c>
      <c r="G188" s="118"/>
      <c r="H188" s="122">
        <v>0</v>
      </c>
      <c r="I188" s="29"/>
      <c r="J188" s="231"/>
      <c r="K188" s="231"/>
      <c r="L188" s="231"/>
      <c r="M188" s="231"/>
      <c r="N188" s="231"/>
      <c r="O188" s="231"/>
      <c r="P188" s="231"/>
      <c r="Q188" s="231"/>
      <c r="R188" s="231"/>
      <c r="S188" s="231"/>
      <c r="T188" s="231"/>
      <c r="U188" s="231"/>
      <c r="V188" s="231"/>
      <c r="W188" s="231"/>
      <c r="X188" s="231"/>
      <c r="Y188" s="231"/>
      <c r="Z188" s="231"/>
      <c r="AA188" s="231"/>
      <c r="AB188" s="231"/>
      <c r="AC188" s="231"/>
      <c r="AD188" s="231"/>
      <c r="AE188" s="231"/>
      <c r="AF188" s="231"/>
      <c r="AG188" s="231"/>
      <c r="AH188" s="231"/>
    </row>
    <row r="189" spans="1:34" s="203" customFormat="1">
      <c r="A189" s="120">
        <v>24</v>
      </c>
      <c r="B189" s="47" t="s">
        <v>159</v>
      </c>
      <c r="C189" s="47"/>
      <c r="D189" s="47"/>
      <c r="E189" s="49">
        <v>0</v>
      </c>
      <c r="F189" s="52">
        <v>0</v>
      </c>
      <c r="G189" s="118"/>
      <c r="H189" s="122">
        <v>0</v>
      </c>
      <c r="I189" s="29"/>
      <c r="J189" s="231"/>
      <c r="K189" s="231"/>
      <c r="L189" s="231"/>
      <c r="M189" s="231"/>
      <c r="N189" s="231"/>
      <c r="O189" s="231"/>
      <c r="P189" s="231"/>
      <c r="Q189" s="231"/>
      <c r="R189" s="231"/>
      <c r="S189" s="231"/>
      <c r="T189" s="231"/>
      <c r="U189" s="231"/>
      <c r="V189" s="231"/>
      <c r="W189" s="231"/>
      <c r="X189" s="231"/>
      <c r="Y189" s="231"/>
      <c r="Z189" s="231"/>
      <c r="AA189" s="231"/>
      <c r="AB189" s="231"/>
      <c r="AC189" s="231"/>
      <c r="AD189" s="231"/>
      <c r="AE189" s="231"/>
      <c r="AF189" s="231"/>
      <c r="AG189" s="231"/>
      <c r="AH189" s="231"/>
    </row>
    <row r="190" spans="1:34" s="203" customFormat="1">
      <c r="A190" s="124">
        <v>25</v>
      </c>
      <c r="B190" s="54" t="s">
        <v>160</v>
      </c>
      <c r="C190" s="54"/>
      <c r="D190" s="54"/>
      <c r="E190" s="56">
        <v>0</v>
      </c>
      <c r="F190" s="126">
        <v>0</v>
      </c>
      <c r="G190" s="118"/>
      <c r="H190" s="100">
        <v>0</v>
      </c>
      <c r="I190" s="24"/>
      <c r="J190" s="231"/>
      <c r="K190" s="231"/>
      <c r="L190" s="231"/>
      <c r="M190" s="231"/>
      <c r="N190" s="231"/>
      <c r="O190" s="231"/>
      <c r="P190" s="231"/>
      <c r="Q190" s="231"/>
      <c r="R190" s="231"/>
      <c r="S190" s="231"/>
      <c r="T190" s="231"/>
      <c r="U190" s="231"/>
      <c r="V190" s="231"/>
      <c r="W190" s="231"/>
      <c r="X190" s="231"/>
      <c r="Y190" s="231"/>
      <c r="Z190" s="231"/>
      <c r="AA190" s="231"/>
      <c r="AB190" s="231"/>
      <c r="AC190" s="231"/>
      <c r="AD190" s="231"/>
      <c r="AE190" s="231"/>
      <c r="AF190" s="231"/>
      <c r="AG190" s="231"/>
      <c r="AH190" s="231"/>
    </row>
    <row r="191" spans="1:34" s="203" customFormat="1">
      <c r="A191" s="161"/>
      <c r="B191" s="129"/>
      <c r="C191" s="129"/>
      <c r="D191" s="149"/>
      <c r="E191" s="162"/>
      <c r="F191" s="29"/>
      <c r="G191" s="29"/>
      <c r="H191" s="207"/>
      <c r="I191" s="29"/>
      <c r="J191" s="231"/>
      <c r="K191" s="231"/>
      <c r="L191" s="231"/>
      <c r="M191" s="231"/>
      <c r="N191" s="231"/>
      <c r="O191" s="231"/>
      <c r="P191" s="231"/>
      <c r="Q191" s="231"/>
      <c r="R191" s="231"/>
      <c r="S191" s="231"/>
      <c r="T191" s="231"/>
      <c r="U191" s="231"/>
      <c r="V191" s="231"/>
      <c r="W191" s="231"/>
      <c r="X191" s="231"/>
      <c r="Y191" s="231"/>
      <c r="Z191" s="231"/>
      <c r="AA191" s="231"/>
      <c r="AB191" s="231"/>
      <c r="AC191" s="231"/>
      <c r="AD191" s="231"/>
      <c r="AE191" s="231"/>
      <c r="AF191" s="231"/>
      <c r="AG191" s="231"/>
      <c r="AH191" s="231"/>
    </row>
    <row r="192" spans="1:34" s="203" customFormat="1">
      <c r="A192" s="161"/>
      <c r="B192" s="129"/>
      <c r="C192" s="129"/>
      <c r="D192" s="151"/>
      <c r="E192" s="163"/>
      <c r="F192" s="29"/>
      <c r="G192" s="29"/>
      <c r="H192" s="131" t="s">
        <v>27</v>
      </c>
      <c r="I192" s="29"/>
      <c r="J192" s="231"/>
      <c r="K192" s="231"/>
      <c r="L192" s="231"/>
      <c r="M192" s="231"/>
      <c r="N192" s="231"/>
      <c r="O192" s="231"/>
      <c r="P192" s="231"/>
      <c r="Q192" s="231"/>
      <c r="R192" s="231"/>
      <c r="S192" s="231"/>
      <c r="T192" s="231"/>
      <c r="U192" s="231"/>
      <c r="V192" s="231"/>
      <c r="W192" s="231"/>
      <c r="X192" s="231"/>
      <c r="Y192" s="231"/>
      <c r="Z192" s="231"/>
      <c r="AA192" s="231"/>
      <c r="AB192" s="231"/>
      <c r="AC192" s="231"/>
      <c r="AD192" s="231"/>
      <c r="AE192" s="231"/>
      <c r="AF192" s="231"/>
      <c r="AG192" s="231"/>
      <c r="AH192" s="231"/>
    </row>
    <row r="193" spans="1:34" s="203" customFormat="1" ht="12.75" customHeight="1">
      <c r="A193" s="106" t="s">
        <v>23</v>
      </c>
      <c r="B193" s="164"/>
      <c r="C193" s="164"/>
      <c r="D193" s="164"/>
      <c r="E193" s="856" t="s">
        <v>377</v>
      </c>
      <c r="F193" s="856" t="s">
        <v>402</v>
      </c>
      <c r="G193" s="130"/>
      <c r="H193" s="856" t="s">
        <v>403</v>
      </c>
      <c r="I193" s="130"/>
      <c r="J193" s="231"/>
      <c r="K193" s="231"/>
      <c r="L193" s="231"/>
      <c r="M193" s="231"/>
      <c r="N193" s="231"/>
      <c r="O193" s="231"/>
      <c r="P193" s="231"/>
      <c r="Q193" s="231"/>
      <c r="R193" s="231"/>
      <c r="S193" s="231"/>
      <c r="T193" s="231"/>
      <c r="U193" s="231"/>
      <c r="V193" s="231"/>
      <c r="W193" s="231"/>
      <c r="X193" s="231"/>
      <c r="Y193" s="231"/>
      <c r="Z193" s="231"/>
      <c r="AA193" s="231"/>
      <c r="AB193" s="231"/>
      <c r="AC193" s="231"/>
      <c r="AD193" s="231"/>
      <c r="AE193" s="231"/>
      <c r="AF193" s="231"/>
      <c r="AG193" s="231"/>
      <c r="AH193" s="231"/>
    </row>
    <row r="194" spans="1:34" s="203" customFormat="1" ht="23.25" customHeight="1">
      <c r="A194" s="165"/>
      <c r="B194" s="132"/>
      <c r="C194" s="132"/>
      <c r="D194" s="132"/>
      <c r="E194" s="859"/>
      <c r="F194" s="859"/>
      <c r="G194" s="130"/>
      <c r="H194" s="859"/>
      <c r="I194" s="130"/>
      <c r="J194" s="231"/>
      <c r="K194" s="231"/>
      <c r="L194" s="231"/>
      <c r="M194" s="231"/>
      <c r="N194" s="231"/>
      <c r="O194" s="231"/>
      <c r="P194" s="231"/>
      <c r="Q194" s="231"/>
      <c r="R194" s="231"/>
      <c r="S194" s="231"/>
      <c r="T194" s="231"/>
      <c r="U194" s="231"/>
      <c r="V194" s="231"/>
      <c r="W194" s="231"/>
      <c r="X194" s="231"/>
      <c r="Y194" s="231"/>
      <c r="Z194" s="231"/>
      <c r="AA194" s="231"/>
      <c r="AB194" s="231"/>
      <c r="AC194" s="231"/>
      <c r="AD194" s="231"/>
      <c r="AE194" s="231"/>
      <c r="AF194" s="231"/>
      <c r="AG194" s="231"/>
      <c r="AH194" s="231"/>
    </row>
    <row r="195" spans="1:34" s="203" customFormat="1">
      <c r="A195" s="154" t="s">
        <v>161</v>
      </c>
      <c r="B195" s="116"/>
      <c r="C195" s="116"/>
      <c r="D195" s="116"/>
      <c r="E195" s="859"/>
      <c r="F195" s="859"/>
      <c r="G195" s="130"/>
      <c r="H195" s="859"/>
      <c r="I195" s="130"/>
      <c r="J195" s="231"/>
      <c r="K195" s="231"/>
      <c r="L195" s="231"/>
      <c r="M195" s="231"/>
      <c r="N195" s="231"/>
      <c r="O195" s="231"/>
      <c r="P195" s="231"/>
      <c r="Q195" s="231"/>
      <c r="R195" s="231"/>
      <c r="S195" s="231"/>
      <c r="T195" s="231"/>
      <c r="U195" s="231"/>
      <c r="V195" s="231"/>
      <c r="W195" s="231"/>
      <c r="X195" s="231"/>
      <c r="Y195" s="231"/>
      <c r="Z195" s="231"/>
      <c r="AA195" s="231"/>
      <c r="AB195" s="231"/>
      <c r="AC195" s="231"/>
      <c r="AD195" s="231"/>
      <c r="AE195" s="231"/>
      <c r="AF195" s="231"/>
      <c r="AG195" s="231"/>
      <c r="AH195" s="231"/>
    </row>
    <row r="196" spans="1:34" s="203" customFormat="1">
      <c r="A196" s="109" t="s">
        <v>83</v>
      </c>
      <c r="B196" s="47"/>
      <c r="C196" s="47"/>
      <c r="D196" s="47"/>
      <c r="E196" s="859"/>
      <c r="F196" s="859"/>
      <c r="G196" s="130"/>
      <c r="H196" s="859"/>
      <c r="I196" s="130"/>
      <c r="J196" s="231"/>
      <c r="K196" s="231"/>
      <c r="L196" s="231"/>
      <c r="M196" s="231"/>
      <c r="N196" s="231"/>
      <c r="O196" s="231"/>
      <c r="P196" s="231"/>
      <c r="Q196" s="231"/>
      <c r="R196" s="231"/>
      <c r="S196" s="231"/>
      <c r="T196" s="231"/>
      <c r="U196" s="231"/>
      <c r="V196" s="231"/>
      <c r="W196" s="231"/>
      <c r="X196" s="231"/>
      <c r="Y196" s="231"/>
      <c r="Z196" s="231"/>
      <c r="AA196" s="231"/>
      <c r="AB196" s="231"/>
      <c r="AC196" s="231"/>
      <c r="AD196" s="231"/>
      <c r="AE196" s="231"/>
      <c r="AF196" s="231"/>
      <c r="AG196" s="231"/>
      <c r="AH196" s="231"/>
    </row>
    <row r="197" spans="1:34" s="203" customFormat="1">
      <c r="A197" s="110" t="s">
        <v>84</v>
      </c>
      <c r="B197" s="132"/>
      <c r="C197" s="132"/>
      <c r="D197" s="132"/>
      <c r="E197" s="860"/>
      <c r="F197" s="860"/>
      <c r="G197" s="130"/>
      <c r="H197" s="860"/>
      <c r="I197" s="130"/>
      <c r="J197" s="231"/>
      <c r="K197" s="231"/>
      <c r="L197" s="231"/>
      <c r="M197" s="231"/>
      <c r="N197" s="231"/>
      <c r="O197" s="231"/>
      <c r="P197" s="231"/>
      <c r="Q197" s="231"/>
      <c r="R197" s="231"/>
      <c r="S197" s="231"/>
      <c r="T197" s="231"/>
      <c r="U197" s="231"/>
      <c r="V197" s="231"/>
      <c r="W197" s="231"/>
      <c r="X197" s="231"/>
      <c r="Y197" s="231"/>
      <c r="Z197" s="231"/>
      <c r="AA197" s="231"/>
      <c r="AB197" s="231"/>
      <c r="AC197" s="231"/>
      <c r="AD197" s="231"/>
      <c r="AE197" s="231"/>
      <c r="AF197" s="231"/>
      <c r="AG197" s="231"/>
      <c r="AH197" s="231"/>
    </row>
    <row r="198" spans="1:34" s="203" customFormat="1">
      <c r="A198" s="153" t="s">
        <v>162</v>
      </c>
      <c r="B198" s="166"/>
      <c r="C198" s="166"/>
      <c r="D198" s="166"/>
      <c r="E198" s="167"/>
      <c r="F198" s="146"/>
      <c r="G198" s="118"/>
      <c r="H198" s="146"/>
      <c r="I198" s="29"/>
      <c r="J198" s="231"/>
      <c r="K198" s="231"/>
      <c r="L198" s="231"/>
      <c r="M198" s="231"/>
      <c r="N198" s="231"/>
      <c r="O198" s="231"/>
      <c r="P198" s="231"/>
      <c r="Q198" s="231"/>
      <c r="R198" s="231"/>
      <c r="S198" s="231"/>
      <c r="T198" s="231"/>
      <c r="U198" s="231"/>
      <c r="V198" s="231"/>
      <c r="W198" s="231"/>
      <c r="X198" s="231"/>
      <c r="Y198" s="231"/>
      <c r="Z198" s="231"/>
      <c r="AA198" s="231"/>
      <c r="AB198" s="231"/>
      <c r="AC198" s="231"/>
      <c r="AD198" s="231"/>
      <c r="AE198" s="231"/>
      <c r="AF198" s="231"/>
      <c r="AG198" s="231"/>
      <c r="AH198" s="231"/>
    </row>
    <row r="199" spans="1:34" s="203" customFormat="1">
      <c r="A199" s="120">
        <v>1</v>
      </c>
      <c r="B199" s="47" t="s">
        <v>163</v>
      </c>
      <c r="C199" s="47"/>
      <c r="D199" s="47"/>
      <c r="E199" s="74">
        <v>0</v>
      </c>
      <c r="F199" s="52">
        <v>0</v>
      </c>
      <c r="G199" s="118"/>
      <c r="H199" s="122">
        <v>0</v>
      </c>
      <c r="I199" s="29"/>
      <c r="J199" s="231"/>
      <c r="K199" s="231"/>
      <c r="L199" s="231"/>
      <c r="M199" s="231"/>
      <c r="N199" s="231"/>
      <c r="O199" s="231"/>
      <c r="P199" s="231"/>
      <c r="Q199" s="231"/>
      <c r="R199" s="231"/>
      <c r="S199" s="231"/>
      <c r="T199" s="231"/>
      <c r="U199" s="231"/>
      <c r="V199" s="231"/>
      <c r="W199" s="231"/>
      <c r="X199" s="231"/>
      <c r="Y199" s="231"/>
      <c r="Z199" s="231"/>
      <c r="AA199" s="231"/>
      <c r="AB199" s="231"/>
      <c r="AC199" s="231"/>
      <c r="AD199" s="231"/>
      <c r="AE199" s="231"/>
      <c r="AF199" s="231"/>
      <c r="AG199" s="231"/>
      <c r="AH199" s="231"/>
    </row>
    <row r="200" spans="1:34" s="203" customFormat="1">
      <c r="A200" s="120">
        <v>2</v>
      </c>
      <c r="B200" s="47" t="s">
        <v>164</v>
      </c>
      <c r="C200" s="47"/>
      <c r="D200" s="47"/>
      <c r="E200" s="56">
        <v>281</v>
      </c>
      <c r="F200" s="52">
        <v>267</v>
      </c>
      <c r="G200" s="118"/>
      <c r="H200" s="100">
        <v>276</v>
      </c>
      <c r="I200" s="29"/>
      <c r="J200" s="231"/>
      <c r="K200" s="231"/>
      <c r="L200" s="231"/>
      <c r="M200" s="231"/>
      <c r="N200" s="231"/>
      <c r="O200" s="231"/>
      <c r="P200" s="231"/>
      <c r="Q200" s="231"/>
      <c r="R200" s="231"/>
      <c r="S200" s="231"/>
      <c r="T200" s="231"/>
      <c r="U200" s="231"/>
      <c r="V200" s="231"/>
      <c r="W200" s="231"/>
      <c r="X200" s="231"/>
      <c r="Y200" s="231"/>
      <c r="Z200" s="231"/>
      <c r="AA200" s="231"/>
      <c r="AB200" s="231"/>
      <c r="AC200" s="231"/>
      <c r="AD200" s="231"/>
      <c r="AE200" s="231"/>
      <c r="AF200" s="231"/>
      <c r="AG200" s="231"/>
      <c r="AH200" s="231"/>
    </row>
    <row r="201" spans="1:34" s="203" customFormat="1">
      <c r="A201" s="120">
        <v>3</v>
      </c>
      <c r="B201" s="116" t="s">
        <v>165</v>
      </c>
      <c r="C201" s="116"/>
      <c r="D201" s="116"/>
      <c r="E201" s="80">
        <v>281</v>
      </c>
      <c r="F201" s="142">
        <f>SUM(F199:F200)</f>
        <v>267</v>
      </c>
      <c r="G201" s="118"/>
      <c r="H201" s="142">
        <f>SUM(H199:H200)</f>
        <v>276</v>
      </c>
      <c r="I201" s="29"/>
      <c r="J201" s="231"/>
      <c r="K201" s="231"/>
      <c r="L201" s="231"/>
      <c r="M201" s="231"/>
      <c r="N201" s="231"/>
      <c r="O201" s="231"/>
      <c r="P201" s="231"/>
      <c r="Q201" s="231"/>
      <c r="R201" s="231"/>
      <c r="S201" s="231"/>
      <c r="T201" s="231"/>
      <c r="U201" s="231"/>
      <c r="V201" s="231"/>
      <c r="W201" s="231"/>
      <c r="X201" s="231"/>
      <c r="Y201" s="231"/>
      <c r="Z201" s="231"/>
      <c r="AA201" s="231"/>
      <c r="AB201" s="231"/>
      <c r="AC201" s="231"/>
      <c r="AD201" s="231"/>
      <c r="AE201" s="231"/>
      <c r="AF201" s="231"/>
      <c r="AG201" s="231"/>
      <c r="AH201" s="231"/>
    </row>
    <row r="202" spans="1:34" s="203" customFormat="1">
      <c r="A202" s="46"/>
      <c r="B202" s="132"/>
      <c r="C202" s="132"/>
      <c r="D202" s="132"/>
      <c r="E202" s="156"/>
      <c r="F202" s="139"/>
      <c r="G202" s="139"/>
      <c r="H202" s="139"/>
      <c r="I202" s="29"/>
      <c r="J202" s="231"/>
      <c r="K202" s="231"/>
      <c r="L202" s="231"/>
      <c r="M202" s="231"/>
      <c r="N202" s="231"/>
      <c r="O202" s="231"/>
      <c r="P202" s="231"/>
      <c r="Q202" s="231"/>
      <c r="R202" s="231"/>
      <c r="S202" s="231"/>
      <c r="T202" s="231"/>
      <c r="U202" s="231"/>
      <c r="V202" s="231"/>
      <c r="W202" s="231"/>
      <c r="X202" s="231"/>
      <c r="Y202" s="231"/>
      <c r="Z202" s="231"/>
      <c r="AA202" s="231"/>
      <c r="AB202" s="231"/>
      <c r="AC202" s="231"/>
      <c r="AD202" s="231"/>
      <c r="AE202" s="231"/>
      <c r="AF202" s="231"/>
      <c r="AG202" s="231"/>
      <c r="AH202" s="231"/>
    </row>
    <row r="203" spans="1:34" s="203" customFormat="1">
      <c r="A203" s="153" t="s">
        <v>166</v>
      </c>
      <c r="B203" s="116"/>
      <c r="C203" s="116"/>
      <c r="D203" s="116"/>
      <c r="E203" s="140"/>
      <c r="F203" s="146"/>
      <c r="G203" s="118"/>
      <c r="H203" s="146"/>
      <c r="I203" s="29"/>
      <c r="J203" s="231"/>
      <c r="K203" s="231"/>
      <c r="L203" s="231"/>
      <c r="M203" s="231"/>
      <c r="N203" s="231"/>
      <c r="O203" s="231"/>
      <c r="P203" s="231"/>
      <c r="Q203" s="231"/>
      <c r="R203" s="231"/>
      <c r="S203" s="231"/>
      <c r="T203" s="231"/>
      <c r="U203" s="231"/>
      <c r="V203" s="231"/>
      <c r="W203" s="231"/>
      <c r="X203" s="231"/>
      <c r="Y203" s="231"/>
      <c r="Z203" s="231"/>
      <c r="AA203" s="231"/>
      <c r="AB203" s="231"/>
      <c r="AC203" s="231"/>
      <c r="AD203" s="231"/>
      <c r="AE203" s="231"/>
      <c r="AF203" s="231"/>
      <c r="AG203" s="231"/>
      <c r="AH203" s="231"/>
    </row>
    <row r="204" spans="1:34" s="203" customFormat="1">
      <c r="A204" s="120">
        <v>4</v>
      </c>
      <c r="B204" s="47" t="s">
        <v>167</v>
      </c>
      <c r="C204" s="47"/>
      <c r="D204" s="47"/>
      <c r="E204" s="74">
        <v>3784</v>
      </c>
      <c r="F204" s="52">
        <v>3610</v>
      </c>
      <c r="G204" s="118"/>
      <c r="H204" s="122">
        <v>3801</v>
      </c>
      <c r="I204" s="29"/>
      <c r="J204" s="231"/>
      <c r="K204" s="231"/>
      <c r="L204" s="231"/>
      <c r="M204" s="231"/>
      <c r="N204" s="231"/>
      <c r="O204" s="231"/>
      <c r="P204" s="231"/>
      <c r="Q204" s="231"/>
      <c r="R204" s="231"/>
      <c r="S204" s="231"/>
      <c r="T204" s="231"/>
      <c r="U204" s="231"/>
      <c r="V204" s="231"/>
      <c r="W204" s="231"/>
      <c r="X204" s="231"/>
      <c r="Y204" s="231"/>
      <c r="Z204" s="231"/>
      <c r="AA204" s="231"/>
      <c r="AB204" s="231"/>
      <c r="AC204" s="231"/>
      <c r="AD204" s="231"/>
      <c r="AE204" s="231"/>
      <c r="AF204" s="231"/>
      <c r="AG204" s="231"/>
      <c r="AH204" s="231"/>
    </row>
    <row r="205" spans="1:34" s="203" customFormat="1">
      <c r="A205" s="120">
        <v>5</v>
      </c>
      <c r="B205" s="47" t="s">
        <v>168</v>
      </c>
      <c r="C205" s="47"/>
      <c r="D205" s="47"/>
      <c r="E205" s="49">
        <v>3440</v>
      </c>
      <c r="F205" s="52">
        <v>3487</v>
      </c>
      <c r="G205" s="118"/>
      <c r="H205" s="122">
        <v>3688</v>
      </c>
      <c r="I205" s="29"/>
      <c r="J205" s="231"/>
      <c r="K205" s="231"/>
      <c r="L205" s="231"/>
      <c r="M205" s="231"/>
      <c r="N205" s="231"/>
      <c r="O205" s="231"/>
      <c r="P205" s="231"/>
      <c r="Q205" s="231"/>
      <c r="R205" s="231"/>
      <c r="S205" s="231"/>
      <c r="T205" s="231"/>
      <c r="U205" s="231"/>
      <c r="V205" s="231"/>
      <c r="W205" s="231"/>
      <c r="X205" s="231"/>
      <c r="Y205" s="231"/>
      <c r="Z205" s="231"/>
      <c r="AA205" s="231"/>
      <c r="AB205" s="231"/>
      <c r="AC205" s="231"/>
      <c r="AD205" s="231"/>
      <c r="AE205" s="231"/>
      <c r="AF205" s="231"/>
      <c r="AG205" s="231"/>
      <c r="AH205" s="231"/>
    </row>
    <row r="206" spans="1:34" s="203" customFormat="1">
      <c r="A206" s="120">
        <v>6</v>
      </c>
      <c r="B206" s="47" t="s">
        <v>169</v>
      </c>
      <c r="C206" s="47"/>
      <c r="D206" s="47"/>
      <c r="E206" s="49">
        <v>1963</v>
      </c>
      <c r="F206" s="52">
        <v>2100</v>
      </c>
      <c r="G206" s="118"/>
      <c r="H206" s="100">
        <v>2039</v>
      </c>
      <c r="I206" s="29"/>
      <c r="J206" s="231"/>
      <c r="K206" s="231"/>
      <c r="L206" s="231"/>
      <c r="M206" s="231"/>
      <c r="N206" s="231"/>
      <c r="O206" s="231"/>
      <c r="P206" s="231"/>
      <c r="Q206" s="231"/>
      <c r="R206" s="231"/>
      <c r="S206" s="231"/>
      <c r="T206" s="231"/>
      <c r="U206" s="231"/>
      <c r="V206" s="231"/>
      <c r="W206" s="231"/>
      <c r="X206" s="231"/>
      <c r="Y206" s="231"/>
      <c r="Z206" s="231"/>
      <c r="AA206" s="231"/>
      <c r="AB206" s="231"/>
      <c r="AC206" s="231"/>
      <c r="AD206" s="231"/>
      <c r="AE206" s="231"/>
      <c r="AF206" s="231"/>
      <c r="AG206" s="231"/>
      <c r="AH206" s="231"/>
    </row>
    <row r="207" spans="1:34" s="203" customFormat="1">
      <c r="A207" s="120">
        <v>7</v>
      </c>
      <c r="B207" s="116" t="s">
        <v>170</v>
      </c>
      <c r="C207" s="116"/>
      <c r="D207" s="116"/>
      <c r="E207" s="80">
        <v>9187</v>
      </c>
      <c r="F207" s="142">
        <f>SUM(F204:F206)</f>
        <v>9197</v>
      </c>
      <c r="G207" s="118"/>
      <c r="H207" s="142">
        <f>SUM(H204:H206)</f>
        <v>9528</v>
      </c>
      <c r="I207" s="29"/>
      <c r="J207" s="231"/>
      <c r="K207" s="231"/>
      <c r="L207" s="231"/>
      <c r="M207" s="231"/>
      <c r="N207" s="231"/>
      <c r="O207" s="231"/>
      <c r="P207" s="231"/>
      <c r="Q207" s="231"/>
      <c r="R207" s="231"/>
      <c r="S207" s="231"/>
      <c r="T207" s="231"/>
      <c r="U207" s="231"/>
      <c r="V207" s="231"/>
      <c r="W207" s="231"/>
      <c r="X207" s="231"/>
      <c r="Y207" s="231"/>
      <c r="Z207" s="231"/>
      <c r="AA207" s="231"/>
      <c r="AB207" s="231"/>
      <c r="AC207" s="231"/>
      <c r="AD207" s="231"/>
      <c r="AE207" s="231"/>
      <c r="AF207" s="231"/>
      <c r="AG207" s="231"/>
      <c r="AH207" s="231"/>
    </row>
    <row r="208" spans="1:34" s="203" customFormat="1">
      <c r="A208" s="46"/>
      <c r="B208" s="132"/>
      <c r="C208" s="132"/>
      <c r="D208" s="132"/>
      <c r="E208" s="156"/>
      <c r="F208" s="139"/>
      <c r="G208" s="139"/>
      <c r="H208" s="139"/>
      <c r="I208" s="29"/>
      <c r="J208" s="231"/>
      <c r="K208" s="231"/>
      <c r="L208" s="231"/>
      <c r="M208" s="231"/>
      <c r="N208" s="231"/>
      <c r="O208" s="231"/>
      <c r="P208" s="231"/>
      <c r="Q208" s="231"/>
      <c r="R208" s="231"/>
      <c r="S208" s="231"/>
      <c r="T208" s="231"/>
      <c r="U208" s="231"/>
      <c r="V208" s="231"/>
      <c r="W208" s="231"/>
      <c r="X208" s="231"/>
      <c r="Y208" s="231"/>
      <c r="Z208" s="231"/>
      <c r="AA208" s="231"/>
      <c r="AB208" s="231"/>
      <c r="AC208" s="231"/>
      <c r="AD208" s="231"/>
      <c r="AE208" s="231"/>
      <c r="AF208" s="231"/>
      <c r="AG208" s="231"/>
      <c r="AH208" s="231"/>
    </row>
    <row r="209" spans="1:34" s="203" customFormat="1">
      <c r="A209" s="153" t="s">
        <v>121</v>
      </c>
      <c r="B209" s="168"/>
      <c r="C209" s="168"/>
      <c r="D209" s="168"/>
      <c r="E209" s="140"/>
      <c r="F209" s="146"/>
      <c r="G209" s="118"/>
      <c r="H209" s="146"/>
      <c r="I209" s="29"/>
      <c r="J209" s="231"/>
      <c r="K209" s="231"/>
      <c r="L209" s="231"/>
      <c r="M209" s="231"/>
      <c r="N209" s="231"/>
      <c r="O209" s="231"/>
      <c r="P209" s="231"/>
      <c r="Q209" s="231"/>
      <c r="R209" s="231"/>
      <c r="S209" s="231"/>
      <c r="T209" s="231"/>
      <c r="U209" s="231"/>
      <c r="V209" s="231"/>
      <c r="W209" s="231"/>
      <c r="X209" s="231"/>
      <c r="Y209" s="231"/>
      <c r="Z209" s="231"/>
      <c r="AA209" s="231"/>
      <c r="AB209" s="231"/>
      <c r="AC209" s="231"/>
      <c r="AD209" s="231"/>
      <c r="AE209" s="231"/>
      <c r="AF209" s="231"/>
      <c r="AG209" s="231"/>
      <c r="AH209" s="231"/>
    </row>
    <row r="210" spans="1:34" s="203" customFormat="1">
      <c r="A210" s="120">
        <v>8</v>
      </c>
      <c r="B210" s="47" t="s">
        <v>171</v>
      </c>
      <c r="C210" s="47"/>
      <c r="D210" s="47"/>
      <c r="E210" s="74">
        <v>-309</v>
      </c>
      <c r="F210" s="52">
        <v>-237</v>
      </c>
      <c r="G210" s="118"/>
      <c r="H210" s="122">
        <v>-318</v>
      </c>
      <c r="I210" s="29"/>
      <c r="J210" s="231"/>
      <c r="K210" s="231"/>
      <c r="L210" s="231"/>
      <c r="M210" s="231"/>
      <c r="N210" s="231"/>
      <c r="O210" s="231"/>
      <c r="P210" s="231"/>
      <c r="Q210" s="231"/>
      <c r="R210" s="231"/>
      <c r="S210" s="231"/>
      <c r="T210" s="231"/>
      <c r="U210" s="231"/>
      <c r="V210" s="231"/>
      <c r="W210" s="231"/>
      <c r="X210" s="231"/>
      <c r="Y210" s="231"/>
      <c r="Z210" s="231"/>
      <c r="AA210" s="231"/>
      <c r="AB210" s="231"/>
      <c r="AC210" s="231"/>
      <c r="AD210" s="231"/>
      <c r="AE210" s="231"/>
      <c r="AF210" s="231"/>
      <c r="AG210" s="231"/>
      <c r="AH210" s="231"/>
    </row>
    <row r="211" spans="1:34" s="203" customFormat="1">
      <c r="A211" s="120">
        <v>9</v>
      </c>
      <c r="B211" s="47" t="s">
        <v>172</v>
      </c>
      <c r="C211" s="47"/>
      <c r="D211" s="47"/>
      <c r="E211" s="49">
        <v>0</v>
      </c>
      <c r="F211" s="52">
        <v>0</v>
      </c>
      <c r="G211" s="118"/>
      <c r="H211" s="122">
        <v>0</v>
      </c>
      <c r="I211" s="29"/>
      <c r="J211" s="231"/>
      <c r="K211" s="231"/>
      <c r="L211" s="231"/>
      <c r="M211" s="231"/>
      <c r="N211" s="231"/>
      <c r="O211" s="231"/>
      <c r="P211" s="231"/>
      <c r="Q211" s="231"/>
      <c r="R211" s="231"/>
      <c r="S211" s="231"/>
      <c r="T211" s="231"/>
      <c r="U211" s="231"/>
      <c r="V211" s="231"/>
      <c r="W211" s="231"/>
      <c r="X211" s="231"/>
      <c r="Y211" s="231"/>
      <c r="Z211" s="231"/>
      <c r="AA211" s="231"/>
      <c r="AB211" s="231"/>
      <c r="AC211" s="231"/>
      <c r="AD211" s="231"/>
      <c r="AE211" s="231"/>
      <c r="AF211" s="231"/>
      <c r="AG211" s="231"/>
      <c r="AH211" s="231"/>
    </row>
    <row r="212" spans="1:34" s="203" customFormat="1">
      <c r="A212" s="120">
        <v>10</v>
      </c>
      <c r="B212" s="47" t="s">
        <v>173</v>
      </c>
      <c r="C212" s="47"/>
      <c r="D212" s="47"/>
      <c r="E212" s="49">
        <v>131</v>
      </c>
      <c r="F212" s="52">
        <v>195</v>
      </c>
      <c r="G212" s="118"/>
      <c r="H212" s="122">
        <v>133</v>
      </c>
      <c r="I212" s="29"/>
      <c r="J212" s="231"/>
      <c r="K212" s="231"/>
      <c r="L212" s="231"/>
      <c r="M212" s="231"/>
      <c r="N212" s="231"/>
      <c r="O212" s="231"/>
      <c r="P212" s="231"/>
      <c r="Q212" s="231"/>
      <c r="R212" s="231"/>
      <c r="S212" s="231"/>
      <c r="T212" s="231"/>
      <c r="U212" s="231"/>
      <c r="V212" s="231"/>
      <c r="W212" s="231"/>
      <c r="X212" s="231"/>
      <c r="Y212" s="231"/>
      <c r="Z212" s="231"/>
      <c r="AA212" s="231"/>
      <c r="AB212" s="231"/>
      <c r="AC212" s="231"/>
      <c r="AD212" s="231"/>
      <c r="AE212" s="231"/>
      <c r="AF212" s="231"/>
      <c r="AG212" s="231"/>
      <c r="AH212" s="231"/>
    </row>
    <row r="213" spans="1:34" s="203" customFormat="1">
      <c r="A213" s="120">
        <v>11</v>
      </c>
      <c r="B213" s="47" t="s">
        <v>174</v>
      </c>
      <c r="C213" s="47"/>
      <c r="D213" s="47"/>
      <c r="E213" s="49">
        <v>1230</v>
      </c>
      <c r="F213" s="52">
        <v>1210</v>
      </c>
      <c r="G213" s="118"/>
      <c r="H213" s="99">
        <v>1266</v>
      </c>
      <c r="I213" s="29"/>
      <c r="J213" s="231"/>
      <c r="K213" s="231"/>
      <c r="L213" s="231"/>
      <c r="M213" s="231"/>
      <c r="N213" s="231"/>
      <c r="O213" s="231"/>
      <c r="P213" s="231"/>
      <c r="Q213" s="231"/>
      <c r="R213" s="231"/>
      <c r="S213" s="231"/>
      <c r="T213" s="231"/>
      <c r="U213" s="231"/>
      <c r="V213" s="231"/>
      <c r="W213" s="231"/>
      <c r="X213" s="231"/>
      <c r="Y213" s="231"/>
      <c r="Z213" s="231"/>
      <c r="AA213" s="231"/>
      <c r="AB213" s="231"/>
      <c r="AC213" s="231"/>
      <c r="AD213" s="231"/>
      <c r="AE213" s="231"/>
      <c r="AF213" s="231"/>
      <c r="AG213" s="231"/>
      <c r="AH213" s="231"/>
    </row>
    <row r="214" spans="1:34" s="203" customFormat="1">
      <c r="A214" s="120">
        <v>12</v>
      </c>
      <c r="B214" s="116" t="s">
        <v>175</v>
      </c>
      <c r="C214" s="116"/>
      <c r="D214" s="116"/>
      <c r="E214" s="159">
        <v>10520</v>
      </c>
      <c r="F214" s="61">
        <f>F201+F207+SUM(F210:F213)</f>
        <v>10632</v>
      </c>
      <c r="G214" s="118"/>
      <c r="H214" s="61">
        <f>H201+H207+SUM(H210:H213)</f>
        <v>10885</v>
      </c>
      <c r="I214" s="29"/>
      <c r="J214" s="231"/>
      <c r="K214" s="231"/>
      <c r="L214" s="231"/>
      <c r="M214" s="231"/>
      <c r="N214" s="231"/>
      <c r="O214" s="231"/>
      <c r="P214" s="231"/>
      <c r="Q214" s="231"/>
      <c r="R214" s="231"/>
      <c r="S214" s="231"/>
      <c r="T214" s="231"/>
      <c r="U214" s="231"/>
      <c r="V214" s="231"/>
      <c r="W214" s="231"/>
      <c r="X214" s="231"/>
      <c r="Y214" s="231"/>
      <c r="Z214" s="231"/>
      <c r="AA214" s="231"/>
      <c r="AB214" s="231"/>
      <c r="AC214" s="231"/>
      <c r="AD214" s="231"/>
      <c r="AE214" s="231"/>
      <c r="AF214" s="231"/>
      <c r="AG214" s="231"/>
      <c r="AH214" s="231"/>
    </row>
    <row r="215" spans="1:34" s="203" customFormat="1">
      <c r="A215" s="111"/>
      <c r="B215" s="47"/>
      <c r="C215" s="47"/>
      <c r="D215" s="47"/>
      <c r="E215" s="117"/>
      <c r="F215" s="118"/>
      <c r="G215" s="118"/>
      <c r="H215" s="118"/>
      <c r="I215" s="29"/>
      <c r="J215" s="231"/>
      <c r="K215" s="231"/>
      <c r="L215" s="231"/>
      <c r="M215" s="231"/>
      <c r="N215" s="231"/>
      <c r="O215" s="231"/>
      <c r="P215" s="231"/>
      <c r="Q215" s="231"/>
      <c r="R215" s="231"/>
      <c r="S215" s="231"/>
      <c r="T215" s="231"/>
      <c r="U215" s="231"/>
      <c r="V215" s="231"/>
      <c r="W215" s="231"/>
      <c r="X215" s="231"/>
      <c r="Y215" s="231"/>
      <c r="Z215" s="231"/>
      <c r="AA215" s="231"/>
      <c r="AB215" s="231"/>
      <c r="AC215" s="231"/>
      <c r="AD215" s="231"/>
      <c r="AE215" s="231"/>
      <c r="AF215" s="231"/>
      <c r="AG215" s="231"/>
      <c r="AH215" s="231"/>
    </row>
    <row r="216" spans="1:34" s="203" customFormat="1">
      <c r="A216" s="119" t="s">
        <v>176</v>
      </c>
      <c r="B216" s="116"/>
      <c r="C216" s="116"/>
      <c r="D216" s="116"/>
      <c r="E216" s="117"/>
      <c r="F216" s="160"/>
      <c r="G216" s="118"/>
      <c r="H216" s="160"/>
      <c r="I216" s="29"/>
      <c r="J216" s="231"/>
      <c r="K216" s="231"/>
      <c r="L216" s="231"/>
      <c r="M216" s="231"/>
      <c r="N216" s="231"/>
      <c r="O216" s="231"/>
      <c r="P216" s="231"/>
      <c r="Q216" s="231"/>
      <c r="R216" s="231"/>
      <c r="S216" s="231"/>
      <c r="T216" s="231"/>
      <c r="U216" s="231"/>
      <c r="V216" s="231"/>
      <c r="W216" s="231"/>
      <c r="X216" s="231"/>
      <c r="Y216" s="231"/>
      <c r="Z216" s="231"/>
      <c r="AA216" s="231"/>
      <c r="AB216" s="231"/>
      <c r="AC216" s="231"/>
      <c r="AD216" s="231"/>
      <c r="AE216" s="231"/>
      <c r="AF216" s="231"/>
      <c r="AG216" s="231"/>
      <c r="AH216" s="231"/>
    </row>
    <row r="217" spans="1:34" s="203" customFormat="1">
      <c r="A217" s="120">
        <v>13</v>
      </c>
      <c r="B217" s="47" t="s">
        <v>177</v>
      </c>
      <c r="C217" s="47"/>
      <c r="D217" s="47"/>
      <c r="E217" s="41">
        <v>334</v>
      </c>
      <c r="F217" s="121">
        <v>272</v>
      </c>
      <c r="G217" s="118"/>
      <c r="H217" s="169">
        <v>344</v>
      </c>
      <c r="I217" s="29"/>
      <c r="J217" s="231"/>
      <c r="K217" s="231"/>
      <c r="L217" s="231"/>
      <c r="M217" s="231"/>
      <c r="N217" s="231"/>
      <c r="O217" s="231"/>
      <c r="P217" s="231"/>
      <c r="Q217" s="231"/>
      <c r="R217" s="231"/>
      <c r="S217" s="231"/>
      <c r="T217" s="231"/>
      <c r="U217" s="231"/>
      <c r="V217" s="231"/>
      <c r="W217" s="231"/>
      <c r="X217" s="231"/>
      <c r="Y217" s="231"/>
      <c r="Z217" s="231"/>
      <c r="AA217" s="231"/>
      <c r="AB217" s="231"/>
      <c r="AC217" s="231"/>
      <c r="AD217" s="231"/>
      <c r="AE217" s="231"/>
      <c r="AF217" s="231"/>
      <c r="AG217" s="231"/>
      <c r="AH217" s="231"/>
    </row>
    <row r="218" spans="1:34" s="203" customFormat="1">
      <c r="A218" s="124">
        <v>14</v>
      </c>
      <c r="B218" s="54" t="s">
        <v>178</v>
      </c>
      <c r="C218" s="54"/>
      <c r="D218" s="54"/>
      <c r="E218" s="56">
        <v>1375</v>
      </c>
      <c r="F218" s="126">
        <v>1499</v>
      </c>
      <c r="G218" s="118"/>
      <c r="H218" s="100">
        <v>1419</v>
      </c>
      <c r="I218" s="29"/>
      <c r="J218" s="231"/>
      <c r="K218" s="231"/>
      <c r="L218" s="231"/>
      <c r="M218" s="231"/>
      <c r="N218" s="231"/>
      <c r="O218" s="231"/>
      <c r="P218" s="231"/>
      <c r="Q218" s="231"/>
      <c r="R218" s="231"/>
      <c r="S218" s="231"/>
      <c r="T218" s="231"/>
      <c r="U218" s="231"/>
      <c r="V218" s="231"/>
      <c r="W218" s="231"/>
      <c r="X218" s="231"/>
      <c r="Y218" s="231"/>
      <c r="Z218" s="231"/>
      <c r="AA218" s="231"/>
      <c r="AB218" s="231"/>
      <c r="AC218" s="231"/>
      <c r="AD218" s="231"/>
      <c r="AE218" s="231"/>
      <c r="AF218" s="231"/>
      <c r="AG218" s="231"/>
      <c r="AH218" s="231"/>
    </row>
    <row r="219" spans="1:34" s="203" customFormat="1">
      <c r="A219" s="148"/>
      <c r="B219" s="29"/>
      <c r="C219" s="29"/>
      <c r="D219" s="170"/>
      <c r="E219" s="171"/>
      <c r="F219" s="29"/>
      <c r="G219" s="29"/>
      <c r="H219" s="207"/>
      <c r="I219" s="29"/>
      <c r="J219" s="231"/>
      <c r="K219" s="231"/>
      <c r="L219" s="231"/>
      <c r="M219" s="231"/>
      <c r="N219" s="231"/>
      <c r="O219" s="231"/>
      <c r="P219" s="231"/>
      <c r="Q219" s="231"/>
      <c r="R219" s="231"/>
      <c r="S219" s="231"/>
      <c r="T219" s="231"/>
      <c r="U219" s="231"/>
      <c r="V219" s="231"/>
      <c r="W219" s="231"/>
      <c r="X219" s="231"/>
      <c r="Y219" s="231"/>
      <c r="Z219" s="231"/>
      <c r="AA219" s="231"/>
      <c r="AB219" s="231"/>
      <c r="AC219" s="231"/>
      <c r="AD219" s="231"/>
      <c r="AE219" s="231"/>
      <c r="AF219" s="231"/>
      <c r="AG219" s="231"/>
      <c r="AH219" s="231"/>
    </row>
    <row r="220" spans="1:34" s="203" customFormat="1">
      <c r="A220" s="148"/>
      <c r="B220" s="29"/>
      <c r="C220" s="29"/>
      <c r="D220" s="172"/>
      <c r="E220" s="152"/>
      <c r="F220" s="29"/>
      <c r="G220" s="29"/>
      <c r="H220" s="131" t="s">
        <v>27</v>
      </c>
      <c r="I220" s="29"/>
      <c r="J220" s="231"/>
      <c r="K220" s="231"/>
      <c r="L220" s="231"/>
      <c r="M220" s="231"/>
      <c r="N220" s="231"/>
      <c r="O220" s="231"/>
      <c r="P220" s="231"/>
      <c r="Q220" s="231"/>
      <c r="R220" s="231"/>
      <c r="S220" s="231"/>
      <c r="T220" s="231"/>
      <c r="U220" s="231"/>
      <c r="V220" s="231"/>
      <c r="W220" s="231"/>
      <c r="X220" s="231"/>
      <c r="Y220" s="231"/>
      <c r="Z220" s="231"/>
      <c r="AA220" s="231"/>
      <c r="AB220" s="231"/>
      <c r="AC220" s="231"/>
      <c r="AD220" s="231"/>
      <c r="AE220" s="231"/>
      <c r="AF220" s="231"/>
      <c r="AG220" s="231"/>
      <c r="AH220" s="231"/>
    </row>
    <row r="221" spans="1:34" s="203" customFormat="1" ht="12.75" customHeight="1">
      <c r="A221" s="106" t="s">
        <v>10</v>
      </c>
      <c r="B221" s="164"/>
      <c r="C221" s="164"/>
      <c r="D221" s="164"/>
      <c r="E221" s="856" t="s">
        <v>377</v>
      </c>
      <c r="F221" s="856" t="s">
        <v>402</v>
      </c>
      <c r="G221" s="130"/>
      <c r="H221" s="856" t="s">
        <v>403</v>
      </c>
      <c r="I221" s="130"/>
      <c r="J221" s="231"/>
      <c r="K221" s="231"/>
      <c r="L221" s="231"/>
      <c r="M221" s="231"/>
      <c r="N221" s="231"/>
      <c r="O221" s="231"/>
      <c r="P221" s="231"/>
      <c r="Q221" s="231"/>
      <c r="R221" s="231"/>
      <c r="S221" s="231"/>
      <c r="T221" s="231"/>
      <c r="U221" s="231"/>
      <c r="V221" s="231"/>
      <c r="W221" s="231"/>
      <c r="X221" s="231"/>
      <c r="Y221" s="231"/>
      <c r="Z221" s="231"/>
      <c r="AA221" s="231"/>
      <c r="AB221" s="231"/>
      <c r="AC221" s="231"/>
      <c r="AD221" s="231"/>
      <c r="AE221" s="231"/>
      <c r="AF221" s="231"/>
      <c r="AG221" s="231"/>
      <c r="AH221" s="231"/>
    </row>
    <row r="222" spans="1:34" s="203" customFormat="1">
      <c r="A222" s="109"/>
      <c r="B222" s="132"/>
      <c r="C222" s="132"/>
      <c r="D222" s="132"/>
      <c r="E222" s="859"/>
      <c r="F222" s="859"/>
      <c r="G222" s="130"/>
      <c r="H222" s="859"/>
      <c r="I222" s="130"/>
      <c r="J222" s="231"/>
      <c r="K222" s="231"/>
      <c r="L222" s="231"/>
      <c r="M222" s="231"/>
      <c r="N222" s="231"/>
      <c r="O222" s="231"/>
      <c r="P222" s="231"/>
      <c r="Q222" s="231"/>
      <c r="R222" s="231"/>
      <c r="S222" s="231"/>
      <c r="T222" s="231"/>
      <c r="U222" s="231"/>
      <c r="V222" s="231"/>
      <c r="W222" s="231"/>
      <c r="X222" s="231"/>
      <c r="Y222" s="231"/>
      <c r="Z222" s="231"/>
      <c r="AA222" s="231"/>
      <c r="AB222" s="231"/>
      <c r="AC222" s="231"/>
      <c r="AD222" s="231"/>
      <c r="AE222" s="231"/>
      <c r="AF222" s="231"/>
      <c r="AG222" s="231"/>
      <c r="AH222" s="231"/>
    </row>
    <row r="223" spans="1:34" s="203" customFormat="1">
      <c r="A223" s="154" t="s">
        <v>179</v>
      </c>
      <c r="B223" s="116"/>
      <c r="C223" s="116"/>
      <c r="D223" s="116"/>
      <c r="E223" s="859"/>
      <c r="F223" s="859"/>
      <c r="G223" s="130"/>
      <c r="H223" s="859"/>
      <c r="I223" s="130"/>
      <c r="J223" s="231"/>
      <c r="K223" s="231"/>
      <c r="L223" s="231"/>
      <c r="M223" s="231"/>
      <c r="N223" s="231"/>
      <c r="O223" s="231"/>
      <c r="P223" s="231"/>
      <c r="Q223" s="231"/>
      <c r="R223" s="231"/>
      <c r="S223" s="231"/>
      <c r="T223" s="231"/>
      <c r="U223" s="231"/>
      <c r="V223" s="231"/>
      <c r="W223" s="231"/>
      <c r="X223" s="231"/>
      <c r="Y223" s="231"/>
      <c r="Z223" s="231"/>
      <c r="AA223" s="231"/>
      <c r="AB223" s="231"/>
      <c r="AC223" s="231"/>
      <c r="AD223" s="231"/>
      <c r="AE223" s="231"/>
      <c r="AF223" s="231"/>
      <c r="AG223" s="231"/>
      <c r="AH223" s="231"/>
    </row>
    <row r="224" spans="1:34" s="203" customFormat="1">
      <c r="A224" s="109" t="s">
        <v>83</v>
      </c>
      <c r="B224" s="47"/>
      <c r="C224" s="47"/>
      <c r="D224" s="47"/>
      <c r="E224" s="859"/>
      <c r="F224" s="859"/>
      <c r="G224" s="130"/>
      <c r="H224" s="859"/>
      <c r="I224" s="130"/>
      <c r="J224" s="231"/>
      <c r="K224" s="231"/>
      <c r="L224" s="231"/>
      <c r="M224" s="231"/>
      <c r="N224" s="231"/>
      <c r="O224" s="231"/>
      <c r="P224" s="231"/>
      <c r="Q224" s="231"/>
      <c r="R224" s="231"/>
      <c r="S224" s="231"/>
      <c r="T224" s="231"/>
      <c r="U224" s="231"/>
      <c r="V224" s="231"/>
      <c r="W224" s="231"/>
      <c r="X224" s="231"/>
      <c r="Y224" s="231"/>
      <c r="Z224" s="231"/>
      <c r="AA224" s="231"/>
      <c r="AB224" s="231"/>
      <c r="AC224" s="231"/>
      <c r="AD224" s="231"/>
      <c r="AE224" s="231"/>
      <c r="AF224" s="231"/>
      <c r="AG224" s="231"/>
      <c r="AH224" s="231"/>
    </row>
    <row r="225" spans="1:34" s="203" customFormat="1">
      <c r="A225" s="110" t="s">
        <v>84</v>
      </c>
      <c r="B225" s="132"/>
      <c r="C225" s="132"/>
      <c r="D225" s="132"/>
      <c r="E225" s="860"/>
      <c r="F225" s="860"/>
      <c r="G225" s="130"/>
      <c r="H225" s="860"/>
      <c r="I225" s="130"/>
      <c r="J225" s="231"/>
      <c r="K225" s="231"/>
      <c r="L225" s="231"/>
      <c r="M225" s="231"/>
      <c r="N225" s="231"/>
      <c r="O225" s="231"/>
      <c r="P225" s="231"/>
      <c r="Q225" s="231"/>
      <c r="R225" s="231"/>
      <c r="S225" s="231"/>
      <c r="T225" s="231"/>
      <c r="U225" s="231"/>
      <c r="V225" s="231"/>
      <c r="W225" s="231"/>
      <c r="X225" s="231"/>
      <c r="Y225" s="231"/>
      <c r="Z225" s="231"/>
      <c r="AA225" s="231"/>
      <c r="AB225" s="231"/>
      <c r="AC225" s="231"/>
      <c r="AD225" s="231"/>
      <c r="AE225" s="231"/>
      <c r="AF225" s="231"/>
      <c r="AG225" s="231"/>
      <c r="AH225" s="231"/>
    </row>
    <row r="226" spans="1:34" s="203" customFormat="1">
      <c r="A226" s="120">
        <v>1</v>
      </c>
      <c r="B226" s="47" t="s">
        <v>180</v>
      </c>
      <c r="C226" s="47"/>
      <c r="D226" s="47"/>
      <c r="E226" s="41">
        <v>0</v>
      </c>
      <c r="F226" s="52">
        <v>0</v>
      </c>
      <c r="G226" s="118"/>
      <c r="H226" s="133">
        <v>0</v>
      </c>
      <c r="I226" s="29"/>
      <c r="J226" s="231"/>
      <c r="K226" s="231"/>
      <c r="L226" s="231"/>
      <c r="M226" s="231"/>
      <c r="N226" s="231"/>
      <c r="O226" s="231"/>
      <c r="P226" s="231"/>
      <c r="Q226" s="231"/>
      <c r="R226" s="231"/>
      <c r="S226" s="231"/>
      <c r="T226" s="231"/>
      <c r="U226" s="231"/>
      <c r="V226" s="231"/>
      <c r="W226" s="231"/>
      <c r="X226" s="231"/>
      <c r="Y226" s="231"/>
      <c r="Z226" s="231"/>
      <c r="AA226" s="231"/>
      <c r="AB226" s="231"/>
      <c r="AC226" s="231"/>
      <c r="AD226" s="231"/>
      <c r="AE226" s="231"/>
      <c r="AF226" s="231"/>
      <c r="AG226" s="231"/>
      <c r="AH226" s="231"/>
    </row>
    <row r="227" spans="1:34" s="203" customFormat="1">
      <c r="A227" s="120">
        <v>2</v>
      </c>
      <c r="B227" s="47" t="s">
        <v>181</v>
      </c>
      <c r="C227" s="47"/>
      <c r="D227" s="47"/>
      <c r="E227" s="49">
        <v>102</v>
      </c>
      <c r="F227" s="52">
        <v>102</v>
      </c>
      <c r="G227" s="118"/>
      <c r="H227" s="122">
        <v>105</v>
      </c>
      <c r="I227" s="29"/>
      <c r="J227" s="231"/>
      <c r="K227" s="231"/>
      <c r="L227" s="231"/>
      <c r="M227" s="231"/>
      <c r="N227" s="231"/>
      <c r="O227" s="231"/>
      <c r="P227" s="231"/>
      <c r="Q227" s="231"/>
      <c r="R227" s="231"/>
      <c r="S227" s="231"/>
      <c r="T227" s="231"/>
      <c r="U227" s="231"/>
      <c r="V227" s="231"/>
      <c r="W227" s="231"/>
      <c r="X227" s="231"/>
      <c r="Y227" s="231"/>
      <c r="Z227" s="231"/>
      <c r="AA227" s="231"/>
      <c r="AB227" s="231"/>
      <c r="AC227" s="231"/>
      <c r="AD227" s="231"/>
      <c r="AE227" s="231"/>
      <c r="AF227" s="231"/>
      <c r="AG227" s="231"/>
      <c r="AH227" s="231"/>
    </row>
    <row r="228" spans="1:34" s="203" customFormat="1">
      <c r="A228" s="120">
        <v>3</v>
      </c>
      <c r="B228" s="47" t="s">
        <v>182</v>
      </c>
      <c r="C228" s="47"/>
      <c r="D228" s="47"/>
      <c r="E228" s="114">
        <v>892</v>
      </c>
      <c r="F228" s="52">
        <v>911</v>
      </c>
      <c r="G228" s="118"/>
      <c r="H228" s="122">
        <v>921</v>
      </c>
      <c r="I228" s="29"/>
      <c r="J228" s="231"/>
      <c r="K228" s="231"/>
      <c r="L228" s="231"/>
      <c r="M228" s="231"/>
      <c r="N228" s="231"/>
      <c r="O228" s="231"/>
      <c r="P228" s="231"/>
      <c r="Q228" s="231"/>
      <c r="R228" s="231"/>
      <c r="S228" s="231"/>
      <c r="T228" s="231"/>
      <c r="U228" s="231"/>
      <c r="V228" s="231"/>
      <c r="W228" s="231"/>
      <c r="X228" s="231"/>
      <c r="Y228" s="231"/>
      <c r="Z228" s="231"/>
      <c r="AA228" s="231"/>
      <c r="AB228" s="231"/>
      <c r="AC228" s="231"/>
      <c r="AD228" s="231"/>
      <c r="AE228" s="231"/>
      <c r="AF228" s="231"/>
      <c r="AG228" s="231"/>
      <c r="AH228" s="231"/>
    </row>
    <row r="229" spans="1:34" s="203" customFormat="1">
      <c r="A229" s="120">
        <v>4</v>
      </c>
      <c r="B229" s="47" t="s">
        <v>183</v>
      </c>
      <c r="C229" s="47"/>
      <c r="D229" s="47"/>
      <c r="E229" s="114">
        <v>0</v>
      </c>
      <c r="F229" s="52">
        <v>0</v>
      </c>
      <c r="G229" s="118"/>
      <c r="H229" s="122">
        <v>0</v>
      </c>
      <c r="I229" s="29"/>
      <c r="J229" s="231"/>
      <c r="K229" s="231"/>
      <c r="L229" s="231"/>
      <c r="M229" s="231"/>
      <c r="N229" s="231"/>
      <c r="O229" s="231"/>
      <c r="P229" s="231"/>
      <c r="Q229" s="231"/>
      <c r="R229" s="231"/>
      <c r="S229" s="231"/>
      <c r="T229" s="231"/>
      <c r="U229" s="231"/>
      <c r="V229" s="231"/>
      <c r="W229" s="231"/>
      <c r="X229" s="231"/>
      <c r="Y229" s="231"/>
      <c r="Z229" s="231"/>
      <c r="AA229" s="231"/>
      <c r="AB229" s="231"/>
      <c r="AC229" s="231"/>
      <c r="AD229" s="231"/>
      <c r="AE229" s="231"/>
      <c r="AF229" s="231"/>
      <c r="AG229" s="231"/>
      <c r="AH229" s="231"/>
    </row>
    <row r="230" spans="1:34" s="203" customFormat="1">
      <c r="A230" s="120">
        <v>5</v>
      </c>
      <c r="B230" s="47" t="s">
        <v>184</v>
      </c>
      <c r="C230" s="47"/>
      <c r="D230" s="47"/>
      <c r="E230" s="114">
        <v>4761</v>
      </c>
      <c r="F230" s="52">
        <v>4536</v>
      </c>
      <c r="G230" s="118"/>
      <c r="H230" s="99">
        <v>4416</v>
      </c>
      <c r="I230" s="29"/>
      <c r="J230" s="231"/>
      <c r="K230" s="231"/>
      <c r="L230" s="231"/>
      <c r="M230" s="231"/>
      <c r="N230" s="231"/>
      <c r="O230" s="231"/>
      <c r="P230" s="231"/>
      <c r="Q230" s="231"/>
      <c r="R230" s="231"/>
      <c r="S230" s="231"/>
      <c r="T230" s="231"/>
      <c r="U230" s="231"/>
      <c r="V230" s="231"/>
      <c r="W230" s="231"/>
      <c r="X230" s="231"/>
      <c r="Y230" s="231"/>
      <c r="Z230" s="231"/>
      <c r="AA230" s="231"/>
      <c r="AB230" s="231"/>
      <c r="AC230" s="231"/>
      <c r="AD230" s="231"/>
      <c r="AE230" s="231"/>
      <c r="AF230" s="231"/>
      <c r="AG230" s="231"/>
      <c r="AH230" s="231"/>
    </row>
    <row r="231" spans="1:34" s="203" customFormat="1">
      <c r="A231" s="124">
        <v>6</v>
      </c>
      <c r="B231" s="173" t="s">
        <v>185</v>
      </c>
      <c r="C231" s="173"/>
      <c r="D231" s="173"/>
      <c r="E231" s="159">
        <v>5755</v>
      </c>
      <c r="F231" s="61">
        <f>SUM(F226:F230)</f>
        <v>5549</v>
      </c>
      <c r="G231" s="118"/>
      <c r="H231" s="61">
        <f>SUM(H226:H230)</f>
        <v>5442</v>
      </c>
      <c r="I231" s="29"/>
      <c r="J231" s="231"/>
      <c r="K231" s="231"/>
      <c r="L231" s="231"/>
      <c r="M231" s="231"/>
      <c r="N231" s="231"/>
      <c r="O231" s="231"/>
      <c r="P231" s="231"/>
      <c r="Q231" s="231"/>
      <c r="R231" s="231"/>
      <c r="S231" s="231"/>
      <c r="T231" s="231"/>
      <c r="U231" s="231"/>
      <c r="V231" s="231"/>
      <c r="W231" s="231"/>
      <c r="X231" s="231"/>
      <c r="Y231" s="231"/>
      <c r="Z231" s="231"/>
      <c r="AA231" s="231"/>
      <c r="AB231" s="231"/>
      <c r="AC231" s="231"/>
      <c r="AD231" s="231"/>
      <c r="AE231" s="231"/>
      <c r="AF231" s="231"/>
      <c r="AG231" s="231"/>
      <c r="AH231" s="231"/>
    </row>
    <row r="232" spans="1:34" s="203" customFormat="1">
      <c r="A232" s="148"/>
      <c r="B232" s="29"/>
      <c r="C232" s="29"/>
      <c r="D232" s="170"/>
      <c r="E232" s="150"/>
      <c r="F232" s="29"/>
      <c r="G232" s="29"/>
      <c r="H232" s="207"/>
      <c r="I232" s="29"/>
      <c r="J232" s="231"/>
      <c r="K232" s="231"/>
      <c r="L232" s="231"/>
      <c r="M232" s="231"/>
      <c r="N232" s="231"/>
      <c r="O232" s="231"/>
      <c r="P232" s="231"/>
      <c r="Q232" s="231"/>
      <c r="R232" s="231"/>
      <c r="S232" s="231"/>
      <c r="T232" s="231"/>
      <c r="U232" s="231"/>
      <c r="V232" s="231"/>
      <c r="W232" s="231"/>
      <c r="X232" s="231"/>
      <c r="Y232" s="231"/>
      <c r="Z232" s="231"/>
      <c r="AA232" s="231"/>
      <c r="AB232" s="231"/>
      <c r="AC232" s="231"/>
      <c r="AD232" s="231"/>
      <c r="AE232" s="231"/>
      <c r="AF232" s="231"/>
      <c r="AG232" s="231"/>
      <c r="AH232" s="231"/>
    </row>
    <row r="233" spans="1:34" s="203" customFormat="1">
      <c r="A233" s="148"/>
      <c r="B233" s="29"/>
      <c r="C233" s="29"/>
      <c r="D233" s="172"/>
      <c r="E233" s="152"/>
      <c r="F233" s="29"/>
      <c r="G233" s="29"/>
      <c r="H233" s="131" t="s">
        <v>27</v>
      </c>
      <c r="I233" s="29"/>
      <c r="J233" s="231"/>
      <c r="K233" s="231"/>
      <c r="L233" s="231"/>
      <c r="M233" s="231"/>
      <c r="N233" s="231"/>
      <c r="O233" s="231"/>
      <c r="P233" s="231"/>
      <c r="Q233" s="231"/>
      <c r="R233" s="231"/>
      <c r="S233" s="231"/>
      <c r="T233" s="231"/>
      <c r="U233" s="231"/>
      <c r="V233" s="231"/>
      <c r="W233" s="231"/>
      <c r="X233" s="231"/>
      <c r="Y233" s="231"/>
      <c r="Z233" s="231"/>
      <c r="AA233" s="231"/>
      <c r="AB233" s="231"/>
      <c r="AC233" s="231"/>
      <c r="AD233" s="231"/>
      <c r="AE233" s="231"/>
      <c r="AF233" s="231"/>
      <c r="AG233" s="231"/>
      <c r="AH233" s="231"/>
    </row>
    <row r="234" spans="1:34" s="203" customFormat="1" ht="12.75" customHeight="1">
      <c r="A234" s="106" t="s">
        <v>12</v>
      </c>
      <c r="B234" s="164"/>
      <c r="C234" s="164"/>
      <c r="D234" s="164"/>
      <c r="E234" s="856" t="s">
        <v>377</v>
      </c>
      <c r="F234" s="856" t="s">
        <v>402</v>
      </c>
      <c r="G234" s="130"/>
      <c r="H234" s="856" t="s">
        <v>403</v>
      </c>
      <c r="I234" s="130"/>
      <c r="J234" s="231"/>
      <c r="K234" s="231"/>
      <c r="L234" s="231"/>
      <c r="M234" s="231"/>
      <c r="N234" s="231"/>
      <c r="O234" s="231"/>
      <c r="P234" s="231"/>
      <c r="Q234" s="231"/>
      <c r="R234" s="231"/>
      <c r="S234" s="231"/>
      <c r="T234" s="231"/>
      <c r="U234" s="231"/>
      <c r="V234" s="231"/>
      <c r="W234" s="231"/>
      <c r="X234" s="231"/>
      <c r="Y234" s="231"/>
      <c r="Z234" s="231"/>
      <c r="AA234" s="231"/>
      <c r="AB234" s="231"/>
      <c r="AC234" s="231"/>
      <c r="AD234" s="231"/>
      <c r="AE234" s="231"/>
      <c r="AF234" s="231"/>
      <c r="AG234" s="231"/>
      <c r="AH234" s="231"/>
    </row>
    <row r="235" spans="1:34" s="203" customFormat="1">
      <c r="A235" s="165"/>
      <c r="B235" s="47"/>
      <c r="C235" s="47"/>
      <c r="D235" s="47"/>
      <c r="E235" s="859"/>
      <c r="F235" s="859"/>
      <c r="G235" s="130"/>
      <c r="H235" s="859"/>
      <c r="I235" s="130"/>
      <c r="J235" s="231"/>
      <c r="K235" s="231"/>
      <c r="L235" s="231"/>
      <c r="M235" s="231"/>
      <c r="N235" s="231"/>
      <c r="O235" s="231"/>
      <c r="P235" s="231"/>
      <c r="Q235" s="231"/>
      <c r="R235" s="231"/>
      <c r="S235" s="231"/>
      <c r="T235" s="231"/>
      <c r="U235" s="231"/>
      <c r="V235" s="231"/>
      <c r="W235" s="231"/>
      <c r="X235" s="231"/>
      <c r="Y235" s="231"/>
      <c r="Z235" s="231"/>
      <c r="AA235" s="231"/>
      <c r="AB235" s="231"/>
      <c r="AC235" s="231"/>
      <c r="AD235" s="231"/>
      <c r="AE235" s="231"/>
      <c r="AF235" s="231"/>
      <c r="AG235" s="231"/>
      <c r="AH235" s="231"/>
    </row>
    <row r="236" spans="1:34" s="203" customFormat="1">
      <c r="A236" s="154" t="s">
        <v>186</v>
      </c>
      <c r="B236" s="174"/>
      <c r="C236" s="174"/>
      <c r="D236" s="174"/>
      <c r="E236" s="859"/>
      <c r="F236" s="859"/>
      <c r="G236" s="130"/>
      <c r="H236" s="859"/>
      <c r="I236" s="130"/>
      <c r="J236" s="231"/>
      <c r="K236" s="231"/>
      <c r="L236" s="231"/>
      <c r="M236" s="231"/>
      <c r="N236" s="231"/>
      <c r="O236" s="231"/>
      <c r="P236" s="231"/>
      <c r="Q236" s="231"/>
      <c r="R236" s="231"/>
      <c r="S236" s="231"/>
      <c r="T236" s="231"/>
      <c r="U236" s="231"/>
      <c r="V236" s="231"/>
      <c r="W236" s="231"/>
      <c r="X236" s="231"/>
      <c r="Y236" s="231"/>
      <c r="Z236" s="231"/>
      <c r="AA236" s="231"/>
      <c r="AB236" s="231"/>
      <c r="AC236" s="231"/>
      <c r="AD236" s="231"/>
      <c r="AE236" s="231"/>
      <c r="AF236" s="231"/>
      <c r="AG236" s="231"/>
      <c r="AH236" s="231"/>
    </row>
    <row r="237" spans="1:34" s="203" customFormat="1">
      <c r="A237" s="109" t="s">
        <v>83</v>
      </c>
      <c r="B237" s="47"/>
      <c r="C237" s="47"/>
      <c r="D237" s="47"/>
      <c r="E237" s="859"/>
      <c r="F237" s="859"/>
      <c r="G237" s="130"/>
      <c r="H237" s="859"/>
      <c r="I237" s="130"/>
      <c r="J237" s="231"/>
      <c r="K237" s="231"/>
      <c r="L237" s="231"/>
      <c r="M237" s="231"/>
      <c r="N237" s="231"/>
      <c r="O237" s="231"/>
      <c r="P237" s="231"/>
      <c r="Q237" s="231"/>
      <c r="R237" s="231"/>
      <c r="S237" s="231"/>
      <c r="T237" s="231"/>
      <c r="U237" s="231"/>
      <c r="V237" s="231"/>
      <c r="W237" s="231"/>
      <c r="X237" s="231"/>
      <c r="Y237" s="231"/>
      <c r="Z237" s="231"/>
      <c r="AA237" s="231"/>
      <c r="AB237" s="231"/>
      <c r="AC237" s="231"/>
      <c r="AD237" s="231"/>
      <c r="AE237" s="231"/>
      <c r="AF237" s="231"/>
      <c r="AG237" s="231"/>
      <c r="AH237" s="231"/>
    </row>
    <row r="238" spans="1:34" s="203" customFormat="1">
      <c r="A238" s="110" t="s">
        <v>84</v>
      </c>
      <c r="B238" s="174"/>
      <c r="C238" s="174"/>
      <c r="D238" s="174"/>
      <c r="E238" s="860"/>
      <c r="F238" s="860"/>
      <c r="G238" s="130"/>
      <c r="H238" s="860"/>
      <c r="I238" s="130"/>
      <c r="J238" s="231"/>
      <c r="K238" s="231"/>
      <c r="L238" s="231"/>
      <c r="M238" s="231"/>
      <c r="N238" s="231"/>
      <c r="O238" s="231"/>
      <c r="P238" s="231"/>
      <c r="Q238" s="231"/>
      <c r="R238" s="231"/>
      <c r="S238" s="231"/>
      <c r="T238" s="231"/>
      <c r="U238" s="231"/>
      <c r="V238" s="231"/>
      <c r="W238" s="231"/>
      <c r="X238" s="231"/>
      <c r="Y238" s="231"/>
      <c r="Z238" s="231"/>
      <c r="AA238" s="231"/>
      <c r="AB238" s="231"/>
      <c r="AC238" s="231"/>
      <c r="AD238" s="231"/>
      <c r="AE238" s="231"/>
      <c r="AF238" s="231"/>
      <c r="AG238" s="231"/>
      <c r="AH238" s="231"/>
    </row>
    <row r="239" spans="1:34" s="203" customFormat="1">
      <c r="A239" s="153" t="s">
        <v>187</v>
      </c>
      <c r="B239" s="116"/>
      <c r="C239" s="116"/>
      <c r="D239" s="116"/>
      <c r="E239" s="167"/>
      <c r="F239" s="146"/>
      <c r="G239" s="118"/>
      <c r="H239" s="146"/>
      <c r="I239" s="29"/>
      <c r="J239" s="231"/>
      <c r="K239" s="231"/>
      <c r="L239" s="231"/>
      <c r="M239" s="231"/>
      <c r="N239" s="231"/>
      <c r="O239" s="231"/>
      <c r="P239" s="231"/>
      <c r="Q239" s="231"/>
      <c r="R239" s="231"/>
      <c r="S239" s="231"/>
      <c r="T239" s="231"/>
      <c r="U239" s="231"/>
      <c r="V239" s="231"/>
      <c r="W239" s="231"/>
      <c r="X239" s="231"/>
      <c r="Y239" s="231"/>
      <c r="Z239" s="231"/>
      <c r="AA239" s="231"/>
      <c r="AB239" s="231"/>
      <c r="AC239" s="231"/>
      <c r="AD239" s="231"/>
      <c r="AE239" s="231"/>
      <c r="AF239" s="231"/>
      <c r="AG239" s="231"/>
      <c r="AH239" s="231"/>
    </row>
    <row r="240" spans="1:34" s="203" customFormat="1">
      <c r="A240" s="120">
        <v>1</v>
      </c>
      <c r="B240" s="47" t="s">
        <v>188</v>
      </c>
      <c r="C240" s="47"/>
      <c r="D240" s="47"/>
      <c r="E240" s="74">
        <v>841</v>
      </c>
      <c r="F240" s="52">
        <v>761</v>
      </c>
      <c r="G240" s="118"/>
      <c r="H240" s="122">
        <v>831</v>
      </c>
      <c r="I240" s="29"/>
      <c r="J240" s="231"/>
      <c r="K240" s="231"/>
      <c r="L240" s="231"/>
      <c r="M240" s="231"/>
      <c r="N240" s="231"/>
      <c r="O240" s="231"/>
      <c r="P240" s="231"/>
      <c r="Q240" s="231"/>
      <c r="R240" s="231"/>
      <c r="S240" s="231"/>
      <c r="T240" s="231"/>
      <c r="U240" s="231"/>
      <c r="V240" s="231"/>
      <c r="W240" s="231"/>
      <c r="X240" s="231"/>
      <c r="Y240" s="231"/>
      <c r="Z240" s="231"/>
      <c r="AA240" s="231"/>
      <c r="AB240" s="231"/>
      <c r="AC240" s="231"/>
      <c r="AD240" s="231"/>
      <c r="AE240" s="231"/>
      <c r="AF240" s="231"/>
      <c r="AG240" s="231"/>
      <c r="AH240" s="231"/>
    </row>
    <row r="241" spans="1:34" s="203" customFormat="1">
      <c r="A241" s="686">
        <v>2</v>
      </c>
      <c r="B241" s="47" t="s">
        <v>189</v>
      </c>
      <c r="C241" s="47"/>
      <c r="D241" s="47"/>
      <c r="E241" s="114">
        <v>1196</v>
      </c>
      <c r="F241" s="52">
        <v>1125</v>
      </c>
      <c r="G241" s="118"/>
      <c r="H241" s="100">
        <v>1145</v>
      </c>
      <c r="I241" s="29"/>
      <c r="J241" s="231"/>
      <c r="K241" s="231"/>
      <c r="L241" s="231"/>
      <c r="M241" s="231"/>
      <c r="N241" s="231"/>
      <c r="O241" s="231"/>
      <c r="P241" s="231"/>
      <c r="Q241" s="231"/>
      <c r="R241" s="231"/>
      <c r="S241" s="231"/>
      <c r="T241" s="231"/>
      <c r="U241" s="231"/>
      <c r="V241" s="231"/>
      <c r="W241" s="231"/>
      <c r="X241" s="231"/>
      <c r="Y241" s="231"/>
      <c r="Z241" s="231"/>
      <c r="AA241" s="231"/>
      <c r="AB241" s="231"/>
      <c r="AC241" s="231"/>
      <c r="AD241" s="231"/>
      <c r="AE241" s="231"/>
      <c r="AF241" s="231"/>
      <c r="AG241" s="231"/>
      <c r="AH241" s="231"/>
    </row>
    <row r="242" spans="1:34" s="203" customFormat="1">
      <c r="A242" s="686">
        <v>3</v>
      </c>
      <c r="B242" s="168" t="s">
        <v>190</v>
      </c>
      <c r="C242" s="168"/>
      <c r="D242" s="168"/>
      <c r="E242" s="80">
        <v>2037</v>
      </c>
      <c r="F242" s="142">
        <f>SUM(F240:F241)</f>
        <v>1886</v>
      </c>
      <c r="G242" s="118"/>
      <c r="H242" s="142">
        <f>SUM(H240:H241)</f>
        <v>1976</v>
      </c>
      <c r="I242" s="29"/>
      <c r="J242" s="231"/>
      <c r="K242" s="231"/>
      <c r="L242" s="231"/>
      <c r="M242" s="231"/>
      <c r="N242" s="231"/>
      <c r="O242" s="231"/>
      <c r="P242" s="231"/>
      <c r="Q242" s="231"/>
      <c r="R242" s="231"/>
      <c r="S242" s="231"/>
      <c r="T242" s="231"/>
      <c r="U242" s="231"/>
      <c r="V242" s="231"/>
      <c r="W242" s="231"/>
      <c r="X242" s="231"/>
      <c r="Y242" s="231"/>
      <c r="Z242" s="231"/>
      <c r="AA242" s="231"/>
      <c r="AB242" s="231"/>
      <c r="AC242" s="231"/>
      <c r="AD242" s="231"/>
      <c r="AE242" s="231"/>
      <c r="AF242" s="231"/>
      <c r="AG242" s="231"/>
      <c r="AH242" s="231"/>
    </row>
    <row r="243" spans="1:34" s="203" customFormat="1">
      <c r="A243" s="686"/>
      <c r="B243" s="116"/>
      <c r="C243" s="116"/>
      <c r="D243" s="116"/>
      <c r="E243" s="117"/>
      <c r="F243" s="118"/>
      <c r="G243" s="118"/>
      <c r="H243" s="118"/>
      <c r="I243" s="29"/>
      <c r="J243" s="231"/>
      <c r="K243" s="231"/>
      <c r="L243" s="231"/>
      <c r="M243" s="231"/>
      <c r="N243" s="231"/>
      <c r="O243" s="231"/>
      <c r="P243" s="231"/>
      <c r="Q243" s="231"/>
      <c r="R243" s="231"/>
      <c r="S243" s="231"/>
      <c r="T243" s="231"/>
      <c r="U243" s="231"/>
      <c r="V243" s="231"/>
      <c r="W243" s="231"/>
      <c r="X243" s="231"/>
      <c r="Y243" s="231"/>
      <c r="Z243" s="231"/>
      <c r="AA243" s="231"/>
      <c r="AB243" s="231"/>
      <c r="AC243" s="231"/>
      <c r="AD243" s="231"/>
      <c r="AE243" s="231"/>
      <c r="AF243" s="231"/>
      <c r="AG243" s="231"/>
      <c r="AH243" s="231"/>
    </row>
    <row r="244" spans="1:34" s="203" customFormat="1">
      <c r="A244" s="108" t="s">
        <v>191</v>
      </c>
      <c r="B244" s="47"/>
      <c r="C244" s="47"/>
      <c r="D244" s="47"/>
      <c r="E244" s="140"/>
      <c r="F244" s="146"/>
      <c r="G244" s="118"/>
      <c r="H244" s="146"/>
      <c r="I244" s="29"/>
      <c r="J244" s="231"/>
      <c r="K244" s="231"/>
      <c r="L244" s="231"/>
      <c r="M244" s="231"/>
      <c r="N244" s="231"/>
      <c r="O244" s="231"/>
      <c r="P244" s="231"/>
      <c r="Q244" s="231"/>
      <c r="R244" s="231"/>
      <c r="S244" s="231"/>
      <c r="T244" s="231"/>
      <c r="U244" s="231"/>
      <c r="V244" s="231"/>
      <c r="W244" s="231"/>
      <c r="X244" s="231"/>
      <c r="Y244" s="231"/>
      <c r="Z244" s="231"/>
      <c r="AA244" s="231"/>
      <c r="AB244" s="231"/>
      <c r="AC244" s="231"/>
      <c r="AD244" s="231"/>
      <c r="AE244" s="231"/>
      <c r="AF244" s="231"/>
      <c r="AG244" s="231"/>
      <c r="AH244" s="231"/>
    </row>
    <row r="245" spans="1:34" s="203" customFormat="1">
      <c r="A245" s="686">
        <v>4</v>
      </c>
      <c r="B245" s="47" t="s">
        <v>192</v>
      </c>
      <c r="C245" s="47"/>
      <c r="D245" s="47"/>
      <c r="E245" s="74">
        <v>405</v>
      </c>
      <c r="F245" s="52">
        <v>344</v>
      </c>
      <c r="G245" s="118"/>
      <c r="H245" s="122">
        <v>300</v>
      </c>
      <c r="I245" s="29"/>
      <c r="J245" s="231"/>
      <c r="K245" s="231"/>
      <c r="L245" s="231"/>
      <c r="M245" s="231"/>
      <c r="N245" s="231"/>
      <c r="O245" s="231"/>
      <c r="P245" s="231"/>
      <c r="Q245" s="231"/>
      <c r="R245" s="231"/>
      <c r="S245" s="231"/>
      <c r="T245" s="231"/>
      <c r="U245" s="231"/>
      <c r="V245" s="231"/>
      <c r="W245" s="231"/>
      <c r="X245" s="231"/>
      <c r="Y245" s="231"/>
      <c r="Z245" s="231"/>
      <c r="AA245" s="231"/>
      <c r="AB245" s="231"/>
      <c r="AC245" s="231"/>
      <c r="AD245" s="231"/>
      <c r="AE245" s="231"/>
      <c r="AF245" s="231"/>
      <c r="AG245" s="231"/>
      <c r="AH245" s="231"/>
    </row>
    <row r="246" spans="1:34" s="203" customFormat="1">
      <c r="A246" s="686">
        <v>5</v>
      </c>
      <c r="B246" s="47" t="s">
        <v>193</v>
      </c>
      <c r="C246" s="47"/>
      <c r="D246" s="47"/>
      <c r="E246" s="49">
        <v>0</v>
      </c>
      <c r="F246" s="52">
        <v>0</v>
      </c>
      <c r="G246" s="118"/>
      <c r="H246" s="100">
        <v>0</v>
      </c>
      <c r="I246" s="29"/>
      <c r="J246" s="231"/>
      <c r="K246" s="231"/>
      <c r="L246" s="231"/>
      <c r="M246" s="231"/>
      <c r="N246" s="231"/>
      <c r="O246" s="231"/>
      <c r="P246" s="231"/>
      <c r="Q246" s="231"/>
      <c r="R246" s="231"/>
      <c r="S246" s="231"/>
      <c r="T246" s="231"/>
      <c r="U246" s="231"/>
      <c r="V246" s="231"/>
      <c r="W246" s="231"/>
      <c r="X246" s="231"/>
      <c r="Y246" s="231"/>
      <c r="Z246" s="231"/>
      <c r="AA246" s="231"/>
      <c r="AB246" s="231"/>
      <c r="AC246" s="231"/>
      <c r="AD246" s="231"/>
      <c r="AE246" s="231"/>
      <c r="AF246" s="231"/>
      <c r="AG246" s="231"/>
      <c r="AH246" s="231"/>
    </row>
    <row r="247" spans="1:34" s="203" customFormat="1">
      <c r="A247" s="686">
        <v>6</v>
      </c>
      <c r="B247" s="116" t="s">
        <v>194</v>
      </c>
      <c r="C247" s="116"/>
      <c r="D247" s="116"/>
      <c r="E247" s="80">
        <v>405</v>
      </c>
      <c r="F247" s="142">
        <f>SUM(F245:F246)</f>
        <v>344</v>
      </c>
      <c r="G247" s="118"/>
      <c r="H247" s="142">
        <f>SUM(H245:H246)</f>
        <v>300</v>
      </c>
      <c r="I247" s="29"/>
      <c r="J247" s="231"/>
      <c r="K247" s="231"/>
      <c r="L247" s="231"/>
      <c r="M247" s="231"/>
      <c r="N247" s="231"/>
      <c r="O247" s="231"/>
      <c r="P247" s="231"/>
      <c r="Q247" s="231"/>
      <c r="R247" s="231"/>
      <c r="S247" s="231"/>
      <c r="T247" s="231"/>
      <c r="U247" s="231"/>
      <c r="V247" s="231"/>
      <c r="W247" s="231"/>
      <c r="X247" s="231"/>
      <c r="Y247" s="231"/>
      <c r="Z247" s="231"/>
      <c r="AA247" s="231"/>
      <c r="AB247" s="231"/>
      <c r="AC247" s="231"/>
      <c r="AD247" s="231"/>
      <c r="AE247" s="231"/>
      <c r="AF247" s="231"/>
      <c r="AG247" s="231"/>
      <c r="AH247" s="231"/>
    </row>
    <row r="248" spans="1:34" s="203" customFormat="1">
      <c r="A248" s="686"/>
      <c r="B248" s="116"/>
      <c r="C248" s="116"/>
      <c r="D248" s="116"/>
      <c r="E248" s="117"/>
      <c r="F248" s="118"/>
      <c r="G248" s="118"/>
      <c r="H248" s="118"/>
      <c r="I248" s="29"/>
      <c r="J248" s="231"/>
      <c r="K248" s="231"/>
      <c r="L248" s="231"/>
      <c r="M248" s="231"/>
      <c r="N248" s="231"/>
      <c r="O248" s="231"/>
      <c r="P248" s="231"/>
      <c r="Q248" s="231"/>
      <c r="R248" s="231"/>
      <c r="S248" s="231"/>
      <c r="T248" s="231"/>
      <c r="U248" s="231"/>
      <c r="V248" s="231"/>
      <c r="W248" s="231"/>
      <c r="X248" s="231"/>
      <c r="Y248" s="231"/>
      <c r="Z248" s="231"/>
      <c r="AA248" s="231"/>
      <c r="AB248" s="231"/>
      <c r="AC248" s="231"/>
      <c r="AD248" s="231"/>
      <c r="AE248" s="231"/>
      <c r="AF248" s="231"/>
      <c r="AG248" s="231"/>
      <c r="AH248" s="231"/>
    </row>
    <row r="249" spans="1:34" s="203" customFormat="1">
      <c r="A249" s="108" t="s">
        <v>195</v>
      </c>
      <c r="B249" s="116"/>
      <c r="C249" s="116"/>
      <c r="D249" s="116"/>
      <c r="E249" s="140"/>
      <c r="F249" s="146"/>
      <c r="G249" s="118"/>
      <c r="H249" s="146"/>
      <c r="I249" s="29"/>
      <c r="J249" s="231"/>
      <c r="K249" s="231"/>
      <c r="L249" s="231"/>
      <c r="M249" s="231"/>
      <c r="N249" s="231"/>
      <c r="O249" s="231"/>
      <c r="P249" s="231"/>
      <c r="Q249" s="231"/>
      <c r="R249" s="231"/>
      <c r="S249" s="231"/>
      <c r="T249" s="231"/>
      <c r="U249" s="231"/>
      <c r="V249" s="231"/>
      <c r="W249" s="231"/>
      <c r="X249" s="231"/>
      <c r="Y249" s="231"/>
      <c r="Z249" s="231"/>
      <c r="AA249" s="231"/>
      <c r="AB249" s="231"/>
      <c r="AC249" s="231"/>
      <c r="AD249" s="231"/>
      <c r="AE249" s="231"/>
      <c r="AF249" s="231"/>
      <c r="AG249" s="231"/>
      <c r="AH249" s="231"/>
    </row>
    <row r="250" spans="1:34" s="203" customFormat="1">
      <c r="A250" s="686">
        <v>7</v>
      </c>
      <c r="B250" s="47" t="s">
        <v>196</v>
      </c>
      <c r="C250" s="47"/>
      <c r="D250" s="47"/>
      <c r="E250" s="74">
        <v>782</v>
      </c>
      <c r="F250" s="52">
        <v>726</v>
      </c>
      <c r="G250" s="118"/>
      <c r="H250" s="52">
        <v>756</v>
      </c>
      <c r="I250" s="29"/>
      <c r="J250" s="231"/>
      <c r="K250" s="231"/>
      <c r="L250" s="231"/>
      <c r="M250" s="231"/>
      <c r="N250" s="231"/>
      <c r="O250" s="231"/>
      <c r="P250" s="231"/>
      <c r="Q250" s="231"/>
      <c r="R250" s="231"/>
      <c r="S250" s="231"/>
      <c r="T250" s="231"/>
      <c r="U250" s="231"/>
      <c r="V250" s="231"/>
      <c r="W250" s="231"/>
      <c r="X250" s="231"/>
      <c r="Y250" s="231"/>
      <c r="Z250" s="231"/>
      <c r="AA250" s="231"/>
      <c r="AB250" s="231"/>
      <c r="AC250" s="231"/>
      <c r="AD250" s="231"/>
      <c r="AE250" s="231"/>
      <c r="AF250" s="231"/>
      <c r="AG250" s="231"/>
      <c r="AH250" s="231"/>
    </row>
    <row r="251" spans="1:34" s="203" customFormat="1">
      <c r="A251" s="686">
        <v>8</v>
      </c>
      <c r="B251" s="47" t="s">
        <v>197</v>
      </c>
      <c r="C251" s="47"/>
      <c r="D251" s="47"/>
      <c r="E251" s="49">
        <v>4297</v>
      </c>
      <c r="F251" s="52">
        <v>4271</v>
      </c>
      <c r="G251" s="118"/>
      <c r="H251" s="122">
        <v>4261</v>
      </c>
      <c r="I251" s="29"/>
      <c r="J251" s="231"/>
      <c r="K251" s="231"/>
      <c r="L251" s="231"/>
      <c r="M251" s="231"/>
      <c r="N251" s="231"/>
      <c r="O251" s="231"/>
      <c r="P251" s="231"/>
      <c r="Q251" s="231"/>
      <c r="R251" s="231"/>
      <c r="S251" s="231"/>
      <c r="T251" s="231"/>
      <c r="U251" s="231"/>
      <c r="V251" s="231"/>
      <c r="W251" s="231"/>
      <c r="X251" s="231"/>
      <c r="Y251" s="231"/>
      <c r="Z251" s="231"/>
      <c r="AA251" s="231"/>
      <c r="AB251" s="231"/>
      <c r="AC251" s="231"/>
      <c r="AD251" s="231"/>
      <c r="AE251" s="231"/>
      <c r="AF251" s="231"/>
      <c r="AG251" s="231"/>
      <c r="AH251" s="231"/>
    </row>
    <row r="252" spans="1:34" s="203" customFormat="1">
      <c r="A252" s="686">
        <v>9</v>
      </c>
      <c r="B252" s="47" t="s">
        <v>198</v>
      </c>
      <c r="C252" s="47"/>
      <c r="D252" s="47"/>
      <c r="E252" s="49">
        <v>3062</v>
      </c>
      <c r="F252" s="52">
        <v>2958</v>
      </c>
      <c r="G252" s="118"/>
      <c r="H252" s="122">
        <v>3098</v>
      </c>
      <c r="I252" s="29"/>
      <c r="J252" s="231"/>
      <c r="K252" s="231"/>
      <c r="L252" s="231"/>
      <c r="M252" s="231"/>
      <c r="N252" s="231"/>
      <c r="O252" s="231"/>
      <c r="P252" s="231"/>
      <c r="Q252" s="231"/>
      <c r="R252" s="231"/>
      <c r="S252" s="231"/>
      <c r="T252" s="231"/>
      <c r="U252" s="231"/>
      <c r="V252" s="231"/>
      <c r="W252" s="231"/>
      <c r="X252" s="231"/>
      <c r="Y252" s="231"/>
      <c r="Z252" s="231"/>
      <c r="AA252" s="231"/>
      <c r="AB252" s="231"/>
      <c r="AC252" s="231"/>
      <c r="AD252" s="231"/>
      <c r="AE252" s="231"/>
      <c r="AF252" s="231"/>
      <c r="AG252" s="231"/>
      <c r="AH252" s="231"/>
    </row>
    <row r="253" spans="1:34" s="203" customFormat="1">
      <c r="A253" s="686">
        <v>10</v>
      </c>
      <c r="B253" s="47" t="s">
        <v>199</v>
      </c>
      <c r="C253" s="47"/>
      <c r="D253" s="47"/>
      <c r="E253" s="49">
        <v>3710</v>
      </c>
      <c r="F253" s="52">
        <v>3743</v>
      </c>
      <c r="G253" s="118"/>
      <c r="H253" s="100">
        <v>3743</v>
      </c>
      <c r="I253" s="29"/>
      <c r="J253" s="231"/>
      <c r="K253" s="231"/>
      <c r="L253" s="231"/>
      <c r="M253" s="231"/>
      <c r="N253" s="231"/>
      <c r="O253" s="231"/>
      <c r="P253" s="231"/>
      <c r="Q253" s="231"/>
      <c r="R253" s="231"/>
      <c r="S253" s="231"/>
      <c r="T253" s="231"/>
      <c r="U253" s="231"/>
      <c r="V253" s="231"/>
      <c r="W253" s="231"/>
      <c r="X253" s="231"/>
      <c r="Y253" s="231"/>
      <c r="Z253" s="231"/>
      <c r="AA253" s="231"/>
      <c r="AB253" s="231"/>
      <c r="AC253" s="231"/>
      <c r="AD253" s="231"/>
      <c r="AE253" s="231"/>
      <c r="AF253" s="231"/>
      <c r="AG253" s="231"/>
      <c r="AH253" s="231"/>
    </row>
    <row r="254" spans="1:34" s="203" customFormat="1">
      <c r="A254" s="686">
        <v>11</v>
      </c>
      <c r="B254" s="116" t="s">
        <v>200</v>
      </c>
      <c r="C254" s="116"/>
      <c r="D254" s="116"/>
      <c r="E254" s="80">
        <v>11851</v>
      </c>
      <c r="F254" s="142">
        <f>SUM(F250:F253)</f>
        <v>11698</v>
      </c>
      <c r="G254" s="118"/>
      <c r="H254" s="142">
        <f>SUM(H250:H253)</f>
        <v>11858</v>
      </c>
      <c r="I254" s="260"/>
      <c r="J254" s="231"/>
      <c r="K254" s="231"/>
      <c r="L254" s="231"/>
      <c r="M254" s="231"/>
      <c r="N254" s="231"/>
      <c r="O254" s="231"/>
      <c r="P254" s="231"/>
      <c r="Q254" s="231"/>
      <c r="R254" s="231"/>
      <c r="S254" s="231"/>
      <c r="T254" s="231"/>
      <c r="U254" s="231"/>
      <c r="V254" s="231"/>
      <c r="W254" s="231"/>
      <c r="X254" s="231"/>
      <c r="Y254" s="231"/>
      <c r="Z254" s="231"/>
      <c r="AA254" s="231"/>
      <c r="AB254" s="231"/>
      <c r="AC254" s="231"/>
      <c r="AD254" s="231"/>
      <c r="AE254" s="231"/>
      <c r="AF254" s="231"/>
      <c r="AG254" s="231"/>
      <c r="AH254" s="231"/>
    </row>
    <row r="255" spans="1:34" s="203" customFormat="1">
      <c r="A255" s="686"/>
      <c r="B255" s="116"/>
      <c r="C255" s="116"/>
      <c r="D255" s="116"/>
      <c r="E255" s="117"/>
      <c r="F255" s="118"/>
      <c r="G255" s="118"/>
      <c r="H255" s="118"/>
      <c r="I255" s="29"/>
      <c r="J255" s="231"/>
      <c r="K255" s="231"/>
      <c r="L255" s="231"/>
      <c r="M255" s="231"/>
      <c r="N255" s="231"/>
      <c r="O255" s="231"/>
      <c r="P255" s="231"/>
      <c r="Q255" s="231"/>
      <c r="R255" s="231"/>
      <c r="S255" s="231"/>
      <c r="T255" s="231"/>
      <c r="U255" s="231"/>
      <c r="V255" s="231"/>
      <c r="W255" s="231"/>
      <c r="X255" s="231"/>
      <c r="Y255" s="231"/>
      <c r="Z255" s="231"/>
      <c r="AA255" s="231"/>
      <c r="AB255" s="231"/>
      <c r="AC255" s="231"/>
      <c r="AD255" s="231"/>
      <c r="AE255" s="231"/>
      <c r="AF255" s="231"/>
      <c r="AG255" s="231"/>
      <c r="AH255" s="231"/>
    </row>
    <row r="256" spans="1:34" s="203" customFormat="1">
      <c r="A256" s="686">
        <v>12</v>
      </c>
      <c r="B256" s="47" t="s">
        <v>201</v>
      </c>
      <c r="C256" s="47"/>
      <c r="D256" s="47"/>
      <c r="E256" s="176">
        <v>2082</v>
      </c>
      <c r="F256" s="136">
        <v>2055</v>
      </c>
      <c r="G256" s="118"/>
      <c r="H256" s="177">
        <v>2045</v>
      </c>
      <c r="I256" s="260"/>
      <c r="J256" s="231"/>
      <c r="K256" s="231"/>
      <c r="L256" s="231"/>
      <c r="M256" s="231"/>
      <c r="N256" s="231"/>
      <c r="O256" s="231"/>
      <c r="P256" s="231"/>
      <c r="Q256" s="231"/>
      <c r="R256" s="231"/>
      <c r="S256" s="231"/>
      <c r="T256" s="231"/>
      <c r="U256" s="231"/>
      <c r="V256" s="231"/>
      <c r="W256" s="231"/>
      <c r="X256" s="231"/>
      <c r="Y256" s="231"/>
      <c r="Z256" s="231"/>
      <c r="AA256" s="231"/>
      <c r="AB256" s="231"/>
      <c r="AC256" s="231"/>
      <c r="AD256" s="231"/>
      <c r="AE256" s="231"/>
      <c r="AF256" s="231"/>
      <c r="AG256" s="231"/>
      <c r="AH256" s="231"/>
    </row>
    <row r="257" spans="1:34" s="203" customFormat="1">
      <c r="A257" s="124">
        <v>13</v>
      </c>
      <c r="B257" s="94" t="s">
        <v>202</v>
      </c>
      <c r="C257" s="94"/>
      <c r="D257" s="94"/>
      <c r="E257" s="159">
        <v>16375</v>
      </c>
      <c r="F257" s="61">
        <f>F242+F247+F254+F256</f>
        <v>15983</v>
      </c>
      <c r="G257" s="118"/>
      <c r="H257" s="61">
        <f>H242+H247+H254+H256</f>
        <v>16179</v>
      </c>
      <c r="I257" s="21"/>
      <c r="J257" s="231"/>
      <c r="K257" s="231"/>
      <c r="L257" s="231"/>
      <c r="M257" s="231"/>
      <c r="N257" s="231"/>
      <c r="O257" s="231"/>
      <c r="P257" s="231"/>
      <c r="Q257" s="231"/>
      <c r="R257" s="231"/>
      <c r="S257" s="231"/>
      <c r="T257" s="231"/>
      <c r="U257" s="231"/>
      <c r="V257" s="231"/>
      <c r="W257" s="231"/>
      <c r="X257" s="231"/>
      <c r="Y257" s="231"/>
      <c r="Z257" s="231"/>
      <c r="AA257" s="231"/>
      <c r="AB257" s="231"/>
      <c r="AC257" s="231"/>
      <c r="AD257" s="231"/>
      <c r="AE257" s="231"/>
      <c r="AF257" s="231"/>
      <c r="AG257" s="231"/>
      <c r="AH257" s="231"/>
    </row>
    <row r="258" spans="1:34" s="203" customFormat="1">
      <c r="A258" s="207"/>
      <c r="B258" s="207"/>
      <c r="C258" s="207"/>
      <c r="D258" s="208"/>
      <c r="E258" s="208"/>
      <c r="F258" s="207"/>
      <c r="G258" s="207"/>
      <c r="H258" s="207"/>
      <c r="I258" s="21"/>
      <c r="J258" s="231"/>
      <c r="K258" s="231"/>
      <c r="L258" s="231"/>
      <c r="M258" s="231"/>
      <c r="N258" s="231"/>
      <c r="O258" s="231"/>
      <c r="P258" s="231"/>
      <c r="Q258" s="231"/>
      <c r="R258" s="231"/>
      <c r="S258" s="231"/>
      <c r="T258" s="231"/>
      <c r="U258" s="231"/>
      <c r="V258" s="231"/>
      <c r="W258" s="231"/>
      <c r="X258" s="231"/>
      <c r="Y258" s="231"/>
      <c r="Z258" s="231"/>
      <c r="AA258" s="231"/>
      <c r="AB258" s="231"/>
      <c r="AC258" s="231"/>
      <c r="AD258" s="231"/>
      <c r="AE258" s="231"/>
      <c r="AF258" s="231"/>
      <c r="AG258" s="231"/>
      <c r="AH258" s="231"/>
    </row>
    <row r="259" spans="1:34" s="203" customFormat="1">
      <c r="A259" s="23"/>
      <c r="B259" s="207"/>
      <c r="C259" s="207"/>
      <c r="D259" s="207"/>
      <c r="E259" s="207"/>
      <c r="F259" s="207"/>
      <c r="G259" s="207"/>
      <c r="H259" s="21"/>
      <c r="I259" s="21"/>
      <c r="J259" s="231"/>
      <c r="K259" s="231"/>
      <c r="L259" s="231"/>
      <c r="M259" s="231"/>
      <c r="N259" s="231"/>
      <c r="O259" s="231"/>
      <c r="P259" s="231"/>
      <c r="Q259" s="231"/>
      <c r="R259" s="231"/>
      <c r="S259" s="231"/>
      <c r="T259" s="231"/>
      <c r="U259" s="231"/>
      <c r="V259" s="231"/>
      <c r="W259" s="231"/>
      <c r="X259" s="231"/>
      <c r="Y259" s="231"/>
      <c r="Z259" s="231"/>
      <c r="AA259" s="231"/>
      <c r="AB259" s="231"/>
      <c r="AC259" s="231"/>
      <c r="AD259" s="231"/>
      <c r="AE259" s="231"/>
      <c r="AF259" s="231"/>
      <c r="AG259" s="231"/>
      <c r="AH259" s="231"/>
    </row>
    <row r="260" spans="1:34" s="203" customFormat="1">
      <c r="A260" s="148"/>
      <c r="B260" s="29"/>
      <c r="C260" s="29"/>
      <c r="D260" s="172"/>
      <c r="E260" s="152"/>
      <c r="F260" s="29"/>
      <c r="G260" s="29"/>
      <c r="H260" s="131" t="s">
        <v>27</v>
      </c>
      <c r="I260" s="21"/>
      <c r="J260" s="231"/>
      <c r="K260" s="231"/>
      <c r="L260" s="231"/>
      <c r="M260" s="231"/>
      <c r="N260" s="231"/>
      <c r="O260" s="231"/>
      <c r="P260" s="231"/>
      <c r="Q260" s="231"/>
      <c r="R260" s="231"/>
      <c r="S260" s="231"/>
      <c r="T260" s="231"/>
      <c r="U260" s="231"/>
      <c r="V260" s="231"/>
      <c r="W260" s="231"/>
      <c r="X260" s="231"/>
      <c r="Y260" s="231"/>
      <c r="Z260" s="231"/>
      <c r="AA260" s="231"/>
      <c r="AB260" s="231"/>
      <c r="AC260" s="231"/>
      <c r="AD260" s="231"/>
      <c r="AE260" s="231"/>
      <c r="AF260" s="231"/>
      <c r="AG260" s="231"/>
      <c r="AH260" s="231"/>
    </row>
    <row r="261" spans="1:34" s="203" customFormat="1" ht="12.75" customHeight="1">
      <c r="A261" s="106" t="s">
        <v>15</v>
      </c>
      <c r="B261" s="164"/>
      <c r="C261" s="164"/>
      <c r="D261" s="164"/>
      <c r="E261" s="856" t="s">
        <v>377</v>
      </c>
      <c r="F261" s="856" t="s">
        <v>402</v>
      </c>
      <c r="G261" s="130"/>
      <c r="H261" s="856" t="s">
        <v>403</v>
      </c>
      <c r="I261" s="21"/>
      <c r="J261" s="231"/>
      <c r="K261" s="231"/>
      <c r="L261" s="231"/>
      <c r="M261" s="231"/>
      <c r="N261" s="231"/>
      <c r="O261" s="231"/>
      <c r="P261" s="231"/>
      <c r="Q261" s="231"/>
      <c r="R261" s="231"/>
      <c r="S261" s="231"/>
      <c r="T261" s="231"/>
      <c r="U261" s="231"/>
      <c r="V261" s="231"/>
      <c r="W261" s="231"/>
      <c r="X261" s="231"/>
      <c r="Y261" s="231"/>
      <c r="Z261" s="231"/>
      <c r="AA261" s="231"/>
      <c r="AB261" s="231"/>
      <c r="AC261" s="231"/>
      <c r="AD261" s="231"/>
      <c r="AE261" s="231"/>
      <c r="AF261" s="231"/>
      <c r="AG261" s="231"/>
      <c r="AH261" s="231"/>
    </row>
    <row r="262" spans="1:34" s="203" customFormat="1">
      <c r="A262" s="165"/>
      <c r="B262" s="47"/>
      <c r="C262" s="47"/>
      <c r="D262" s="47"/>
      <c r="E262" s="859"/>
      <c r="F262" s="859"/>
      <c r="G262" s="130"/>
      <c r="H262" s="859"/>
      <c r="I262" s="21"/>
      <c r="J262" s="231"/>
      <c r="K262" s="231"/>
      <c r="L262" s="231"/>
      <c r="M262" s="231"/>
      <c r="N262" s="231"/>
      <c r="O262" s="231"/>
      <c r="P262" s="231"/>
      <c r="Q262" s="231"/>
      <c r="R262" s="231"/>
      <c r="S262" s="231"/>
      <c r="T262" s="231"/>
      <c r="U262" s="231"/>
      <c r="V262" s="231"/>
      <c r="W262" s="231"/>
      <c r="X262" s="231"/>
      <c r="Y262" s="231"/>
      <c r="Z262" s="231"/>
      <c r="AA262" s="231"/>
      <c r="AB262" s="231"/>
      <c r="AC262" s="231"/>
      <c r="AD262" s="231"/>
      <c r="AE262" s="231"/>
      <c r="AF262" s="231"/>
      <c r="AG262" s="231"/>
      <c r="AH262" s="231"/>
    </row>
    <row r="263" spans="1:34" s="203" customFormat="1">
      <c r="A263" s="109"/>
      <c r="B263" s="174"/>
      <c r="C263" s="174"/>
      <c r="D263" s="174"/>
      <c r="E263" s="859"/>
      <c r="F263" s="859"/>
      <c r="G263" s="130"/>
      <c r="H263" s="859"/>
      <c r="I263" s="21"/>
      <c r="J263" s="231"/>
      <c r="K263" s="231"/>
      <c r="L263" s="231"/>
      <c r="M263" s="231"/>
      <c r="N263" s="231"/>
      <c r="O263" s="231"/>
      <c r="P263" s="231"/>
      <c r="Q263" s="231"/>
      <c r="R263" s="231"/>
      <c r="S263" s="231"/>
      <c r="T263" s="231"/>
      <c r="U263" s="231"/>
      <c r="V263" s="231"/>
      <c r="W263" s="231"/>
      <c r="X263" s="231"/>
      <c r="Y263" s="231"/>
      <c r="Z263" s="231"/>
      <c r="AA263" s="231"/>
      <c r="AB263" s="231"/>
      <c r="AC263" s="231"/>
      <c r="AD263" s="231"/>
      <c r="AE263" s="231"/>
      <c r="AF263" s="231"/>
      <c r="AG263" s="231"/>
      <c r="AH263" s="231"/>
    </row>
    <row r="264" spans="1:34" s="203" customFormat="1">
      <c r="A264" s="154" t="s">
        <v>203</v>
      </c>
      <c r="B264" s="47"/>
      <c r="C264" s="47"/>
      <c r="D264" s="47"/>
      <c r="E264" s="859"/>
      <c r="F264" s="859"/>
      <c r="G264" s="130"/>
      <c r="H264" s="859"/>
      <c r="I264" s="21"/>
      <c r="J264" s="231"/>
      <c r="K264" s="231"/>
      <c r="L264" s="231"/>
      <c r="M264" s="231"/>
      <c r="N264" s="231"/>
      <c r="O264" s="231"/>
      <c r="P264" s="231"/>
      <c r="Q264" s="231"/>
      <c r="R264" s="231"/>
      <c r="S264" s="231"/>
      <c r="T264" s="231"/>
      <c r="U264" s="231"/>
      <c r="V264" s="231"/>
      <c r="W264" s="231"/>
      <c r="X264" s="231"/>
      <c r="Y264" s="231"/>
      <c r="Z264" s="231"/>
      <c r="AA264" s="231"/>
      <c r="AB264" s="231"/>
      <c r="AC264" s="231"/>
      <c r="AD264" s="231"/>
      <c r="AE264" s="231"/>
      <c r="AF264" s="231"/>
      <c r="AG264" s="231"/>
      <c r="AH264" s="231"/>
    </row>
    <row r="265" spans="1:34" s="203" customFormat="1">
      <c r="A265" s="109" t="s">
        <v>83</v>
      </c>
      <c r="B265" s="174"/>
      <c r="C265" s="174"/>
      <c r="D265" s="174"/>
      <c r="E265" s="860"/>
      <c r="F265" s="860"/>
      <c r="G265" s="130"/>
      <c r="H265" s="860"/>
      <c r="I265" s="21"/>
      <c r="J265" s="231"/>
      <c r="K265" s="231"/>
      <c r="L265" s="231"/>
      <c r="M265" s="231"/>
      <c r="N265" s="231"/>
      <c r="O265" s="231"/>
      <c r="P265" s="231"/>
      <c r="Q265" s="231"/>
      <c r="R265" s="231"/>
      <c r="S265" s="231"/>
      <c r="T265" s="231"/>
      <c r="U265" s="231"/>
      <c r="V265" s="231"/>
      <c r="W265" s="231"/>
      <c r="X265" s="231"/>
      <c r="Y265" s="231"/>
      <c r="Z265" s="231"/>
      <c r="AA265" s="231"/>
      <c r="AB265" s="231"/>
      <c r="AC265" s="231"/>
      <c r="AD265" s="231"/>
      <c r="AE265" s="231"/>
      <c r="AF265" s="231"/>
      <c r="AG265" s="231"/>
      <c r="AH265" s="231"/>
    </row>
    <row r="266" spans="1:34" s="203" customFormat="1">
      <c r="A266" s="110" t="s">
        <v>84</v>
      </c>
      <c r="B266" s="116"/>
      <c r="C266" s="116"/>
      <c r="D266" s="116"/>
      <c r="E266" s="178"/>
      <c r="F266" s="146"/>
      <c r="G266" s="118"/>
      <c r="H266" s="146"/>
      <c r="I266" s="21"/>
      <c r="J266" s="231"/>
      <c r="K266" s="231"/>
      <c r="L266" s="231"/>
      <c r="M266" s="231"/>
      <c r="N266" s="231"/>
      <c r="O266" s="231"/>
      <c r="P266" s="231"/>
      <c r="Q266" s="231"/>
      <c r="R266" s="231"/>
      <c r="S266" s="231"/>
      <c r="T266" s="231"/>
      <c r="U266" s="231"/>
      <c r="V266" s="231"/>
      <c r="W266" s="231"/>
      <c r="X266" s="231"/>
      <c r="Y266" s="231"/>
      <c r="Z266" s="231"/>
      <c r="AA266" s="231"/>
      <c r="AB266" s="231"/>
      <c r="AC266" s="231"/>
      <c r="AD266" s="231"/>
      <c r="AE266" s="231"/>
      <c r="AF266" s="231"/>
      <c r="AG266" s="231"/>
      <c r="AH266" s="231"/>
    </row>
    <row r="267" spans="1:34" s="203" customFormat="1">
      <c r="A267" s="120">
        <v>1</v>
      </c>
      <c r="B267" s="47" t="s">
        <v>204</v>
      </c>
      <c r="C267" s="47"/>
      <c r="D267" s="47"/>
      <c r="E267" s="74">
        <v>0</v>
      </c>
      <c r="F267" s="52">
        <v>0</v>
      </c>
      <c r="G267" s="118"/>
      <c r="H267" s="122">
        <v>0</v>
      </c>
      <c r="I267" s="21"/>
      <c r="J267" s="231"/>
      <c r="K267" s="231"/>
      <c r="L267" s="231"/>
      <c r="M267" s="231"/>
      <c r="N267" s="231"/>
      <c r="O267" s="231"/>
      <c r="P267" s="231"/>
      <c r="Q267" s="231"/>
      <c r="R267" s="231"/>
      <c r="S267" s="231"/>
      <c r="T267" s="231"/>
      <c r="U267" s="231"/>
      <c r="V267" s="231"/>
      <c r="W267" s="231"/>
      <c r="X267" s="231"/>
      <c r="Y267" s="231"/>
      <c r="Z267" s="231"/>
      <c r="AA267" s="231"/>
      <c r="AB267" s="231"/>
      <c r="AC267" s="231"/>
      <c r="AD267" s="231"/>
      <c r="AE267" s="231"/>
      <c r="AF267" s="231"/>
      <c r="AG267" s="231"/>
      <c r="AH267" s="231"/>
    </row>
    <row r="268" spans="1:34" s="203" customFormat="1">
      <c r="A268" s="686">
        <v>2</v>
      </c>
      <c r="B268" s="166" t="s">
        <v>205</v>
      </c>
      <c r="C268" s="166"/>
      <c r="D268" s="47"/>
      <c r="E268" s="114">
        <v>261</v>
      </c>
      <c r="F268" s="52">
        <v>280</v>
      </c>
      <c r="G268" s="118"/>
      <c r="H268" s="122">
        <v>286</v>
      </c>
      <c r="I268" s="21"/>
      <c r="J268" s="231"/>
      <c r="K268" s="231"/>
      <c r="L268" s="231"/>
      <c r="M268" s="231"/>
      <c r="N268" s="231"/>
      <c r="O268" s="231"/>
      <c r="P268" s="231"/>
      <c r="Q268" s="231"/>
      <c r="R268" s="231"/>
      <c r="S268" s="231"/>
      <c r="T268" s="231"/>
      <c r="U268" s="231"/>
      <c r="V268" s="231"/>
      <c r="W268" s="231"/>
      <c r="X268" s="231"/>
      <c r="Y268" s="231"/>
      <c r="Z268" s="231"/>
      <c r="AA268" s="231"/>
      <c r="AB268" s="231"/>
      <c r="AC268" s="231"/>
      <c r="AD268" s="231"/>
      <c r="AE268" s="231"/>
      <c r="AF268" s="231"/>
      <c r="AG268" s="231"/>
      <c r="AH268" s="231"/>
    </row>
    <row r="269" spans="1:34" s="203" customFormat="1">
      <c r="A269" s="120">
        <v>3</v>
      </c>
      <c r="B269" s="47" t="s">
        <v>206</v>
      </c>
      <c r="C269" s="47"/>
      <c r="D269" s="168"/>
      <c r="E269" s="114">
        <v>68</v>
      </c>
      <c r="F269" s="52">
        <v>77</v>
      </c>
      <c r="G269" s="118"/>
      <c r="H269" s="122">
        <v>79</v>
      </c>
      <c r="I269" s="21"/>
      <c r="J269" s="231"/>
      <c r="K269" s="231"/>
      <c r="L269" s="231"/>
      <c r="M269" s="231"/>
      <c r="N269" s="231"/>
      <c r="O269" s="231"/>
      <c r="P269" s="231"/>
      <c r="Q269" s="231"/>
      <c r="R269" s="231"/>
      <c r="S269" s="231"/>
      <c r="T269" s="231"/>
      <c r="U269" s="231"/>
      <c r="V269" s="231"/>
      <c r="W269" s="231"/>
      <c r="X269" s="231"/>
      <c r="Y269" s="231"/>
      <c r="Z269" s="231"/>
      <c r="AA269" s="231"/>
      <c r="AB269" s="231"/>
      <c r="AC269" s="231"/>
      <c r="AD269" s="231"/>
      <c r="AE269" s="231"/>
      <c r="AF269" s="231"/>
      <c r="AG269" s="231"/>
      <c r="AH269" s="231"/>
    </row>
    <row r="270" spans="1:34" s="203" customFormat="1">
      <c r="A270" s="686">
        <v>4</v>
      </c>
      <c r="B270" s="47" t="s">
        <v>207</v>
      </c>
      <c r="C270" s="47"/>
      <c r="D270" s="116"/>
      <c r="E270" s="114">
        <v>0</v>
      </c>
      <c r="F270" s="52">
        <v>0</v>
      </c>
      <c r="G270" s="118"/>
      <c r="H270" s="122">
        <v>0</v>
      </c>
      <c r="I270" s="21"/>
      <c r="J270" s="231"/>
      <c r="K270" s="231"/>
      <c r="L270" s="231"/>
      <c r="M270" s="231"/>
      <c r="N270" s="231"/>
      <c r="O270" s="231"/>
      <c r="P270" s="231"/>
      <c r="Q270" s="231"/>
      <c r="R270" s="231"/>
      <c r="S270" s="231"/>
      <c r="T270" s="231"/>
      <c r="U270" s="231"/>
      <c r="V270" s="231"/>
      <c r="W270" s="231"/>
      <c r="X270" s="231"/>
      <c r="Y270" s="231"/>
      <c r="Z270" s="231"/>
      <c r="AA270" s="231"/>
      <c r="AB270" s="231"/>
      <c r="AC270" s="231"/>
      <c r="AD270" s="231"/>
      <c r="AE270" s="231"/>
      <c r="AF270" s="231"/>
      <c r="AG270" s="231"/>
      <c r="AH270" s="231"/>
    </row>
    <row r="271" spans="1:34" s="203" customFormat="1">
      <c r="A271" s="120">
        <v>5</v>
      </c>
      <c r="B271" s="47" t="s">
        <v>208</v>
      </c>
      <c r="C271" s="47"/>
      <c r="D271" s="47"/>
      <c r="E271" s="114">
        <v>471</v>
      </c>
      <c r="F271" s="52">
        <v>470</v>
      </c>
      <c r="G271" s="118"/>
      <c r="H271" s="122">
        <v>479</v>
      </c>
      <c r="I271" s="21"/>
      <c r="J271" s="231"/>
      <c r="K271" s="231"/>
      <c r="L271" s="231"/>
      <c r="M271" s="231"/>
      <c r="N271" s="231"/>
      <c r="O271" s="231"/>
      <c r="P271" s="231"/>
      <c r="Q271" s="231"/>
      <c r="R271" s="231"/>
      <c r="S271" s="231"/>
      <c r="T271" s="231"/>
      <c r="U271" s="231"/>
      <c r="V271" s="231"/>
      <c r="W271" s="231"/>
      <c r="X271" s="231"/>
      <c r="Y271" s="231"/>
      <c r="Z271" s="231"/>
      <c r="AA271" s="231"/>
      <c r="AB271" s="231"/>
      <c r="AC271" s="231"/>
      <c r="AD271" s="231"/>
      <c r="AE271" s="231"/>
      <c r="AF271" s="231"/>
      <c r="AG271" s="231"/>
      <c r="AH271" s="231"/>
    </row>
    <row r="272" spans="1:34" s="203" customFormat="1">
      <c r="A272" s="686">
        <v>6</v>
      </c>
      <c r="B272" s="47" t="s">
        <v>209</v>
      </c>
      <c r="C272" s="47"/>
      <c r="D272" s="47"/>
      <c r="E272" s="114">
        <v>261</v>
      </c>
      <c r="F272" s="52">
        <v>260</v>
      </c>
      <c r="G272" s="118"/>
      <c r="H272" s="122">
        <v>270</v>
      </c>
      <c r="I272" s="21"/>
      <c r="J272" s="231"/>
      <c r="K272" s="231"/>
      <c r="L272" s="231"/>
      <c r="M272" s="231"/>
      <c r="N272" s="231"/>
      <c r="O272" s="231"/>
      <c r="P272" s="231"/>
      <c r="Q272" s="231"/>
      <c r="R272" s="231"/>
      <c r="S272" s="231"/>
      <c r="T272" s="231"/>
      <c r="U272" s="231"/>
      <c r="V272" s="231"/>
      <c r="W272" s="231"/>
      <c r="X272" s="231"/>
      <c r="Y272" s="231"/>
      <c r="Z272" s="231"/>
      <c r="AA272" s="231"/>
      <c r="AB272" s="231"/>
      <c r="AC272" s="231"/>
      <c r="AD272" s="231"/>
      <c r="AE272" s="231"/>
      <c r="AF272" s="231"/>
      <c r="AG272" s="231"/>
      <c r="AH272" s="231"/>
    </row>
    <row r="273" spans="1:34" s="203" customFormat="1">
      <c r="A273" s="120">
        <v>7</v>
      </c>
      <c r="B273" s="47" t="s">
        <v>210</v>
      </c>
      <c r="C273" s="47"/>
      <c r="D273" s="47"/>
      <c r="E273" s="114">
        <v>1828</v>
      </c>
      <c r="F273" s="52">
        <v>1666</v>
      </c>
      <c r="G273" s="118"/>
      <c r="H273" s="122">
        <v>1831</v>
      </c>
      <c r="I273" s="21"/>
      <c r="J273" s="231"/>
      <c r="K273" s="231"/>
      <c r="L273" s="231"/>
      <c r="M273" s="231"/>
      <c r="N273" s="231"/>
      <c r="O273" s="231"/>
      <c r="P273" s="231"/>
      <c r="Q273" s="231"/>
      <c r="R273" s="231"/>
      <c r="S273" s="231"/>
      <c r="T273" s="231"/>
      <c r="U273" s="231"/>
      <c r="V273" s="231"/>
      <c r="W273" s="231"/>
      <c r="X273" s="231"/>
      <c r="Y273" s="231"/>
      <c r="Z273" s="231"/>
      <c r="AA273" s="231"/>
      <c r="AB273" s="231"/>
      <c r="AC273" s="231"/>
      <c r="AD273" s="231"/>
      <c r="AE273" s="231"/>
      <c r="AF273" s="231"/>
      <c r="AG273" s="231"/>
      <c r="AH273" s="231"/>
    </row>
    <row r="274" spans="1:34" s="203" customFormat="1">
      <c r="A274" s="686">
        <v>8</v>
      </c>
      <c r="B274" s="47" t="s">
        <v>211</v>
      </c>
      <c r="C274" s="47"/>
      <c r="D274" s="47"/>
      <c r="E274" s="114">
        <v>830</v>
      </c>
      <c r="F274" s="52">
        <v>865</v>
      </c>
      <c r="G274" s="118"/>
      <c r="H274" s="122">
        <v>841</v>
      </c>
      <c r="I274" s="21"/>
      <c r="J274" s="231"/>
      <c r="K274" s="231"/>
      <c r="L274" s="231"/>
      <c r="M274" s="231"/>
      <c r="N274" s="231"/>
      <c r="O274" s="231"/>
      <c r="P274" s="231"/>
      <c r="Q274" s="231"/>
      <c r="R274" s="231"/>
      <c r="S274" s="231"/>
      <c r="T274" s="231"/>
      <c r="U274" s="231"/>
      <c r="V274" s="231"/>
      <c r="W274" s="231"/>
      <c r="X274" s="231"/>
      <c r="Y274" s="231"/>
      <c r="Z274" s="231"/>
      <c r="AA274" s="231"/>
      <c r="AB274" s="231"/>
      <c r="AC274" s="231"/>
      <c r="AD274" s="231"/>
      <c r="AE274" s="231"/>
      <c r="AF274" s="231"/>
      <c r="AG274" s="231"/>
      <c r="AH274" s="231"/>
    </row>
    <row r="275" spans="1:34" s="203" customFormat="1">
      <c r="A275" s="120">
        <v>9</v>
      </c>
      <c r="B275" s="47" t="s">
        <v>212</v>
      </c>
      <c r="C275" s="47"/>
      <c r="D275" s="47"/>
      <c r="E275" s="114">
        <v>180</v>
      </c>
      <c r="F275" s="52">
        <v>217</v>
      </c>
      <c r="G275" s="118"/>
      <c r="H275" s="122">
        <v>196</v>
      </c>
      <c r="I275" s="21"/>
      <c r="J275" s="231"/>
      <c r="K275" s="231"/>
      <c r="L275" s="231"/>
      <c r="M275" s="231"/>
      <c r="N275" s="231"/>
      <c r="O275" s="231"/>
      <c r="P275" s="231"/>
      <c r="Q275" s="231"/>
      <c r="R275" s="231"/>
      <c r="S275" s="231"/>
      <c r="T275" s="231"/>
      <c r="U275" s="231"/>
      <c r="V275" s="231"/>
      <c r="W275" s="231"/>
      <c r="X275" s="231"/>
      <c r="Y275" s="231"/>
      <c r="Z275" s="231"/>
      <c r="AA275" s="231"/>
      <c r="AB275" s="231"/>
      <c r="AC275" s="231"/>
      <c r="AD275" s="231"/>
      <c r="AE275" s="231"/>
      <c r="AF275" s="231"/>
      <c r="AG275" s="231"/>
      <c r="AH275" s="231"/>
    </row>
    <row r="276" spans="1:34" s="203" customFormat="1">
      <c r="A276" s="686">
        <v>10</v>
      </c>
      <c r="B276" s="47" t="s">
        <v>213</v>
      </c>
      <c r="C276" s="47"/>
      <c r="D276" s="47"/>
      <c r="E276" s="114">
        <v>1284</v>
      </c>
      <c r="F276" s="52">
        <v>1288</v>
      </c>
      <c r="G276" s="118"/>
      <c r="H276" s="99">
        <v>1297</v>
      </c>
      <c r="I276" s="21"/>
      <c r="J276" s="231"/>
      <c r="K276" s="231"/>
      <c r="L276" s="231"/>
      <c r="M276" s="231"/>
      <c r="N276" s="231"/>
      <c r="O276" s="231"/>
      <c r="P276" s="231"/>
      <c r="Q276" s="231"/>
      <c r="R276" s="231"/>
      <c r="S276" s="231"/>
      <c r="T276" s="231"/>
      <c r="U276" s="231"/>
      <c r="V276" s="231"/>
      <c r="W276" s="231"/>
      <c r="X276" s="231"/>
      <c r="Y276" s="231"/>
      <c r="Z276" s="231"/>
      <c r="AA276" s="231"/>
      <c r="AB276" s="231"/>
      <c r="AC276" s="231"/>
      <c r="AD276" s="231"/>
      <c r="AE276" s="231"/>
      <c r="AF276" s="231"/>
      <c r="AG276" s="231"/>
      <c r="AH276" s="231"/>
    </row>
    <row r="277" spans="1:34" s="203" customFormat="1">
      <c r="A277" s="124">
        <v>11</v>
      </c>
      <c r="B277" s="94" t="s">
        <v>214</v>
      </c>
      <c r="C277" s="94"/>
      <c r="D277" s="94"/>
      <c r="E277" s="159">
        <v>5183</v>
      </c>
      <c r="F277" s="61">
        <f>SUM(F267:F276)</f>
        <v>5123</v>
      </c>
      <c r="G277" s="118"/>
      <c r="H277" s="61">
        <f>SUM(H267:H276)</f>
        <v>5279</v>
      </c>
      <c r="I277" s="21"/>
      <c r="J277" s="231"/>
      <c r="K277" s="231"/>
      <c r="L277" s="231"/>
      <c r="M277" s="231"/>
      <c r="N277" s="231"/>
      <c r="O277" s="231"/>
      <c r="P277" s="231"/>
      <c r="Q277" s="231"/>
      <c r="R277" s="231"/>
      <c r="S277" s="231"/>
      <c r="T277" s="231"/>
      <c r="U277" s="231"/>
      <c r="V277" s="231"/>
      <c r="W277" s="231"/>
      <c r="X277" s="231"/>
      <c r="Y277" s="231"/>
      <c r="Z277" s="231"/>
      <c r="AA277" s="231"/>
      <c r="AB277" s="231"/>
      <c r="AC277" s="231"/>
      <c r="AD277" s="231"/>
      <c r="AE277" s="231"/>
      <c r="AF277" s="231"/>
      <c r="AG277" s="231"/>
      <c r="AH277" s="231"/>
    </row>
    <row r="278" spans="1:34" s="203" customFormat="1">
      <c r="A278" s="207"/>
      <c r="B278" s="207"/>
      <c r="C278" s="207"/>
      <c r="D278" s="207"/>
      <c r="E278" s="207"/>
      <c r="F278" s="207"/>
      <c r="G278" s="207"/>
      <c r="H278" s="207"/>
      <c r="I278" s="21"/>
      <c r="J278" s="231"/>
      <c r="K278" s="231"/>
      <c r="L278" s="231"/>
      <c r="M278" s="231"/>
      <c r="N278" s="231"/>
      <c r="O278" s="231"/>
      <c r="P278" s="231"/>
      <c r="Q278" s="231"/>
      <c r="R278" s="231"/>
      <c r="S278" s="231"/>
      <c r="T278" s="231"/>
      <c r="U278" s="231"/>
      <c r="V278" s="231"/>
      <c r="W278" s="231"/>
      <c r="X278" s="231"/>
      <c r="Y278" s="231"/>
      <c r="Z278" s="231"/>
      <c r="AA278" s="231"/>
      <c r="AB278" s="231"/>
      <c r="AC278" s="231"/>
      <c r="AD278" s="231"/>
      <c r="AE278" s="231"/>
      <c r="AF278" s="231"/>
      <c r="AG278" s="231"/>
      <c r="AH278" s="231"/>
    </row>
    <row r="279" spans="1:34" s="203" customFormat="1">
      <c r="A279" s="207"/>
      <c r="B279" s="207"/>
      <c r="C279" s="207"/>
      <c r="D279" s="207"/>
      <c r="E279" s="207"/>
      <c r="F279" s="207"/>
      <c r="G279" s="207"/>
      <c r="H279" s="131" t="s">
        <v>27</v>
      </c>
      <c r="I279" s="21"/>
      <c r="J279" s="231"/>
      <c r="K279" s="231"/>
      <c r="L279" s="231"/>
      <c r="M279" s="231"/>
      <c r="N279" s="231"/>
      <c r="O279" s="231"/>
      <c r="P279" s="231"/>
      <c r="Q279" s="231"/>
      <c r="R279" s="231"/>
      <c r="S279" s="231"/>
      <c r="T279" s="231"/>
      <c r="U279" s="231"/>
      <c r="V279" s="231"/>
      <c r="W279" s="231"/>
      <c r="X279" s="231"/>
      <c r="Y279" s="231"/>
      <c r="Z279" s="231"/>
      <c r="AA279" s="231"/>
      <c r="AB279" s="231"/>
      <c r="AC279" s="231"/>
      <c r="AD279" s="231"/>
      <c r="AE279" s="231"/>
      <c r="AF279" s="231"/>
      <c r="AG279" s="231"/>
      <c r="AH279" s="231"/>
    </row>
    <row r="280" spans="1:34" s="203" customFormat="1" ht="12.75" customHeight="1">
      <c r="A280" s="106" t="s">
        <v>18</v>
      </c>
      <c r="B280" s="164"/>
      <c r="C280" s="164"/>
      <c r="D280" s="164"/>
      <c r="E280" s="856" t="s">
        <v>377</v>
      </c>
      <c r="F280" s="856" t="s">
        <v>402</v>
      </c>
      <c r="G280" s="130"/>
      <c r="H280" s="856" t="s">
        <v>403</v>
      </c>
      <c r="I280" s="21"/>
      <c r="J280" s="231"/>
      <c r="K280" s="231"/>
      <c r="L280" s="231"/>
      <c r="M280" s="231"/>
      <c r="N280" s="231"/>
      <c r="O280" s="231"/>
      <c r="P280" s="231"/>
      <c r="Q280" s="231"/>
      <c r="R280" s="231"/>
      <c r="S280" s="231"/>
      <c r="T280" s="231"/>
      <c r="U280" s="231"/>
      <c r="V280" s="231"/>
      <c r="W280" s="231"/>
      <c r="X280" s="231"/>
      <c r="Y280" s="231"/>
      <c r="Z280" s="231"/>
      <c r="AA280" s="231"/>
      <c r="AB280" s="231"/>
      <c r="AC280" s="231"/>
      <c r="AD280" s="231"/>
      <c r="AE280" s="231"/>
      <c r="AF280" s="231"/>
      <c r="AG280" s="231"/>
      <c r="AH280" s="231"/>
    </row>
    <row r="281" spans="1:34" s="203" customFormat="1">
      <c r="A281" s="165"/>
      <c r="B281" s="47"/>
      <c r="C281" s="47"/>
      <c r="D281" s="47"/>
      <c r="E281" s="859"/>
      <c r="F281" s="859"/>
      <c r="G281" s="130"/>
      <c r="H281" s="859"/>
      <c r="I281" s="21"/>
      <c r="J281" s="231"/>
      <c r="K281" s="231"/>
      <c r="L281" s="231"/>
      <c r="M281" s="231"/>
      <c r="N281" s="231"/>
      <c r="O281" s="231"/>
      <c r="P281" s="231"/>
      <c r="Q281" s="231"/>
      <c r="R281" s="231"/>
      <c r="S281" s="231"/>
      <c r="T281" s="231"/>
      <c r="U281" s="231"/>
      <c r="V281" s="231"/>
      <c r="W281" s="231"/>
      <c r="X281" s="231"/>
      <c r="Y281" s="231"/>
      <c r="Z281" s="231"/>
      <c r="AA281" s="231"/>
      <c r="AB281" s="231"/>
      <c r="AC281" s="231"/>
      <c r="AD281" s="231"/>
      <c r="AE281" s="231"/>
      <c r="AF281" s="231"/>
      <c r="AG281" s="231"/>
      <c r="AH281" s="231"/>
    </row>
    <row r="282" spans="1:34" s="203" customFormat="1" ht="21.75" customHeight="1">
      <c r="A282" s="109"/>
      <c r="B282" s="174"/>
      <c r="C282" s="174"/>
      <c r="D282" s="174"/>
      <c r="E282" s="859"/>
      <c r="F282" s="859"/>
      <c r="G282" s="130"/>
      <c r="H282" s="859"/>
      <c r="I282" s="21"/>
      <c r="J282" s="231"/>
      <c r="K282" s="231"/>
      <c r="L282" s="231"/>
      <c r="M282" s="231"/>
      <c r="N282" s="231"/>
      <c r="O282" s="231"/>
      <c r="P282" s="231"/>
      <c r="Q282" s="231"/>
      <c r="R282" s="231"/>
      <c r="S282" s="231"/>
      <c r="T282" s="231"/>
      <c r="U282" s="231"/>
      <c r="V282" s="231"/>
      <c r="W282" s="231"/>
      <c r="X282" s="231"/>
      <c r="Y282" s="231"/>
      <c r="Z282" s="231"/>
      <c r="AA282" s="231"/>
      <c r="AB282" s="231"/>
      <c r="AC282" s="231"/>
      <c r="AD282" s="231"/>
      <c r="AE282" s="231"/>
      <c r="AF282" s="231"/>
      <c r="AG282" s="231"/>
      <c r="AH282" s="231"/>
    </row>
    <row r="283" spans="1:34" s="203" customFormat="1">
      <c r="A283" s="154" t="s">
        <v>215</v>
      </c>
      <c r="B283" s="47"/>
      <c r="C283" s="47"/>
      <c r="D283" s="47"/>
      <c r="E283" s="859"/>
      <c r="F283" s="859"/>
      <c r="G283" s="130"/>
      <c r="H283" s="859"/>
      <c r="I283" s="21"/>
      <c r="J283" s="231"/>
      <c r="K283" s="231"/>
      <c r="L283" s="231"/>
      <c r="M283" s="231"/>
      <c r="N283" s="231"/>
      <c r="O283" s="231"/>
      <c r="P283" s="231"/>
      <c r="Q283" s="231"/>
      <c r="R283" s="231"/>
      <c r="S283" s="231"/>
      <c r="T283" s="231"/>
      <c r="U283" s="231"/>
      <c r="V283" s="231"/>
      <c r="W283" s="231"/>
      <c r="X283" s="231"/>
      <c r="Y283" s="231"/>
      <c r="Z283" s="231"/>
      <c r="AA283" s="231"/>
      <c r="AB283" s="231"/>
      <c r="AC283" s="231"/>
      <c r="AD283" s="231"/>
      <c r="AE283" s="231"/>
      <c r="AF283" s="231"/>
      <c r="AG283" s="231"/>
      <c r="AH283" s="231"/>
    </row>
    <row r="284" spans="1:34" s="203" customFormat="1">
      <c r="A284" s="109" t="s">
        <v>83</v>
      </c>
      <c r="B284" s="174"/>
      <c r="C284" s="174"/>
      <c r="D284" s="174"/>
      <c r="E284" s="860"/>
      <c r="F284" s="860"/>
      <c r="G284" s="130"/>
      <c r="H284" s="860"/>
      <c r="I284" s="21"/>
      <c r="J284" s="231"/>
      <c r="K284" s="231"/>
      <c r="L284" s="231"/>
      <c r="M284" s="231"/>
      <c r="N284" s="231"/>
      <c r="O284" s="231"/>
      <c r="P284" s="231"/>
      <c r="Q284" s="231"/>
      <c r="R284" s="231"/>
      <c r="S284" s="231"/>
      <c r="T284" s="231"/>
      <c r="U284" s="231"/>
      <c r="V284" s="231"/>
      <c r="W284" s="231"/>
      <c r="X284" s="231"/>
      <c r="Y284" s="231"/>
      <c r="Z284" s="231"/>
      <c r="AA284" s="231"/>
      <c r="AB284" s="231"/>
      <c r="AC284" s="231"/>
      <c r="AD284" s="231"/>
      <c r="AE284" s="231"/>
      <c r="AF284" s="231"/>
      <c r="AG284" s="231"/>
      <c r="AH284" s="231"/>
    </row>
    <row r="285" spans="1:34" s="203" customFormat="1">
      <c r="A285" s="110" t="s">
        <v>84</v>
      </c>
      <c r="B285" s="116"/>
      <c r="C285" s="116"/>
      <c r="D285" s="116"/>
      <c r="E285" s="178"/>
      <c r="F285" s="146"/>
      <c r="G285" s="118"/>
      <c r="H285" s="146"/>
      <c r="I285" s="21"/>
      <c r="J285" s="231"/>
      <c r="K285" s="231"/>
      <c r="L285" s="231"/>
      <c r="M285" s="231"/>
      <c r="N285" s="231"/>
      <c r="O285" s="231"/>
      <c r="P285" s="231"/>
      <c r="Q285" s="231"/>
      <c r="R285" s="231"/>
      <c r="S285" s="231"/>
      <c r="T285" s="231"/>
      <c r="U285" s="231"/>
      <c r="V285" s="231"/>
      <c r="W285" s="231"/>
      <c r="X285" s="231"/>
      <c r="Y285" s="231"/>
      <c r="Z285" s="231"/>
      <c r="AA285" s="231"/>
      <c r="AB285" s="231"/>
      <c r="AC285" s="231"/>
      <c r="AD285" s="231"/>
      <c r="AE285" s="231"/>
      <c r="AF285" s="231"/>
      <c r="AG285" s="231"/>
      <c r="AH285" s="231"/>
    </row>
    <row r="286" spans="1:34" s="203" customFormat="1">
      <c r="A286" s="120">
        <v>1</v>
      </c>
      <c r="B286" s="47" t="s">
        <v>216</v>
      </c>
      <c r="C286" s="47"/>
      <c r="D286" s="47"/>
      <c r="E286" s="74">
        <v>614</v>
      </c>
      <c r="F286" s="52">
        <v>524</v>
      </c>
      <c r="G286" s="118"/>
      <c r="H286" s="122">
        <v>656</v>
      </c>
      <c r="I286" s="21"/>
      <c r="J286" s="231"/>
      <c r="K286" s="231"/>
      <c r="L286" s="231"/>
      <c r="M286" s="231"/>
      <c r="N286" s="231"/>
      <c r="O286" s="231"/>
      <c r="P286" s="231"/>
      <c r="Q286" s="231"/>
      <c r="R286" s="231"/>
      <c r="S286" s="231"/>
      <c r="T286" s="231"/>
      <c r="U286" s="231"/>
      <c r="V286" s="231"/>
      <c r="W286" s="231"/>
      <c r="X286" s="231"/>
      <c r="Y286" s="231"/>
      <c r="Z286" s="231"/>
      <c r="AA286" s="231"/>
      <c r="AB286" s="231"/>
      <c r="AC286" s="231"/>
      <c r="AD286" s="231"/>
      <c r="AE286" s="231"/>
      <c r="AF286" s="231"/>
      <c r="AG286" s="231"/>
      <c r="AH286" s="231"/>
    </row>
    <row r="287" spans="1:34" s="203" customFormat="1">
      <c r="A287" s="686">
        <v>2</v>
      </c>
      <c r="B287" s="47" t="s">
        <v>217</v>
      </c>
      <c r="C287" s="47"/>
      <c r="D287" s="47"/>
      <c r="E287" s="114">
        <v>111</v>
      </c>
      <c r="F287" s="52">
        <v>90</v>
      </c>
      <c r="G287" s="118"/>
      <c r="H287" s="122">
        <v>114</v>
      </c>
      <c r="I287" s="21"/>
      <c r="J287" s="231"/>
      <c r="K287" s="231"/>
      <c r="L287" s="231"/>
      <c r="M287" s="231"/>
      <c r="N287" s="231"/>
      <c r="O287" s="231"/>
      <c r="P287" s="231"/>
      <c r="Q287" s="231"/>
      <c r="R287" s="231"/>
      <c r="S287" s="231"/>
      <c r="T287" s="231"/>
      <c r="U287" s="231"/>
      <c r="V287" s="231"/>
      <c r="W287" s="231"/>
      <c r="X287" s="231"/>
      <c r="Y287" s="231"/>
      <c r="Z287" s="231"/>
      <c r="AA287" s="231"/>
      <c r="AB287" s="231"/>
      <c r="AC287" s="231"/>
      <c r="AD287" s="231"/>
      <c r="AE287" s="231"/>
      <c r="AF287" s="231"/>
      <c r="AG287" s="231"/>
      <c r="AH287" s="231"/>
    </row>
    <row r="288" spans="1:34" s="203" customFormat="1">
      <c r="A288" s="120">
        <v>3</v>
      </c>
      <c r="B288" s="90" t="s">
        <v>218</v>
      </c>
      <c r="C288" s="166"/>
      <c r="D288" s="168"/>
      <c r="E288" s="114">
        <v>1444</v>
      </c>
      <c r="F288" s="52">
        <v>1328</v>
      </c>
      <c r="G288" s="118"/>
      <c r="H288" s="122">
        <v>1467</v>
      </c>
      <c r="I288" s="21"/>
      <c r="J288" s="231"/>
      <c r="K288" s="231"/>
      <c r="L288" s="231"/>
      <c r="M288" s="231"/>
      <c r="N288" s="231"/>
      <c r="O288" s="231"/>
      <c r="P288" s="231"/>
      <c r="Q288" s="231"/>
      <c r="R288" s="231"/>
      <c r="S288" s="231"/>
      <c r="T288" s="231"/>
      <c r="U288" s="231"/>
      <c r="V288" s="231"/>
      <c r="W288" s="231"/>
      <c r="X288" s="231"/>
      <c r="Y288" s="231"/>
      <c r="Z288" s="231"/>
      <c r="AA288" s="231"/>
      <c r="AB288" s="231"/>
      <c r="AC288" s="231"/>
      <c r="AD288" s="231"/>
      <c r="AE288" s="231"/>
      <c r="AF288" s="231"/>
      <c r="AG288" s="231"/>
      <c r="AH288" s="231"/>
    </row>
    <row r="289" spans="1:34" s="203" customFormat="1">
      <c r="A289" s="686">
        <v>4</v>
      </c>
      <c r="B289" s="47" t="s">
        <v>219</v>
      </c>
      <c r="C289" s="47"/>
      <c r="D289" s="116"/>
      <c r="E289" s="114">
        <v>125</v>
      </c>
      <c r="F289" s="52">
        <v>126</v>
      </c>
      <c r="G289" s="118"/>
      <c r="H289" s="122">
        <v>127</v>
      </c>
      <c r="I289" s="21"/>
      <c r="J289" s="231"/>
      <c r="K289" s="231"/>
      <c r="L289" s="231"/>
      <c r="M289" s="231"/>
      <c r="N289" s="231"/>
      <c r="O289" s="231"/>
      <c r="P289" s="231"/>
      <c r="Q289" s="231"/>
      <c r="R289" s="231"/>
      <c r="S289" s="231"/>
      <c r="T289" s="231"/>
      <c r="U289" s="231"/>
      <c r="V289" s="231"/>
      <c r="W289" s="231"/>
      <c r="X289" s="231"/>
      <c r="Y289" s="231"/>
      <c r="Z289" s="231"/>
      <c r="AA289" s="231"/>
      <c r="AB289" s="231"/>
      <c r="AC289" s="231"/>
      <c r="AD289" s="231"/>
      <c r="AE289" s="231"/>
      <c r="AF289" s="231"/>
      <c r="AG289" s="231"/>
      <c r="AH289" s="231"/>
    </row>
    <row r="290" spans="1:34" s="203" customFormat="1">
      <c r="A290" s="686">
        <v>5</v>
      </c>
      <c r="B290" s="47" t="s">
        <v>220</v>
      </c>
      <c r="C290" s="47"/>
      <c r="D290" s="47"/>
      <c r="E290" s="114">
        <v>-45</v>
      </c>
      <c r="F290" s="52">
        <v>-71</v>
      </c>
      <c r="G290" s="118"/>
      <c r="H290" s="122">
        <v>-50</v>
      </c>
      <c r="I290" s="21"/>
      <c r="J290" s="231"/>
      <c r="K290" s="231"/>
      <c r="L290" s="231"/>
      <c r="M290" s="231"/>
      <c r="N290" s="231"/>
      <c r="O290" s="231"/>
      <c r="P290" s="231"/>
      <c r="Q290" s="231"/>
      <c r="R290" s="231"/>
      <c r="S290" s="231"/>
      <c r="T290" s="231"/>
      <c r="U290" s="231"/>
      <c r="V290" s="231"/>
      <c r="W290" s="231"/>
      <c r="X290" s="231"/>
      <c r="Y290" s="231"/>
      <c r="Z290" s="231"/>
      <c r="AA290" s="231"/>
      <c r="AB290" s="231"/>
      <c r="AC290" s="231"/>
      <c r="AD290" s="231"/>
      <c r="AE290" s="231"/>
      <c r="AF290" s="231"/>
      <c r="AG290" s="231"/>
      <c r="AH290" s="231"/>
    </row>
    <row r="291" spans="1:34" s="203" customFormat="1">
      <c r="A291" s="120">
        <v>6</v>
      </c>
      <c r="B291" s="47" t="s">
        <v>221</v>
      </c>
      <c r="C291" s="47"/>
      <c r="D291" s="47"/>
      <c r="E291" s="114">
        <v>42</v>
      </c>
      <c r="F291" s="52">
        <v>44</v>
      </c>
      <c r="G291" s="118"/>
      <c r="H291" s="122">
        <v>43</v>
      </c>
      <c r="I291" s="21"/>
      <c r="J291" s="231"/>
      <c r="K291" s="231"/>
      <c r="L291" s="231"/>
      <c r="M291" s="231"/>
      <c r="N291" s="231"/>
      <c r="O291" s="231"/>
      <c r="P291" s="231"/>
      <c r="Q291" s="231"/>
      <c r="R291" s="231"/>
      <c r="S291" s="231"/>
      <c r="T291" s="231"/>
      <c r="U291" s="231"/>
      <c r="V291" s="231"/>
      <c r="W291" s="231"/>
      <c r="X291" s="231"/>
      <c r="Y291" s="231"/>
      <c r="Z291" s="231"/>
      <c r="AA291" s="231"/>
      <c r="AB291" s="231"/>
      <c r="AC291" s="231"/>
      <c r="AD291" s="231"/>
      <c r="AE291" s="231"/>
      <c r="AF291" s="231"/>
      <c r="AG291" s="231"/>
      <c r="AH291" s="231"/>
    </row>
    <row r="292" spans="1:34" s="203" customFormat="1">
      <c r="A292" s="686">
        <v>7</v>
      </c>
      <c r="B292" s="47" t="s">
        <v>222</v>
      </c>
      <c r="C292" s="47"/>
      <c r="D292" s="116"/>
      <c r="E292" s="114">
        <v>161</v>
      </c>
      <c r="F292" s="52">
        <v>152</v>
      </c>
      <c r="G292" s="118"/>
      <c r="H292" s="122">
        <v>162</v>
      </c>
      <c r="I292" s="21"/>
      <c r="J292" s="231"/>
      <c r="K292" s="231"/>
      <c r="L292" s="231"/>
      <c r="M292" s="231"/>
      <c r="N292" s="231"/>
      <c r="O292" s="231"/>
      <c r="P292" s="231"/>
      <c r="Q292" s="231"/>
      <c r="R292" s="231"/>
      <c r="S292" s="231"/>
      <c r="T292" s="231"/>
      <c r="U292" s="231"/>
      <c r="V292" s="231"/>
      <c r="W292" s="231"/>
      <c r="X292" s="231"/>
      <c r="Y292" s="231"/>
      <c r="Z292" s="231"/>
      <c r="AA292" s="231"/>
      <c r="AB292" s="231"/>
      <c r="AC292" s="231"/>
      <c r="AD292" s="231"/>
      <c r="AE292" s="231"/>
      <c r="AF292" s="231"/>
      <c r="AG292" s="231"/>
      <c r="AH292" s="231"/>
    </row>
    <row r="293" spans="1:34" s="203" customFormat="1">
      <c r="A293" s="120">
        <v>8</v>
      </c>
      <c r="B293" s="47" t="s">
        <v>223</v>
      </c>
      <c r="C293" s="47"/>
      <c r="D293" s="116"/>
      <c r="E293" s="114">
        <v>255</v>
      </c>
      <c r="F293" s="52">
        <v>250</v>
      </c>
      <c r="G293" s="118"/>
      <c r="H293" s="122">
        <v>267</v>
      </c>
      <c r="I293" s="21"/>
      <c r="J293" s="231"/>
      <c r="K293" s="231"/>
      <c r="L293" s="231"/>
      <c r="M293" s="231"/>
      <c r="N293" s="231"/>
      <c r="O293" s="231"/>
      <c r="P293" s="231"/>
      <c r="Q293" s="231"/>
      <c r="R293" s="231"/>
      <c r="S293" s="231"/>
      <c r="T293" s="231"/>
      <c r="U293" s="231"/>
      <c r="V293" s="231"/>
      <c r="W293" s="231"/>
      <c r="X293" s="231"/>
      <c r="Y293" s="231"/>
      <c r="Z293" s="231"/>
      <c r="AA293" s="231"/>
      <c r="AB293" s="231"/>
      <c r="AC293" s="231"/>
      <c r="AD293" s="231"/>
      <c r="AE293" s="231"/>
      <c r="AF293" s="231"/>
      <c r="AG293" s="231"/>
      <c r="AH293" s="231"/>
    </row>
    <row r="294" spans="1:34" s="203" customFormat="1">
      <c r="A294" s="686">
        <v>9</v>
      </c>
      <c r="B294" s="47" t="s">
        <v>224</v>
      </c>
      <c r="C294" s="47"/>
      <c r="D294" s="116"/>
      <c r="E294" s="114">
        <v>229</v>
      </c>
      <c r="F294" s="52">
        <v>224</v>
      </c>
      <c r="G294" s="118"/>
      <c r="H294" s="122">
        <v>242</v>
      </c>
      <c r="I294" s="21"/>
      <c r="J294" s="231"/>
      <c r="K294" s="231"/>
      <c r="L294" s="231"/>
      <c r="M294" s="231"/>
      <c r="N294" s="231"/>
      <c r="O294" s="231"/>
      <c r="P294" s="231"/>
      <c r="Q294" s="231"/>
      <c r="R294" s="231"/>
      <c r="S294" s="231"/>
      <c r="T294" s="231"/>
      <c r="U294" s="231"/>
      <c r="V294" s="231"/>
      <c r="W294" s="231"/>
      <c r="X294" s="231"/>
      <c r="Y294" s="231"/>
      <c r="Z294" s="231"/>
      <c r="AA294" s="231"/>
      <c r="AB294" s="231"/>
      <c r="AC294" s="231"/>
      <c r="AD294" s="231"/>
      <c r="AE294" s="231"/>
      <c r="AF294" s="231"/>
      <c r="AG294" s="231"/>
      <c r="AH294" s="231"/>
    </row>
    <row r="295" spans="1:34" s="203" customFormat="1">
      <c r="A295" s="120">
        <v>10</v>
      </c>
      <c r="B295" s="47" t="s">
        <v>225</v>
      </c>
      <c r="C295" s="47"/>
      <c r="D295" s="47"/>
      <c r="E295" s="114">
        <v>132</v>
      </c>
      <c r="F295" s="52">
        <v>130</v>
      </c>
      <c r="G295" s="118"/>
      <c r="H295" s="122">
        <v>135</v>
      </c>
      <c r="I295" s="21"/>
      <c r="J295" s="231"/>
      <c r="K295" s="231"/>
      <c r="L295" s="231"/>
      <c r="M295" s="231"/>
      <c r="N295" s="231"/>
      <c r="O295" s="231"/>
      <c r="P295" s="231"/>
      <c r="Q295" s="231"/>
      <c r="R295" s="231"/>
      <c r="S295" s="231"/>
      <c r="T295" s="231"/>
      <c r="U295" s="231"/>
      <c r="V295" s="231"/>
      <c r="W295" s="231"/>
      <c r="X295" s="231"/>
      <c r="Y295" s="231"/>
      <c r="Z295" s="231"/>
      <c r="AA295" s="231"/>
      <c r="AB295" s="231"/>
      <c r="AC295" s="231"/>
      <c r="AD295" s="231"/>
      <c r="AE295" s="231"/>
      <c r="AF295" s="231"/>
      <c r="AG295" s="231"/>
      <c r="AH295" s="231"/>
    </row>
    <row r="296" spans="1:34" s="203" customFormat="1">
      <c r="A296" s="686">
        <v>11</v>
      </c>
      <c r="B296" s="47" t="s">
        <v>226</v>
      </c>
      <c r="C296" s="47"/>
      <c r="D296" s="47"/>
      <c r="E296" s="114">
        <v>160</v>
      </c>
      <c r="F296" s="52">
        <v>153</v>
      </c>
      <c r="G296" s="118"/>
      <c r="H296" s="122">
        <v>160</v>
      </c>
      <c r="I296" s="21"/>
      <c r="J296" s="231"/>
      <c r="K296" s="231"/>
      <c r="L296" s="231"/>
      <c r="M296" s="231"/>
      <c r="N296" s="231"/>
      <c r="O296" s="231"/>
      <c r="P296" s="231"/>
      <c r="Q296" s="231"/>
      <c r="R296" s="231"/>
      <c r="S296" s="231"/>
      <c r="T296" s="231"/>
      <c r="U296" s="231"/>
      <c r="V296" s="231"/>
      <c r="W296" s="231"/>
      <c r="X296" s="231"/>
      <c r="Y296" s="231"/>
      <c r="Z296" s="231"/>
      <c r="AA296" s="231"/>
      <c r="AB296" s="231"/>
      <c r="AC296" s="231"/>
      <c r="AD296" s="231"/>
      <c r="AE296" s="231"/>
      <c r="AF296" s="231"/>
      <c r="AG296" s="231"/>
      <c r="AH296" s="231"/>
    </row>
    <row r="297" spans="1:34" s="203" customFormat="1">
      <c r="A297" s="120">
        <v>12</v>
      </c>
      <c r="B297" s="47" t="s">
        <v>227</v>
      </c>
      <c r="C297" s="47"/>
      <c r="D297" s="47"/>
      <c r="E297" s="114">
        <v>311</v>
      </c>
      <c r="F297" s="52">
        <v>309</v>
      </c>
      <c r="G297" s="118"/>
      <c r="H297" s="122">
        <v>321</v>
      </c>
      <c r="I297" s="21"/>
      <c r="J297" s="231"/>
      <c r="K297" s="231"/>
      <c r="L297" s="231"/>
      <c r="M297" s="231"/>
      <c r="N297" s="231"/>
      <c r="O297" s="231"/>
      <c r="P297" s="231"/>
      <c r="Q297" s="231"/>
      <c r="R297" s="231"/>
      <c r="S297" s="231"/>
      <c r="T297" s="231"/>
      <c r="U297" s="231"/>
      <c r="V297" s="231"/>
      <c r="W297" s="231"/>
      <c r="X297" s="231"/>
      <c r="Y297" s="231"/>
      <c r="Z297" s="231"/>
      <c r="AA297" s="231"/>
      <c r="AB297" s="231"/>
      <c r="AC297" s="231"/>
      <c r="AD297" s="231"/>
      <c r="AE297" s="231"/>
      <c r="AF297" s="231"/>
      <c r="AG297" s="231"/>
      <c r="AH297" s="231"/>
    </row>
    <row r="298" spans="1:34" s="203" customFormat="1">
      <c r="A298" s="686">
        <v>13</v>
      </c>
      <c r="B298" s="47" t="s">
        <v>228</v>
      </c>
      <c r="C298" s="47"/>
      <c r="D298" s="47"/>
      <c r="E298" s="114">
        <v>1938</v>
      </c>
      <c r="F298" s="52">
        <v>1806</v>
      </c>
      <c r="G298" s="118"/>
      <c r="H298" s="122">
        <v>1979</v>
      </c>
      <c r="I298" s="21"/>
      <c r="J298" s="231"/>
      <c r="K298" s="231"/>
      <c r="L298" s="231"/>
      <c r="M298" s="231"/>
      <c r="N298" s="231"/>
      <c r="O298" s="231"/>
      <c r="P298" s="231"/>
      <c r="Q298" s="231"/>
      <c r="R298" s="231"/>
      <c r="S298" s="231"/>
      <c r="T298" s="231"/>
      <c r="U298" s="231"/>
      <c r="V298" s="231"/>
      <c r="W298" s="231"/>
      <c r="X298" s="231"/>
      <c r="Y298" s="231"/>
      <c r="Z298" s="231"/>
      <c r="AA298" s="231"/>
      <c r="AB298" s="231"/>
      <c r="AC298" s="231"/>
      <c r="AD298" s="231"/>
      <c r="AE298" s="231"/>
      <c r="AF298" s="231"/>
      <c r="AG298" s="231"/>
      <c r="AH298" s="231"/>
    </row>
    <row r="299" spans="1:34" s="203" customFormat="1">
      <c r="A299" s="120">
        <v>14</v>
      </c>
      <c r="B299" s="47" t="s">
        <v>229</v>
      </c>
      <c r="C299" s="47"/>
      <c r="D299" s="116"/>
      <c r="E299" s="114">
        <v>0</v>
      </c>
      <c r="F299" s="52">
        <v>0</v>
      </c>
      <c r="G299" s="118"/>
      <c r="H299" s="122">
        <v>0</v>
      </c>
      <c r="I299" s="21"/>
      <c r="J299" s="231"/>
      <c r="K299" s="231"/>
      <c r="L299" s="231"/>
      <c r="M299" s="231"/>
      <c r="N299" s="231"/>
      <c r="O299" s="231"/>
      <c r="P299" s="231"/>
      <c r="Q299" s="231"/>
      <c r="R299" s="231"/>
      <c r="S299" s="231"/>
      <c r="T299" s="231"/>
      <c r="U299" s="231"/>
      <c r="V299" s="231"/>
      <c r="W299" s="231"/>
      <c r="X299" s="231"/>
      <c r="Y299" s="231"/>
      <c r="Z299" s="231"/>
      <c r="AA299" s="231"/>
      <c r="AB299" s="231"/>
      <c r="AC299" s="231"/>
      <c r="AD299" s="231"/>
      <c r="AE299" s="231"/>
      <c r="AF299" s="231"/>
      <c r="AG299" s="231"/>
      <c r="AH299" s="231"/>
    </row>
    <row r="300" spans="1:34" s="203" customFormat="1">
      <c r="A300" s="686">
        <v>15</v>
      </c>
      <c r="B300" s="47" t="s">
        <v>230</v>
      </c>
      <c r="C300" s="47"/>
      <c r="D300" s="116"/>
      <c r="E300" s="114">
        <v>0</v>
      </c>
      <c r="F300" s="52">
        <v>0</v>
      </c>
      <c r="G300" s="118"/>
      <c r="H300" s="122">
        <v>0</v>
      </c>
      <c r="I300" s="21"/>
      <c r="J300" s="231"/>
      <c r="K300" s="231"/>
      <c r="L300" s="231"/>
      <c r="M300" s="231"/>
      <c r="N300" s="231"/>
      <c r="O300" s="231"/>
      <c r="P300" s="231"/>
      <c r="Q300" s="231"/>
      <c r="R300" s="231"/>
      <c r="S300" s="231"/>
      <c r="T300" s="231"/>
      <c r="U300" s="231"/>
      <c r="V300" s="231"/>
      <c r="W300" s="231"/>
      <c r="X300" s="231"/>
      <c r="Y300" s="231"/>
      <c r="Z300" s="231"/>
      <c r="AA300" s="231"/>
      <c r="AB300" s="231"/>
      <c r="AC300" s="231"/>
      <c r="AD300" s="231"/>
      <c r="AE300" s="231"/>
      <c r="AF300" s="231"/>
      <c r="AG300" s="231"/>
      <c r="AH300" s="231"/>
    </row>
    <row r="301" spans="1:34" s="203" customFormat="1">
      <c r="A301" s="120">
        <v>17</v>
      </c>
      <c r="B301" s="47" t="s">
        <v>231</v>
      </c>
      <c r="C301" s="47"/>
      <c r="D301" s="47"/>
      <c r="E301" s="114">
        <v>1937</v>
      </c>
      <c r="F301" s="52">
        <v>1776</v>
      </c>
      <c r="G301" s="118"/>
      <c r="H301" s="99">
        <v>1847</v>
      </c>
      <c r="I301" s="21"/>
      <c r="J301" s="231"/>
      <c r="K301" s="231"/>
      <c r="L301" s="231"/>
      <c r="M301" s="231"/>
      <c r="N301" s="231"/>
      <c r="O301" s="231"/>
      <c r="P301" s="231"/>
      <c r="Q301" s="231"/>
      <c r="R301" s="231"/>
      <c r="S301" s="231"/>
      <c r="T301" s="231"/>
      <c r="U301" s="231"/>
      <c r="V301" s="231"/>
      <c r="W301" s="231"/>
      <c r="X301" s="231"/>
      <c r="Y301" s="231"/>
      <c r="Z301" s="231"/>
      <c r="AA301" s="231"/>
      <c r="AB301" s="231"/>
      <c r="AC301" s="231"/>
      <c r="AD301" s="231"/>
      <c r="AE301" s="231"/>
      <c r="AF301" s="231"/>
      <c r="AG301" s="231"/>
      <c r="AH301" s="231"/>
    </row>
    <row r="302" spans="1:34" s="203" customFormat="1">
      <c r="A302" s="687">
        <v>18</v>
      </c>
      <c r="B302" s="94" t="s">
        <v>232</v>
      </c>
      <c r="C302" s="94"/>
      <c r="D302" s="94"/>
      <c r="E302" s="159">
        <v>7414</v>
      </c>
      <c r="F302" s="61">
        <f>SUM(F286:F301)</f>
        <v>6841</v>
      </c>
      <c r="G302" s="118"/>
      <c r="H302" s="61">
        <f>SUM(H286:H301)</f>
        <v>7470</v>
      </c>
      <c r="I302" s="21"/>
      <c r="J302" s="231"/>
      <c r="K302" s="231"/>
      <c r="L302" s="231"/>
      <c r="M302" s="231"/>
      <c r="N302" s="231"/>
      <c r="O302" s="231"/>
      <c r="P302" s="231"/>
      <c r="Q302" s="231"/>
      <c r="R302" s="231"/>
      <c r="S302" s="231"/>
      <c r="T302" s="231"/>
      <c r="U302" s="231"/>
      <c r="V302" s="231"/>
      <c r="W302" s="231"/>
      <c r="X302" s="231"/>
      <c r="Y302" s="231"/>
      <c r="Z302" s="231"/>
      <c r="AA302" s="231"/>
      <c r="AB302" s="231"/>
      <c r="AC302" s="231"/>
      <c r="AD302" s="231"/>
      <c r="AE302" s="231"/>
      <c r="AF302" s="231"/>
      <c r="AG302" s="231"/>
      <c r="AH302" s="231"/>
    </row>
    <row r="303" spans="1:34" s="203" customFormat="1">
      <c r="A303" s="179"/>
      <c r="B303" s="180"/>
      <c r="C303" s="180"/>
      <c r="D303" s="181"/>
      <c r="E303" s="182"/>
      <c r="F303" s="183"/>
      <c r="G303" s="21"/>
      <c r="H303" s="183"/>
      <c r="I303" s="21"/>
      <c r="J303" s="231"/>
      <c r="K303" s="231"/>
      <c r="L303" s="231"/>
      <c r="M303" s="231"/>
      <c r="N303" s="231"/>
      <c r="O303" s="231"/>
      <c r="P303" s="231"/>
      <c r="Q303" s="231"/>
      <c r="R303" s="231"/>
      <c r="S303" s="231"/>
      <c r="T303" s="231"/>
      <c r="U303" s="231"/>
      <c r="V303" s="231"/>
      <c r="W303" s="231"/>
      <c r="X303" s="231"/>
      <c r="Y303" s="231"/>
      <c r="Z303" s="231"/>
      <c r="AA303" s="231"/>
      <c r="AB303" s="231"/>
      <c r="AC303" s="231"/>
      <c r="AD303" s="231"/>
      <c r="AE303" s="231"/>
      <c r="AF303" s="231"/>
      <c r="AG303" s="231"/>
      <c r="AH303" s="231"/>
    </row>
    <row r="304" spans="1:34" s="203" customFormat="1">
      <c r="A304" s="184"/>
      <c r="B304" s="207"/>
      <c r="C304" s="207"/>
      <c r="D304" s="209"/>
      <c r="E304" s="185"/>
      <c r="F304" s="207"/>
      <c r="G304" s="207"/>
      <c r="H304" s="131" t="s">
        <v>27</v>
      </c>
      <c r="I304" s="21"/>
      <c r="J304" s="231"/>
      <c r="K304" s="231"/>
      <c r="L304" s="231"/>
      <c r="M304" s="231"/>
      <c r="N304" s="231"/>
      <c r="O304" s="231"/>
      <c r="P304" s="231"/>
      <c r="Q304" s="231"/>
      <c r="R304" s="231"/>
      <c r="S304" s="231"/>
      <c r="T304" s="231"/>
      <c r="U304" s="231"/>
      <c r="V304" s="231"/>
      <c r="W304" s="231"/>
      <c r="X304" s="231"/>
      <c r="Y304" s="231"/>
      <c r="Z304" s="231"/>
      <c r="AA304" s="231"/>
      <c r="AB304" s="231"/>
      <c r="AC304" s="231"/>
      <c r="AD304" s="231"/>
      <c r="AE304" s="231"/>
      <c r="AF304" s="231"/>
      <c r="AG304" s="231"/>
      <c r="AH304" s="231"/>
    </row>
    <row r="305" spans="1:34" s="203" customFormat="1" ht="12.75" customHeight="1">
      <c r="A305" s="106" t="s">
        <v>21</v>
      </c>
      <c r="B305" s="164"/>
      <c r="C305" s="164"/>
      <c r="D305" s="164"/>
      <c r="E305" s="856" t="s">
        <v>377</v>
      </c>
      <c r="F305" s="856" t="s">
        <v>402</v>
      </c>
      <c r="G305" s="130"/>
      <c r="H305" s="856" t="s">
        <v>403</v>
      </c>
      <c r="I305" s="21"/>
      <c r="J305" s="231"/>
      <c r="K305" s="231"/>
      <c r="L305" s="231"/>
      <c r="M305" s="231"/>
      <c r="N305" s="231"/>
      <c r="O305" s="231"/>
      <c r="P305" s="231"/>
      <c r="Q305" s="231"/>
      <c r="R305" s="231"/>
      <c r="S305" s="231"/>
      <c r="T305" s="231"/>
      <c r="U305" s="231"/>
      <c r="V305" s="231"/>
      <c r="W305" s="231"/>
      <c r="X305" s="231"/>
      <c r="Y305" s="231"/>
      <c r="Z305" s="231"/>
      <c r="AA305" s="231"/>
      <c r="AB305" s="231"/>
      <c r="AC305" s="231"/>
      <c r="AD305" s="231"/>
      <c r="AE305" s="231"/>
      <c r="AF305" s="231"/>
      <c r="AG305" s="231"/>
      <c r="AH305" s="231"/>
    </row>
    <row r="306" spans="1:34" s="203" customFormat="1">
      <c r="A306" s="165"/>
      <c r="B306" s="47"/>
      <c r="C306" s="47"/>
      <c r="D306" s="47"/>
      <c r="E306" s="859"/>
      <c r="F306" s="859"/>
      <c r="G306" s="130"/>
      <c r="H306" s="859"/>
      <c r="I306" s="21"/>
      <c r="J306" s="231"/>
      <c r="K306" s="231"/>
      <c r="L306" s="231"/>
      <c r="M306" s="231"/>
      <c r="N306" s="231"/>
      <c r="O306" s="231"/>
      <c r="P306" s="231"/>
      <c r="Q306" s="231"/>
      <c r="R306" s="231"/>
      <c r="S306" s="231"/>
      <c r="T306" s="231"/>
      <c r="U306" s="231"/>
      <c r="V306" s="231"/>
      <c r="W306" s="231"/>
      <c r="X306" s="231"/>
      <c r="Y306" s="231"/>
      <c r="Z306" s="231"/>
      <c r="AA306" s="231"/>
      <c r="AB306" s="231"/>
      <c r="AC306" s="231"/>
      <c r="AD306" s="231"/>
      <c r="AE306" s="231"/>
      <c r="AF306" s="231"/>
      <c r="AG306" s="231"/>
      <c r="AH306" s="231"/>
    </row>
    <row r="307" spans="1:34" s="203" customFormat="1" ht="12.75" customHeight="1">
      <c r="A307" s="109"/>
      <c r="B307" s="174"/>
      <c r="C307" s="174"/>
      <c r="D307" s="174"/>
      <c r="E307" s="859"/>
      <c r="F307" s="859"/>
      <c r="G307" s="130"/>
      <c r="H307" s="859"/>
      <c r="I307" s="21"/>
      <c r="J307" s="231"/>
      <c r="K307" s="231"/>
      <c r="L307" s="231"/>
      <c r="M307" s="231"/>
      <c r="N307" s="231"/>
      <c r="O307" s="231"/>
      <c r="P307" s="231"/>
      <c r="Q307" s="231"/>
      <c r="R307" s="231"/>
      <c r="S307" s="231"/>
      <c r="T307" s="231"/>
      <c r="U307" s="231"/>
      <c r="V307" s="231"/>
      <c r="W307" s="231"/>
      <c r="X307" s="231"/>
      <c r="Y307" s="231"/>
      <c r="Z307" s="231"/>
      <c r="AA307" s="231"/>
      <c r="AB307" s="231"/>
      <c r="AC307" s="231"/>
      <c r="AD307" s="231"/>
      <c r="AE307" s="231"/>
      <c r="AF307" s="231"/>
      <c r="AG307" s="231"/>
      <c r="AH307" s="231"/>
    </row>
    <row r="308" spans="1:34" s="203" customFormat="1">
      <c r="A308" s="154" t="s">
        <v>233</v>
      </c>
      <c r="B308" s="47"/>
      <c r="C308" s="47"/>
      <c r="D308" s="47"/>
      <c r="E308" s="859"/>
      <c r="F308" s="859"/>
      <c r="G308" s="130"/>
      <c r="H308" s="859"/>
      <c r="I308" s="21"/>
      <c r="J308" s="231"/>
      <c r="K308" s="231"/>
      <c r="L308" s="231"/>
      <c r="M308" s="231"/>
      <c r="N308" s="231"/>
      <c r="O308" s="231"/>
      <c r="P308" s="231"/>
      <c r="Q308" s="231"/>
      <c r="R308" s="231"/>
      <c r="S308" s="231"/>
      <c r="T308" s="231"/>
      <c r="U308" s="231"/>
      <c r="V308" s="231"/>
      <c r="W308" s="231"/>
      <c r="X308" s="231"/>
      <c r="Y308" s="231"/>
      <c r="Z308" s="231"/>
      <c r="AA308" s="231"/>
      <c r="AB308" s="231"/>
      <c r="AC308" s="231"/>
      <c r="AD308" s="231"/>
      <c r="AE308" s="231"/>
      <c r="AF308" s="231"/>
      <c r="AG308" s="231"/>
      <c r="AH308" s="231"/>
    </row>
    <row r="309" spans="1:34" s="203" customFormat="1">
      <c r="A309" s="109" t="s">
        <v>83</v>
      </c>
      <c r="B309" s="174"/>
      <c r="C309" s="174"/>
      <c r="D309" s="174"/>
      <c r="E309" s="860"/>
      <c r="F309" s="860"/>
      <c r="G309" s="130"/>
      <c r="H309" s="860"/>
      <c r="I309" s="21"/>
      <c r="J309" s="231"/>
      <c r="K309" s="231"/>
      <c r="L309" s="231"/>
      <c r="M309" s="231"/>
      <c r="N309" s="231"/>
      <c r="O309" s="231"/>
      <c r="P309" s="231"/>
      <c r="Q309" s="231"/>
      <c r="R309" s="231"/>
      <c r="S309" s="231"/>
      <c r="T309" s="231"/>
      <c r="U309" s="231"/>
      <c r="V309" s="231"/>
      <c r="W309" s="231"/>
      <c r="X309" s="231"/>
      <c r="Y309" s="231"/>
      <c r="Z309" s="231"/>
      <c r="AA309" s="231"/>
      <c r="AB309" s="231"/>
      <c r="AC309" s="231"/>
      <c r="AD309" s="231"/>
      <c r="AE309" s="231"/>
      <c r="AF309" s="231"/>
      <c r="AG309" s="231"/>
      <c r="AH309" s="231"/>
    </row>
    <row r="310" spans="1:34" s="203" customFormat="1">
      <c r="A310" s="110" t="s">
        <v>84</v>
      </c>
      <c r="B310" s="116"/>
      <c r="C310" s="116"/>
      <c r="D310" s="116"/>
      <c r="E310" s="262"/>
      <c r="F310" s="146"/>
      <c r="G310" s="118"/>
      <c r="H310" s="146"/>
      <c r="I310" s="21"/>
      <c r="J310" s="231"/>
      <c r="K310" s="231"/>
      <c r="L310" s="231"/>
      <c r="M310" s="231"/>
      <c r="N310" s="231"/>
      <c r="O310" s="231"/>
      <c r="P310" s="231"/>
      <c r="Q310" s="231"/>
      <c r="R310" s="231"/>
      <c r="S310" s="231"/>
      <c r="T310" s="231"/>
      <c r="U310" s="231"/>
      <c r="V310" s="231"/>
      <c r="W310" s="231"/>
      <c r="X310" s="231"/>
      <c r="Y310" s="231"/>
      <c r="Z310" s="231"/>
      <c r="AA310" s="231"/>
      <c r="AB310" s="231"/>
      <c r="AC310" s="231"/>
      <c r="AD310" s="231"/>
      <c r="AE310" s="231"/>
      <c r="AF310" s="231"/>
      <c r="AG310" s="231"/>
      <c r="AH310" s="231"/>
    </row>
    <row r="311" spans="1:34" s="203" customFormat="1">
      <c r="A311" s="120">
        <v>1</v>
      </c>
      <c r="B311" s="47" t="s">
        <v>258</v>
      </c>
      <c r="C311" s="47"/>
      <c r="D311" s="186"/>
      <c r="E311" s="74">
        <v>0</v>
      </c>
      <c r="F311" s="52">
        <v>0</v>
      </c>
      <c r="G311" s="43"/>
      <c r="H311" s="52">
        <v>0</v>
      </c>
      <c r="I311" s="21"/>
      <c r="J311" s="231"/>
      <c r="K311" s="231"/>
      <c r="L311" s="231"/>
      <c r="M311" s="231"/>
      <c r="N311" s="231"/>
      <c r="O311" s="231"/>
      <c r="P311" s="231"/>
      <c r="Q311" s="231"/>
      <c r="R311" s="231"/>
      <c r="S311" s="231"/>
      <c r="T311" s="231"/>
      <c r="U311" s="231"/>
      <c r="V311" s="231"/>
      <c r="W311" s="231"/>
      <c r="X311" s="231"/>
      <c r="Y311" s="231"/>
      <c r="Z311" s="231"/>
      <c r="AA311" s="231"/>
      <c r="AB311" s="231"/>
      <c r="AC311" s="231"/>
      <c r="AD311" s="231"/>
      <c r="AE311" s="231"/>
      <c r="AF311" s="231"/>
      <c r="AG311" s="231"/>
      <c r="AH311" s="231"/>
    </row>
    <row r="312" spans="1:34" s="203" customFormat="1">
      <c r="A312" s="120">
        <v>2</v>
      </c>
      <c r="B312" s="47" t="s">
        <v>234</v>
      </c>
      <c r="C312" s="47"/>
      <c r="D312" s="186"/>
      <c r="E312" s="114">
        <v>0</v>
      </c>
      <c r="F312" s="52">
        <v>0</v>
      </c>
      <c r="G312" s="43"/>
      <c r="H312" s="52">
        <v>0</v>
      </c>
      <c r="I312" s="21"/>
      <c r="J312" s="231"/>
      <c r="K312" s="231"/>
      <c r="L312" s="231"/>
      <c r="M312" s="231"/>
      <c r="N312" s="231"/>
      <c r="O312" s="231"/>
      <c r="P312" s="231"/>
      <c r="Q312" s="231"/>
      <c r="R312" s="231"/>
      <c r="S312" s="231"/>
      <c r="T312" s="231"/>
      <c r="U312" s="231"/>
      <c r="V312" s="231"/>
      <c r="W312" s="231"/>
      <c r="X312" s="231"/>
      <c r="Y312" s="231"/>
      <c r="Z312" s="231"/>
      <c r="AA312" s="231"/>
      <c r="AB312" s="231"/>
      <c r="AC312" s="231"/>
      <c r="AD312" s="231"/>
      <c r="AE312" s="231"/>
      <c r="AF312" s="231"/>
      <c r="AG312" s="231"/>
      <c r="AH312" s="231"/>
    </row>
    <row r="313" spans="1:34" s="203" customFormat="1">
      <c r="A313" s="120">
        <v>3</v>
      </c>
      <c r="B313" s="47" t="s">
        <v>259</v>
      </c>
      <c r="C313" s="47"/>
      <c r="D313" s="186"/>
      <c r="E313" s="114">
        <v>-207</v>
      </c>
      <c r="F313" s="52">
        <v>-201</v>
      </c>
      <c r="G313" s="43"/>
      <c r="H313" s="52">
        <v>-211</v>
      </c>
      <c r="I313" s="21"/>
      <c r="J313" s="231"/>
      <c r="K313" s="231"/>
      <c r="L313" s="231"/>
      <c r="M313" s="231"/>
      <c r="N313" s="231"/>
      <c r="O313" s="231"/>
      <c r="P313" s="231"/>
      <c r="Q313" s="231"/>
      <c r="R313" s="231"/>
      <c r="S313" s="231"/>
      <c r="T313" s="231"/>
      <c r="U313" s="231"/>
      <c r="V313" s="231"/>
      <c r="W313" s="231"/>
      <c r="X313" s="231"/>
      <c r="Y313" s="231"/>
      <c r="Z313" s="231"/>
      <c r="AA313" s="231"/>
      <c r="AB313" s="231"/>
      <c r="AC313" s="231"/>
      <c r="AD313" s="231"/>
      <c r="AE313" s="231"/>
      <c r="AF313" s="231"/>
      <c r="AG313" s="231"/>
      <c r="AH313" s="231"/>
    </row>
    <row r="314" spans="1:34" s="203" customFormat="1">
      <c r="A314" s="120">
        <v>4</v>
      </c>
      <c r="B314" s="47" t="s">
        <v>235</v>
      </c>
      <c r="C314" s="47"/>
      <c r="D314" s="186"/>
      <c r="E314" s="114">
        <v>12258</v>
      </c>
      <c r="F314" s="52">
        <v>12173</v>
      </c>
      <c r="G314" s="43"/>
      <c r="H314" s="52">
        <v>12308</v>
      </c>
      <c r="I314" s="21"/>
      <c r="J314" s="231"/>
      <c r="K314" s="231"/>
      <c r="L314" s="231"/>
      <c r="M314" s="231"/>
      <c r="N314" s="231"/>
      <c r="O314" s="231"/>
      <c r="P314" s="231"/>
      <c r="Q314" s="231"/>
      <c r="R314" s="231"/>
      <c r="S314" s="231"/>
      <c r="T314" s="231"/>
      <c r="U314" s="231"/>
      <c r="V314" s="231"/>
      <c r="W314" s="231"/>
      <c r="X314" s="231"/>
      <c r="Y314" s="231"/>
      <c r="Z314" s="231"/>
      <c r="AA314" s="231"/>
      <c r="AB314" s="231"/>
      <c r="AC314" s="231"/>
      <c r="AD314" s="231"/>
      <c r="AE314" s="231"/>
      <c r="AF314" s="231"/>
      <c r="AG314" s="231"/>
      <c r="AH314" s="231"/>
    </row>
    <row r="315" spans="1:34" s="203" customFormat="1">
      <c r="A315" s="120">
        <v>5</v>
      </c>
      <c r="B315" s="47" t="s">
        <v>236</v>
      </c>
      <c r="C315" s="47"/>
      <c r="D315" s="186"/>
      <c r="E315" s="114">
        <v>1627</v>
      </c>
      <c r="F315" s="52">
        <v>1646</v>
      </c>
      <c r="G315" s="187"/>
      <c r="H315" s="52">
        <v>1646</v>
      </c>
      <c r="I315" s="21"/>
      <c r="J315" s="231"/>
      <c r="K315" s="231"/>
      <c r="L315" s="231"/>
      <c r="M315" s="231"/>
      <c r="N315" s="231"/>
      <c r="O315" s="231"/>
      <c r="P315" s="231"/>
      <c r="Q315" s="231"/>
      <c r="R315" s="231"/>
      <c r="S315" s="231"/>
      <c r="T315" s="231"/>
      <c r="U315" s="231"/>
      <c r="V315" s="231"/>
      <c r="W315" s="231"/>
      <c r="X315" s="231"/>
      <c r="Y315" s="231"/>
      <c r="Z315" s="231"/>
      <c r="AA315" s="231"/>
      <c r="AB315" s="231"/>
      <c r="AC315" s="231"/>
      <c r="AD315" s="231"/>
      <c r="AE315" s="231"/>
      <c r="AF315" s="231"/>
      <c r="AG315" s="231"/>
      <c r="AH315" s="231"/>
    </row>
    <row r="316" spans="1:34" s="203" customFormat="1">
      <c r="A316" s="120">
        <v>6</v>
      </c>
      <c r="B316" s="47" t="s">
        <v>237</v>
      </c>
      <c r="C316" s="47"/>
      <c r="D316" s="186"/>
      <c r="E316" s="114">
        <v>9916</v>
      </c>
      <c r="F316" s="52">
        <v>9641</v>
      </c>
      <c r="G316" s="43"/>
      <c r="H316" s="52">
        <v>9960</v>
      </c>
      <c r="I316" s="21"/>
      <c r="J316" s="231"/>
      <c r="K316" s="231"/>
      <c r="L316" s="231"/>
      <c r="M316" s="231"/>
      <c r="N316" s="231"/>
      <c r="O316" s="231"/>
      <c r="P316" s="231"/>
      <c r="Q316" s="231"/>
      <c r="R316" s="231"/>
      <c r="S316" s="231"/>
      <c r="T316" s="231"/>
      <c r="U316" s="231"/>
      <c r="V316" s="231"/>
      <c r="W316" s="231"/>
      <c r="X316" s="231"/>
      <c r="Y316" s="231"/>
      <c r="Z316" s="231"/>
      <c r="AA316" s="231"/>
      <c r="AB316" s="231"/>
      <c r="AC316" s="231"/>
      <c r="AD316" s="231"/>
      <c r="AE316" s="231"/>
      <c r="AF316" s="231"/>
      <c r="AG316" s="231"/>
      <c r="AH316" s="231"/>
    </row>
    <row r="317" spans="1:34" s="203" customFormat="1">
      <c r="A317" s="120">
        <v>7</v>
      </c>
      <c r="B317" s="47" t="s">
        <v>238</v>
      </c>
      <c r="C317" s="47"/>
      <c r="D317" s="186"/>
      <c r="E317" s="114">
        <v>0</v>
      </c>
      <c r="F317" s="52">
        <v>0</v>
      </c>
      <c r="G317" s="43"/>
      <c r="H317" s="52">
        <v>0</v>
      </c>
      <c r="I317" s="21"/>
      <c r="J317" s="231"/>
      <c r="K317" s="231"/>
      <c r="L317" s="231"/>
      <c r="M317" s="231"/>
      <c r="N317" s="231"/>
      <c r="O317" s="231"/>
      <c r="P317" s="231"/>
      <c r="Q317" s="231"/>
      <c r="R317" s="231"/>
      <c r="S317" s="231"/>
      <c r="T317" s="231"/>
      <c r="U317" s="231"/>
      <c r="V317" s="231"/>
      <c r="W317" s="231"/>
      <c r="X317" s="231"/>
      <c r="Y317" s="231"/>
      <c r="Z317" s="231"/>
      <c r="AA317" s="231"/>
      <c r="AB317" s="231"/>
      <c r="AC317" s="231"/>
      <c r="AD317" s="231"/>
      <c r="AE317" s="231"/>
      <c r="AF317" s="231"/>
      <c r="AG317" s="231"/>
      <c r="AH317" s="231"/>
    </row>
    <row r="318" spans="1:34" s="203" customFormat="1">
      <c r="A318" s="120">
        <v>8</v>
      </c>
      <c r="B318" s="47" t="s">
        <v>239</v>
      </c>
      <c r="C318" s="47"/>
      <c r="D318" s="186"/>
      <c r="E318" s="114">
        <v>90</v>
      </c>
      <c r="F318" s="52">
        <v>90</v>
      </c>
      <c r="G318" s="43"/>
      <c r="H318" s="52">
        <v>90</v>
      </c>
      <c r="I318" s="21"/>
      <c r="J318" s="231"/>
      <c r="K318" s="231"/>
      <c r="L318" s="231"/>
      <c r="M318" s="231"/>
      <c r="N318" s="231"/>
      <c r="O318" s="231"/>
      <c r="P318" s="231"/>
      <c r="Q318" s="231"/>
      <c r="R318" s="231"/>
      <c r="S318" s="231"/>
      <c r="T318" s="231"/>
      <c r="U318" s="231"/>
      <c r="V318" s="231"/>
      <c r="W318" s="231"/>
      <c r="X318" s="231"/>
      <c r="Y318" s="231"/>
      <c r="Z318" s="231"/>
      <c r="AA318" s="231"/>
      <c r="AB318" s="231"/>
      <c r="AC318" s="231"/>
      <c r="AD318" s="231"/>
      <c r="AE318" s="231"/>
      <c r="AF318" s="231"/>
      <c r="AG318" s="231"/>
      <c r="AH318" s="231"/>
    </row>
    <row r="319" spans="1:34" s="203" customFormat="1">
      <c r="A319" s="686">
        <v>9</v>
      </c>
      <c r="B319" s="90" t="s">
        <v>260</v>
      </c>
      <c r="C319" s="47"/>
      <c r="D319" s="47"/>
      <c r="E319" s="114">
        <v>0</v>
      </c>
      <c r="F319" s="188"/>
      <c r="G319" s="43"/>
      <c r="H319" s="189">
        <v>0</v>
      </c>
      <c r="I319" s="21"/>
      <c r="J319" s="231"/>
      <c r="K319" s="231"/>
      <c r="L319" s="231"/>
      <c r="M319" s="231"/>
      <c r="N319" s="231"/>
      <c r="O319" s="231"/>
      <c r="P319" s="231"/>
      <c r="Q319" s="231"/>
      <c r="R319" s="231"/>
      <c r="S319" s="231"/>
      <c r="T319" s="231"/>
      <c r="U319" s="231"/>
      <c r="V319" s="231"/>
      <c r="W319" s="231"/>
      <c r="X319" s="231"/>
      <c r="Y319" s="231"/>
      <c r="Z319" s="231"/>
      <c r="AA319" s="231"/>
      <c r="AB319" s="231"/>
      <c r="AC319" s="231"/>
      <c r="AD319" s="231"/>
      <c r="AE319" s="231"/>
      <c r="AF319" s="231"/>
      <c r="AG319" s="231"/>
      <c r="AH319" s="231"/>
    </row>
    <row r="320" spans="1:34" s="203" customFormat="1">
      <c r="A320" s="124">
        <v>10</v>
      </c>
      <c r="B320" s="94" t="s">
        <v>62</v>
      </c>
      <c r="C320" s="94"/>
      <c r="D320" s="94"/>
      <c r="E320" s="159">
        <v>23684</v>
      </c>
      <c r="F320" s="61">
        <f>F311+F312+F313+F314+F315+F316+F317+F318</f>
        <v>23349</v>
      </c>
      <c r="G320" s="118"/>
      <c r="H320" s="61">
        <f>H311+H312+H313+H314+H315+H316+H317+H318+H319</f>
        <v>23793</v>
      </c>
      <c r="I320" s="183"/>
      <c r="J320" s="231"/>
      <c r="K320" s="231"/>
      <c r="L320" s="231"/>
      <c r="M320" s="231"/>
      <c r="N320" s="231"/>
      <c r="O320" s="231"/>
      <c r="P320" s="231"/>
      <c r="Q320" s="231"/>
      <c r="R320" s="231"/>
      <c r="S320" s="231"/>
      <c r="T320" s="231"/>
      <c r="U320" s="231"/>
      <c r="V320" s="231"/>
      <c r="W320" s="231"/>
      <c r="X320" s="231"/>
      <c r="Y320" s="231"/>
      <c r="Z320" s="231"/>
      <c r="AA320" s="231"/>
      <c r="AB320" s="231"/>
      <c r="AC320" s="231"/>
      <c r="AD320" s="231"/>
      <c r="AE320" s="231"/>
      <c r="AF320" s="231"/>
      <c r="AG320" s="231"/>
      <c r="AH320" s="231"/>
    </row>
    <row r="321" spans="1:34" s="203" customFormat="1">
      <c r="A321" s="179"/>
      <c r="B321" s="180"/>
      <c r="C321" s="180"/>
      <c r="D321" s="180"/>
      <c r="E321" s="180"/>
      <c r="F321" s="183"/>
      <c r="G321" s="21"/>
      <c r="H321" s="183"/>
      <c r="I321" s="183"/>
      <c r="J321" s="231"/>
      <c r="K321" s="231"/>
      <c r="L321" s="231"/>
      <c r="M321" s="231"/>
      <c r="N321" s="231"/>
      <c r="O321" s="231"/>
      <c r="P321" s="231"/>
      <c r="Q321" s="231"/>
      <c r="R321" s="231"/>
      <c r="S321" s="231"/>
      <c r="T321" s="231"/>
      <c r="U321" s="231"/>
      <c r="V321" s="231"/>
      <c r="W321" s="231"/>
      <c r="X321" s="231"/>
      <c r="Y321" s="231"/>
      <c r="Z321" s="231"/>
      <c r="AA321" s="231"/>
      <c r="AB321" s="231"/>
      <c r="AC321" s="231"/>
      <c r="AD321" s="231"/>
      <c r="AE321" s="231"/>
      <c r="AF321" s="231"/>
      <c r="AG321" s="231"/>
      <c r="AH321" s="231"/>
    </row>
    <row r="322" spans="1:34" s="203" customFormat="1">
      <c r="A322" s="148"/>
      <c r="B322" s="207"/>
      <c r="C322" s="207"/>
      <c r="D322" s="29"/>
      <c r="E322" s="29"/>
      <c r="F322" s="29"/>
      <c r="G322" s="29"/>
      <c r="H322" s="31" t="s">
        <v>27</v>
      </c>
      <c r="I322" s="2"/>
      <c r="J322" s="231"/>
      <c r="K322" s="231"/>
      <c r="L322" s="231"/>
      <c r="M322" s="231"/>
      <c r="N322" s="231"/>
      <c r="O322" s="231"/>
      <c r="P322" s="231"/>
      <c r="Q322" s="231"/>
      <c r="R322" s="231"/>
      <c r="S322" s="231"/>
      <c r="T322" s="231"/>
      <c r="U322" s="231"/>
      <c r="V322" s="231"/>
      <c r="W322" s="231"/>
      <c r="X322" s="231"/>
      <c r="Y322" s="231"/>
      <c r="Z322" s="231"/>
      <c r="AA322" s="231"/>
      <c r="AB322" s="231"/>
      <c r="AC322" s="231"/>
      <c r="AD322" s="231"/>
      <c r="AE322" s="231"/>
      <c r="AF322" s="231"/>
      <c r="AG322" s="231"/>
      <c r="AH322" s="231"/>
    </row>
    <row r="323" spans="1:34" s="203" customFormat="1">
      <c r="A323" s="190" t="s">
        <v>240</v>
      </c>
      <c r="B323" s="263"/>
      <c r="C323" s="861" t="s">
        <v>405</v>
      </c>
      <c r="D323" s="862"/>
      <c r="E323" s="862"/>
      <c r="F323" s="862"/>
      <c r="G323" s="862"/>
      <c r="H323" s="863"/>
      <c r="I323" s="210"/>
      <c r="J323" s="231"/>
      <c r="K323" s="231"/>
      <c r="L323" s="231"/>
      <c r="M323" s="231"/>
      <c r="N323" s="231"/>
      <c r="O323" s="231"/>
      <c r="P323" s="231"/>
      <c r="Q323" s="231"/>
      <c r="R323" s="231"/>
      <c r="S323" s="231"/>
      <c r="T323" s="231"/>
      <c r="U323" s="231"/>
      <c r="V323" s="231"/>
      <c r="W323" s="231"/>
      <c r="X323" s="231"/>
      <c r="Y323" s="231"/>
      <c r="Z323" s="231"/>
      <c r="AA323" s="231"/>
      <c r="AB323" s="231"/>
      <c r="AC323" s="231"/>
      <c r="AD323" s="231"/>
      <c r="AE323" s="231"/>
      <c r="AF323" s="231"/>
      <c r="AG323" s="231"/>
      <c r="AH323" s="231"/>
    </row>
    <row r="324" spans="1:34" s="203" customFormat="1" ht="39" thickBot="1">
      <c r="A324" s="110" t="s">
        <v>84</v>
      </c>
      <c r="B324" s="116"/>
      <c r="C324" s="35" t="s">
        <v>52</v>
      </c>
      <c r="D324" s="35" t="s">
        <v>53</v>
      </c>
      <c r="E324" s="37" t="s">
        <v>54</v>
      </c>
      <c r="F324" s="37" t="s">
        <v>55</v>
      </c>
      <c r="G324" s="37" t="s">
        <v>241</v>
      </c>
      <c r="H324" s="35" t="s">
        <v>121</v>
      </c>
      <c r="I324" s="29"/>
      <c r="J324" s="231"/>
      <c r="K324" s="231"/>
      <c r="L324" s="231"/>
      <c r="M324" s="231"/>
      <c r="N324" s="231"/>
      <c r="O324" s="231"/>
      <c r="P324" s="231"/>
      <c r="Q324" s="231"/>
      <c r="R324" s="231"/>
      <c r="S324" s="231"/>
      <c r="T324" s="231"/>
      <c r="U324" s="231"/>
      <c r="V324" s="231"/>
      <c r="W324" s="231"/>
      <c r="X324" s="231"/>
      <c r="Y324" s="231"/>
      <c r="Z324" s="231"/>
      <c r="AA324" s="231"/>
      <c r="AB324" s="231"/>
      <c r="AC324" s="231"/>
      <c r="AD324" s="231"/>
      <c r="AE324" s="231"/>
      <c r="AF324" s="231"/>
      <c r="AG324" s="231"/>
      <c r="AH324" s="231"/>
    </row>
    <row r="325" spans="1:34" s="203" customFormat="1" ht="13.5" thickBot="1">
      <c r="A325" s="686">
        <v>1</v>
      </c>
      <c r="B325" s="116" t="s">
        <v>242</v>
      </c>
      <c r="C325" s="193">
        <f t="shared" ref="C325:H325" si="0">SUM(C326:C329)</f>
        <v>9104</v>
      </c>
      <c r="D325" s="193">
        <f t="shared" si="0"/>
        <v>0</v>
      </c>
      <c r="E325" s="193">
        <v>0</v>
      </c>
      <c r="F325" s="193">
        <f t="shared" si="0"/>
        <v>0</v>
      </c>
      <c r="G325" s="193">
        <f>SUM(G326:G329)</f>
        <v>0</v>
      </c>
      <c r="H325" s="193">
        <f t="shared" si="0"/>
        <v>0</v>
      </c>
      <c r="I325" s="207"/>
      <c r="J325" s="231"/>
      <c r="K325" s="231"/>
      <c r="L325" s="231"/>
      <c r="M325" s="231"/>
      <c r="N325" s="231"/>
      <c r="O325" s="231"/>
      <c r="P325" s="231"/>
      <c r="Q325" s="231"/>
      <c r="R325" s="231"/>
      <c r="S325" s="231"/>
      <c r="T325" s="231"/>
      <c r="U325" s="231"/>
      <c r="V325" s="231"/>
      <c r="W325" s="231"/>
      <c r="X325" s="231"/>
      <c r="Y325" s="231"/>
      <c r="Z325" s="231"/>
      <c r="AA325" s="231"/>
      <c r="AB325" s="231"/>
      <c r="AC325" s="231"/>
      <c r="AD325" s="231"/>
      <c r="AE325" s="231"/>
      <c r="AF325" s="231"/>
      <c r="AG325" s="231"/>
      <c r="AH325" s="231"/>
    </row>
    <row r="326" spans="1:34" s="203" customFormat="1">
      <c r="A326" s="686">
        <v>2</v>
      </c>
      <c r="B326" s="47" t="s">
        <v>243</v>
      </c>
      <c r="C326" s="169">
        <v>5131</v>
      </c>
      <c r="D326" s="169">
        <v>0</v>
      </c>
      <c r="E326" s="169">
        <v>0</v>
      </c>
      <c r="F326" s="169">
        <v>0</v>
      </c>
      <c r="G326" s="169">
        <v>0</v>
      </c>
      <c r="H326" s="169">
        <v>0</v>
      </c>
      <c r="I326" s="207"/>
      <c r="J326" s="231"/>
      <c r="K326" s="231"/>
      <c r="L326" s="231"/>
      <c r="M326" s="231"/>
      <c r="N326" s="231"/>
      <c r="O326" s="231"/>
      <c r="P326" s="231"/>
      <c r="Q326" s="231"/>
      <c r="R326" s="231"/>
      <c r="S326" s="231"/>
      <c r="T326" s="231"/>
      <c r="U326" s="231"/>
      <c r="V326" s="231"/>
      <c r="W326" s="231"/>
      <c r="X326" s="231"/>
      <c r="Y326" s="231"/>
      <c r="Z326" s="231"/>
      <c r="AA326" s="231"/>
      <c r="AB326" s="231"/>
      <c r="AC326" s="231"/>
      <c r="AD326" s="231"/>
      <c r="AE326" s="231"/>
      <c r="AF326" s="231"/>
      <c r="AG326" s="231"/>
      <c r="AH326" s="231"/>
    </row>
    <row r="327" spans="1:34" s="203" customFormat="1">
      <c r="A327" s="686">
        <v>3</v>
      </c>
      <c r="B327" s="47" t="s">
        <v>244</v>
      </c>
      <c r="C327" s="99">
        <v>2553</v>
      </c>
      <c r="D327" s="99">
        <v>0</v>
      </c>
      <c r="E327" s="99">
        <v>0</v>
      </c>
      <c r="F327" s="99">
        <v>0</v>
      </c>
      <c r="G327" s="99">
        <v>0</v>
      </c>
      <c r="H327" s="99">
        <v>0</v>
      </c>
      <c r="I327" s="207"/>
      <c r="J327" s="231"/>
      <c r="K327" s="231"/>
      <c r="L327" s="231"/>
      <c r="M327" s="231"/>
      <c r="N327" s="231"/>
      <c r="O327" s="231"/>
      <c r="P327" s="231"/>
      <c r="Q327" s="231"/>
      <c r="R327" s="231"/>
      <c r="S327" s="231"/>
      <c r="T327" s="231"/>
      <c r="U327" s="231"/>
      <c r="V327" s="231"/>
      <c r="W327" s="231"/>
      <c r="X327" s="231"/>
      <c r="Y327" s="231"/>
      <c r="Z327" s="231"/>
      <c r="AA327" s="231"/>
      <c r="AB327" s="231"/>
      <c r="AC327" s="231"/>
      <c r="AD327" s="231"/>
      <c r="AE327" s="231"/>
      <c r="AF327" s="231"/>
      <c r="AG327" s="231"/>
      <c r="AH327" s="231"/>
    </row>
    <row r="328" spans="1:34" s="203" customFormat="1">
      <c r="A328" s="686">
        <v>4</v>
      </c>
      <c r="B328" s="47" t="s">
        <v>245</v>
      </c>
      <c r="C328" s="99">
        <v>1420</v>
      </c>
      <c r="D328" s="99">
        <v>0</v>
      </c>
      <c r="E328" s="99">
        <v>0</v>
      </c>
      <c r="F328" s="99">
        <v>0</v>
      </c>
      <c r="G328" s="99">
        <v>0</v>
      </c>
      <c r="H328" s="99">
        <v>0</v>
      </c>
      <c r="I328" s="207"/>
      <c r="J328" s="231"/>
      <c r="K328" s="231"/>
      <c r="L328" s="231"/>
      <c r="M328" s="231"/>
      <c r="N328" s="231"/>
      <c r="O328" s="231"/>
      <c r="P328" s="231"/>
      <c r="Q328" s="231"/>
      <c r="R328" s="231"/>
      <c r="S328" s="231"/>
      <c r="T328" s="231"/>
      <c r="U328" s="231"/>
      <c r="V328" s="231"/>
      <c r="W328" s="231"/>
      <c r="X328" s="231"/>
      <c r="Y328" s="231"/>
      <c r="Z328" s="231"/>
      <c r="AA328" s="231"/>
      <c r="AB328" s="231"/>
      <c r="AC328" s="231"/>
      <c r="AD328" s="231"/>
      <c r="AE328" s="231"/>
      <c r="AF328" s="231"/>
      <c r="AG328" s="231"/>
      <c r="AH328" s="231"/>
    </row>
    <row r="329" spans="1:34" s="203" customFormat="1">
      <c r="A329" s="687">
        <v>5</v>
      </c>
      <c r="B329" s="54" t="s">
        <v>246</v>
      </c>
      <c r="C329" s="100">
        <v>0</v>
      </c>
      <c r="D329" s="100">
        <v>0</v>
      </c>
      <c r="E329" s="100">
        <v>0</v>
      </c>
      <c r="F329" s="100">
        <v>0</v>
      </c>
      <c r="G329" s="100">
        <v>0</v>
      </c>
      <c r="H329" s="100">
        <v>0</v>
      </c>
      <c r="I329" s="207"/>
      <c r="J329" s="231"/>
      <c r="K329" s="231"/>
      <c r="L329" s="231"/>
      <c r="M329" s="231"/>
      <c r="N329" s="231"/>
      <c r="O329" s="231"/>
      <c r="P329" s="231"/>
      <c r="Q329" s="231"/>
      <c r="R329" s="231"/>
      <c r="S329" s="231"/>
      <c r="T329" s="231"/>
      <c r="U329" s="231"/>
      <c r="V329" s="231"/>
      <c r="W329" s="231"/>
      <c r="X329" s="231"/>
      <c r="Y329" s="231"/>
      <c r="Z329" s="231"/>
      <c r="AA329" s="231"/>
      <c r="AB329" s="231"/>
      <c r="AC329" s="231"/>
      <c r="AD329" s="231"/>
      <c r="AE329" s="231"/>
      <c r="AF329" s="231"/>
      <c r="AG329" s="231"/>
      <c r="AH329" s="231"/>
    </row>
    <row r="330" spans="1:34" s="203" customFormat="1">
      <c r="A330" s="686"/>
      <c r="B330" s="47"/>
      <c r="C330" s="864" t="s">
        <v>404</v>
      </c>
      <c r="D330" s="865"/>
      <c r="E330" s="865"/>
      <c r="F330" s="865"/>
      <c r="G330" s="865"/>
      <c r="H330" s="866"/>
      <c r="I330" s="207"/>
      <c r="J330" s="231"/>
      <c r="K330" s="231"/>
      <c r="L330" s="231"/>
      <c r="M330" s="231"/>
      <c r="N330" s="231"/>
      <c r="O330" s="231"/>
      <c r="P330" s="231"/>
      <c r="Q330" s="231"/>
      <c r="R330" s="231"/>
      <c r="S330" s="231"/>
      <c r="T330" s="231"/>
      <c r="U330" s="231"/>
      <c r="V330" s="231"/>
      <c r="W330" s="231"/>
      <c r="X330" s="231"/>
      <c r="Y330" s="231"/>
      <c r="Z330" s="231"/>
      <c r="AA330" s="231"/>
      <c r="AB330" s="231"/>
      <c r="AC330" s="231"/>
      <c r="AD330" s="231"/>
      <c r="AE330" s="231"/>
      <c r="AF330" s="231"/>
      <c r="AG330" s="231"/>
      <c r="AH330" s="231"/>
    </row>
    <row r="331" spans="1:34" s="203" customFormat="1" ht="39" thickBot="1">
      <c r="A331" s="110" t="s">
        <v>84</v>
      </c>
      <c r="B331" s="116"/>
      <c r="C331" s="35" t="s">
        <v>52</v>
      </c>
      <c r="D331" s="35" t="s">
        <v>53</v>
      </c>
      <c r="E331" s="37" t="s">
        <v>54</v>
      </c>
      <c r="F331" s="37" t="s">
        <v>55</v>
      </c>
      <c r="G331" s="37" t="s">
        <v>241</v>
      </c>
      <c r="H331" s="35" t="s">
        <v>121</v>
      </c>
      <c r="I331" s="207"/>
      <c r="J331" s="231"/>
      <c r="K331" s="231"/>
      <c r="L331" s="231"/>
      <c r="M331" s="231"/>
      <c r="N331" s="231"/>
      <c r="O331" s="231"/>
      <c r="P331" s="231"/>
      <c r="Q331" s="231"/>
      <c r="R331" s="231"/>
      <c r="S331" s="231"/>
      <c r="T331" s="231"/>
      <c r="U331" s="231"/>
      <c r="V331" s="231"/>
      <c r="W331" s="231"/>
      <c r="X331" s="231"/>
      <c r="Y331" s="231"/>
      <c r="Z331" s="231"/>
      <c r="AA331" s="231"/>
      <c r="AB331" s="231"/>
      <c r="AC331" s="231"/>
      <c r="AD331" s="231"/>
      <c r="AE331" s="231"/>
      <c r="AF331" s="231"/>
      <c r="AG331" s="231"/>
      <c r="AH331" s="231"/>
    </row>
    <row r="332" spans="1:34" s="203" customFormat="1" ht="13.5" thickBot="1">
      <c r="A332" s="686">
        <v>1</v>
      </c>
      <c r="B332" s="116" t="s">
        <v>242</v>
      </c>
      <c r="C332" s="193">
        <f t="shared" ref="C332:H332" si="1">SUM(C333:C336)</f>
        <v>9363</v>
      </c>
      <c r="D332" s="193">
        <f t="shared" si="1"/>
        <v>0</v>
      </c>
      <c r="E332" s="193">
        <v>0</v>
      </c>
      <c r="F332" s="193">
        <f t="shared" si="1"/>
        <v>0</v>
      </c>
      <c r="G332" s="193">
        <f>SUM(G333:G336)</f>
        <v>0</v>
      </c>
      <c r="H332" s="193">
        <f t="shared" si="1"/>
        <v>0</v>
      </c>
      <c r="I332" s="207"/>
      <c r="J332" s="231"/>
      <c r="K332" s="231"/>
      <c r="L332" s="231"/>
      <c r="M332" s="231"/>
      <c r="N332" s="231"/>
      <c r="O332" s="231"/>
      <c r="P332" s="231"/>
      <c r="Q332" s="231"/>
      <c r="R332" s="231"/>
      <c r="S332" s="231"/>
      <c r="T332" s="231"/>
      <c r="U332" s="231"/>
      <c r="V332" s="231"/>
      <c r="W332" s="231"/>
      <c r="X332" s="231"/>
      <c r="Y332" s="231"/>
      <c r="Z332" s="231"/>
      <c r="AA332" s="231"/>
      <c r="AB332" s="231"/>
      <c r="AC332" s="231"/>
      <c r="AD332" s="231"/>
      <c r="AE332" s="231"/>
      <c r="AF332" s="231"/>
      <c r="AG332" s="231"/>
      <c r="AH332" s="231"/>
    </row>
    <row r="333" spans="1:34" s="203" customFormat="1">
      <c r="A333" s="686">
        <v>2</v>
      </c>
      <c r="B333" s="47" t="s">
        <v>243</v>
      </c>
      <c r="C333" s="169">
        <v>5617</v>
      </c>
      <c r="D333" s="169">
        <v>0</v>
      </c>
      <c r="E333" s="169">
        <v>0</v>
      </c>
      <c r="F333" s="169">
        <v>0</v>
      </c>
      <c r="G333" s="169">
        <v>0</v>
      </c>
      <c r="H333" s="169">
        <v>0</v>
      </c>
      <c r="I333" s="207"/>
      <c r="J333" s="231"/>
      <c r="K333" s="231"/>
      <c r="L333" s="231"/>
      <c r="M333" s="231"/>
      <c r="N333" s="231"/>
      <c r="O333" s="231"/>
      <c r="P333" s="231"/>
      <c r="Q333" s="231"/>
      <c r="R333" s="231"/>
      <c r="S333" s="231"/>
      <c r="T333" s="231"/>
      <c r="U333" s="231"/>
      <c r="V333" s="231"/>
      <c r="W333" s="231"/>
      <c r="X333" s="231"/>
      <c r="Y333" s="231"/>
      <c r="Z333" s="231"/>
      <c r="AA333" s="231"/>
      <c r="AB333" s="231"/>
      <c r="AC333" s="231"/>
      <c r="AD333" s="231"/>
      <c r="AE333" s="231"/>
      <c r="AF333" s="231"/>
      <c r="AG333" s="231"/>
      <c r="AH333" s="231"/>
    </row>
    <row r="334" spans="1:34" s="203" customFormat="1">
      <c r="A334" s="686">
        <v>3</v>
      </c>
      <c r="B334" s="47" t="s">
        <v>244</v>
      </c>
      <c r="C334" s="99">
        <v>2459</v>
      </c>
      <c r="D334" s="99">
        <v>0</v>
      </c>
      <c r="E334" s="99">
        <v>0</v>
      </c>
      <c r="F334" s="99">
        <v>0</v>
      </c>
      <c r="G334" s="99">
        <v>0</v>
      </c>
      <c r="H334" s="99">
        <v>0</v>
      </c>
      <c r="I334" s="207"/>
      <c r="J334" s="231"/>
      <c r="K334" s="231"/>
      <c r="L334" s="231"/>
      <c r="M334" s="231"/>
      <c r="N334" s="231"/>
      <c r="O334" s="231"/>
      <c r="P334" s="231"/>
      <c r="Q334" s="231"/>
      <c r="R334" s="231"/>
      <c r="S334" s="231"/>
      <c r="T334" s="231"/>
      <c r="U334" s="231"/>
      <c r="V334" s="231"/>
      <c r="W334" s="231"/>
      <c r="X334" s="231"/>
      <c r="Y334" s="231"/>
      <c r="Z334" s="231"/>
      <c r="AA334" s="231"/>
      <c r="AB334" s="231"/>
      <c r="AC334" s="231"/>
      <c r="AD334" s="231"/>
      <c r="AE334" s="231"/>
      <c r="AF334" s="231"/>
      <c r="AG334" s="231"/>
      <c r="AH334" s="231"/>
    </row>
    <row r="335" spans="1:34" s="203" customFormat="1">
      <c r="A335" s="686">
        <v>4</v>
      </c>
      <c r="B335" s="47" t="s">
        <v>245</v>
      </c>
      <c r="C335" s="99">
        <v>1287</v>
      </c>
      <c r="D335" s="99">
        <v>0</v>
      </c>
      <c r="E335" s="99">
        <v>0</v>
      </c>
      <c r="F335" s="99">
        <v>0</v>
      </c>
      <c r="G335" s="99">
        <v>0</v>
      </c>
      <c r="H335" s="99">
        <v>0</v>
      </c>
      <c r="I335" s="207"/>
      <c r="J335" s="231"/>
      <c r="K335" s="231"/>
      <c r="L335" s="231"/>
      <c r="M335" s="231"/>
      <c r="N335" s="231"/>
      <c r="O335" s="231"/>
      <c r="P335" s="231"/>
      <c r="Q335" s="231"/>
      <c r="R335" s="231"/>
      <c r="S335" s="231"/>
      <c r="T335" s="231"/>
      <c r="U335" s="231"/>
      <c r="V335" s="231"/>
      <c r="W335" s="231"/>
      <c r="X335" s="231"/>
      <c r="Y335" s="231"/>
      <c r="Z335" s="231"/>
      <c r="AA335" s="231"/>
      <c r="AB335" s="231"/>
      <c r="AC335" s="231"/>
      <c r="AD335" s="231"/>
      <c r="AE335" s="231"/>
      <c r="AF335" s="231"/>
      <c r="AG335" s="231"/>
      <c r="AH335" s="231"/>
    </row>
    <row r="336" spans="1:34" s="203" customFormat="1">
      <c r="A336" s="687">
        <v>5</v>
      </c>
      <c r="B336" s="54" t="s">
        <v>246</v>
      </c>
      <c r="C336" s="100">
        <v>0</v>
      </c>
      <c r="D336" s="100">
        <v>0</v>
      </c>
      <c r="E336" s="100">
        <v>0</v>
      </c>
      <c r="F336" s="100">
        <v>0</v>
      </c>
      <c r="G336" s="100">
        <v>0</v>
      </c>
      <c r="H336" s="100">
        <v>0</v>
      </c>
      <c r="I336" s="207"/>
      <c r="J336" s="231"/>
      <c r="K336" s="231"/>
      <c r="L336" s="231"/>
      <c r="M336" s="231"/>
      <c r="N336" s="231"/>
      <c r="O336" s="231"/>
      <c r="P336" s="231"/>
      <c r="Q336" s="231"/>
      <c r="R336" s="231"/>
      <c r="S336" s="231"/>
      <c r="T336" s="231"/>
      <c r="U336" s="231"/>
      <c r="V336" s="231"/>
      <c r="W336" s="231"/>
      <c r="X336" s="231"/>
      <c r="Y336" s="231"/>
      <c r="Z336" s="231"/>
      <c r="AA336" s="231"/>
      <c r="AB336" s="231"/>
      <c r="AC336" s="231"/>
      <c r="AD336" s="231"/>
      <c r="AE336" s="231"/>
      <c r="AF336" s="231"/>
      <c r="AG336" s="231"/>
      <c r="AH336" s="231"/>
    </row>
    <row r="337" spans="1:34" s="203" customFormat="1">
      <c r="A337" s="23"/>
      <c r="B337" s="207"/>
      <c r="C337" s="207"/>
      <c r="D337" s="207"/>
      <c r="E337" s="207"/>
      <c r="F337" s="207"/>
      <c r="G337" s="207"/>
      <c r="H337" s="21"/>
      <c r="I337" s="21"/>
      <c r="J337" s="231"/>
      <c r="K337" s="231"/>
      <c r="L337" s="231"/>
      <c r="M337" s="231"/>
      <c r="N337" s="231"/>
      <c r="O337" s="231"/>
      <c r="P337" s="231"/>
      <c r="Q337" s="231"/>
      <c r="R337" s="231"/>
      <c r="S337" s="231"/>
      <c r="T337" s="231"/>
      <c r="U337" s="231"/>
      <c r="V337" s="231"/>
      <c r="W337" s="231"/>
      <c r="X337" s="231"/>
      <c r="Y337" s="231"/>
      <c r="Z337" s="231"/>
      <c r="AA337" s="231"/>
      <c r="AB337" s="231"/>
      <c r="AC337" s="231"/>
      <c r="AD337" s="231"/>
      <c r="AE337" s="231"/>
      <c r="AF337" s="231"/>
      <c r="AG337" s="231"/>
      <c r="AH337" s="231"/>
    </row>
    <row r="338" spans="1:34" s="203" customFormat="1" ht="12.75" customHeight="1">
      <c r="A338" s="23"/>
      <c r="B338" s="207"/>
      <c r="C338" s="207"/>
      <c r="D338" s="207"/>
      <c r="E338" s="207"/>
      <c r="F338" s="207"/>
      <c r="G338" s="207"/>
      <c r="H338" s="21"/>
      <c r="I338" s="21"/>
      <c r="J338" s="231"/>
      <c r="K338" s="231"/>
      <c r="L338" s="231"/>
      <c r="M338" s="231"/>
      <c r="N338" s="231"/>
      <c r="O338" s="231"/>
      <c r="P338" s="231"/>
      <c r="Q338" s="231"/>
      <c r="R338" s="231"/>
      <c r="S338" s="231"/>
      <c r="T338" s="231"/>
      <c r="U338" s="231"/>
      <c r="V338" s="231"/>
      <c r="W338" s="231"/>
      <c r="X338" s="231"/>
      <c r="Y338" s="231"/>
      <c r="Z338" s="231"/>
      <c r="AA338" s="231"/>
      <c r="AB338" s="231"/>
      <c r="AC338" s="231"/>
      <c r="AD338" s="231"/>
      <c r="AE338" s="231"/>
      <c r="AF338" s="231"/>
      <c r="AG338" s="231"/>
      <c r="AH338" s="231"/>
    </row>
    <row r="339" spans="1:34" s="203" customFormat="1">
      <c r="A339" s="23"/>
      <c r="B339" s="207"/>
      <c r="C339" s="207"/>
      <c r="D339" s="207"/>
      <c r="E339" s="207"/>
      <c r="F339" s="207"/>
      <c r="G339" s="207"/>
      <c r="H339" s="21"/>
      <c r="I339" s="21"/>
      <c r="J339" s="231"/>
      <c r="K339" s="231"/>
      <c r="L339" s="231"/>
      <c r="M339" s="231"/>
      <c r="N339" s="231"/>
      <c r="O339" s="231"/>
      <c r="P339" s="231"/>
      <c r="Q339" s="231"/>
      <c r="R339" s="231"/>
      <c r="S339" s="231"/>
      <c r="T339" s="231"/>
      <c r="U339" s="231"/>
      <c r="V339" s="231"/>
      <c r="W339" s="231"/>
      <c r="X339" s="231"/>
      <c r="Y339" s="231"/>
      <c r="Z339" s="231"/>
      <c r="AA339" s="231"/>
      <c r="AB339" s="231"/>
      <c r="AC339" s="231"/>
      <c r="AD339" s="231"/>
      <c r="AE339" s="231"/>
      <c r="AF339" s="231"/>
      <c r="AG339" s="231"/>
      <c r="AH339" s="231"/>
    </row>
    <row r="340" spans="1:34" s="203" customFormat="1">
      <c r="A340" s="23"/>
      <c r="B340" s="207"/>
      <c r="C340" s="207"/>
      <c r="D340" s="207"/>
      <c r="E340" s="207"/>
      <c r="F340" s="207"/>
      <c r="G340" s="207"/>
      <c r="H340" s="131" t="s">
        <v>27</v>
      </c>
      <c r="I340" s="21"/>
      <c r="J340" s="231"/>
      <c r="K340" s="231"/>
      <c r="L340" s="231"/>
      <c r="M340" s="231"/>
      <c r="N340" s="231"/>
      <c r="O340" s="231"/>
      <c r="P340" s="231"/>
      <c r="Q340" s="231"/>
      <c r="R340" s="231"/>
      <c r="S340" s="231"/>
      <c r="T340" s="231"/>
      <c r="U340" s="231"/>
      <c r="V340" s="231"/>
      <c r="W340" s="231"/>
      <c r="X340" s="231"/>
      <c r="Y340" s="231"/>
      <c r="Z340" s="231"/>
      <c r="AA340" s="231"/>
      <c r="AB340" s="231"/>
      <c r="AC340" s="231"/>
      <c r="AD340" s="231"/>
      <c r="AE340" s="231"/>
      <c r="AF340" s="231"/>
      <c r="AG340" s="231"/>
      <c r="AH340" s="231"/>
    </row>
    <row r="341" spans="1:34" s="203" customFormat="1">
      <c r="A341" s="197"/>
      <c r="B341" s="69"/>
      <c r="C341" s="69"/>
      <c r="D341" s="69"/>
      <c r="E341" s="856" t="s">
        <v>377</v>
      </c>
      <c r="F341" s="853" t="s">
        <v>402</v>
      </c>
      <c r="G341" s="207"/>
      <c r="H341" s="856" t="s">
        <v>403</v>
      </c>
      <c r="I341" s="21"/>
      <c r="J341" s="231"/>
      <c r="K341" s="231"/>
      <c r="L341" s="231"/>
      <c r="M341" s="231"/>
      <c r="N341" s="231"/>
      <c r="O341" s="231"/>
      <c r="P341" s="231"/>
      <c r="Q341" s="231"/>
      <c r="R341" s="231"/>
      <c r="S341" s="231"/>
      <c r="T341" s="231"/>
      <c r="U341" s="231"/>
      <c r="V341" s="231"/>
      <c r="W341" s="231"/>
      <c r="X341" s="231"/>
      <c r="Y341" s="231"/>
      <c r="Z341" s="231"/>
      <c r="AA341" s="231"/>
      <c r="AB341" s="231"/>
      <c r="AC341" s="231"/>
      <c r="AD341" s="231"/>
      <c r="AE341" s="231"/>
      <c r="AF341" s="231"/>
      <c r="AG341" s="231"/>
      <c r="AH341" s="231"/>
    </row>
    <row r="342" spans="1:34" s="203" customFormat="1">
      <c r="A342" s="144" t="s">
        <v>261</v>
      </c>
      <c r="B342" s="116"/>
      <c r="C342" s="116"/>
      <c r="D342" s="116"/>
      <c r="E342" s="859"/>
      <c r="F342" s="854"/>
      <c r="G342" s="207"/>
      <c r="H342" s="857"/>
      <c r="I342" s="21"/>
      <c r="J342" s="231"/>
      <c r="K342" s="231"/>
      <c r="L342" s="231"/>
      <c r="M342" s="231"/>
      <c r="N342" s="231"/>
      <c r="O342" s="231"/>
      <c r="P342" s="231"/>
      <c r="Q342" s="231"/>
      <c r="R342" s="231"/>
      <c r="S342" s="231"/>
      <c r="T342" s="231"/>
      <c r="U342" s="231"/>
      <c r="V342" s="231"/>
      <c r="W342" s="231"/>
      <c r="X342" s="231"/>
      <c r="Y342" s="231"/>
      <c r="Z342" s="231"/>
      <c r="AA342" s="231"/>
      <c r="AB342" s="231"/>
      <c r="AC342" s="231"/>
      <c r="AD342" s="231"/>
      <c r="AE342" s="231"/>
      <c r="AF342" s="231"/>
      <c r="AG342" s="231"/>
      <c r="AH342" s="231"/>
    </row>
    <row r="343" spans="1:34" s="203" customFormat="1">
      <c r="A343" s="119"/>
      <c r="B343" s="116"/>
      <c r="C343" s="116"/>
      <c r="D343" s="116"/>
      <c r="E343" s="859"/>
      <c r="F343" s="854"/>
      <c r="G343" s="207"/>
      <c r="H343" s="857"/>
      <c r="I343" s="21"/>
      <c r="J343" s="231"/>
      <c r="K343" s="231"/>
      <c r="L343" s="231"/>
      <c r="M343" s="231"/>
      <c r="N343" s="231"/>
      <c r="O343" s="231"/>
      <c r="P343" s="231"/>
      <c r="Q343" s="231"/>
      <c r="R343" s="231"/>
      <c r="S343" s="231"/>
      <c r="T343" s="231"/>
      <c r="U343" s="231"/>
      <c r="V343" s="231"/>
      <c r="W343" s="231"/>
      <c r="X343" s="231"/>
      <c r="Y343" s="231"/>
      <c r="Z343" s="231"/>
      <c r="AA343" s="231"/>
      <c r="AB343" s="231"/>
      <c r="AC343" s="231"/>
      <c r="AD343" s="231"/>
      <c r="AE343" s="231"/>
      <c r="AF343" s="231"/>
      <c r="AG343" s="231"/>
      <c r="AH343" s="231"/>
    </row>
    <row r="344" spans="1:34" s="203" customFormat="1">
      <c r="A344" s="198" t="s">
        <v>262</v>
      </c>
      <c r="B344" s="116"/>
      <c r="C344" s="116"/>
      <c r="D344" s="116"/>
      <c r="E344" s="859"/>
      <c r="F344" s="854"/>
      <c r="G344" s="207"/>
      <c r="H344" s="857"/>
      <c r="I344" s="21"/>
      <c r="J344" s="231"/>
      <c r="K344" s="231"/>
      <c r="L344" s="231"/>
      <c r="M344" s="231"/>
      <c r="N344" s="231"/>
      <c r="O344" s="231"/>
      <c r="P344" s="231"/>
      <c r="Q344" s="231"/>
      <c r="R344" s="231"/>
      <c r="S344" s="231"/>
      <c r="T344" s="231"/>
      <c r="U344" s="231"/>
      <c r="V344" s="231"/>
      <c r="W344" s="231"/>
      <c r="X344" s="231"/>
      <c r="Y344" s="231"/>
      <c r="Z344" s="231"/>
      <c r="AA344" s="231"/>
      <c r="AB344" s="231"/>
      <c r="AC344" s="231"/>
      <c r="AD344" s="231"/>
      <c r="AE344" s="231"/>
      <c r="AF344" s="231"/>
      <c r="AG344" s="231"/>
      <c r="AH344" s="231"/>
    </row>
    <row r="345" spans="1:34" s="203" customFormat="1">
      <c r="A345" s="198" t="s">
        <v>330</v>
      </c>
      <c r="B345" s="116"/>
      <c r="C345" s="116"/>
      <c r="D345" s="116"/>
      <c r="E345" s="860"/>
      <c r="F345" s="855"/>
      <c r="G345" s="207"/>
      <c r="H345" s="858"/>
      <c r="I345" s="21"/>
      <c r="J345" s="231"/>
      <c r="K345" s="231"/>
      <c r="L345" s="231"/>
      <c r="M345" s="231"/>
      <c r="N345" s="231"/>
      <c r="O345" s="231"/>
      <c r="P345" s="231"/>
      <c r="Q345" s="231"/>
      <c r="R345" s="231"/>
      <c r="S345" s="231"/>
      <c r="T345" s="231"/>
      <c r="U345" s="231"/>
      <c r="V345" s="231"/>
      <c r="W345" s="231"/>
      <c r="X345" s="231"/>
      <c r="Y345" s="231"/>
      <c r="Z345" s="231"/>
      <c r="AA345" s="231"/>
      <c r="AB345" s="231"/>
      <c r="AC345" s="231"/>
      <c r="AD345" s="231"/>
      <c r="AE345" s="231"/>
      <c r="AF345" s="231"/>
      <c r="AG345" s="231"/>
      <c r="AH345" s="231"/>
    </row>
    <row r="346" spans="1:34" s="203" customFormat="1">
      <c r="A346" s="119"/>
      <c r="B346" s="47"/>
      <c r="C346" s="116"/>
      <c r="D346" s="116"/>
      <c r="E346" s="178"/>
      <c r="F346" s="146"/>
      <c r="G346" s="23"/>
      <c r="H346" s="264"/>
      <c r="I346" s="21"/>
      <c r="J346" s="231"/>
      <c r="K346" s="231"/>
      <c r="L346" s="231"/>
      <c r="M346" s="231"/>
      <c r="N346" s="231"/>
      <c r="O346" s="231"/>
      <c r="P346" s="231"/>
      <c r="Q346" s="231"/>
      <c r="R346" s="231"/>
      <c r="S346" s="231"/>
      <c r="T346" s="231"/>
      <c r="U346" s="231"/>
      <c r="V346" s="231"/>
      <c r="W346" s="231"/>
      <c r="X346" s="231"/>
      <c r="Y346" s="231"/>
      <c r="Z346" s="231"/>
      <c r="AA346" s="231"/>
      <c r="AB346" s="231"/>
      <c r="AC346" s="231"/>
      <c r="AD346" s="231"/>
      <c r="AE346" s="231"/>
      <c r="AF346" s="231"/>
      <c r="AG346" s="231"/>
      <c r="AH346" s="231"/>
    </row>
    <row r="347" spans="1:34" s="203" customFormat="1">
      <c r="A347" s="686">
        <v>1</v>
      </c>
      <c r="B347" s="47" t="s">
        <v>263</v>
      </c>
      <c r="C347" s="116"/>
      <c r="D347" s="116"/>
      <c r="E347" s="354">
        <v>5000</v>
      </c>
      <c r="F347" s="265">
        <v>5000</v>
      </c>
      <c r="G347" s="43"/>
      <c r="H347" s="126">
        <v>5000</v>
      </c>
      <c r="I347" s="86"/>
      <c r="J347" s="231"/>
      <c r="K347" s="231"/>
      <c r="L347" s="231"/>
      <c r="M347" s="231"/>
      <c r="N347" s="231"/>
      <c r="O347" s="231"/>
      <c r="P347" s="231"/>
      <c r="Q347" s="231"/>
      <c r="R347" s="231"/>
      <c r="S347" s="231"/>
      <c r="T347" s="231"/>
      <c r="U347" s="231"/>
      <c r="V347" s="231"/>
      <c r="W347" s="231"/>
      <c r="X347" s="231"/>
      <c r="Y347" s="231"/>
      <c r="Z347" s="231"/>
      <c r="AA347" s="231"/>
      <c r="AB347" s="231"/>
      <c r="AC347" s="231"/>
      <c r="AD347" s="231"/>
      <c r="AE347" s="231"/>
      <c r="AF347" s="231"/>
      <c r="AG347" s="231"/>
      <c r="AH347" s="231"/>
    </row>
    <row r="348" spans="1:34" s="203" customFormat="1">
      <c r="A348" s="686"/>
      <c r="B348" s="47"/>
      <c r="C348" s="116"/>
      <c r="D348" s="116"/>
      <c r="E348" s="355"/>
      <c r="F348" s="188"/>
      <c r="G348" s="43"/>
      <c r="H348" s="188"/>
      <c r="I348" s="86"/>
      <c r="J348" s="231"/>
      <c r="K348" s="231"/>
      <c r="L348" s="231"/>
      <c r="M348" s="231"/>
      <c r="N348" s="231"/>
      <c r="O348" s="231"/>
      <c r="P348" s="231"/>
      <c r="Q348" s="231"/>
      <c r="R348" s="231"/>
      <c r="S348" s="231"/>
      <c r="T348" s="231"/>
      <c r="U348" s="231"/>
      <c r="V348" s="231"/>
      <c r="W348" s="231"/>
      <c r="X348" s="231"/>
      <c r="Y348" s="231"/>
      <c r="Z348" s="231"/>
      <c r="AA348" s="231"/>
      <c r="AB348" s="231"/>
      <c r="AC348" s="231"/>
      <c r="AD348" s="231"/>
      <c r="AE348" s="231"/>
      <c r="AF348" s="231"/>
      <c r="AG348" s="231"/>
      <c r="AH348" s="231"/>
    </row>
    <row r="349" spans="1:34" s="203" customFormat="1">
      <c r="A349" s="108" t="s">
        <v>378</v>
      </c>
      <c r="B349" s="47"/>
      <c r="C349" s="116"/>
      <c r="D349" s="116"/>
      <c r="E349" s="355"/>
      <c r="F349" s="188"/>
      <c r="G349" s="43"/>
      <c r="H349" s="188"/>
      <c r="I349" s="86"/>
      <c r="J349" s="231"/>
      <c r="K349" s="231"/>
      <c r="L349" s="231"/>
      <c r="M349" s="231"/>
      <c r="N349" s="231"/>
      <c r="O349" s="231"/>
      <c r="P349" s="231"/>
      <c r="Q349" s="231"/>
      <c r="R349" s="231"/>
      <c r="S349" s="231"/>
      <c r="T349" s="231"/>
      <c r="U349" s="231"/>
      <c r="V349" s="231"/>
      <c r="W349" s="231"/>
      <c r="X349" s="231"/>
      <c r="Y349" s="231"/>
      <c r="Z349" s="231"/>
      <c r="AA349" s="231"/>
      <c r="AB349" s="231"/>
      <c r="AC349" s="231"/>
      <c r="AD349" s="231"/>
      <c r="AE349" s="231"/>
      <c r="AF349" s="231"/>
      <c r="AG349" s="231"/>
      <c r="AH349" s="231"/>
    </row>
    <row r="350" spans="1:34" s="203" customFormat="1">
      <c r="A350" s="686"/>
      <c r="B350" s="47"/>
      <c r="C350" s="116"/>
      <c r="D350" s="116"/>
      <c r="E350" s="355"/>
      <c r="F350" s="188"/>
      <c r="G350" s="43"/>
      <c r="H350" s="188"/>
      <c r="I350" s="86"/>
      <c r="J350" s="231"/>
      <c r="K350" s="231"/>
      <c r="L350" s="231"/>
      <c r="M350" s="231"/>
      <c r="N350" s="231"/>
      <c r="O350" s="231"/>
      <c r="P350" s="231"/>
      <c r="Q350" s="231"/>
      <c r="R350" s="231"/>
      <c r="S350" s="231"/>
      <c r="T350" s="231"/>
      <c r="U350" s="231"/>
      <c r="V350" s="231"/>
      <c r="W350" s="231"/>
      <c r="X350" s="231"/>
      <c r="Y350" s="231"/>
      <c r="Z350" s="231"/>
      <c r="AA350" s="231"/>
      <c r="AB350" s="231"/>
      <c r="AC350" s="231"/>
      <c r="AD350" s="231"/>
      <c r="AE350" s="231"/>
      <c r="AF350" s="231"/>
      <c r="AG350" s="231"/>
      <c r="AH350" s="231"/>
    </row>
    <row r="351" spans="1:34" s="203" customFormat="1">
      <c r="A351" s="198" t="s">
        <v>379</v>
      </c>
      <c r="B351" s="47"/>
      <c r="C351" s="116"/>
      <c r="D351" s="116"/>
      <c r="E351" s="355"/>
      <c r="F351" s="188"/>
      <c r="G351" s="43"/>
      <c r="H351" s="188"/>
      <c r="I351" s="86"/>
      <c r="J351" s="231"/>
      <c r="K351" s="231"/>
      <c r="L351" s="231"/>
      <c r="M351" s="231"/>
      <c r="N351" s="231"/>
      <c r="O351" s="231"/>
      <c r="P351" s="231"/>
      <c r="Q351" s="231"/>
      <c r="R351" s="231"/>
      <c r="S351" s="231"/>
      <c r="T351" s="231"/>
      <c r="U351" s="231"/>
      <c r="V351" s="231"/>
      <c r="W351" s="231"/>
      <c r="X351" s="231"/>
      <c r="Y351" s="231"/>
      <c r="Z351" s="231"/>
      <c r="AA351" s="231"/>
      <c r="AB351" s="231"/>
      <c r="AC351" s="231"/>
      <c r="AD351" s="231"/>
      <c r="AE351" s="231"/>
      <c r="AF351" s="231"/>
      <c r="AG351" s="231"/>
      <c r="AH351" s="231"/>
    </row>
    <row r="352" spans="1:34" s="203" customFormat="1">
      <c r="A352" s="686"/>
      <c r="B352" s="47"/>
      <c r="C352" s="116"/>
      <c r="D352" s="116"/>
      <c r="E352" s="355"/>
      <c r="F352" s="188"/>
      <c r="G352" s="43"/>
      <c r="H352" s="188"/>
      <c r="I352" s="86"/>
      <c r="J352" s="231"/>
      <c r="K352" s="231"/>
      <c r="L352" s="231"/>
      <c r="M352" s="231"/>
      <c r="N352" s="231"/>
      <c r="O352" s="231"/>
      <c r="P352" s="231"/>
      <c r="Q352" s="231"/>
      <c r="R352" s="231"/>
      <c r="S352" s="231"/>
      <c r="T352" s="231"/>
      <c r="U352" s="231"/>
      <c r="V352" s="231"/>
      <c r="W352" s="231"/>
      <c r="X352" s="231"/>
      <c r="Y352" s="231"/>
      <c r="Z352" s="231"/>
      <c r="AA352" s="231"/>
      <c r="AB352" s="231"/>
      <c r="AC352" s="231"/>
      <c r="AD352" s="231"/>
      <c r="AE352" s="231"/>
      <c r="AF352" s="231"/>
      <c r="AG352" s="231"/>
      <c r="AH352" s="231"/>
    </row>
    <row r="353" spans="1:34" s="203" customFormat="1">
      <c r="A353" s="686">
        <v>2</v>
      </c>
      <c r="B353" s="47" t="s">
        <v>52</v>
      </c>
      <c r="C353" s="116"/>
      <c r="D353" s="116"/>
      <c r="E353" s="74">
        <v>0</v>
      </c>
      <c r="F353" s="265">
        <v>0</v>
      </c>
      <c r="G353" s="43"/>
      <c r="H353" s="126">
        <v>0</v>
      </c>
      <c r="I353" s="86"/>
      <c r="J353" s="231"/>
      <c r="K353" s="231"/>
      <c r="L353" s="231"/>
      <c r="M353" s="231"/>
      <c r="N353" s="231"/>
      <c r="O353" s="231"/>
      <c r="P353" s="231"/>
      <c r="Q353" s="231"/>
      <c r="R353" s="231"/>
      <c r="S353" s="231"/>
      <c r="T353" s="231"/>
      <c r="U353" s="231"/>
      <c r="V353" s="231"/>
      <c r="W353" s="231"/>
      <c r="X353" s="231"/>
      <c r="Y353" s="231"/>
      <c r="Z353" s="231"/>
      <c r="AA353" s="231"/>
      <c r="AB353" s="231"/>
      <c r="AC353" s="231"/>
      <c r="AD353" s="231"/>
      <c r="AE353" s="231"/>
      <c r="AF353" s="231"/>
      <c r="AG353" s="231"/>
      <c r="AH353" s="231"/>
    </row>
    <row r="354" spans="1:34" s="203" customFormat="1">
      <c r="A354" s="686">
        <v>3</v>
      </c>
      <c r="B354" s="47" t="s">
        <v>53</v>
      </c>
      <c r="C354" s="116"/>
      <c r="D354" s="116"/>
      <c r="E354" s="49">
        <v>0</v>
      </c>
      <c r="F354" s="265">
        <v>0</v>
      </c>
      <c r="G354" s="43"/>
      <c r="H354" s="126">
        <v>0</v>
      </c>
      <c r="I354" s="86"/>
      <c r="J354" s="231"/>
      <c r="K354" s="231"/>
      <c r="L354" s="231"/>
      <c r="M354" s="231"/>
      <c r="N354" s="231"/>
      <c r="O354" s="231"/>
      <c r="P354" s="231"/>
      <c r="Q354" s="231"/>
      <c r="R354" s="231"/>
      <c r="S354" s="231"/>
      <c r="T354" s="231"/>
      <c r="U354" s="231"/>
      <c r="V354" s="231"/>
      <c r="W354" s="231"/>
      <c r="X354" s="231"/>
      <c r="Y354" s="231"/>
      <c r="Z354" s="231"/>
      <c r="AA354" s="231"/>
      <c r="AB354" s="231"/>
      <c r="AC354" s="231"/>
      <c r="AD354" s="231"/>
      <c r="AE354" s="231"/>
      <c r="AF354" s="231"/>
      <c r="AG354" s="231"/>
      <c r="AH354" s="231"/>
    </row>
    <row r="355" spans="1:34" s="203" customFormat="1">
      <c r="A355" s="686">
        <v>4</v>
      </c>
      <c r="B355" s="47" t="s">
        <v>54</v>
      </c>
      <c r="C355" s="116"/>
      <c r="D355" s="116"/>
      <c r="E355" s="49">
        <v>0</v>
      </c>
      <c r="F355" s="265">
        <v>0</v>
      </c>
      <c r="G355" s="43"/>
      <c r="H355" s="126">
        <v>0</v>
      </c>
      <c r="I355" s="86"/>
      <c r="J355" s="231"/>
      <c r="K355" s="231"/>
      <c r="L355" s="231"/>
      <c r="M355" s="231"/>
      <c r="N355" s="231"/>
      <c r="O355" s="231"/>
      <c r="P355" s="231"/>
      <c r="Q355" s="231"/>
      <c r="R355" s="231"/>
      <c r="S355" s="231"/>
      <c r="T355" s="231"/>
      <c r="U355" s="231"/>
      <c r="V355" s="231"/>
      <c r="W355" s="231"/>
      <c r="X355" s="231"/>
      <c r="Y355" s="231"/>
      <c r="Z355" s="231"/>
      <c r="AA355" s="231"/>
      <c r="AB355" s="231"/>
      <c r="AC355" s="231"/>
      <c r="AD355" s="231"/>
      <c r="AE355" s="231"/>
      <c r="AF355" s="231"/>
      <c r="AG355" s="231"/>
      <c r="AH355" s="231"/>
    </row>
    <row r="356" spans="1:34" s="203" customFormat="1">
      <c r="A356" s="686">
        <v>5</v>
      </c>
      <c r="B356" s="47" t="s">
        <v>55</v>
      </c>
      <c r="C356" s="116"/>
      <c r="D356" s="116"/>
      <c r="E356" s="49">
        <v>0</v>
      </c>
      <c r="F356" s="265">
        <v>0</v>
      </c>
      <c r="G356" s="43"/>
      <c r="H356" s="126">
        <v>0</v>
      </c>
      <c r="I356" s="86"/>
      <c r="J356" s="231"/>
      <c r="K356" s="231"/>
      <c r="L356" s="231"/>
      <c r="M356" s="231"/>
      <c r="N356" s="231"/>
      <c r="O356" s="231"/>
      <c r="P356" s="231"/>
      <c r="Q356" s="231"/>
      <c r="R356" s="231"/>
      <c r="S356" s="231"/>
      <c r="T356" s="231"/>
      <c r="U356" s="231"/>
      <c r="V356" s="231"/>
      <c r="W356" s="231"/>
      <c r="X356" s="231"/>
      <c r="Y356" s="231"/>
      <c r="Z356" s="231"/>
      <c r="AA356" s="231"/>
      <c r="AB356" s="231"/>
      <c r="AC356" s="231"/>
      <c r="AD356" s="231"/>
      <c r="AE356" s="231"/>
      <c r="AF356" s="231"/>
      <c r="AG356" s="231"/>
      <c r="AH356" s="231"/>
    </row>
    <row r="357" spans="1:34" s="203" customFormat="1">
      <c r="A357" s="686">
        <v>6</v>
      </c>
      <c r="B357" s="47" t="s">
        <v>56</v>
      </c>
      <c r="C357" s="116"/>
      <c r="D357" s="116"/>
      <c r="E357" s="49">
        <v>0</v>
      </c>
      <c r="F357" s="265">
        <v>0</v>
      </c>
      <c r="G357" s="43"/>
      <c r="H357" s="126">
        <v>0</v>
      </c>
      <c r="I357" s="86"/>
      <c r="J357" s="231"/>
      <c r="K357" s="231"/>
      <c r="L357" s="231"/>
      <c r="M357" s="231"/>
      <c r="N357" s="231"/>
      <c r="O357" s="231"/>
      <c r="P357" s="231"/>
      <c r="Q357" s="231"/>
      <c r="R357" s="231"/>
      <c r="S357" s="231"/>
      <c r="T357" s="231"/>
      <c r="U357" s="231"/>
      <c r="V357" s="231"/>
      <c r="W357" s="231"/>
      <c r="X357" s="231"/>
      <c r="Y357" s="231"/>
      <c r="Z357" s="231"/>
      <c r="AA357" s="231"/>
      <c r="AB357" s="231"/>
      <c r="AC357" s="231"/>
      <c r="AD357" s="231"/>
      <c r="AE357" s="231"/>
      <c r="AF357" s="231"/>
      <c r="AG357" s="231"/>
      <c r="AH357" s="231"/>
    </row>
    <row r="358" spans="1:34" s="203" customFormat="1">
      <c r="A358" s="686">
        <v>7</v>
      </c>
      <c r="B358" s="47" t="s">
        <v>57</v>
      </c>
      <c r="C358" s="116"/>
      <c r="D358" s="116"/>
      <c r="E358" s="49">
        <v>0</v>
      </c>
      <c r="F358" s="265">
        <v>0</v>
      </c>
      <c r="G358" s="43"/>
      <c r="H358" s="126">
        <v>0</v>
      </c>
      <c r="I358" s="86"/>
      <c r="J358" s="231"/>
      <c r="K358" s="231"/>
      <c r="L358" s="231"/>
      <c r="M358" s="231"/>
      <c r="N358" s="231"/>
      <c r="O358" s="231"/>
      <c r="P358" s="231"/>
      <c r="Q358" s="231"/>
      <c r="R358" s="231"/>
      <c r="S358" s="231"/>
      <c r="T358" s="231"/>
      <c r="U358" s="231"/>
      <c r="V358" s="231"/>
      <c r="W358" s="231"/>
      <c r="X358" s="231"/>
      <c r="Y358" s="231"/>
      <c r="Z358" s="231"/>
      <c r="AA358" s="231"/>
      <c r="AB358" s="231"/>
      <c r="AC358" s="231"/>
      <c r="AD358" s="231"/>
      <c r="AE358" s="231"/>
      <c r="AF358" s="231"/>
      <c r="AG358" s="231"/>
      <c r="AH358" s="231"/>
    </row>
    <row r="359" spans="1:34" s="203" customFormat="1">
      <c r="A359" s="686">
        <v>8</v>
      </c>
      <c r="B359" s="47" t="s">
        <v>58</v>
      </c>
      <c r="C359" s="116"/>
      <c r="D359" s="116"/>
      <c r="E359" s="49">
        <v>0</v>
      </c>
      <c r="F359" s="265">
        <v>0</v>
      </c>
      <c r="G359" s="43"/>
      <c r="H359" s="126">
        <v>0</v>
      </c>
      <c r="I359" s="86"/>
      <c r="J359" s="231"/>
      <c r="K359" s="231"/>
      <c r="L359" s="231"/>
      <c r="M359" s="231"/>
      <c r="N359" s="231"/>
      <c r="O359" s="231"/>
      <c r="P359" s="231"/>
      <c r="Q359" s="231"/>
      <c r="R359" s="231"/>
      <c r="S359" s="231"/>
      <c r="T359" s="231"/>
      <c r="U359" s="231"/>
      <c r="V359" s="231"/>
      <c r="W359" s="231"/>
      <c r="X359" s="231"/>
      <c r="Y359" s="231"/>
      <c r="Z359" s="231"/>
      <c r="AA359" s="231"/>
      <c r="AB359" s="231"/>
      <c r="AC359" s="231"/>
      <c r="AD359" s="231"/>
      <c r="AE359" s="231"/>
      <c r="AF359" s="231"/>
      <c r="AG359" s="231"/>
      <c r="AH359" s="231"/>
    </row>
    <row r="360" spans="1:34" s="203" customFormat="1">
      <c r="A360" s="686">
        <v>9</v>
      </c>
      <c r="B360" s="47" t="s">
        <v>59</v>
      </c>
      <c r="C360" s="116"/>
      <c r="D360" s="116"/>
      <c r="E360" s="49">
        <v>0</v>
      </c>
      <c r="F360" s="265">
        <v>0</v>
      </c>
      <c r="G360" s="43"/>
      <c r="H360" s="126">
        <v>0</v>
      </c>
      <c r="I360" s="86"/>
      <c r="J360" s="231"/>
      <c r="K360" s="231"/>
      <c r="L360" s="231"/>
      <c r="M360" s="231"/>
      <c r="N360" s="231"/>
      <c r="O360" s="231"/>
      <c r="P360" s="231"/>
      <c r="Q360" s="231"/>
      <c r="R360" s="231"/>
      <c r="S360" s="231"/>
      <c r="T360" s="231"/>
      <c r="U360" s="231"/>
      <c r="V360" s="231"/>
      <c r="W360" s="231"/>
      <c r="X360" s="231"/>
      <c r="Y360" s="231"/>
      <c r="Z360" s="231"/>
      <c r="AA360" s="231"/>
      <c r="AB360" s="231"/>
      <c r="AC360" s="231"/>
      <c r="AD360" s="231"/>
      <c r="AE360" s="231"/>
      <c r="AF360" s="231"/>
      <c r="AG360" s="231"/>
      <c r="AH360" s="231"/>
    </row>
    <row r="361" spans="1:34" s="203" customFormat="1">
      <c r="A361" s="686">
        <v>10</v>
      </c>
      <c r="B361" s="47" t="s">
        <v>60</v>
      </c>
      <c r="C361" s="116"/>
      <c r="D361" s="116"/>
      <c r="E361" s="49">
        <v>0</v>
      </c>
      <c r="F361" s="265">
        <v>0</v>
      </c>
      <c r="G361" s="43"/>
      <c r="H361" s="126">
        <v>0</v>
      </c>
      <c r="I361" s="86"/>
      <c r="J361" s="231"/>
      <c r="K361" s="231"/>
      <c r="L361" s="231"/>
      <c r="M361" s="231"/>
      <c r="N361" s="231"/>
      <c r="O361" s="231"/>
      <c r="P361" s="231"/>
      <c r="Q361" s="231"/>
      <c r="R361" s="231"/>
      <c r="S361" s="231"/>
      <c r="T361" s="231"/>
      <c r="U361" s="231"/>
      <c r="V361" s="231"/>
      <c r="W361" s="231"/>
      <c r="X361" s="231"/>
      <c r="Y361" s="231"/>
      <c r="Z361" s="231"/>
      <c r="AA361" s="231"/>
      <c r="AB361" s="231"/>
      <c r="AC361" s="231"/>
      <c r="AD361" s="231"/>
      <c r="AE361" s="231"/>
      <c r="AF361" s="231"/>
      <c r="AG361" s="231"/>
      <c r="AH361" s="231"/>
    </row>
    <row r="362" spans="1:34" s="203" customFormat="1">
      <c r="A362" s="686">
        <v>11</v>
      </c>
      <c r="B362" s="47" t="s">
        <v>61</v>
      </c>
      <c r="C362" s="116"/>
      <c r="D362" s="116"/>
      <c r="E362" s="49">
        <v>0</v>
      </c>
      <c r="F362" s="265">
        <v>0</v>
      </c>
      <c r="G362" s="43"/>
      <c r="H362" s="126">
        <v>0</v>
      </c>
      <c r="I362" s="86"/>
      <c r="J362" s="231"/>
      <c r="K362" s="231"/>
      <c r="L362" s="231"/>
      <c r="M362" s="231"/>
      <c r="N362" s="231"/>
      <c r="O362" s="231"/>
      <c r="P362" s="231"/>
      <c r="Q362" s="231"/>
      <c r="R362" s="231"/>
      <c r="S362" s="231"/>
      <c r="T362" s="231"/>
      <c r="U362" s="231"/>
      <c r="V362" s="231"/>
      <c r="W362" s="231"/>
      <c r="X362" s="231"/>
      <c r="Y362" s="231"/>
      <c r="Z362" s="231"/>
      <c r="AA362" s="231"/>
      <c r="AB362" s="231"/>
      <c r="AC362" s="231"/>
      <c r="AD362" s="231"/>
      <c r="AE362" s="231"/>
      <c r="AF362" s="231"/>
      <c r="AG362" s="231"/>
      <c r="AH362" s="231"/>
    </row>
    <row r="363" spans="1:34" s="203" customFormat="1">
      <c r="A363" s="687">
        <v>12</v>
      </c>
      <c r="B363" s="54" t="s">
        <v>380</v>
      </c>
      <c r="C363" s="94"/>
      <c r="D363" s="94"/>
      <c r="E363" s="135">
        <v>0</v>
      </c>
      <c r="F363" s="61">
        <f>SUM(F353:F362)</f>
        <v>0</v>
      </c>
      <c r="G363" s="43"/>
      <c r="H363" s="61">
        <f>SUM(H353:H362)</f>
        <v>0</v>
      </c>
      <c r="I363" s="86"/>
      <c r="J363" s="231"/>
      <c r="K363" s="231"/>
      <c r="L363" s="231"/>
      <c r="M363" s="231"/>
      <c r="N363" s="231"/>
      <c r="O363" s="231"/>
      <c r="P363" s="231"/>
      <c r="Q363" s="231"/>
      <c r="R363" s="231"/>
      <c r="S363" s="231"/>
      <c r="T363" s="231"/>
      <c r="U363" s="231"/>
      <c r="V363" s="231"/>
      <c r="W363" s="231"/>
      <c r="X363" s="231"/>
      <c r="Y363" s="231"/>
      <c r="Z363" s="231"/>
      <c r="AA363" s="231"/>
      <c r="AB363" s="231"/>
      <c r="AC363" s="231"/>
      <c r="AD363" s="231"/>
      <c r="AE363" s="231"/>
      <c r="AF363" s="231"/>
      <c r="AG363" s="231"/>
      <c r="AH363" s="231"/>
    </row>
    <row r="364" spans="1:34" s="203" customFormat="1">
      <c r="A364" s="199"/>
      <c r="B364" s="15"/>
      <c r="C364" s="15"/>
      <c r="D364" s="15"/>
      <c r="E364" s="15"/>
      <c r="F364" s="15"/>
      <c r="G364" s="15"/>
      <c r="H364" s="15"/>
      <c r="I364" s="86"/>
      <c r="J364" s="231"/>
      <c r="K364" s="231"/>
      <c r="L364" s="231"/>
      <c r="M364" s="231"/>
      <c r="N364" s="231"/>
      <c r="O364" s="231"/>
      <c r="P364" s="231"/>
      <c r="Q364" s="231"/>
      <c r="R364" s="231"/>
      <c r="S364" s="231"/>
      <c r="T364" s="231"/>
      <c r="U364" s="231"/>
      <c r="V364" s="231"/>
      <c r="W364" s="231"/>
      <c r="X364" s="231"/>
      <c r="Y364" s="231"/>
      <c r="Z364" s="231"/>
      <c r="AA364" s="231"/>
      <c r="AB364" s="231"/>
      <c r="AC364" s="231"/>
      <c r="AD364" s="231"/>
      <c r="AE364" s="231"/>
      <c r="AF364" s="231"/>
      <c r="AG364" s="231"/>
      <c r="AH364" s="231"/>
    </row>
    <row r="365" spans="1:34" s="203" customFormat="1">
      <c r="A365" s="199"/>
      <c r="B365" s="15"/>
      <c r="C365" s="15"/>
      <c r="D365" s="15"/>
      <c r="E365" s="15"/>
      <c r="F365" s="15"/>
      <c r="G365" s="15"/>
      <c r="H365" s="86"/>
      <c r="I365" s="86"/>
      <c r="J365" s="231"/>
      <c r="K365" s="231"/>
      <c r="L365" s="231"/>
      <c r="M365" s="231"/>
      <c r="N365" s="231"/>
      <c r="O365" s="231"/>
      <c r="P365" s="231"/>
      <c r="Q365" s="231"/>
      <c r="R365" s="231"/>
      <c r="S365" s="231"/>
      <c r="T365" s="231"/>
      <c r="U365" s="231"/>
      <c r="V365" s="231"/>
      <c r="W365" s="231"/>
      <c r="X365" s="231"/>
      <c r="Y365" s="231"/>
      <c r="Z365" s="231"/>
      <c r="AA365" s="231"/>
      <c r="AB365" s="231"/>
      <c r="AC365" s="231"/>
      <c r="AD365" s="231"/>
      <c r="AE365" s="231"/>
      <c r="AF365" s="231"/>
      <c r="AG365" s="231"/>
      <c r="AH365" s="231"/>
    </row>
    <row r="366" spans="1:34" s="8" customFormat="1"/>
    <row r="367" spans="1:34" s="8" customFormat="1"/>
    <row r="368" spans="1:34" s="8" customFormat="1"/>
    <row r="369" s="8" customFormat="1"/>
    <row r="370" s="8" customFormat="1"/>
    <row r="371" s="8" customFormat="1"/>
    <row r="372" s="8" customFormat="1"/>
    <row r="373" s="8" customFormat="1"/>
    <row r="374" s="8" customFormat="1"/>
    <row r="375" s="8" customFormat="1"/>
    <row r="376" s="8" customFormat="1"/>
    <row r="377" s="8" customFormat="1"/>
    <row r="378" s="8" customFormat="1"/>
    <row r="379" s="8" customFormat="1"/>
    <row r="380" s="8" customFormat="1"/>
    <row r="381" s="8" customFormat="1"/>
    <row r="382" s="8" customFormat="1"/>
    <row r="383" s="8" customFormat="1"/>
    <row r="384" s="8" customFormat="1"/>
    <row r="385" spans="1:9" s="8" customFormat="1"/>
    <row r="386" spans="1:9" s="8" customFormat="1"/>
    <row r="387" spans="1:9" s="8" customFormat="1"/>
    <row r="388" spans="1:9" s="8" customFormat="1"/>
    <row r="389" spans="1:9" s="8" customFormat="1"/>
    <row r="390" spans="1:9" s="8" customFormat="1"/>
    <row r="391" spans="1:9" s="8" customFormat="1"/>
    <row r="392" spans="1:9" s="8" customFormat="1"/>
    <row r="393" spans="1:9" s="8" customFormat="1"/>
    <row r="394" spans="1:9" s="8" customFormat="1"/>
    <row r="395" spans="1:9" s="8" customFormat="1"/>
    <row r="396" spans="1:9">
      <c r="A396" s="8"/>
      <c r="B396" s="8"/>
      <c r="C396" s="8"/>
      <c r="D396" s="8"/>
      <c r="E396" s="8"/>
      <c r="F396" s="8"/>
      <c r="G396" s="8"/>
      <c r="H396" s="8"/>
      <c r="I396" s="8"/>
    </row>
    <row r="397" spans="1:9">
      <c r="A397" s="8"/>
      <c r="B397" s="8"/>
      <c r="C397" s="8"/>
      <c r="D397" s="8"/>
      <c r="E397" s="8"/>
      <c r="F397" s="8"/>
      <c r="G397" s="8"/>
      <c r="H397" s="8"/>
      <c r="I397" s="8"/>
    </row>
    <row r="398" spans="1:9">
      <c r="A398" s="8"/>
      <c r="B398" s="8"/>
      <c r="C398" s="8"/>
      <c r="D398" s="8"/>
      <c r="E398" s="8"/>
      <c r="F398" s="8"/>
      <c r="G398" s="8"/>
      <c r="H398" s="8"/>
      <c r="I398" s="8"/>
    </row>
    <row r="399" spans="1:9">
      <c r="A399" s="8"/>
      <c r="B399" s="8"/>
      <c r="C399" s="8"/>
      <c r="D399" s="8"/>
      <c r="E399" s="8"/>
      <c r="F399" s="8"/>
      <c r="G399" s="8"/>
      <c r="H399" s="8"/>
      <c r="I399" s="8"/>
    </row>
    <row r="400" spans="1:9">
      <c r="A400" s="8"/>
      <c r="B400" s="8"/>
      <c r="C400" s="8"/>
      <c r="D400" s="8"/>
      <c r="E400" s="8"/>
      <c r="F400" s="8"/>
      <c r="G400" s="8"/>
      <c r="H400" s="8"/>
      <c r="I400" s="8"/>
    </row>
    <row r="401" spans="1:9">
      <c r="A401" s="8"/>
      <c r="B401" s="8"/>
      <c r="C401" s="8"/>
      <c r="D401" s="8"/>
      <c r="E401" s="8"/>
      <c r="F401" s="8"/>
      <c r="G401" s="8"/>
      <c r="H401" s="8"/>
      <c r="I401" s="8"/>
    </row>
    <row r="402" spans="1:9">
      <c r="A402" s="8"/>
      <c r="B402" s="8"/>
      <c r="C402" s="8"/>
      <c r="D402" s="8"/>
      <c r="E402" s="8"/>
      <c r="F402" s="8"/>
      <c r="G402" s="8"/>
      <c r="H402" s="8"/>
      <c r="I402" s="8"/>
    </row>
    <row r="403" spans="1:9">
      <c r="A403" s="8"/>
      <c r="B403" s="8"/>
      <c r="C403" s="8"/>
      <c r="D403" s="8"/>
      <c r="E403" s="8"/>
      <c r="F403" s="8"/>
      <c r="G403" s="8"/>
      <c r="H403" s="8"/>
      <c r="I403" s="8"/>
    </row>
    <row r="404" spans="1:9">
      <c r="A404" s="8"/>
      <c r="B404" s="8"/>
      <c r="C404" s="8"/>
      <c r="D404" s="8"/>
      <c r="E404" s="8"/>
      <c r="F404" s="8"/>
      <c r="G404" s="8"/>
      <c r="H404" s="8"/>
      <c r="I404" s="8"/>
    </row>
    <row r="405" spans="1:9">
      <c r="A405" s="8"/>
      <c r="B405" s="8"/>
      <c r="C405" s="8"/>
      <c r="D405" s="8"/>
      <c r="E405" s="8"/>
      <c r="F405" s="8"/>
      <c r="G405" s="8"/>
      <c r="H405" s="8"/>
      <c r="I405" s="8"/>
    </row>
    <row r="406" spans="1:9">
      <c r="A406" s="8"/>
      <c r="B406" s="8"/>
      <c r="C406" s="8"/>
      <c r="D406" s="8"/>
      <c r="E406" s="8"/>
      <c r="F406" s="8"/>
      <c r="G406" s="8"/>
      <c r="H406" s="8"/>
      <c r="I406" s="8"/>
    </row>
    <row r="407" spans="1:9">
      <c r="A407" s="8"/>
      <c r="B407" s="8"/>
      <c r="C407" s="8"/>
      <c r="D407" s="8"/>
      <c r="E407" s="8"/>
      <c r="F407" s="8"/>
      <c r="G407" s="8"/>
      <c r="H407" s="8"/>
      <c r="I407" s="8"/>
    </row>
    <row r="408" spans="1:9">
      <c r="A408" s="8"/>
      <c r="B408" s="8"/>
      <c r="C408" s="8"/>
      <c r="D408" s="8"/>
      <c r="E408" s="8"/>
      <c r="F408" s="8"/>
      <c r="G408" s="8"/>
      <c r="H408" s="8"/>
      <c r="I408" s="8"/>
    </row>
    <row r="409" spans="1:9">
      <c r="A409" s="8"/>
      <c r="B409" s="8"/>
      <c r="C409" s="8"/>
      <c r="D409" s="8"/>
      <c r="E409" s="8"/>
      <c r="F409" s="8"/>
      <c r="G409" s="8"/>
      <c r="H409" s="8"/>
      <c r="I409" s="8"/>
    </row>
    <row r="410" spans="1:9">
      <c r="A410" s="8"/>
      <c r="B410" s="8"/>
      <c r="C410" s="8"/>
      <c r="D410" s="8"/>
      <c r="E410" s="8"/>
      <c r="F410" s="8"/>
      <c r="G410" s="8"/>
      <c r="H410" s="8"/>
      <c r="I410" s="8"/>
    </row>
  </sheetData>
  <mergeCells count="59">
    <mergeCell ref="F341:F345"/>
    <mergeCell ref="H341:H345"/>
    <mergeCell ref="E261:E265"/>
    <mergeCell ref="F261:F265"/>
    <mergeCell ref="H261:H265"/>
    <mergeCell ref="E280:E284"/>
    <mergeCell ref="F280:F284"/>
    <mergeCell ref="H280:H284"/>
    <mergeCell ref="E305:E309"/>
    <mergeCell ref="F305:F309"/>
    <mergeCell ref="H305:H309"/>
    <mergeCell ref="C323:H323"/>
    <mergeCell ref="C330:H330"/>
    <mergeCell ref="E341:E345"/>
    <mergeCell ref="E221:E225"/>
    <mergeCell ref="F221:F225"/>
    <mergeCell ref="H221:H225"/>
    <mergeCell ref="E234:E238"/>
    <mergeCell ref="F234:F238"/>
    <mergeCell ref="H234:H238"/>
    <mergeCell ref="G66:G70"/>
    <mergeCell ref="H66:H70"/>
    <mergeCell ref="F91:F95"/>
    <mergeCell ref="H91:H95"/>
    <mergeCell ref="E193:E197"/>
    <mergeCell ref="F193:F197"/>
    <mergeCell ref="H193:H197"/>
    <mergeCell ref="E153:E157"/>
    <mergeCell ref="F153:F157"/>
    <mergeCell ref="H153:H157"/>
    <mergeCell ref="E91:E95"/>
    <mergeCell ref="I66:I70"/>
    <mergeCell ref="A23:D24"/>
    <mergeCell ref="E23:E24"/>
    <mergeCell ref="F23:F24"/>
    <mergeCell ref="H23:H24"/>
    <mergeCell ref="A25:A27"/>
    <mergeCell ref="B25:D27"/>
    <mergeCell ref="E25:E27"/>
    <mergeCell ref="F25:F27"/>
    <mergeCell ref="H25:H27"/>
    <mergeCell ref="A40:D41"/>
    <mergeCell ref="E40:E41"/>
    <mergeCell ref="F40:F41"/>
    <mergeCell ref="H40:H41"/>
    <mergeCell ref="E66:E70"/>
    <mergeCell ref="F66:F70"/>
    <mergeCell ref="C19:F19"/>
    <mergeCell ref="B3:B4"/>
    <mergeCell ref="C3:D4"/>
    <mergeCell ref="A5:B5"/>
    <mergeCell ref="D6:H6"/>
    <mergeCell ref="A9:I9"/>
    <mergeCell ref="D10:F10"/>
    <mergeCell ref="C14:F14"/>
    <mergeCell ref="C15:F15"/>
    <mergeCell ref="C16:F16"/>
    <mergeCell ref="C17:F17"/>
    <mergeCell ref="C18:F18"/>
  </mergeCells>
  <phoneticPr fontId="10" type="noConversion"/>
  <conditionalFormatting sqref="F71:F76 F286:F301 F311:F318 F80:F88 F96:F97 F103:F104 F106 F110:F114 F118:F124 F128:F134 F138:F142 F146:F149 F159:F162 F166:F168 F171:F172 F175:F177 F183:F190 F199:F200 F204:F206 F210:F213 F217:F218 F226:F230 F240:F241 F245:F246 F250:F253 F256 F267:F276 H250">
    <cfRule type="expression" dxfId="46" priority="263" stopIfTrue="1">
      <formula>ISBLANK(F71)</formula>
    </cfRule>
    <cfRule type="expression" dxfId="45" priority="264" stopIfTrue="1">
      <formula>IF(AND(OR(F71-E71&gt;500,F71-E71&lt;-500),OR(#REF!&gt;0.1,#REF!&lt;-0.1)),TRUE,FALSE)</formula>
    </cfRule>
  </conditionalFormatting>
  <dataValidations count="1">
    <dataValidation type="list" errorStyle="information" allowBlank="1" showInputMessage="1" showErrorMessage="1" errorTitle="POBE 2006" error="Please select from the drop-down menu..." prompt="Please select your Authority from the drop-down menu..." sqref="C3:D4">
      <formula1>#REF!</formula1>
    </dataValidation>
  </dataValidations>
  <hyperlinks>
    <hyperlink ref="F7" r:id="rId1" display="lgfstats@scotland.gsi.gov.uk"/>
    <hyperlink ref="D6" r:id="rId2"/>
    <hyperlink ref="D10" r:id="rId3" display="^lgfstats@gov.scot"/>
    <hyperlink ref="B14" location="'POBE 2017'!A28" display="PART 1 - Expenditure"/>
    <hyperlink ref="C19:F19" location="'POBE 2017'!A323" display="Sheet 10. - PUBLIC PRIVATE PARTNERSHIPS/PRIVATE FINANCE INITIATIVES"/>
    <hyperlink ref="B15" location="'POBE 2017'!A40" display="PART 2 - Income and Balances"/>
    <hyperlink ref="B16" location="'POBE 2017'!A66" display="Sheet 1. EDUCATION"/>
    <hyperlink ref="B17" location="'POBE 2017'!A91" display="Sheet 2. SOCIAL WORK"/>
    <hyperlink ref="B18" location="'POBE 2017'!A153" display="Sheet 3. ROADS AND TRANSPORT"/>
    <hyperlink ref="B19" location="'POBE 2017'!A193" display="Sheet 4. ENVIRONMENTAL SERVICES"/>
    <hyperlink ref="C14:F14" location="'POBE 2017'!A221" display="Sheet 5. PLANNING AND DEVELOPMENT SERVICES"/>
    <hyperlink ref="C15:F15" location="'POBE 2017'!A234" display="Sheet 6. CULTURAL AND RELATED SERVICES"/>
    <hyperlink ref="C16:F16" location="'POBE 2017'!A261" display="Sheet 7. HOUSING"/>
    <hyperlink ref="C17:F17" location="'POBE 2017'!A280" display="Sheet 8. CENTRAL SERVICES"/>
    <hyperlink ref="C18:F18" location="'POBE 2017'!A305" display="Sheet 9. OTHER EXPENDITURE"/>
  </hyperlinks>
  <pageMargins left="0.75" right="0.75" top="1" bottom="1" header="0.5" footer="0.5"/>
  <pageSetup paperSize="9" orientation="portrait" r:id="rId4"/>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AG408"/>
  <sheetViews>
    <sheetView topLeftCell="A196" zoomScale="80" zoomScaleNormal="80" workbookViewId="0">
      <selection activeCell="G282" sqref="G282"/>
    </sheetView>
  </sheetViews>
  <sheetFormatPr defaultColWidth="9.140625" defaultRowHeight="12.75"/>
  <cols>
    <col min="1" max="1" width="10.5703125" style="1" customWidth="1"/>
    <col min="2" max="2" width="43" style="1" customWidth="1"/>
    <col min="3" max="3" width="24.5703125" style="1" customWidth="1"/>
    <col min="4" max="4" width="14.7109375" style="1" customWidth="1"/>
    <col min="5" max="5" width="21.5703125" style="1" customWidth="1"/>
    <col min="6" max="6" width="19.140625" style="1" customWidth="1"/>
    <col min="7" max="7" width="17.42578125" style="1" customWidth="1"/>
    <col min="8" max="8" width="19.28515625" style="1" customWidth="1"/>
    <col min="9" max="9" width="17.85546875" style="1" customWidth="1"/>
    <col min="10" max="15" width="9.140625" style="8" customWidth="1"/>
    <col min="16" max="26" width="9.140625" style="8"/>
    <col min="27" max="27" width="0" style="8" hidden="1" customWidth="1"/>
    <col min="28" max="33" width="9.140625" style="8"/>
    <col min="34" max="16384" width="9.140625" style="1"/>
  </cols>
  <sheetData>
    <row r="1" spans="1:33" s="203" customFormat="1" ht="51" customHeight="1">
      <c r="A1" s="3" t="s">
        <v>410</v>
      </c>
      <c r="B1" s="4"/>
      <c r="C1" s="224"/>
      <c r="D1" s="224"/>
      <c r="E1" s="224"/>
      <c r="F1" s="224"/>
      <c r="G1" s="225"/>
      <c r="H1" s="226"/>
      <c r="I1" s="227"/>
      <c r="J1" s="231"/>
      <c r="K1" s="231"/>
      <c r="L1" s="231"/>
      <c r="M1" s="231"/>
      <c r="N1" s="231"/>
      <c r="O1" s="231"/>
      <c r="P1" s="231"/>
      <c r="Q1" s="231"/>
      <c r="R1" s="231"/>
      <c r="S1" s="231"/>
      <c r="T1" s="231"/>
      <c r="U1" s="231"/>
      <c r="V1" s="231"/>
      <c r="W1" s="231"/>
      <c r="X1" s="231"/>
      <c r="Y1" s="231"/>
      <c r="Z1" s="231"/>
      <c r="AA1" s="231"/>
      <c r="AB1" s="231"/>
      <c r="AC1" s="231"/>
      <c r="AD1" s="231"/>
      <c r="AE1" s="231"/>
      <c r="AF1" s="231"/>
      <c r="AG1" s="231"/>
    </row>
    <row r="2" spans="1:33" s="203" customFormat="1" ht="35.25">
      <c r="A2" s="9"/>
      <c r="B2" s="10"/>
      <c r="C2" s="232"/>
      <c r="D2" s="232"/>
      <c r="E2" s="232"/>
      <c r="F2" s="11"/>
      <c r="G2" s="11"/>
      <c r="H2" s="11"/>
      <c r="I2" s="11"/>
      <c r="J2" s="231"/>
      <c r="K2" s="231"/>
      <c r="L2" s="231"/>
      <c r="M2" s="231"/>
      <c r="N2" s="231"/>
      <c r="O2" s="231"/>
      <c r="P2" s="231"/>
      <c r="Q2" s="231"/>
      <c r="R2" s="231"/>
      <c r="S2" s="231"/>
      <c r="T2" s="231"/>
      <c r="U2" s="231"/>
      <c r="V2" s="231"/>
      <c r="W2" s="231"/>
      <c r="X2" s="231"/>
      <c r="Y2" s="231"/>
      <c r="Z2" s="231"/>
      <c r="AA2" s="231"/>
      <c r="AB2" s="231"/>
      <c r="AC2" s="231"/>
      <c r="AD2" s="231"/>
      <c r="AE2" s="231"/>
      <c r="AF2" s="231"/>
      <c r="AG2" s="231"/>
    </row>
    <row r="3" spans="1:33" s="203" customFormat="1" ht="15">
      <c r="A3" s="12"/>
      <c r="B3" s="882" t="s">
        <v>0</v>
      </c>
      <c r="C3" s="884" t="s">
        <v>22</v>
      </c>
      <c r="D3" s="885"/>
      <c r="E3" s="13"/>
      <c r="F3" s="14"/>
      <c r="G3" s="14"/>
      <c r="H3" s="15"/>
      <c r="I3" s="14"/>
      <c r="J3" s="231"/>
      <c r="K3" s="231"/>
      <c r="L3" s="231"/>
      <c r="M3" s="231"/>
      <c r="N3" s="231"/>
      <c r="O3" s="231"/>
      <c r="P3" s="231"/>
      <c r="Q3" s="231"/>
      <c r="R3" s="231"/>
      <c r="S3" s="231"/>
      <c r="T3" s="231"/>
      <c r="U3" s="231"/>
      <c r="V3" s="231"/>
      <c r="W3" s="231"/>
      <c r="X3" s="231"/>
      <c r="Y3" s="231"/>
      <c r="Z3" s="231"/>
      <c r="AA3" s="231"/>
      <c r="AB3" s="231"/>
      <c r="AC3" s="231"/>
      <c r="AD3" s="231"/>
      <c r="AE3" s="231"/>
      <c r="AF3" s="231"/>
      <c r="AG3" s="231"/>
    </row>
    <row r="4" spans="1:33" s="203" customFormat="1" ht="15">
      <c r="A4" s="17"/>
      <c r="B4" s="883"/>
      <c r="C4" s="886"/>
      <c r="D4" s="887"/>
      <c r="E4" s="13"/>
      <c r="F4" s="14"/>
      <c r="G4" s="14"/>
      <c r="H4" s="15"/>
      <c r="I4" s="14"/>
      <c r="J4" s="231"/>
      <c r="K4" s="231"/>
      <c r="L4" s="231"/>
      <c r="M4" s="231"/>
      <c r="N4" s="231"/>
      <c r="O4" s="231"/>
      <c r="P4" s="231"/>
      <c r="Q4" s="231"/>
      <c r="R4" s="231"/>
      <c r="S4" s="231"/>
      <c r="T4" s="231"/>
      <c r="U4" s="231"/>
      <c r="V4" s="231"/>
      <c r="W4" s="231"/>
      <c r="X4" s="231"/>
      <c r="Y4" s="231"/>
      <c r="Z4" s="231"/>
      <c r="AA4" s="231"/>
      <c r="AB4" s="231"/>
      <c r="AC4" s="231"/>
      <c r="AD4" s="231"/>
      <c r="AE4" s="231"/>
      <c r="AF4" s="231"/>
      <c r="AG4" s="231"/>
    </row>
    <row r="5" spans="1:33" s="203" customFormat="1" ht="15">
      <c r="A5" s="888"/>
      <c r="B5" s="889"/>
      <c r="C5" s="18"/>
      <c r="D5" s="206"/>
      <c r="E5" s="206"/>
      <c r="F5" s="14"/>
      <c r="G5" s="14"/>
      <c r="H5" s="14"/>
      <c r="I5" s="234"/>
      <c r="J5" s="231"/>
      <c r="K5" s="231"/>
      <c r="L5" s="231"/>
      <c r="M5" s="231"/>
      <c r="N5" s="231"/>
      <c r="O5" s="231"/>
      <c r="P5" s="231"/>
      <c r="Q5" s="231"/>
      <c r="R5" s="231"/>
      <c r="S5" s="231"/>
      <c r="T5" s="231"/>
      <c r="U5" s="231"/>
      <c r="V5" s="231"/>
      <c r="W5" s="231"/>
      <c r="X5" s="231"/>
      <c r="Y5" s="231"/>
      <c r="Z5" s="231"/>
      <c r="AA5" s="231"/>
      <c r="AB5" s="231"/>
      <c r="AC5" s="231"/>
      <c r="AD5" s="231"/>
      <c r="AE5" s="231"/>
      <c r="AF5" s="231"/>
      <c r="AG5" s="231"/>
    </row>
    <row r="6" spans="1:33" s="203" customFormat="1" ht="23.25" customHeight="1">
      <c r="A6" s="19" t="s">
        <v>1</v>
      </c>
      <c r="B6" s="207"/>
      <c r="C6" s="20"/>
      <c r="D6" s="890" t="s">
        <v>249</v>
      </c>
      <c r="E6" s="890"/>
      <c r="F6" s="890"/>
      <c r="G6" s="890"/>
      <c r="H6" s="890"/>
      <c r="I6" s="29"/>
      <c r="J6" s="231"/>
      <c r="K6" s="231"/>
      <c r="L6" s="231"/>
      <c r="M6" s="231"/>
      <c r="N6" s="231"/>
      <c r="O6" s="231"/>
      <c r="P6" s="231"/>
      <c r="Q6" s="231"/>
      <c r="R6" s="231"/>
      <c r="S6" s="231"/>
      <c r="T6" s="231"/>
      <c r="U6" s="231"/>
      <c r="V6" s="231"/>
      <c r="W6" s="231"/>
      <c r="X6" s="231"/>
      <c r="Y6" s="231"/>
      <c r="Z6" s="231"/>
      <c r="AA6" s="231"/>
      <c r="AB6" s="231"/>
      <c r="AC6" s="231"/>
      <c r="AD6" s="231"/>
      <c r="AE6" s="231"/>
      <c r="AF6" s="231"/>
      <c r="AG6" s="231"/>
    </row>
    <row r="7" spans="1:33" s="203" customFormat="1" ht="18.75" customHeight="1">
      <c r="A7" s="19" t="s">
        <v>419</v>
      </c>
      <c r="B7" s="207"/>
      <c r="C7" s="207"/>
      <c r="D7" s="207"/>
      <c r="E7" s="207"/>
      <c r="F7" s="362" t="s">
        <v>250</v>
      </c>
      <c r="G7" s="1"/>
      <c r="H7" s="21"/>
      <c r="I7" s="29"/>
      <c r="J7" s="231"/>
      <c r="K7" s="231"/>
      <c r="L7" s="231"/>
      <c r="M7" s="231"/>
      <c r="N7" s="231"/>
      <c r="O7" s="231"/>
      <c r="P7" s="231"/>
      <c r="Q7" s="231"/>
      <c r="R7" s="231"/>
      <c r="S7" s="231"/>
      <c r="T7" s="231"/>
      <c r="U7" s="231"/>
      <c r="V7" s="231"/>
      <c r="W7" s="231"/>
      <c r="X7" s="231"/>
      <c r="Y7" s="231"/>
      <c r="Z7" s="231"/>
      <c r="AA7" s="231"/>
      <c r="AB7" s="231"/>
      <c r="AC7" s="231"/>
      <c r="AD7" s="231"/>
      <c r="AE7" s="231"/>
      <c r="AF7" s="231"/>
      <c r="AG7" s="231"/>
    </row>
    <row r="8" spans="1:33" s="203" customFormat="1" ht="24" customHeight="1">
      <c r="A8" s="22" t="s">
        <v>408</v>
      </c>
      <c r="B8" s="207"/>
      <c r="C8" s="207"/>
      <c r="D8" s="207"/>
      <c r="E8" s="207"/>
      <c r="F8" s="207"/>
      <c r="G8" s="813"/>
      <c r="H8" s="21"/>
      <c r="I8" s="29"/>
      <c r="J8" s="231"/>
      <c r="K8" s="231"/>
      <c r="L8" s="231"/>
      <c r="M8" s="231"/>
      <c r="N8" s="231"/>
      <c r="O8" s="231"/>
      <c r="P8" s="231"/>
      <c r="Q8" s="231"/>
      <c r="R8" s="231"/>
      <c r="S8" s="231"/>
      <c r="T8" s="231"/>
      <c r="U8" s="231"/>
      <c r="V8" s="231"/>
      <c r="W8" s="231"/>
      <c r="X8" s="231"/>
      <c r="Y8" s="231"/>
      <c r="Z8" s="231"/>
      <c r="AA8" s="231"/>
      <c r="AB8" s="231"/>
      <c r="AC8" s="231"/>
      <c r="AD8" s="231"/>
      <c r="AE8" s="231"/>
      <c r="AF8" s="231"/>
      <c r="AG8" s="231"/>
    </row>
    <row r="9" spans="1:33" s="203" customFormat="1" ht="30.75" customHeight="1">
      <c r="A9" s="891" t="s">
        <v>420</v>
      </c>
      <c r="B9" s="892"/>
      <c r="C9" s="892"/>
      <c r="D9" s="892"/>
      <c r="E9" s="892"/>
      <c r="F9" s="892"/>
      <c r="G9" s="892"/>
      <c r="H9" s="892"/>
      <c r="I9" s="892"/>
      <c r="J9" s="231"/>
      <c r="K9" s="231"/>
      <c r="L9" s="231"/>
      <c r="M9" s="231"/>
      <c r="N9" s="231"/>
      <c r="O9" s="231"/>
      <c r="P9" s="231"/>
      <c r="Q9" s="231"/>
      <c r="R9" s="231"/>
      <c r="S9" s="231"/>
      <c r="T9" s="231"/>
      <c r="U9" s="231"/>
      <c r="V9" s="231"/>
      <c r="W9" s="231"/>
      <c r="X9" s="231"/>
      <c r="Y9" s="231"/>
      <c r="Z9" s="231"/>
      <c r="AA9" s="231"/>
      <c r="AB9" s="231"/>
      <c r="AC9" s="231"/>
      <c r="AD9" s="231"/>
      <c r="AE9" s="231"/>
      <c r="AF9" s="231"/>
      <c r="AG9" s="231"/>
    </row>
    <row r="10" spans="1:33" s="203" customFormat="1" ht="12.75" customHeight="1">
      <c r="A10" s="22" t="s">
        <v>409</v>
      </c>
      <c r="B10" s="19"/>
      <c r="C10" s="1"/>
      <c r="D10" s="880" t="s">
        <v>250</v>
      </c>
      <c r="E10" s="881"/>
      <c r="F10" s="881"/>
      <c r="G10" s="207"/>
      <c r="H10" s="207"/>
      <c r="I10" s="29"/>
      <c r="J10" s="231"/>
      <c r="K10" s="231"/>
      <c r="L10" s="231"/>
      <c r="M10" s="231"/>
      <c r="N10" s="231"/>
      <c r="O10" s="231"/>
      <c r="P10" s="231"/>
      <c r="Q10" s="231"/>
      <c r="R10" s="231"/>
      <c r="S10" s="231"/>
      <c r="T10" s="231"/>
      <c r="U10" s="231"/>
      <c r="V10" s="231"/>
      <c r="W10" s="231"/>
      <c r="X10" s="231"/>
      <c r="Y10" s="231"/>
      <c r="Z10" s="231"/>
      <c r="AA10" s="231"/>
      <c r="AB10" s="231"/>
      <c r="AC10" s="231"/>
      <c r="AD10" s="231"/>
      <c r="AE10" s="231"/>
      <c r="AF10" s="231"/>
      <c r="AG10" s="231"/>
    </row>
    <row r="11" spans="1:33" s="203" customFormat="1">
      <c r="A11" s="23"/>
      <c r="B11" s="207"/>
      <c r="C11" s="207"/>
      <c r="D11" s="207"/>
      <c r="E11" s="207"/>
      <c r="F11" s="207"/>
      <c r="G11" s="21"/>
      <c r="H11" s="21"/>
      <c r="I11" s="29"/>
      <c r="J11" s="231"/>
      <c r="K11" s="231"/>
      <c r="L11" s="231"/>
      <c r="M11" s="231"/>
      <c r="N11" s="231"/>
      <c r="O11" s="231"/>
      <c r="P11" s="231"/>
      <c r="Q11" s="231"/>
      <c r="R11" s="231"/>
      <c r="S11" s="231"/>
      <c r="T11" s="231"/>
      <c r="U11" s="231"/>
      <c r="V11" s="231"/>
      <c r="W11" s="231"/>
      <c r="X11" s="231"/>
      <c r="Y11" s="231"/>
      <c r="Z11" s="231"/>
      <c r="AA11" s="231"/>
      <c r="AB11" s="231"/>
      <c r="AC11" s="231"/>
      <c r="AD11" s="231"/>
      <c r="AE11" s="231"/>
      <c r="AF11" s="231"/>
      <c r="AG11" s="231"/>
    </row>
    <row r="12" spans="1:33" s="203" customFormat="1">
      <c r="A12" s="24"/>
      <c r="B12" s="25" t="s">
        <v>7</v>
      </c>
      <c r="C12" s="26"/>
      <c r="D12" s="356"/>
      <c r="E12" s="356"/>
      <c r="F12" s="357"/>
      <c r="G12" s="21"/>
      <c r="H12" s="21"/>
      <c r="I12" s="29"/>
      <c r="J12" s="231"/>
      <c r="K12" s="231"/>
      <c r="L12" s="231"/>
      <c r="M12" s="231"/>
      <c r="N12" s="231"/>
      <c r="O12" s="231"/>
      <c r="P12" s="231"/>
      <c r="Q12" s="231"/>
      <c r="R12" s="231"/>
      <c r="S12" s="231"/>
      <c r="T12" s="231"/>
      <c r="U12" s="231"/>
      <c r="V12" s="231"/>
      <c r="W12" s="231"/>
      <c r="X12" s="231"/>
      <c r="Y12" s="231"/>
      <c r="Z12" s="231"/>
      <c r="AA12" s="231"/>
      <c r="AB12" s="231"/>
      <c r="AC12" s="231"/>
      <c r="AD12" s="231"/>
      <c r="AE12" s="231"/>
      <c r="AF12" s="231"/>
      <c r="AG12" s="231"/>
    </row>
    <row r="13" spans="1:33" s="203" customFormat="1">
      <c r="A13" s="23"/>
      <c r="B13" s="27"/>
      <c r="C13" s="358"/>
      <c r="D13" s="15"/>
      <c r="E13" s="15"/>
      <c r="F13" s="359"/>
      <c r="G13" s="207"/>
      <c r="H13" s="21"/>
      <c r="I13" s="29"/>
      <c r="J13" s="231"/>
      <c r="K13" s="231"/>
      <c r="L13" s="231"/>
      <c r="M13" s="231"/>
      <c r="N13" s="231"/>
      <c r="O13" s="231"/>
      <c r="P13" s="231"/>
      <c r="Q13" s="231"/>
      <c r="R13" s="231"/>
      <c r="S13" s="231"/>
      <c r="T13" s="231"/>
      <c r="U13" s="231"/>
      <c r="V13" s="231"/>
      <c r="W13" s="231"/>
      <c r="X13" s="231"/>
      <c r="Y13" s="231"/>
      <c r="Z13" s="231"/>
      <c r="AA13" s="231"/>
      <c r="AB13" s="231"/>
      <c r="AC13" s="231"/>
      <c r="AD13" s="231"/>
      <c r="AE13" s="231"/>
      <c r="AF13" s="231"/>
      <c r="AG13" s="231"/>
    </row>
    <row r="14" spans="1:33" s="203" customFormat="1">
      <c r="A14" s="23"/>
      <c r="B14" s="363" t="s">
        <v>328</v>
      </c>
      <c r="C14" s="870" t="s">
        <v>10</v>
      </c>
      <c r="D14" s="870"/>
      <c r="E14" s="870"/>
      <c r="F14" s="871"/>
      <c r="G14" s="207"/>
      <c r="H14" s="21"/>
      <c r="I14" s="29"/>
      <c r="J14" s="231"/>
      <c r="K14" s="231"/>
      <c r="L14" s="231"/>
      <c r="M14" s="231"/>
      <c r="N14" s="231"/>
      <c r="O14" s="231"/>
      <c r="P14" s="231"/>
      <c r="Q14" s="231"/>
      <c r="R14" s="231"/>
      <c r="S14" s="231"/>
      <c r="T14" s="231"/>
      <c r="U14" s="231"/>
      <c r="V14" s="231"/>
      <c r="W14" s="231"/>
      <c r="X14" s="231"/>
      <c r="Y14" s="231"/>
      <c r="Z14" s="231"/>
      <c r="AA14" s="231"/>
      <c r="AB14" s="231"/>
      <c r="AC14" s="231"/>
      <c r="AD14" s="231"/>
      <c r="AE14" s="231"/>
      <c r="AF14" s="231"/>
      <c r="AG14" s="231"/>
    </row>
    <row r="15" spans="1:33" s="203" customFormat="1">
      <c r="A15" s="23"/>
      <c r="B15" s="363" t="s">
        <v>329</v>
      </c>
      <c r="C15" s="870" t="s">
        <v>12</v>
      </c>
      <c r="D15" s="870"/>
      <c r="E15" s="870"/>
      <c r="F15" s="871"/>
      <c r="G15" s="207"/>
      <c r="H15" s="21"/>
      <c r="I15" s="29"/>
      <c r="J15" s="231"/>
      <c r="K15" s="231"/>
      <c r="L15" s="231"/>
      <c r="M15" s="231"/>
      <c r="N15" s="231"/>
      <c r="O15" s="231"/>
      <c r="P15" s="231"/>
      <c r="Q15" s="231"/>
      <c r="R15" s="231"/>
      <c r="S15" s="231"/>
      <c r="T15" s="231"/>
      <c r="U15" s="231"/>
      <c r="V15" s="231"/>
      <c r="W15" s="231"/>
      <c r="X15" s="231"/>
      <c r="Y15" s="231"/>
      <c r="Z15" s="231"/>
      <c r="AA15" s="231"/>
      <c r="AB15" s="231"/>
      <c r="AC15" s="231"/>
      <c r="AD15" s="231"/>
      <c r="AE15" s="231"/>
      <c r="AF15" s="231"/>
      <c r="AG15" s="231"/>
    </row>
    <row r="16" spans="1:33" s="203" customFormat="1">
      <c r="A16" s="23"/>
      <c r="B16" s="360" t="s">
        <v>14</v>
      </c>
      <c r="C16" s="870" t="s">
        <v>15</v>
      </c>
      <c r="D16" s="870"/>
      <c r="E16" s="870"/>
      <c r="F16" s="871"/>
      <c r="G16" s="207"/>
      <c r="H16" s="21"/>
      <c r="I16" s="29"/>
      <c r="J16" s="231"/>
      <c r="K16" s="231"/>
      <c r="L16" s="231"/>
      <c r="M16" s="231"/>
      <c r="N16" s="231"/>
      <c r="O16" s="231"/>
      <c r="P16" s="231"/>
      <c r="Q16" s="231"/>
      <c r="R16" s="231"/>
      <c r="S16" s="231"/>
      <c r="T16" s="231"/>
      <c r="U16" s="231"/>
      <c r="V16" s="231"/>
      <c r="W16" s="231"/>
      <c r="X16" s="231"/>
      <c r="Y16" s="231"/>
      <c r="Z16" s="231"/>
      <c r="AA16" s="231"/>
      <c r="AB16" s="231"/>
      <c r="AC16" s="231"/>
      <c r="AD16" s="231"/>
      <c r="AE16" s="231"/>
      <c r="AF16" s="231"/>
      <c r="AG16" s="231"/>
    </row>
    <row r="17" spans="1:33" s="203" customFormat="1">
      <c r="A17" s="23"/>
      <c r="B17" s="360" t="s">
        <v>17</v>
      </c>
      <c r="C17" s="870" t="s">
        <v>18</v>
      </c>
      <c r="D17" s="870"/>
      <c r="E17" s="870"/>
      <c r="F17" s="871"/>
      <c r="G17" s="207"/>
      <c r="H17" s="21"/>
      <c r="I17" s="29"/>
      <c r="J17" s="231"/>
      <c r="K17" s="231"/>
      <c r="L17" s="231"/>
      <c r="M17" s="231"/>
      <c r="N17" s="231"/>
      <c r="O17" s="231"/>
      <c r="P17" s="231"/>
      <c r="Q17" s="231"/>
      <c r="R17" s="231"/>
      <c r="S17" s="231"/>
      <c r="T17" s="231"/>
      <c r="U17" s="231"/>
      <c r="V17" s="231"/>
      <c r="W17" s="231"/>
      <c r="X17" s="231"/>
      <c r="Y17" s="231"/>
      <c r="Z17" s="231"/>
      <c r="AA17" s="231"/>
      <c r="AB17" s="231"/>
      <c r="AC17" s="231"/>
      <c r="AD17" s="231"/>
      <c r="AE17" s="231"/>
      <c r="AF17" s="231"/>
      <c r="AG17" s="231"/>
    </row>
    <row r="18" spans="1:33" s="203" customFormat="1">
      <c r="A18" s="23"/>
      <c r="B18" s="360" t="s">
        <v>20</v>
      </c>
      <c r="C18" s="870" t="s">
        <v>21</v>
      </c>
      <c r="D18" s="870"/>
      <c r="E18" s="870"/>
      <c r="F18" s="871"/>
      <c r="G18" s="207"/>
      <c r="H18" s="21"/>
      <c r="I18" s="29"/>
      <c r="J18" s="231"/>
      <c r="K18" s="231"/>
      <c r="L18" s="231"/>
      <c r="M18" s="231"/>
      <c r="N18" s="231"/>
      <c r="O18" s="231"/>
      <c r="P18" s="231"/>
      <c r="Q18" s="231"/>
      <c r="R18" s="231"/>
      <c r="S18" s="231"/>
      <c r="T18" s="231"/>
      <c r="U18" s="231"/>
      <c r="V18" s="231"/>
      <c r="W18" s="231"/>
      <c r="X18" s="231"/>
      <c r="Y18" s="231"/>
      <c r="Z18" s="231"/>
      <c r="AA18" s="231"/>
      <c r="AB18" s="231"/>
      <c r="AC18" s="231"/>
      <c r="AD18" s="231"/>
      <c r="AE18" s="231"/>
      <c r="AF18" s="231"/>
      <c r="AG18" s="231"/>
    </row>
    <row r="19" spans="1:33" s="203" customFormat="1">
      <c r="A19" s="23"/>
      <c r="B19" s="361" t="s">
        <v>23</v>
      </c>
      <c r="C19" s="872" t="s">
        <v>24</v>
      </c>
      <c r="D19" s="872"/>
      <c r="E19" s="872"/>
      <c r="F19" s="873"/>
      <c r="G19" s="21"/>
      <c r="H19" s="21"/>
      <c r="I19" s="29"/>
      <c r="J19" s="231"/>
      <c r="K19" s="231"/>
      <c r="L19" s="231"/>
      <c r="M19" s="231"/>
      <c r="N19" s="231"/>
      <c r="O19" s="231"/>
      <c r="P19" s="231"/>
      <c r="Q19" s="231"/>
      <c r="R19" s="231"/>
      <c r="S19" s="231"/>
      <c r="T19" s="231"/>
      <c r="U19" s="231"/>
      <c r="V19" s="231"/>
      <c r="W19" s="231"/>
      <c r="X19" s="231"/>
      <c r="Y19" s="231"/>
      <c r="Z19" s="231"/>
      <c r="AA19" s="231"/>
      <c r="AB19" s="231"/>
      <c r="AC19" s="231"/>
      <c r="AD19" s="231"/>
      <c r="AE19" s="231"/>
      <c r="AF19" s="231"/>
      <c r="AG19" s="231"/>
    </row>
    <row r="20" spans="1:33" s="203" customFormat="1">
      <c r="A20" s="236"/>
      <c r="B20" s="206"/>
      <c r="C20" s="206"/>
      <c r="D20" s="206"/>
      <c r="E20" s="206"/>
      <c r="F20" s="206"/>
      <c r="G20" s="206"/>
      <c r="H20" s="206"/>
      <c r="I20" s="206"/>
      <c r="J20" s="231"/>
      <c r="K20" s="231"/>
      <c r="L20" s="231"/>
      <c r="M20" s="231"/>
      <c r="N20" s="231"/>
      <c r="O20" s="231"/>
      <c r="P20" s="231"/>
      <c r="Q20" s="231"/>
      <c r="R20" s="231"/>
      <c r="S20" s="231"/>
      <c r="T20" s="231"/>
      <c r="U20" s="231"/>
      <c r="V20" s="231"/>
      <c r="W20" s="231"/>
      <c r="X20" s="231"/>
      <c r="Y20" s="231"/>
      <c r="Z20" s="231"/>
      <c r="AA20" s="231"/>
      <c r="AB20" s="231"/>
      <c r="AC20" s="231"/>
      <c r="AD20" s="231"/>
      <c r="AE20" s="231"/>
      <c r="AF20" s="231"/>
      <c r="AG20" s="231"/>
    </row>
    <row r="21" spans="1:33" s="203" customFormat="1" ht="19.5">
      <c r="A21" s="30"/>
      <c r="B21" s="13"/>
      <c r="C21" s="13"/>
      <c r="D21" s="13"/>
      <c r="E21" s="13"/>
      <c r="F21" s="13"/>
      <c r="G21" s="13"/>
      <c r="H21" s="31" t="s">
        <v>27</v>
      </c>
      <c r="I21" s="237"/>
      <c r="J21" s="231"/>
      <c r="K21" s="231"/>
      <c r="L21" s="231"/>
      <c r="M21" s="231"/>
      <c r="N21" s="231"/>
      <c r="O21" s="231"/>
      <c r="P21" s="231"/>
      <c r="Q21" s="231"/>
      <c r="R21" s="231"/>
      <c r="S21" s="231"/>
      <c r="T21" s="231"/>
      <c r="U21" s="231"/>
      <c r="V21" s="231"/>
      <c r="W21" s="231"/>
      <c r="X21" s="231"/>
      <c r="Y21" s="231"/>
      <c r="Z21" s="231"/>
      <c r="AA21" s="231"/>
      <c r="AB21" s="231"/>
      <c r="AC21" s="231"/>
      <c r="AD21" s="231"/>
      <c r="AE21" s="231"/>
      <c r="AF21" s="231"/>
      <c r="AG21" s="231"/>
    </row>
    <row r="22" spans="1:33" s="203" customFormat="1" ht="18.75" customHeight="1">
      <c r="A22" s="32"/>
      <c r="B22" s="29"/>
      <c r="C22" s="29"/>
      <c r="D22" s="29"/>
      <c r="E22" s="29"/>
      <c r="F22" s="33">
        <v>1</v>
      </c>
      <c r="G22" s="34"/>
      <c r="H22" s="33">
        <v>2</v>
      </c>
      <c r="I22" s="34"/>
      <c r="J22" s="231"/>
      <c r="K22" s="231"/>
      <c r="L22" s="231"/>
      <c r="M22" s="231"/>
      <c r="N22" s="231"/>
      <c r="O22" s="231"/>
      <c r="P22" s="231"/>
      <c r="Q22" s="231"/>
      <c r="R22" s="231"/>
      <c r="S22" s="231"/>
      <c r="T22" s="231"/>
      <c r="U22" s="231"/>
      <c r="V22" s="231"/>
      <c r="W22" s="231"/>
      <c r="X22" s="231"/>
      <c r="Y22" s="231"/>
      <c r="Z22" s="231"/>
      <c r="AA22" s="231"/>
      <c r="AB22" s="231"/>
      <c r="AC22" s="231"/>
      <c r="AD22" s="231"/>
      <c r="AE22" s="231"/>
      <c r="AF22" s="231"/>
      <c r="AG22" s="231"/>
    </row>
    <row r="23" spans="1:33" s="203" customFormat="1" ht="21.95" customHeight="1">
      <c r="A23" s="874" t="s">
        <v>30</v>
      </c>
      <c r="B23" s="875"/>
      <c r="C23" s="875"/>
      <c r="D23" s="875"/>
      <c r="E23" s="878" t="s">
        <v>376</v>
      </c>
      <c r="F23" s="856" t="s">
        <v>407</v>
      </c>
      <c r="G23" s="36"/>
      <c r="H23" s="878" t="s">
        <v>406</v>
      </c>
      <c r="I23" s="36"/>
      <c r="J23" s="231"/>
      <c r="K23" s="231"/>
      <c r="L23" s="231"/>
      <c r="M23" s="231"/>
      <c r="N23" s="231"/>
      <c r="O23" s="231"/>
      <c r="P23" s="231"/>
      <c r="Q23" s="231"/>
      <c r="R23" s="231"/>
      <c r="S23" s="231"/>
      <c r="T23" s="231"/>
      <c r="U23" s="231"/>
      <c r="V23" s="231"/>
      <c r="W23" s="231"/>
      <c r="X23" s="231"/>
      <c r="Y23" s="231"/>
      <c r="Z23" s="231"/>
      <c r="AA23" s="231"/>
      <c r="AB23" s="231"/>
      <c r="AC23" s="231"/>
      <c r="AD23" s="231"/>
      <c r="AE23" s="231"/>
      <c r="AF23" s="231"/>
      <c r="AG23" s="231"/>
    </row>
    <row r="24" spans="1:33" s="203" customFormat="1" ht="21.95" customHeight="1">
      <c r="A24" s="876"/>
      <c r="B24" s="877"/>
      <c r="C24" s="877"/>
      <c r="D24" s="877"/>
      <c r="E24" s="879"/>
      <c r="F24" s="860"/>
      <c r="G24" s="23"/>
      <c r="H24" s="879"/>
      <c r="I24" s="36"/>
      <c r="J24" s="231"/>
      <c r="K24" s="231"/>
      <c r="L24" s="231"/>
      <c r="M24" s="231"/>
      <c r="N24" s="231"/>
      <c r="O24" s="231"/>
      <c r="P24" s="231"/>
      <c r="Q24" s="231"/>
      <c r="R24" s="231"/>
      <c r="S24" s="231"/>
      <c r="T24" s="231"/>
      <c r="U24" s="231"/>
      <c r="V24" s="231"/>
      <c r="W24" s="231"/>
      <c r="X24" s="231"/>
      <c r="Y24" s="231"/>
      <c r="Z24" s="231"/>
      <c r="AA24" s="231"/>
      <c r="AB24" s="231"/>
      <c r="AC24" s="231"/>
      <c r="AD24" s="231"/>
      <c r="AE24" s="231"/>
      <c r="AF24" s="231"/>
      <c r="AG24" s="231"/>
    </row>
    <row r="25" spans="1:33" s="203" customFormat="1" ht="21.95" customHeight="1">
      <c r="A25" s="898" t="s">
        <v>48</v>
      </c>
      <c r="B25" s="901" t="s">
        <v>49</v>
      </c>
      <c r="C25" s="901"/>
      <c r="D25" s="902"/>
      <c r="E25" s="907" t="s">
        <v>50</v>
      </c>
      <c r="F25" s="909" t="s">
        <v>51</v>
      </c>
      <c r="G25" s="34"/>
      <c r="H25" s="907" t="s">
        <v>50</v>
      </c>
      <c r="I25" s="36"/>
      <c r="J25" s="231"/>
      <c r="K25" s="231"/>
      <c r="L25" s="231"/>
      <c r="M25" s="231"/>
      <c r="N25" s="231"/>
      <c r="O25" s="231"/>
      <c r="P25" s="231"/>
      <c r="Q25" s="231"/>
      <c r="R25" s="231"/>
      <c r="S25" s="231"/>
      <c r="T25" s="231"/>
      <c r="U25" s="231"/>
      <c r="V25" s="231"/>
      <c r="W25" s="231"/>
      <c r="X25" s="231"/>
      <c r="Y25" s="231"/>
      <c r="Z25" s="231"/>
      <c r="AA25" s="231"/>
      <c r="AB25" s="231"/>
      <c r="AC25" s="231"/>
      <c r="AD25" s="231"/>
      <c r="AE25" s="231"/>
      <c r="AF25" s="231"/>
      <c r="AG25" s="231"/>
    </row>
    <row r="26" spans="1:33" s="203" customFormat="1" ht="21.95" customHeight="1">
      <c r="A26" s="899"/>
      <c r="B26" s="903"/>
      <c r="C26" s="903"/>
      <c r="D26" s="904"/>
      <c r="E26" s="908"/>
      <c r="F26" s="859"/>
      <c r="G26" s="34"/>
      <c r="H26" s="908"/>
      <c r="I26" s="36"/>
      <c r="J26" s="231"/>
      <c r="K26" s="231"/>
      <c r="L26" s="231"/>
      <c r="M26" s="231"/>
      <c r="N26" s="231"/>
      <c r="O26" s="231"/>
      <c r="P26" s="231"/>
      <c r="Q26" s="231"/>
      <c r="R26" s="231"/>
      <c r="S26" s="231"/>
      <c r="T26" s="231"/>
      <c r="U26" s="231"/>
      <c r="V26" s="231"/>
      <c r="W26" s="231"/>
      <c r="X26" s="231"/>
      <c r="Y26" s="231"/>
      <c r="Z26" s="231"/>
      <c r="AA26" s="231"/>
      <c r="AB26" s="231"/>
      <c r="AC26" s="231"/>
      <c r="AD26" s="231"/>
      <c r="AE26" s="231"/>
      <c r="AF26" s="231"/>
      <c r="AG26" s="231"/>
    </row>
    <row r="27" spans="1:33" s="203" customFormat="1" ht="21.95" customHeight="1">
      <c r="A27" s="900"/>
      <c r="B27" s="905"/>
      <c r="C27" s="905"/>
      <c r="D27" s="906"/>
      <c r="E27" s="879"/>
      <c r="F27" s="860"/>
      <c r="G27" s="34"/>
      <c r="H27" s="879"/>
      <c r="I27" s="36"/>
      <c r="J27" s="231"/>
      <c r="K27" s="231"/>
      <c r="L27" s="231"/>
      <c r="M27" s="231"/>
      <c r="N27" s="231"/>
      <c r="O27" s="231"/>
      <c r="P27" s="231"/>
      <c r="Q27" s="231"/>
      <c r="R27" s="231"/>
      <c r="S27" s="231"/>
      <c r="T27" s="231"/>
      <c r="U27" s="231"/>
      <c r="V27" s="231"/>
      <c r="W27" s="231"/>
      <c r="X27" s="231"/>
      <c r="Y27" s="231"/>
      <c r="Z27" s="231"/>
      <c r="AA27" s="231"/>
      <c r="AB27" s="231"/>
      <c r="AC27" s="231"/>
      <c r="AD27" s="231"/>
      <c r="AE27" s="231"/>
      <c r="AF27" s="231"/>
      <c r="AG27" s="231"/>
    </row>
    <row r="28" spans="1:33" s="203" customFormat="1">
      <c r="A28" s="38">
        <v>1</v>
      </c>
      <c r="B28" s="39" t="s">
        <v>52</v>
      </c>
      <c r="C28" s="39"/>
      <c r="D28" s="40"/>
      <c r="E28" s="41">
        <v>115034</v>
      </c>
      <c r="F28" s="42">
        <f>F77</f>
        <v>118779</v>
      </c>
      <c r="G28" s="43"/>
      <c r="H28" s="44">
        <f>H77</f>
        <v>124566</v>
      </c>
      <c r="I28" s="43"/>
      <c r="J28" s="231"/>
      <c r="K28" s="231"/>
      <c r="L28" s="231"/>
      <c r="M28" s="231"/>
      <c r="N28" s="231"/>
      <c r="O28" s="231"/>
      <c r="P28" s="231"/>
      <c r="Q28" s="231"/>
      <c r="R28" s="231"/>
      <c r="S28" s="231"/>
      <c r="T28" s="231"/>
      <c r="U28" s="231"/>
      <c r="V28" s="231"/>
      <c r="W28" s="231"/>
      <c r="X28" s="231"/>
      <c r="Y28" s="231"/>
      <c r="Z28" s="231"/>
      <c r="AA28" s="231"/>
      <c r="AB28" s="231"/>
      <c r="AC28" s="231"/>
      <c r="AD28" s="231"/>
      <c r="AE28" s="231"/>
      <c r="AF28" s="231"/>
      <c r="AG28" s="231"/>
    </row>
    <row r="29" spans="1:33" s="203" customFormat="1">
      <c r="A29" s="46">
        <v>2</v>
      </c>
      <c r="B29" s="47" t="s">
        <v>53</v>
      </c>
      <c r="C29" s="47"/>
      <c r="D29" s="48"/>
      <c r="E29" s="49">
        <v>49087</v>
      </c>
      <c r="F29" s="50">
        <f>F105</f>
        <v>49280</v>
      </c>
      <c r="G29" s="43"/>
      <c r="H29" s="51">
        <f>H105</f>
        <v>50380</v>
      </c>
      <c r="I29" s="43"/>
      <c r="J29" s="231"/>
      <c r="K29" s="231"/>
      <c r="L29" s="231"/>
      <c r="M29" s="231"/>
      <c r="N29" s="231"/>
      <c r="O29" s="231"/>
      <c r="P29" s="231"/>
      <c r="Q29" s="231"/>
      <c r="R29" s="231"/>
      <c r="S29" s="231"/>
      <c r="T29" s="231"/>
      <c r="U29" s="231"/>
      <c r="V29" s="231"/>
      <c r="W29" s="231"/>
      <c r="X29" s="231"/>
      <c r="Y29" s="231"/>
      <c r="Z29" s="231"/>
      <c r="AA29" s="231"/>
      <c r="AB29" s="231"/>
      <c r="AC29" s="231"/>
      <c r="AD29" s="231"/>
      <c r="AE29" s="231"/>
      <c r="AF29" s="231"/>
      <c r="AG29" s="231"/>
    </row>
    <row r="30" spans="1:33" s="203" customFormat="1">
      <c r="A30" s="46">
        <v>3</v>
      </c>
      <c r="B30" s="47" t="s">
        <v>54</v>
      </c>
      <c r="C30" s="47"/>
      <c r="D30" s="48"/>
      <c r="E30" s="49">
        <v>9641</v>
      </c>
      <c r="F30" s="50">
        <f>F180</f>
        <v>9981</v>
      </c>
      <c r="G30" s="43"/>
      <c r="H30" s="51">
        <f>H180</f>
        <v>9696</v>
      </c>
      <c r="I30" s="43"/>
      <c r="J30" s="231"/>
      <c r="K30" s="231"/>
      <c r="L30" s="231"/>
      <c r="M30" s="231"/>
      <c r="N30" s="231"/>
      <c r="O30" s="231"/>
      <c r="P30" s="231"/>
      <c r="Q30" s="231"/>
      <c r="R30" s="231"/>
      <c r="S30" s="231"/>
      <c r="T30" s="231"/>
      <c r="U30" s="231"/>
      <c r="V30" s="231"/>
      <c r="W30" s="231"/>
      <c r="X30" s="231"/>
      <c r="Y30" s="231"/>
      <c r="Z30" s="231"/>
      <c r="AA30" s="231"/>
      <c r="AB30" s="231"/>
      <c r="AC30" s="231"/>
      <c r="AD30" s="231"/>
      <c r="AE30" s="231"/>
      <c r="AF30" s="231"/>
      <c r="AG30" s="231"/>
    </row>
    <row r="31" spans="1:33" s="203" customFormat="1">
      <c r="A31" s="46">
        <v>4</v>
      </c>
      <c r="B31" s="47" t="s">
        <v>55</v>
      </c>
      <c r="C31" s="47"/>
      <c r="D31" s="48"/>
      <c r="E31" s="49">
        <v>10515</v>
      </c>
      <c r="F31" s="50">
        <f>F214</f>
        <v>9799</v>
      </c>
      <c r="G31" s="43"/>
      <c r="H31" s="51">
        <f>H214</f>
        <v>9992</v>
      </c>
      <c r="I31" s="43"/>
      <c r="J31" s="231"/>
      <c r="K31" s="231"/>
      <c r="L31" s="231"/>
      <c r="M31" s="231"/>
      <c r="N31" s="231"/>
      <c r="O31" s="231"/>
      <c r="P31" s="231"/>
      <c r="Q31" s="231"/>
      <c r="R31" s="231"/>
      <c r="S31" s="231"/>
      <c r="T31" s="231"/>
      <c r="U31" s="231"/>
      <c r="V31" s="231"/>
      <c r="W31" s="231"/>
      <c r="X31" s="231"/>
      <c r="Y31" s="231"/>
      <c r="Z31" s="231"/>
      <c r="AA31" s="231"/>
      <c r="AB31" s="231"/>
      <c r="AC31" s="231"/>
      <c r="AD31" s="231"/>
      <c r="AE31" s="231"/>
      <c r="AF31" s="231"/>
      <c r="AG31" s="231"/>
    </row>
    <row r="32" spans="1:33" s="203" customFormat="1">
      <c r="A32" s="46">
        <v>5</v>
      </c>
      <c r="B32" s="47" t="s">
        <v>56</v>
      </c>
      <c r="C32" s="47"/>
      <c r="D32" s="48"/>
      <c r="E32" s="49">
        <v>2762</v>
      </c>
      <c r="F32" s="50">
        <f>F231</f>
        <v>2402</v>
      </c>
      <c r="G32" s="43"/>
      <c r="H32" s="51">
        <f>H231</f>
        <v>2633</v>
      </c>
      <c r="I32" s="43"/>
      <c r="J32" s="231"/>
      <c r="K32" s="231"/>
      <c r="L32" s="231"/>
      <c r="M32" s="231"/>
      <c r="N32" s="231"/>
      <c r="O32" s="231"/>
      <c r="P32" s="231"/>
      <c r="Q32" s="231"/>
      <c r="R32" s="231"/>
      <c r="S32" s="231"/>
      <c r="T32" s="231"/>
      <c r="U32" s="231"/>
      <c r="V32" s="231"/>
      <c r="W32" s="231"/>
      <c r="X32" s="231"/>
      <c r="Y32" s="231"/>
      <c r="Z32" s="231"/>
      <c r="AA32" s="231"/>
      <c r="AB32" s="231"/>
      <c r="AC32" s="231"/>
      <c r="AD32" s="231"/>
      <c r="AE32" s="231"/>
      <c r="AF32" s="231"/>
      <c r="AG32" s="231"/>
    </row>
    <row r="33" spans="1:33" s="203" customFormat="1">
      <c r="A33" s="46">
        <v>6</v>
      </c>
      <c r="B33" s="47" t="s">
        <v>57</v>
      </c>
      <c r="C33" s="47"/>
      <c r="D33" s="48"/>
      <c r="E33" s="49">
        <v>9814</v>
      </c>
      <c r="F33" s="50">
        <f>F257</f>
        <v>9939</v>
      </c>
      <c r="G33" s="43"/>
      <c r="H33" s="51">
        <f>H257</f>
        <v>9833</v>
      </c>
      <c r="I33" s="43"/>
      <c r="J33" s="231"/>
      <c r="K33" s="231"/>
      <c r="L33" s="231"/>
      <c r="M33" s="231"/>
      <c r="N33" s="231"/>
      <c r="O33" s="231"/>
      <c r="P33" s="231"/>
      <c r="Q33" s="231"/>
      <c r="R33" s="231"/>
      <c r="S33" s="231"/>
      <c r="T33" s="231"/>
      <c r="U33" s="231"/>
      <c r="V33" s="231"/>
      <c r="W33" s="231"/>
      <c r="X33" s="231"/>
      <c r="Y33" s="231"/>
      <c r="Z33" s="231"/>
      <c r="AA33" s="231"/>
      <c r="AB33" s="231"/>
      <c r="AC33" s="231"/>
      <c r="AD33" s="231"/>
      <c r="AE33" s="231"/>
      <c r="AF33" s="231"/>
      <c r="AG33" s="231"/>
    </row>
    <row r="34" spans="1:33" s="203" customFormat="1">
      <c r="A34" s="46">
        <v>7</v>
      </c>
      <c r="B34" s="47" t="s">
        <v>58</v>
      </c>
      <c r="C34" s="47"/>
      <c r="D34" s="48"/>
      <c r="E34" s="49">
        <v>4116</v>
      </c>
      <c r="F34" s="50">
        <f>F277</f>
        <v>4139.1000000000004</v>
      </c>
      <c r="G34" s="43"/>
      <c r="H34" s="50">
        <f>H277</f>
        <v>3703.3</v>
      </c>
      <c r="I34" s="43"/>
      <c r="J34" s="231"/>
      <c r="K34" s="231"/>
      <c r="L34" s="231"/>
      <c r="M34" s="231"/>
      <c r="N34" s="231"/>
      <c r="O34" s="231"/>
      <c r="P34" s="231"/>
      <c r="Q34" s="231"/>
      <c r="R34" s="231"/>
      <c r="S34" s="231"/>
      <c r="T34" s="231"/>
      <c r="U34" s="231"/>
      <c r="V34" s="231"/>
      <c r="W34" s="231"/>
      <c r="X34" s="231"/>
      <c r="Y34" s="231"/>
      <c r="Z34" s="231"/>
      <c r="AA34" s="231"/>
      <c r="AB34" s="231"/>
      <c r="AC34" s="231"/>
      <c r="AD34" s="231"/>
      <c r="AE34" s="231"/>
      <c r="AF34" s="231"/>
      <c r="AG34" s="231"/>
    </row>
    <row r="35" spans="1:33" s="203" customFormat="1">
      <c r="A35" s="46">
        <v>8</v>
      </c>
      <c r="B35" s="47" t="s">
        <v>59</v>
      </c>
      <c r="C35" s="47"/>
      <c r="D35" s="48"/>
      <c r="E35" s="49">
        <v>5961</v>
      </c>
      <c r="F35" s="50">
        <f>F302</f>
        <v>5678</v>
      </c>
      <c r="G35" s="43"/>
      <c r="H35" s="50">
        <f>H302</f>
        <v>5854</v>
      </c>
      <c r="I35" s="21"/>
      <c r="J35" s="231"/>
      <c r="K35" s="231"/>
      <c r="L35" s="231"/>
      <c r="M35" s="231"/>
      <c r="N35" s="231"/>
      <c r="O35" s="231"/>
      <c r="P35" s="231"/>
      <c r="Q35" s="231"/>
      <c r="R35" s="231"/>
      <c r="S35" s="231"/>
      <c r="T35" s="231"/>
      <c r="U35" s="231"/>
      <c r="V35" s="231"/>
      <c r="W35" s="231"/>
      <c r="X35" s="231"/>
      <c r="Y35" s="231"/>
      <c r="Z35" s="231"/>
      <c r="AA35" s="231"/>
      <c r="AB35" s="231"/>
      <c r="AC35" s="231"/>
      <c r="AD35" s="231"/>
      <c r="AE35" s="231"/>
      <c r="AF35" s="231"/>
      <c r="AG35" s="231"/>
    </row>
    <row r="36" spans="1:33" s="203" customFormat="1">
      <c r="A36" s="46">
        <v>9</v>
      </c>
      <c r="B36" s="47" t="s">
        <v>60</v>
      </c>
      <c r="C36" s="47"/>
      <c r="D36" s="48"/>
      <c r="E36" s="49">
        <v>0</v>
      </c>
      <c r="F36" s="52"/>
      <c r="G36" s="43"/>
      <c r="H36" s="52">
        <v>0</v>
      </c>
      <c r="I36" s="21"/>
      <c r="J36" s="231"/>
      <c r="K36" s="231"/>
      <c r="L36" s="231"/>
      <c r="M36" s="231"/>
      <c r="N36" s="231"/>
      <c r="O36" s="231"/>
      <c r="P36" s="231"/>
      <c r="Q36" s="231"/>
      <c r="R36" s="231"/>
      <c r="S36" s="231"/>
      <c r="T36" s="231"/>
      <c r="U36" s="231"/>
      <c r="V36" s="231"/>
      <c r="W36" s="231"/>
      <c r="X36" s="231"/>
      <c r="Y36" s="231"/>
      <c r="Z36" s="231"/>
      <c r="AA36" s="231"/>
      <c r="AB36" s="231"/>
      <c r="AC36" s="231"/>
      <c r="AD36" s="231"/>
      <c r="AE36" s="231"/>
      <c r="AF36" s="231"/>
      <c r="AG36" s="231"/>
    </row>
    <row r="37" spans="1:33" s="203" customFormat="1">
      <c r="A37" s="53">
        <v>10</v>
      </c>
      <c r="B37" s="54" t="s">
        <v>61</v>
      </c>
      <c r="C37" s="54"/>
      <c r="D37" s="55"/>
      <c r="E37" s="56">
        <v>23322</v>
      </c>
      <c r="F37" s="57">
        <f>F320</f>
        <v>22656</v>
      </c>
      <c r="G37" s="43"/>
      <c r="H37" s="57">
        <f>H320</f>
        <v>23068</v>
      </c>
      <c r="I37" s="21"/>
      <c r="J37" s="231"/>
      <c r="K37" s="231"/>
      <c r="L37" s="231"/>
      <c r="M37" s="231"/>
      <c r="N37" s="231"/>
      <c r="O37" s="231"/>
      <c r="P37" s="231"/>
      <c r="Q37" s="231"/>
      <c r="R37" s="231"/>
      <c r="S37" s="231"/>
      <c r="T37" s="231"/>
      <c r="U37" s="231"/>
      <c r="V37" s="231"/>
      <c r="W37" s="231"/>
      <c r="X37" s="231"/>
      <c r="Y37" s="231"/>
      <c r="Z37" s="231"/>
      <c r="AA37" s="231"/>
      <c r="AB37" s="231"/>
      <c r="AC37" s="231"/>
      <c r="AD37" s="231"/>
      <c r="AE37" s="231"/>
      <c r="AF37" s="231"/>
      <c r="AG37" s="231"/>
    </row>
    <row r="38" spans="1:33" s="203" customFormat="1">
      <c r="A38" s="33">
        <v>11</v>
      </c>
      <c r="B38" s="58" t="s">
        <v>62</v>
      </c>
      <c r="C38" s="58"/>
      <c r="D38" s="59"/>
      <c r="E38" s="60">
        <v>230252</v>
      </c>
      <c r="F38" s="61">
        <f>SUM(F28:F37)</f>
        <v>232653.1</v>
      </c>
      <c r="G38" s="43"/>
      <c r="H38" s="61">
        <f>SUM(H28:H37)</f>
        <v>239725.3</v>
      </c>
      <c r="I38" s="68"/>
      <c r="J38" s="231"/>
      <c r="K38" s="231"/>
      <c r="L38" s="231"/>
      <c r="M38" s="231"/>
      <c r="N38" s="231"/>
      <c r="O38" s="231"/>
      <c r="P38" s="231"/>
      <c r="Q38" s="231"/>
      <c r="R38" s="231"/>
      <c r="S38" s="231"/>
      <c r="T38" s="231"/>
      <c r="U38" s="231"/>
      <c r="V38" s="231"/>
      <c r="W38" s="231"/>
      <c r="X38" s="231"/>
      <c r="Y38" s="231"/>
      <c r="Z38" s="231"/>
      <c r="AA38" s="231"/>
      <c r="AB38" s="231"/>
      <c r="AC38" s="231"/>
      <c r="AD38" s="231"/>
      <c r="AE38" s="231"/>
      <c r="AF38" s="231"/>
      <c r="AG38" s="231"/>
    </row>
    <row r="39" spans="1:33" s="203" customFormat="1" ht="12.75" customHeight="1">
      <c r="A39" s="63"/>
      <c r="B39" s="64"/>
      <c r="C39" s="64"/>
      <c r="D39" s="65"/>
      <c r="E39" s="66"/>
      <c r="F39" s="67"/>
      <c r="G39" s="21"/>
      <c r="H39" s="67"/>
      <c r="I39" s="68"/>
      <c r="J39" s="231"/>
      <c r="K39" s="231"/>
      <c r="L39" s="231"/>
      <c r="M39" s="231"/>
      <c r="N39" s="231"/>
      <c r="O39" s="231"/>
      <c r="P39" s="231"/>
      <c r="Q39" s="231"/>
      <c r="R39" s="231"/>
      <c r="S39" s="231"/>
      <c r="T39" s="231"/>
      <c r="U39" s="231"/>
      <c r="V39" s="231"/>
      <c r="W39" s="231"/>
      <c r="X39" s="231"/>
      <c r="Y39" s="231"/>
      <c r="Z39" s="231"/>
      <c r="AA39" s="231"/>
      <c r="AB39" s="231"/>
      <c r="AC39" s="231"/>
      <c r="AD39" s="231"/>
      <c r="AE39" s="231"/>
      <c r="AF39" s="231"/>
      <c r="AG39" s="231"/>
    </row>
    <row r="40" spans="1:33" s="203" customFormat="1" ht="12.75" customHeight="1">
      <c r="A40" s="893" t="s">
        <v>63</v>
      </c>
      <c r="B40" s="894"/>
      <c r="C40" s="894"/>
      <c r="D40" s="895"/>
      <c r="E40" s="878" t="s">
        <v>376</v>
      </c>
      <c r="F40" s="856" t="s">
        <v>407</v>
      </c>
      <c r="G40" s="36"/>
      <c r="H40" s="878" t="s">
        <v>406</v>
      </c>
      <c r="I40" s="43"/>
      <c r="J40" s="231"/>
      <c r="K40" s="231"/>
      <c r="L40" s="231"/>
      <c r="M40" s="231"/>
      <c r="N40" s="231"/>
      <c r="O40" s="231"/>
      <c r="P40" s="231"/>
      <c r="Q40" s="231"/>
      <c r="R40" s="231"/>
      <c r="S40" s="231"/>
      <c r="T40" s="231"/>
      <c r="U40" s="231"/>
      <c r="V40" s="231"/>
      <c r="W40" s="231"/>
      <c r="X40" s="231"/>
      <c r="Y40" s="231"/>
      <c r="Z40" s="231"/>
      <c r="AA40" s="231"/>
      <c r="AB40" s="231"/>
      <c r="AC40" s="231"/>
      <c r="AD40" s="231"/>
      <c r="AE40" s="231"/>
      <c r="AF40" s="231"/>
      <c r="AG40" s="231"/>
    </row>
    <row r="41" spans="1:33" s="203" customFormat="1" ht="27.75" customHeight="1">
      <c r="A41" s="876"/>
      <c r="B41" s="877"/>
      <c r="C41" s="877"/>
      <c r="D41" s="896"/>
      <c r="E41" s="879"/>
      <c r="F41" s="860"/>
      <c r="G41" s="23"/>
      <c r="H41" s="879"/>
      <c r="I41" s="43"/>
      <c r="J41" s="231"/>
      <c r="K41" s="231"/>
      <c r="L41" s="231"/>
      <c r="M41" s="231"/>
      <c r="N41" s="231"/>
      <c r="O41" s="231"/>
      <c r="P41" s="231"/>
      <c r="Q41" s="231"/>
      <c r="R41" s="231"/>
      <c r="S41" s="231"/>
      <c r="T41" s="231"/>
      <c r="U41" s="231"/>
      <c r="V41" s="231"/>
      <c r="W41" s="231"/>
      <c r="X41" s="231"/>
      <c r="Y41" s="231"/>
      <c r="Z41" s="231"/>
      <c r="AA41" s="231"/>
      <c r="AB41" s="231"/>
      <c r="AC41" s="231"/>
      <c r="AD41" s="231"/>
      <c r="AE41" s="231"/>
      <c r="AF41" s="231"/>
      <c r="AG41" s="231"/>
    </row>
    <row r="42" spans="1:33" s="203" customFormat="1">
      <c r="A42" s="814" t="s">
        <v>64</v>
      </c>
      <c r="B42" s="69" t="s">
        <v>65</v>
      </c>
      <c r="C42" s="69"/>
      <c r="D42" s="70"/>
      <c r="E42" s="71"/>
      <c r="F42" s="72" t="str">
        <f>IF(OR(F43&lt;0,F44&lt;0,F47&lt;0,F48&lt;0,H43&lt;0,H44&lt;0,H47&lt;0,H48&lt;0),"Funding should be recorded as positive figures",".")</f>
        <v>.</v>
      </c>
      <c r="G42" s="45"/>
      <c r="H42" s="73"/>
      <c r="I42" s="43"/>
      <c r="J42" s="231"/>
      <c r="K42" s="231"/>
      <c r="L42" s="231"/>
      <c r="M42" s="231"/>
      <c r="N42" s="231"/>
      <c r="O42" s="231"/>
      <c r="P42" s="231"/>
      <c r="Q42" s="231"/>
      <c r="R42" s="231"/>
      <c r="S42" s="231"/>
      <c r="T42" s="231"/>
      <c r="U42" s="231"/>
      <c r="V42" s="231"/>
      <c r="W42" s="231"/>
      <c r="X42" s="231"/>
      <c r="Y42" s="231"/>
      <c r="Z42" s="231"/>
      <c r="AA42" s="231"/>
      <c r="AB42" s="231"/>
      <c r="AC42" s="231"/>
      <c r="AD42" s="231"/>
      <c r="AE42" s="231"/>
      <c r="AF42" s="231"/>
      <c r="AG42" s="231"/>
    </row>
    <row r="43" spans="1:33" s="203" customFormat="1">
      <c r="A43" s="46">
        <v>1</v>
      </c>
      <c r="B43" s="47" t="s">
        <v>66</v>
      </c>
      <c r="C43" s="47"/>
      <c r="D43" s="48"/>
      <c r="E43" s="74">
        <v>160458</v>
      </c>
      <c r="F43" s="241">
        <v>162679.99999999997</v>
      </c>
      <c r="G43" s="45"/>
      <c r="H43" s="75">
        <v>161290</v>
      </c>
      <c r="I43" s="43"/>
      <c r="J43" s="231"/>
      <c r="K43" s="231"/>
      <c r="L43" s="231"/>
      <c r="M43" s="231"/>
      <c r="N43" s="231"/>
      <c r="O43" s="231"/>
      <c r="P43" s="231"/>
      <c r="Q43" s="231"/>
      <c r="R43" s="231"/>
      <c r="S43" s="231"/>
      <c r="T43" s="231"/>
      <c r="U43" s="231"/>
      <c r="V43" s="231"/>
      <c r="W43" s="231"/>
      <c r="X43" s="231"/>
      <c r="Y43" s="231"/>
      <c r="Z43" s="231"/>
      <c r="AA43" s="231"/>
      <c r="AB43" s="231"/>
      <c r="AC43" s="231"/>
      <c r="AD43" s="231"/>
      <c r="AE43" s="231"/>
      <c r="AF43" s="231"/>
      <c r="AG43" s="231"/>
    </row>
    <row r="44" spans="1:33" s="203" customFormat="1">
      <c r="A44" s="46">
        <v>2</v>
      </c>
      <c r="B44" s="47" t="s">
        <v>67</v>
      </c>
      <c r="C44" s="47"/>
      <c r="D44" s="48"/>
      <c r="E44" s="49">
        <v>14318</v>
      </c>
      <c r="F44" s="241">
        <v>14318</v>
      </c>
      <c r="G44" s="45"/>
      <c r="H44" s="75">
        <v>15377</v>
      </c>
      <c r="I44" s="43"/>
      <c r="J44" s="231"/>
      <c r="K44" s="231"/>
      <c r="L44" s="231"/>
      <c r="M44" s="231"/>
      <c r="N44" s="231"/>
      <c r="O44" s="231"/>
      <c r="P44" s="231"/>
      <c r="Q44" s="231"/>
      <c r="R44" s="231"/>
      <c r="S44" s="231"/>
      <c r="T44" s="231"/>
      <c r="U44" s="231"/>
      <c r="V44" s="231"/>
      <c r="W44" s="231"/>
      <c r="X44" s="231"/>
      <c r="Y44" s="231"/>
      <c r="Z44" s="231"/>
      <c r="AA44" s="231"/>
      <c r="AB44" s="231"/>
      <c r="AC44" s="231"/>
      <c r="AD44" s="231"/>
      <c r="AE44" s="231"/>
      <c r="AF44" s="231"/>
      <c r="AG44" s="231"/>
    </row>
    <row r="45" spans="1:33" s="203" customFormat="1">
      <c r="A45" s="46">
        <v>3</v>
      </c>
      <c r="B45" s="47" t="s">
        <v>68</v>
      </c>
      <c r="C45" s="47"/>
      <c r="D45" s="48"/>
      <c r="E45" s="49">
        <v>0</v>
      </c>
      <c r="F45" s="52"/>
      <c r="G45" s="45"/>
      <c r="H45" s="75"/>
      <c r="I45" s="43"/>
      <c r="J45" s="231"/>
      <c r="K45" s="231"/>
      <c r="L45" s="231"/>
      <c r="M45" s="231"/>
      <c r="N45" s="231"/>
      <c r="O45" s="231"/>
      <c r="P45" s="231"/>
      <c r="Q45" s="231"/>
      <c r="R45" s="231"/>
      <c r="S45" s="231"/>
      <c r="T45" s="231"/>
      <c r="U45" s="231"/>
      <c r="V45" s="231"/>
      <c r="W45" s="231"/>
      <c r="X45" s="231"/>
      <c r="Y45" s="231"/>
      <c r="Z45" s="231"/>
      <c r="AA45" s="231"/>
      <c r="AB45" s="231"/>
      <c r="AC45" s="231"/>
      <c r="AD45" s="231"/>
      <c r="AE45" s="231"/>
      <c r="AF45" s="231"/>
      <c r="AG45" s="231"/>
    </row>
    <row r="46" spans="1:33" s="203" customFormat="1">
      <c r="A46" s="46">
        <v>4</v>
      </c>
      <c r="B46" s="47" t="s">
        <v>70</v>
      </c>
      <c r="C46" s="47"/>
      <c r="D46" s="48"/>
      <c r="E46" s="49">
        <v>0</v>
      </c>
      <c r="F46" s="52"/>
      <c r="G46" s="45"/>
      <c r="H46" s="75"/>
      <c r="I46" s="43"/>
      <c r="J46" s="231"/>
      <c r="K46" s="231"/>
      <c r="L46" s="231"/>
      <c r="M46" s="231"/>
      <c r="N46" s="231"/>
      <c r="O46" s="231"/>
      <c r="P46" s="231"/>
      <c r="Q46" s="231"/>
      <c r="R46" s="231"/>
      <c r="S46" s="231"/>
      <c r="T46" s="231"/>
      <c r="U46" s="231"/>
      <c r="V46" s="231"/>
      <c r="W46" s="231"/>
      <c r="X46" s="231"/>
      <c r="Y46" s="231"/>
      <c r="Z46" s="231"/>
      <c r="AA46" s="231"/>
      <c r="AB46" s="231"/>
      <c r="AC46" s="231"/>
      <c r="AD46" s="231"/>
      <c r="AE46" s="231"/>
      <c r="AF46" s="231"/>
      <c r="AG46" s="231"/>
    </row>
    <row r="47" spans="1:33" s="203" customFormat="1">
      <c r="A47" s="46">
        <v>5</v>
      </c>
      <c r="B47" s="47" t="s">
        <v>69</v>
      </c>
      <c r="C47" s="47"/>
      <c r="D47" s="48"/>
      <c r="E47" s="49">
        <v>2560</v>
      </c>
      <c r="F47" s="52">
        <v>3520</v>
      </c>
      <c r="G47" s="45"/>
      <c r="H47" s="76">
        <v>5366</v>
      </c>
      <c r="I47" s="43"/>
      <c r="J47" s="231"/>
      <c r="K47" s="231"/>
      <c r="L47" s="231"/>
      <c r="M47" s="231"/>
      <c r="N47" s="231"/>
      <c r="O47" s="231"/>
      <c r="P47" s="231"/>
      <c r="Q47" s="231"/>
      <c r="R47" s="231"/>
      <c r="S47" s="231"/>
      <c r="T47" s="231"/>
      <c r="U47" s="231"/>
      <c r="V47" s="231"/>
      <c r="W47" s="231"/>
      <c r="X47" s="231"/>
      <c r="Y47" s="231"/>
      <c r="Z47" s="231"/>
      <c r="AA47" s="231"/>
      <c r="AB47" s="231"/>
      <c r="AC47" s="231"/>
      <c r="AD47" s="231"/>
      <c r="AE47" s="231"/>
      <c r="AF47" s="231"/>
      <c r="AG47" s="231"/>
    </row>
    <row r="48" spans="1:33" s="203" customFormat="1">
      <c r="A48" s="46">
        <v>6</v>
      </c>
      <c r="B48" s="90" t="s">
        <v>253</v>
      </c>
      <c r="C48" s="47"/>
      <c r="D48" s="195"/>
      <c r="E48" s="49">
        <v>50282</v>
      </c>
      <c r="F48" s="52">
        <v>50194</v>
      </c>
      <c r="G48" s="45"/>
      <c r="H48" s="52">
        <v>52280</v>
      </c>
      <c r="I48" s="43"/>
      <c r="J48" s="231"/>
      <c r="K48" s="231"/>
      <c r="L48" s="231"/>
      <c r="M48" s="231"/>
      <c r="N48" s="231"/>
      <c r="O48" s="231"/>
      <c r="P48" s="231"/>
      <c r="Q48" s="231"/>
      <c r="R48" s="231"/>
      <c r="S48" s="231"/>
      <c r="T48" s="231"/>
      <c r="U48" s="231"/>
      <c r="V48" s="231"/>
      <c r="W48" s="231"/>
      <c r="X48" s="231"/>
      <c r="Y48" s="231"/>
      <c r="Z48" s="231"/>
      <c r="AA48" s="231"/>
      <c r="AB48" s="231"/>
      <c r="AC48" s="231"/>
      <c r="AD48" s="231"/>
      <c r="AE48" s="231"/>
      <c r="AF48" s="231"/>
      <c r="AG48" s="231"/>
    </row>
    <row r="49" spans="1:33" s="203" customFormat="1">
      <c r="A49" s="77">
        <v>7</v>
      </c>
      <c r="B49" s="78" t="s">
        <v>71</v>
      </c>
      <c r="C49" s="58"/>
      <c r="D49" s="79"/>
      <c r="E49" s="80">
        <v>227618</v>
      </c>
      <c r="F49" s="81">
        <f>SUM(F43:F48)</f>
        <v>230711.99999999997</v>
      </c>
      <c r="G49" s="82"/>
      <c r="H49" s="62">
        <f>SUM(H43:H48)</f>
        <v>234313</v>
      </c>
      <c r="I49" s="242"/>
      <c r="J49" s="231"/>
      <c r="K49" s="231"/>
      <c r="L49" s="231"/>
      <c r="M49" s="231"/>
      <c r="N49" s="231"/>
      <c r="O49" s="231"/>
      <c r="P49" s="231"/>
      <c r="Q49" s="231"/>
      <c r="R49" s="231"/>
      <c r="S49" s="231"/>
      <c r="T49" s="231"/>
      <c r="U49" s="231"/>
      <c r="V49" s="231"/>
      <c r="W49" s="231"/>
      <c r="X49" s="231"/>
      <c r="Y49" s="231"/>
      <c r="Z49" s="231"/>
      <c r="AA49" s="231"/>
      <c r="AB49" s="231"/>
      <c r="AC49" s="231"/>
      <c r="AD49" s="231"/>
      <c r="AE49" s="231"/>
      <c r="AF49" s="231"/>
      <c r="AG49" s="231"/>
    </row>
    <row r="50" spans="1:33" s="203" customFormat="1">
      <c r="A50" s="83"/>
      <c r="B50" s="244"/>
      <c r="C50" s="244"/>
      <c r="D50" s="244"/>
      <c r="E50" s="85"/>
      <c r="F50" s="244"/>
      <c r="G50" s="86"/>
      <c r="H50" s="86"/>
      <c r="I50" s="21"/>
      <c r="J50" s="231"/>
      <c r="K50" s="231"/>
      <c r="L50" s="231"/>
      <c r="M50" s="231"/>
      <c r="N50" s="231"/>
      <c r="O50" s="231"/>
      <c r="P50" s="231"/>
      <c r="Q50" s="231"/>
      <c r="R50" s="231"/>
      <c r="S50" s="231"/>
      <c r="T50" s="231"/>
      <c r="U50" s="231"/>
      <c r="V50" s="231"/>
      <c r="W50" s="231"/>
      <c r="X50" s="231"/>
      <c r="Y50" s="231"/>
      <c r="Z50" s="231"/>
      <c r="AA50" s="231"/>
      <c r="AB50" s="231"/>
      <c r="AC50" s="231"/>
      <c r="AD50" s="231"/>
      <c r="AE50" s="231"/>
      <c r="AF50" s="231"/>
      <c r="AG50" s="231"/>
    </row>
    <row r="51" spans="1:33" s="203" customFormat="1">
      <c r="A51" s="814" t="s">
        <v>72</v>
      </c>
      <c r="B51" s="196" t="s">
        <v>254</v>
      </c>
      <c r="C51" s="69"/>
      <c r="D51" s="70"/>
      <c r="E51" s="87"/>
      <c r="F51" s="88"/>
      <c r="G51" s="45"/>
      <c r="H51" s="89"/>
      <c r="I51" s="43"/>
      <c r="J51" s="231"/>
      <c r="K51" s="231"/>
      <c r="L51" s="231"/>
      <c r="M51" s="231"/>
      <c r="N51" s="231"/>
      <c r="O51" s="231"/>
      <c r="P51" s="231"/>
      <c r="Q51" s="231"/>
      <c r="R51" s="231"/>
      <c r="S51" s="231"/>
      <c r="T51" s="231"/>
      <c r="U51" s="231"/>
      <c r="V51" s="231"/>
      <c r="W51" s="231"/>
      <c r="X51" s="231"/>
      <c r="Y51" s="231"/>
      <c r="Z51" s="231"/>
      <c r="AA51" s="231"/>
      <c r="AB51" s="231"/>
      <c r="AC51" s="231"/>
      <c r="AD51" s="231"/>
      <c r="AE51" s="231"/>
      <c r="AF51" s="231"/>
      <c r="AG51" s="231"/>
    </row>
    <row r="52" spans="1:33" s="203" customFormat="1">
      <c r="A52" s="46">
        <v>8</v>
      </c>
      <c r="B52" s="90" t="s">
        <v>73</v>
      </c>
      <c r="C52" s="47"/>
      <c r="D52" s="48"/>
      <c r="E52" s="74">
        <v>230252</v>
      </c>
      <c r="F52" s="50">
        <f>F38</f>
        <v>232653.1</v>
      </c>
      <c r="G52" s="45"/>
      <c r="H52" s="91">
        <f>H38</f>
        <v>239725.3</v>
      </c>
      <c r="I52" s="43"/>
      <c r="J52" s="231"/>
      <c r="K52" s="231"/>
      <c r="L52" s="231"/>
      <c r="M52" s="231"/>
      <c r="N52" s="231"/>
      <c r="O52" s="231"/>
      <c r="P52" s="231"/>
      <c r="Q52" s="231"/>
      <c r="R52" s="231"/>
      <c r="S52" s="231"/>
      <c r="T52" s="231"/>
      <c r="U52" s="231"/>
      <c r="V52" s="231"/>
      <c r="W52" s="231"/>
      <c r="X52" s="231"/>
      <c r="Y52" s="231"/>
      <c r="Z52" s="231"/>
      <c r="AA52" s="231"/>
      <c r="AB52" s="231"/>
      <c r="AC52" s="231"/>
      <c r="AD52" s="231"/>
      <c r="AE52" s="231"/>
      <c r="AF52" s="231"/>
      <c r="AG52" s="231"/>
    </row>
    <row r="53" spans="1:33" s="203" customFormat="1">
      <c r="A53" s="46">
        <v>9</v>
      </c>
      <c r="B53" s="90" t="s">
        <v>74</v>
      </c>
      <c r="C53" s="47"/>
      <c r="D53" s="48"/>
      <c r="E53" s="49">
        <v>227618</v>
      </c>
      <c r="F53" s="92">
        <f>F49</f>
        <v>230711.99999999997</v>
      </c>
      <c r="G53" s="45"/>
      <c r="H53" s="91">
        <f>H49</f>
        <v>234313</v>
      </c>
      <c r="I53" s="43"/>
      <c r="J53" s="231"/>
      <c r="K53" s="231"/>
      <c r="L53" s="231"/>
      <c r="M53" s="231"/>
      <c r="N53" s="231"/>
      <c r="O53" s="231"/>
      <c r="P53" s="231"/>
      <c r="Q53" s="231"/>
      <c r="R53" s="231"/>
      <c r="S53" s="231"/>
      <c r="T53" s="231"/>
      <c r="U53" s="231"/>
      <c r="V53" s="231"/>
      <c r="W53" s="231"/>
      <c r="X53" s="231"/>
      <c r="Y53" s="231"/>
      <c r="Z53" s="231"/>
      <c r="AA53" s="231"/>
      <c r="AB53" s="231"/>
      <c r="AC53" s="231"/>
      <c r="AD53" s="231"/>
      <c r="AE53" s="231"/>
      <c r="AF53" s="231"/>
      <c r="AG53" s="231"/>
    </row>
    <row r="54" spans="1:33" s="203" customFormat="1">
      <c r="A54" s="816">
        <v>10</v>
      </c>
      <c r="B54" s="93" t="s">
        <v>255</v>
      </c>
      <c r="C54" s="94"/>
      <c r="D54" s="55"/>
      <c r="E54" s="95">
        <v>-2634</v>
      </c>
      <c r="F54" s="96">
        <f>F53-F52</f>
        <v>-1941.1000000000349</v>
      </c>
      <c r="G54" s="45"/>
      <c r="H54" s="97">
        <f>H53-H52</f>
        <v>-5412.2999999999884</v>
      </c>
      <c r="I54" s="43"/>
      <c r="J54" s="231"/>
      <c r="K54" s="231"/>
      <c r="L54" s="231"/>
      <c r="M54" s="231"/>
      <c r="N54" s="231"/>
      <c r="O54" s="231"/>
      <c r="P54" s="231"/>
      <c r="Q54" s="231"/>
      <c r="R54" s="231"/>
      <c r="S54" s="231"/>
      <c r="T54" s="231"/>
      <c r="U54" s="231"/>
      <c r="V54" s="231"/>
      <c r="W54" s="231"/>
      <c r="X54" s="231"/>
      <c r="Y54" s="231"/>
      <c r="Z54" s="231"/>
      <c r="AA54" s="231"/>
      <c r="AB54" s="231"/>
      <c r="AC54" s="231"/>
      <c r="AD54" s="231"/>
      <c r="AE54" s="231"/>
      <c r="AF54" s="231"/>
      <c r="AG54" s="231"/>
    </row>
    <row r="55" spans="1:33" s="203" customFormat="1">
      <c r="A55" s="83"/>
      <c r="B55" s="244"/>
      <c r="C55" s="244"/>
      <c r="D55" s="244"/>
      <c r="E55" s="85"/>
      <c r="F55" s="244"/>
      <c r="G55" s="86"/>
      <c r="H55" s="86"/>
      <c r="I55" s="21"/>
      <c r="J55" s="231"/>
      <c r="K55" s="231"/>
      <c r="L55" s="231"/>
      <c r="M55" s="231"/>
      <c r="N55" s="231"/>
      <c r="O55" s="231"/>
      <c r="P55" s="231"/>
      <c r="Q55" s="231"/>
      <c r="R55" s="231"/>
      <c r="S55" s="231"/>
      <c r="T55" s="231"/>
      <c r="U55" s="231"/>
      <c r="V55" s="231"/>
      <c r="W55" s="231"/>
      <c r="X55" s="231"/>
      <c r="Y55" s="231"/>
      <c r="Z55" s="231"/>
      <c r="AA55" s="231"/>
      <c r="AB55" s="231"/>
      <c r="AC55" s="231"/>
      <c r="AD55" s="231"/>
      <c r="AE55" s="231"/>
      <c r="AF55" s="231"/>
      <c r="AG55" s="231"/>
    </row>
    <row r="56" spans="1:33" s="203" customFormat="1">
      <c r="A56" s="814" t="s">
        <v>75</v>
      </c>
      <c r="B56" s="69" t="s">
        <v>256</v>
      </c>
      <c r="C56" s="69"/>
      <c r="D56" s="70"/>
      <c r="E56" s="87"/>
      <c r="F56" s="88"/>
      <c r="G56" s="45"/>
      <c r="H56" s="89"/>
      <c r="I56" s="43"/>
      <c r="J56" s="231"/>
      <c r="K56" s="231"/>
      <c r="L56" s="231"/>
      <c r="M56" s="231"/>
      <c r="N56" s="231"/>
      <c r="O56" s="231"/>
      <c r="P56" s="231"/>
      <c r="Q56" s="231"/>
      <c r="R56" s="231"/>
      <c r="S56" s="231"/>
      <c r="T56" s="231"/>
      <c r="U56" s="231"/>
      <c r="V56" s="231"/>
      <c r="W56" s="231"/>
      <c r="X56" s="231"/>
      <c r="Y56" s="231"/>
      <c r="Z56" s="231"/>
      <c r="AA56" s="231"/>
      <c r="AB56" s="231"/>
      <c r="AC56" s="231"/>
      <c r="AD56" s="231"/>
      <c r="AE56" s="231"/>
      <c r="AF56" s="231"/>
      <c r="AG56" s="231"/>
    </row>
    <row r="57" spans="1:33" s="203" customFormat="1">
      <c r="A57" s="46">
        <v>11</v>
      </c>
      <c r="B57" s="47" t="s">
        <v>76</v>
      </c>
      <c r="C57" s="47"/>
      <c r="D57" s="48"/>
      <c r="E57" s="74">
        <v>24259</v>
      </c>
      <c r="F57" s="52">
        <v>26430</v>
      </c>
      <c r="G57" s="45"/>
      <c r="H57" s="91">
        <f>F61</f>
        <v>26918.899999999965</v>
      </c>
      <c r="I57" s="43"/>
      <c r="J57" s="231"/>
      <c r="K57" s="231"/>
      <c r="L57" s="231"/>
      <c r="M57" s="231"/>
      <c r="N57" s="231"/>
      <c r="O57" s="231"/>
      <c r="P57" s="231"/>
      <c r="Q57" s="231"/>
      <c r="R57" s="231"/>
      <c r="S57" s="231"/>
      <c r="T57" s="231"/>
      <c r="U57" s="231"/>
      <c r="V57" s="231"/>
      <c r="W57" s="231"/>
      <c r="X57" s="231"/>
      <c r="Y57" s="231"/>
      <c r="Z57" s="231"/>
      <c r="AA57" s="231"/>
      <c r="AB57" s="231"/>
      <c r="AC57" s="231"/>
      <c r="AD57" s="231"/>
      <c r="AE57" s="231"/>
      <c r="AF57" s="231"/>
      <c r="AG57" s="231"/>
    </row>
    <row r="58" spans="1:33" s="203" customFormat="1">
      <c r="A58" s="46">
        <v>12</v>
      </c>
      <c r="B58" s="90" t="s">
        <v>257</v>
      </c>
      <c r="C58" s="47"/>
      <c r="D58" s="48"/>
      <c r="E58" s="49">
        <v>-2634</v>
      </c>
      <c r="F58" s="92">
        <f>F54</f>
        <v>-1941.1000000000349</v>
      </c>
      <c r="G58" s="45"/>
      <c r="H58" s="98">
        <f>H54</f>
        <v>-5412.2999999999884</v>
      </c>
      <c r="I58" s="43"/>
      <c r="J58" s="231"/>
      <c r="K58" s="231"/>
      <c r="L58" s="231"/>
      <c r="M58" s="231"/>
      <c r="N58" s="231"/>
      <c r="O58" s="231"/>
      <c r="P58" s="231"/>
      <c r="Q58" s="231"/>
      <c r="R58" s="231"/>
      <c r="S58" s="231"/>
      <c r="T58" s="231"/>
      <c r="U58" s="231"/>
      <c r="V58" s="231"/>
      <c r="W58" s="231"/>
      <c r="X58" s="231"/>
      <c r="Y58" s="231"/>
      <c r="Z58" s="231"/>
      <c r="AA58" s="231"/>
      <c r="AB58" s="231"/>
      <c r="AC58" s="231"/>
      <c r="AD58" s="231"/>
      <c r="AE58" s="231"/>
      <c r="AF58" s="231"/>
      <c r="AG58" s="231"/>
    </row>
    <row r="59" spans="1:33" s="203" customFormat="1">
      <c r="A59" s="46">
        <v>13</v>
      </c>
      <c r="B59" s="47" t="s">
        <v>77</v>
      </c>
      <c r="C59" s="47"/>
      <c r="D59" s="48"/>
      <c r="E59" s="49">
        <v>0</v>
      </c>
      <c r="F59" s="52"/>
      <c r="G59" s="45"/>
      <c r="H59" s="99"/>
      <c r="I59" s="43"/>
      <c r="J59" s="231"/>
      <c r="K59" s="231"/>
      <c r="L59" s="231"/>
      <c r="M59" s="231"/>
      <c r="N59" s="231"/>
      <c r="O59" s="231"/>
      <c r="P59" s="231"/>
      <c r="Q59" s="231"/>
      <c r="R59" s="231"/>
      <c r="S59" s="231"/>
      <c r="T59" s="231"/>
      <c r="U59" s="231"/>
      <c r="V59" s="231"/>
      <c r="W59" s="231"/>
      <c r="X59" s="231"/>
      <c r="Y59" s="231"/>
      <c r="Z59" s="231"/>
      <c r="AA59" s="231"/>
      <c r="AB59" s="231"/>
      <c r="AC59" s="231"/>
      <c r="AD59" s="231"/>
      <c r="AE59" s="231"/>
      <c r="AF59" s="231"/>
      <c r="AG59" s="231"/>
    </row>
    <row r="60" spans="1:33" s="203" customFormat="1">
      <c r="A60" s="46">
        <v>14</v>
      </c>
      <c r="B60" s="47" t="s">
        <v>78</v>
      </c>
      <c r="C60" s="47"/>
      <c r="D60" s="48"/>
      <c r="E60" s="49">
        <v>1134</v>
      </c>
      <c r="F60" s="52">
        <v>2430</v>
      </c>
      <c r="G60" s="45"/>
      <c r="H60" s="100">
        <v>1100</v>
      </c>
      <c r="I60" s="43"/>
      <c r="J60" s="231"/>
      <c r="K60" s="231"/>
      <c r="L60" s="231"/>
      <c r="M60" s="231"/>
      <c r="N60" s="231"/>
      <c r="O60" s="231"/>
      <c r="P60" s="231"/>
      <c r="Q60" s="231"/>
      <c r="R60" s="231"/>
      <c r="S60" s="231"/>
      <c r="T60" s="231"/>
      <c r="U60" s="231"/>
      <c r="V60" s="231"/>
      <c r="W60" s="231"/>
      <c r="X60" s="231"/>
      <c r="Y60" s="231"/>
      <c r="Z60" s="231"/>
      <c r="AA60" s="231"/>
      <c r="AB60" s="231"/>
      <c r="AC60" s="231"/>
      <c r="AD60" s="231"/>
      <c r="AE60" s="231"/>
      <c r="AF60" s="231"/>
      <c r="AG60" s="231"/>
    </row>
    <row r="61" spans="1:33" s="203" customFormat="1">
      <c r="A61" s="53">
        <v>15</v>
      </c>
      <c r="B61" s="54" t="s">
        <v>79</v>
      </c>
      <c r="C61" s="54"/>
      <c r="D61" s="55"/>
      <c r="E61" s="56">
        <v>22759</v>
      </c>
      <c r="F61" s="96">
        <f>F57+F58+F59+F60</f>
        <v>26918.899999999965</v>
      </c>
      <c r="G61" s="45"/>
      <c r="H61" s="101">
        <f>H57+H58+H59+H60</f>
        <v>22606.599999999977</v>
      </c>
      <c r="I61" s="43"/>
      <c r="J61" s="231"/>
      <c r="K61" s="231"/>
      <c r="L61" s="231"/>
      <c r="M61" s="231"/>
      <c r="N61" s="231"/>
      <c r="O61" s="231"/>
      <c r="P61" s="231"/>
      <c r="Q61" s="231"/>
      <c r="R61" s="231"/>
      <c r="S61" s="231"/>
      <c r="T61" s="231"/>
      <c r="U61" s="231"/>
      <c r="V61" s="231"/>
      <c r="W61" s="231"/>
      <c r="X61" s="231"/>
      <c r="Y61" s="231"/>
      <c r="Z61" s="231"/>
      <c r="AA61" s="231"/>
      <c r="AB61" s="231"/>
      <c r="AC61" s="231"/>
      <c r="AD61" s="231"/>
      <c r="AE61" s="231"/>
      <c r="AF61" s="231"/>
      <c r="AG61" s="231"/>
    </row>
    <row r="62" spans="1:33" s="203" customFormat="1">
      <c r="A62" s="102"/>
      <c r="B62" s="207"/>
      <c r="C62" s="207"/>
      <c r="D62" s="207"/>
      <c r="E62" s="103"/>
      <c r="F62" s="21"/>
      <c r="G62" s="21"/>
      <c r="H62" s="21"/>
      <c r="I62" s="21"/>
      <c r="J62" s="231"/>
      <c r="K62" s="231"/>
      <c r="L62" s="231"/>
      <c r="M62" s="231"/>
      <c r="N62" s="231"/>
      <c r="O62" s="231"/>
      <c r="P62" s="231"/>
      <c r="Q62" s="231"/>
      <c r="R62" s="231"/>
      <c r="S62" s="231"/>
      <c r="T62" s="231"/>
      <c r="U62" s="231"/>
      <c r="V62" s="231"/>
      <c r="W62" s="231"/>
      <c r="X62" s="231"/>
      <c r="Y62" s="231"/>
      <c r="Z62" s="231"/>
      <c r="AA62" s="231"/>
      <c r="AB62" s="231"/>
      <c r="AC62" s="231"/>
      <c r="AD62" s="231"/>
      <c r="AE62" s="231"/>
      <c r="AF62" s="231"/>
      <c r="AG62" s="231"/>
    </row>
    <row r="63" spans="1:33" s="203" customFormat="1" ht="12.75" customHeight="1">
      <c r="A63" s="23"/>
      <c r="B63" s="207"/>
      <c r="C63" s="207"/>
      <c r="D63" s="207"/>
      <c r="E63" s="15"/>
      <c r="F63" s="207"/>
      <c r="G63" s="207"/>
      <c r="H63" s="21"/>
      <c r="I63" s="21"/>
      <c r="J63" s="231"/>
      <c r="K63" s="231"/>
      <c r="L63" s="231"/>
      <c r="M63" s="231"/>
      <c r="N63" s="231"/>
      <c r="O63" s="231"/>
      <c r="P63" s="231"/>
      <c r="Q63" s="231"/>
      <c r="R63" s="231"/>
      <c r="S63" s="231"/>
      <c r="T63" s="231"/>
      <c r="U63" s="231"/>
      <c r="V63" s="231"/>
      <c r="W63" s="231"/>
      <c r="X63" s="231"/>
      <c r="Y63" s="231"/>
      <c r="Z63" s="231"/>
      <c r="AA63" s="231"/>
      <c r="AB63" s="231"/>
      <c r="AC63" s="231"/>
      <c r="AD63" s="231"/>
      <c r="AE63" s="231"/>
      <c r="AF63" s="231"/>
      <c r="AG63" s="231"/>
    </row>
    <row r="64" spans="1:33" s="203" customFormat="1" ht="15">
      <c r="A64" s="104" t="s">
        <v>80</v>
      </c>
      <c r="B64" s="29"/>
      <c r="C64" s="29"/>
      <c r="D64" s="29"/>
      <c r="E64" s="15"/>
      <c r="F64" s="29"/>
      <c r="G64" s="29"/>
      <c r="H64" s="29"/>
      <c r="I64" s="29"/>
      <c r="J64" s="231"/>
      <c r="K64" s="231"/>
      <c r="L64" s="231"/>
      <c r="M64" s="231"/>
      <c r="N64" s="231"/>
      <c r="O64" s="231"/>
      <c r="P64" s="231"/>
      <c r="Q64" s="231"/>
      <c r="R64" s="231"/>
      <c r="S64" s="231"/>
      <c r="T64" s="231"/>
      <c r="U64" s="231"/>
      <c r="V64" s="231"/>
      <c r="W64" s="231"/>
      <c r="X64" s="231"/>
      <c r="Y64" s="231"/>
      <c r="Z64" s="231"/>
      <c r="AA64" s="231"/>
      <c r="AB64" s="231"/>
      <c r="AC64" s="231"/>
      <c r="AD64" s="231"/>
      <c r="AE64" s="231"/>
      <c r="AF64" s="231"/>
      <c r="AG64" s="231"/>
    </row>
    <row r="65" spans="1:33" s="203" customFormat="1">
      <c r="A65" s="32"/>
      <c r="B65" s="29"/>
      <c r="C65" s="29"/>
      <c r="D65" s="29"/>
      <c r="E65" s="105"/>
      <c r="F65" s="29"/>
      <c r="G65" s="29"/>
      <c r="H65" s="29"/>
      <c r="I65" s="131" t="s">
        <v>27</v>
      </c>
      <c r="J65" s="231"/>
      <c r="K65" s="231"/>
      <c r="L65" s="231"/>
      <c r="M65" s="231"/>
      <c r="N65" s="231"/>
      <c r="O65" s="231"/>
      <c r="P65" s="231"/>
      <c r="Q65" s="231"/>
      <c r="R65" s="231"/>
      <c r="S65" s="231"/>
      <c r="T65" s="231"/>
      <c r="U65" s="231"/>
      <c r="V65" s="231"/>
      <c r="W65" s="231"/>
      <c r="X65" s="231"/>
      <c r="Y65" s="231"/>
      <c r="Z65" s="231"/>
      <c r="AA65" s="231"/>
      <c r="AB65" s="231"/>
      <c r="AC65" s="231"/>
      <c r="AD65" s="231"/>
      <c r="AE65" s="231"/>
      <c r="AF65" s="231"/>
      <c r="AG65" s="231"/>
    </row>
    <row r="66" spans="1:33" s="203" customFormat="1">
      <c r="A66" s="106" t="s">
        <v>14</v>
      </c>
      <c r="B66" s="107"/>
      <c r="C66" s="107"/>
      <c r="D66" s="107"/>
      <c r="E66" s="856" t="s">
        <v>377</v>
      </c>
      <c r="F66" s="962" t="s">
        <v>402</v>
      </c>
      <c r="G66" s="867" t="s">
        <v>81</v>
      </c>
      <c r="H66" s="962" t="s">
        <v>403</v>
      </c>
      <c r="I66" s="867" t="s">
        <v>81</v>
      </c>
      <c r="J66" s="231"/>
      <c r="K66" s="231"/>
      <c r="L66" s="231"/>
      <c r="M66" s="231"/>
      <c r="N66" s="231"/>
      <c r="O66" s="231"/>
      <c r="P66" s="231"/>
      <c r="Q66" s="231"/>
      <c r="R66" s="231"/>
      <c r="S66" s="231"/>
      <c r="T66" s="231"/>
      <c r="U66" s="231"/>
      <c r="V66" s="231"/>
      <c r="W66" s="231"/>
      <c r="X66" s="231"/>
      <c r="Y66" s="231"/>
      <c r="Z66" s="231"/>
      <c r="AA66" s="231"/>
      <c r="AB66" s="231"/>
      <c r="AC66" s="231"/>
      <c r="AD66" s="231"/>
      <c r="AE66" s="231"/>
      <c r="AF66" s="231"/>
      <c r="AG66" s="231"/>
    </row>
    <row r="67" spans="1:33" s="203" customFormat="1" ht="21" customHeight="1">
      <c r="A67" s="108"/>
      <c r="B67" s="47"/>
      <c r="C67" s="47"/>
      <c r="D67" s="47"/>
      <c r="E67" s="859"/>
      <c r="F67" s="963"/>
      <c r="G67" s="868"/>
      <c r="H67" s="963"/>
      <c r="I67" s="868"/>
      <c r="J67" s="231"/>
      <c r="K67" s="231"/>
      <c r="L67" s="231"/>
      <c r="M67" s="231"/>
      <c r="N67" s="231"/>
      <c r="O67" s="231"/>
      <c r="P67" s="231"/>
      <c r="Q67" s="231"/>
      <c r="R67" s="231"/>
      <c r="S67" s="231"/>
      <c r="T67" s="231"/>
      <c r="U67" s="231"/>
      <c r="V67" s="231"/>
      <c r="W67" s="231"/>
      <c r="X67" s="231"/>
      <c r="Y67" s="231"/>
      <c r="Z67" s="231"/>
      <c r="AA67" s="231"/>
      <c r="AB67" s="231"/>
      <c r="AC67" s="231"/>
      <c r="AD67" s="231"/>
      <c r="AE67" s="231"/>
      <c r="AF67" s="231"/>
      <c r="AG67" s="231"/>
    </row>
    <row r="68" spans="1:33" s="203" customFormat="1">
      <c r="A68" s="109" t="s">
        <v>82</v>
      </c>
      <c r="B68" s="47"/>
      <c r="C68" s="47"/>
      <c r="D68" s="47"/>
      <c r="E68" s="859"/>
      <c r="F68" s="963"/>
      <c r="G68" s="868"/>
      <c r="H68" s="963"/>
      <c r="I68" s="868"/>
      <c r="J68" s="231"/>
      <c r="K68" s="231"/>
      <c r="L68" s="231"/>
      <c r="M68" s="231"/>
      <c r="N68" s="231"/>
      <c r="O68" s="231"/>
      <c r="P68" s="231"/>
      <c r="Q68" s="231"/>
      <c r="R68" s="231"/>
      <c r="S68" s="231"/>
      <c r="T68" s="231"/>
      <c r="U68" s="231"/>
      <c r="V68" s="231"/>
      <c r="W68" s="231"/>
      <c r="X68" s="231"/>
      <c r="Y68" s="231"/>
      <c r="Z68" s="231"/>
      <c r="AA68" s="231"/>
      <c r="AB68" s="231"/>
      <c r="AC68" s="231"/>
      <c r="AD68" s="231"/>
      <c r="AE68" s="231"/>
      <c r="AF68" s="231"/>
      <c r="AG68" s="231"/>
    </row>
    <row r="69" spans="1:33" s="203" customFormat="1">
      <c r="A69" s="109" t="s">
        <v>83</v>
      </c>
      <c r="B69" s="47"/>
      <c r="C69" s="47"/>
      <c r="D69" s="47"/>
      <c r="E69" s="859"/>
      <c r="F69" s="963"/>
      <c r="G69" s="868"/>
      <c r="H69" s="963"/>
      <c r="I69" s="868"/>
      <c r="J69" s="231"/>
      <c r="K69" s="231"/>
      <c r="L69" s="231"/>
      <c r="M69" s="231"/>
      <c r="N69" s="231"/>
      <c r="O69" s="231"/>
      <c r="P69" s="231"/>
      <c r="Q69" s="231"/>
      <c r="R69" s="231"/>
      <c r="S69" s="231"/>
      <c r="T69" s="231"/>
      <c r="U69" s="231"/>
      <c r="V69" s="231"/>
      <c r="W69" s="231"/>
      <c r="X69" s="231"/>
      <c r="Y69" s="231"/>
      <c r="Z69" s="231"/>
      <c r="AA69" s="231"/>
      <c r="AB69" s="231"/>
      <c r="AC69" s="231"/>
      <c r="AD69" s="231"/>
      <c r="AE69" s="231"/>
      <c r="AF69" s="231"/>
      <c r="AG69" s="231"/>
    </row>
    <row r="70" spans="1:33" s="203" customFormat="1">
      <c r="A70" s="110" t="s">
        <v>84</v>
      </c>
      <c r="B70" s="47"/>
      <c r="C70" s="47"/>
      <c r="D70" s="47"/>
      <c r="E70" s="860"/>
      <c r="F70" s="964"/>
      <c r="G70" s="869"/>
      <c r="H70" s="964"/>
      <c r="I70" s="869"/>
      <c r="J70" s="231"/>
      <c r="K70" s="231"/>
      <c r="L70" s="231"/>
      <c r="M70" s="231"/>
      <c r="N70" s="231"/>
      <c r="O70" s="231"/>
      <c r="P70" s="231"/>
      <c r="Q70" s="231"/>
      <c r="R70" s="231"/>
      <c r="S70" s="231"/>
      <c r="T70" s="231"/>
      <c r="U70" s="231"/>
      <c r="V70" s="231"/>
      <c r="W70" s="231"/>
      <c r="X70" s="231"/>
      <c r="Y70" s="231"/>
      <c r="Z70" s="231"/>
      <c r="AA70" s="231"/>
      <c r="AB70" s="231"/>
      <c r="AC70" s="231"/>
      <c r="AD70" s="231"/>
      <c r="AE70" s="231"/>
      <c r="AF70" s="231"/>
      <c r="AG70" s="231"/>
    </row>
    <row r="71" spans="1:33" s="203" customFormat="1">
      <c r="A71" s="111">
        <v>1</v>
      </c>
      <c r="B71" s="47" t="s">
        <v>85</v>
      </c>
      <c r="C71" s="47"/>
      <c r="D71" s="47"/>
      <c r="E71" s="41">
        <v>10028</v>
      </c>
      <c r="F71" s="247">
        <v>11432</v>
      </c>
      <c r="G71" s="660">
        <v>7924</v>
      </c>
      <c r="H71" s="559">
        <v>13817</v>
      </c>
      <c r="I71" s="660">
        <v>8777</v>
      </c>
      <c r="J71" s="231"/>
      <c r="K71" s="231"/>
      <c r="L71" s="231"/>
      <c r="M71" s="231"/>
      <c r="N71" s="231"/>
      <c r="O71" s="231"/>
      <c r="P71" s="231"/>
      <c r="Q71" s="231"/>
      <c r="R71" s="231"/>
      <c r="S71" s="231"/>
      <c r="T71" s="231"/>
      <c r="U71" s="231"/>
      <c r="V71" s="231"/>
      <c r="W71" s="231"/>
      <c r="X71" s="231"/>
      <c r="Y71" s="231"/>
      <c r="Z71" s="231"/>
      <c r="AA71" s="231"/>
      <c r="AB71" s="231"/>
      <c r="AC71" s="231"/>
      <c r="AD71" s="231"/>
      <c r="AE71" s="231"/>
      <c r="AF71" s="231"/>
      <c r="AG71" s="231"/>
    </row>
    <row r="72" spans="1:33" s="203" customFormat="1">
      <c r="A72" s="111">
        <v>2</v>
      </c>
      <c r="B72" s="47" t="s">
        <v>86</v>
      </c>
      <c r="C72" s="47"/>
      <c r="D72" s="47"/>
      <c r="E72" s="49">
        <v>45004</v>
      </c>
      <c r="F72" s="661">
        <v>46498</v>
      </c>
      <c r="G72" s="662">
        <v>33723</v>
      </c>
      <c r="H72" s="562">
        <v>47644</v>
      </c>
      <c r="I72" s="662">
        <v>35587</v>
      </c>
      <c r="J72" s="231"/>
      <c r="K72" s="231"/>
      <c r="L72" s="231"/>
      <c r="M72" s="231"/>
      <c r="N72" s="231"/>
      <c r="O72" s="231"/>
      <c r="P72" s="231"/>
      <c r="Q72" s="231"/>
      <c r="R72" s="231"/>
      <c r="S72" s="231"/>
      <c r="T72" s="231"/>
      <c r="U72" s="231"/>
      <c r="V72" s="231"/>
      <c r="W72" s="231"/>
      <c r="X72" s="231"/>
      <c r="Y72" s="231"/>
      <c r="Z72" s="231"/>
      <c r="AA72" s="231"/>
      <c r="AB72" s="231"/>
      <c r="AC72" s="231"/>
      <c r="AD72" s="231"/>
      <c r="AE72" s="231"/>
      <c r="AF72" s="231"/>
      <c r="AG72" s="231"/>
    </row>
    <row r="73" spans="1:33" s="203" customFormat="1">
      <c r="A73" s="111">
        <v>3</v>
      </c>
      <c r="B73" s="47" t="s">
        <v>87</v>
      </c>
      <c r="C73" s="47"/>
      <c r="D73" s="47"/>
      <c r="E73" s="114">
        <v>51016</v>
      </c>
      <c r="F73" s="661">
        <v>51912</v>
      </c>
      <c r="G73" s="662">
        <v>39877</v>
      </c>
      <c r="H73" s="562">
        <v>53513</v>
      </c>
      <c r="I73" s="662">
        <v>42245</v>
      </c>
      <c r="J73" s="231"/>
      <c r="K73" s="231"/>
      <c r="L73" s="231"/>
      <c r="M73" s="231"/>
      <c r="N73" s="231"/>
      <c r="O73" s="231"/>
      <c r="P73" s="231"/>
      <c r="Q73" s="231"/>
      <c r="R73" s="231"/>
      <c r="S73" s="231"/>
      <c r="T73" s="231"/>
      <c r="U73" s="231"/>
      <c r="V73" s="231"/>
      <c r="W73" s="231"/>
      <c r="X73" s="231"/>
      <c r="Y73" s="231"/>
      <c r="Z73" s="231"/>
      <c r="AA73" s="231"/>
      <c r="AB73" s="231"/>
      <c r="AC73" s="231"/>
      <c r="AD73" s="231"/>
      <c r="AE73" s="231"/>
      <c r="AF73" s="231"/>
      <c r="AG73" s="231"/>
    </row>
    <row r="74" spans="1:33" s="203" customFormat="1">
      <c r="A74" s="111">
        <v>4</v>
      </c>
      <c r="B74" s="47" t="s">
        <v>88</v>
      </c>
      <c r="C74" s="47"/>
      <c r="D74" s="47"/>
      <c r="E74" s="114">
        <v>7558</v>
      </c>
      <c r="F74" s="661">
        <v>7359</v>
      </c>
      <c r="G74" s="662">
        <v>4513</v>
      </c>
      <c r="H74" s="562">
        <v>8008</v>
      </c>
      <c r="I74" s="662">
        <v>5623</v>
      </c>
      <c r="J74" s="231"/>
      <c r="K74" s="231"/>
      <c r="L74" s="231"/>
      <c r="M74" s="231"/>
      <c r="N74" s="231"/>
      <c r="O74" s="231"/>
      <c r="P74" s="231"/>
      <c r="Q74" s="231"/>
      <c r="R74" s="231"/>
      <c r="S74" s="231"/>
      <c r="T74" s="231"/>
      <c r="U74" s="231"/>
      <c r="V74" s="231"/>
      <c r="W74" s="231"/>
      <c r="X74" s="231"/>
      <c r="Y74" s="231"/>
      <c r="Z74" s="231"/>
      <c r="AA74" s="231"/>
      <c r="AB74" s="231"/>
      <c r="AC74" s="231"/>
      <c r="AD74" s="231"/>
      <c r="AE74" s="231"/>
      <c r="AF74" s="231"/>
      <c r="AG74" s="231"/>
    </row>
    <row r="75" spans="1:33" s="203" customFormat="1">
      <c r="A75" s="111">
        <v>5</v>
      </c>
      <c r="B75" s="47" t="s">
        <v>89</v>
      </c>
      <c r="C75" s="47" t="s">
        <v>90</v>
      </c>
      <c r="D75" s="47"/>
      <c r="E75" s="114">
        <v>1427</v>
      </c>
      <c r="F75" s="247">
        <v>1577</v>
      </c>
      <c r="G75" s="113">
        <v>0</v>
      </c>
      <c r="H75" s="123">
        <v>1583</v>
      </c>
      <c r="I75" s="113">
        <v>0</v>
      </c>
      <c r="J75" s="231"/>
      <c r="K75" s="231"/>
      <c r="L75" s="231"/>
      <c r="M75" s="231"/>
      <c r="N75" s="231"/>
      <c r="O75" s="231"/>
      <c r="P75" s="231"/>
      <c r="Q75" s="231"/>
      <c r="R75" s="231"/>
      <c r="S75" s="231"/>
      <c r="T75" s="231"/>
      <c r="U75" s="231"/>
      <c r="V75" s="231"/>
      <c r="W75" s="231"/>
      <c r="X75" s="231"/>
      <c r="Y75" s="231"/>
      <c r="Z75" s="231"/>
      <c r="AA75" s="231"/>
      <c r="AB75" s="231"/>
      <c r="AC75" s="231"/>
      <c r="AD75" s="231"/>
      <c r="AE75" s="231"/>
      <c r="AF75" s="231"/>
      <c r="AG75" s="231"/>
    </row>
    <row r="76" spans="1:33" s="203" customFormat="1">
      <c r="A76" s="815"/>
      <c r="B76" s="817"/>
      <c r="C76" s="47" t="s">
        <v>91</v>
      </c>
      <c r="D76" s="47"/>
      <c r="E76" s="114">
        <v>1</v>
      </c>
      <c r="F76" s="247">
        <v>1</v>
      </c>
      <c r="G76" s="115">
        <v>0</v>
      </c>
      <c r="H76" s="249">
        <v>1</v>
      </c>
      <c r="I76" s="115">
        <v>0</v>
      </c>
      <c r="J76" s="231"/>
      <c r="K76" s="231"/>
      <c r="L76" s="231"/>
      <c r="M76" s="231"/>
      <c r="N76" s="231"/>
      <c r="O76" s="231"/>
      <c r="P76" s="231"/>
      <c r="Q76" s="231"/>
      <c r="R76" s="231"/>
      <c r="S76" s="231"/>
      <c r="T76" s="231"/>
      <c r="U76" s="231"/>
      <c r="V76" s="231"/>
      <c r="W76" s="231"/>
      <c r="X76" s="231"/>
      <c r="Y76" s="231"/>
      <c r="Z76" s="231"/>
      <c r="AA76" s="231"/>
      <c r="AB76" s="231"/>
      <c r="AC76" s="231"/>
      <c r="AD76" s="231"/>
      <c r="AE76" s="231"/>
      <c r="AF76" s="231"/>
      <c r="AG76" s="231"/>
    </row>
    <row r="77" spans="1:33" s="203" customFormat="1">
      <c r="A77" s="111">
        <v>6</v>
      </c>
      <c r="B77" s="116" t="s">
        <v>92</v>
      </c>
      <c r="C77" s="116"/>
      <c r="D77" s="47"/>
      <c r="E77" s="80">
        <v>115034</v>
      </c>
      <c r="F77" s="250">
        <f>SUM(F71:F76)</f>
        <v>118779</v>
      </c>
      <c r="G77" s="251">
        <f>SUM(G71:G76)</f>
        <v>86037</v>
      </c>
      <c r="H77" s="252">
        <f>SUM(H71:H76)</f>
        <v>124566</v>
      </c>
      <c r="I77" s="251">
        <f>SUM(I71:I76)</f>
        <v>92232</v>
      </c>
      <c r="J77" s="231"/>
      <c r="K77" s="231"/>
      <c r="L77" s="231"/>
      <c r="M77" s="231"/>
      <c r="N77" s="231"/>
      <c r="O77" s="231"/>
      <c r="P77" s="231"/>
      <c r="Q77" s="231"/>
      <c r="R77" s="231"/>
      <c r="S77" s="231"/>
      <c r="T77" s="231"/>
      <c r="U77" s="231"/>
      <c r="V77" s="231"/>
      <c r="W77" s="231"/>
      <c r="X77" s="231"/>
      <c r="Y77" s="231"/>
      <c r="Z77" s="231"/>
      <c r="AA77" s="231"/>
      <c r="AB77" s="231"/>
      <c r="AC77" s="231"/>
      <c r="AD77" s="231"/>
      <c r="AE77" s="231"/>
      <c r="AF77" s="231"/>
      <c r="AG77" s="231"/>
    </row>
    <row r="78" spans="1:33" s="203" customFormat="1">
      <c r="A78" s="815"/>
      <c r="B78" s="47"/>
      <c r="C78" s="47"/>
      <c r="D78" s="47"/>
      <c r="E78" s="117"/>
      <c r="F78" s="118"/>
      <c r="G78" s="118"/>
      <c r="H78" s="118"/>
      <c r="I78" s="118"/>
      <c r="J78" s="231"/>
      <c r="K78" s="231"/>
      <c r="L78" s="231"/>
      <c r="M78" s="231"/>
      <c r="N78" s="231"/>
      <c r="O78" s="231"/>
      <c r="P78" s="231"/>
      <c r="Q78" s="231"/>
      <c r="R78" s="231"/>
      <c r="S78" s="231"/>
      <c r="T78" s="231"/>
      <c r="U78" s="231"/>
      <c r="V78" s="231"/>
      <c r="W78" s="231"/>
      <c r="X78" s="231"/>
      <c r="Y78" s="231"/>
      <c r="Z78" s="231"/>
      <c r="AA78" s="231"/>
      <c r="AB78" s="231"/>
      <c r="AC78" s="231"/>
      <c r="AD78" s="231"/>
      <c r="AE78" s="231"/>
      <c r="AF78" s="231"/>
      <c r="AG78" s="231"/>
    </row>
    <row r="79" spans="1:33" s="203" customFormat="1">
      <c r="A79" s="119" t="s">
        <v>93</v>
      </c>
      <c r="B79" s="116"/>
      <c r="C79" s="116"/>
      <c r="D79" s="116"/>
      <c r="E79" s="117"/>
      <c r="F79" s="118"/>
      <c r="G79" s="118"/>
      <c r="H79" s="118"/>
      <c r="I79" s="118"/>
      <c r="J79" s="231"/>
      <c r="K79" s="231"/>
      <c r="L79" s="231"/>
      <c r="M79" s="231"/>
      <c r="N79" s="231"/>
      <c r="O79" s="231"/>
      <c r="P79" s="231"/>
      <c r="Q79" s="231"/>
      <c r="R79" s="231"/>
      <c r="S79" s="231"/>
      <c r="T79" s="231"/>
      <c r="U79" s="231"/>
      <c r="V79" s="231"/>
      <c r="W79" s="231"/>
      <c r="X79" s="231"/>
      <c r="Y79" s="231"/>
      <c r="Z79" s="231"/>
      <c r="AA79" s="231"/>
      <c r="AB79" s="231"/>
      <c r="AC79" s="231"/>
      <c r="AD79" s="231"/>
      <c r="AE79" s="231"/>
      <c r="AF79" s="231"/>
      <c r="AG79" s="231"/>
    </row>
    <row r="80" spans="1:33" s="203" customFormat="1">
      <c r="A80" s="120">
        <v>7</v>
      </c>
      <c r="B80" s="47" t="s">
        <v>94</v>
      </c>
      <c r="C80" s="47"/>
      <c r="D80" s="47"/>
      <c r="E80" s="41">
        <v>1530</v>
      </c>
      <c r="F80" s="253">
        <v>1553</v>
      </c>
      <c r="G80" s="112">
        <v>1468</v>
      </c>
      <c r="H80" s="248">
        <v>1675</v>
      </c>
      <c r="I80" s="112">
        <v>1627</v>
      </c>
      <c r="J80" s="231"/>
      <c r="K80" s="231"/>
      <c r="L80" s="231"/>
      <c r="M80" s="231"/>
      <c r="N80" s="231"/>
      <c r="O80" s="231"/>
      <c r="P80" s="231"/>
      <c r="Q80" s="231"/>
      <c r="R80" s="231"/>
      <c r="S80" s="231"/>
      <c r="T80" s="231"/>
      <c r="U80" s="231"/>
      <c r="V80" s="231"/>
      <c r="W80" s="231"/>
      <c r="X80" s="231"/>
      <c r="Y80" s="231"/>
      <c r="Z80" s="231"/>
      <c r="AA80" s="231"/>
      <c r="AB80" s="231"/>
      <c r="AC80" s="231"/>
      <c r="AD80" s="231"/>
      <c r="AE80" s="231"/>
      <c r="AF80" s="231"/>
      <c r="AG80" s="231"/>
    </row>
    <row r="81" spans="1:33" s="203" customFormat="1">
      <c r="A81" s="120">
        <v>8</v>
      </c>
      <c r="B81" s="47" t="s">
        <v>95</v>
      </c>
      <c r="C81" s="47"/>
      <c r="D81" s="47"/>
      <c r="E81" s="49">
        <v>27732</v>
      </c>
      <c r="F81" s="247">
        <v>28295</v>
      </c>
      <c r="G81" s="113">
        <v>27963</v>
      </c>
      <c r="H81" s="123">
        <v>30665</v>
      </c>
      <c r="I81" s="113">
        <v>29782</v>
      </c>
      <c r="J81" s="231"/>
      <c r="K81" s="231"/>
      <c r="L81" s="231"/>
      <c r="M81" s="231"/>
      <c r="N81" s="231"/>
      <c r="O81" s="231"/>
      <c r="P81" s="231"/>
      <c r="Q81" s="231"/>
      <c r="R81" s="231"/>
      <c r="S81" s="231"/>
      <c r="T81" s="231"/>
      <c r="U81" s="231"/>
      <c r="V81" s="231"/>
      <c r="W81" s="231"/>
      <c r="X81" s="231"/>
      <c r="Y81" s="231"/>
      <c r="Z81" s="231"/>
      <c r="AA81" s="231"/>
      <c r="AB81" s="231"/>
      <c r="AC81" s="231"/>
      <c r="AD81" s="231"/>
      <c r="AE81" s="231"/>
      <c r="AF81" s="231"/>
      <c r="AG81" s="231"/>
    </row>
    <row r="82" spans="1:33" s="203" customFormat="1">
      <c r="A82" s="120">
        <v>9</v>
      </c>
      <c r="B82" s="47" t="s">
        <v>96</v>
      </c>
      <c r="C82" s="47"/>
      <c r="D82" s="47"/>
      <c r="E82" s="49">
        <v>33188</v>
      </c>
      <c r="F82" s="247">
        <v>33410</v>
      </c>
      <c r="G82" s="113">
        <v>33111</v>
      </c>
      <c r="H82" s="123">
        <v>36039</v>
      </c>
      <c r="I82" s="113">
        <v>35595</v>
      </c>
      <c r="J82" s="231"/>
      <c r="K82" s="231"/>
      <c r="L82" s="231"/>
      <c r="M82" s="231"/>
      <c r="N82" s="231"/>
      <c r="O82" s="231"/>
      <c r="P82" s="231"/>
      <c r="Q82" s="231"/>
      <c r="R82" s="231"/>
      <c r="S82" s="231"/>
      <c r="T82" s="231"/>
      <c r="U82" s="231"/>
      <c r="V82" s="231"/>
      <c r="W82" s="231"/>
      <c r="X82" s="231"/>
      <c r="Y82" s="231"/>
      <c r="Z82" s="231"/>
      <c r="AA82" s="231"/>
      <c r="AB82" s="231"/>
      <c r="AC82" s="231"/>
      <c r="AD82" s="231"/>
      <c r="AE82" s="231"/>
      <c r="AF82" s="231"/>
      <c r="AG82" s="231"/>
    </row>
    <row r="83" spans="1:33" s="203" customFormat="1">
      <c r="A83" s="120">
        <v>10</v>
      </c>
      <c r="B83" s="90" t="s">
        <v>97</v>
      </c>
      <c r="C83" s="47"/>
      <c r="D83" s="47"/>
      <c r="E83" s="49">
        <v>12163</v>
      </c>
      <c r="F83" s="247">
        <v>11764</v>
      </c>
      <c r="G83" s="113">
        <v>11154</v>
      </c>
      <c r="H83" s="123">
        <v>12354</v>
      </c>
      <c r="I83" s="113">
        <v>11154</v>
      </c>
      <c r="J83" s="231"/>
      <c r="K83" s="231"/>
      <c r="L83" s="231"/>
      <c r="M83" s="231"/>
      <c r="N83" s="231"/>
      <c r="O83" s="231"/>
      <c r="P83" s="231"/>
      <c r="Q83" s="231"/>
      <c r="R83" s="231"/>
      <c r="S83" s="231"/>
      <c r="T83" s="231"/>
      <c r="U83" s="231"/>
      <c r="V83" s="231"/>
      <c r="W83" s="231"/>
      <c r="X83" s="231"/>
      <c r="Y83" s="231"/>
      <c r="Z83" s="231"/>
      <c r="AA83" s="231"/>
      <c r="AB83" s="231"/>
      <c r="AC83" s="231"/>
      <c r="AD83" s="231"/>
      <c r="AE83" s="231"/>
      <c r="AF83" s="231"/>
      <c r="AG83" s="231"/>
    </row>
    <row r="84" spans="1:33" s="203" customFormat="1">
      <c r="A84" s="120">
        <v>11</v>
      </c>
      <c r="B84" s="90" t="s">
        <v>98</v>
      </c>
      <c r="C84" s="47"/>
      <c r="D84" s="47"/>
      <c r="E84" s="49">
        <v>944</v>
      </c>
      <c r="F84" s="247">
        <v>954</v>
      </c>
      <c r="G84" s="113">
        <v>0</v>
      </c>
      <c r="H84" s="123">
        <v>977</v>
      </c>
      <c r="I84" s="113">
        <v>0</v>
      </c>
      <c r="J84" s="231"/>
      <c r="K84" s="231"/>
      <c r="L84" s="231"/>
      <c r="M84" s="231"/>
      <c r="N84" s="231"/>
      <c r="O84" s="231"/>
      <c r="P84" s="231"/>
      <c r="Q84" s="231"/>
      <c r="R84" s="231"/>
      <c r="S84" s="231"/>
      <c r="T84" s="231"/>
      <c r="U84" s="231"/>
      <c r="V84" s="231"/>
      <c r="W84" s="231"/>
      <c r="X84" s="231"/>
      <c r="Y84" s="231"/>
      <c r="Z84" s="231"/>
      <c r="AA84" s="231"/>
      <c r="AB84" s="231"/>
      <c r="AC84" s="231"/>
      <c r="AD84" s="231"/>
      <c r="AE84" s="231"/>
      <c r="AF84" s="231"/>
      <c r="AG84" s="231"/>
    </row>
    <row r="85" spans="1:33" s="203" customFormat="1">
      <c r="A85" s="120">
        <v>12</v>
      </c>
      <c r="B85" s="47" t="s">
        <v>99</v>
      </c>
      <c r="C85" s="47"/>
      <c r="D85" s="47"/>
      <c r="E85" s="49">
        <v>2469</v>
      </c>
      <c r="F85" s="247">
        <v>2380</v>
      </c>
      <c r="G85" s="113">
        <v>0</v>
      </c>
      <c r="H85" s="123">
        <v>2686</v>
      </c>
      <c r="I85" s="113">
        <v>0</v>
      </c>
      <c r="J85" s="231"/>
      <c r="K85" s="231"/>
      <c r="L85" s="231"/>
      <c r="M85" s="231"/>
      <c r="N85" s="231"/>
      <c r="O85" s="231"/>
      <c r="P85" s="231"/>
      <c r="Q85" s="231"/>
      <c r="R85" s="231"/>
      <c r="S85" s="231"/>
      <c r="T85" s="231"/>
      <c r="U85" s="231"/>
      <c r="V85" s="231"/>
      <c r="W85" s="231"/>
      <c r="X85" s="231"/>
      <c r="Y85" s="231"/>
      <c r="Z85" s="231"/>
      <c r="AA85" s="231"/>
      <c r="AB85" s="231"/>
      <c r="AC85" s="231"/>
      <c r="AD85" s="231"/>
      <c r="AE85" s="231"/>
      <c r="AF85" s="231"/>
      <c r="AG85" s="231"/>
    </row>
    <row r="86" spans="1:33" s="203" customFormat="1">
      <c r="A86" s="120">
        <v>13</v>
      </c>
      <c r="B86" s="47" t="s">
        <v>100</v>
      </c>
      <c r="C86" s="47"/>
      <c r="D86" s="47"/>
      <c r="E86" s="49">
        <v>19412</v>
      </c>
      <c r="F86" s="247">
        <v>20636</v>
      </c>
      <c r="G86" s="113">
        <v>15612</v>
      </c>
      <c r="H86" s="123">
        <v>19598</v>
      </c>
      <c r="I86" s="113">
        <v>15612</v>
      </c>
      <c r="J86" s="231"/>
      <c r="K86" s="231"/>
      <c r="L86" s="231"/>
      <c r="M86" s="231"/>
      <c r="N86" s="231"/>
      <c r="O86" s="231"/>
      <c r="P86" s="231"/>
      <c r="Q86" s="231"/>
      <c r="R86" s="231"/>
      <c r="S86" s="231"/>
      <c r="T86" s="231"/>
      <c r="U86" s="231"/>
      <c r="V86" s="231"/>
      <c r="W86" s="231"/>
      <c r="X86" s="231"/>
      <c r="Y86" s="231"/>
      <c r="Z86" s="231"/>
      <c r="AA86" s="231"/>
      <c r="AB86" s="231"/>
      <c r="AC86" s="231"/>
      <c r="AD86" s="231"/>
      <c r="AE86" s="231"/>
      <c r="AF86" s="231"/>
      <c r="AG86" s="231"/>
    </row>
    <row r="87" spans="1:33" s="203" customFormat="1">
      <c r="A87" s="120">
        <v>14</v>
      </c>
      <c r="B87" s="47" t="s">
        <v>101</v>
      </c>
      <c r="C87" s="47"/>
      <c r="D87" s="47"/>
      <c r="E87" s="49">
        <v>0</v>
      </c>
      <c r="F87" s="247">
        <v>0</v>
      </c>
      <c r="G87" s="113">
        <v>0</v>
      </c>
      <c r="H87" s="123">
        <v>0</v>
      </c>
      <c r="I87" s="113">
        <v>0</v>
      </c>
      <c r="J87" s="231"/>
      <c r="K87" s="231"/>
      <c r="L87" s="231"/>
      <c r="M87" s="231"/>
      <c r="N87" s="231"/>
      <c r="O87" s="231"/>
      <c r="P87" s="231"/>
      <c r="Q87" s="231"/>
      <c r="R87" s="231"/>
      <c r="S87" s="231"/>
      <c r="T87" s="231"/>
      <c r="U87" s="231"/>
      <c r="V87" s="231"/>
      <c r="W87" s="231"/>
      <c r="X87" s="231"/>
      <c r="Y87" s="231"/>
      <c r="Z87" s="231"/>
      <c r="AA87" s="231"/>
      <c r="AB87" s="231"/>
      <c r="AC87" s="231"/>
      <c r="AD87" s="231"/>
      <c r="AE87" s="231"/>
      <c r="AF87" s="231"/>
      <c r="AG87" s="231"/>
    </row>
    <row r="88" spans="1:33" s="203" customFormat="1">
      <c r="A88" s="124">
        <v>15</v>
      </c>
      <c r="B88" s="125" t="s">
        <v>102</v>
      </c>
      <c r="C88" s="54"/>
      <c r="D88" s="54"/>
      <c r="E88" s="56">
        <v>0</v>
      </c>
      <c r="F88" s="254">
        <v>0</v>
      </c>
      <c r="G88" s="127">
        <v>0</v>
      </c>
      <c r="H88" s="255">
        <v>0</v>
      </c>
      <c r="I88" s="127">
        <v>0</v>
      </c>
      <c r="J88" s="231"/>
      <c r="K88" s="231"/>
      <c r="L88" s="231"/>
      <c r="M88" s="231"/>
      <c r="N88" s="231"/>
      <c r="O88" s="231"/>
      <c r="P88" s="231"/>
      <c r="Q88" s="231"/>
      <c r="R88" s="231"/>
      <c r="S88" s="231"/>
      <c r="T88" s="231"/>
      <c r="U88" s="231"/>
      <c r="V88" s="231"/>
      <c r="W88" s="231"/>
      <c r="X88" s="231"/>
      <c r="Y88" s="231"/>
      <c r="Z88" s="231"/>
      <c r="AA88" s="231"/>
      <c r="AB88" s="231"/>
      <c r="AC88" s="231"/>
      <c r="AD88" s="231"/>
      <c r="AE88" s="231"/>
      <c r="AF88" s="231"/>
      <c r="AG88" s="231"/>
    </row>
    <row r="89" spans="1:33" s="203" customFormat="1">
      <c r="A89" s="128"/>
      <c r="B89" s="129"/>
      <c r="C89" s="129"/>
      <c r="D89" s="129"/>
      <c r="E89" s="15"/>
      <c r="F89" s="130"/>
      <c r="G89" s="29"/>
      <c r="H89" s="207"/>
      <c r="I89" s="29"/>
      <c r="J89" s="231"/>
      <c r="K89" s="231"/>
      <c r="L89" s="231"/>
      <c r="M89" s="231"/>
      <c r="N89" s="231"/>
      <c r="O89" s="231"/>
      <c r="P89" s="231"/>
      <c r="Q89" s="231"/>
      <c r="R89" s="231"/>
      <c r="S89" s="231"/>
      <c r="T89" s="231"/>
      <c r="U89" s="231"/>
      <c r="V89" s="231"/>
      <c r="W89" s="231"/>
      <c r="X89" s="231"/>
      <c r="Y89" s="231"/>
      <c r="Z89" s="231"/>
      <c r="AA89" s="231"/>
      <c r="AB89" s="231"/>
      <c r="AC89" s="231"/>
      <c r="AD89" s="231"/>
      <c r="AE89" s="231"/>
      <c r="AF89" s="231"/>
      <c r="AG89" s="231"/>
    </row>
    <row r="90" spans="1:33" s="203" customFormat="1">
      <c r="A90" s="128"/>
      <c r="B90" s="129"/>
      <c r="C90" s="129"/>
      <c r="D90" s="129"/>
      <c r="E90" s="105"/>
      <c r="F90" s="130"/>
      <c r="G90" s="29"/>
      <c r="H90" s="131" t="s">
        <v>27</v>
      </c>
      <c r="I90" s="29"/>
      <c r="J90" s="231"/>
      <c r="K90" s="231"/>
      <c r="L90" s="231"/>
      <c r="M90" s="231"/>
      <c r="N90" s="231"/>
      <c r="O90" s="231"/>
      <c r="P90" s="231"/>
      <c r="Q90" s="231"/>
      <c r="R90" s="231"/>
      <c r="S90" s="231"/>
      <c r="T90" s="231"/>
      <c r="U90" s="231"/>
      <c r="V90" s="231"/>
      <c r="W90" s="231"/>
      <c r="X90" s="231"/>
      <c r="Y90" s="231"/>
      <c r="Z90" s="231"/>
      <c r="AA90" s="231"/>
      <c r="AB90" s="231"/>
      <c r="AC90" s="231"/>
      <c r="AD90" s="231"/>
      <c r="AE90" s="231"/>
      <c r="AF90" s="231"/>
      <c r="AG90" s="231"/>
    </row>
    <row r="91" spans="1:33" s="203" customFormat="1">
      <c r="A91" s="106" t="s">
        <v>17</v>
      </c>
      <c r="B91" s="107"/>
      <c r="C91" s="107"/>
      <c r="D91" s="107"/>
      <c r="E91" s="856" t="s">
        <v>421</v>
      </c>
      <c r="F91" s="856" t="s">
        <v>402</v>
      </c>
      <c r="G91" s="257"/>
      <c r="H91" s="856" t="s">
        <v>403</v>
      </c>
      <c r="I91" s="29"/>
      <c r="J91" s="231"/>
      <c r="K91" s="231"/>
      <c r="L91" s="231"/>
      <c r="M91" s="231"/>
      <c r="N91" s="231"/>
      <c r="O91" s="231"/>
      <c r="P91" s="231"/>
      <c r="Q91" s="231"/>
      <c r="R91" s="231"/>
      <c r="S91" s="231"/>
      <c r="T91" s="231"/>
      <c r="U91" s="231"/>
      <c r="V91" s="231"/>
      <c r="W91" s="231"/>
      <c r="X91" s="231"/>
      <c r="Y91" s="231"/>
      <c r="Z91" s="231"/>
      <c r="AA91" s="231"/>
      <c r="AB91" s="231"/>
      <c r="AC91" s="231"/>
      <c r="AD91" s="231"/>
      <c r="AE91" s="231"/>
      <c r="AF91" s="231"/>
      <c r="AG91" s="231"/>
    </row>
    <row r="92" spans="1:33" s="203" customFormat="1" ht="12.75" customHeight="1">
      <c r="A92" s="109"/>
      <c r="B92" s="132"/>
      <c r="C92" s="132"/>
      <c r="D92" s="132"/>
      <c r="E92" s="859"/>
      <c r="F92" s="859"/>
      <c r="G92" s="29"/>
      <c r="H92" s="859"/>
      <c r="I92" s="29"/>
      <c r="J92" s="231"/>
      <c r="K92" s="231"/>
      <c r="L92" s="231"/>
      <c r="M92" s="231"/>
      <c r="N92" s="231"/>
      <c r="O92" s="231"/>
      <c r="P92" s="231"/>
      <c r="Q92" s="231"/>
      <c r="R92" s="231"/>
      <c r="S92" s="231"/>
      <c r="T92" s="231"/>
      <c r="U92" s="231"/>
      <c r="V92" s="231"/>
      <c r="W92" s="231"/>
      <c r="X92" s="231"/>
      <c r="Y92" s="231"/>
      <c r="Z92" s="231"/>
      <c r="AA92" s="231"/>
      <c r="AB92" s="231"/>
      <c r="AC92" s="231"/>
      <c r="AD92" s="231"/>
      <c r="AE92" s="231"/>
      <c r="AF92" s="231"/>
      <c r="AG92" s="231"/>
    </row>
    <row r="93" spans="1:33" s="203" customFormat="1">
      <c r="A93" s="109" t="s">
        <v>103</v>
      </c>
      <c r="B93" s="132"/>
      <c r="C93" s="132"/>
      <c r="D93" s="132"/>
      <c r="E93" s="859"/>
      <c r="F93" s="859"/>
      <c r="G93" s="29"/>
      <c r="H93" s="859"/>
      <c r="I93" s="29"/>
      <c r="J93" s="231"/>
      <c r="K93" s="231"/>
      <c r="L93" s="231"/>
      <c r="M93" s="231"/>
      <c r="N93" s="231"/>
      <c r="O93" s="231"/>
      <c r="P93" s="231"/>
      <c r="Q93" s="231"/>
      <c r="R93" s="231"/>
      <c r="S93" s="231"/>
      <c r="T93" s="231"/>
      <c r="U93" s="231"/>
      <c r="V93" s="231"/>
      <c r="W93" s="231"/>
      <c r="X93" s="231"/>
      <c r="Y93" s="231"/>
      <c r="Z93" s="231"/>
      <c r="AA93" s="231"/>
      <c r="AB93" s="231"/>
      <c r="AC93" s="231"/>
      <c r="AD93" s="231"/>
      <c r="AE93" s="231"/>
      <c r="AF93" s="231"/>
      <c r="AG93" s="231"/>
    </row>
    <row r="94" spans="1:33" s="203" customFormat="1">
      <c r="A94" s="109" t="s">
        <v>83</v>
      </c>
      <c r="B94" s="132"/>
      <c r="C94" s="132"/>
      <c r="D94" s="132"/>
      <c r="E94" s="859"/>
      <c r="F94" s="859"/>
      <c r="G94" s="130"/>
      <c r="H94" s="859"/>
      <c r="I94" s="29"/>
      <c r="J94" s="231"/>
      <c r="K94" s="231"/>
      <c r="L94" s="231"/>
      <c r="M94" s="231"/>
      <c r="N94" s="231"/>
      <c r="O94" s="231"/>
      <c r="P94" s="231"/>
      <c r="Q94" s="231"/>
      <c r="R94" s="231"/>
      <c r="S94" s="231"/>
      <c r="T94" s="231"/>
      <c r="U94" s="231"/>
      <c r="V94" s="231"/>
      <c r="W94" s="231"/>
      <c r="X94" s="231"/>
      <c r="Y94" s="231"/>
      <c r="Z94" s="231"/>
      <c r="AA94" s="231"/>
      <c r="AB94" s="231"/>
      <c r="AC94" s="231"/>
      <c r="AD94" s="231"/>
      <c r="AE94" s="231"/>
      <c r="AF94" s="231"/>
      <c r="AG94" s="231"/>
    </row>
    <row r="95" spans="1:33" s="203" customFormat="1">
      <c r="A95" s="110" t="s">
        <v>84</v>
      </c>
      <c r="B95" s="132"/>
      <c r="C95" s="132"/>
      <c r="D95" s="132"/>
      <c r="E95" s="860"/>
      <c r="F95" s="860"/>
      <c r="G95" s="130"/>
      <c r="H95" s="860"/>
      <c r="I95" s="130"/>
      <c r="J95" s="231"/>
      <c r="K95" s="231"/>
      <c r="L95" s="231"/>
      <c r="M95" s="231"/>
      <c r="N95" s="231"/>
      <c r="O95" s="231"/>
      <c r="P95" s="231"/>
      <c r="Q95" s="231"/>
      <c r="R95" s="231"/>
      <c r="S95" s="231"/>
      <c r="T95" s="231"/>
      <c r="U95" s="231"/>
      <c r="V95" s="231"/>
      <c r="W95" s="231"/>
      <c r="X95" s="231"/>
      <c r="Y95" s="231"/>
      <c r="Z95" s="231"/>
      <c r="AA95" s="231"/>
      <c r="AB95" s="231"/>
      <c r="AC95" s="231"/>
      <c r="AD95" s="231"/>
      <c r="AE95" s="231"/>
      <c r="AF95" s="231"/>
      <c r="AG95" s="231"/>
    </row>
    <row r="96" spans="1:33" s="203" customFormat="1">
      <c r="A96" s="120">
        <v>1</v>
      </c>
      <c r="B96" s="47" t="s">
        <v>104</v>
      </c>
      <c r="C96" s="47"/>
      <c r="D96" s="47"/>
      <c r="E96" s="41">
        <v>1006</v>
      </c>
      <c r="F96" s="52">
        <v>926</v>
      </c>
      <c r="G96" s="118"/>
      <c r="H96" s="133">
        <v>994</v>
      </c>
      <c r="I96" s="139"/>
      <c r="J96" s="231"/>
      <c r="K96" s="231"/>
      <c r="L96" s="231"/>
      <c r="M96" s="231"/>
      <c r="N96" s="231"/>
      <c r="O96" s="231"/>
      <c r="P96" s="231"/>
      <c r="Q96" s="231"/>
      <c r="R96" s="231"/>
      <c r="S96" s="231"/>
      <c r="T96" s="231"/>
      <c r="U96" s="231"/>
      <c r="V96" s="231"/>
      <c r="W96" s="231"/>
      <c r="X96" s="231"/>
      <c r="Y96" s="231"/>
      <c r="Z96" s="231"/>
      <c r="AA96" s="231"/>
      <c r="AB96" s="231"/>
      <c r="AC96" s="231"/>
      <c r="AD96" s="231"/>
      <c r="AE96" s="231"/>
      <c r="AF96" s="231"/>
      <c r="AG96" s="231"/>
    </row>
    <row r="97" spans="1:33" s="203" customFormat="1">
      <c r="A97" s="120">
        <v>2</v>
      </c>
      <c r="B97" s="47" t="s">
        <v>105</v>
      </c>
      <c r="C97" s="47"/>
      <c r="D97" s="47"/>
      <c r="E97" s="49">
        <v>0</v>
      </c>
      <c r="F97" s="52">
        <v>0</v>
      </c>
      <c r="G97" s="118"/>
      <c r="H97" s="122">
        <v>0</v>
      </c>
      <c r="I97" s="139"/>
      <c r="J97" s="231"/>
      <c r="K97" s="231"/>
      <c r="L97" s="231"/>
      <c r="M97" s="231"/>
      <c r="N97" s="231"/>
      <c r="O97" s="231"/>
      <c r="P97" s="231"/>
      <c r="Q97" s="231"/>
      <c r="R97" s="231"/>
      <c r="S97" s="231"/>
      <c r="T97" s="231"/>
      <c r="U97" s="231"/>
      <c r="V97" s="231"/>
      <c r="W97" s="231"/>
      <c r="X97" s="231"/>
      <c r="Y97" s="231"/>
      <c r="Z97" s="231"/>
      <c r="AA97" s="231"/>
      <c r="AB97" s="231"/>
      <c r="AC97" s="231"/>
      <c r="AD97" s="231"/>
      <c r="AE97" s="231"/>
      <c r="AF97" s="231"/>
      <c r="AG97" s="231"/>
    </row>
    <row r="98" spans="1:33" s="203" customFormat="1">
      <c r="A98" s="120">
        <v>3</v>
      </c>
      <c r="B98" s="47" t="s">
        <v>106</v>
      </c>
      <c r="C98" s="47"/>
      <c r="D98" s="47"/>
      <c r="E98" s="114">
        <v>9727</v>
      </c>
      <c r="F98" s="50">
        <f>F115</f>
        <v>9242</v>
      </c>
      <c r="G98" s="118"/>
      <c r="H98" s="50">
        <f>H115</f>
        <v>9902</v>
      </c>
      <c r="I98" s="139"/>
      <c r="J98" s="231"/>
      <c r="K98" s="231"/>
      <c r="L98" s="231"/>
      <c r="M98" s="231"/>
      <c r="N98" s="231"/>
      <c r="O98" s="231"/>
      <c r="P98" s="231"/>
      <c r="Q98" s="231"/>
      <c r="R98" s="231"/>
      <c r="S98" s="231"/>
      <c r="T98" s="231"/>
      <c r="U98" s="231"/>
      <c r="V98" s="231"/>
      <c r="W98" s="231"/>
      <c r="X98" s="231"/>
      <c r="Y98" s="231"/>
      <c r="Z98" s="231"/>
      <c r="AA98" s="231"/>
      <c r="AB98" s="231"/>
      <c r="AC98" s="231"/>
      <c r="AD98" s="231"/>
      <c r="AE98" s="231"/>
      <c r="AF98" s="231"/>
      <c r="AG98" s="231"/>
    </row>
    <row r="99" spans="1:33" s="203" customFormat="1">
      <c r="A99" s="120">
        <v>4</v>
      </c>
      <c r="B99" s="47" t="s">
        <v>107</v>
      </c>
      <c r="C99" s="47"/>
      <c r="D99" s="47"/>
      <c r="E99" s="114">
        <v>22128</v>
      </c>
      <c r="F99" s="50">
        <f>F125</f>
        <v>23089</v>
      </c>
      <c r="G99" s="118"/>
      <c r="H99" s="50">
        <f>H125</f>
        <v>22701</v>
      </c>
      <c r="I99" s="139"/>
      <c r="J99" s="231"/>
      <c r="K99" s="231"/>
      <c r="L99" s="231"/>
      <c r="M99" s="231"/>
      <c r="N99" s="231"/>
      <c r="O99" s="231"/>
      <c r="P99" s="231"/>
      <c r="Q99" s="231"/>
      <c r="R99" s="231"/>
      <c r="S99" s="231"/>
      <c r="T99" s="231"/>
      <c r="U99" s="231"/>
      <c r="V99" s="231"/>
      <c r="W99" s="231"/>
      <c r="X99" s="231"/>
      <c r="Y99" s="231"/>
      <c r="Z99" s="231"/>
      <c r="AA99" s="231"/>
      <c r="AB99" s="231"/>
      <c r="AC99" s="231"/>
      <c r="AD99" s="231"/>
      <c r="AE99" s="231"/>
      <c r="AF99" s="231"/>
      <c r="AG99" s="231"/>
    </row>
    <row r="100" spans="1:33" s="203" customFormat="1">
      <c r="A100" s="120">
        <v>5</v>
      </c>
      <c r="B100" s="47" t="s">
        <v>108</v>
      </c>
      <c r="C100" s="47"/>
      <c r="D100" s="47"/>
      <c r="E100" s="114">
        <v>4910</v>
      </c>
      <c r="F100" s="50">
        <f>F135</f>
        <v>4806</v>
      </c>
      <c r="G100" s="118"/>
      <c r="H100" s="50">
        <f>H135</f>
        <v>4844</v>
      </c>
      <c r="I100" s="139"/>
      <c r="J100" s="231"/>
      <c r="K100" s="231"/>
      <c r="L100" s="231"/>
      <c r="M100" s="231"/>
      <c r="N100" s="231"/>
      <c r="O100" s="231"/>
      <c r="P100" s="231"/>
      <c r="Q100" s="231"/>
      <c r="R100" s="231"/>
      <c r="S100" s="231"/>
      <c r="T100" s="231"/>
      <c r="U100" s="231"/>
      <c r="V100" s="231"/>
      <c r="W100" s="231"/>
      <c r="X100" s="231"/>
      <c r="Y100" s="231"/>
      <c r="Z100" s="231"/>
      <c r="AA100" s="231"/>
      <c r="AB100" s="231"/>
      <c r="AC100" s="231"/>
      <c r="AD100" s="231"/>
      <c r="AE100" s="231"/>
      <c r="AF100" s="231"/>
      <c r="AG100" s="231"/>
    </row>
    <row r="101" spans="1:33" s="203" customFormat="1">
      <c r="A101" s="120">
        <v>6</v>
      </c>
      <c r="B101" s="47" t="s">
        <v>109</v>
      </c>
      <c r="C101" s="47"/>
      <c r="D101" s="47"/>
      <c r="E101" s="114">
        <v>8791</v>
      </c>
      <c r="F101" s="50">
        <f>F143</f>
        <v>8656</v>
      </c>
      <c r="G101" s="118"/>
      <c r="H101" s="50">
        <f>H143</f>
        <v>9318</v>
      </c>
      <c r="I101" s="139"/>
      <c r="J101" s="231"/>
      <c r="K101" s="231"/>
      <c r="L101" s="231"/>
      <c r="M101" s="231"/>
      <c r="N101" s="231"/>
      <c r="O101" s="231"/>
      <c r="P101" s="231"/>
      <c r="Q101" s="231"/>
      <c r="R101" s="231"/>
      <c r="S101" s="231"/>
      <c r="T101" s="231"/>
      <c r="U101" s="231"/>
      <c r="V101" s="231"/>
      <c r="W101" s="231"/>
      <c r="X101" s="231"/>
      <c r="Y101" s="231"/>
      <c r="Z101" s="231"/>
      <c r="AA101" s="231"/>
      <c r="AB101" s="231"/>
      <c r="AC101" s="231"/>
      <c r="AD101" s="231"/>
      <c r="AE101" s="231"/>
      <c r="AF101" s="231"/>
      <c r="AG101" s="231"/>
    </row>
    <row r="102" spans="1:33" s="203" customFormat="1">
      <c r="A102" s="120">
        <v>7</v>
      </c>
      <c r="B102" s="47" t="s">
        <v>110</v>
      </c>
      <c r="C102" s="47"/>
      <c r="D102" s="47"/>
      <c r="E102" s="114">
        <v>1611</v>
      </c>
      <c r="F102" s="50">
        <f>F150</f>
        <v>1630</v>
      </c>
      <c r="G102" s="118"/>
      <c r="H102" s="50">
        <f>H150</f>
        <v>1746</v>
      </c>
      <c r="I102" s="139"/>
      <c r="J102" s="231"/>
      <c r="K102" s="231"/>
      <c r="L102" s="231"/>
      <c r="M102" s="231"/>
      <c r="N102" s="231"/>
      <c r="O102" s="231"/>
      <c r="P102" s="231"/>
      <c r="Q102" s="231"/>
      <c r="R102" s="231"/>
      <c r="S102" s="231"/>
      <c r="T102" s="231"/>
      <c r="U102" s="231"/>
      <c r="V102" s="231"/>
      <c r="W102" s="231"/>
      <c r="X102" s="231"/>
      <c r="Y102" s="231"/>
      <c r="Z102" s="231"/>
      <c r="AA102" s="231"/>
      <c r="AB102" s="231"/>
      <c r="AC102" s="231"/>
      <c r="AD102" s="231"/>
      <c r="AE102" s="231"/>
      <c r="AF102" s="231"/>
      <c r="AG102" s="231"/>
    </row>
    <row r="103" spans="1:33" s="203" customFormat="1">
      <c r="A103" s="120">
        <v>8</v>
      </c>
      <c r="B103" s="47" t="s">
        <v>111</v>
      </c>
      <c r="C103" s="47"/>
      <c r="D103" s="47"/>
      <c r="E103" s="114">
        <v>296</v>
      </c>
      <c r="F103" s="52">
        <v>344</v>
      </c>
      <c r="G103" s="118"/>
      <c r="H103" s="122">
        <v>314</v>
      </c>
      <c r="I103" s="139"/>
      <c r="J103" s="231"/>
      <c r="K103" s="231"/>
      <c r="L103" s="231"/>
      <c r="M103" s="231"/>
      <c r="N103" s="231"/>
      <c r="O103" s="231"/>
      <c r="P103" s="231"/>
      <c r="Q103" s="231"/>
      <c r="R103" s="231"/>
      <c r="S103" s="231"/>
      <c r="T103" s="231"/>
      <c r="U103" s="231"/>
      <c r="V103" s="231"/>
      <c r="W103" s="231"/>
      <c r="X103" s="231"/>
      <c r="Y103" s="231"/>
      <c r="Z103" s="231"/>
      <c r="AA103" s="231"/>
      <c r="AB103" s="231"/>
      <c r="AC103" s="231"/>
      <c r="AD103" s="231"/>
      <c r="AE103" s="231"/>
      <c r="AF103" s="231"/>
      <c r="AG103" s="231"/>
    </row>
    <row r="104" spans="1:33" s="203" customFormat="1">
      <c r="A104" s="120">
        <v>9</v>
      </c>
      <c r="B104" s="47" t="s">
        <v>112</v>
      </c>
      <c r="C104" s="47"/>
      <c r="D104" s="47"/>
      <c r="E104" s="114">
        <v>618</v>
      </c>
      <c r="F104" s="52">
        <v>587</v>
      </c>
      <c r="G104" s="118"/>
      <c r="H104" s="122">
        <v>561</v>
      </c>
      <c r="I104" s="139"/>
      <c r="J104" s="231"/>
      <c r="K104" s="231"/>
      <c r="L104" s="231"/>
      <c r="M104" s="231"/>
      <c r="N104" s="231"/>
      <c r="O104" s="231"/>
      <c r="P104" s="231"/>
      <c r="Q104" s="231"/>
      <c r="R104" s="231"/>
      <c r="S104" s="231"/>
      <c r="T104" s="231"/>
      <c r="U104" s="231"/>
      <c r="V104" s="231"/>
      <c r="W104" s="231"/>
      <c r="X104" s="231"/>
      <c r="Y104" s="231"/>
      <c r="Z104" s="231"/>
      <c r="AA104" s="231"/>
      <c r="AB104" s="231"/>
      <c r="AC104" s="231"/>
      <c r="AD104" s="231"/>
      <c r="AE104" s="231"/>
      <c r="AF104" s="231"/>
      <c r="AG104" s="231"/>
    </row>
    <row r="105" spans="1:33" s="203" customFormat="1">
      <c r="A105" s="111" t="s">
        <v>113</v>
      </c>
      <c r="B105" s="116" t="s">
        <v>114</v>
      </c>
      <c r="C105" s="116"/>
      <c r="D105" s="47"/>
      <c r="E105" s="134">
        <v>49087</v>
      </c>
      <c r="F105" s="61">
        <f>SUM(F96:F104)</f>
        <v>49280</v>
      </c>
      <c r="G105" s="118"/>
      <c r="H105" s="61">
        <f>SUM(H96:H104)</f>
        <v>50380</v>
      </c>
      <c r="I105" s="139"/>
      <c r="J105" s="231"/>
      <c r="K105" s="231"/>
      <c r="L105" s="231"/>
      <c r="M105" s="231"/>
      <c r="N105" s="231"/>
      <c r="O105" s="231"/>
      <c r="P105" s="231"/>
      <c r="Q105" s="231"/>
      <c r="R105" s="231"/>
      <c r="S105" s="231"/>
      <c r="T105" s="231"/>
      <c r="U105" s="231"/>
      <c r="V105" s="231"/>
      <c r="W105" s="231"/>
      <c r="X105" s="231"/>
      <c r="Y105" s="231"/>
      <c r="Z105" s="231"/>
      <c r="AA105" s="231"/>
      <c r="AB105" s="231"/>
      <c r="AC105" s="231"/>
      <c r="AD105" s="231"/>
      <c r="AE105" s="231"/>
      <c r="AF105" s="231"/>
      <c r="AG105" s="231"/>
    </row>
    <row r="106" spans="1:33" s="203" customFormat="1">
      <c r="A106" s="120">
        <v>11</v>
      </c>
      <c r="B106" s="90" t="s">
        <v>115</v>
      </c>
      <c r="C106" s="47"/>
      <c r="D106" s="47"/>
      <c r="E106" s="135">
        <v>0</v>
      </c>
      <c r="F106" s="136"/>
      <c r="G106" s="118"/>
      <c r="H106" s="137"/>
      <c r="I106" s="139"/>
      <c r="J106" s="231"/>
      <c r="K106" s="231"/>
      <c r="L106" s="231"/>
      <c r="M106" s="231"/>
      <c r="N106" s="231"/>
      <c r="O106" s="231"/>
      <c r="P106" s="231"/>
      <c r="Q106" s="231"/>
      <c r="R106" s="231"/>
      <c r="S106" s="231"/>
      <c r="T106" s="231"/>
      <c r="U106" s="231"/>
      <c r="V106" s="231"/>
      <c r="W106" s="231"/>
      <c r="X106" s="231"/>
      <c r="Y106" s="231"/>
      <c r="Z106" s="231"/>
      <c r="AA106" s="231"/>
      <c r="AB106" s="231"/>
      <c r="AC106" s="231"/>
      <c r="AD106" s="231"/>
      <c r="AE106" s="231"/>
      <c r="AF106" s="231"/>
      <c r="AG106" s="231"/>
    </row>
    <row r="107" spans="1:33" s="203" customFormat="1">
      <c r="A107" s="111"/>
      <c r="B107" s="47"/>
      <c r="C107" s="47"/>
      <c r="D107" s="138"/>
      <c r="E107" s="117"/>
      <c r="F107" s="139"/>
      <c r="G107" s="139"/>
      <c r="H107" s="139"/>
      <c r="I107" s="139"/>
      <c r="J107" s="231"/>
      <c r="K107" s="231"/>
      <c r="L107" s="231"/>
      <c r="M107" s="231"/>
      <c r="N107" s="231"/>
      <c r="O107" s="231"/>
      <c r="P107" s="231"/>
      <c r="Q107" s="231"/>
      <c r="R107" s="231"/>
      <c r="S107" s="231"/>
      <c r="T107" s="231"/>
      <c r="U107" s="231"/>
      <c r="V107" s="231"/>
      <c r="W107" s="231"/>
      <c r="X107" s="231"/>
      <c r="Y107" s="231"/>
      <c r="Z107" s="231"/>
      <c r="AA107" s="231"/>
      <c r="AB107" s="231"/>
      <c r="AC107" s="231"/>
      <c r="AD107" s="231"/>
      <c r="AE107" s="231"/>
      <c r="AF107" s="231"/>
      <c r="AG107" s="231"/>
    </row>
    <row r="108" spans="1:33" s="203" customFormat="1">
      <c r="A108" s="119" t="s">
        <v>116</v>
      </c>
      <c r="B108" s="47"/>
      <c r="C108" s="47"/>
      <c r="D108" s="47"/>
      <c r="E108" s="117"/>
      <c r="F108" s="139"/>
      <c r="G108" s="139"/>
      <c r="H108" s="139"/>
      <c r="I108" s="139"/>
      <c r="J108" s="231"/>
      <c r="K108" s="231"/>
      <c r="L108" s="231"/>
      <c r="M108" s="231"/>
      <c r="N108" s="231"/>
      <c r="O108" s="231"/>
      <c r="P108" s="231"/>
      <c r="Q108" s="231"/>
      <c r="R108" s="231"/>
      <c r="S108" s="231"/>
      <c r="T108" s="231"/>
      <c r="U108" s="231"/>
      <c r="V108" s="231"/>
      <c r="W108" s="231"/>
      <c r="X108" s="231"/>
      <c r="Y108" s="231"/>
      <c r="Z108" s="231"/>
      <c r="AA108" s="231"/>
      <c r="AB108" s="231"/>
      <c r="AC108" s="231"/>
      <c r="AD108" s="231"/>
      <c r="AE108" s="231"/>
      <c r="AF108" s="231"/>
      <c r="AG108" s="231"/>
    </row>
    <row r="109" spans="1:33" s="203" customFormat="1">
      <c r="A109" s="119" t="s">
        <v>106</v>
      </c>
      <c r="B109" s="47"/>
      <c r="C109" s="47"/>
      <c r="D109" s="47"/>
      <c r="E109" s="140"/>
      <c r="F109" s="141"/>
      <c r="G109" s="139"/>
      <c r="H109" s="141"/>
      <c r="I109" s="139"/>
      <c r="J109" s="231"/>
      <c r="K109" s="231"/>
      <c r="L109" s="231"/>
      <c r="M109" s="231"/>
      <c r="N109" s="231"/>
      <c r="O109" s="231"/>
      <c r="P109" s="231"/>
      <c r="Q109" s="231"/>
      <c r="R109" s="231"/>
      <c r="S109" s="231"/>
      <c r="T109" s="231"/>
      <c r="U109" s="231"/>
      <c r="V109" s="231"/>
      <c r="W109" s="231"/>
      <c r="X109" s="231"/>
      <c r="Y109" s="231"/>
      <c r="Z109" s="231"/>
      <c r="AA109" s="231"/>
      <c r="AB109" s="231"/>
      <c r="AC109" s="231"/>
      <c r="AD109" s="231"/>
      <c r="AE109" s="231"/>
      <c r="AF109" s="231"/>
      <c r="AG109" s="231"/>
    </row>
    <row r="110" spans="1:33" s="203" customFormat="1">
      <c r="A110" s="120">
        <v>12</v>
      </c>
      <c r="B110" s="47" t="s">
        <v>117</v>
      </c>
      <c r="C110" s="47"/>
      <c r="D110" s="47"/>
      <c r="E110" s="49">
        <v>2768</v>
      </c>
      <c r="F110" s="52">
        <v>2601</v>
      </c>
      <c r="G110" s="118"/>
      <c r="H110" s="122">
        <v>2907</v>
      </c>
      <c r="I110" s="139"/>
      <c r="J110" s="231"/>
      <c r="K110" s="231"/>
      <c r="L110" s="231"/>
      <c r="M110" s="231"/>
      <c r="N110" s="231"/>
      <c r="O110" s="231"/>
      <c r="P110" s="231"/>
      <c r="Q110" s="231"/>
      <c r="R110" s="231"/>
      <c r="S110" s="231"/>
      <c r="T110" s="231"/>
      <c r="U110" s="231"/>
      <c r="V110" s="231"/>
      <c r="W110" s="231"/>
      <c r="X110" s="231"/>
      <c r="Y110" s="231"/>
      <c r="Z110" s="231"/>
      <c r="AA110" s="231"/>
      <c r="AB110" s="231"/>
      <c r="AC110" s="231"/>
      <c r="AD110" s="231"/>
      <c r="AE110" s="231"/>
      <c r="AF110" s="231"/>
      <c r="AG110" s="231"/>
    </row>
    <row r="111" spans="1:33" s="203" customFormat="1">
      <c r="A111" s="120">
        <v>13</v>
      </c>
      <c r="B111" s="47" t="s">
        <v>118</v>
      </c>
      <c r="C111" s="47"/>
      <c r="D111" s="47"/>
      <c r="E111" s="49">
        <v>2268</v>
      </c>
      <c r="F111" s="52">
        <v>2061</v>
      </c>
      <c r="G111" s="118"/>
      <c r="H111" s="122">
        <v>2287</v>
      </c>
      <c r="I111" s="139"/>
      <c r="J111" s="231"/>
      <c r="K111" s="231"/>
      <c r="L111" s="231"/>
      <c r="M111" s="231"/>
      <c r="N111" s="231"/>
      <c r="O111" s="231"/>
      <c r="P111" s="231"/>
      <c r="Q111" s="231"/>
      <c r="R111" s="231"/>
      <c r="S111" s="231"/>
      <c r="T111" s="231"/>
      <c r="U111" s="231"/>
      <c r="V111" s="231"/>
      <c r="W111" s="231"/>
      <c r="X111" s="231"/>
      <c r="Y111" s="231"/>
      <c r="Z111" s="231"/>
      <c r="AA111" s="231"/>
      <c r="AB111" s="231"/>
      <c r="AC111" s="231"/>
      <c r="AD111" s="231"/>
      <c r="AE111" s="231"/>
      <c r="AF111" s="231"/>
      <c r="AG111" s="231"/>
    </row>
    <row r="112" spans="1:33" s="203" customFormat="1">
      <c r="A112" s="120">
        <v>14</v>
      </c>
      <c r="B112" s="47" t="s">
        <v>119</v>
      </c>
      <c r="C112" s="47"/>
      <c r="D112" s="47"/>
      <c r="E112" s="49">
        <v>1946</v>
      </c>
      <c r="F112" s="52">
        <v>1821</v>
      </c>
      <c r="G112" s="118"/>
      <c r="H112" s="122">
        <v>1934</v>
      </c>
      <c r="I112" s="139"/>
      <c r="J112" s="231"/>
      <c r="K112" s="231"/>
      <c r="L112" s="231"/>
      <c r="M112" s="231"/>
      <c r="N112" s="231"/>
      <c r="O112" s="231"/>
      <c r="P112" s="231"/>
      <c r="Q112" s="231"/>
      <c r="R112" s="231"/>
      <c r="S112" s="231"/>
      <c r="T112" s="231"/>
      <c r="U112" s="231"/>
      <c r="V112" s="231"/>
      <c r="W112" s="231"/>
      <c r="X112" s="231"/>
      <c r="Y112" s="231"/>
      <c r="Z112" s="231"/>
      <c r="AA112" s="231"/>
      <c r="AB112" s="231"/>
      <c r="AC112" s="231"/>
      <c r="AD112" s="231"/>
      <c r="AE112" s="231"/>
      <c r="AF112" s="231"/>
      <c r="AG112" s="231"/>
    </row>
    <row r="113" spans="1:33" s="203" customFormat="1">
      <c r="A113" s="120">
        <v>15</v>
      </c>
      <c r="B113" s="47" t="s">
        <v>120</v>
      </c>
      <c r="C113" s="47"/>
      <c r="D113" s="47"/>
      <c r="E113" s="49">
        <v>77</v>
      </c>
      <c r="F113" s="52">
        <v>123</v>
      </c>
      <c r="G113" s="118"/>
      <c r="H113" s="122">
        <v>103</v>
      </c>
      <c r="I113" s="139"/>
      <c r="J113" s="231"/>
      <c r="K113" s="231"/>
      <c r="L113" s="231"/>
      <c r="M113" s="231"/>
      <c r="N113" s="231"/>
      <c r="O113" s="231"/>
      <c r="P113" s="231"/>
      <c r="Q113" s="231"/>
      <c r="R113" s="231"/>
      <c r="S113" s="231"/>
      <c r="T113" s="231"/>
      <c r="U113" s="231"/>
      <c r="V113" s="231"/>
      <c r="W113" s="231"/>
      <c r="X113" s="231"/>
      <c r="Y113" s="231"/>
      <c r="Z113" s="231"/>
      <c r="AA113" s="231"/>
      <c r="AB113" s="231"/>
      <c r="AC113" s="231"/>
      <c r="AD113" s="231"/>
      <c r="AE113" s="231"/>
      <c r="AF113" s="231"/>
      <c r="AG113" s="231"/>
    </row>
    <row r="114" spans="1:33" s="203" customFormat="1">
      <c r="A114" s="120">
        <v>16</v>
      </c>
      <c r="B114" s="47" t="s">
        <v>121</v>
      </c>
      <c r="C114" s="47"/>
      <c r="D114" s="47"/>
      <c r="E114" s="49">
        <v>2668</v>
      </c>
      <c r="F114" s="52">
        <v>2636</v>
      </c>
      <c r="G114" s="118"/>
      <c r="H114" s="100">
        <v>2671</v>
      </c>
      <c r="I114" s="139"/>
      <c r="J114" s="231"/>
      <c r="K114" s="231"/>
      <c r="L114" s="231"/>
      <c r="M114" s="231"/>
      <c r="N114" s="231"/>
      <c r="O114" s="231"/>
      <c r="P114" s="231"/>
      <c r="Q114" s="231"/>
      <c r="R114" s="231"/>
      <c r="S114" s="231"/>
      <c r="T114" s="231"/>
      <c r="U114" s="231"/>
      <c r="V114" s="231"/>
      <c r="W114" s="231"/>
      <c r="X114" s="231"/>
      <c r="Y114" s="231"/>
      <c r="Z114" s="231"/>
      <c r="AA114" s="231"/>
      <c r="AB114" s="231"/>
      <c r="AC114" s="231"/>
      <c r="AD114" s="231"/>
      <c r="AE114" s="231"/>
      <c r="AF114" s="231"/>
      <c r="AG114" s="231"/>
    </row>
    <row r="115" spans="1:33" s="203" customFormat="1">
      <c r="A115" s="120">
        <v>17</v>
      </c>
      <c r="B115" s="116" t="s">
        <v>122</v>
      </c>
      <c r="C115" s="116"/>
      <c r="D115" s="116"/>
      <c r="E115" s="80">
        <v>9727</v>
      </c>
      <c r="F115" s="142">
        <f>SUM(F110:F114)</f>
        <v>9242</v>
      </c>
      <c r="G115" s="118"/>
      <c r="H115" s="142">
        <f>SUM(H110:H114)</f>
        <v>9902</v>
      </c>
      <c r="I115" s="139"/>
      <c r="J115" s="231"/>
      <c r="K115" s="231"/>
      <c r="L115" s="231"/>
      <c r="M115" s="231"/>
      <c r="N115" s="231"/>
      <c r="O115" s="231"/>
      <c r="P115" s="231"/>
      <c r="Q115" s="231"/>
      <c r="R115" s="231"/>
      <c r="S115" s="231"/>
      <c r="T115" s="231"/>
      <c r="U115" s="231"/>
      <c r="V115" s="231"/>
      <c r="W115" s="231"/>
      <c r="X115" s="231"/>
      <c r="Y115" s="231"/>
      <c r="Z115" s="231"/>
      <c r="AA115" s="231"/>
      <c r="AB115" s="231"/>
      <c r="AC115" s="231"/>
      <c r="AD115" s="231"/>
      <c r="AE115" s="231"/>
      <c r="AF115" s="231"/>
      <c r="AG115" s="231"/>
    </row>
    <row r="116" spans="1:33" s="203" customFormat="1">
      <c r="A116" s="111"/>
      <c r="B116" s="116"/>
      <c r="C116" s="116"/>
      <c r="D116" s="116"/>
      <c r="E116" s="143"/>
      <c r="F116" s="118"/>
      <c r="G116" s="118"/>
      <c r="H116" s="118"/>
      <c r="I116" s="139"/>
      <c r="J116" s="231"/>
      <c r="K116" s="231"/>
      <c r="L116" s="231"/>
      <c r="M116" s="231"/>
      <c r="N116" s="231"/>
      <c r="O116" s="231"/>
      <c r="P116" s="231"/>
      <c r="Q116" s="231"/>
      <c r="R116" s="231"/>
      <c r="S116" s="231"/>
      <c r="T116" s="231"/>
      <c r="U116" s="231"/>
      <c r="V116" s="231"/>
      <c r="W116" s="231"/>
      <c r="X116" s="231"/>
      <c r="Y116" s="231"/>
      <c r="Z116" s="231"/>
      <c r="AA116" s="231"/>
      <c r="AB116" s="231"/>
      <c r="AC116" s="231"/>
      <c r="AD116" s="231"/>
      <c r="AE116" s="231"/>
      <c r="AF116" s="231"/>
      <c r="AG116" s="231"/>
    </row>
    <row r="117" spans="1:33" s="203" customFormat="1">
      <c r="A117" s="144" t="s">
        <v>107</v>
      </c>
      <c r="B117" s="116"/>
      <c r="C117" s="116"/>
      <c r="D117" s="116"/>
      <c r="E117" s="145"/>
      <c r="F117" s="146"/>
      <c r="G117" s="118"/>
      <c r="H117" s="146"/>
      <c r="I117" s="139"/>
      <c r="J117" s="231"/>
      <c r="K117" s="231"/>
      <c r="L117" s="231"/>
      <c r="M117" s="231"/>
      <c r="N117" s="231"/>
      <c r="O117" s="231"/>
      <c r="P117" s="231"/>
      <c r="Q117" s="231"/>
      <c r="R117" s="231"/>
      <c r="S117" s="231"/>
      <c r="T117" s="231"/>
      <c r="U117" s="231"/>
      <c r="V117" s="231"/>
      <c r="W117" s="231"/>
      <c r="X117" s="231"/>
      <c r="Y117" s="231"/>
      <c r="Z117" s="231"/>
      <c r="AA117" s="231"/>
      <c r="AB117" s="231"/>
      <c r="AC117" s="231"/>
      <c r="AD117" s="231"/>
      <c r="AE117" s="231"/>
      <c r="AF117" s="231"/>
      <c r="AG117" s="231"/>
    </row>
    <row r="118" spans="1:33" s="203" customFormat="1">
      <c r="A118" s="120">
        <v>18</v>
      </c>
      <c r="B118" s="47" t="s">
        <v>123</v>
      </c>
      <c r="C118" s="47"/>
      <c r="D118" s="47"/>
      <c r="E118" s="49">
        <v>1945</v>
      </c>
      <c r="F118" s="52">
        <v>1898</v>
      </c>
      <c r="G118" s="118"/>
      <c r="H118" s="122">
        <v>1744</v>
      </c>
      <c r="I118" s="139"/>
      <c r="J118" s="231"/>
      <c r="K118" s="231"/>
      <c r="L118" s="231"/>
      <c r="M118" s="231"/>
      <c r="N118" s="231"/>
      <c r="O118" s="231"/>
      <c r="P118" s="231"/>
      <c r="Q118" s="231"/>
      <c r="R118" s="231"/>
      <c r="S118" s="231"/>
      <c r="T118" s="231"/>
      <c r="U118" s="231"/>
      <c r="V118" s="231"/>
      <c r="W118" s="231"/>
      <c r="X118" s="231"/>
      <c r="Y118" s="231"/>
      <c r="Z118" s="231"/>
      <c r="AA118" s="231"/>
      <c r="AB118" s="231"/>
      <c r="AC118" s="231"/>
      <c r="AD118" s="231"/>
      <c r="AE118" s="231"/>
      <c r="AF118" s="231"/>
      <c r="AG118" s="231"/>
    </row>
    <row r="119" spans="1:33" s="203" customFormat="1">
      <c r="A119" s="120">
        <v>19</v>
      </c>
      <c r="B119" s="47" t="s">
        <v>124</v>
      </c>
      <c r="C119" s="47"/>
      <c r="D119" s="47"/>
      <c r="E119" s="49">
        <v>6349</v>
      </c>
      <c r="F119" s="52">
        <v>6867</v>
      </c>
      <c r="G119" s="118"/>
      <c r="H119" s="122">
        <v>6697</v>
      </c>
      <c r="I119" s="139"/>
      <c r="J119" s="231"/>
      <c r="K119" s="231"/>
      <c r="L119" s="231"/>
      <c r="M119" s="231"/>
      <c r="N119" s="231"/>
      <c r="O119" s="231"/>
      <c r="P119" s="231"/>
      <c r="Q119" s="231"/>
      <c r="R119" s="231"/>
      <c r="S119" s="231"/>
      <c r="T119" s="231"/>
      <c r="U119" s="231"/>
      <c r="V119" s="231"/>
      <c r="W119" s="231"/>
      <c r="X119" s="231"/>
      <c r="Y119" s="231"/>
      <c r="Z119" s="231"/>
      <c r="AA119" s="231"/>
      <c r="AB119" s="231"/>
      <c r="AC119" s="231"/>
      <c r="AD119" s="231"/>
      <c r="AE119" s="231"/>
      <c r="AF119" s="231"/>
      <c r="AG119" s="231"/>
    </row>
    <row r="120" spans="1:33" s="203" customFormat="1">
      <c r="A120" s="120">
        <v>20</v>
      </c>
      <c r="B120" s="47" t="s">
        <v>119</v>
      </c>
      <c r="C120" s="47"/>
      <c r="D120" s="47"/>
      <c r="E120" s="49">
        <v>10164</v>
      </c>
      <c r="F120" s="52">
        <v>10065</v>
      </c>
      <c r="G120" s="118"/>
      <c r="H120" s="122">
        <v>10478</v>
      </c>
      <c r="I120" s="139"/>
      <c r="J120" s="231"/>
      <c r="K120" s="231"/>
      <c r="L120" s="231"/>
      <c r="M120" s="231"/>
      <c r="N120" s="231"/>
      <c r="O120" s="231"/>
      <c r="P120" s="231"/>
      <c r="Q120" s="231"/>
      <c r="R120" s="231"/>
      <c r="S120" s="231"/>
      <c r="T120" s="231"/>
      <c r="U120" s="231"/>
      <c r="V120" s="231"/>
      <c r="W120" s="231"/>
      <c r="X120" s="231"/>
      <c r="Y120" s="231"/>
      <c r="Z120" s="231"/>
      <c r="AA120" s="231"/>
      <c r="AB120" s="231"/>
      <c r="AC120" s="231"/>
      <c r="AD120" s="231"/>
      <c r="AE120" s="231"/>
      <c r="AF120" s="231"/>
      <c r="AG120" s="231"/>
    </row>
    <row r="121" spans="1:33" s="203" customFormat="1">
      <c r="A121" s="120">
        <v>21</v>
      </c>
      <c r="B121" s="47" t="s">
        <v>120</v>
      </c>
      <c r="C121" s="47"/>
      <c r="D121" s="47"/>
      <c r="E121" s="49">
        <v>1124</v>
      </c>
      <c r="F121" s="52">
        <v>1087</v>
      </c>
      <c r="G121" s="118"/>
      <c r="H121" s="122">
        <v>1186</v>
      </c>
      <c r="I121" s="139"/>
      <c r="J121" s="231"/>
      <c r="K121" s="231"/>
      <c r="L121" s="231"/>
      <c r="M121" s="231"/>
      <c r="N121" s="231"/>
      <c r="O121" s="231"/>
      <c r="P121" s="231"/>
      <c r="Q121" s="231"/>
      <c r="R121" s="231"/>
      <c r="S121" s="231"/>
      <c r="T121" s="231"/>
      <c r="U121" s="231"/>
      <c r="V121" s="231"/>
      <c r="W121" s="231"/>
      <c r="X121" s="231"/>
      <c r="Y121" s="231"/>
      <c r="Z121" s="231"/>
      <c r="AA121" s="231"/>
      <c r="AB121" s="231"/>
      <c r="AC121" s="231"/>
      <c r="AD121" s="231"/>
      <c r="AE121" s="231"/>
      <c r="AF121" s="231"/>
      <c r="AG121" s="231"/>
    </row>
    <row r="122" spans="1:33" s="203" customFormat="1">
      <c r="A122" s="120">
        <v>22</v>
      </c>
      <c r="B122" s="47" t="s">
        <v>125</v>
      </c>
      <c r="C122" s="47"/>
      <c r="D122" s="47"/>
      <c r="E122" s="49">
        <v>131</v>
      </c>
      <c r="F122" s="52">
        <v>130</v>
      </c>
      <c r="G122" s="118"/>
      <c r="H122" s="122">
        <v>130</v>
      </c>
      <c r="I122" s="139"/>
      <c r="J122" s="231"/>
      <c r="K122" s="231"/>
      <c r="L122" s="231"/>
      <c r="M122" s="231"/>
      <c r="N122" s="231"/>
      <c r="O122" s="231"/>
      <c r="P122" s="231"/>
      <c r="Q122" s="231"/>
      <c r="R122" s="231"/>
      <c r="S122" s="231"/>
      <c r="T122" s="231"/>
      <c r="U122" s="231"/>
      <c r="V122" s="231"/>
      <c r="W122" s="231"/>
      <c r="X122" s="231"/>
      <c r="Y122" s="231"/>
      <c r="Z122" s="231"/>
      <c r="AA122" s="231"/>
      <c r="AB122" s="231"/>
      <c r="AC122" s="231"/>
      <c r="AD122" s="231"/>
      <c r="AE122" s="231"/>
      <c r="AF122" s="231"/>
      <c r="AG122" s="231"/>
    </row>
    <row r="123" spans="1:33" s="203" customFormat="1">
      <c r="A123" s="120">
        <v>23</v>
      </c>
      <c r="B123" s="90" t="s">
        <v>126</v>
      </c>
      <c r="C123" s="47"/>
      <c r="D123" s="47"/>
      <c r="E123" s="49">
        <v>661</v>
      </c>
      <c r="F123" s="52">
        <v>870</v>
      </c>
      <c r="G123" s="118"/>
      <c r="H123" s="99">
        <v>661</v>
      </c>
      <c r="I123" s="139"/>
      <c r="J123" s="231"/>
      <c r="K123" s="231"/>
      <c r="L123" s="231"/>
      <c r="M123" s="231"/>
      <c r="N123" s="231"/>
      <c r="O123" s="231"/>
      <c r="P123" s="231"/>
      <c r="Q123" s="231"/>
      <c r="R123" s="231"/>
      <c r="S123" s="231"/>
      <c r="T123" s="231"/>
      <c r="U123" s="231"/>
      <c r="V123" s="231"/>
      <c r="W123" s="231"/>
      <c r="X123" s="231"/>
      <c r="Y123" s="231"/>
      <c r="Z123" s="231"/>
      <c r="AA123" s="231"/>
      <c r="AB123" s="231"/>
      <c r="AC123" s="231"/>
      <c r="AD123" s="231"/>
      <c r="AE123" s="231"/>
      <c r="AF123" s="231"/>
      <c r="AG123" s="231"/>
    </row>
    <row r="124" spans="1:33" s="203" customFormat="1">
      <c r="A124" s="120">
        <v>24</v>
      </c>
      <c r="B124" s="47" t="s">
        <v>121</v>
      </c>
      <c r="C124" s="47"/>
      <c r="D124" s="47"/>
      <c r="E124" s="49">
        <v>1754</v>
      </c>
      <c r="F124" s="52">
        <v>2172</v>
      </c>
      <c r="G124" s="118"/>
      <c r="H124" s="100">
        <v>1805</v>
      </c>
      <c r="I124" s="139"/>
      <c r="J124" s="231"/>
      <c r="K124" s="231"/>
      <c r="L124" s="231"/>
      <c r="M124" s="231"/>
      <c r="N124" s="231"/>
      <c r="O124" s="231"/>
      <c r="P124" s="231"/>
      <c r="Q124" s="231"/>
      <c r="R124" s="231"/>
      <c r="S124" s="231"/>
      <c r="T124" s="231"/>
      <c r="U124" s="231"/>
      <c r="V124" s="231"/>
      <c r="W124" s="231"/>
      <c r="X124" s="231"/>
      <c r="Y124" s="231"/>
      <c r="Z124" s="231"/>
      <c r="AA124" s="231"/>
      <c r="AB124" s="231"/>
      <c r="AC124" s="231"/>
      <c r="AD124" s="231"/>
      <c r="AE124" s="231"/>
      <c r="AF124" s="231"/>
      <c r="AG124" s="231"/>
    </row>
    <row r="125" spans="1:33" s="203" customFormat="1">
      <c r="A125" s="120">
        <v>25</v>
      </c>
      <c r="B125" s="147" t="s">
        <v>127</v>
      </c>
      <c r="C125" s="147"/>
      <c r="D125" s="147"/>
      <c r="E125" s="80">
        <v>22128</v>
      </c>
      <c r="F125" s="142">
        <f>SUM(F118:F124)</f>
        <v>23089</v>
      </c>
      <c r="G125" s="118"/>
      <c r="H125" s="142">
        <f>SUM(H118:H124)</f>
        <v>22701</v>
      </c>
      <c r="I125" s="139"/>
      <c r="J125" s="231"/>
      <c r="K125" s="231"/>
      <c r="L125" s="231"/>
      <c r="M125" s="231"/>
      <c r="N125" s="231"/>
      <c r="O125" s="231"/>
      <c r="P125" s="231"/>
      <c r="Q125" s="231"/>
      <c r="R125" s="231"/>
      <c r="S125" s="231"/>
      <c r="T125" s="231"/>
      <c r="U125" s="231"/>
      <c r="V125" s="231"/>
      <c r="W125" s="231"/>
      <c r="X125" s="231"/>
      <c r="Y125" s="231"/>
      <c r="Z125" s="231"/>
      <c r="AA125" s="231"/>
      <c r="AB125" s="231"/>
      <c r="AC125" s="231"/>
      <c r="AD125" s="231"/>
      <c r="AE125" s="231"/>
      <c r="AF125" s="231"/>
      <c r="AG125" s="231"/>
    </row>
    <row r="126" spans="1:33" s="203" customFormat="1">
      <c r="A126" s="111"/>
      <c r="B126" s="47"/>
      <c r="C126" s="47"/>
      <c r="D126" s="47"/>
      <c r="E126" s="117"/>
      <c r="F126" s="118"/>
      <c r="G126" s="118"/>
      <c r="H126" s="118"/>
      <c r="I126" s="139"/>
      <c r="J126" s="231"/>
      <c r="K126" s="231"/>
      <c r="L126" s="231"/>
      <c r="M126" s="231"/>
      <c r="N126" s="231"/>
      <c r="O126" s="231"/>
      <c r="P126" s="231"/>
      <c r="Q126" s="231"/>
      <c r="R126" s="231"/>
      <c r="S126" s="231"/>
      <c r="T126" s="231"/>
      <c r="U126" s="231"/>
      <c r="V126" s="231"/>
      <c r="W126" s="231"/>
      <c r="X126" s="231"/>
      <c r="Y126" s="231"/>
      <c r="Z126" s="231"/>
      <c r="AA126" s="231"/>
      <c r="AB126" s="231"/>
      <c r="AC126" s="231"/>
      <c r="AD126" s="231"/>
      <c r="AE126" s="231"/>
      <c r="AF126" s="231"/>
      <c r="AG126" s="231"/>
    </row>
    <row r="127" spans="1:33" s="203" customFormat="1">
      <c r="A127" s="119" t="s">
        <v>108</v>
      </c>
      <c r="B127" s="147"/>
      <c r="C127" s="147"/>
      <c r="D127" s="147"/>
      <c r="E127" s="140"/>
      <c r="F127" s="146"/>
      <c r="G127" s="118"/>
      <c r="H127" s="146"/>
      <c r="I127" s="139"/>
      <c r="J127" s="231"/>
      <c r="K127" s="231"/>
      <c r="L127" s="231"/>
      <c r="M127" s="231"/>
      <c r="N127" s="231"/>
      <c r="O127" s="231"/>
      <c r="P127" s="231"/>
      <c r="Q127" s="231"/>
      <c r="R127" s="231"/>
      <c r="S127" s="231"/>
      <c r="T127" s="231"/>
      <c r="U127" s="231"/>
      <c r="V127" s="231"/>
      <c r="W127" s="231"/>
      <c r="X127" s="231"/>
      <c r="Y127" s="231"/>
      <c r="Z127" s="231"/>
      <c r="AA127" s="231"/>
      <c r="AB127" s="231"/>
      <c r="AC127" s="231"/>
      <c r="AD127" s="231"/>
      <c r="AE127" s="231"/>
      <c r="AF127" s="231"/>
      <c r="AG127" s="231"/>
    </row>
    <row r="128" spans="1:33" s="203" customFormat="1">
      <c r="A128" s="120">
        <v>26</v>
      </c>
      <c r="B128" s="47" t="s">
        <v>123</v>
      </c>
      <c r="C128" s="47"/>
      <c r="D128" s="47"/>
      <c r="E128" s="74">
        <v>1507</v>
      </c>
      <c r="F128" s="52">
        <v>1437</v>
      </c>
      <c r="G128" s="118"/>
      <c r="H128" s="122">
        <v>1421</v>
      </c>
      <c r="I128" s="139"/>
      <c r="J128" s="231"/>
      <c r="K128" s="231"/>
      <c r="L128" s="231"/>
      <c r="M128" s="231"/>
      <c r="N128" s="231"/>
      <c r="O128" s="231"/>
      <c r="P128" s="231"/>
      <c r="Q128" s="231"/>
      <c r="R128" s="231"/>
      <c r="S128" s="231"/>
      <c r="T128" s="231"/>
      <c r="U128" s="231"/>
      <c r="V128" s="231"/>
      <c r="W128" s="231"/>
      <c r="X128" s="231"/>
      <c r="Y128" s="231"/>
      <c r="Z128" s="231"/>
      <c r="AA128" s="231"/>
      <c r="AB128" s="231"/>
      <c r="AC128" s="231"/>
      <c r="AD128" s="231"/>
      <c r="AE128" s="231"/>
      <c r="AF128" s="231"/>
      <c r="AG128" s="231"/>
    </row>
    <row r="129" spans="1:33" s="203" customFormat="1">
      <c r="A129" s="120">
        <v>27</v>
      </c>
      <c r="B129" s="47" t="s">
        <v>124</v>
      </c>
      <c r="C129" s="47"/>
      <c r="D129" s="47"/>
      <c r="E129" s="49">
        <v>0</v>
      </c>
      <c r="F129" s="52">
        <v>0</v>
      </c>
      <c r="G129" s="118"/>
      <c r="H129" s="122">
        <v>0</v>
      </c>
      <c r="I129" s="139"/>
      <c r="J129" s="231"/>
      <c r="K129" s="231"/>
      <c r="L129" s="231"/>
      <c r="M129" s="231"/>
      <c r="N129" s="231"/>
      <c r="O129" s="231"/>
      <c r="P129" s="231"/>
      <c r="Q129" s="231"/>
      <c r="R129" s="231"/>
      <c r="S129" s="231"/>
      <c r="T129" s="231"/>
      <c r="U129" s="231"/>
      <c r="V129" s="231"/>
      <c r="W129" s="231"/>
      <c r="X129" s="231"/>
      <c r="Y129" s="231"/>
      <c r="Z129" s="231"/>
      <c r="AA129" s="231"/>
      <c r="AB129" s="231"/>
      <c r="AC129" s="231"/>
      <c r="AD129" s="231"/>
      <c r="AE129" s="231"/>
      <c r="AF129" s="231"/>
      <c r="AG129" s="231"/>
    </row>
    <row r="130" spans="1:33" s="203" customFormat="1">
      <c r="A130" s="120">
        <v>28</v>
      </c>
      <c r="B130" s="47" t="s">
        <v>119</v>
      </c>
      <c r="C130" s="47"/>
      <c r="D130" s="47"/>
      <c r="E130" s="49">
        <v>1252</v>
      </c>
      <c r="F130" s="52">
        <v>1253</v>
      </c>
      <c r="G130" s="118"/>
      <c r="H130" s="122">
        <v>1252</v>
      </c>
      <c r="I130" s="139"/>
      <c r="J130" s="231"/>
      <c r="K130" s="231"/>
      <c r="L130" s="231"/>
      <c r="M130" s="231"/>
      <c r="N130" s="231"/>
      <c r="O130" s="231"/>
      <c r="P130" s="231"/>
      <c r="Q130" s="231"/>
      <c r="R130" s="231"/>
      <c r="S130" s="231"/>
      <c r="T130" s="231"/>
      <c r="U130" s="231"/>
      <c r="V130" s="231"/>
      <c r="W130" s="231"/>
      <c r="X130" s="231"/>
      <c r="Y130" s="231"/>
      <c r="Z130" s="231"/>
      <c r="AA130" s="231"/>
      <c r="AB130" s="231"/>
      <c r="AC130" s="231"/>
      <c r="AD130" s="231"/>
      <c r="AE130" s="231"/>
      <c r="AF130" s="231"/>
      <c r="AG130" s="231"/>
    </row>
    <row r="131" spans="1:33" s="203" customFormat="1">
      <c r="A131" s="120">
        <v>29</v>
      </c>
      <c r="B131" s="47" t="s">
        <v>120</v>
      </c>
      <c r="C131" s="47"/>
      <c r="D131" s="47"/>
      <c r="E131" s="49">
        <v>0</v>
      </c>
      <c r="F131" s="52">
        <v>0</v>
      </c>
      <c r="G131" s="118"/>
      <c r="H131" s="122">
        <v>0</v>
      </c>
      <c r="I131" s="139"/>
      <c r="J131" s="231"/>
      <c r="K131" s="231"/>
      <c r="L131" s="231"/>
      <c r="M131" s="231"/>
      <c r="N131" s="231"/>
      <c r="O131" s="231"/>
      <c r="P131" s="231"/>
      <c r="Q131" s="231"/>
      <c r="R131" s="231"/>
      <c r="S131" s="231"/>
      <c r="T131" s="231"/>
      <c r="U131" s="231"/>
      <c r="V131" s="231"/>
      <c r="W131" s="231"/>
      <c r="X131" s="231"/>
      <c r="Y131" s="231"/>
      <c r="Z131" s="231"/>
      <c r="AA131" s="231"/>
      <c r="AB131" s="231"/>
      <c r="AC131" s="231"/>
      <c r="AD131" s="231"/>
      <c r="AE131" s="231"/>
      <c r="AF131" s="231"/>
      <c r="AG131" s="231"/>
    </row>
    <row r="132" spans="1:33" s="203" customFormat="1">
      <c r="A132" s="120">
        <v>30</v>
      </c>
      <c r="B132" s="47" t="s">
        <v>125</v>
      </c>
      <c r="C132" s="47"/>
      <c r="D132" s="47"/>
      <c r="E132" s="49">
        <v>415</v>
      </c>
      <c r="F132" s="52">
        <v>416</v>
      </c>
      <c r="G132" s="118"/>
      <c r="H132" s="122">
        <v>467</v>
      </c>
      <c r="I132" s="139"/>
      <c r="J132" s="231"/>
      <c r="K132" s="231"/>
      <c r="L132" s="231"/>
      <c r="M132" s="231"/>
      <c r="N132" s="231"/>
      <c r="O132" s="231"/>
      <c r="P132" s="231"/>
      <c r="Q132" s="231"/>
      <c r="R132" s="231"/>
      <c r="S132" s="231"/>
      <c r="T132" s="231"/>
      <c r="U132" s="231"/>
      <c r="V132" s="231"/>
      <c r="W132" s="231"/>
      <c r="X132" s="231"/>
      <c r="Y132" s="231"/>
      <c r="Z132" s="231"/>
      <c r="AA132" s="231"/>
      <c r="AB132" s="231"/>
      <c r="AC132" s="231"/>
      <c r="AD132" s="231"/>
      <c r="AE132" s="231"/>
      <c r="AF132" s="231"/>
      <c r="AG132" s="231"/>
    </row>
    <row r="133" spans="1:33" s="203" customFormat="1">
      <c r="A133" s="120">
        <v>31</v>
      </c>
      <c r="B133" s="90" t="s">
        <v>126</v>
      </c>
      <c r="C133" s="47"/>
      <c r="D133" s="47"/>
      <c r="E133" s="49">
        <v>1047</v>
      </c>
      <c r="F133" s="52">
        <v>1047</v>
      </c>
      <c r="G133" s="118"/>
      <c r="H133" s="122">
        <v>1047</v>
      </c>
      <c r="I133" s="139"/>
      <c r="J133" s="231"/>
      <c r="K133" s="231"/>
      <c r="L133" s="231"/>
      <c r="M133" s="231"/>
      <c r="N133" s="231"/>
      <c r="O133" s="231"/>
      <c r="P133" s="231"/>
      <c r="Q133" s="231"/>
      <c r="R133" s="231"/>
      <c r="S133" s="231"/>
      <c r="T133" s="231"/>
      <c r="U133" s="231"/>
      <c r="V133" s="231"/>
      <c r="W133" s="231"/>
      <c r="X133" s="231"/>
      <c r="Y133" s="231"/>
      <c r="Z133" s="231"/>
      <c r="AA133" s="231"/>
      <c r="AB133" s="231"/>
      <c r="AC133" s="231"/>
      <c r="AD133" s="231"/>
      <c r="AE133" s="231"/>
      <c r="AF133" s="231"/>
      <c r="AG133" s="231"/>
    </row>
    <row r="134" spans="1:33" s="203" customFormat="1">
      <c r="A134" s="120">
        <v>32</v>
      </c>
      <c r="B134" s="47" t="s">
        <v>121</v>
      </c>
      <c r="C134" s="47"/>
      <c r="D134" s="47"/>
      <c r="E134" s="49">
        <v>689</v>
      </c>
      <c r="F134" s="52">
        <v>653</v>
      </c>
      <c r="G134" s="118"/>
      <c r="H134" s="100">
        <v>657</v>
      </c>
      <c r="I134" s="139"/>
      <c r="J134" s="231"/>
      <c r="K134" s="231"/>
      <c r="L134" s="231"/>
      <c r="M134" s="231"/>
      <c r="N134" s="231"/>
      <c r="O134" s="231"/>
      <c r="P134" s="231"/>
      <c r="Q134" s="231"/>
      <c r="R134" s="231"/>
      <c r="S134" s="231"/>
      <c r="T134" s="231"/>
      <c r="U134" s="231"/>
      <c r="V134" s="231"/>
      <c r="W134" s="231"/>
      <c r="X134" s="231"/>
      <c r="Y134" s="231"/>
      <c r="Z134" s="231"/>
      <c r="AA134" s="231"/>
      <c r="AB134" s="231"/>
      <c r="AC134" s="231"/>
      <c r="AD134" s="231"/>
      <c r="AE134" s="231"/>
      <c r="AF134" s="231"/>
      <c r="AG134" s="231"/>
    </row>
    <row r="135" spans="1:33" s="203" customFormat="1">
      <c r="A135" s="120">
        <v>33</v>
      </c>
      <c r="B135" s="116" t="s">
        <v>128</v>
      </c>
      <c r="C135" s="116"/>
      <c r="D135" s="116"/>
      <c r="E135" s="80">
        <v>4910</v>
      </c>
      <c r="F135" s="142">
        <f>SUM(F128:F134)</f>
        <v>4806</v>
      </c>
      <c r="G135" s="118"/>
      <c r="H135" s="142">
        <f>SUM(H128:H134)</f>
        <v>4844</v>
      </c>
      <c r="I135" s="139"/>
      <c r="J135" s="231"/>
      <c r="K135" s="231"/>
      <c r="L135" s="231"/>
      <c r="M135" s="231"/>
      <c r="N135" s="231"/>
      <c r="O135" s="231"/>
      <c r="P135" s="231"/>
      <c r="Q135" s="231"/>
      <c r="R135" s="231"/>
      <c r="S135" s="231"/>
      <c r="T135" s="231"/>
      <c r="U135" s="231"/>
      <c r="V135" s="231"/>
      <c r="W135" s="231"/>
      <c r="X135" s="231"/>
      <c r="Y135" s="231"/>
      <c r="Z135" s="231"/>
      <c r="AA135" s="231"/>
      <c r="AB135" s="231"/>
      <c r="AC135" s="231"/>
      <c r="AD135" s="231"/>
      <c r="AE135" s="231"/>
      <c r="AF135" s="231"/>
      <c r="AG135" s="231"/>
    </row>
    <row r="136" spans="1:33" s="203" customFormat="1">
      <c r="A136" s="111"/>
      <c r="B136" s="47"/>
      <c r="C136" s="47"/>
      <c r="D136" s="138"/>
      <c r="E136" s="117"/>
      <c r="F136" s="118"/>
      <c r="G136" s="118"/>
      <c r="H136" s="118"/>
      <c r="I136" s="139"/>
      <c r="J136" s="231"/>
      <c r="K136" s="231"/>
      <c r="L136" s="231"/>
      <c r="M136" s="231"/>
      <c r="N136" s="231"/>
      <c r="O136" s="231"/>
      <c r="P136" s="231"/>
      <c r="Q136" s="231"/>
      <c r="R136" s="231"/>
      <c r="S136" s="231"/>
      <c r="T136" s="231"/>
      <c r="U136" s="231"/>
      <c r="V136" s="231"/>
      <c r="W136" s="231"/>
      <c r="X136" s="231"/>
      <c r="Y136" s="231"/>
      <c r="Z136" s="231"/>
      <c r="AA136" s="231"/>
      <c r="AB136" s="231"/>
      <c r="AC136" s="231"/>
      <c r="AD136" s="231"/>
      <c r="AE136" s="231"/>
      <c r="AF136" s="231"/>
      <c r="AG136" s="231"/>
    </row>
    <row r="137" spans="1:33" s="203" customFormat="1">
      <c r="A137" s="119" t="s">
        <v>109</v>
      </c>
      <c r="B137" s="116"/>
      <c r="C137" s="116"/>
      <c r="D137" s="116"/>
      <c r="E137" s="140"/>
      <c r="F137" s="146"/>
      <c r="G137" s="118"/>
      <c r="H137" s="146"/>
      <c r="I137" s="139"/>
      <c r="J137" s="231"/>
      <c r="K137" s="231"/>
      <c r="L137" s="231"/>
      <c r="M137" s="231"/>
      <c r="N137" s="231"/>
      <c r="O137" s="231"/>
      <c r="P137" s="231"/>
      <c r="Q137" s="231"/>
      <c r="R137" s="231"/>
      <c r="S137" s="231"/>
      <c r="T137" s="231"/>
      <c r="U137" s="231"/>
      <c r="V137" s="231"/>
      <c r="W137" s="231"/>
      <c r="X137" s="231"/>
      <c r="Y137" s="231"/>
      <c r="Z137" s="231"/>
      <c r="AA137" s="231"/>
      <c r="AB137" s="231"/>
      <c r="AC137" s="231"/>
      <c r="AD137" s="231"/>
      <c r="AE137" s="231"/>
      <c r="AF137" s="231"/>
      <c r="AG137" s="231"/>
    </row>
    <row r="138" spans="1:33" s="203" customFormat="1">
      <c r="A138" s="120">
        <v>34</v>
      </c>
      <c r="B138" s="47" t="s">
        <v>123</v>
      </c>
      <c r="C138" s="47"/>
      <c r="D138" s="47"/>
      <c r="E138" s="49">
        <v>1595</v>
      </c>
      <c r="F138" s="52">
        <v>1492</v>
      </c>
      <c r="G138" s="118"/>
      <c r="H138" s="122">
        <v>1653</v>
      </c>
      <c r="I138" s="139"/>
      <c r="J138" s="231"/>
      <c r="K138" s="231"/>
      <c r="L138" s="231"/>
      <c r="M138" s="231"/>
      <c r="N138" s="231"/>
      <c r="O138" s="231"/>
      <c r="P138" s="231"/>
      <c r="Q138" s="231"/>
      <c r="R138" s="231"/>
      <c r="S138" s="231"/>
      <c r="T138" s="231"/>
      <c r="U138" s="231"/>
      <c r="V138" s="231"/>
      <c r="W138" s="231"/>
      <c r="X138" s="231"/>
      <c r="Y138" s="231"/>
      <c r="Z138" s="231"/>
      <c r="AA138" s="231"/>
      <c r="AB138" s="231"/>
      <c r="AC138" s="231"/>
      <c r="AD138" s="231"/>
      <c r="AE138" s="231"/>
      <c r="AF138" s="231"/>
      <c r="AG138" s="231"/>
    </row>
    <row r="139" spans="1:33" s="203" customFormat="1">
      <c r="A139" s="120">
        <v>35</v>
      </c>
      <c r="B139" s="47" t="s">
        <v>119</v>
      </c>
      <c r="C139" s="47"/>
      <c r="D139" s="47"/>
      <c r="E139" s="49">
        <v>4025</v>
      </c>
      <c r="F139" s="52">
        <v>3941</v>
      </c>
      <c r="G139" s="118"/>
      <c r="H139" s="122">
        <v>4159</v>
      </c>
      <c r="I139" s="139"/>
      <c r="J139" s="231"/>
      <c r="K139" s="231"/>
      <c r="L139" s="231"/>
      <c r="M139" s="231"/>
      <c r="N139" s="231"/>
      <c r="O139" s="231"/>
      <c r="P139" s="231"/>
      <c r="Q139" s="231"/>
      <c r="R139" s="231"/>
      <c r="S139" s="231"/>
      <c r="T139" s="231"/>
      <c r="U139" s="231"/>
      <c r="V139" s="231"/>
      <c r="W139" s="231"/>
      <c r="X139" s="231"/>
      <c r="Y139" s="231"/>
      <c r="Z139" s="231"/>
      <c r="AA139" s="231"/>
      <c r="AB139" s="231"/>
      <c r="AC139" s="231"/>
      <c r="AD139" s="231"/>
      <c r="AE139" s="231"/>
      <c r="AF139" s="231"/>
      <c r="AG139" s="231"/>
    </row>
    <row r="140" spans="1:33" s="203" customFormat="1">
      <c r="A140" s="120">
        <v>36</v>
      </c>
      <c r="B140" s="47" t="s">
        <v>120</v>
      </c>
      <c r="C140" s="47"/>
      <c r="D140" s="47"/>
      <c r="E140" s="49">
        <v>116</v>
      </c>
      <c r="F140" s="52">
        <v>88</v>
      </c>
      <c r="G140" s="118"/>
      <c r="H140" s="122">
        <v>87</v>
      </c>
      <c r="I140" s="139"/>
      <c r="J140" s="231"/>
      <c r="K140" s="231"/>
      <c r="L140" s="231"/>
      <c r="M140" s="231"/>
      <c r="N140" s="231"/>
      <c r="O140" s="231"/>
      <c r="P140" s="231"/>
      <c r="Q140" s="231"/>
      <c r="R140" s="231"/>
      <c r="S140" s="231"/>
      <c r="T140" s="231"/>
      <c r="U140" s="231"/>
      <c r="V140" s="231"/>
      <c r="W140" s="231"/>
      <c r="X140" s="231"/>
      <c r="Y140" s="231"/>
      <c r="Z140" s="231"/>
      <c r="AA140" s="231"/>
      <c r="AB140" s="231"/>
      <c r="AC140" s="231"/>
      <c r="AD140" s="231"/>
      <c r="AE140" s="231"/>
      <c r="AF140" s="231"/>
      <c r="AG140" s="231"/>
    </row>
    <row r="141" spans="1:33" s="203" customFormat="1">
      <c r="A141" s="120">
        <v>37</v>
      </c>
      <c r="B141" s="90" t="s">
        <v>126</v>
      </c>
      <c r="C141" s="47"/>
      <c r="D141" s="47"/>
      <c r="E141" s="49">
        <v>874</v>
      </c>
      <c r="F141" s="52">
        <v>874</v>
      </c>
      <c r="G141" s="118"/>
      <c r="H141" s="99">
        <v>874</v>
      </c>
      <c r="I141" s="139"/>
      <c r="J141" s="231"/>
      <c r="K141" s="231"/>
      <c r="L141" s="231"/>
      <c r="M141" s="231"/>
      <c r="N141" s="231"/>
      <c r="O141" s="231"/>
      <c r="P141" s="231"/>
      <c r="Q141" s="231"/>
      <c r="R141" s="231"/>
      <c r="S141" s="231"/>
      <c r="T141" s="231"/>
      <c r="U141" s="231"/>
      <c r="V141" s="231"/>
      <c r="W141" s="231"/>
      <c r="X141" s="231"/>
      <c r="Y141" s="231"/>
      <c r="Z141" s="231"/>
      <c r="AA141" s="231"/>
      <c r="AB141" s="231"/>
      <c r="AC141" s="231"/>
      <c r="AD141" s="231"/>
      <c r="AE141" s="231"/>
      <c r="AF141" s="231"/>
      <c r="AG141" s="231"/>
    </row>
    <row r="142" spans="1:33" s="203" customFormat="1">
      <c r="A142" s="120">
        <v>38</v>
      </c>
      <c r="B142" s="47" t="s">
        <v>121</v>
      </c>
      <c r="C142" s="47"/>
      <c r="D142" s="47"/>
      <c r="E142" s="49">
        <v>2181</v>
      </c>
      <c r="F142" s="52">
        <v>2261</v>
      </c>
      <c r="G142" s="118"/>
      <c r="H142" s="100">
        <v>2545</v>
      </c>
      <c r="I142" s="139"/>
      <c r="J142" s="231"/>
      <c r="K142" s="231"/>
      <c r="L142" s="231"/>
      <c r="M142" s="231"/>
      <c r="N142" s="231"/>
      <c r="O142" s="231"/>
      <c r="P142" s="231"/>
      <c r="Q142" s="231"/>
      <c r="R142" s="231"/>
      <c r="S142" s="231"/>
      <c r="T142" s="231"/>
      <c r="U142" s="231"/>
      <c r="V142" s="231"/>
      <c r="W142" s="231"/>
      <c r="X142" s="231"/>
      <c r="Y142" s="231"/>
      <c r="Z142" s="231"/>
      <c r="AA142" s="231"/>
      <c r="AB142" s="231"/>
      <c r="AC142" s="231"/>
      <c r="AD142" s="231"/>
      <c r="AE142" s="231"/>
      <c r="AF142" s="231"/>
      <c r="AG142" s="231"/>
    </row>
    <row r="143" spans="1:33" s="203" customFormat="1">
      <c r="A143" s="120">
        <v>39</v>
      </c>
      <c r="B143" s="116" t="s">
        <v>129</v>
      </c>
      <c r="C143" s="116"/>
      <c r="D143" s="116"/>
      <c r="E143" s="80">
        <v>8791</v>
      </c>
      <c r="F143" s="142">
        <f>SUM(F138:F142)</f>
        <v>8656</v>
      </c>
      <c r="G143" s="118"/>
      <c r="H143" s="142">
        <f>SUM(H138:H142)</f>
        <v>9318</v>
      </c>
      <c r="I143" s="139"/>
      <c r="J143" s="231"/>
      <c r="K143" s="231"/>
      <c r="L143" s="231"/>
      <c r="M143" s="231"/>
      <c r="N143" s="231"/>
      <c r="O143" s="231"/>
      <c r="P143" s="231"/>
      <c r="Q143" s="231"/>
      <c r="R143" s="231"/>
      <c r="S143" s="231"/>
      <c r="T143" s="231"/>
      <c r="U143" s="231"/>
      <c r="V143" s="231"/>
      <c r="W143" s="231"/>
      <c r="X143" s="231"/>
      <c r="Y143" s="231"/>
      <c r="Z143" s="231"/>
      <c r="AA143" s="231"/>
      <c r="AB143" s="231"/>
      <c r="AC143" s="231"/>
      <c r="AD143" s="231"/>
      <c r="AE143" s="231"/>
      <c r="AF143" s="231"/>
      <c r="AG143" s="231"/>
    </row>
    <row r="144" spans="1:33" s="203" customFormat="1">
      <c r="A144" s="111"/>
      <c r="B144" s="47"/>
      <c r="C144" s="47"/>
      <c r="D144" s="47"/>
      <c r="E144" s="117"/>
      <c r="F144" s="118"/>
      <c r="G144" s="118"/>
      <c r="H144" s="118"/>
      <c r="I144" s="139"/>
      <c r="J144" s="231"/>
      <c r="K144" s="231"/>
      <c r="L144" s="231"/>
      <c r="M144" s="231"/>
      <c r="N144" s="231"/>
      <c r="O144" s="231"/>
      <c r="P144" s="231"/>
      <c r="Q144" s="231"/>
      <c r="R144" s="231"/>
      <c r="S144" s="231"/>
      <c r="T144" s="231"/>
      <c r="U144" s="231"/>
      <c r="V144" s="231"/>
      <c r="W144" s="231"/>
      <c r="X144" s="231"/>
      <c r="Y144" s="231"/>
      <c r="Z144" s="231"/>
      <c r="AA144" s="231"/>
      <c r="AB144" s="231"/>
      <c r="AC144" s="231"/>
      <c r="AD144" s="231"/>
      <c r="AE144" s="231"/>
      <c r="AF144" s="231"/>
      <c r="AG144" s="231"/>
    </row>
    <row r="145" spans="1:33" s="203" customFormat="1">
      <c r="A145" s="119" t="s">
        <v>110</v>
      </c>
      <c r="B145" s="116"/>
      <c r="C145" s="116"/>
      <c r="D145" s="116"/>
      <c r="E145" s="140"/>
      <c r="F145" s="146"/>
      <c r="G145" s="118"/>
      <c r="H145" s="146"/>
      <c r="I145" s="139"/>
      <c r="J145" s="231"/>
      <c r="K145" s="231"/>
      <c r="L145" s="231"/>
      <c r="M145" s="231"/>
      <c r="N145" s="231"/>
      <c r="O145" s="231"/>
      <c r="P145" s="231"/>
      <c r="Q145" s="231"/>
      <c r="R145" s="231"/>
      <c r="S145" s="231"/>
      <c r="T145" s="231"/>
      <c r="U145" s="231"/>
      <c r="V145" s="231"/>
      <c r="W145" s="231"/>
      <c r="X145" s="231"/>
      <c r="Y145" s="231"/>
      <c r="Z145" s="231"/>
      <c r="AA145" s="231"/>
      <c r="AB145" s="231"/>
      <c r="AC145" s="231"/>
      <c r="AD145" s="231"/>
      <c r="AE145" s="231"/>
      <c r="AF145" s="231"/>
      <c r="AG145" s="231"/>
    </row>
    <row r="146" spans="1:33" s="203" customFormat="1">
      <c r="A146" s="120">
        <v>40</v>
      </c>
      <c r="B146" s="47" t="s">
        <v>123</v>
      </c>
      <c r="C146" s="47"/>
      <c r="D146" s="47"/>
      <c r="E146" s="49">
        <v>543</v>
      </c>
      <c r="F146" s="52">
        <v>573</v>
      </c>
      <c r="G146" s="118"/>
      <c r="H146" s="122">
        <v>665</v>
      </c>
      <c r="I146" s="139"/>
      <c r="J146" s="231"/>
      <c r="K146" s="231"/>
      <c r="L146" s="231"/>
      <c r="M146" s="231"/>
      <c r="N146" s="231"/>
      <c r="O146" s="231"/>
      <c r="P146" s="231"/>
      <c r="Q146" s="231"/>
      <c r="R146" s="231"/>
      <c r="S146" s="231"/>
      <c r="T146" s="231"/>
      <c r="U146" s="231"/>
      <c r="V146" s="231"/>
      <c r="W146" s="231"/>
      <c r="X146" s="231"/>
      <c r="Y146" s="231"/>
      <c r="Z146" s="231"/>
      <c r="AA146" s="231"/>
      <c r="AB146" s="231"/>
      <c r="AC146" s="231"/>
      <c r="AD146" s="231"/>
      <c r="AE146" s="231"/>
      <c r="AF146" s="231"/>
      <c r="AG146" s="231"/>
    </row>
    <row r="147" spans="1:33" s="203" customFormat="1">
      <c r="A147" s="120">
        <v>41</v>
      </c>
      <c r="B147" s="47" t="s">
        <v>119</v>
      </c>
      <c r="C147" s="47"/>
      <c r="D147" s="47"/>
      <c r="E147" s="49">
        <v>411</v>
      </c>
      <c r="F147" s="52">
        <v>411</v>
      </c>
      <c r="G147" s="118"/>
      <c r="H147" s="122">
        <v>411</v>
      </c>
      <c r="I147" s="139"/>
      <c r="J147" s="231"/>
      <c r="K147" s="231"/>
      <c r="L147" s="231"/>
      <c r="M147" s="231"/>
      <c r="N147" s="231"/>
      <c r="O147" s="231"/>
      <c r="P147" s="231"/>
      <c r="Q147" s="231"/>
      <c r="R147" s="231"/>
      <c r="S147" s="231"/>
      <c r="T147" s="231"/>
      <c r="U147" s="231"/>
      <c r="V147" s="231"/>
      <c r="W147" s="231"/>
      <c r="X147" s="231"/>
      <c r="Y147" s="231"/>
      <c r="Z147" s="231"/>
      <c r="AA147" s="231"/>
      <c r="AB147" s="231"/>
      <c r="AC147" s="231"/>
      <c r="AD147" s="231"/>
      <c r="AE147" s="231"/>
      <c r="AF147" s="231"/>
      <c r="AG147" s="231"/>
    </row>
    <row r="148" spans="1:33" s="203" customFormat="1">
      <c r="A148" s="120">
        <v>42</v>
      </c>
      <c r="B148" s="47" t="s">
        <v>120</v>
      </c>
      <c r="C148" s="47"/>
      <c r="D148" s="47"/>
      <c r="E148" s="49">
        <v>0</v>
      </c>
      <c r="F148" s="52">
        <v>0</v>
      </c>
      <c r="G148" s="118"/>
      <c r="H148" s="122">
        <v>0</v>
      </c>
      <c r="I148" s="139"/>
      <c r="J148" s="231"/>
      <c r="K148" s="231"/>
      <c r="L148" s="231"/>
      <c r="M148" s="231"/>
      <c r="N148" s="231"/>
      <c r="O148" s="231"/>
      <c r="P148" s="231"/>
      <c r="Q148" s="231"/>
      <c r="R148" s="231"/>
      <c r="S148" s="231"/>
      <c r="T148" s="231"/>
      <c r="U148" s="231"/>
      <c r="V148" s="231"/>
      <c r="W148" s="231"/>
      <c r="X148" s="231"/>
      <c r="Y148" s="231"/>
      <c r="Z148" s="231"/>
      <c r="AA148" s="231"/>
      <c r="AB148" s="231"/>
      <c r="AC148" s="231"/>
      <c r="AD148" s="231"/>
      <c r="AE148" s="231"/>
      <c r="AF148" s="231"/>
      <c r="AG148" s="231"/>
    </row>
    <row r="149" spans="1:33" s="203" customFormat="1">
      <c r="A149" s="120">
        <v>43</v>
      </c>
      <c r="B149" s="47" t="s">
        <v>121</v>
      </c>
      <c r="C149" s="47"/>
      <c r="D149" s="47"/>
      <c r="E149" s="49">
        <v>657</v>
      </c>
      <c r="F149" s="52">
        <v>646</v>
      </c>
      <c r="G149" s="118"/>
      <c r="H149" s="100">
        <v>670</v>
      </c>
      <c r="I149" s="139"/>
      <c r="J149" s="231"/>
      <c r="K149" s="231"/>
      <c r="L149" s="231"/>
      <c r="M149" s="231"/>
      <c r="N149" s="231"/>
      <c r="O149" s="231"/>
      <c r="P149" s="231"/>
      <c r="Q149" s="231"/>
      <c r="R149" s="231"/>
      <c r="S149" s="231"/>
      <c r="T149" s="231"/>
      <c r="U149" s="231"/>
      <c r="V149" s="231"/>
      <c r="W149" s="231"/>
      <c r="X149" s="231"/>
      <c r="Y149" s="231"/>
      <c r="Z149" s="231"/>
      <c r="AA149" s="231"/>
      <c r="AB149" s="231"/>
      <c r="AC149" s="231"/>
      <c r="AD149" s="231"/>
      <c r="AE149" s="231"/>
      <c r="AF149" s="231"/>
      <c r="AG149" s="231"/>
    </row>
    <row r="150" spans="1:33" s="203" customFormat="1">
      <c r="A150" s="124">
        <v>44</v>
      </c>
      <c r="B150" s="94" t="s">
        <v>130</v>
      </c>
      <c r="C150" s="94"/>
      <c r="D150" s="94"/>
      <c r="E150" s="80">
        <v>1611</v>
      </c>
      <c r="F150" s="142">
        <f>SUM(F146:F149)</f>
        <v>1630</v>
      </c>
      <c r="G150" s="259"/>
      <c r="H150" s="142">
        <f>SUM(H146:H149)</f>
        <v>1746</v>
      </c>
      <c r="I150" s="139"/>
      <c r="J150" s="231"/>
      <c r="K150" s="231"/>
      <c r="L150" s="231"/>
      <c r="M150" s="231"/>
      <c r="N150" s="231"/>
      <c r="O150" s="231"/>
      <c r="P150" s="231"/>
      <c r="Q150" s="231"/>
      <c r="R150" s="231"/>
      <c r="S150" s="231"/>
      <c r="T150" s="231"/>
      <c r="U150" s="231"/>
      <c r="V150" s="231"/>
      <c r="W150" s="231"/>
      <c r="X150" s="231"/>
      <c r="Y150" s="231"/>
      <c r="Z150" s="231"/>
      <c r="AA150" s="231"/>
      <c r="AB150" s="231"/>
      <c r="AC150" s="231"/>
      <c r="AD150" s="231"/>
      <c r="AE150" s="231"/>
      <c r="AF150" s="231"/>
      <c r="AG150" s="231"/>
    </row>
    <row r="151" spans="1:33" s="203" customFormat="1">
      <c r="A151" s="148"/>
      <c r="B151" s="129"/>
      <c r="C151" s="129"/>
      <c r="D151" s="149"/>
      <c r="E151" s="150"/>
      <c r="F151" s="29"/>
      <c r="G151" s="29"/>
      <c r="H151" s="207"/>
      <c r="I151" s="29"/>
      <c r="J151" s="231"/>
      <c r="K151" s="231"/>
      <c r="L151" s="231"/>
      <c r="M151" s="231"/>
      <c r="N151" s="231"/>
      <c r="O151" s="231"/>
      <c r="P151" s="231"/>
      <c r="Q151" s="231"/>
      <c r="R151" s="231"/>
      <c r="S151" s="231"/>
      <c r="T151" s="231"/>
      <c r="U151" s="231"/>
      <c r="V151" s="231"/>
      <c r="W151" s="231"/>
      <c r="X151" s="231"/>
      <c r="Y151" s="231"/>
      <c r="Z151" s="231"/>
      <c r="AA151" s="231"/>
      <c r="AB151" s="231"/>
      <c r="AC151" s="231"/>
      <c r="AD151" s="231"/>
      <c r="AE151" s="231"/>
      <c r="AF151" s="231"/>
      <c r="AG151" s="231"/>
    </row>
    <row r="152" spans="1:33" s="203" customFormat="1">
      <c r="A152" s="148"/>
      <c r="B152" s="129"/>
      <c r="C152" s="129"/>
      <c r="D152" s="151"/>
      <c r="E152" s="152"/>
      <c r="F152" s="29"/>
      <c r="G152" s="29"/>
      <c r="H152" s="131" t="s">
        <v>27</v>
      </c>
      <c r="I152" s="29"/>
      <c r="J152" s="231"/>
      <c r="K152" s="231"/>
      <c r="L152" s="231"/>
      <c r="M152" s="231"/>
      <c r="N152" s="231"/>
      <c r="O152" s="231"/>
      <c r="P152" s="231"/>
      <c r="Q152" s="231"/>
      <c r="R152" s="231"/>
      <c r="S152" s="231"/>
      <c r="T152" s="231"/>
      <c r="U152" s="231"/>
      <c r="V152" s="231"/>
      <c r="W152" s="231"/>
      <c r="X152" s="231"/>
      <c r="Y152" s="231"/>
      <c r="Z152" s="231"/>
      <c r="AA152" s="231"/>
      <c r="AB152" s="231"/>
      <c r="AC152" s="231"/>
      <c r="AD152" s="231"/>
      <c r="AE152" s="231"/>
      <c r="AF152" s="231"/>
      <c r="AG152" s="231"/>
    </row>
    <row r="153" spans="1:33" s="203" customFormat="1">
      <c r="A153" s="106" t="s">
        <v>20</v>
      </c>
      <c r="B153" s="107"/>
      <c r="C153" s="107"/>
      <c r="D153" s="107"/>
      <c r="E153" s="856" t="s">
        <v>377</v>
      </c>
      <c r="F153" s="856" t="s">
        <v>402</v>
      </c>
      <c r="G153" s="130"/>
      <c r="H153" s="856" t="s">
        <v>403</v>
      </c>
      <c r="I153" s="130"/>
      <c r="J153" s="231"/>
      <c r="K153" s="231"/>
      <c r="L153" s="231"/>
      <c r="M153" s="231"/>
      <c r="N153" s="231"/>
      <c r="O153" s="231"/>
      <c r="P153" s="231"/>
      <c r="Q153" s="231"/>
      <c r="R153" s="231"/>
      <c r="S153" s="231"/>
      <c r="T153" s="231"/>
      <c r="U153" s="231"/>
      <c r="V153" s="231"/>
      <c r="W153" s="231"/>
      <c r="X153" s="231"/>
      <c r="Y153" s="231"/>
      <c r="Z153" s="231"/>
      <c r="AA153" s="231"/>
      <c r="AB153" s="231"/>
      <c r="AC153" s="231"/>
      <c r="AD153" s="231"/>
      <c r="AE153" s="231"/>
      <c r="AF153" s="231"/>
      <c r="AG153" s="231"/>
    </row>
    <row r="154" spans="1:33" s="203" customFormat="1">
      <c r="A154" s="153"/>
      <c r="B154" s="132"/>
      <c r="C154" s="132"/>
      <c r="D154" s="132"/>
      <c r="E154" s="859"/>
      <c r="F154" s="859"/>
      <c r="G154" s="130"/>
      <c r="H154" s="859"/>
      <c r="I154" s="130"/>
      <c r="J154" s="231"/>
      <c r="K154" s="231"/>
      <c r="L154" s="231"/>
      <c r="M154" s="231"/>
      <c r="N154" s="231"/>
      <c r="O154" s="231"/>
      <c r="P154" s="231"/>
      <c r="Q154" s="231"/>
      <c r="R154" s="231"/>
      <c r="S154" s="231"/>
      <c r="T154" s="231"/>
      <c r="U154" s="231"/>
      <c r="V154" s="231"/>
      <c r="W154" s="231"/>
      <c r="X154" s="231"/>
      <c r="Y154" s="231"/>
      <c r="Z154" s="231"/>
      <c r="AA154" s="231"/>
      <c r="AB154" s="231"/>
      <c r="AC154" s="231"/>
      <c r="AD154" s="231"/>
      <c r="AE154" s="231"/>
      <c r="AF154" s="231"/>
      <c r="AG154" s="231"/>
    </row>
    <row r="155" spans="1:33" s="203" customFormat="1">
      <c r="A155" s="154" t="s">
        <v>131</v>
      </c>
      <c r="B155" s="116"/>
      <c r="C155" s="116"/>
      <c r="D155" s="116"/>
      <c r="E155" s="859"/>
      <c r="F155" s="859"/>
      <c r="G155" s="130"/>
      <c r="H155" s="859"/>
      <c r="I155" s="130"/>
      <c r="J155" s="231"/>
      <c r="K155" s="231"/>
      <c r="L155" s="231"/>
      <c r="M155" s="231"/>
      <c r="N155" s="231"/>
      <c r="O155" s="231"/>
      <c r="P155" s="231"/>
      <c r="Q155" s="231"/>
      <c r="R155" s="231"/>
      <c r="S155" s="231"/>
      <c r="T155" s="231"/>
      <c r="U155" s="231"/>
      <c r="V155" s="231"/>
      <c r="W155" s="231"/>
      <c r="X155" s="231"/>
      <c r="Y155" s="231"/>
      <c r="Z155" s="231"/>
      <c r="AA155" s="231"/>
      <c r="AB155" s="231"/>
      <c r="AC155" s="231"/>
      <c r="AD155" s="231"/>
      <c r="AE155" s="231"/>
      <c r="AF155" s="231"/>
      <c r="AG155" s="231"/>
    </row>
    <row r="156" spans="1:33" s="203" customFormat="1" ht="12.75" customHeight="1">
      <c r="A156" s="109" t="s">
        <v>83</v>
      </c>
      <c r="B156" s="47"/>
      <c r="C156" s="47"/>
      <c r="D156" s="47"/>
      <c r="E156" s="859"/>
      <c r="F156" s="859"/>
      <c r="G156" s="130"/>
      <c r="H156" s="859"/>
      <c r="I156" s="130"/>
      <c r="J156" s="231"/>
      <c r="K156" s="231"/>
      <c r="L156" s="231"/>
      <c r="M156" s="231"/>
      <c r="N156" s="231"/>
      <c r="O156" s="231"/>
      <c r="P156" s="231"/>
      <c r="Q156" s="231"/>
      <c r="R156" s="231"/>
      <c r="S156" s="231"/>
      <c r="T156" s="231"/>
      <c r="U156" s="231"/>
      <c r="V156" s="231"/>
      <c r="W156" s="231"/>
      <c r="X156" s="231"/>
      <c r="Y156" s="231"/>
      <c r="Z156" s="231"/>
      <c r="AA156" s="231"/>
      <c r="AB156" s="231"/>
      <c r="AC156" s="231"/>
      <c r="AD156" s="231"/>
      <c r="AE156" s="231"/>
      <c r="AF156" s="231"/>
      <c r="AG156" s="231"/>
    </row>
    <row r="157" spans="1:33" s="203" customFormat="1">
      <c r="A157" s="110" t="s">
        <v>84</v>
      </c>
      <c r="B157" s="132"/>
      <c r="C157" s="132"/>
      <c r="D157" s="132"/>
      <c r="E157" s="860"/>
      <c r="F157" s="860"/>
      <c r="G157" s="130"/>
      <c r="H157" s="860"/>
      <c r="I157" s="130"/>
      <c r="J157" s="231"/>
      <c r="K157" s="231"/>
      <c r="L157" s="231"/>
      <c r="M157" s="231"/>
      <c r="N157" s="231"/>
      <c r="O157" s="231"/>
      <c r="P157" s="231"/>
      <c r="Q157" s="231"/>
      <c r="R157" s="231"/>
      <c r="S157" s="231"/>
      <c r="T157" s="231"/>
      <c r="U157" s="231"/>
      <c r="V157" s="231"/>
      <c r="W157" s="231"/>
      <c r="X157" s="231"/>
      <c r="Y157" s="231"/>
      <c r="Z157" s="231"/>
      <c r="AA157" s="231"/>
      <c r="AB157" s="231"/>
      <c r="AC157" s="231"/>
      <c r="AD157" s="231"/>
      <c r="AE157" s="231"/>
      <c r="AF157" s="231"/>
      <c r="AG157" s="231"/>
    </row>
    <row r="158" spans="1:33" s="203" customFormat="1">
      <c r="A158" s="119" t="s">
        <v>132</v>
      </c>
      <c r="B158" s="47"/>
      <c r="C158" s="47"/>
      <c r="D158" s="47"/>
      <c r="E158" s="155"/>
      <c r="F158" s="146" t="s">
        <v>133</v>
      </c>
      <c r="G158" s="118"/>
      <c r="H158" s="146"/>
      <c r="I158" s="29"/>
      <c r="J158" s="231"/>
      <c r="K158" s="231"/>
      <c r="L158" s="231"/>
      <c r="M158" s="231"/>
      <c r="N158" s="231"/>
      <c r="O158" s="231"/>
      <c r="P158" s="231"/>
      <c r="Q158" s="231"/>
      <c r="R158" s="231"/>
      <c r="S158" s="231"/>
      <c r="T158" s="231"/>
      <c r="U158" s="231"/>
      <c r="V158" s="231"/>
      <c r="W158" s="231"/>
      <c r="X158" s="231"/>
      <c r="Y158" s="231"/>
      <c r="Z158" s="231"/>
      <c r="AA158" s="231"/>
      <c r="AB158" s="231"/>
      <c r="AC158" s="231"/>
      <c r="AD158" s="231"/>
      <c r="AE158" s="231"/>
      <c r="AF158" s="231"/>
      <c r="AG158" s="231"/>
    </row>
    <row r="159" spans="1:33" s="203" customFormat="1">
      <c r="A159" s="120">
        <v>1</v>
      </c>
      <c r="B159" s="47" t="s">
        <v>134</v>
      </c>
      <c r="C159" s="47"/>
      <c r="D159" s="47"/>
      <c r="E159" s="74">
        <v>0</v>
      </c>
      <c r="F159" s="52"/>
      <c r="G159" s="118"/>
      <c r="H159" s="122"/>
      <c r="I159" s="29"/>
      <c r="J159" s="231"/>
      <c r="K159" s="231"/>
      <c r="L159" s="231"/>
      <c r="M159" s="231"/>
      <c r="N159" s="231"/>
      <c r="O159" s="231"/>
      <c r="P159" s="231"/>
      <c r="Q159" s="231"/>
      <c r="R159" s="231"/>
      <c r="S159" s="231"/>
      <c r="T159" s="231"/>
      <c r="U159" s="231"/>
      <c r="V159" s="231"/>
      <c r="W159" s="231"/>
      <c r="X159" s="231"/>
      <c r="Y159" s="231"/>
      <c r="Z159" s="231"/>
      <c r="AA159" s="231"/>
      <c r="AB159" s="231"/>
      <c r="AC159" s="231"/>
      <c r="AD159" s="231"/>
      <c r="AE159" s="231"/>
      <c r="AF159" s="231"/>
      <c r="AG159" s="231"/>
    </row>
    <row r="160" spans="1:33" s="203" customFormat="1">
      <c r="A160" s="120">
        <v>2</v>
      </c>
      <c r="B160" s="47" t="s">
        <v>135</v>
      </c>
      <c r="C160" s="47"/>
      <c r="D160" s="47"/>
      <c r="E160" s="49">
        <v>900</v>
      </c>
      <c r="F160" s="52">
        <v>900</v>
      </c>
      <c r="G160" s="118"/>
      <c r="H160" s="122">
        <v>975</v>
      </c>
      <c r="I160" s="29"/>
      <c r="J160" s="231"/>
      <c r="K160" s="231"/>
      <c r="L160" s="231"/>
      <c r="M160" s="231"/>
      <c r="N160" s="231"/>
      <c r="O160" s="231"/>
      <c r="P160" s="231"/>
      <c r="Q160" s="231"/>
      <c r="R160" s="231"/>
      <c r="S160" s="231"/>
      <c r="T160" s="231"/>
      <c r="U160" s="231"/>
      <c r="V160" s="231"/>
      <c r="W160" s="231"/>
      <c r="X160" s="231"/>
      <c r="Y160" s="231"/>
      <c r="Z160" s="231"/>
      <c r="AA160" s="231"/>
      <c r="AB160" s="231"/>
      <c r="AC160" s="231"/>
      <c r="AD160" s="231"/>
      <c r="AE160" s="231"/>
      <c r="AF160" s="231"/>
      <c r="AG160" s="231"/>
    </row>
    <row r="161" spans="1:33" s="203" customFormat="1">
      <c r="A161" s="120">
        <v>3</v>
      </c>
      <c r="B161" s="47" t="s">
        <v>136</v>
      </c>
      <c r="C161" s="47"/>
      <c r="D161" s="47"/>
      <c r="E161" s="114">
        <v>4857</v>
      </c>
      <c r="F161" s="52">
        <v>5302</v>
      </c>
      <c r="G161" s="118"/>
      <c r="H161" s="122">
        <v>4754</v>
      </c>
      <c r="I161" s="29"/>
      <c r="J161" s="231"/>
      <c r="K161" s="231"/>
      <c r="L161" s="231"/>
      <c r="M161" s="231"/>
      <c r="N161" s="231"/>
      <c r="O161" s="231"/>
      <c r="P161" s="231"/>
      <c r="Q161" s="231"/>
      <c r="R161" s="231"/>
      <c r="S161" s="231"/>
      <c r="T161" s="231"/>
      <c r="U161" s="231"/>
      <c r="V161" s="231"/>
      <c r="W161" s="231"/>
      <c r="X161" s="231"/>
      <c r="Y161" s="231"/>
      <c r="Z161" s="231"/>
      <c r="AA161" s="231"/>
      <c r="AB161" s="231"/>
      <c r="AC161" s="231"/>
      <c r="AD161" s="231"/>
      <c r="AE161" s="231"/>
      <c r="AF161" s="231"/>
      <c r="AG161" s="231"/>
    </row>
    <row r="162" spans="1:33" s="203" customFormat="1">
      <c r="A162" s="120">
        <v>4</v>
      </c>
      <c r="B162" s="47" t="s">
        <v>137</v>
      </c>
      <c r="C162" s="47"/>
      <c r="D162" s="47"/>
      <c r="E162" s="114">
        <v>1443</v>
      </c>
      <c r="F162" s="52">
        <v>1378</v>
      </c>
      <c r="G162" s="118"/>
      <c r="H162" s="100">
        <v>1458</v>
      </c>
      <c r="I162" s="29"/>
      <c r="J162" s="231"/>
      <c r="K162" s="231"/>
      <c r="L162" s="231"/>
      <c r="M162" s="231"/>
      <c r="N162" s="231"/>
      <c r="O162" s="231"/>
      <c r="P162" s="231"/>
      <c r="Q162" s="231"/>
      <c r="R162" s="231"/>
      <c r="S162" s="231"/>
      <c r="T162" s="231"/>
      <c r="U162" s="231"/>
      <c r="V162" s="231"/>
      <c r="W162" s="231"/>
      <c r="X162" s="231"/>
      <c r="Y162" s="231"/>
      <c r="Z162" s="231"/>
      <c r="AA162" s="231"/>
      <c r="AB162" s="231"/>
      <c r="AC162" s="231"/>
      <c r="AD162" s="231"/>
      <c r="AE162" s="231"/>
      <c r="AF162" s="231"/>
      <c r="AG162" s="231"/>
    </row>
    <row r="163" spans="1:33" s="203" customFormat="1">
      <c r="A163" s="120">
        <v>5</v>
      </c>
      <c r="B163" s="116" t="s">
        <v>138</v>
      </c>
      <c r="C163" s="116"/>
      <c r="D163" s="116"/>
      <c r="E163" s="80">
        <v>7200</v>
      </c>
      <c r="F163" s="142">
        <f>SUM(F159:F162)</f>
        <v>7580</v>
      </c>
      <c r="G163" s="118"/>
      <c r="H163" s="142">
        <f>SUM(H159:H162)</f>
        <v>7187</v>
      </c>
      <c r="I163" s="29"/>
      <c r="J163" s="231"/>
      <c r="K163" s="231"/>
      <c r="L163" s="231"/>
      <c r="M163" s="231"/>
      <c r="N163" s="231"/>
      <c r="O163" s="231"/>
      <c r="P163" s="231"/>
      <c r="Q163" s="231"/>
      <c r="R163" s="231"/>
      <c r="S163" s="231"/>
      <c r="T163" s="231"/>
      <c r="U163" s="231"/>
      <c r="V163" s="231"/>
      <c r="W163" s="231"/>
      <c r="X163" s="231"/>
      <c r="Y163" s="231"/>
      <c r="Z163" s="231"/>
      <c r="AA163" s="231"/>
      <c r="AB163" s="231"/>
      <c r="AC163" s="231"/>
      <c r="AD163" s="231"/>
      <c r="AE163" s="231"/>
      <c r="AF163" s="231"/>
      <c r="AG163" s="231"/>
    </row>
    <row r="164" spans="1:33" s="203" customFormat="1">
      <c r="A164" s="46"/>
      <c r="B164" s="132"/>
      <c r="C164" s="132"/>
      <c r="D164" s="132"/>
      <c r="E164" s="156"/>
      <c r="F164" s="139"/>
      <c r="G164" s="139"/>
      <c r="H164" s="139"/>
      <c r="I164" s="29"/>
      <c r="J164" s="231"/>
      <c r="K164" s="231"/>
      <c r="L164" s="231"/>
      <c r="M164" s="231"/>
      <c r="N164" s="231"/>
      <c r="O164" s="231"/>
      <c r="P164" s="231"/>
      <c r="Q164" s="231"/>
      <c r="R164" s="231"/>
      <c r="S164" s="231"/>
      <c r="T164" s="231"/>
      <c r="U164" s="231"/>
      <c r="V164" s="231"/>
      <c r="W164" s="231"/>
      <c r="X164" s="231"/>
      <c r="Y164" s="231"/>
      <c r="Z164" s="231"/>
      <c r="AA164" s="231"/>
      <c r="AB164" s="231"/>
      <c r="AC164" s="231"/>
      <c r="AD164" s="231"/>
      <c r="AE164" s="231"/>
      <c r="AF164" s="231"/>
      <c r="AG164" s="231"/>
    </row>
    <row r="165" spans="1:33" s="203" customFormat="1">
      <c r="A165" s="119" t="s">
        <v>139</v>
      </c>
      <c r="B165" s="47"/>
      <c r="C165" s="47"/>
      <c r="D165" s="47"/>
      <c r="E165" s="140"/>
      <c r="F165" s="146"/>
      <c r="G165" s="118"/>
      <c r="H165" s="146"/>
      <c r="I165" s="29"/>
      <c r="J165" s="231"/>
      <c r="K165" s="231"/>
      <c r="L165" s="231"/>
      <c r="M165" s="231"/>
      <c r="N165" s="231"/>
      <c r="O165" s="231"/>
      <c r="P165" s="231"/>
      <c r="Q165" s="231"/>
      <c r="R165" s="231"/>
      <c r="S165" s="231"/>
      <c r="T165" s="231"/>
      <c r="U165" s="231"/>
      <c r="V165" s="231"/>
      <c r="W165" s="231"/>
      <c r="X165" s="231"/>
      <c r="Y165" s="231"/>
      <c r="Z165" s="231"/>
      <c r="AA165" s="231"/>
      <c r="AB165" s="231"/>
      <c r="AC165" s="231"/>
      <c r="AD165" s="231"/>
      <c r="AE165" s="231"/>
      <c r="AF165" s="231"/>
      <c r="AG165" s="231"/>
    </row>
    <row r="166" spans="1:33" s="203" customFormat="1">
      <c r="A166" s="120">
        <v>6</v>
      </c>
      <c r="B166" s="47" t="s">
        <v>140</v>
      </c>
      <c r="C166" s="47"/>
      <c r="D166" s="47"/>
      <c r="E166" s="74">
        <v>292</v>
      </c>
      <c r="F166" s="52">
        <v>250</v>
      </c>
      <c r="G166" s="118"/>
      <c r="H166" s="122">
        <v>322</v>
      </c>
      <c r="I166" s="29"/>
      <c r="J166" s="231"/>
      <c r="K166" s="231"/>
      <c r="L166" s="231"/>
      <c r="M166" s="231"/>
      <c r="N166" s="231"/>
      <c r="O166" s="231"/>
      <c r="P166" s="231"/>
      <c r="Q166" s="231"/>
      <c r="R166" s="231"/>
      <c r="S166" s="231"/>
      <c r="T166" s="231"/>
      <c r="U166" s="231"/>
      <c r="V166" s="231"/>
      <c r="W166" s="231"/>
      <c r="X166" s="231"/>
      <c r="Y166" s="231"/>
      <c r="Z166" s="231"/>
      <c r="AA166" s="231"/>
      <c r="AB166" s="231"/>
      <c r="AC166" s="231"/>
      <c r="AD166" s="231"/>
      <c r="AE166" s="231"/>
      <c r="AF166" s="231"/>
      <c r="AG166" s="231"/>
    </row>
    <row r="167" spans="1:33" s="203" customFormat="1">
      <c r="A167" s="120">
        <v>7</v>
      </c>
      <c r="B167" s="47" t="s">
        <v>141</v>
      </c>
      <c r="C167" s="47"/>
      <c r="D167" s="47"/>
      <c r="E167" s="49">
        <v>236</v>
      </c>
      <c r="F167" s="52">
        <v>226</v>
      </c>
      <c r="G167" s="118"/>
      <c r="H167" s="122">
        <v>270</v>
      </c>
      <c r="I167" s="29"/>
      <c r="J167" s="231"/>
      <c r="K167" s="231"/>
      <c r="L167" s="231"/>
      <c r="M167" s="231"/>
      <c r="N167" s="231"/>
      <c r="O167" s="231"/>
      <c r="P167" s="231"/>
      <c r="Q167" s="231"/>
      <c r="R167" s="231"/>
      <c r="S167" s="231"/>
      <c r="T167" s="231"/>
      <c r="U167" s="231"/>
      <c r="V167" s="231"/>
      <c r="W167" s="231"/>
      <c r="X167" s="231"/>
      <c r="Y167" s="231"/>
      <c r="Z167" s="231"/>
      <c r="AA167" s="231"/>
      <c r="AB167" s="231"/>
      <c r="AC167" s="231"/>
      <c r="AD167" s="231"/>
      <c r="AE167" s="231"/>
      <c r="AF167" s="231"/>
      <c r="AG167" s="231"/>
    </row>
    <row r="168" spans="1:33" s="203" customFormat="1">
      <c r="A168" s="120">
        <v>8</v>
      </c>
      <c r="B168" s="47" t="s">
        <v>121</v>
      </c>
      <c r="C168" s="47"/>
      <c r="D168" s="47"/>
      <c r="E168" s="49">
        <v>0</v>
      </c>
      <c r="F168" s="52">
        <v>0</v>
      </c>
      <c r="G168" s="118"/>
      <c r="H168" s="100">
        <v>0</v>
      </c>
      <c r="I168" s="29"/>
      <c r="J168" s="231"/>
      <c r="K168" s="231"/>
      <c r="L168" s="231"/>
      <c r="M168" s="231"/>
      <c r="N168" s="231"/>
      <c r="O168" s="231"/>
      <c r="P168" s="231"/>
      <c r="Q168" s="231"/>
      <c r="R168" s="231"/>
      <c r="S168" s="231"/>
      <c r="T168" s="231"/>
      <c r="U168" s="231"/>
      <c r="V168" s="231"/>
      <c r="W168" s="231"/>
      <c r="X168" s="231"/>
      <c r="Y168" s="231"/>
      <c r="Z168" s="231"/>
      <c r="AA168" s="231"/>
      <c r="AB168" s="231"/>
      <c r="AC168" s="231"/>
      <c r="AD168" s="231"/>
      <c r="AE168" s="231"/>
      <c r="AF168" s="231"/>
      <c r="AG168" s="231"/>
    </row>
    <row r="169" spans="1:33" s="203" customFormat="1">
      <c r="A169" s="120">
        <v>9</v>
      </c>
      <c r="B169" s="116" t="s">
        <v>142</v>
      </c>
      <c r="C169" s="116"/>
      <c r="D169" s="116"/>
      <c r="E169" s="80">
        <v>528</v>
      </c>
      <c r="F169" s="142">
        <f>SUM(F166:F168)</f>
        <v>476</v>
      </c>
      <c r="G169" s="118"/>
      <c r="H169" s="142">
        <f>SUM(H166:H168)</f>
        <v>592</v>
      </c>
      <c r="I169" s="29"/>
      <c r="J169" s="231"/>
      <c r="K169" s="231"/>
      <c r="L169" s="231"/>
      <c r="M169" s="231"/>
      <c r="N169" s="231"/>
      <c r="O169" s="231"/>
      <c r="P169" s="231"/>
      <c r="Q169" s="231"/>
      <c r="R169" s="231"/>
      <c r="S169" s="231"/>
      <c r="T169" s="231"/>
      <c r="U169" s="231"/>
      <c r="V169" s="231"/>
      <c r="W169" s="231"/>
      <c r="X169" s="231"/>
      <c r="Y169" s="231"/>
      <c r="Z169" s="231"/>
      <c r="AA169" s="231"/>
      <c r="AB169" s="231"/>
      <c r="AC169" s="231"/>
      <c r="AD169" s="231"/>
      <c r="AE169" s="231"/>
      <c r="AF169" s="231"/>
      <c r="AG169" s="231"/>
    </row>
    <row r="170" spans="1:33" s="203" customFormat="1">
      <c r="A170" s="46"/>
      <c r="B170" s="132"/>
      <c r="C170" s="132"/>
      <c r="D170" s="132"/>
      <c r="E170" s="156"/>
      <c r="F170" s="139"/>
      <c r="G170" s="139"/>
      <c r="H170" s="139"/>
      <c r="I170" s="29"/>
      <c r="J170" s="231"/>
      <c r="K170" s="231"/>
      <c r="L170" s="231"/>
      <c r="M170" s="231"/>
      <c r="N170" s="231"/>
      <c r="O170" s="231"/>
      <c r="P170" s="231"/>
      <c r="Q170" s="231"/>
      <c r="R170" s="231"/>
      <c r="S170" s="231"/>
      <c r="T170" s="231"/>
      <c r="U170" s="231"/>
      <c r="V170" s="231"/>
      <c r="W170" s="231"/>
      <c r="X170" s="231"/>
      <c r="Y170" s="231"/>
      <c r="Z170" s="231"/>
      <c r="AA170" s="231"/>
      <c r="AB170" s="231"/>
      <c r="AC170" s="231"/>
      <c r="AD170" s="231"/>
      <c r="AE170" s="231"/>
      <c r="AF170" s="231"/>
      <c r="AG170" s="231"/>
    </row>
    <row r="171" spans="1:33" s="203" customFormat="1">
      <c r="A171" s="120">
        <v>10</v>
      </c>
      <c r="B171" s="47" t="s">
        <v>143</v>
      </c>
      <c r="C171" s="47"/>
      <c r="D171" s="47"/>
      <c r="E171" s="41">
        <v>165</v>
      </c>
      <c r="F171" s="121">
        <v>180</v>
      </c>
      <c r="G171" s="118"/>
      <c r="H171" s="133">
        <v>179</v>
      </c>
      <c r="I171" s="29"/>
      <c r="J171" s="231"/>
      <c r="K171" s="231"/>
      <c r="L171" s="231"/>
      <c r="M171" s="231"/>
      <c r="N171" s="231"/>
      <c r="O171" s="231"/>
      <c r="P171" s="231"/>
      <c r="Q171" s="231"/>
      <c r="R171" s="231"/>
      <c r="S171" s="231"/>
      <c r="T171" s="231"/>
      <c r="U171" s="231"/>
      <c r="V171" s="231"/>
      <c r="W171" s="231"/>
      <c r="X171" s="231"/>
      <c r="Y171" s="231"/>
      <c r="Z171" s="231"/>
      <c r="AA171" s="231"/>
      <c r="AB171" s="231"/>
      <c r="AC171" s="231"/>
      <c r="AD171" s="231"/>
      <c r="AE171" s="231"/>
      <c r="AF171" s="231"/>
      <c r="AG171" s="231"/>
    </row>
    <row r="172" spans="1:33" s="203" customFormat="1">
      <c r="A172" s="120">
        <v>11</v>
      </c>
      <c r="B172" s="47" t="s">
        <v>144</v>
      </c>
      <c r="C172" s="47"/>
      <c r="D172" s="47"/>
      <c r="E172" s="56">
        <v>0</v>
      </c>
      <c r="F172" s="126">
        <v>0</v>
      </c>
      <c r="G172" s="118"/>
      <c r="H172" s="100">
        <v>0</v>
      </c>
      <c r="I172" s="29"/>
      <c r="J172" s="231"/>
      <c r="K172" s="231"/>
      <c r="L172" s="231"/>
      <c r="M172" s="231"/>
      <c r="N172" s="231"/>
      <c r="O172" s="231"/>
      <c r="P172" s="231"/>
      <c r="Q172" s="231"/>
      <c r="R172" s="231"/>
      <c r="S172" s="231"/>
      <c r="T172" s="231"/>
      <c r="U172" s="231"/>
      <c r="V172" s="231"/>
      <c r="W172" s="231"/>
      <c r="X172" s="231"/>
      <c r="Y172" s="231"/>
      <c r="Z172" s="231"/>
      <c r="AA172" s="231"/>
      <c r="AB172" s="231"/>
      <c r="AC172" s="231"/>
      <c r="AD172" s="231"/>
      <c r="AE172" s="231"/>
      <c r="AF172" s="231"/>
      <c r="AG172" s="231"/>
    </row>
    <row r="173" spans="1:33" s="203" customFormat="1">
      <c r="A173" s="46"/>
      <c r="B173" s="132"/>
      <c r="C173" s="132"/>
      <c r="D173" s="132"/>
      <c r="E173" s="156"/>
      <c r="F173" s="139"/>
      <c r="G173" s="139"/>
      <c r="H173" s="139"/>
      <c r="I173" s="29"/>
      <c r="J173" s="231"/>
      <c r="K173" s="231"/>
      <c r="L173" s="231"/>
      <c r="M173" s="231"/>
      <c r="N173" s="231"/>
      <c r="O173" s="231"/>
      <c r="P173" s="231"/>
      <c r="Q173" s="231"/>
      <c r="R173" s="231"/>
      <c r="S173" s="231"/>
      <c r="T173" s="231"/>
      <c r="U173" s="231"/>
      <c r="V173" s="231"/>
      <c r="W173" s="231"/>
      <c r="X173" s="231"/>
      <c r="Y173" s="231"/>
      <c r="Z173" s="231"/>
      <c r="AA173" s="231"/>
      <c r="AB173" s="231"/>
      <c r="AC173" s="231"/>
      <c r="AD173" s="231"/>
      <c r="AE173" s="231"/>
      <c r="AF173" s="231"/>
      <c r="AG173" s="231"/>
    </row>
    <row r="174" spans="1:33" s="203" customFormat="1">
      <c r="A174" s="119" t="s">
        <v>145</v>
      </c>
      <c r="B174" s="47"/>
      <c r="C174" s="47"/>
      <c r="D174" s="47"/>
      <c r="E174" s="157"/>
      <c r="F174" s="146"/>
      <c r="G174" s="118"/>
      <c r="H174" s="146"/>
      <c r="I174" s="29"/>
      <c r="J174" s="231"/>
      <c r="K174" s="231"/>
      <c r="L174" s="231"/>
      <c r="M174" s="231"/>
      <c r="N174" s="231"/>
      <c r="O174" s="231"/>
      <c r="P174" s="231"/>
      <c r="Q174" s="231"/>
      <c r="R174" s="231"/>
      <c r="S174" s="231"/>
      <c r="T174" s="231"/>
      <c r="U174" s="231"/>
      <c r="V174" s="231"/>
      <c r="W174" s="231"/>
      <c r="X174" s="231"/>
      <c r="Y174" s="231"/>
      <c r="Z174" s="231"/>
      <c r="AA174" s="231"/>
      <c r="AB174" s="231"/>
      <c r="AC174" s="231"/>
      <c r="AD174" s="231"/>
      <c r="AE174" s="231"/>
      <c r="AF174" s="231"/>
      <c r="AG174" s="231"/>
    </row>
    <row r="175" spans="1:33" s="203" customFormat="1">
      <c r="A175" s="120">
        <v>12</v>
      </c>
      <c r="B175" s="47" t="s">
        <v>146</v>
      </c>
      <c r="C175" s="47"/>
      <c r="D175" s="47"/>
      <c r="E175" s="74">
        <v>173</v>
      </c>
      <c r="F175" s="52">
        <v>171</v>
      </c>
      <c r="G175" s="118"/>
      <c r="H175" s="122">
        <v>182</v>
      </c>
      <c r="I175" s="29"/>
      <c r="J175" s="231"/>
      <c r="K175" s="231"/>
      <c r="L175" s="231"/>
      <c r="M175" s="231"/>
      <c r="N175" s="231"/>
      <c r="O175" s="231"/>
      <c r="P175" s="231"/>
      <c r="Q175" s="231"/>
      <c r="R175" s="231"/>
      <c r="S175" s="231"/>
      <c r="T175" s="231"/>
      <c r="U175" s="231"/>
      <c r="V175" s="231"/>
      <c r="W175" s="231"/>
      <c r="X175" s="231"/>
      <c r="Y175" s="231"/>
      <c r="Z175" s="231"/>
      <c r="AA175" s="231"/>
      <c r="AB175" s="231"/>
      <c r="AC175" s="231"/>
      <c r="AD175" s="231"/>
      <c r="AE175" s="231"/>
      <c r="AF175" s="231"/>
      <c r="AG175" s="231"/>
    </row>
    <row r="176" spans="1:33" s="203" customFormat="1">
      <c r="A176" s="120">
        <v>13</v>
      </c>
      <c r="B176" s="47" t="s">
        <v>147</v>
      </c>
      <c r="C176" s="47"/>
      <c r="D176" s="47"/>
      <c r="E176" s="49">
        <v>1360</v>
      </c>
      <c r="F176" s="52">
        <v>1393</v>
      </c>
      <c r="G176" s="118"/>
      <c r="H176" s="122">
        <v>1384</v>
      </c>
      <c r="I176" s="29"/>
      <c r="J176" s="231"/>
      <c r="K176" s="231"/>
      <c r="L176" s="231"/>
      <c r="M176" s="231"/>
      <c r="N176" s="231"/>
      <c r="O176" s="231"/>
      <c r="P176" s="231"/>
      <c r="Q176" s="231"/>
      <c r="R176" s="231"/>
      <c r="S176" s="231"/>
      <c r="T176" s="231"/>
      <c r="U176" s="231"/>
      <c r="V176" s="231"/>
      <c r="W176" s="231"/>
      <c r="X176" s="231"/>
      <c r="Y176" s="231"/>
      <c r="Z176" s="231"/>
      <c r="AA176" s="231"/>
      <c r="AB176" s="231"/>
      <c r="AC176" s="231"/>
      <c r="AD176" s="231"/>
      <c r="AE176" s="231"/>
      <c r="AF176" s="231"/>
      <c r="AG176" s="231"/>
    </row>
    <row r="177" spans="1:33" s="203" customFormat="1">
      <c r="A177" s="120">
        <v>14</v>
      </c>
      <c r="B177" s="47" t="s">
        <v>148</v>
      </c>
      <c r="C177" s="47"/>
      <c r="D177" s="47"/>
      <c r="E177" s="56">
        <v>215</v>
      </c>
      <c r="F177" s="52">
        <v>181</v>
      </c>
      <c r="G177" s="118"/>
      <c r="H177" s="100">
        <v>172</v>
      </c>
      <c r="I177" s="29"/>
      <c r="J177" s="231"/>
      <c r="K177" s="231"/>
      <c r="L177" s="231"/>
      <c r="M177" s="231"/>
      <c r="N177" s="231"/>
      <c r="O177" s="231"/>
      <c r="P177" s="231"/>
      <c r="Q177" s="231"/>
      <c r="R177" s="231"/>
      <c r="S177" s="231"/>
      <c r="T177" s="231"/>
      <c r="U177" s="231"/>
      <c r="V177" s="231"/>
      <c r="W177" s="231"/>
      <c r="X177" s="231"/>
      <c r="Y177" s="231"/>
      <c r="Z177" s="231"/>
      <c r="AA177" s="231"/>
      <c r="AB177" s="231"/>
      <c r="AC177" s="231"/>
      <c r="AD177" s="231"/>
      <c r="AE177" s="231"/>
      <c r="AF177" s="231"/>
      <c r="AG177" s="231"/>
    </row>
    <row r="178" spans="1:33" s="203" customFormat="1">
      <c r="A178" s="120">
        <v>15</v>
      </c>
      <c r="B178" s="116" t="s">
        <v>149</v>
      </c>
      <c r="C178" s="116"/>
      <c r="D178" s="116"/>
      <c r="E178" s="80">
        <v>1748</v>
      </c>
      <c r="F178" s="142">
        <f>SUM(F175:F177)</f>
        <v>1745</v>
      </c>
      <c r="G178" s="118"/>
      <c r="H178" s="142">
        <f>SUM(H175:H177)</f>
        <v>1738</v>
      </c>
      <c r="I178" s="29"/>
      <c r="J178" s="231"/>
      <c r="K178" s="231"/>
      <c r="L178" s="231"/>
      <c r="M178" s="231"/>
      <c r="N178" s="231"/>
      <c r="O178" s="231"/>
      <c r="P178" s="231"/>
      <c r="Q178" s="231"/>
      <c r="R178" s="231"/>
      <c r="S178" s="231"/>
      <c r="T178" s="231"/>
      <c r="U178" s="231"/>
      <c r="V178" s="231"/>
      <c r="W178" s="231"/>
      <c r="X178" s="231"/>
      <c r="Y178" s="231"/>
      <c r="Z178" s="231"/>
      <c r="AA178" s="231"/>
      <c r="AB178" s="231"/>
      <c r="AC178" s="231"/>
      <c r="AD178" s="231"/>
      <c r="AE178" s="231"/>
      <c r="AF178" s="231"/>
      <c r="AG178" s="231"/>
    </row>
    <row r="179" spans="1:33" s="203" customFormat="1">
      <c r="A179" s="120">
        <v>16</v>
      </c>
      <c r="B179" s="116" t="s">
        <v>150</v>
      </c>
      <c r="C179" s="116"/>
      <c r="D179" s="116"/>
      <c r="E179" s="80">
        <v>1748</v>
      </c>
      <c r="F179" s="158">
        <f>F172+F178</f>
        <v>1745</v>
      </c>
      <c r="G179" s="118"/>
      <c r="H179" s="158">
        <f>H172+H178</f>
        <v>1738</v>
      </c>
      <c r="I179" s="29"/>
      <c r="J179" s="231"/>
      <c r="K179" s="231"/>
      <c r="L179" s="231"/>
      <c r="M179" s="231"/>
      <c r="N179" s="231"/>
      <c r="O179" s="231"/>
      <c r="P179" s="231"/>
      <c r="Q179" s="231"/>
      <c r="R179" s="231"/>
      <c r="S179" s="231"/>
      <c r="T179" s="231"/>
      <c r="U179" s="231"/>
      <c r="V179" s="231"/>
      <c r="W179" s="231"/>
      <c r="X179" s="231"/>
      <c r="Y179" s="231"/>
      <c r="Z179" s="231"/>
      <c r="AA179" s="231"/>
      <c r="AB179" s="231"/>
      <c r="AC179" s="231"/>
      <c r="AD179" s="231"/>
      <c r="AE179" s="231"/>
      <c r="AF179" s="231"/>
      <c r="AG179" s="231"/>
    </row>
    <row r="180" spans="1:33" s="203" customFormat="1">
      <c r="A180" s="120">
        <v>17</v>
      </c>
      <c r="B180" s="116" t="s">
        <v>151</v>
      </c>
      <c r="C180" s="116"/>
      <c r="D180" s="116"/>
      <c r="E180" s="159">
        <v>9641</v>
      </c>
      <c r="F180" s="61">
        <f>SUM(F163+F169+F171+F179)</f>
        <v>9981</v>
      </c>
      <c r="G180" s="118"/>
      <c r="H180" s="61">
        <f>SUM(H163+H169+H171+H179)</f>
        <v>9696</v>
      </c>
      <c r="I180" s="29"/>
      <c r="J180" s="231"/>
      <c r="K180" s="231"/>
      <c r="L180" s="231"/>
      <c r="M180" s="231"/>
      <c r="N180" s="231"/>
      <c r="O180" s="231"/>
      <c r="P180" s="231"/>
      <c r="Q180" s="231"/>
      <c r="R180" s="231"/>
      <c r="S180" s="231"/>
      <c r="T180" s="231"/>
      <c r="U180" s="231"/>
      <c r="V180" s="231"/>
      <c r="W180" s="231"/>
      <c r="X180" s="231"/>
      <c r="Y180" s="231"/>
      <c r="Z180" s="231"/>
      <c r="AA180" s="231"/>
      <c r="AB180" s="231"/>
      <c r="AC180" s="231"/>
      <c r="AD180" s="231"/>
      <c r="AE180" s="231"/>
      <c r="AF180" s="231"/>
      <c r="AG180" s="231"/>
    </row>
    <row r="181" spans="1:33" s="203" customFormat="1">
      <c r="A181" s="46"/>
      <c r="B181" s="132"/>
      <c r="C181" s="132"/>
      <c r="D181" s="132"/>
      <c r="E181" s="156"/>
      <c r="F181" s="139"/>
      <c r="G181" s="139"/>
      <c r="H181" s="139"/>
      <c r="I181" s="29"/>
      <c r="J181" s="231"/>
      <c r="K181" s="231"/>
      <c r="L181" s="231"/>
      <c r="M181" s="231"/>
      <c r="N181" s="231"/>
      <c r="O181" s="231"/>
      <c r="P181" s="231"/>
      <c r="Q181" s="231"/>
      <c r="R181" s="231"/>
      <c r="S181" s="231"/>
      <c r="T181" s="231"/>
      <c r="U181" s="231"/>
      <c r="V181" s="231"/>
      <c r="W181" s="231"/>
      <c r="X181" s="231"/>
      <c r="Y181" s="231"/>
      <c r="Z181" s="231"/>
      <c r="AA181" s="231"/>
      <c r="AB181" s="231"/>
      <c r="AC181" s="231"/>
      <c r="AD181" s="231"/>
      <c r="AE181" s="231"/>
      <c r="AF181" s="231"/>
      <c r="AG181" s="231"/>
    </row>
    <row r="182" spans="1:33" s="203" customFormat="1">
      <c r="A182" s="119" t="s">
        <v>152</v>
      </c>
      <c r="B182" s="47"/>
      <c r="C182" s="47"/>
      <c r="D182" s="116"/>
      <c r="E182" s="117"/>
      <c r="F182" s="118"/>
      <c r="G182" s="118"/>
      <c r="H182" s="118"/>
      <c r="I182" s="29"/>
      <c r="J182" s="231"/>
      <c r="K182" s="231"/>
      <c r="L182" s="231"/>
      <c r="M182" s="231"/>
      <c r="N182" s="231"/>
      <c r="O182" s="231"/>
      <c r="P182" s="231"/>
      <c r="Q182" s="231"/>
      <c r="R182" s="231"/>
      <c r="S182" s="231"/>
      <c r="T182" s="231"/>
      <c r="U182" s="231"/>
      <c r="V182" s="231"/>
      <c r="W182" s="231"/>
      <c r="X182" s="231"/>
      <c r="Y182" s="231"/>
      <c r="Z182" s="231"/>
      <c r="AA182" s="231"/>
      <c r="AB182" s="231"/>
      <c r="AC182" s="231"/>
      <c r="AD182" s="231"/>
      <c r="AE182" s="231"/>
      <c r="AF182" s="231"/>
      <c r="AG182" s="231"/>
    </row>
    <row r="183" spans="1:33" s="203" customFormat="1">
      <c r="A183" s="120">
        <v>18</v>
      </c>
      <c r="B183" s="47" t="s">
        <v>153</v>
      </c>
      <c r="C183" s="47"/>
      <c r="D183" s="47"/>
      <c r="E183" s="41">
        <v>524</v>
      </c>
      <c r="F183" s="121">
        <v>510</v>
      </c>
      <c r="G183" s="118"/>
      <c r="H183" s="133">
        <v>550</v>
      </c>
      <c r="I183" s="29"/>
      <c r="J183" s="231"/>
      <c r="K183" s="231"/>
      <c r="L183" s="231"/>
      <c r="M183" s="231"/>
      <c r="N183" s="231"/>
      <c r="O183" s="231"/>
      <c r="P183" s="231"/>
      <c r="Q183" s="231"/>
      <c r="R183" s="231"/>
      <c r="S183" s="231"/>
      <c r="T183" s="231"/>
      <c r="U183" s="231"/>
      <c r="V183" s="231"/>
      <c r="W183" s="231"/>
      <c r="X183" s="231"/>
      <c r="Y183" s="231"/>
      <c r="Z183" s="231"/>
      <c r="AA183" s="231"/>
      <c r="AB183" s="231"/>
      <c r="AC183" s="231"/>
      <c r="AD183" s="231"/>
      <c r="AE183" s="231"/>
      <c r="AF183" s="231"/>
      <c r="AG183" s="231"/>
    </row>
    <row r="184" spans="1:33" s="203" customFormat="1">
      <c r="A184" s="120">
        <v>19</v>
      </c>
      <c r="B184" s="47" t="s">
        <v>154</v>
      </c>
      <c r="C184" s="47"/>
      <c r="D184" s="47"/>
      <c r="E184" s="49">
        <v>175</v>
      </c>
      <c r="F184" s="52">
        <v>141</v>
      </c>
      <c r="G184" s="118"/>
      <c r="H184" s="122">
        <v>132</v>
      </c>
      <c r="I184" s="29"/>
      <c r="J184" s="231"/>
      <c r="K184" s="231"/>
      <c r="L184" s="231"/>
      <c r="M184" s="231"/>
      <c r="N184" s="231"/>
      <c r="O184" s="231"/>
      <c r="P184" s="231"/>
      <c r="Q184" s="231"/>
      <c r="R184" s="231"/>
      <c r="S184" s="231"/>
      <c r="T184" s="231"/>
      <c r="U184" s="231"/>
      <c r="V184" s="231"/>
      <c r="W184" s="231"/>
      <c r="X184" s="231"/>
      <c r="Y184" s="231"/>
      <c r="Z184" s="231"/>
      <c r="AA184" s="231"/>
      <c r="AB184" s="231"/>
      <c r="AC184" s="231"/>
      <c r="AD184" s="231"/>
      <c r="AE184" s="231"/>
      <c r="AF184" s="231"/>
      <c r="AG184" s="231"/>
    </row>
    <row r="185" spans="1:33" s="203" customFormat="1">
      <c r="A185" s="120">
        <v>20</v>
      </c>
      <c r="B185" s="47" t="s">
        <v>155</v>
      </c>
      <c r="C185" s="47"/>
      <c r="D185" s="47"/>
      <c r="E185" s="49">
        <v>0</v>
      </c>
      <c r="F185" s="52">
        <v>0</v>
      </c>
      <c r="G185" s="118"/>
      <c r="H185" s="122">
        <v>0</v>
      </c>
      <c r="I185" s="29"/>
      <c r="J185" s="231"/>
      <c r="K185" s="231"/>
      <c r="L185" s="231"/>
      <c r="M185" s="231"/>
      <c r="N185" s="231"/>
      <c r="O185" s="231"/>
      <c r="P185" s="231"/>
      <c r="Q185" s="231"/>
      <c r="R185" s="231"/>
      <c r="S185" s="231"/>
      <c r="T185" s="231"/>
      <c r="U185" s="231"/>
      <c r="V185" s="231"/>
      <c r="W185" s="231"/>
      <c r="X185" s="231"/>
      <c r="Y185" s="231"/>
      <c r="Z185" s="231"/>
      <c r="AA185" s="231"/>
      <c r="AB185" s="231"/>
      <c r="AC185" s="231"/>
      <c r="AD185" s="231"/>
      <c r="AE185" s="231"/>
      <c r="AF185" s="231"/>
      <c r="AG185" s="231"/>
    </row>
    <row r="186" spans="1:33" s="203" customFormat="1">
      <c r="A186" s="120">
        <v>21</v>
      </c>
      <c r="B186" s="47" t="s">
        <v>156</v>
      </c>
      <c r="C186" s="47"/>
      <c r="D186" s="47"/>
      <c r="E186" s="49">
        <v>15</v>
      </c>
      <c r="F186" s="52">
        <v>15</v>
      </c>
      <c r="G186" s="118"/>
      <c r="H186" s="122">
        <v>14</v>
      </c>
      <c r="I186" s="29"/>
      <c r="J186" s="231"/>
      <c r="K186" s="231"/>
      <c r="L186" s="231"/>
      <c r="M186" s="231"/>
      <c r="N186" s="231"/>
      <c r="O186" s="231"/>
      <c r="P186" s="231"/>
      <c r="Q186" s="231"/>
      <c r="R186" s="231"/>
      <c r="S186" s="231"/>
      <c r="T186" s="231"/>
      <c r="U186" s="231"/>
      <c r="V186" s="231"/>
      <c r="W186" s="231"/>
      <c r="X186" s="231"/>
      <c r="Y186" s="231"/>
      <c r="Z186" s="231"/>
      <c r="AA186" s="231"/>
      <c r="AB186" s="231"/>
      <c r="AC186" s="231"/>
      <c r="AD186" s="231"/>
      <c r="AE186" s="231"/>
      <c r="AF186" s="231"/>
      <c r="AG186" s="231"/>
    </row>
    <row r="187" spans="1:33" s="203" customFormat="1">
      <c r="A187" s="120">
        <v>22</v>
      </c>
      <c r="B187" s="47" t="s">
        <v>157</v>
      </c>
      <c r="C187" s="47"/>
      <c r="D187" s="47"/>
      <c r="E187" s="49">
        <v>469</v>
      </c>
      <c r="F187" s="52">
        <v>559</v>
      </c>
      <c r="G187" s="118"/>
      <c r="H187" s="122">
        <v>500</v>
      </c>
      <c r="I187" s="29"/>
      <c r="J187" s="231"/>
      <c r="K187" s="231"/>
      <c r="L187" s="231"/>
      <c r="M187" s="231"/>
      <c r="N187" s="231"/>
      <c r="O187" s="231"/>
      <c r="P187" s="231"/>
      <c r="Q187" s="231"/>
      <c r="R187" s="231"/>
      <c r="S187" s="231"/>
      <c r="T187" s="231"/>
      <c r="U187" s="231"/>
      <c r="V187" s="231"/>
      <c r="W187" s="231"/>
      <c r="X187" s="231"/>
      <c r="Y187" s="231"/>
      <c r="Z187" s="231"/>
      <c r="AA187" s="231"/>
      <c r="AB187" s="231"/>
      <c r="AC187" s="231"/>
      <c r="AD187" s="231"/>
      <c r="AE187" s="231"/>
      <c r="AF187" s="231"/>
      <c r="AG187" s="231"/>
    </row>
    <row r="188" spans="1:33" s="203" customFormat="1">
      <c r="A188" s="120">
        <v>23</v>
      </c>
      <c r="B188" s="47" t="s">
        <v>158</v>
      </c>
      <c r="C188" s="47"/>
      <c r="D188" s="47"/>
      <c r="E188" s="49">
        <v>0</v>
      </c>
      <c r="F188" s="52">
        <v>0</v>
      </c>
      <c r="G188" s="118"/>
      <c r="H188" s="122">
        <v>0</v>
      </c>
      <c r="I188" s="29"/>
      <c r="J188" s="231"/>
      <c r="K188" s="231"/>
      <c r="L188" s="231"/>
      <c r="M188" s="231"/>
      <c r="N188" s="231"/>
      <c r="O188" s="231"/>
      <c r="P188" s="231"/>
      <c r="Q188" s="231"/>
      <c r="R188" s="231"/>
      <c r="S188" s="231"/>
      <c r="T188" s="231"/>
      <c r="U188" s="231"/>
      <c r="V188" s="231"/>
      <c r="W188" s="231"/>
      <c r="X188" s="231"/>
      <c r="Y188" s="231"/>
      <c r="Z188" s="231"/>
      <c r="AA188" s="231"/>
      <c r="AB188" s="231"/>
      <c r="AC188" s="231"/>
      <c r="AD188" s="231"/>
      <c r="AE188" s="231"/>
      <c r="AF188" s="231"/>
      <c r="AG188" s="231"/>
    </row>
    <row r="189" spans="1:33" s="203" customFormat="1">
      <c r="A189" s="120">
        <v>24</v>
      </c>
      <c r="B189" s="47" t="s">
        <v>159</v>
      </c>
      <c r="C189" s="47"/>
      <c r="D189" s="47"/>
      <c r="E189" s="49">
        <v>0</v>
      </c>
      <c r="F189" s="52">
        <v>0</v>
      </c>
      <c r="G189" s="118"/>
      <c r="H189" s="122">
        <v>0</v>
      </c>
      <c r="I189" s="29"/>
      <c r="J189" s="231"/>
      <c r="K189" s="231"/>
      <c r="L189" s="231"/>
      <c r="M189" s="231"/>
      <c r="N189" s="231"/>
      <c r="O189" s="231"/>
      <c r="P189" s="231"/>
      <c r="Q189" s="231"/>
      <c r="R189" s="231"/>
      <c r="S189" s="231"/>
      <c r="T189" s="231"/>
      <c r="U189" s="231"/>
      <c r="V189" s="231"/>
      <c r="W189" s="231"/>
      <c r="X189" s="231"/>
      <c r="Y189" s="231"/>
      <c r="Z189" s="231"/>
      <c r="AA189" s="231"/>
      <c r="AB189" s="231"/>
      <c r="AC189" s="231"/>
      <c r="AD189" s="231"/>
      <c r="AE189" s="231"/>
      <c r="AF189" s="231"/>
      <c r="AG189" s="231"/>
    </row>
    <row r="190" spans="1:33" s="203" customFormat="1">
      <c r="A190" s="124">
        <v>25</v>
      </c>
      <c r="B190" s="54" t="s">
        <v>160</v>
      </c>
      <c r="C190" s="54"/>
      <c r="D190" s="54"/>
      <c r="E190" s="56">
        <v>349</v>
      </c>
      <c r="F190" s="126">
        <v>307</v>
      </c>
      <c r="G190" s="118"/>
      <c r="H190" s="100">
        <v>315</v>
      </c>
      <c r="I190" s="24"/>
      <c r="J190" s="231"/>
      <c r="K190" s="231"/>
      <c r="L190" s="231"/>
      <c r="M190" s="231"/>
      <c r="N190" s="231"/>
      <c r="O190" s="231"/>
      <c r="P190" s="231"/>
      <c r="Q190" s="231"/>
      <c r="R190" s="231"/>
      <c r="S190" s="231"/>
      <c r="T190" s="231"/>
      <c r="U190" s="231"/>
      <c r="V190" s="231"/>
      <c r="W190" s="231"/>
      <c r="X190" s="231"/>
      <c r="Y190" s="231"/>
      <c r="Z190" s="231"/>
      <c r="AA190" s="231"/>
      <c r="AB190" s="231"/>
      <c r="AC190" s="231"/>
      <c r="AD190" s="231"/>
      <c r="AE190" s="231"/>
      <c r="AF190" s="231"/>
      <c r="AG190" s="231"/>
    </row>
    <row r="191" spans="1:33" s="203" customFormat="1">
      <c r="A191" s="161"/>
      <c r="B191" s="129"/>
      <c r="C191" s="129"/>
      <c r="D191" s="149"/>
      <c r="E191" s="162"/>
      <c r="F191" s="29"/>
      <c r="G191" s="29"/>
      <c r="H191" s="207"/>
      <c r="I191" s="29"/>
      <c r="J191" s="231"/>
      <c r="K191" s="231"/>
      <c r="L191" s="231"/>
      <c r="M191" s="231"/>
      <c r="N191" s="231"/>
      <c r="O191" s="231"/>
      <c r="P191" s="231"/>
      <c r="Q191" s="231"/>
      <c r="R191" s="231"/>
      <c r="S191" s="231"/>
      <c r="T191" s="231"/>
      <c r="U191" s="231"/>
      <c r="V191" s="231"/>
      <c r="W191" s="231"/>
      <c r="X191" s="231"/>
      <c r="Y191" s="231"/>
      <c r="Z191" s="231"/>
      <c r="AA191" s="231"/>
      <c r="AB191" s="231"/>
      <c r="AC191" s="231"/>
      <c r="AD191" s="231"/>
      <c r="AE191" s="231"/>
      <c r="AF191" s="231"/>
      <c r="AG191" s="231"/>
    </row>
    <row r="192" spans="1:33" s="203" customFormat="1">
      <c r="A192" s="161"/>
      <c r="B192" s="129"/>
      <c r="C192" s="129"/>
      <c r="D192" s="151"/>
      <c r="E192" s="163"/>
      <c r="F192" s="29"/>
      <c r="G192" s="29"/>
      <c r="H192" s="131" t="s">
        <v>27</v>
      </c>
      <c r="I192" s="29"/>
      <c r="J192" s="231"/>
      <c r="K192" s="231"/>
      <c r="L192" s="231"/>
      <c r="M192" s="231"/>
      <c r="N192" s="231"/>
      <c r="O192" s="231"/>
      <c r="P192" s="231"/>
      <c r="Q192" s="231"/>
      <c r="R192" s="231"/>
      <c r="S192" s="231"/>
      <c r="T192" s="231"/>
      <c r="U192" s="231"/>
      <c r="V192" s="231"/>
      <c r="W192" s="231"/>
      <c r="X192" s="231"/>
      <c r="Y192" s="231"/>
      <c r="Z192" s="231"/>
      <c r="AA192" s="231"/>
      <c r="AB192" s="231"/>
      <c r="AC192" s="231"/>
      <c r="AD192" s="231"/>
      <c r="AE192" s="231"/>
      <c r="AF192" s="231"/>
      <c r="AG192" s="231"/>
    </row>
    <row r="193" spans="1:33" s="203" customFormat="1" ht="12.75" customHeight="1">
      <c r="A193" s="106" t="s">
        <v>23</v>
      </c>
      <c r="B193" s="164"/>
      <c r="C193" s="164"/>
      <c r="D193" s="164"/>
      <c r="E193" s="856" t="s">
        <v>377</v>
      </c>
      <c r="F193" s="856" t="s">
        <v>402</v>
      </c>
      <c r="G193" s="130"/>
      <c r="H193" s="856" t="s">
        <v>403</v>
      </c>
      <c r="I193" s="130"/>
      <c r="J193" s="231"/>
      <c r="K193" s="231"/>
      <c r="L193" s="231"/>
      <c r="M193" s="231"/>
      <c r="N193" s="231"/>
      <c r="O193" s="231"/>
      <c r="P193" s="231"/>
      <c r="Q193" s="231"/>
      <c r="R193" s="231"/>
      <c r="S193" s="231"/>
      <c r="T193" s="231"/>
      <c r="U193" s="231"/>
      <c r="V193" s="231"/>
      <c r="W193" s="231"/>
      <c r="X193" s="231"/>
      <c r="Y193" s="231"/>
      <c r="Z193" s="231"/>
      <c r="AA193" s="231"/>
      <c r="AB193" s="231"/>
      <c r="AC193" s="231"/>
      <c r="AD193" s="231"/>
      <c r="AE193" s="231"/>
      <c r="AF193" s="231"/>
      <c r="AG193" s="231"/>
    </row>
    <row r="194" spans="1:33" s="203" customFormat="1" ht="23.25" customHeight="1">
      <c r="A194" s="165"/>
      <c r="B194" s="132"/>
      <c r="C194" s="132"/>
      <c r="D194" s="132"/>
      <c r="E194" s="859"/>
      <c r="F194" s="859"/>
      <c r="G194" s="130"/>
      <c r="H194" s="859"/>
      <c r="I194" s="130"/>
      <c r="J194" s="231"/>
      <c r="K194" s="231"/>
      <c r="L194" s="231"/>
      <c r="M194" s="231"/>
      <c r="N194" s="231"/>
      <c r="O194" s="231"/>
      <c r="P194" s="231"/>
      <c r="Q194" s="231"/>
      <c r="R194" s="231"/>
      <c r="S194" s="231"/>
      <c r="T194" s="231"/>
      <c r="U194" s="231"/>
      <c r="V194" s="231"/>
      <c r="W194" s="231"/>
      <c r="X194" s="231"/>
      <c r="Y194" s="231"/>
      <c r="Z194" s="231"/>
      <c r="AA194" s="231"/>
      <c r="AB194" s="231"/>
      <c r="AC194" s="231"/>
      <c r="AD194" s="231"/>
      <c r="AE194" s="231"/>
      <c r="AF194" s="231"/>
      <c r="AG194" s="231"/>
    </row>
    <row r="195" spans="1:33" s="203" customFormat="1">
      <c r="A195" s="154" t="s">
        <v>161</v>
      </c>
      <c r="B195" s="116"/>
      <c r="C195" s="116"/>
      <c r="D195" s="116"/>
      <c r="E195" s="859"/>
      <c r="F195" s="859"/>
      <c r="G195" s="130"/>
      <c r="H195" s="859"/>
      <c r="I195" s="130"/>
      <c r="J195" s="231"/>
      <c r="K195" s="231"/>
      <c r="L195" s="231"/>
      <c r="M195" s="231"/>
      <c r="N195" s="231"/>
      <c r="O195" s="231"/>
      <c r="P195" s="231"/>
      <c r="Q195" s="231"/>
      <c r="R195" s="231"/>
      <c r="S195" s="231"/>
      <c r="T195" s="231"/>
      <c r="U195" s="231"/>
      <c r="V195" s="231"/>
      <c r="W195" s="231"/>
      <c r="X195" s="231"/>
      <c r="Y195" s="231"/>
      <c r="Z195" s="231"/>
      <c r="AA195" s="231"/>
      <c r="AB195" s="231"/>
      <c r="AC195" s="231"/>
      <c r="AD195" s="231"/>
      <c r="AE195" s="231"/>
      <c r="AF195" s="231"/>
      <c r="AG195" s="231"/>
    </row>
    <row r="196" spans="1:33" s="203" customFormat="1">
      <c r="A196" s="109" t="s">
        <v>83</v>
      </c>
      <c r="B196" s="47"/>
      <c r="C196" s="47"/>
      <c r="D196" s="47"/>
      <c r="E196" s="859"/>
      <c r="F196" s="859"/>
      <c r="G196" s="130"/>
      <c r="H196" s="859"/>
      <c r="I196" s="130"/>
      <c r="J196" s="231"/>
      <c r="K196" s="231"/>
      <c r="L196" s="231"/>
      <c r="M196" s="231"/>
      <c r="N196" s="231"/>
      <c r="O196" s="231"/>
      <c r="P196" s="231"/>
      <c r="Q196" s="231"/>
      <c r="R196" s="231"/>
      <c r="S196" s="231"/>
      <c r="T196" s="231"/>
      <c r="U196" s="231"/>
      <c r="V196" s="231"/>
      <c r="W196" s="231"/>
      <c r="X196" s="231"/>
      <c r="Y196" s="231"/>
      <c r="Z196" s="231"/>
      <c r="AA196" s="231"/>
      <c r="AB196" s="231"/>
      <c r="AC196" s="231"/>
      <c r="AD196" s="231"/>
      <c r="AE196" s="231"/>
      <c r="AF196" s="231"/>
      <c r="AG196" s="231"/>
    </row>
    <row r="197" spans="1:33" s="203" customFormat="1">
      <c r="A197" s="110" t="s">
        <v>84</v>
      </c>
      <c r="B197" s="132"/>
      <c r="C197" s="132"/>
      <c r="D197" s="132"/>
      <c r="E197" s="860"/>
      <c r="F197" s="860"/>
      <c r="G197" s="130"/>
      <c r="H197" s="860"/>
      <c r="I197" s="130"/>
      <c r="J197" s="231"/>
      <c r="K197" s="231"/>
      <c r="L197" s="231"/>
      <c r="M197" s="231"/>
      <c r="N197" s="231"/>
      <c r="O197" s="231"/>
      <c r="P197" s="231"/>
      <c r="Q197" s="231"/>
      <c r="R197" s="231"/>
      <c r="S197" s="231"/>
      <c r="T197" s="231"/>
      <c r="U197" s="231"/>
      <c r="V197" s="231"/>
      <c r="W197" s="231"/>
      <c r="X197" s="231"/>
      <c r="Y197" s="231"/>
      <c r="Z197" s="231"/>
      <c r="AA197" s="231"/>
      <c r="AB197" s="231"/>
      <c r="AC197" s="231"/>
      <c r="AD197" s="231"/>
      <c r="AE197" s="231"/>
      <c r="AF197" s="231"/>
      <c r="AG197" s="231"/>
    </row>
    <row r="198" spans="1:33" s="203" customFormat="1">
      <c r="A198" s="153" t="s">
        <v>162</v>
      </c>
      <c r="B198" s="166"/>
      <c r="C198" s="166"/>
      <c r="D198" s="166"/>
      <c r="E198" s="167"/>
      <c r="F198" s="146"/>
      <c r="G198" s="118"/>
      <c r="H198" s="146"/>
      <c r="I198" s="29"/>
      <c r="J198" s="231"/>
      <c r="K198" s="231"/>
      <c r="L198" s="231"/>
      <c r="M198" s="231"/>
      <c r="N198" s="231"/>
      <c r="O198" s="231"/>
      <c r="P198" s="231"/>
      <c r="Q198" s="231"/>
      <c r="R198" s="231"/>
      <c r="S198" s="231"/>
      <c r="T198" s="231"/>
      <c r="U198" s="231"/>
      <c r="V198" s="231"/>
      <c r="W198" s="231"/>
      <c r="X198" s="231"/>
      <c r="Y198" s="231"/>
      <c r="Z198" s="231"/>
      <c r="AA198" s="231"/>
      <c r="AB198" s="231"/>
      <c r="AC198" s="231"/>
      <c r="AD198" s="231"/>
      <c r="AE198" s="231"/>
      <c r="AF198" s="231"/>
      <c r="AG198" s="231"/>
    </row>
    <row r="199" spans="1:33" s="203" customFormat="1">
      <c r="A199" s="120">
        <v>1</v>
      </c>
      <c r="B199" s="47" t="s">
        <v>163</v>
      </c>
      <c r="C199" s="47"/>
      <c r="D199" s="47"/>
      <c r="E199" s="74">
        <v>157</v>
      </c>
      <c r="F199" s="52">
        <v>168</v>
      </c>
      <c r="G199" s="118"/>
      <c r="H199" s="122">
        <v>168</v>
      </c>
      <c r="I199" s="29"/>
      <c r="J199" s="231"/>
      <c r="K199" s="231"/>
      <c r="L199" s="231"/>
      <c r="M199" s="231"/>
      <c r="N199" s="231"/>
      <c r="O199" s="231"/>
      <c r="P199" s="231"/>
      <c r="Q199" s="231"/>
      <c r="R199" s="231"/>
      <c r="S199" s="231"/>
      <c r="T199" s="231"/>
      <c r="U199" s="231"/>
      <c r="V199" s="231"/>
      <c r="W199" s="231"/>
      <c r="X199" s="231"/>
      <c r="Y199" s="231"/>
      <c r="Z199" s="231"/>
      <c r="AA199" s="231"/>
      <c r="AB199" s="231"/>
      <c r="AC199" s="231"/>
      <c r="AD199" s="231"/>
      <c r="AE199" s="231"/>
      <c r="AF199" s="231"/>
      <c r="AG199" s="231"/>
    </row>
    <row r="200" spans="1:33" s="203" customFormat="1">
      <c r="A200" s="120">
        <v>2</v>
      </c>
      <c r="B200" s="47" t="s">
        <v>164</v>
      </c>
      <c r="C200" s="47"/>
      <c r="D200" s="47"/>
      <c r="E200" s="56">
        <v>861</v>
      </c>
      <c r="F200" s="52">
        <v>827</v>
      </c>
      <c r="G200" s="118"/>
      <c r="H200" s="100">
        <v>854</v>
      </c>
      <c r="I200" s="29"/>
      <c r="J200" s="231"/>
      <c r="K200" s="231"/>
      <c r="L200" s="231"/>
      <c r="M200" s="231"/>
      <c r="N200" s="231"/>
      <c r="O200" s="231"/>
      <c r="P200" s="231"/>
      <c r="Q200" s="231"/>
      <c r="R200" s="231"/>
      <c r="S200" s="231"/>
      <c r="T200" s="231"/>
      <c r="U200" s="231"/>
      <c r="V200" s="231"/>
      <c r="W200" s="231"/>
      <c r="X200" s="231"/>
      <c r="Y200" s="231"/>
      <c r="Z200" s="231"/>
      <c r="AA200" s="231"/>
      <c r="AB200" s="231"/>
      <c r="AC200" s="231"/>
      <c r="AD200" s="231"/>
      <c r="AE200" s="231"/>
      <c r="AF200" s="231"/>
      <c r="AG200" s="231"/>
    </row>
    <row r="201" spans="1:33" s="203" customFormat="1">
      <c r="A201" s="120">
        <v>3</v>
      </c>
      <c r="B201" s="116" t="s">
        <v>165</v>
      </c>
      <c r="C201" s="116"/>
      <c r="D201" s="116"/>
      <c r="E201" s="80">
        <v>1018</v>
      </c>
      <c r="F201" s="142">
        <f>SUM(F199:F200)</f>
        <v>995</v>
      </c>
      <c r="G201" s="118"/>
      <c r="H201" s="142">
        <f>SUM(H199:H200)</f>
        <v>1022</v>
      </c>
      <c r="I201" s="29"/>
      <c r="J201" s="231"/>
      <c r="K201" s="231"/>
      <c r="L201" s="231"/>
      <c r="M201" s="231"/>
      <c r="N201" s="231"/>
      <c r="O201" s="231"/>
      <c r="P201" s="231"/>
      <c r="Q201" s="231"/>
      <c r="R201" s="231"/>
      <c r="S201" s="231"/>
      <c r="T201" s="231"/>
      <c r="U201" s="231"/>
      <c r="V201" s="231"/>
      <c r="W201" s="231"/>
      <c r="X201" s="231"/>
      <c r="Y201" s="231"/>
      <c r="Z201" s="231"/>
      <c r="AA201" s="231"/>
      <c r="AB201" s="231"/>
      <c r="AC201" s="231"/>
      <c r="AD201" s="231"/>
      <c r="AE201" s="231"/>
      <c r="AF201" s="231"/>
      <c r="AG201" s="231"/>
    </row>
    <row r="202" spans="1:33" s="203" customFormat="1">
      <c r="A202" s="46"/>
      <c r="B202" s="132"/>
      <c r="C202" s="132"/>
      <c r="D202" s="132"/>
      <c r="E202" s="156"/>
      <c r="F202" s="139"/>
      <c r="G202" s="139"/>
      <c r="H202" s="139"/>
      <c r="I202" s="29"/>
      <c r="J202" s="231"/>
      <c r="K202" s="231"/>
      <c r="L202" s="231"/>
      <c r="M202" s="231"/>
      <c r="N202" s="231"/>
      <c r="O202" s="231"/>
      <c r="P202" s="231"/>
      <c r="Q202" s="231"/>
      <c r="R202" s="231"/>
      <c r="S202" s="231"/>
      <c r="T202" s="231"/>
      <c r="U202" s="231"/>
      <c r="V202" s="231"/>
      <c r="W202" s="231"/>
      <c r="X202" s="231"/>
      <c r="Y202" s="231"/>
      <c r="Z202" s="231"/>
      <c r="AA202" s="231"/>
      <c r="AB202" s="231"/>
      <c r="AC202" s="231"/>
      <c r="AD202" s="231"/>
      <c r="AE202" s="231"/>
      <c r="AF202" s="231"/>
      <c r="AG202" s="231"/>
    </row>
    <row r="203" spans="1:33" s="203" customFormat="1">
      <c r="A203" s="153" t="s">
        <v>166</v>
      </c>
      <c r="B203" s="116"/>
      <c r="C203" s="116"/>
      <c r="D203" s="116"/>
      <c r="E203" s="140"/>
      <c r="F203" s="146"/>
      <c r="G203" s="118"/>
      <c r="H203" s="146"/>
      <c r="I203" s="29"/>
      <c r="J203" s="231"/>
      <c r="K203" s="231"/>
      <c r="L203" s="231"/>
      <c r="M203" s="231"/>
      <c r="N203" s="231"/>
      <c r="O203" s="231"/>
      <c r="P203" s="231"/>
      <c r="Q203" s="231"/>
      <c r="R203" s="231"/>
      <c r="S203" s="231"/>
      <c r="T203" s="231"/>
      <c r="U203" s="231"/>
      <c r="V203" s="231"/>
      <c r="W203" s="231"/>
      <c r="X203" s="231"/>
      <c r="Y203" s="231"/>
      <c r="Z203" s="231"/>
      <c r="AA203" s="231"/>
      <c r="AB203" s="231"/>
      <c r="AC203" s="231"/>
      <c r="AD203" s="231"/>
      <c r="AE203" s="231"/>
      <c r="AF203" s="231"/>
      <c r="AG203" s="231"/>
    </row>
    <row r="204" spans="1:33" s="203" customFormat="1">
      <c r="A204" s="120">
        <v>4</v>
      </c>
      <c r="B204" s="47" t="s">
        <v>167</v>
      </c>
      <c r="C204" s="47"/>
      <c r="D204" s="47"/>
      <c r="E204" s="74">
        <v>3745</v>
      </c>
      <c r="F204" s="52">
        <v>2940</v>
      </c>
      <c r="G204" s="118"/>
      <c r="H204" s="122">
        <v>3004</v>
      </c>
      <c r="I204" s="29"/>
      <c r="J204" s="231"/>
      <c r="K204" s="231"/>
      <c r="L204" s="231"/>
      <c r="M204" s="231"/>
      <c r="N204" s="231"/>
      <c r="O204" s="231"/>
      <c r="P204" s="231"/>
      <c r="Q204" s="231"/>
      <c r="R204" s="231"/>
      <c r="S204" s="231"/>
      <c r="T204" s="231"/>
      <c r="U204" s="231"/>
      <c r="V204" s="231"/>
      <c r="W204" s="231"/>
      <c r="X204" s="231"/>
      <c r="Y204" s="231"/>
      <c r="Z204" s="231"/>
      <c r="AA204" s="231"/>
      <c r="AB204" s="231"/>
      <c r="AC204" s="231"/>
      <c r="AD204" s="231"/>
      <c r="AE204" s="231"/>
      <c r="AF204" s="231"/>
      <c r="AG204" s="231"/>
    </row>
    <row r="205" spans="1:33" s="203" customFormat="1">
      <c r="A205" s="120">
        <v>5</v>
      </c>
      <c r="B205" s="47" t="s">
        <v>168</v>
      </c>
      <c r="C205" s="47"/>
      <c r="D205" s="47"/>
      <c r="E205" s="49">
        <v>3809</v>
      </c>
      <c r="F205" s="52">
        <v>3606</v>
      </c>
      <c r="G205" s="118"/>
      <c r="H205" s="122">
        <v>3782</v>
      </c>
      <c r="I205" s="29"/>
      <c r="J205" s="231"/>
      <c r="K205" s="231"/>
      <c r="L205" s="231"/>
      <c r="M205" s="231"/>
      <c r="N205" s="231"/>
      <c r="O205" s="231"/>
      <c r="P205" s="231"/>
      <c r="Q205" s="231"/>
      <c r="R205" s="231"/>
      <c r="S205" s="231"/>
      <c r="T205" s="231"/>
      <c r="U205" s="231"/>
      <c r="V205" s="231"/>
      <c r="W205" s="231"/>
      <c r="X205" s="231"/>
      <c r="Y205" s="231"/>
      <c r="Z205" s="231"/>
      <c r="AA205" s="231"/>
      <c r="AB205" s="231"/>
      <c r="AC205" s="231"/>
      <c r="AD205" s="231"/>
      <c r="AE205" s="231"/>
      <c r="AF205" s="231"/>
      <c r="AG205" s="231"/>
    </row>
    <row r="206" spans="1:33" s="203" customFormat="1">
      <c r="A206" s="120">
        <v>6</v>
      </c>
      <c r="B206" s="47" t="s">
        <v>169</v>
      </c>
      <c r="C206" s="47"/>
      <c r="D206" s="47"/>
      <c r="E206" s="49">
        <v>958</v>
      </c>
      <c r="F206" s="52">
        <v>1163</v>
      </c>
      <c r="G206" s="118"/>
      <c r="H206" s="100">
        <v>1162</v>
      </c>
      <c r="I206" s="29"/>
      <c r="J206" s="231"/>
      <c r="K206" s="231"/>
      <c r="L206" s="231"/>
      <c r="M206" s="231"/>
      <c r="N206" s="231"/>
      <c r="O206" s="231"/>
      <c r="P206" s="231"/>
      <c r="Q206" s="231"/>
      <c r="R206" s="231"/>
      <c r="S206" s="231"/>
      <c r="T206" s="231"/>
      <c r="U206" s="231"/>
      <c r="V206" s="231"/>
      <c r="W206" s="231"/>
      <c r="X206" s="231"/>
      <c r="Y206" s="231"/>
      <c r="Z206" s="231"/>
      <c r="AA206" s="231"/>
      <c r="AB206" s="231"/>
      <c r="AC206" s="231"/>
      <c r="AD206" s="231"/>
      <c r="AE206" s="231"/>
      <c r="AF206" s="231"/>
      <c r="AG206" s="231"/>
    </row>
    <row r="207" spans="1:33" s="203" customFormat="1">
      <c r="A207" s="120">
        <v>7</v>
      </c>
      <c r="B207" s="116" t="s">
        <v>170</v>
      </c>
      <c r="C207" s="116"/>
      <c r="D207" s="116"/>
      <c r="E207" s="80">
        <v>8512</v>
      </c>
      <c r="F207" s="142">
        <f>SUM(F204:F206)</f>
        <v>7709</v>
      </c>
      <c r="G207" s="118"/>
      <c r="H207" s="142">
        <f>SUM(H204:H206)</f>
        <v>7948</v>
      </c>
      <c r="I207" s="29"/>
      <c r="J207" s="231"/>
      <c r="K207" s="231"/>
      <c r="L207" s="231"/>
      <c r="M207" s="231"/>
      <c r="N207" s="231"/>
      <c r="O207" s="231"/>
      <c r="P207" s="231"/>
      <c r="Q207" s="231"/>
      <c r="R207" s="231"/>
      <c r="S207" s="231"/>
      <c r="T207" s="231"/>
      <c r="U207" s="231"/>
      <c r="V207" s="231"/>
      <c r="W207" s="231"/>
      <c r="X207" s="231"/>
      <c r="Y207" s="231"/>
      <c r="Z207" s="231"/>
      <c r="AA207" s="231"/>
      <c r="AB207" s="231"/>
      <c r="AC207" s="231"/>
      <c r="AD207" s="231"/>
      <c r="AE207" s="231"/>
      <c r="AF207" s="231"/>
      <c r="AG207" s="231"/>
    </row>
    <row r="208" spans="1:33" s="203" customFormat="1">
      <c r="A208" s="46"/>
      <c r="B208" s="132"/>
      <c r="C208" s="132"/>
      <c r="D208" s="132"/>
      <c r="E208" s="156"/>
      <c r="F208" s="139"/>
      <c r="G208" s="139"/>
      <c r="H208" s="139"/>
      <c r="I208" s="29"/>
      <c r="J208" s="231"/>
      <c r="K208" s="231"/>
      <c r="L208" s="231"/>
      <c r="M208" s="231"/>
      <c r="N208" s="231"/>
      <c r="O208" s="231"/>
      <c r="P208" s="231"/>
      <c r="Q208" s="231"/>
      <c r="R208" s="231"/>
      <c r="S208" s="231"/>
      <c r="T208" s="231"/>
      <c r="U208" s="231"/>
      <c r="V208" s="231"/>
      <c r="W208" s="231"/>
      <c r="X208" s="231"/>
      <c r="Y208" s="231"/>
      <c r="Z208" s="231"/>
      <c r="AA208" s="231"/>
      <c r="AB208" s="231"/>
      <c r="AC208" s="231"/>
      <c r="AD208" s="231"/>
      <c r="AE208" s="231"/>
      <c r="AF208" s="231"/>
      <c r="AG208" s="231"/>
    </row>
    <row r="209" spans="1:33" s="203" customFormat="1">
      <c r="A209" s="153" t="s">
        <v>121</v>
      </c>
      <c r="B209" s="168"/>
      <c r="C209" s="168"/>
      <c r="D209" s="168"/>
      <c r="E209" s="140"/>
      <c r="F209" s="146"/>
      <c r="G209" s="118"/>
      <c r="H209" s="146"/>
      <c r="I209" s="29"/>
      <c r="J209" s="231"/>
      <c r="K209" s="231"/>
      <c r="L209" s="231"/>
      <c r="M209" s="231"/>
      <c r="N209" s="231"/>
      <c r="O209" s="231"/>
      <c r="P209" s="231"/>
      <c r="Q209" s="231"/>
      <c r="R209" s="231"/>
      <c r="S209" s="231"/>
      <c r="T209" s="231"/>
      <c r="U209" s="231"/>
      <c r="V209" s="231"/>
      <c r="W209" s="231"/>
      <c r="X209" s="231"/>
      <c r="Y209" s="231"/>
      <c r="Z209" s="231"/>
      <c r="AA209" s="231"/>
      <c r="AB209" s="231"/>
      <c r="AC209" s="231"/>
      <c r="AD209" s="231"/>
      <c r="AE209" s="231"/>
      <c r="AF209" s="231"/>
      <c r="AG209" s="231"/>
    </row>
    <row r="210" spans="1:33" s="203" customFormat="1">
      <c r="A210" s="120">
        <v>8</v>
      </c>
      <c r="B210" s="47" t="s">
        <v>171</v>
      </c>
      <c r="C210" s="47"/>
      <c r="D210" s="47"/>
      <c r="E210" s="74">
        <v>78</v>
      </c>
      <c r="F210" s="52">
        <v>169</v>
      </c>
      <c r="G210" s="118"/>
      <c r="H210" s="122">
        <v>93</v>
      </c>
      <c r="I210" s="29"/>
      <c r="J210" s="231"/>
      <c r="K210" s="231"/>
      <c r="L210" s="231"/>
      <c r="M210" s="231"/>
      <c r="N210" s="231"/>
      <c r="O210" s="231"/>
      <c r="P210" s="231"/>
      <c r="Q210" s="231"/>
      <c r="R210" s="231"/>
      <c r="S210" s="231"/>
      <c r="T210" s="231"/>
      <c r="U210" s="231"/>
      <c r="V210" s="231"/>
      <c r="W210" s="231"/>
      <c r="X210" s="231"/>
      <c r="Y210" s="231"/>
      <c r="Z210" s="231"/>
      <c r="AA210" s="231"/>
      <c r="AB210" s="231"/>
      <c r="AC210" s="231"/>
      <c r="AD210" s="231"/>
      <c r="AE210" s="231"/>
      <c r="AF210" s="231"/>
      <c r="AG210" s="231"/>
    </row>
    <row r="211" spans="1:33" s="203" customFormat="1">
      <c r="A211" s="120">
        <v>9</v>
      </c>
      <c r="B211" s="47" t="s">
        <v>172</v>
      </c>
      <c r="C211" s="47"/>
      <c r="D211" s="47"/>
      <c r="E211" s="49">
        <v>0</v>
      </c>
      <c r="F211" s="52">
        <v>0</v>
      </c>
      <c r="G211" s="118"/>
      <c r="H211" s="122"/>
      <c r="I211" s="29"/>
      <c r="J211" s="231"/>
      <c r="K211" s="231"/>
      <c r="L211" s="231"/>
      <c r="M211" s="231"/>
      <c r="N211" s="231"/>
      <c r="O211" s="231"/>
      <c r="P211" s="231"/>
      <c r="Q211" s="231"/>
      <c r="R211" s="231"/>
      <c r="S211" s="231"/>
      <c r="T211" s="231"/>
      <c r="U211" s="231"/>
      <c r="V211" s="231"/>
      <c r="W211" s="231"/>
      <c r="X211" s="231"/>
      <c r="Y211" s="231"/>
      <c r="Z211" s="231"/>
      <c r="AA211" s="231"/>
      <c r="AB211" s="231"/>
      <c r="AC211" s="231"/>
      <c r="AD211" s="231"/>
      <c r="AE211" s="231"/>
      <c r="AF211" s="231"/>
      <c r="AG211" s="231"/>
    </row>
    <row r="212" spans="1:33" s="203" customFormat="1">
      <c r="A212" s="120">
        <v>10</v>
      </c>
      <c r="B212" s="47" t="s">
        <v>173</v>
      </c>
      <c r="C212" s="47"/>
      <c r="D212" s="47"/>
      <c r="E212" s="49">
        <v>70</v>
      </c>
      <c r="F212" s="52">
        <v>70</v>
      </c>
      <c r="G212" s="118"/>
      <c r="H212" s="122">
        <v>70</v>
      </c>
      <c r="I212" s="29"/>
      <c r="J212" s="231"/>
      <c r="K212" s="231"/>
      <c r="L212" s="231"/>
      <c r="M212" s="231"/>
      <c r="N212" s="231"/>
      <c r="O212" s="231"/>
      <c r="P212" s="231"/>
      <c r="Q212" s="231"/>
      <c r="R212" s="231"/>
      <c r="S212" s="231"/>
      <c r="T212" s="231"/>
      <c r="U212" s="231"/>
      <c r="V212" s="231"/>
      <c r="W212" s="231"/>
      <c r="X212" s="231"/>
      <c r="Y212" s="231"/>
      <c r="Z212" s="231"/>
      <c r="AA212" s="231"/>
      <c r="AB212" s="231"/>
      <c r="AC212" s="231"/>
      <c r="AD212" s="231"/>
      <c r="AE212" s="231"/>
      <c r="AF212" s="231"/>
      <c r="AG212" s="231"/>
    </row>
    <row r="213" spans="1:33" s="203" customFormat="1">
      <c r="A213" s="120">
        <v>11</v>
      </c>
      <c r="B213" s="47" t="s">
        <v>174</v>
      </c>
      <c r="C213" s="47"/>
      <c r="D213" s="47"/>
      <c r="E213" s="49">
        <v>837</v>
      </c>
      <c r="F213" s="52">
        <v>856</v>
      </c>
      <c r="G213" s="118"/>
      <c r="H213" s="99">
        <v>859</v>
      </c>
      <c r="I213" s="29"/>
      <c r="J213" s="231"/>
      <c r="K213" s="231"/>
      <c r="L213" s="231"/>
      <c r="M213" s="231"/>
      <c r="N213" s="231"/>
      <c r="O213" s="231"/>
      <c r="P213" s="231"/>
      <c r="Q213" s="231"/>
      <c r="R213" s="231"/>
      <c r="S213" s="231"/>
      <c r="T213" s="231"/>
      <c r="U213" s="231"/>
      <c r="V213" s="231"/>
      <c r="W213" s="231"/>
      <c r="X213" s="231"/>
      <c r="Y213" s="231"/>
      <c r="Z213" s="231"/>
      <c r="AA213" s="231"/>
      <c r="AB213" s="231"/>
      <c r="AC213" s="231"/>
      <c r="AD213" s="231"/>
      <c r="AE213" s="231"/>
      <c r="AF213" s="231"/>
      <c r="AG213" s="231"/>
    </row>
    <row r="214" spans="1:33" s="203" customFormat="1">
      <c r="A214" s="120">
        <v>12</v>
      </c>
      <c r="B214" s="116" t="s">
        <v>175</v>
      </c>
      <c r="C214" s="116"/>
      <c r="D214" s="116"/>
      <c r="E214" s="159">
        <v>10515</v>
      </c>
      <c r="F214" s="61">
        <f>F201+F207+SUM(F210:F213)</f>
        <v>9799</v>
      </c>
      <c r="G214" s="118"/>
      <c r="H214" s="61">
        <f>H201+H207+SUM(H210:H213)</f>
        <v>9992</v>
      </c>
      <c r="I214" s="29"/>
      <c r="J214" s="231"/>
      <c r="K214" s="231"/>
      <c r="L214" s="231"/>
      <c r="M214" s="231"/>
      <c r="N214" s="231"/>
      <c r="O214" s="231"/>
      <c r="P214" s="231"/>
      <c r="Q214" s="231"/>
      <c r="R214" s="231"/>
      <c r="S214" s="231"/>
      <c r="T214" s="231"/>
      <c r="U214" s="231"/>
      <c r="V214" s="231"/>
      <c r="W214" s="231"/>
      <c r="X214" s="231"/>
      <c r="Y214" s="231"/>
      <c r="Z214" s="231"/>
      <c r="AA214" s="231"/>
      <c r="AB214" s="231"/>
      <c r="AC214" s="231"/>
      <c r="AD214" s="231"/>
      <c r="AE214" s="231"/>
      <c r="AF214" s="231"/>
      <c r="AG214" s="231"/>
    </row>
    <row r="215" spans="1:33" s="203" customFormat="1">
      <c r="A215" s="111"/>
      <c r="B215" s="47"/>
      <c r="C215" s="47"/>
      <c r="D215" s="47"/>
      <c r="E215" s="117"/>
      <c r="F215" s="118"/>
      <c r="G215" s="118"/>
      <c r="H215" s="118"/>
      <c r="I215" s="29"/>
      <c r="J215" s="231"/>
      <c r="K215" s="231"/>
      <c r="L215" s="231"/>
      <c r="M215" s="231"/>
      <c r="N215" s="231"/>
      <c r="O215" s="231"/>
      <c r="P215" s="231"/>
      <c r="Q215" s="231"/>
      <c r="R215" s="231"/>
      <c r="S215" s="231"/>
      <c r="T215" s="231"/>
      <c r="U215" s="231"/>
      <c r="V215" s="231"/>
      <c r="W215" s="231"/>
      <c r="X215" s="231"/>
      <c r="Y215" s="231"/>
      <c r="Z215" s="231"/>
      <c r="AA215" s="231"/>
      <c r="AB215" s="231"/>
      <c r="AC215" s="231"/>
      <c r="AD215" s="231"/>
      <c r="AE215" s="231"/>
      <c r="AF215" s="231"/>
      <c r="AG215" s="231"/>
    </row>
    <row r="216" spans="1:33" s="203" customFormat="1">
      <c r="A216" s="119" t="s">
        <v>176</v>
      </c>
      <c r="B216" s="116"/>
      <c r="C216" s="116"/>
      <c r="D216" s="116"/>
      <c r="E216" s="117"/>
      <c r="F216" s="160"/>
      <c r="G216" s="118"/>
      <c r="H216" s="160"/>
      <c r="I216" s="29"/>
      <c r="J216" s="231"/>
      <c r="K216" s="231"/>
      <c r="L216" s="231"/>
      <c r="M216" s="231"/>
      <c r="N216" s="231"/>
      <c r="O216" s="231"/>
      <c r="P216" s="231"/>
      <c r="Q216" s="231"/>
      <c r="R216" s="231"/>
      <c r="S216" s="231"/>
      <c r="T216" s="231"/>
      <c r="U216" s="231"/>
      <c r="V216" s="231"/>
      <c r="W216" s="231"/>
      <c r="X216" s="231"/>
      <c r="Y216" s="231"/>
      <c r="Z216" s="231"/>
      <c r="AA216" s="231"/>
      <c r="AB216" s="231"/>
      <c r="AC216" s="231"/>
      <c r="AD216" s="231"/>
      <c r="AE216" s="231"/>
      <c r="AF216" s="231"/>
      <c r="AG216" s="231"/>
    </row>
    <row r="217" spans="1:33" s="203" customFormat="1">
      <c r="A217" s="120">
        <v>13</v>
      </c>
      <c r="B217" s="47" t="s">
        <v>177</v>
      </c>
      <c r="C217" s="47"/>
      <c r="D217" s="47"/>
      <c r="E217" s="41">
        <v>0</v>
      </c>
      <c r="F217" s="121"/>
      <c r="G217" s="118"/>
      <c r="H217" s="169"/>
      <c r="I217" s="29"/>
      <c r="J217" s="231"/>
      <c r="K217" s="231"/>
      <c r="L217" s="231"/>
      <c r="M217" s="231"/>
      <c r="N217" s="231"/>
      <c r="O217" s="231"/>
      <c r="P217" s="231"/>
      <c r="Q217" s="231"/>
      <c r="R217" s="231"/>
      <c r="S217" s="231"/>
      <c r="T217" s="231"/>
      <c r="U217" s="231"/>
      <c r="V217" s="231"/>
      <c r="W217" s="231"/>
      <c r="X217" s="231"/>
      <c r="Y217" s="231"/>
      <c r="Z217" s="231"/>
      <c r="AA217" s="231"/>
      <c r="AB217" s="231"/>
      <c r="AC217" s="231"/>
      <c r="AD217" s="231"/>
      <c r="AE217" s="231"/>
      <c r="AF217" s="231"/>
      <c r="AG217" s="231"/>
    </row>
    <row r="218" spans="1:33" s="203" customFormat="1">
      <c r="A218" s="124">
        <v>14</v>
      </c>
      <c r="B218" s="54" t="s">
        <v>178</v>
      </c>
      <c r="C218" s="54"/>
      <c r="D218" s="54"/>
      <c r="E218" s="56">
        <v>958</v>
      </c>
      <c r="F218" s="126">
        <v>1163</v>
      </c>
      <c r="G218" s="118"/>
      <c r="H218" s="100">
        <v>1162</v>
      </c>
      <c r="I218" s="29"/>
      <c r="J218" s="231"/>
      <c r="K218" s="231"/>
      <c r="L218" s="231"/>
      <c r="M218" s="231"/>
      <c r="N218" s="231"/>
      <c r="O218" s="231"/>
      <c r="P218" s="231"/>
      <c r="Q218" s="231"/>
      <c r="R218" s="231"/>
      <c r="S218" s="231"/>
      <c r="T218" s="231"/>
      <c r="U218" s="231"/>
      <c r="V218" s="231"/>
      <c r="W218" s="231"/>
      <c r="X218" s="231"/>
      <c r="Y218" s="231"/>
      <c r="Z218" s="231"/>
      <c r="AA218" s="231"/>
      <c r="AB218" s="231"/>
      <c r="AC218" s="231"/>
      <c r="AD218" s="231"/>
      <c r="AE218" s="231"/>
      <c r="AF218" s="231"/>
      <c r="AG218" s="231"/>
    </row>
    <row r="219" spans="1:33" s="203" customFormat="1">
      <c r="A219" s="148"/>
      <c r="B219" s="29"/>
      <c r="C219" s="29"/>
      <c r="D219" s="170"/>
      <c r="E219" s="171"/>
      <c r="F219" s="29"/>
      <c r="G219" s="29"/>
      <c r="H219" s="207"/>
      <c r="I219" s="29"/>
      <c r="J219" s="231"/>
      <c r="K219" s="231"/>
      <c r="L219" s="231"/>
      <c r="M219" s="231"/>
      <c r="N219" s="231"/>
      <c r="O219" s="231"/>
      <c r="P219" s="231"/>
      <c r="Q219" s="231"/>
      <c r="R219" s="231"/>
      <c r="S219" s="231"/>
      <c r="T219" s="231"/>
      <c r="U219" s="231"/>
      <c r="V219" s="231"/>
      <c r="W219" s="231"/>
      <c r="X219" s="231"/>
      <c r="Y219" s="231"/>
      <c r="Z219" s="231"/>
      <c r="AA219" s="231"/>
      <c r="AB219" s="231"/>
      <c r="AC219" s="231"/>
      <c r="AD219" s="231"/>
      <c r="AE219" s="231"/>
      <c r="AF219" s="231"/>
      <c r="AG219" s="231"/>
    </row>
    <row r="220" spans="1:33" s="203" customFormat="1">
      <c r="A220" s="148"/>
      <c r="B220" s="29"/>
      <c r="C220" s="29"/>
      <c r="D220" s="172"/>
      <c r="E220" s="152"/>
      <c r="F220" s="29"/>
      <c r="G220" s="29"/>
      <c r="H220" s="131" t="s">
        <v>27</v>
      </c>
      <c r="I220" s="29"/>
      <c r="J220" s="231"/>
      <c r="K220" s="231"/>
      <c r="L220" s="231"/>
      <c r="M220" s="231"/>
      <c r="N220" s="231"/>
      <c r="O220" s="231"/>
      <c r="P220" s="231"/>
      <c r="Q220" s="231"/>
      <c r="R220" s="231"/>
      <c r="S220" s="231"/>
      <c r="T220" s="231"/>
      <c r="U220" s="231"/>
      <c r="V220" s="231"/>
      <c r="W220" s="231"/>
      <c r="X220" s="231"/>
      <c r="Y220" s="231"/>
      <c r="Z220" s="231"/>
      <c r="AA220" s="231"/>
      <c r="AB220" s="231"/>
      <c r="AC220" s="231"/>
      <c r="AD220" s="231"/>
      <c r="AE220" s="231"/>
      <c r="AF220" s="231"/>
      <c r="AG220" s="231"/>
    </row>
    <row r="221" spans="1:33" s="203" customFormat="1" ht="12.75" customHeight="1">
      <c r="A221" s="106" t="s">
        <v>10</v>
      </c>
      <c r="B221" s="164"/>
      <c r="C221" s="164"/>
      <c r="D221" s="164"/>
      <c r="E221" s="856" t="s">
        <v>377</v>
      </c>
      <c r="F221" s="856" t="s">
        <v>402</v>
      </c>
      <c r="G221" s="130"/>
      <c r="H221" s="856" t="s">
        <v>403</v>
      </c>
      <c r="I221" s="130"/>
      <c r="J221" s="231"/>
      <c r="K221" s="231"/>
      <c r="L221" s="231"/>
      <c r="M221" s="231"/>
      <c r="N221" s="231"/>
      <c r="O221" s="231"/>
      <c r="P221" s="231"/>
      <c r="Q221" s="231"/>
      <c r="R221" s="231"/>
      <c r="S221" s="231"/>
      <c r="T221" s="231"/>
      <c r="U221" s="231"/>
      <c r="V221" s="231"/>
      <c r="W221" s="231"/>
      <c r="X221" s="231"/>
      <c r="Y221" s="231"/>
      <c r="Z221" s="231"/>
      <c r="AA221" s="231"/>
      <c r="AB221" s="231"/>
      <c r="AC221" s="231"/>
      <c r="AD221" s="231"/>
      <c r="AE221" s="231"/>
      <c r="AF221" s="231"/>
      <c r="AG221" s="231"/>
    </row>
    <row r="222" spans="1:33" s="203" customFormat="1">
      <c r="A222" s="109"/>
      <c r="B222" s="132"/>
      <c r="C222" s="132"/>
      <c r="D222" s="132"/>
      <c r="E222" s="859"/>
      <c r="F222" s="859"/>
      <c r="G222" s="130"/>
      <c r="H222" s="859"/>
      <c r="I222" s="130"/>
      <c r="J222" s="231"/>
      <c r="K222" s="231"/>
      <c r="L222" s="231"/>
      <c r="M222" s="231"/>
      <c r="N222" s="231"/>
      <c r="O222" s="231"/>
      <c r="P222" s="231"/>
      <c r="Q222" s="231"/>
      <c r="R222" s="231"/>
      <c r="S222" s="231"/>
      <c r="T222" s="231"/>
      <c r="U222" s="231"/>
      <c r="V222" s="231"/>
      <c r="W222" s="231"/>
      <c r="X222" s="231"/>
      <c r="Y222" s="231"/>
      <c r="Z222" s="231"/>
      <c r="AA222" s="231"/>
      <c r="AB222" s="231"/>
      <c r="AC222" s="231"/>
      <c r="AD222" s="231"/>
      <c r="AE222" s="231"/>
      <c r="AF222" s="231"/>
      <c r="AG222" s="231"/>
    </row>
    <row r="223" spans="1:33" s="203" customFormat="1">
      <c r="A223" s="154" t="s">
        <v>179</v>
      </c>
      <c r="B223" s="116"/>
      <c r="C223" s="116"/>
      <c r="D223" s="116"/>
      <c r="E223" s="859"/>
      <c r="F223" s="859"/>
      <c r="G223" s="130"/>
      <c r="H223" s="859"/>
      <c r="I223" s="130"/>
      <c r="J223" s="231"/>
      <c r="K223" s="231"/>
      <c r="L223" s="231"/>
      <c r="M223" s="231"/>
      <c r="N223" s="231"/>
      <c r="O223" s="231"/>
      <c r="P223" s="231"/>
      <c r="Q223" s="231"/>
      <c r="R223" s="231"/>
      <c r="S223" s="231"/>
      <c r="T223" s="231"/>
      <c r="U223" s="231"/>
      <c r="V223" s="231"/>
      <c r="W223" s="231"/>
      <c r="X223" s="231"/>
      <c r="Y223" s="231"/>
      <c r="Z223" s="231"/>
      <c r="AA223" s="231"/>
      <c r="AB223" s="231"/>
      <c r="AC223" s="231"/>
      <c r="AD223" s="231"/>
      <c r="AE223" s="231"/>
      <c r="AF223" s="231"/>
      <c r="AG223" s="231"/>
    </row>
    <row r="224" spans="1:33" s="203" customFormat="1">
      <c r="A224" s="109" t="s">
        <v>83</v>
      </c>
      <c r="B224" s="47"/>
      <c r="C224" s="47"/>
      <c r="D224" s="47"/>
      <c r="E224" s="859"/>
      <c r="F224" s="859"/>
      <c r="G224" s="130"/>
      <c r="H224" s="859"/>
      <c r="I224" s="130"/>
      <c r="J224" s="231"/>
      <c r="K224" s="231"/>
      <c r="L224" s="231"/>
      <c r="M224" s="231"/>
      <c r="N224" s="231"/>
      <c r="O224" s="231"/>
      <c r="P224" s="231"/>
      <c r="Q224" s="231"/>
      <c r="R224" s="231"/>
      <c r="S224" s="231"/>
      <c r="T224" s="231"/>
      <c r="U224" s="231"/>
      <c r="V224" s="231"/>
      <c r="W224" s="231"/>
      <c r="X224" s="231"/>
      <c r="Y224" s="231"/>
      <c r="Z224" s="231"/>
      <c r="AA224" s="231"/>
      <c r="AB224" s="231"/>
      <c r="AC224" s="231"/>
      <c r="AD224" s="231"/>
      <c r="AE224" s="231"/>
      <c r="AF224" s="231"/>
      <c r="AG224" s="231"/>
    </row>
    <row r="225" spans="1:33" s="203" customFormat="1">
      <c r="A225" s="110" t="s">
        <v>84</v>
      </c>
      <c r="B225" s="132"/>
      <c r="C225" s="132"/>
      <c r="D225" s="132"/>
      <c r="E225" s="860"/>
      <c r="F225" s="860"/>
      <c r="G225" s="130"/>
      <c r="H225" s="860"/>
      <c r="I225" s="130"/>
      <c r="J225" s="231"/>
      <c r="K225" s="231"/>
      <c r="L225" s="231"/>
      <c r="M225" s="231"/>
      <c r="N225" s="231"/>
      <c r="O225" s="231"/>
      <c r="P225" s="231"/>
      <c r="Q225" s="231"/>
      <c r="R225" s="231"/>
      <c r="S225" s="231"/>
      <c r="T225" s="231"/>
      <c r="U225" s="231"/>
      <c r="V225" s="231"/>
      <c r="W225" s="231"/>
      <c r="X225" s="231"/>
      <c r="Y225" s="231"/>
      <c r="Z225" s="231"/>
      <c r="AA225" s="231"/>
      <c r="AB225" s="231"/>
      <c r="AC225" s="231"/>
      <c r="AD225" s="231"/>
      <c r="AE225" s="231"/>
      <c r="AF225" s="231"/>
      <c r="AG225" s="231"/>
    </row>
    <row r="226" spans="1:33" s="203" customFormat="1">
      <c r="A226" s="120">
        <v>1</v>
      </c>
      <c r="B226" s="47" t="s">
        <v>180</v>
      </c>
      <c r="C226" s="47"/>
      <c r="D226" s="47"/>
      <c r="E226" s="41">
        <v>162</v>
      </c>
      <c r="F226" s="52">
        <v>4</v>
      </c>
      <c r="G226" s="118"/>
      <c r="H226" s="133">
        <v>234</v>
      </c>
      <c r="I226" s="29"/>
      <c r="J226" s="231"/>
      <c r="K226" s="231"/>
      <c r="L226" s="231"/>
      <c r="M226" s="231"/>
      <c r="N226" s="231"/>
      <c r="O226" s="231"/>
      <c r="P226" s="231"/>
      <c r="Q226" s="231"/>
      <c r="R226" s="231"/>
      <c r="S226" s="231"/>
      <c r="T226" s="231"/>
      <c r="U226" s="231"/>
      <c r="V226" s="231"/>
      <c r="W226" s="231"/>
      <c r="X226" s="231"/>
      <c r="Y226" s="231"/>
      <c r="Z226" s="231"/>
      <c r="AA226" s="231"/>
      <c r="AB226" s="231"/>
      <c r="AC226" s="231"/>
      <c r="AD226" s="231"/>
      <c r="AE226" s="231"/>
      <c r="AF226" s="231"/>
      <c r="AG226" s="231"/>
    </row>
    <row r="227" spans="1:33" s="203" customFormat="1">
      <c r="A227" s="120">
        <v>2</v>
      </c>
      <c r="B227" s="47" t="s">
        <v>181</v>
      </c>
      <c r="C227" s="47"/>
      <c r="D227" s="47"/>
      <c r="E227" s="49">
        <v>340</v>
      </c>
      <c r="F227" s="52">
        <v>269</v>
      </c>
      <c r="G227" s="118"/>
      <c r="H227" s="122">
        <v>330</v>
      </c>
      <c r="I227" s="29"/>
      <c r="J227" s="231"/>
      <c r="K227" s="231"/>
      <c r="L227" s="231"/>
      <c r="M227" s="231"/>
      <c r="N227" s="231"/>
      <c r="O227" s="231"/>
      <c r="P227" s="231"/>
      <c r="Q227" s="231"/>
      <c r="R227" s="231"/>
      <c r="S227" s="231"/>
      <c r="T227" s="231"/>
      <c r="U227" s="231"/>
      <c r="V227" s="231"/>
      <c r="W227" s="231"/>
      <c r="X227" s="231"/>
      <c r="Y227" s="231"/>
      <c r="Z227" s="231"/>
      <c r="AA227" s="231"/>
      <c r="AB227" s="231"/>
      <c r="AC227" s="231"/>
      <c r="AD227" s="231"/>
      <c r="AE227" s="231"/>
      <c r="AF227" s="231"/>
      <c r="AG227" s="231"/>
    </row>
    <row r="228" spans="1:33" s="203" customFormat="1">
      <c r="A228" s="120">
        <v>3</v>
      </c>
      <c r="B228" s="47" t="s">
        <v>182</v>
      </c>
      <c r="C228" s="47"/>
      <c r="D228" s="47"/>
      <c r="E228" s="114">
        <v>866</v>
      </c>
      <c r="F228" s="52">
        <v>911</v>
      </c>
      <c r="G228" s="118"/>
      <c r="H228" s="122">
        <v>782</v>
      </c>
      <c r="I228" s="29"/>
      <c r="J228" s="231"/>
      <c r="K228" s="231"/>
      <c r="L228" s="231"/>
      <c r="M228" s="231"/>
      <c r="N228" s="231"/>
      <c r="O228" s="231"/>
      <c r="P228" s="231"/>
      <c r="Q228" s="231"/>
      <c r="R228" s="231"/>
      <c r="S228" s="231"/>
      <c r="T228" s="231"/>
      <c r="U228" s="231"/>
      <c r="V228" s="231"/>
      <c r="W228" s="231"/>
      <c r="X228" s="231"/>
      <c r="Y228" s="231"/>
      <c r="Z228" s="231"/>
      <c r="AA228" s="231"/>
      <c r="AB228" s="231"/>
      <c r="AC228" s="231"/>
      <c r="AD228" s="231"/>
      <c r="AE228" s="231"/>
      <c r="AF228" s="231"/>
      <c r="AG228" s="231"/>
    </row>
    <row r="229" spans="1:33" s="203" customFormat="1">
      <c r="A229" s="120">
        <v>4</v>
      </c>
      <c r="B229" s="47" t="s">
        <v>183</v>
      </c>
      <c r="C229" s="47"/>
      <c r="D229" s="47"/>
      <c r="E229" s="114">
        <v>10</v>
      </c>
      <c r="F229" s="52">
        <v>10</v>
      </c>
      <c r="G229" s="118"/>
      <c r="H229" s="122">
        <v>4</v>
      </c>
      <c r="I229" s="29"/>
      <c r="J229" s="231"/>
      <c r="K229" s="231"/>
      <c r="L229" s="231"/>
      <c r="M229" s="231"/>
      <c r="N229" s="231"/>
      <c r="O229" s="231"/>
      <c r="P229" s="231"/>
      <c r="Q229" s="231"/>
      <c r="R229" s="231"/>
      <c r="S229" s="231"/>
      <c r="T229" s="231"/>
      <c r="U229" s="231"/>
      <c r="V229" s="231"/>
      <c r="W229" s="231"/>
      <c r="X229" s="231"/>
      <c r="Y229" s="231"/>
      <c r="Z229" s="231"/>
      <c r="AA229" s="231"/>
      <c r="AB229" s="231"/>
      <c r="AC229" s="231"/>
      <c r="AD229" s="231"/>
      <c r="AE229" s="231"/>
      <c r="AF229" s="231"/>
      <c r="AG229" s="231"/>
    </row>
    <row r="230" spans="1:33" s="203" customFormat="1">
      <c r="A230" s="120">
        <v>5</v>
      </c>
      <c r="B230" s="47" t="s">
        <v>184</v>
      </c>
      <c r="C230" s="47"/>
      <c r="D230" s="47"/>
      <c r="E230" s="114">
        <v>1384</v>
      </c>
      <c r="F230" s="52">
        <v>1208</v>
      </c>
      <c r="G230" s="118"/>
      <c r="H230" s="99">
        <v>1283</v>
      </c>
      <c r="I230" s="29"/>
      <c r="J230" s="231"/>
      <c r="K230" s="231"/>
      <c r="L230" s="231"/>
      <c r="M230" s="231"/>
      <c r="N230" s="231"/>
      <c r="O230" s="231"/>
      <c r="P230" s="231"/>
      <c r="Q230" s="231"/>
      <c r="R230" s="231"/>
      <c r="S230" s="231"/>
      <c r="T230" s="231"/>
      <c r="U230" s="231"/>
      <c r="V230" s="231"/>
      <c r="W230" s="231"/>
      <c r="X230" s="231"/>
      <c r="Y230" s="231"/>
      <c r="Z230" s="231"/>
      <c r="AA230" s="231"/>
      <c r="AB230" s="231"/>
      <c r="AC230" s="231"/>
      <c r="AD230" s="231"/>
      <c r="AE230" s="231"/>
      <c r="AF230" s="231"/>
      <c r="AG230" s="231"/>
    </row>
    <row r="231" spans="1:33" s="203" customFormat="1">
      <c r="A231" s="124">
        <v>6</v>
      </c>
      <c r="B231" s="173" t="s">
        <v>185</v>
      </c>
      <c r="C231" s="173"/>
      <c r="D231" s="173"/>
      <c r="E231" s="159">
        <v>2762</v>
      </c>
      <c r="F231" s="61">
        <f>SUM(F226:F230)</f>
        <v>2402</v>
      </c>
      <c r="G231" s="118"/>
      <c r="H231" s="61">
        <f>SUM(H226:H230)</f>
        <v>2633</v>
      </c>
      <c r="I231" s="29"/>
      <c r="J231" s="231"/>
      <c r="K231" s="231"/>
      <c r="L231" s="231"/>
      <c r="M231" s="231"/>
      <c r="N231" s="231"/>
      <c r="O231" s="231"/>
      <c r="P231" s="231"/>
      <c r="Q231" s="231"/>
      <c r="R231" s="231"/>
      <c r="S231" s="231"/>
      <c r="T231" s="231"/>
      <c r="U231" s="231"/>
      <c r="V231" s="231"/>
      <c r="W231" s="231"/>
      <c r="X231" s="231"/>
      <c r="Y231" s="231"/>
      <c r="Z231" s="231"/>
      <c r="AA231" s="231"/>
      <c r="AB231" s="231"/>
      <c r="AC231" s="231"/>
      <c r="AD231" s="231"/>
      <c r="AE231" s="231"/>
      <c r="AF231" s="231"/>
      <c r="AG231" s="231"/>
    </row>
    <row r="232" spans="1:33" s="203" customFormat="1">
      <c r="A232" s="148"/>
      <c r="B232" s="29"/>
      <c r="C232" s="29"/>
      <c r="D232" s="170"/>
      <c r="E232" s="150"/>
      <c r="F232" s="29"/>
      <c r="G232" s="29"/>
      <c r="H232" s="207"/>
      <c r="I232" s="29"/>
      <c r="J232" s="231"/>
      <c r="K232" s="231"/>
      <c r="L232" s="231"/>
      <c r="M232" s="231"/>
      <c r="N232" s="231"/>
      <c r="O232" s="231"/>
      <c r="P232" s="231"/>
      <c r="Q232" s="231"/>
      <c r="R232" s="231"/>
      <c r="S232" s="231"/>
      <c r="T232" s="231"/>
      <c r="U232" s="231"/>
      <c r="V232" s="231"/>
      <c r="W232" s="231"/>
      <c r="X232" s="231"/>
      <c r="Y232" s="231"/>
      <c r="Z232" s="231"/>
      <c r="AA232" s="231"/>
      <c r="AB232" s="231"/>
      <c r="AC232" s="231"/>
      <c r="AD232" s="231"/>
      <c r="AE232" s="231"/>
      <c r="AF232" s="231"/>
      <c r="AG232" s="231"/>
    </row>
    <row r="233" spans="1:33" s="203" customFormat="1">
      <c r="A233" s="148"/>
      <c r="B233" s="29"/>
      <c r="C233" s="29"/>
      <c r="D233" s="172"/>
      <c r="E233" s="152"/>
      <c r="F233" s="29"/>
      <c r="G233" s="29"/>
      <c r="H233" s="131" t="s">
        <v>27</v>
      </c>
      <c r="I233" s="29"/>
      <c r="J233" s="231"/>
      <c r="K233" s="231"/>
      <c r="L233" s="231"/>
      <c r="M233" s="231"/>
      <c r="N233" s="231"/>
      <c r="O233" s="231"/>
      <c r="P233" s="231"/>
      <c r="Q233" s="231"/>
      <c r="R233" s="231"/>
      <c r="S233" s="231"/>
      <c r="T233" s="231"/>
      <c r="U233" s="231"/>
      <c r="V233" s="231"/>
      <c r="W233" s="231"/>
      <c r="X233" s="231"/>
      <c r="Y233" s="231"/>
      <c r="Z233" s="231"/>
      <c r="AA233" s="231"/>
      <c r="AB233" s="231"/>
      <c r="AC233" s="231"/>
      <c r="AD233" s="231"/>
      <c r="AE233" s="231"/>
      <c r="AF233" s="231"/>
      <c r="AG233" s="231"/>
    </row>
    <row r="234" spans="1:33" s="203" customFormat="1" ht="12.75" customHeight="1">
      <c r="A234" s="106" t="s">
        <v>12</v>
      </c>
      <c r="B234" s="164"/>
      <c r="C234" s="164"/>
      <c r="D234" s="164"/>
      <c r="E234" s="856" t="s">
        <v>377</v>
      </c>
      <c r="F234" s="856" t="s">
        <v>402</v>
      </c>
      <c r="G234" s="130"/>
      <c r="H234" s="856" t="s">
        <v>403</v>
      </c>
      <c r="I234" s="130"/>
      <c r="J234" s="231"/>
      <c r="K234" s="231"/>
      <c r="L234" s="231"/>
      <c r="M234" s="231"/>
      <c r="N234" s="231"/>
      <c r="O234" s="231"/>
      <c r="P234" s="231"/>
      <c r="Q234" s="231"/>
      <c r="R234" s="231"/>
      <c r="S234" s="231"/>
      <c r="T234" s="231"/>
      <c r="U234" s="231"/>
      <c r="V234" s="231"/>
      <c r="W234" s="231"/>
      <c r="X234" s="231"/>
      <c r="Y234" s="231"/>
      <c r="Z234" s="231"/>
      <c r="AA234" s="231"/>
      <c r="AB234" s="231"/>
      <c r="AC234" s="231"/>
      <c r="AD234" s="231"/>
      <c r="AE234" s="231"/>
      <c r="AF234" s="231"/>
      <c r="AG234" s="231"/>
    </row>
    <row r="235" spans="1:33" s="203" customFormat="1">
      <c r="A235" s="165"/>
      <c r="B235" s="47"/>
      <c r="C235" s="47"/>
      <c r="D235" s="47"/>
      <c r="E235" s="859"/>
      <c r="F235" s="859"/>
      <c r="G235" s="130"/>
      <c r="H235" s="859"/>
      <c r="I235" s="130"/>
      <c r="J235" s="231"/>
      <c r="K235" s="231"/>
      <c r="L235" s="231"/>
      <c r="M235" s="231"/>
      <c r="N235" s="231"/>
      <c r="O235" s="231"/>
      <c r="P235" s="231"/>
      <c r="Q235" s="231"/>
      <c r="R235" s="231"/>
      <c r="S235" s="231"/>
      <c r="T235" s="231"/>
      <c r="U235" s="231"/>
      <c r="V235" s="231"/>
      <c r="W235" s="231"/>
      <c r="X235" s="231"/>
      <c r="Y235" s="231"/>
      <c r="Z235" s="231"/>
      <c r="AA235" s="231"/>
      <c r="AB235" s="231"/>
      <c r="AC235" s="231"/>
      <c r="AD235" s="231"/>
      <c r="AE235" s="231"/>
      <c r="AF235" s="231"/>
      <c r="AG235" s="231"/>
    </row>
    <row r="236" spans="1:33" s="203" customFormat="1">
      <c r="A236" s="154" t="s">
        <v>186</v>
      </c>
      <c r="B236" s="174"/>
      <c r="C236" s="174"/>
      <c r="D236" s="174"/>
      <c r="E236" s="859"/>
      <c r="F236" s="859"/>
      <c r="G236" s="130"/>
      <c r="H236" s="859"/>
      <c r="I236" s="130"/>
      <c r="J236" s="231"/>
      <c r="K236" s="231"/>
      <c r="L236" s="231"/>
      <c r="M236" s="231"/>
      <c r="N236" s="231"/>
      <c r="O236" s="231"/>
      <c r="P236" s="231"/>
      <c r="Q236" s="231"/>
      <c r="R236" s="231"/>
      <c r="S236" s="231"/>
      <c r="T236" s="231"/>
      <c r="U236" s="231"/>
      <c r="V236" s="231"/>
      <c r="W236" s="231"/>
      <c r="X236" s="231"/>
      <c r="Y236" s="231"/>
      <c r="Z236" s="231"/>
      <c r="AA236" s="231"/>
      <c r="AB236" s="231"/>
      <c r="AC236" s="231"/>
      <c r="AD236" s="231"/>
      <c r="AE236" s="231"/>
      <c r="AF236" s="231"/>
      <c r="AG236" s="231"/>
    </row>
    <row r="237" spans="1:33" s="203" customFormat="1">
      <c r="A237" s="109" t="s">
        <v>83</v>
      </c>
      <c r="B237" s="47"/>
      <c r="C237" s="47"/>
      <c r="D237" s="47"/>
      <c r="E237" s="859"/>
      <c r="F237" s="859"/>
      <c r="G237" s="130"/>
      <c r="H237" s="859"/>
      <c r="I237" s="130"/>
      <c r="J237" s="231"/>
      <c r="K237" s="231"/>
      <c r="L237" s="231"/>
      <c r="M237" s="231"/>
      <c r="N237" s="231"/>
      <c r="O237" s="231"/>
      <c r="P237" s="231"/>
      <c r="Q237" s="231"/>
      <c r="R237" s="231"/>
      <c r="S237" s="231"/>
      <c r="T237" s="231"/>
      <c r="U237" s="231"/>
      <c r="V237" s="231"/>
      <c r="W237" s="231"/>
      <c r="X237" s="231"/>
      <c r="Y237" s="231"/>
      <c r="Z237" s="231"/>
      <c r="AA237" s="231"/>
      <c r="AB237" s="231"/>
      <c r="AC237" s="231"/>
      <c r="AD237" s="231"/>
      <c r="AE237" s="231"/>
      <c r="AF237" s="231"/>
      <c r="AG237" s="231"/>
    </row>
    <row r="238" spans="1:33" s="203" customFormat="1">
      <c r="A238" s="110" t="s">
        <v>84</v>
      </c>
      <c r="B238" s="174"/>
      <c r="C238" s="174"/>
      <c r="D238" s="174"/>
      <c r="E238" s="860"/>
      <c r="F238" s="860"/>
      <c r="G238" s="130"/>
      <c r="H238" s="860"/>
      <c r="I238" s="130"/>
      <c r="J238" s="231"/>
      <c r="K238" s="231"/>
      <c r="L238" s="231"/>
      <c r="M238" s="231"/>
      <c r="N238" s="231"/>
      <c r="O238" s="231"/>
      <c r="P238" s="231"/>
      <c r="Q238" s="231"/>
      <c r="R238" s="231"/>
      <c r="S238" s="231"/>
      <c r="T238" s="231"/>
      <c r="U238" s="231"/>
      <c r="V238" s="231"/>
      <c r="W238" s="231"/>
      <c r="X238" s="231"/>
      <c r="Y238" s="231"/>
      <c r="Z238" s="231"/>
      <c r="AA238" s="231"/>
      <c r="AB238" s="231"/>
      <c r="AC238" s="231"/>
      <c r="AD238" s="231"/>
      <c r="AE238" s="231"/>
      <c r="AF238" s="231"/>
      <c r="AG238" s="231"/>
    </row>
    <row r="239" spans="1:33" s="203" customFormat="1">
      <c r="A239" s="153" t="s">
        <v>187</v>
      </c>
      <c r="B239" s="116"/>
      <c r="C239" s="116"/>
      <c r="D239" s="116"/>
      <c r="E239" s="167"/>
      <c r="F239" s="146"/>
      <c r="G239" s="118"/>
      <c r="H239" s="146"/>
      <c r="I239" s="29"/>
      <c r="J239" s="231"/>
      <c r="K239" s="231"/>
      <c r="L239" s="231"/>
      <c r="M239" s="231"/>
      <c r="N239" s="231"/>
      <c r="O239" s="231"/>
      <c r="P239" s="231"/>
      <c r="Q239" s="231"/>
      <c r="R239" s="231"/>
      <c r="S239" s="231"/>
      <c r="T239" s="231"/>
      <c r="U239" s="231"/>
      <c r="V239" s="231"/>
      <c r="W239" s="231"/>
      <c r="X239" s="231"/>
      <c r="Y239" s="231"/>
      <c r="Z239" s="231"/>
      <c r="AA239" s="231"/>
      <c r="AB239" s="231"/>
      <c r="AC239" s="231"/>
      <c r="AD239" s="231"/>
      <c r="AE239" s="231"/>
      <c r="AF239" s="231"/>
      <c r="AG239" s="231"/>
    </row>
    <row r="240" spans="1:33" s="203" customFormat="1">
      <c r="A240" s="120">
        <v>1</v>
      </c>
      <c r="B240" s="47" t="s">
        <v>188</v>
      </c>
      <c r="C240" s="47"/>
      <c r="D240" s="47"/>
      <c r="E240" s="74">
        <v>77</v>
      </c>
      <c r="F240" s="52">
        <v>78</v>
      </c>
      <c r="G240" s="118"/>
      <c r="H240" s="122">
        <v>83</v>
      </c>
      <c r="I240" s="29"/>
      <c r="J240" s="231"/>
      <c r="K240" s="231"/>
      <c r="L240" s="231"/>
      <c r="M240" s="231"/>
      <c r="N240" s="231"/>
      <c r="O240" s="231"/>
      <c r="P240" s="231"/>
      <c r="Q240" s="231"/>
      <c r="R240" s="231"/>
      <c r="S240" s="231"/>
      <c r="T240" s="231"/>
      <c r="U240" s="231"/>
      <c r="V240" s="231"/>
      <c r="W240" s="231"/>
      <c r="X240" s="231"/>
      <c r="Y240" s="231"/>
      <c r="Z240" s="231"/>
      <c r="AA240" s="231"/>
      <c r="AB240" s="231"/>
      <c r="AC240" s="231"/>
      <c r="AD240" s="231"/>
      <c r="AE240" s="231"/>
      <c r="AF240" s="231"/>
      <c r="AG240" s="231"/>
    </row>
    <row r="241" spans="1:33" s="203" customFormat="1">
      <c r="A241" s="815">
        <v>2</v>
      </c>
      <c r="B241" s="47" t="s">
        <v>189</v>
      </c>
      <c r="C241" s="47"/>
      <c r="D241" s="47"/>
      <c r="E241" s="114">
        <v>392</v>
      </c>
      <c r="F241" s="52">
        <v>424</v>
      </c>
      <c r="G241" s="118"/>
      <c r="H241" s="100">
        <v>444</v>
      </c>
      <c r="I241" s="29"/>
      <c r="J241" s="231"/>
      <c r="K241" s="231"/>
      <c r="L241" s="231"/>
      <c r="M241" s="231"/>
      <c r="N241" s="231"/>
      <c r="O241" s="231"/>
      <c r="P241" s="231"/>
      <c r="Q241" s="231"/>
      <c r="R241" s="231"/>
      <c r="S241" s="231"/>
      <c r="T241" s="231"/>
      <c r="U241" s="231"/>
      <c r="V241" s="231"/>
      <c r="W241" s="231"/>
      <c r="X241" s="231"/>
      <c r="Y241" s="231"/>
      <c r="Z241" s="231"/>
      <c r="AA241" s="231"/>
      <c r="AB241" s="231"/>
      <c r="AC241" s="231"/>
      <c r="AD241" s="231"/>
      <c r="AE241" s="231"/>
      <c r="AF241" s="231"/>
      <c r="AG241" s="231"/>
    </row>
    <row r="242" spans="1:33" s="203" customFormat="1">
      <c r="A242" s="815">
        <v>3</v>
      </c>
      <c r="B242" s="168" t="s">
        <v>190</v>
      </c>
      <c r="C242" s="168"/>
      <c r="D242" s="168"/>
      <c r="E242" s="80">
        <v>469</v>
      </c>
      <c r="F242" s="142">
        <f>SUM(F240:F241)</f>
        <v>502</v>
      </c>
      <c r="G242" s="118"/>
      <c r="H242" s="142">
        <f>SUM(H240:H241)</f>
        <v>527</v>
      </c>
      <c r="I242" s="29"/>
      <c r="J242" s="231"/>
      <c r="K242" s="231"/>
      <c r="L242" s="231"/>
      <c r="M242" s="231"/>
      <c r="N242" s="231"/>
      <c r="O242" s="231"/>
      <c r="P242" s="231"/>
      <c r="Q242" s="231"/>
      <c r="R242" s="231"/>
      <c r="S242" s="231"/>
      <c r="T242" s="231"/>
      <c r="U242" s="231"/>
      <c r="V242" s="231"/>
      <c r="W242" s="231"/>
      <c r="X242" s="231"/>
      <c r="Y242" s="231"/>
      <c r="Z242" s="231"/>
      <c r="AA242" s="231"/>
      <c r="AB242" s="231"/>
      <c r="AC242" s="231"/>
      <c r="AD242" s="231"/>
      <c r="AE242" s="231"/>
      <c r="AF242" s="231"/>
      <c r="AG242" s="231"/>
    </row>
    <row r="243" spans="1:33" s="203" customFormat="1">
      <c r="A243" s="815"/>
      <c r="B243" s="116"/>
      <c r="C243" s="116"/>
      <c r="D243" s="116"/>
      <c r="E243" s="117"/>
      <c r="F243" s="118"/>
      <c r="G243" s="118"/>
      <c r="H243" s="118"/>
      <c r="I243" s="29"/>
      <c r="J243" s="231"/>
      <c r="K243" s="231"/>
      <c r="L243" s="231"/>
      <c r="M243" s="231"/>
      <c r="N243" s="231"/>
      <c r="O243" s="231"/>
      <c r="P243" s="231"/>
      <c r="Q243" s="231"/>
      <c r="R243" s="231"/>
      <c r="S243" s="231"/>
      <c r="T243" s="231"/>
      <c r="U243" s="231"/>
      <c r="V243" s="231"/>
      <c r="W243" s="231"/>
      <c r="X243" s="231"/>
      <c r="Y243" s="231"/>
      <c r="Z243" s="231"/>
      <c r="AA243" s="231"/>
      <c r="AB243" s="231"/>
      <c r="AC243" s="231"/>
      <c r="AD243" s="231"/>
      <c r="AE243" s="231"/>
      <c r="AF243" s="231"/>
      <c r="AG243" s="231"/>
    </row>
    <row r="244" spans="1:33" s="203" customFormat="1">
      <c r="A244" s="108" t="s">
        <v>191</v>
      </c>
      <c r="B244" s="47"/>
      <c r="C244" s="47"/>
      <c r="D244" s="47"/>
      <c r="E244" s="140"/>
      <c r="F244" s="146"/>
      <c r="G244" s="118"/>
      <c r="H244" s="146"/>
      <c r="I244" s="29"/>
      <c r="J244" s="231"/>
      <c r="K244" s="231"/>
      <c r="L244" s="231"/>
      <c r="M244" s="231"/>
      <c r="N244" s="231"/>
      <c r="O244" s="231"/>
      <c r="P244" s="231"/>
      <c r="Q244" s="231"/>
      <c r="R244" s="231"/>
      <c r="S244" s="231"/>
      <c r="T244" s="231"/>
      <c r="U244" s="231"/>
      <c r="V244" s="231"/>
      <c r="W244" s="231"/>
      <c r="X244" s="231"/>
      <c r="Y244" s="231"/>
      <c r="Z244" s="231"/>
      <c r="AA244" s="231"/>
      <c r="AB244" s="231"/>
      <c r="AC244" s="231"/>
      <c r="AD244" s="231"/>
      <c r="AE244" s="231"/>
      <c r="AF244" s="231"/>
      <c r="AG244" s="231"/>
    </row>
    <row r="245" spans="1:33" s="203" customFormat="1">
      <c r="A245" s="815">
        <v>4</v>
      </c>
      <c r="B245" s="47" t="s">
        <v>192</v>
      </c>
      <c r="C245" s="47"/>
      <c r="D245" s="47"/>
      <c r="E245" s="74">
        <v>20</v>
      </c>
      <c r="F245" s="52">
        <v>10</v>
      </c>
      <c r="G245" s="118"/>
      <c r="H245" s="122">
        <v>10</v>
      </c>
      <c r="I245" s="29"/>
      <c r="J245" s="231"/>
      <c r="K245" s="231"/>
      <c r="L245" s="231"/>
      <c r="M245" s="231"/>
      <c r="N245" s="231"/>
      <c r="O245" s="231"/>
      <c r="P245" s="231"/>
      <c r="Q245" s="231"/>
      <c r="R245" s="231"/>
      <c r="S245" s="231"/>
      <c r="T245" s="231"/>
      <c r="U245" s="231"/>
      <c r="V245" s="231"/>
      <c r="W245" s="231"/>
      <c r="X245" s="231"/>
      <c r="Y245" s="231"/>
      <c r="Z245" s="231"/>
      <c r="AA245" s="231"/>
      <c r="AB245" s="231"/>
      <c r="AC245" s="231"/>
      <c r="AD245" s="231"/>
      <c r="AE245" s="231"/>
      <c r="AF245" s="231"/>
      <c r="AG245" s="231"/>
    </row>
    <row r="246" spans="1:33" s="203" customFormat="1">
      <c r="A246" s="815">
        <v>5</v>
      </c>
      <c r="B246" s="47" t="s">
        <v>193</v>
      </c>
      <c r="C246" s="47"/>
      <c r="D246" s="47"/>
      <c r="E246" s="49">
        <v>0</v>
      </c>
      <c r="F246" s="52"/>
      <c r="G246" s="118"/>
      <c r="H246" s="100"/>
      <c r="I246" s="29"/>
      <c r="J246" s="231"/>
      <c r="K246" s="231"/>
      <c r="L246" s="231"/>
      <c r="M246" s="231"/>
      <c r="N246" s="231"/>
      <c r="O246" s="231"/>
      <c r="P246" s="231"/>
      <c r="Q246" s="231"/>
      <c r="R246" s="231"/>
      <c r="S246" s="231"/>
      <c r="T246" s="231"/>
      <c r="U246" s="231"/>
      <c r="V246" s="231"/>
      <c r="W246" s="231"/>
      <c r="X246" s="231"/>
      <c r="Y246" s="231"/>
      <c r="Z246" s="231"/>
      <c r="AA246" s="231"/>
      <c r="AB246" s="231"/>
      <c r="AC246" s="231"/>
      <c r="AD246" s="231"/>
      <c r="AE246" s="231"/>
      <c r="AF246" s="231"/>
      <c r="AG246" s="231"/>
    </row>
    <row r="247" spans="1:33" s="203" customFormat="1">
      <c r="A247" s="815">
        <v>6</v>
      </c>
      <c r="B247" s="116" t="s">
        <v>194</v>
      </c>
      <c r="C247" s="116"/>
      <c r="D247" s="116"/>
      <c r="E247" s="80">
        <v>20</v>
      </c>
      <c r="F247" s="142">
        <f>SUM(F245:F246)</f>
        <v>10</v>
      </c>
      <c r="G247" s="118"/>
      <c r="H247" s="142">
        <f>SUM(H245:H246)</f>
        <v>10</v>
      </c>
      <c r="I247" s="29"/>
      <c r="J247" s="231"/>
      <c r="K247" s="231"/>
      <c r="L247" s="231"/>
      <c r="M247" s="231"/>
      <c r="N247" s="231"/>
      <c r="O247" s="231"/>
      <c r="P247" s="231"/>
      <c r="Q247" s="231"/>
      <c r="R247" s="231"/>
      <c r="S247" s="231"/>
      <c r="T247" s="231"/>
      <c r="U247" s="231"/>
      <c r="V247" s="231"/>
      <c r="W247" s="231"/>
      <c r="X247" s="231"/>
      <c r="Y247" s="231"/>
      <c r="Z247" s="231"/>
      <c r="AA247" s="231"/>
      <c r="AB247" s="231"/>
      <c r="AC247" s="231"/>
      <c r="AD247" s="231"/>
      <c r="AE247" s="231"/>
      <c r="AF247" s="231"/>
      <c r="AG247" s="231"/>
    </row>
    <row r="248" spans="1:33" s="203" customFormat="1">
      <c r="A248" s="815"/>
      <c r="B248" s="116"/>
      <c r="C248" s="116"/>
      <c r="D248" s="116"/>
      <c r="E248" s="117"/>
      <c r="F248" s="118"/>
      <c r="G248" s="118"/>
      <c r="H248" s="118"/>
      <c r="I248" s="29"/>
      <c r="J248" s="231"/>
      <c r="K248" s="231"/>
      <c r="L248" s="231"/>
      <c r="M248" s="231"/>
      <c r="N248" s="231"/>
      <c r="O248" s="231"/>
      <c r="P248" s="231"/>
      <c r="Q248" s="231"/>
      <c r="R248" s="231"/>
      <c r="S248" s="231"/>
      <c r="T248" s="231"/>
      <c r="U248" s="231"/>
      <c r="V248" s="231"/>
      <c r="W248" s="231"/>
      <c r="X248" s="231"/>
      <c r="Y248" s="231"/>
      <c r="Z248" s="231"/>
      <c r="AA248" s="231"/>
      <c r="AB248" s="231"/>
      <c r="AC248" s="231"/>
      <c r="AD248" s="231"/>
      <c r="AE248" s="231"/>
      <c r="AF248" s="231"/>
      <c r="AG248" s="231"/>
    </row>
    <row r="249" spans="1:33" s="203" customFormat="1">
      <c r="A249" s="108" t="s">
        <v>195</v>
      </c>
      <c r="B249" s="116"/>
      <c r="C249" s="116"/>
      <c r="D249" s="116"/>
      <c r="E249" s="140"/>
      <c r="F249" s="146"/>
      <c r="G249" s="118"/>
      <c r="H249" s="146"/>
      <c r="I249" s="29"/>
      <c r="J249" s="231"/>
      <c r="K249" s="231"/>
      <c r="L249" s="231"/>
      <c r="M249" s="231"/>
      <c r="N249" s="231"/>
      <c r="O249" s="231"/>
      <c r="P249" s="231"/>
      <c r="Q249" s="231"/>
      <c r="R249" s="231"/>
      <c r="S249" s="231"/>
      <c r="T249" s="231"/>
      <c r="U249" s="231"/>
      <c r="V249" s="231"/>
      <c r="W249" s="231"/>
      <c r="X249" s="231"/>
      <c r="Y249" s="231"/>
      <c r="Z249" s="231"/>
      <c r="AA249" s="231"/>
      <c r="AB249" s="231"/>
      <c r="AC249" s="231"/>
      <c r="AD249" s="231"/>
      <c r="AE249" s="231"/>
      <c r="AF249" s="231"/>
      <c r="AG249" s="231"/>
    </row>
    <row r="250" spans="1:33" s="203" customFormat="1">
      <c r="A250" s="815">
        <v>7</v>
      </c>
      <c r="B250" s="47" t="s">
        <v>196</v>
      </c>
      <c r="C250" s="47"/>
      <c r="D250" s="47"/>
      <c r="E250" s="74">
        <v>0</v>
      </c>
      <c r="F250" s="52"/>
      <c r="G250" s="118"/>
      <c r="H250" s="52"/>
      <c r="I250" s="29"/>
      <c r="J250" s="231"/>
      <c r="K250" s="231"/>
      <c r="L250" s="231"/>
      <c r="M250" s="231"/>
      <c r="N250" s="231"/>
      <c r="O250" s="231"/>
      <c r="P250" s="231"/>
      <c r="Q250" s="231"/>
      <c r="R250" s="231"/>
      <c r="S250" s="231"/>
      <c r="T250" s="231"/>
      <c r="U250" s="231"/>
      <c r="V250" s="231"/>
      <c r="W250" s="231"/>
      <c r="X250" s="231"/>
      <c r="Y250" s="231"/>
      <c r="Z250" s="231"/>
      <c r="AA250" s="231"/>
      <c r="AB250" s="231"/>
      <c r="AC250" s="231"/>
      <c r="AD250" s="231"/>
      <c r="AE250" s="231"/>
      <c r="AF250" s="231"/>
      <c r="AG250" s="231"/>
    </row>
    <row r="251" spans="1:33" s="203" customFormat="1">
      <c r="A251" s="815">
        <v>8</v>
      </c>
      <c r="B251" s="47" t="s">
        <v>197</v>
      </c>
      <c r="C251" s="47"/>
      <c r="D251" s="47"/>
      <c r="E251" s="49">
        <v>3358</v>
      </c>
      <c r="F251" s="52">
        <v>3693</v>
      </c>
      <c r="G251" s="118"/>
      <c r="H251" s="122">
        <v>3809</v>
      </c>
      <c r="I251" s="29"/>
      <c r="J251" s="231"/>
      <c r="K251" s="231"/>
      <c r="L251" s="231"/>
      <c r="M251" s="231"/>
      <c r="N251" s="231"/>
      <c r="O251" s="231"/>
      <c r="P251" s="231"/>
      <c r="Q251" s="231"/>
      <c r="R251" s="231"/>
      <c r="S251" s="231"/>
      <c r="T251" s="231"/>
      <c r="U251" s="231"/>
      <c r="V251" s="231"/>
      <c r="W251" s="231"/>
      <c r="X251" s="231"/>
      <c r="Y251" s="231"/>
      <c r="Z251" s="231"/>
      <c r="AA251" s="231"/>
      <c r="AB251" s="231"/>
      <c r="AC251" s="231"/>
      <c r="AD251" s="231"/>
      <c r="AE251" s="231"/>
      <c r="AF251" s="231"/>
      <c r="AG251" s="231"/>
    </row>
    <row r="252" spans="1:33" s="203" customFormat="1">
      <c r="A252" s="815">
        <v>9</v>
      </c>
      <c r="B252" s="47" t="s">
        <v>198</v>
      </c>
      <c r="C252" s="47"/>
      <c r="D252" s="47"/>
      <c r="E252" s="49">
        <v>1692</v>
      </c>
      <c r="F252" s="52">
        <v>1544</v>
      </c>
      <c r="G252" s="118"/>
      <c r="H252" s="122">
        <v>1282</v>
      </c>
      <c r="I252" s="29"/>
      <c r="J252" s="231"/>
      <c r="K252" s="231"/>
      <c r="L252" s="231"/>
      <c r="M252" s="231"/>
      <c r="N252" s="231"/>
      <c r="O252" s="231"/>
      <c r="P252" s="231"/>
      <c r="Q252" s="231"/>
      <c r="R252" s="231"/>
      <c r="S252" s="231"/>
      <c r="T252" s="231"/>
      <c r="U252" s="231"/>
      <c r="V252" s="231"/>
      <c r="W252" s="231"/>
      <c r="X252" s="231"/>
      <c r="Y252" s="231"/>
      <c r="Z252" s="231"/>
      <c r="AA252" s="231"/>
      <c r="AB252" s="231"/>
      <c r="AC252" s="231"/>
      <c r="AD252" s="231"/>
      <c r="AE252" s="231"/>
      <c r="AF252" s="231"/>
      <c r="AG252" s="231"/>
    </row>
    <row r="253" spans="1:33" s="203" customFormat="1">
      <c r="A253" s="815">
        <v>10</v>
      </c>
      <c r="B253" s="47" t="s">
        <v>199</v>
      </c>
      <c r="C253" s="47"/>
      <c r="D253" s="47"/>
      <c r="E253" s="49">
        <v>2932</v>
      </c>
      <c r="F253" s="52">
        <v>3024</v>
      </c>
      <c r="G253" s="118"/>
      <c r="H253" s="100">
        <v>2874</v>
      </c>
      <c r="I253" s="29"/>
      <c r="J253" s="231"/>
      <c r="K253" s="231"/>
      <c r="L253" s="231"/>
      <c r="M253" s="231"/>
      <c r="N253" s="231"/>
      <c r="O253" s="231"/>
      <c r="P253" s="231"/>
      <c r="Q253" s="231"/>
      <c r="R253" s="231"/>
      <c r="S253" s="231"/>
      <c r="T253" s="231"/>
      <c r="U253" s="231"/>
      <c r="V253" s="231"/>
      <c r="W253" s="231"/>
      <c r="X253" s="231"/>
      <c r="Y253" s="231"/>
      <c r="Z253" s="231"/>
      <c r="AA253" s="231"/>
      <c r="AB253" s="231"/>
      <c r="AC253" s="231"/>
      <c r="AD253" s="231"/>
      <c r="AE253" s="231"/>
      <c r="AF253" s="231"/>
      <c r="AG253" s="231"/>
    </row>
    <row r="254" spans="1:33" s="203" customFormat="1">
      <c r="A254" s="815">
        <v>11</v>
      </c>
      <c r="B254" s="116" t="s">
        <v>200</v>
      </c>
      <c r="C254" s="116"/>
      <c r="D254" s="116"/>
      <c r="E254" s="80">
        <v>7982</v>
      </c>
      <c r="F254" s="142">
        <f>SUM(F250:F253)</f>
        <v>8261</v>
      </c>
      <c r="G254" s="118"/>
      <c r="H254" s="142">
        <f>SUM(H250:H253)</f>
        <v>7965</v>
      </c>
      <c r="I254" s="260"/>
      <c r="J254" s="231"/>
      <c r="K254" s="231"/>
      <c r="L254" s="231"/>
      <c r="M254" s="231"/>
      <c r="N254" s="231"/>
      <c r="O254" s="231"/>
      <c r="P254" s="231"/>
      <c r="Q254" s="231"/>
      <c r="R254" s="231"/>
      <c r="S254" s="231"/>
      <c r="T254" s="231"/>
      <c r="U254" s="231"/>
      <c r="V254" s="231"/>
      <c r="W254" s="231"/>
      <c r="X254" s="231"/>
      <c r="Y254" s="231"/>
      <c r="Z254" s="231"/>
      <c r="AA254" s="231"/>
      <c r="AB254" s="231"/>
      <c r="AC254" s="231"/>
      <c r="AD254" s="231"/>
      <c r="AE254" s="231"/>
      <c r="AF254" s="231"/>
      <c r="AG254" s="231"/>
    </row>
    <row r="255" spans="1:33" s="203" customFormat="1">
      <c r="A255" s="815"/>
      <c r="B255" s="116"/>
      <c r="C255" s="116"/>
      <c r="D255" s="116"/>
      <c r="E255" s="117"/>
      <c r="F255" s="118"/>
      <c r="G255" s="118"/>
      <c r="H255" s="118"/>
      <c r="I255" s="29"/>
      <c r="J255" s="231"/>
      <c r="K255" s="231"/>
      <c r="L255" s="231"/>
      <c r="M255" s="231"/>
      <c r="N255" s="231"/>
      <c r="O255" s="231"/>
      <c r="P255" s="231"/>
      <c r="Q255" s="231"/>
      <c r="R255" s="231"/>
      <c r="S255" s="231"/>
      <c r="T255" s="231"/>
      <c r="U255" s="231"/>
      <c r="V255" s="231"/>
      <c r="W255" s="231"/>
      <c r="X255" s="231"/>
      <c r="Y255" s="231"/>
      <c r="Z255" s="231"/>
      <c r="AA255" s="231"/>
      <c r="AB255" s="231"/>
      <c r="AC255" s="231"/>
      <c r="AD255" s="231"/>
      <c r="AE255" s="231"/>
      <c r="AF255" s="231"/>
      <c r="AG255" s="231"/>
    </row>
    <row r="256" spans="1:33" s="203" customFormat="1">
      <c r="A256" s="815">
        <v>12</v>
      </c>
      <c r="B256" s="47" t="s">
        <v>201</v>
      </c>
      <c r="C256" s="47"/>
      <c r="D256" s="47"/>
      <c r="E256" s="176">
        <v>1343</v>
      </c>
      <c r="F256" s="136">
        <v>1166</v>
      </c>
      <c r="G256" s="118"/>
      <c r="H256" s="177">
        <v>1331</v>
      </c>
      <c r="I256" s="260"/>
      <c r="J256" s="231"/>
      <c r="K256" s="231"/>
      <c r="L256" s="231"/>
      <c r="M256" s="231"/>
      <c r="N256" s="231"/>
      <c r="O256" s="231"/>
      <c r="P256" s="231"/>
      <c r="Q256" s="231"/>
      <c r="R256" s="231"/>
      <c r="S256" s="231"/>
      <c r="T256" s="231"/>
      <c r="U256" s="231"/>
      <c r="V256" s="231"/>
      <c r="W256" s="231"/>
      <c r="X256" s="231"/>
      <c r="Y256" s="231"/>
      <c r="Z256" s="231"/>
      <c r="AA256" s="231"/>
      <c r="AB256" s="231"/>
      <c r="AC256" s="231"/>
      <c r="AD256" s="231"/>
      <c r="AE256" s="231"/>
      <c r="AF256" s="231"/>
      <c r="AG256" s="231"/>
    </row>
    <row r="257" spans="1:33" s="203" customFormat="1">
      <c r="A257" s="124">
        <v>13</v>
      </c>
      <c r="B257" s="94" t="s">
        <v>202</v>
      </c>
      <c r="C257" s="94"/>
      <c r="D257" s="94"/>
      <c r="E257" s="159">
        <v>9814</v>
      </c>
      <c r="F257" s="61">
        <f>F242+F247+F254+F256</f>
        <v>9939</v>
      </c>
      <c r="G257" s="118"/>
      <c r="H257" s="61">
        <f>H242+H247+H254+H256</f>
        <v>9833</v>
      </c>
      <c r="I257" s="21"/>
      <c r="J257" s="231"/>
      <c r="K257" s="231"/>
      <c r="L257" s="231"/>
      <c r="M257" s="231"/>
      <c r="N257" s="231"/>
      <c r="O257" s="231"/>
      <c r="P257" s="231"/>
      <c r="Q257" s="231"/>
      <c r="R257" s="231"/>
      <c r="S257" s="231"/>
      <c r="T257" s="231"/>
      <c r="U257" s="231"/>
      <c r="V257" s="231"/>
      <c r="W257" s="231"/>
      <c r="X257" s="231"/>
      <c r="Y257" s="231"/>
      <c r="Z257" s="231"/>
      <c r="AA257" s="231"/>
      <c r="AB257" s="231"/>
      <c r="AC257" s="231"/>
      <c r="AD257" s="231"/>
      <c r="AE257" s="231"/>
      <c r="AF257" s="231"/>
      <c r="AG257" s="231"/>
    </row>
    <row r="258" spans="1:33" s="203" customFormat="1">
      <c r="A258" s="207"/>
      <c r="B258" s="207"/>
      <c r="C258" s="207"/>
      <c r="D258" s="208"/>
      <c r="E258" s="208"/>
      <c r="F258" s="207"/>
      <c r="G258" s="207"/>
      <c r="H258" s="207"/>
      <c r="I258" s="21"/>
      <c r="J258" s="231"/>
      <c r="K258" s="231"/>
      <c r="L258" s="231"/>
      <c r="M258" s="231"/>
      <c r="N258" s="231"/>
      <c r="O258" s="231"/>
      <c r="P258" s="231"/>
      <c r="Q258" s="231"/>
      <c r="R258" s="231"/>
      <c r="S258" s="231"/>
      <c r="T258" s="231"/>
      <c r="U258" s="231"/>
      <c r="V258" s="231"/>
      <c r="W258" s="231"/>
      <c r="X258" s="231"/>
      <c r="Y258" s="231"/>
      <c r="Z258" s="231"/>
      <c r="AA258" s="231"/>
      <c r="AB258" s="231"/>
      <c r="AC258" s="231"/>
      <c r="AD258" s="231"/>
      <c r="AE258" s="231"/>
      <c r="AF258" s="231"/>
      <c r="AG258" s="231"/>
    </row>
    <row r="259" spans="1:33" s="203" customFormat="1">
      <c r="A259" s="23"/>
      <c r="B259" s="207"/>
      <c r="C259" s="207"/>
      <c r="D259" s="207"/>
      <c r="E259" s="207"/>
      <c r="F259" s="207"/>
      <c r="G259" s="207"/>
      <c r="H259" s="21"/>
      <c r="I259" s="21"/>
      <c r="J259" s="231"/>
      <c r="K259" s="231"/>
      <c r="L259" s="231"/>
      <c r="M259" s="231"/>
      <c r="N259" s="231"/>
      <c r="O259" s="231"/>
      <c r="P259" s="231"/>
      <c r="Q259" s="231"/>
      <c r="R259" s="231"/>
      <c r="S259" s="231"/>
      <c r="T259" s="231"/>
      <c r="U259" s="231"/>
      <c r="V259" s="231"/>
      <c r="W259" s="231"/>
      <c r="X259" s="231"/>
      <c r="Y259" s="231"/>
      <c r="Z259" s="231"/>
      <c r="AA259" s="231"/>
      <c r="AB259" s="231"/>
      <c r="AC259" s="231"/>
      <c r="AD259" s="231"/>
      <c r="AE259" s="231"/>
      <c r="AF259" s="231"/>
      <c r="AG259" s="231"/>
    </row>
    <row r="260" spans="1:33" s="203" customFormat="1">
      <c r="A260" s="148"/>
      <c r="B260" s="29"/>
      <c r="C260" s="29"/>
      <c r="D260" s="172"/>
      <c r="E260" s="152"/>
      <c r="F260" s="29"/>
      <c r="G260" s="29"/>
      <c r="H260" s="131" t="s">
        <v>27</v>
      </c>
      <c r="I260" s="21"/>
      <c r="J260" s="231"/>
      <c r="K260" s="231"/>
      <c r="L260" s="231"/>
      <c r="M260" s="231"/>
      <c r="N260" s="231"/>
      <c r="O260" s="231"/>
      <c r="P260" s="231"/>
      <c r="Q260" s="231"/>
      <c r="R260" s="231"/>
      <c r="S260" s="231"/>
      <c r="T260" s="231"/>
      <c r="U260" s="231"/>
      <c r="V260" s="231"/>
      <c r="W260" s="231"/>
      <c r="X260" s="231"/>
      <c r="Y260" s="231"/>
      <c r="Z260" s="231"/>
      <c r="AA260" s="231"/>
      <c r="AB260" s="231"/>
      <c r="AC260" s="231"/>
      <c r="AD260" s="231"/>
      <c r="AE260" s="231"/>
      <c r="AF260" s="231"/>
      <c r="AG260" s="231"/>
    </row>
    <row r="261" spans="1:33" s="203" customFormat="1" ht="12.75" customHeight="1">
      <c r="A261" s="106" t="s">
        <v>15</v>
      </c>
      <c r="B261" s="164"/>
      <c r="C261" s="164"/>
      <c r="D261" s="164"/>
      <c r="E261" s="856" t="s">
        <v>377</v>
      </c>
      <c r="F261" s="856" t="s">
        <v>402</v>
      </c>
      <c r="G261" s="130"/>
      <c r="H261" s="856" t="s">
        <v>403</v>
      </c>
      <c r="I261" s="21"/>
      <c r="J261" s="231"/>
      <c r="K261" s="231"/>
      <c r="L261" s="231"/>
      <c r="M261" s="231"/>
      <c r="N261" s="231"/>
      <c r="O261" s="231"/>
      <c r="P261" s="231"/>
      <c r="Q261" s="231"/>
      <c r="R261" s="231"/>
      <c r="S261" s="231"/>
      <c r="T261" s="231"/>
      <c r="U261" s="231"/>
      <c r="V261" s="231"/>
      <c r="W261" s="231"/>
      <c r="X261" s="231"/>
      <c r="Y261" s="231"/>
      <c r="Z261" s="231"/>
      <c r="AA261" s="231"/>
      <c r="AB261" s="231"/>
      <c r="AC261" s="231"/>
      <c r="AD261" s="231"/>
      <c r="AE261" s="231"/>
      <c r="AF261" s="231"/>
      <c r="AG261" s="231"/>
    </row>
    <row r="262" spans="1:33" s="203" customFormat="1">
      <c r="A262" s="165"/>
      <c r="B262" s="47"/>
      <c r="C262" s="47"/>
      <c r="D262" s="47"/>
      <c r="E262" s="859"/>
      <c r="F262" s="859"/>
      <c r="G262" s="130"/>
      <c r="H262" s="859"/>
      <c r="I262" s="21"/>
      <c r="J262" s="231"/>
      <c r="K262" s="231"/>
      <c r="L262" s="231"/>
      <c r="M262" s="231"/>
      <c r="N262" s="231"/>
      <c r="O262" s="231"/>
      <c r="P262" s="231"/>
      <c r="Q262" s="231"/>
      <c r="R262" s="231"/>
      <c r="S262" s="231"/>
      <c r="T262" s="231"/>
      <c r="U262" s="231"/>
      <c r="V262" s="231"/>
      <c r="W262" s="231"/>
      <c r="X262" s="231"/>
      <c r="Y262" s="231"/>
      <c r="Z262" s="231"/>
      <c r="AA262" s="231"/>
      <c r="AB262" s="231"/>
      <c r="AC262" s="231"/>
      <c r="AD262" s="231"/>
      <c r="AE262" s="231"/>
      <c r="AF262" s="231"/>
      <c r="AG262" s="231"/>
    </row>
    <row r="263" spans="1:33" s="203" customFormat="1">
      <c r="A263" s="109"/>
      <c r="B263" s="174"/>
      <c r="C263" s="174"/>
      <c r="D263" s="174"/>
      <c r="E263" s="859"/>
      <c r="F263" s="859"/>
      <c r="G263" s="130"/>
      <c r="H263" s="859"/>
      <c r="I263" s="21"/>
      <c r="J263" s="231"/>
      <c r="K263" s="231"/>
      <c r="L263" s="231"/>
      <c r="M263" s="231"/>
      <c r="N263" s="231"/>
      <c r="O263" s="231"/>
      <c r="P263" s="231"/>
      <c r="Q263" s="231"/>
      <c r="R263" s="231"/>
      <c r="S263" s="231"/>
      <c r="T263" s="231"/>
      <c r="U263" s="231"/>
      <c r="V263" s="231"/>
      <c r="W263" s="231"/>
      <c r="X263" s="231"/>
      <c r="Y263" s="231"/>
      <c r="Z263" s="231"/>
      <c r="AA263" s="231"/>
      <c r="AB263" s="231"/>
      <c r="AC263" s="231"/>
      <c r="AD263" s="231"/>
      <c r="AE263" s="231"/>
      <c r="AF263" s="231"/>
      <c r="AG263" s="231"/>
    </row>
    <row r="264" spans="1:33" s="203" customFormat="1">
      <c r="A264" s="154" t="s">
        <v>203</v>
      </c>
      <c r="B264" s="47"/>
      <c r="C264" s="47"/>
      <c r="D264" s="47"/>
      <c r="E264" s="859"/>
      <c r="F264" s="859"/>
      <c r="G264" s="130"/>
      <c r="H264" s="859"/>
      <c r="I264" s="21"/>
      <c r="J264" s="231"/>
      <c r="K264" s="231"/>
      <c r="L264" s="231"/>
      <c r="M264" s="231"/>
      <c r="N264" s="231"/>
      <c r="O264" s="231"/>
      <c r="P264" s="231"/>
      <c r="Q264" s="231"/>
      <c r="R264" s="231"/>
      <c r="S264" s="231"/>
      <c r="T264" s="231"/>
      <c r="U264" s="231"/>
      <c r="V264" s="231"/>
      <c r="W264" s="231"/>
      <c r="X264" s="231"/>
      <c r="Y264" s="231"/>
      <c r="Z264" s="231"/>
      <c r="AA264" s="231"/>
      <c r="AB264" s="231"/>
      <c r="AC264" s="231"/>
      <c r="AD264" s="231"/>
      <c r="AE264" s="231"/>
      <c r="AF264" s="231"/>
      <c r="AG264" s="231"/>
    </row>
    <row r="265" spans="1:33" s="203" customFormat="1">
      <c r="A265" s="109" t="s">
        <v>83</v>
      </c>
      <c r="B265" s="174"/>
      <c r="C265" s="174"/>
      <c r="D265" s="174"/>
      <c r="E265" s="860"/>
      <c r="F265" s="860"/>
      <c r="G265" s="130"/>
      <c r="H265" s="860"/>
      <c r="I265" s="21"/>
      <c r="J265" s="231"/>
      <c r="K265" s="231"/>
      <c r="L265" s="231"/>
      <c r="M265" s="231"/>
      <c r="N265" s="231"/>
      <c r="O265" s="231"/>
      <c r="P265" s="231"/>
      <c r="Q265" s="231"/>
      <c r="R265" s="231"/>
      <c r="S265" s="231"/>
      <c r="T265" s="231"/>
      <c r="U265" s="231"/>
      <c r="V265" s="231"/>
      <c r="W265" s="231"/>
      <c r="X265" s="231"/>
      <c r="Y265" s="231"/>
      <c r="Z265" s="231"/>
      <c r="AA265" s="231"/>
      <c r="AB265" s="231"/>
      <c r="AC265" s="231"/>
      <c r="AD265" s="231"/>
      <c r="AE265" s="231"/>
      <c r="AF265" s="231"/>
      <c r="AG265" s="231"/>
    </row>
    <row r="266" spans="1:33" s="203" customFormat="1">
      <c r="A266" s="110" t="s">
        <v>84</v>
      </c>
      <c r="B266" s="116"/>
      <c r="C266" s="116"/>
      <c r="D266" s="116"/>
      <c r="E266" s="178"/>
      <c r="F266" s="146"/>
      <c r="G266" s="118"/>
      <c r="H266" s="146"/>
      <c r="I266" s="21"/>
      <c r="J266" s="231"/>
      <c r="K266" s="231"/>
      <c r="L266" s="231"/>
      <c r="M266" s="231"/>
      <c r="N266" s="231"/>
      <c r="O266" s="231"/>
      <c r="P266" s="231"/>
      <c r="Q266" s="231"/>
      <c r="R266" s="231"/>
      <c r="S266" s="231"/>
      <c r="T266" s="231"/>
      <c r="U266" s="231"/>
      <c r="V266" s="231"/>
      <c r="W266" s="231"/>
      <c r="X266" s="231"/>
      <c r="Y266" s="231"/>
      <c r="Z266" s="231"/>
      <c r="AA266" s="231"/>
      <c r="AB266" s="231"/>
      <c r="AC266" s="231"/>
      <c r="AD266" s="231"/>
      <c r="AE266" s="231"/>
      <c r="AF266" s="231"/>
      <c r="AG266" s="231"/>
    </row>
    <row r="267" spans="1:33" s="203" customFormat="1">
      <c r="A267" s="120">
        <v>1</v>
      </c>
      <c r="B267" s="47" t="s">
        <v>204</v>
      </c>
      <c r="C267" s="47"/>
      <c r="D267" s="47"/>
      <c r="E267" s="74">
        <v>0</v>
      </c>
      <c r="F267" s="52"/>
      <c r="G267" s="118"/>
      <c r="H267" s="122"/>
      <c r="I267" s="21"/>
      <c r="J267" s="231"/>
      <c r="K267" s="231"/>
      <c r="L267" s="231"/>
      <c r="M267" s="231"/>
      <c r="N267" s="231"/>
      <c r="O267" s="231"/>
      <c r="P267" s="231"/>
      <c r="Q267" s="231"/>
      <c r="R267" s="231"/>
      <c r="S267" s="231"/>
      <c r="T267" s="231"/>
      <c r="U267" s="231"/>
      <c r="V267" s="231"/>
      <c r="W267" s="231"/>
      <c r="X267" s="231"/>
      <c r="Y267" s="231"/>
      <c r="Z267" s="231"/>
      <c r="AA267" s="231"/>
      <c r="AB267" s="231"/>
      <c r="AC267" s="231"/>
      <c r="AD267" s="231"/>
      <c r="AE267" s="231"/>
      <c r="AF267" s="231"/>
      <c r="AG267" s="231"/>
    </row>
    <row r="268" spans="1:33" s="203" customFormat="1">
      <c r="A268" s="815">
        <v>2</v>
      </c>
      <c r="B268" s="166" t="s">
        <v>205</v>
      </c>
      <c r="C268" s="166"/>
      <c r="D268" s="47"/>
      <c r="E268" s="114">
        <v>197</v>
      </c>
      <c r="F268" s="52">
        <v>95</v>
      </c>
      <c r="G268" s="118"/>
      <c r="H268" s="122">
        <v>95</v>
      </c>
      <c r="I268" s="21"/>
      <c r="J268" s="231"/>
      <c r="K268" s="231"/>
      <c r="L268" s="231"/>
      <c r="M268" s="231"/>
      <c r="N268" s="231"/>
      <c r="O268" s="231"/>
      <c r="P268" s="231"/>
      <c r="Q268" s="231"/>
      <c r="R268" s="231"/>
      <c r="S268" s="231"/>
      <c r="T268" s="231"/>
      <c r="U268" s="231"/>
      <c r="V268" s="231"/>
      <c r="W268" s="231"/>
      <c r="X268" s="231"/>
      <c r="Y268" s="231"/>
      <c r="Z268" s="231"/>
      <c r="AA268" s="231"/>
      <c r="AB268" s="231"/>
      <c r="AC268" s="231"/>
      <c r="AD268" s="231"/>
      <c r="AE268" s="231"/>
      <c r="AF268" s="231"/>
      <c r="AG268" s="231"/>
    </row>
    <row r="269" spans="1:33" s="203" customFormat="1">
      <c r="A269" s="120">
        <v>3</v>
      </c>
      <c r="B269" s="47" t="s">
        <v>206</v>
      </c>
      <c r="C269" s="47"/>
      <c r="D269" s="168"/>
      <c r="E269" s="114">
        <v>178</v>
      </c>
      <c r="F269" s="52">
        <v>150.10000000000002</v>
      </c>
      <c r="G269" s="118"/>
      <c r="H269" s="122">
        <v>164.8</v>
      </c>
      <c r="I269" s="21"/>
      <c r="J269" s="231"/>
      <c r="K269" s="231"/>
      <c r="L269" s="231"/>
      <c r="M269" s="231"/>
      <c r="N269" s="231"/>
      <c r="O269" s="231"/>
      <c r="P269" s="231"/>
      <c r="Q269" s="231"/>
      <c r="R269" s="231"/>
      <c r="S269" s="231"/>
      <c r="T269" s="231"/>
      <c r="U269" s="231"/>
      <c r="V269" s="231"/>
      <c r="W269" s="231"/>
      <c r="X269" s="231"/>
      <c r="Y269" s="231"/>
      <c r="Z269" s="231"/>
      <c r="AA269" s="231"/>
      <c r="AB269" s="231"/>
      <c r="AC269" s="231"/>
      <c r="AD269" s="231"/>
      <c r="AE269" s="231"/>
      <c r="AF269" s="231"/>
      <c r="AG269" s="231"/>
    </row>
    <row r="270" spans="1:33" s="203" customFormat="1">
      <c r="A270" s="815">
        <v>4</v>
      </c>
      <c r="B270" s="47" t="s">
        <v>207</v>
      </c>
      <c r="C270" s="47"/>
      <c r="D270" s="116"/>
      <c r="E270" s="114">
        <v>0</v>
      </c>
      <c r="F270" s="52"/>
      <c r="G270" s="118"/>
      <c r="H270" s="122"/>
      <c r="I270" s="21"/>
      <c r="J270" s="231"/>
      <c r="K270" s="231"/>
      <c r="L270" s="231"/>
      <c r="M270" s="231"/>
      <c r="N270" s="231"/>
      <c r="O270" s="231"/>
      <c r="P270" s="231"/>
      <c r="Q270" s="231"/>
      <c r="R270" s="231"/>
      <c r="S270" s="231"/>
      <c r="T270" s="231"/>
      <c r="U270" s="231"/>
      <c r="V270" s="231"/>
      <c r="W270" s="231"/>
      <c r="X270" s="231"/>
      <c r="Y270" s="231"/>
      <c r="Z270" s="231"/>
      <c r="AA270" s="231"/>
      <c r="AB270" s="231"/>
      <c r="AC270" s="231"/>
      <c r="AD270" s="231"/>
      <c r="AE270" s="231"/>
      <c r="AF270" s="231"/>
      <c r="AG270" s="231"/>
    </row>
    <row r="271" spans="1:33" s="203" customFormat="1">
      <c r="A271" s="120">
        <v>5</v>
      </c>
      <c r="B271" s="47" t="s">
        <v>208</v>
      </c>
      <c r="C271" s="47"/>
      <c r="D271" s="47"/>
      <c r="E271" s="114">
        <v>-18</v>
      </c>
      <c r="F271" s="52">
        <v>-101</v>
      </c>
      <c r="G271" s="118"/>
      <c r="H271" s="122">
        <v>-63</v>
      </c>
      <c r="I271" s="21"/>
      <c r="J271" s="231"/>
      <c r="K271" s="231"/>
      <c r="L271" s="231"/>
      <c r="M271" s="231"/>
      <c r="N271" s="231"/>
      <c r="O271" s="231"/>
      <c r="P271" s="231"/>
      <c r="Q271" s="231"/>
      <c r="R271" s="231"/>
      <c r="S271" s="231"/>
      <c r="T271" s="231"/>
      <c r="U271" s="231"/>
      <c r="V271" s="231"/>
      <c r="W271" s="231"/>
      <c r="X271" s="231"/>
      <c r="Y271" s="231"/>
      <c r="Z271" s="231"/>
      <c r="AA271" s="231"/>
      <c r="AB271" s="231"/>
      <c r="AC271" s="231"/>
      <c r="AD271" s="231"/>
      <c r="AE271" s="231"/>
      <c r="AF271" s="231"/>
      <c r="AG271" s="231"/>
    </row>
    <row r="272" spans="1:33" s="203" customFormat="1">
      <c r="A272" s="815">
        <v>6</v>
      </c>
      <c r="B272" s="47" t="s">
        <v>209</v>
      </c>
      <c r="C272" s="47"/>
      <c r="D272" s="47"/>
      <c r="E272" s="114">
        <v>104</v>
      </c>
      <c r="F272" s="52">
        <v>75</v>
      </c>
      <c r="G272" s="118"/>
      <c r="H272" s="122">
        <v>104</v>
      </c>
      <c r="I272" s="21"/>
      <c r="J272" s="231"/>
      <c r="K272" s="231"/>
      <c r="L272" s="231"/>
      <c r="M272" s="231"/>
      <c r="N272" s="231"/>
      <c r="O272" s="231"/>
      <c r="P272" s="231"/>
      <c r="Q272" s="231"/>
      <c r="R272" s="231"/>
      <c r="S272" s="231"/>
      <c r="T272" s="231"/>
      <c r="U272" s="231"/>
      <c r="V272" s="231"/>
      <c r="W272" s="231"/>
      <c r="X272" s="231"/>
      <c r="Y272" s="231"/>
      <c r="Z272" s="231"/>
      <c r="AA272" s="231"/>
      <c r="AB272" s="231"/>
      <c r="AC272" s="231"/>
      <c r="AD272" s="231"/>
      <c r="AE272" s="231"/>
      <c r="AF272" s="231"/>
      <c r="AG272" s="231"/>
    </row>
    <row r="273" spans="1:33" s="203" customFormat="1">
      <c r="A273" s="120">
        <v>7</v>
      </c>
      <c r="B273" s="47" t="s">
        <v>210</v>
      </c>
      <c r="C273" s="47"/>
      <c r="D273" s="47"/>
      <c r="E273" s="114">
        <v>1156</v>
      </c>
      <c r="F273" s="52">
        <v>1099</v>
      </c>
      <c r="G273" s="118"/>
      <c r="H273" s="122">
        <v>1112.5</v>
      </c>
      <c r="I273" s="21"/>
      <c r="J273" s="231"/>
      <c r="K273" s="231"/>
      <c r="L273" s="231"/>
      <c r="M273" s="231"/>
      <c r="N273" s="231"/>
      <c r="O273" s="231"/>
      <c r="P273" s="231"/>
      <c r="Q273" s="231"/>
      <c r="R273" s="231"/>
      <c r="S273" s="231"/>
      <c r="T273" s="231"/>
      <c r="U273" s="231"/>
      <c r="V273" s="231"/>
      <c r="W273" s="231"/>
      <c r="X273" s="231"/>
      <c r="Y273" s="231"/>
      <c r="Z273" s="231"/>
      <c r="AA273" s="231"/>
      <c r="AB273" s="231"/>
      <c r="AC273" s="231"/>
      <c r="AD273" s="231"/>
      <c r="AE273" s="231"/>
      <c r="AF273" s="231"/>
      <c r="AG273" s="231"/>
    </row>
    <row r="274" spans="1:33" s="203" customFormat="1">
      <c r="A274" s="815">
        <v>8</v>
      </c>
      <c r="B274" s="47" t="s">
        <v>211</v>
      </c>
      <c r="C274" s="47"/>
      <c r="D274" s="47"/>
      <c r="E274" s="114">
        <v>0</v>
      </c>
      <c r="F274" s="52"/>
      <c r="G274" s="118"/>
      <c r="H274" s="122"/>
      <c r="I274" s="21"/>
      <c r="J274" s="231"/>
      <c r="K274" s="231"/>
      <c r="L274" s="231"/>
      <c r="M274" s="231"/>
      <c r="N274" s="231"/>
      <c r="O274" s="231"/>
      <c r="P274" s="231"/>
      <c r="Q274" s="231"/>
      <c r="R274" s="231"/>
      <c r="S274" s="231"/>
      <c r="T274" s="231"/>
      <c r="U274" s="231"/>
      <c r="V274" s="231"/>
      <c r="W274" s="231"/>
      <c r="X274" s="231"/>
      <c r="Y274" s="231"/>
      <c r="Z274" s="231"/>
      <c r="AA274" s="231"/>
      <c r="AB274" s="231"/>
      <c r="AC274" s="231"/>
      <c r="AD274" s="231"/>
      <c r="AE274" s="231"/>
      <c r="AF274" s="231"/>
      <c r="AG274" s="231"/>
    </row>
    <row r="275" spans="1:33" s="203" customFormat="1">
      <c r="A275" s="120">
        <v>9</v>
      </c>
      <c r="B275" s="47" t="s">
        <v>212</v>
      </c>
      <c r="C275" s="47"/>
      <c r="D275" s="47"/>
      <c r="E275" s="114">
        <v>123</v>
      </c>
      <c r="F275" s="52">
        <v>62</v>
      </c>
      <c r="G275" s="118"/>
      <c r="H275" s="122">
        <v>78</v>
      </c>
      <c r="I275" s="21"/>
      <c r="J275" s="231"/>
      <c r="K275" s="231"/>
      <c r="L275" s="231"/>
      <c r="M275" s="231"/>
      <c r="N275" s="231"/>
      <c r="O275" s="231"/>
      <c r="P275" s="231"/>
      <c r="Q275" s="231"/>
      <c r="R275" s="231"/>
      <c r="S275" s="231"/>
      <c r="T275" s="231"/>
      <c r="U275" s="231"/>
      <c r="V275" s="231"/>
      <c r="W275" s="231"/>
      <c r="X275" s="231"/>
      <c r="Y275" s="231"/>
      <c r="Z275" s="231"/>
      <c r="AA275" s="231"/>
      <c r="AB275" s="231"/>
      <c r="AC275" s="231"/>
      <c r="AD275" s="231"/>
      <c r="AE275" s="231"/>
      <c r="AF275" s="231"/>
      <c r="AG275" s="231"/>
    </row>
    <row r="276" spans="1:33" s="203" customFormat="1">
      <c r="A276" s="815">
        <v>10</v>
      </c>
      <c r="B276" s="47" t="s">
        <v>213</v>
      </c>
      <c r="C276" s="47"/>
      <c r="D276" s="47"/>
      <c r="E276" s="114">
        <v>2376</v>
      </c>
      <c r="F276" s="52">
        <v>2759</v>
      </c>
      <c r="G276" s="118"/>
      <c r="H276" s="99">
        <v>2212</v>
      </c>
      <c r="I276" s="21"/>
      <c r="J276" s="231"/>
      <c r="K276" s="231"/>
      <c r="L276" s="231"/>
      <c r="M276" s="231"/>
      <c r="N276" s="231"/>
      <c r="O276" s="231"/>
      <c r="P276" s="231"/>
      <c r="Q276" s="231"/>
      <c r="R276" s="231"/>
      <c r="S276" s="231"/>
      <c r="T276" s="231"/>
      <c r="U276" s="231"/>
      <c r="V276" s="231"/>
      <c r="W276" s="231"/>
      <c r="X276" s="231"/>
      <c r="Y276" s="231"/>
      <c r="Z276" s="231"/>
      <c r="AA276" s="231"/>
      <c r="AB276" s="231"/>
      <c r="AC276" s="231"/>
      <c r="AD276" s="231"/>
      <c r="AE276" s="231"/>
      <c r="AF276" s="231"/>
      <c r="AG276" s="231"/>
    </row>
    <row r="277" spans="1:33" s="203" customFormat="1">
      <c r="A277" s="124">
        <v>11</v>
      </c>
      <c r="B277" s="94" t="s">
        <v>214</v>
      </c>
      <c r="C277" s="94"/>
      <c r="D277" s="94"/>
      <c r="E277" s="159">
        <v>4116</v>
      </c>
      <c r="F277" s="61">
        <f>SUM(F267:F276)</f>
        <v>4139.1000000000004</v>
      </c>
      <c r="G277" s="118"/>
      <c r="H277" s="61">
        <f>SUM(H267:H276)</f>
        <v>3703.3</v>
      </c>
      <c r="I277" s="21"/>
      <c r="J277" s="231"/>
      <c r="K277" s="231"/>
      <c r="L277" s="231"/>
      <c r="M277" s="231"/>
      <c r="N277" s="231"/>
      <c r="O277" s="231"/>
      <c r="P277" s="231"/>
      <c r="Q277" s="231"/>
      <c r="R277" s="231"/>
      <c r="S277" s="231"/>
      <c r="T277" s="231"/>
      <c r="U277" s="231"/>
      <c r="V277" s="231"/>
      <c r="W277" s="231"/>
      <c r="X277" s="231"/>
      <c r="Y277" s="231"/>
      <c r="Z277" s="231"/>
      <c r="AA277" s="231"/>
      <c r="AB277" s="231"/>
      <c r="AC277" s="231"/>
      <c r="AD277" s="231"/>
      <c r="AE277" s="231"/>
      <c r="AF277" s="231"/>
      <c r="AG277" s="231"/>
    </row>
    <row r="278" spans="1:33" s="203" customFormat="1">
      <c r="A278" s="207"/>
      <c r="B278" s="207"/>
      <c r="C278" s="207"/>
      <c r="D278" s="207"/>
      <c r="E278" s="207"/>
      <c r="F278" s="207"/>
      <c r="G278" s="207"/>
      <c r="H278" s="207"/>
      <c r="I278" s="21"/>
      <c r="J278" s="231"/>
      <c r="K278" s="231"/>
      <c r="L278" s="231"/>
      <c r="M278" s="231"/>
      <c r="N278" s="231"/>
      <c r="O278" s="231"/>
      <c r="P278" s="231"/>
      <c r="Q278" s="231"/>
      <c r="R278" s="231"/>
      <c r="S278" s="231"/>
      <c r="T278" s="231"/>
      <c r="U278" s="231"/>
      <c r="V278" s="231"/>
      <c r="W278" s="231"/>
      <c r="X278" s="231"/>
      <c r="Y278" s="231"/>
      <c r="Z278" s="231"/>
      <c r="AA278" s="231"/>
      <c r="AB278" s="231"/>
      <c r="AC278" s="231"/>
      <c r="AD278" s="231"/>
      <c r="AE278" s="231"/>
      <c r="AF278" s="231"/>
      <c r="AG278" s="231"/>
    </row>
    <row r="279" spans="1:33" s="203" customFormat="1">
      <c r="A279" s="207"/>
      <c r="B279" s="207"/>
      <c r="C279" s="207"/>
      <c r="D279" s="207"/>
      <c r="E279" s="207"/>
      <c r="F279" s="207"/>
      <c r="G279" s="207"/>
      <c r="H279" s="131" t="s">
        <v>27</v>
      </c>
      <c r="I279" s="21"/>
      <c r="J279" s="231"/>
      <c r="K279" s="231"/>
      <c r="L279" s="231"/>
      <c r="M279" s="231"/>
      <c r="N279" s="231"/>
      <c r="O279" s="231"/>
      <c r="P279" s="231"/>
      <c r="Q279" s="231"/>
      <c r="R279" s="231"/>
      <c r="S279" s="231"/>
      <c r="T279" s="231"/>
      <c r="U279" s="231"/>
      <c r="V279" s="231"/>
      <c r="W279" s="231"/>
      <c r="X279" s="231"/>
      <c r="Y279" s="231"/>
      <c r="Z279" s="231"/>
      <c r="AA279" s="231"/>
      <c r="AB279" s="231"/>
      <c r="AC279" s="231"/>
      <c r="AD279" s="231"/>
      <c r="AE279" s="231"/>
      <c r="AF279" s="231"/>
      <c r="AG279" s="231"/>
    </row>
    <row r="280" spans="1:33" s="203" customFormat="1" ht="12.75" customHeight="1">
      <c r="A280" s="106" t="s">
        <v>18</v>
      </c>
      <c r="B280" s="164"/>
      <c r="C280" s="164"/>
      <c r="D280" s="164"/>
      <c r="E280" s="856" t="s">
        <v>377</v>
      </c>
      <c r="F280" s="856" t="s">
        <v>402</v>
      </c>
      <c r="G280" s="130"/>
      <c r="H280" s="856" t="s">
        <v>403</v>
      </c>
      <c r="I280" s="21"/>
      <c r="J280" s="231"/>
      <c r="K280" s="231"/>
      <c r="L280" s="231"/>
      <c r="M280" s="231"/>
      <c r="N280" s="231"/>
      <c r="O280" s="231"/>
      <c r="P280" s="231"/>
      <c r="Q280" s="231"/>
      <c r="R280" s="231"/>
      <c r="S280" s="231"/>
      <c r="T280" s="231"/>
      <c r="U280" s="231"/>
      <c r="V280" s="231"/>
      <c r="W280" s="231"/>
      <c r="X280" s="231"/>
      <c r="Y280" s="231"/>
      <c r="Z280" s="231"/>
      <c r="AA280" s="231"/>
      <c r="AB280" s="231"/>
      <c r="AC280" s="231"/>
      <c r="AD280" s="231"/>
      <c r="AE280" s="231"/>
      <c r="AF280" s="231"/>
      <c r="AG280" s="231"/>
    </row>
    <row r="281" spans="1:33" s="203" customFormat="1">
      <c r="A281" s="165"/>
      <c r="B281" s="47"/>
      <c r="C281" s="47"/>
      <c r="D281" s="47"/>
      <c r="E281" s="859"/>
      <c r="F281" s="859"/>
      <c r="G281" s="130"/>
      <c r="H281" s="859"/>
      <c r="I281" s="21"/>
      <c r="J281" s="231"/>
      <c r="K281" s="231"/>
      <c r="L281" s="231"/>
      <c r="M281" s="231"/>
      <c r="N281" s="231"/>
      <c r="O281" s="231"/>
      <c r="P281" s="231"/>
      <c r="Q281" s="231"/>
      <c r="R281" s="231"/>
      <c r="S281" s="231"/>
      <c r="T281" s="231"/>
      <c r="U281" s="231"/>
      <c r="V281" s="231"/>
      <c r="W281" s="231"/>
      <c r="X281" s="231"/>
      <c r="Y281" s="231"/>
      <c r="Z281" s="231"/>
      <c r="AA281" s="231"/>
      <c r="AB281" s="231"/>
      <c r="AC281" s="231"/>
      <c r="AD281" s="231"/>
      <c r="AE281" s="231"/>
      <c r="AF281" s="231"/>
      <c r="AG281" s="231"/>
    </row>
    <row r="282" spans="1:33" s="203" customFormat="1" ht="21.75" customHeight="1">
      <c r="A282" s="109"/>
      <c r="B282" s="174"/>
      <c r="C282" s="174"/>
      <c r="D282" s="174"/>
      <c r="E282" s="859"/>
      <c r="F282" s="859"/>
      <c r="G282" s="130"/>
      <c r="H282" s="859"/>
      <c r="I282" s="21"/>
      <c r="J282" s="231"/>
      <c r="K282" s="231"/>
      <c r="L282" s="231"/>
      <c r="M282" s="231"/>
      <c r="N282" s="231"/>
      <c r="O282" s="231"/>
      <c r="P282" s="231"/>
      <c r="Q282" s="231"/>
      <c r="R282" s="231"/>
      <c r="S282" s="231"/>
      <c r="T282" s="231"/>
      <c r="U282" s="231"/>
      <c r="V282" s="231"/>
      <c r="W282" s="231"/>
      <c r="X282" s="231"/>
      <c r="Y282" s="231"/>
      <c r="Z282" s="231"/>
      <c r="AA282" s="231"/>
      <c r="AB282" s="231"/>
      <c r="AC282" s="231"/>
      <c r="AD282" s="231"/>
      <c r="AE282" s="231"/>
      <c r="AF282" s="231"/>
      <c r="AG282" s="231"/>
    </row>
    <row r="283" spans="1:33" s="203" customFormat="1">
      <c r="A283" s="154" t="s">
        <v>215</v>
      </c>
      <c r="B283" s="47"/>
      <c r="C283" s="47"/>
      <c r="D283" s="47"/>
      <c r="E283" s="859"/>
      <c r="F283" s="859"/>
      <c r="G283" s="130"/>
      <c r="H283" s="859"/>
      <c r="I283" s="21"/>
      <c r="J283" s="231"/>
      <c r="K283" s="231"/>
      <c r="L283" s="231"/>
      <c r="M283" s="231"/>
      <c r="N283" s="231"/>
      <c r="O283" s="231"/>
      <c r="P283" s="231"/>
      <c r="Q283" s="231"/>
      <c r="R283" s="231"/>
      <c r="S283" s="231"/>
      <c r="T283" s="231"/>
      <c r="U283" s="231"/>
      <c r="V283" s="231"/>
      <c r="W283" s="231"/>
      <c r="X283" s="231"/>
      <c r="Y283" s="231"/>
      <c r="Z283" s="231"/>
      <c r="AA283" s="231"/>
      <c r="AB283" s="231"/>
      <c r="AC283" s="231"/>
      <c r="AD283" s="231"/>
      <c r="AE283" s="231"/>
      <c r="AF283" s="231"/>
      <c r="AG283" s="231"/>
    </row>
    <row r="284" spans="1:33" s="203" customFormat="1">
      <c r="A284" s="109" t="s">
        <v>83</v>
      </c>
      <c r="B284" s="174"/>
      <c r="C284" s="174"/>
      <c r="D284" s="174"/>
      <c r="E284" s="860"/>
      <c r="F284" s="860"/>
      <c r="G284" s="130"/>
      <c r="H284" s="860"/>
      <c r="I284" s="21"/>
      <c r="J284" s="231"/>
      <c r="K284" s="231"/>
      <c r="L284" s="231"/>
      <c r="M284" s="231"/>
      <c r="N284" s="231"/>
      <c r="O284" s="231"/>
      <c r="P284" s="231"/>
      <c r="Q284" s="231"/>
      <c r="R284" s="231"/>
      <c r="S284" s="231"/>
      <c r="T284" s="231"/>
      <c r="U284" s="231"/>
      <c r="V284" s="231"/>
      <c r="W284" s="231"/>
      <c r="X284" s="231"/>
      <c r="Y284" s="231"/>
      <c r="Z284" s="231"/>
      <c r="AA284" s="231"/>
      <c r="AB284" s="231"/>
      <c r="AC284" s="231"/>
      <c r="AD284" s="231"/>
      <c r="AE284" s="231"/>
      <c r="AF284" s="231"/>
      <c r="AG284" s="231"/>
    </row>
    <row r="285" spans="1:33" s="203" customFormat="1">
      <c r="A285" s="110" t="s">
        <v>84</v>
      </c>
      <c r="B285" s="116"/>
      <c r="C285" s="116"/>
      <c r="D285" s="116"/>
      <c r="E285" s="178"/>
      <c r="F285" s="146"/>
      <c r="G285" s="118"/>
      <c r="H285" s="146"/>
      <c r="I285" s="21"/>
      <c r="J285" s="231"/>
      <c r="K285" s="231"/>
      <c r="L285" s="231"/>
      <c r="M285" s="231"/>
      <c r="N285" s="231"/>
      <c r="O285" s="231"/>
      <c r="P285" s="231"/>
      <c r="Q285" s="231"/>
      <c r="R285" s="231"/>
      <c r="S285" s="231"/>
      <c r="T285" s="231"/>
      <c r="U285" s="231"/>
      <c r="V285" s="231"/>
      <c r="W285" s="231"/>
      <c r="X285" s="231"/>
      <c r="Y285" s="231"/>
      <c r="Z285" s="231"/>
      <c r="AA285" s="231"/>
      <c r="AB285" s="231"/>
      <c r="AC285" s="231"/>
      <c r="AD285" s="231"/>
      <c r="AE285" s="231"/>
      <c r="AF285" s="231"/>
      <c r="AG285" s="231"/>
    </row>
    <row r="286" spans="1:33" s="203" customFormat="1">
      <c r="A286" s="120">
        <v>1</v>
      </c>
      <c r="B286" s="47" t="s">
        <v>216</v>
      </c>
      <c r="C286" s="47"/>
      <c r="D286" s="47"/>
      <c r="E286" s="74">
        <v>514</v>
      </c>
      <c r="F286" s="52">
        <v>466</v>
      </c>
      <c r="G286" s="118"/>
      <c r="H286" s="122">
        <v>522</v>
      </c>
      <c r="I286" s="21"/>
      <c r="J286" s="231"/>
      <c r="K286" s="231"/>
      <c r="L286" s="231"/>
      <c r="M286" s="231"/>
      <c r="N286" s="231"/>
      <c r="O286" s="231"/>
      <c r="P286" s="231"/>
      <c r="Q286" s="231"/>
      <c r="R286" s="231"/>
      <c r="S286" s="231"/>
      <c r="T286" s="231"/>
      <c r="U286" s="231"/>
      <c r="V286" s="231"/>
      <c r="W286" s="231"/>
      <c r="X286" s="231"/>
      <c r="Y286" s="231"/>
      <c r="Z286" s="231"/>
      <c r="AA286" s="231"/>
      <c r="AB286" s="231"/>
      <c r="AC286" s="231"/>
      <c r="AD286" s="231"/>
      <c r="AE286" s="231"/>
      <c r="AF286" s="231"/>
      <c r="AG286" s="231"/>
    </row>
    <row r="287" spans="1:33" s="203" customFormat="1">
      <c r="A287" s="815">
        <v>2</v>
      </c>
      <c r="B287" s="47" t="s">
        <v>217</v>
      </c>
      <c r="C287" s="47"/>
      <c r="D287" s="47"/>
      <c r="E287" s="114">
        <v>74</v>
      </c>
      <c r="F287" s="52">
        <v>70</v>
      </c>
      <c r="G287" s="118"/>
      <c r="H287" s="122">
        <v>88</v>
      </c>
      <c r="I287" s="21"/>
      <c r="J287" s="231"/>
      <c r="K287" s="231"/>
      <c r="L287" s="231"/>
      <c r="M287" s="231"/>
      <c r="N287" s="231"/>
      <c r="O287" s="231"/>
      <c r="P287" s="231"/>
      <c r="Q287" s="231"/>
      <c r="R287" s="231"/>
      <c r="S287" s="231"/>
      <c r="T287" s="231"/>
      <c r="U287" s="231"/>
      <c r="V287" s="231"/>
      <c r="W287" s="231"/>
      <c r="X287" s="231"/>
      <c r="Y287" s="231"/>
      <c r="Z287" s="231"/>
      <c r="AA287" s="231"/>
      <c r="AB287" s="231"/>
      <c r="AC287" s="231"/>
      <c r="AD287" s="231"/>
      <c r="AE287" s="231"/>
      <c r="AF287" s="231"/>
      <c r="AG287" s="231"/>
    </row>
    <row r="288" spans="1:33" s="203" customFormat="1">
      <c r="A288" s="120">
        <v>3</v>
      </c>
      <c r="B288" s="90" t="s">
        <v>218</v>
      </c>
      <c r="C288" s="166"/>
      <c r="D288" s="168"/>
      <c r="E288" s="114">
        <v>639</v>
      </c>
      <c r="F288" s="52">
        <v>662</v>
      </c>
      <c r="G288" s="118"/>
      <c r="H288" s="122">
        <v>736</v>
      </c>
      <c r="I288" s="21"/>
      <c r="J288" s="231"/>
      <c r="K288" s="231"/>
      <c r="L288" s="231"/>
      <c r="M288" s="231"/>
      <c r="N288" s="231"/>
      <c r="O288" s="231"/>
      <c r="P288" s="231"/>
      <c r="Q288" s="231"/>
      <c r="R288" s="231"/>
      <c r="S288" s="231"/>
      <c r="T288" s="231"/>
      <c r="U288" s="231"/>
      <c r="V288" s="231"/>
      <c r="W288" s="231"/>
      <c r="X288" s="231"/>
      <c r="Y288" s="231"/>
      <c r="Z288" s="231"/>
      <c r="AA288" s="231"/>
      <c r="AB288" s="231"/>
      <c r="AC288" s="231"/>
      <c r="AD288" s="231"/>
      <c r="AE288" s="231"/>
      <c r="AF288" s="231"/>
      <c r="AG288" s="231"/>
    </row>
    <row r="289" spans="1:33" s="203" customFormat="1">
      <c r="A289" s="815">
        <v>4</v>
      </c>
      <c r="B289" s="47" t="s">
        <v>219</v>
      </c>
      <c r="C289" s="47"/>
      <c r="D289" s="116"/>
      <c r="E289" s="114">
        <v>80</v>
      </c>
      <c r="F289" s="52">
        <v>76</v>
      </c>
      <c r="G289" s="118"/>
      <c r="H289" s="122">
        <v>77</v>
      </c>
      <c r="I289" s="21"/>
      <c r="J289" s="231"/>
      <c r="K289" s="231"/>
      <c r="L289" s="231"/>
      <c r="M289" s="231"/>
      <c r="N289" s="231"/>
      <c r="O289" s="231"/>
      <c r="P289" s="231"/>
      <c r="Q289" s="231"/>
      <c r="R289" s="231"/>
      <c r="S289" s="231"/>
      <c r="T289" s="231"/>
      <c r="U289" s="231"/>
      <c r="V289" s="231"/>
      <c r="W289" s="231"/>
      <c r="X289" s="231"/>
      <c r="Y289" s="231"/>
      <c r="Z289" s="231"/>
      <c r="AA289" s="231"/>
      <c r="AB289" s="231"/>
      <c r="AC289" s="231"/>
      <c r="AD289" s="231"/>
      <c r="AE289" s="231"/>
      <c r="AF289" s="231"/>
      <c r="AG289" s="231"/>
    </row>
    <row r="290" spans="1:33" s="203" customFormat="1">
      <c r="A290" s="815">
        <v>5</v>
      </c>
      <c r="B290" s="47" t="s">
        <v>220</v>
      </c>
      <c r="C290" s="47"/>
      <c r="D290" s="47"/>
      <c r="E290" s="114">
        <v>63</v>
      </c>
      <c r="F290" s="52">
        <v>35</v>
      </c>
      <c r="G290" s="118"/>
      <c r="H290" s="122">
        <v>9</v>
      </c>
      <c r="I290" s="21"/>
      <c r="J290" s="231"/>
      <c r="K290" s="231"/>
      <c r="L290" s="231"/>
      <c r="M290" s="231"/>
      <c r="N290" s="231"/>
      <c r="O290" s="231"/>
      <c r="P290" s="231"/>
      <c r="Q290" s="231"/>
      <c r="R290" s="231"/>
      <c r="S290" s="231"/>
      <c r="T290" s="231"/>
      <c r="U290" s="231"/>
      <c r="V290" s="231"/>
      <c r="W290" s="231"/>
      <c r="X290" s="231"/>
      <c r="Y290" s="231"/>
      <c r="Z290" s="231"/>
      <c r="AA290" s="231"/>
      <c r="AB290" s="231"/>
      <c r="AC290" s="231"/>
      <c r="AD290" s="231"/>
      <c r="AE290" s="231"/>
      <c r="AF290" s="231"/>
      <c r="AG290" s="231"/>
    </row>
    <row r="291" spans="1:33" s="203" customFormat="1">
      <c r="A291" s="120">
        <v>6</v>
      </c>
      <c r="B291" s="47" t="s">
        <v>221</v>
      </c>
      <c r="C291" s="47"/>
      <c r="D291" s="47"/>
      <c r="E291" s="114">
        <v>129</v>
      </c>
      <c r="F291" s="52">
        <v>124</v>
      </c>
      <c r="G291" s="118"/>
      <c r="H291" s="122">
        <v>130</v>
      </c>
      <c r="I291" s="21"/>
      <c r="J291" s="231"/>
      <c r="K291" s="231"/>
      <c r="L291" s="231"/>
      <c r="M291" s="231"/>
      <c r="N291" s="231"/>
      <c r="O291" s="231"/>
      <c r="P291" s="231"/>
      <c r="Q291" s="231"/>
      <c r="R291" s="231"/>
      <c r="S291" s="231"/>
      <c r="T291" s="231"/>
      <c r="U291" s="231"/>
      <c r="V291" s="231"/>
      <c r="W291" s="231"/>
      <c r="X291" s="231"/>
      <c r="Y291" s="231"/>
      <c r="Z291" s="231"/>
      <c r="AA291" s="231"/>
      <c r="AB291" s="231"/>
      <c r="AC291" s="231"/>
      <c r="AD291" s="231"/>
      <c r="AE291" s="231"/>
      <c r="AF291" s="231"/>
      <c r="AG291" s="231"/>
    </row>
    <row r="292" spans="1:33" s="203" customFormat="1">
      <c r="A292" s="815">
        <v>7</v>
      </c>
      <c r="B292" s="47" t="s">
        <v>222</v>
      </c>
      <c r="C292" s="47"/>
      <c r="D292" s="116"/>
      <c r="E292" s="114">
        <v>119</v>
      </c>
      <c r="F292" s="52">
        <v>119</v>
      </c>
      <c r="G292" s="118"/>
      <c r="H292" s="122">
        <v>126</v>
      </c>
      <c r="I292" s="21"/>
      <c r="J292" s="231"/>
      <c r="K292" s="231"/>
      <c r="L292" s="231"/>
      <c r="M292" s="231"/>
      <c r="N292" s="231"/>
      <c r="O292" s="231"/>
      <c r="P292" s="231"/>
      <c r="Q292" s="231"/>
      <c r="R292" s="231"/>
      <c r="S292" s="231"/>
      <c r="T292" s="231"/>
      <c r="U292" s="231"/>
      <c r="V292" s="231"/>
      <c r="W292" s="231"/>
      <c r="X292" s="231"/>
      <c r="Y292" s="231"/>
      <c r="Z292" s="231"/>
      <c r="AA292" s="231"/>
      <c r="AB292" s="231"/>
      <c r="AC292" s="231"/>
      <c r="AD292" s="231"/>
      <c r="AE292" s="231"/>
      <c r="AF292" s="231"/>
      <c r="AG292" s="231"/>
    </row>
    <row r="293" spans="1:33" s="203" customFormat="1">
      <c r="A293" s="120">
        <v>8</v>
      </c>
      <c r="B293" s="47" t="s">
        <v>223</v>
      </c>
      <c r="C293" s="47"/>
      <c r="D293" s="116"/>
      <c r="E293" s="114">
        <v>164</v>
      </c>
      <c r="F293" s="52">
        <v>164</v>
      </c>
      <c r="G293" s="118"/>
      <c r="H293" s="122">
        <v>173</v>
      </c>
      <c r="I293" s="21"/>
      <c r="J293" s="231"/>
      <c r="K293" s="231"/>
      <c r="L293" s="231"/>
      <c r="M293" s="231"/>
      <c r="N293" s="231"/>
      <c r="O293" s="231"/>
      <c r="P293" s="231"/>
      <c r="Q293" s="231"/>
      <c r="R293" s="231"/>
      <c r="S293" s="231"/>
      <c r="T293" s="231"/>
      <c r="U293" s="231"/>
      <c r="V293" s="231"/>
      <c r="W293" s="231"/>
      <c r="X293" s="231"/>
      <c r="Y293" s="231"/>
      <c r="Z293" s="231"/>
      <c r="AA293" s="231"/>
      <c r="AB293" s="231"/>
      <c r="AC293" s="231"/>
      <c r="AD293" s="231"/>
      <c r="AE293" s="231"/>
      <c r="AF293" s="231"/>
      <c r="AG293" s="231"/>
    </row>
    <row r="294" spans="1:33" s="203" customFormat="1">
      <c r="A294" s="815">
        <v>9</v>
      </c>
      <c r="B294" s="47" t="s">
        <v>224</v>
      </c>
      <c r="C294" s="47"/>
      <c r="D294" s="116"/>
      <c r="E294" s="114">
        <v>175</v>
      </c>
      <c r="F294" s="52">
        <v>177</v>
      </c>
      <c r="G294" s="118"/>
      <c r="H294" s="122">
        <v>188</v>
      </c>
      <c r="I294" s="21"/>
      <c r="J294" s="231"/>
      <c r="K294" s="231"/>
      <c r="L294" s="231"/>
      <c r="M294" s="231"/>
      <c r="N294" s="231"/>
      <c r="O294" s="231"/>
      <c r="P294" s="231"/>
      <c r="Q294" s="231"/>
      <c r="R294" s="231"/>
      <c r="S294" s="231"/>
      <c r="T294" s="231"/>
      <c r="U294" s="231"/>
      <c r="V294" s="231"/>
      <c r="W294" s="231"/>
      <c r="X294" s="231"/>
      <c r="Y294" s="231"/>
      <c r="Z294" s="231"/>
      <c r="AA294" s="231"/>
      <c r="AB294" s="231"/>
      <c r="AC294" s="231"/>
      <c r="AD294" s="231"/>
      <c r="AE294" s="231"/>
      <c r="AF294" s="231"/>
      <c r="AG294" s="231"/>
    </row>
    <row r="295" spans="1:33" s="203" customFormat="1">
      <c r="A295" s="120">
        <v>10</v>
      </c>
      <c r="B295" s="47" t="s">
        <v>225</v>
      </c>
      <c r="C295" s="47"/>
      <c r="D295" s="47"/>
      <c r="E295" s="114">
        <v>92</v>
      </c>
      <c r="F295" s="52">
        <v>93</v>
      </c>
      <c r="G295" s="118"/>
      <c r="H295" s="122">
        <v>90</v>
      </c>
      <c r="I295" s="21"/>
      <c r="J295" s="231"/>
      <c r="K295" s="231"/>
      <c r="L295" s="231"/>
      <c r="M295" s="231"/>
      <c r="N295" s="231"/>
      <c r="O295" s="231"/>
      <c r="P295" s="231"/>
      <c r="Q295" s="231"/>
      <c r="R295" s="231"/>
      <c r="S295" s="231"/>
      <c r="T295" s="231"/>
      <c r="U295" s="231"/>
      <c r="V295" s="231"/>
      <c r="W295" s="231"/>
      <c r="X295" s="231"/>
      <c r="Y295" s="231"/>
      <c r="Z295" s="231"/>
      <c r="AA295" s="231"/>
      <c r="AB295" s="231"/>
      <c r="AC295" s="231"/>
      <c r="AD295" s="231"/>
      <c r="AE295" s="231"/>
      <c r="AF295" s="231"/>
      <c r="AG295" s="231"/>
    </row>
    <row r="296" spans="1:33" s="203" customFormat="1">
      <c r="A296" s="815">
        <v>11</v>
      </c>
      <c r="B296" s="47" t="s">
        <v>226</v>
      </c>
      <c r="C296" s="47"/>
      <c r="D296" s="47"/>
      <c r="E296" s="114">
        <v>0</v>
      </c>
      <c r="F296" s="52"/>
      <c r="G296" s="118"/>
      <c r="H296" s="122"/>
      <c r="I296" s="21"/>
      <c r="J296" s="231"/>
      <c r="K296" s="231"/>
      <c r="L296" s="231"/>
      <c r="M296" s="231"/>
      <c r="N296" s="231"/>
      <c r="O296" s="231"/>
      <c r="P296" s="231"/>
      <c r="Q296" s="231"/>
      <c r="R296" s="231"/>
      <c r="S296" s="231"/>
      <c r="T296" s="231"/>
      <c r="U296" s="231"/>
      <c r="V296" s="231"/>
      <c r="W296" s="231"/>
      <c r="X296" s="231"/>
      <c r="Y296" s="231"/>
      <c r="Z296" s="231"/>
      <c r="AA296" s="231"/>
      <c r="AB296" s="231"/>
      <c r="AC296" s="231"/>
      <c r="AD296" s="231"/>
      <c r="AE296" s="231"/>
      <c r="AF296" s="231"/>
      <c r="AG296" s="231"/>
    </row>
    <row r="297" spans="1:33" s="203" customFormat="1">
      <c r="A297" s="120">
        <v>12</v>
      </c>
      <c r="B297" s="47" t="s">
        <v>227</v>
      </c>
      <c r="C297" s="47"/>
      <c r="D297" s="47"/>
      <c r="E297" s="114">
        <v>285</v>
      </c>
      <c r="F297" s="52">
        <v>266</v>
      </c>
      <c r="G297" s="118"/>
      <c r="H297" s="122">
        <v>257</v>
      </c>
      <c r="I297" s="21"/>
      <c r="J297" s="231"/>
      <c r="K297" s="231"/>
      <c r="L297" s="231"/>
      <c r="M297" s="231"/>
      <c r="N297" s="231"/>
      <c r="O297" s="231"/>
      <c r="P297" s="231"/>
      <c r="Q297" s="231"/>
      <c r="R297" s="231"/>
      <c r="S297" s="231"/>
      <c r="T297" s="231"/>
      <c r="U297" s="231"/>
      <c r="V297" s="231"/>
      <c r="W297" s="231"/>
      <c r="X297" s="231"/>
      <c r="Y297" s="231"/>
      <c r="Z297" s="231"/>
      <c r="AA297" s="231"/>
      <c r="AB297" s="231"/>
      <c r="AC297" s="231"/>
      <c r="AD297" s="231"/>
      <c r="AE297" s="231"/>
      <c r="AF297" s="231"/>
      <c r="AG297" s="231"/>
    </row>
    <row r="298" spans="1:33" s="203" customFormat="1">
      <c r="A298" s="815">
        <v>13</v>
      </c>
      <c r="B298" s="47" t="s">
        <v>228</v>
      </c>
      <c r="C298" s="47"/>
      <c r="D298" s="47"/>
      <c r="E298" s="114">
        <v>2427</v>
      </c>
      <c r="F298" s="52">
        <v>2472</v>
      </c>
      <c r="G298" s="118"/>
      <c r="H298" s="122">
        <v>2340</v>
      </c>
      <c r="I298" s="21"/>
      <c r="J298" s="231"/>
      <c r="K298" s="231"/>
      <c r="L298" s="231"/>
      <c r="M298" s="231"/>
      <c r="N298" s="231"/>
      <c r="O298" s="231"/>
      <c r="P298" s="231"/>
      <c r="Q298" s="231"/>
      <c r="R298" s="231"/>
      <c r="S298" s="231"/>
      <c r="T298" s="231"/>
      <c r="U298" s="231"/>
      <c r="V298" s="231"/>
      <c r="W298" s="231"/>
      <c r="X298" s="231"/>
      <c r="Y298" s="231"/>
      <c r="Z298" s="231"/>
      <c r="AA298" s="231"/>
      <c r="AB298" s="231"/>
      <c r="AC298" s="231"/>
      <c r="AD298" s="231"/>
      <c r="AE298" s="231"/>
      <c r="AF298" s="231"/>
      <c r="AG298" s="231"/>
    </row>
    <row r="299" spans="1:33" s="203" customFormat="1">
      <c r="A299" s="120">
        <v>14</v>
      </c>
      <c r="B299" s="47" t="s">
        <v>229</v>
      </c>
      <c r="C299" s="47"/>
      <c r="D299" s="116"/>
      <c r="E299" s="114">
        <v>0</v>
      </c>
      <c r="F299" s="52"/>
      <c r="G299" s="118"/>
      <c r="H299" s="122"/>
      <c r="I299" s="21"/>
      <c r="J299" s="231"/>
      <c r="K299" s="231"/>
      <c r="L299" s="231"/>
      <c r="M299" s="231"/>
      <c r="N299" s="231"/>
      <c r="O299" s="231"/>
      <c r="P299" s="231"/>
      <c r="Q299" s="231"/>
      <c r="R299" s="231"/>
      <c r="S299" s="231"/>
      <c r="T299" s="231"/>
      <c r="U299" s="231"/>
      <c r="V299" s="231"/>
      <c r="W299" s="231"/>
      <c r="X299" s="231"/>
      <c r="Y299" s="231"/>
      <c r="Z299" s="231"/>
      <c r="AA299" s="231"/>
      <c r="AB299" s="231"/>
      <c r="AC299" s="231"/>
      <c r="AD299" s="231"/>
      <c r="AE299" s="231"/>
      <c r="AF299" s="231"/>
      <c r="AG299" s="231"/>
    </row>
    <row r="300" spans="1:33" s="203" customFormat="1">
      <c r="A300" s="815">
        <v>15</v>
      </c>
      <c r="B300" s="47" t="s">
        <v>230</v>
      </c>
      <c r="C300" s="47"/>
      <c r="D300" s="116"/>
      <c r="E300" s="114">
        <v>1200</v>
      </c>
      <c r="F300" s="52">
        <v>954</v>
      </c>
      <c r="G300" s="118"/>
      <c r="H300" s="122">
        <v>1118</v>
      </c>
      <c r="I300" s="21"/>
      <c r="J300" s="231"/>
      <c r="K300" s="231"/>
      <c r="L300" s="231"/>
      <c r="M300" s="231"/>
      <c r="N300" s="231"/>
      <c r="O300" s="231"/>
      <c r="P300" s="231"/>
      <c r="Q300" s="231"/>
      <c r="R300" s="231"/>
      <c r="S300" s="231"/>
      <c r="T300" s="231"/>
      <c r="U300" s="231"/>
      <c r="V300" s="231"/>
      <c r="W300" s="231"/>
      <c r="X300" s="231"/>
      <c r="Y300" s="231"/>
      <c r="Z300" s="231"/>
      <c r="AA300" s="231"/>
      <c r="AB300" s="231"/>
      <c r="AC300" s="231"/>
      <c r="AD300" s="231"/>
      <c r="AE300" s="231"/>
      <c r="AF300" s="231"/>
      <c r="AG300" s="231"/>
    </row>
    <row r="301" spans="1:33" s="203" customFormat="1">
      <c r="A301" s="120">
        <v>17</v>
      </c>
      <c r="B301" s="47" t="s">
        <v>231</v>
      </c>
      <c r="C301" s="47"/>
      <c r="D301" s="47"/>
      <c r="E301" s="114">
        <v>0</v>
      </c>
      <c r="F301" s="52"/>
      <c r="G301" s="118"/>
      <c r="H301" s="99">
        <v>0</v>
      </c>
      <c r="I301" s="21"/>
      <c r="J301" s="231"/>
      <c r="K301" s="231"/>
      <c r="L301" s="231"/>
      <c r="M301" s="231"/>
      <c r="N301" s="231"/>
      <c r="O301" s="231"/>
      <c r="P301" s="231"/>
      <c r="Q301" s="231"/>
      <c r="R301" s="231"/>
      <c r="S301" s="231"/>
      <c r="T301" s="231"/>
      <c r="U301" s="231"/>
      <c r="V301" s="231"/>
      <c r="W301" s="231"/>
      <c r="X301" s="231"/>
      <c r="Y301" s="231"/>
      <c r="Z301" s="231"/>
      <c r="AA301" s="231"/>
      <c r="AB301" s="231"/>
      <c r="AC301" s="231"/>
      <c r="AD301" s="231"/>
      <c r="AE301" s="231"/>
      <c r="AF301" s="231"/>
      <c r="AG301" s="231"/>
    </row>
    <row r="302" spans="1:33" s="203" customFormat="1">
      <c r="A302" s="816">
        <v>18</v>
      </c>
      <c r="B302" s="94" t="s">
        <v>232</v>
      </c>
      <c r="C302" s="94"/>
      <c r="D302" s="94"/>
      <c r="E302" s="159">
        <v>5961</v>
      </c>
      <c r="F302" s="61">
        <f>SUM(F286:F301)</f>
        <v>5678</v>
      </c>
      <c r="G302" s="118"/>
      <c r="H302" s="61">
        <f>SUM(H286:H301)</f>
        <v>5854</v>
      </c>
      <c r="I302" s="21"/>
      <c r="J302" s="231"/>
      <c r="K302" s="231"/>
      <c r="L302" s="231"/>
      <c r="M302" s="231"/>
      <c r="N302" s="231"/>
      <c r="O302" s="231"/>
      <c r="P302" s="231"/>
      <c r="Q302" s="231"/>
      <c r="R302" s="231"/>
      <c r="S302" s="231"/>
      <c r="T302" s="231"/>
      <c r="U302" s="231"/>
      <c r="V302" s="231"/>
      <c r="W302" s="231"/>
      <c r="X302" s="231"/>
      <c r="Y302" s="231"/>
      <c r="Z302" s="231"/>
      <c r="AA302" s="231"/>
      <c r="AB302" s="231"/>
      <c r="AC302" s="231"/>
      <c r="AD302" s="231"/>
      <c r="AE302" s="231"/>
      <c r="AF302" s="231"/>
      <c r="AG302" s="231"/>
    </row>
    <row r="303" spans="1:33" s="203" customFormat="1">
      <c r="A303" s="179"/>
      <c r="B303" s="180"/>
      <c r="C303" s="180"/>
      <c r="D303" s="181"/>
      <c r="E303" s="182"/>
      <c r="F303" s="183"/>
      <c r="G303" s="21"/>
      <c r="H303" s="183"/>
      <c r="I303" s="21"/>
      <c r="J303" s="231"/>
      <c r="K303" s="231"/>
      <c r="L303" s="231"/>
      <c r="M303" s="231"/>
      <c r="N303" s="231"/>
      <c r="O303" s="231"/>
      <c r="P303" s="231"/>
      <c r="Q303" s="231"/>
      <c r="R303" s="231"/>
      <c r="S303" s="231"/>
      <c r="T303" s="231"/>
      <c r="U303" s="231"/>
      <c r="V303" s="231"/>
      <c r="W303" s="231"/>
      <c r="X303" s="231"/>
      <c r="Y303" s="231"/>
      <c r="Z303" s="231"/>
      <c r="AA303" s="231"/>
      <c r="AB303" s="231"/>
      <c r="AC303" s="231"/>
      <c r="AD303" s="231"/>
      <c r="AE303" s="231"/>
      <c r="AF303" s="231"/>
      <c r="AG303" s="231"/>
    </row>
    <row r="304" spans="1:33" s="203" customFormat="1">
      <c r="A304" s="184"/>
      <c r="B304" s="207"/>
      <c r="C304" s="207"/>
      <c r="D304" s="209"/>
      <c r="E304" s="185"/>
      <c r="F304" s="207"/>
      <c r="G304" s="207"/>
      <c r="H304" s="131" t="s">
        <v>27</v>
      </c>
      <c r="I304" s="21"/>
      <c r="J304" s="231"/>
      <c r="K304" s="231"/>
      <c r="L304" s="231"/>
      <c r="M304" s="231"/>
      <c r="N304" s="231"/>
      <c r="O304" s="231"/>
      <c r="P304" s="231"/>
      <c r="Q304" s="231"/>
      <c r="R304" s="231"/>
      <c r="S304" s="231"/>
      <c r="T304" s="231"/>
      <c r="U304" s="231"/>
      <c r="V304" s="231"/>
      <c r="W304" s="231"/>
      <c r="X304" s="231"/>
      <c r="Y304" s="231"/>
      <c r="Z304" s="231"/>
      <c r="AA304" s="231"/>
      <c r="AB304" s="231"/>
      <c r="AC304" s="231"/>
      <c r="AD304" s="231"/>
      <c r="AE304" s="231"/>
      <c r="AF304" s="231"/>
      <c r="AG304" s="231"/>
    </row>
    <row r="305" spans="1:33" s="203" customFormat="1" ht="12.75" customHeight="1">
      <c r="A305" s="106" t="s">
        <v>21</v>
      </c>
      <c r="B305" s="164"/>
      <c r="C305" s="164"/>
      <c r="D305" s="164"/>
      <c r="E305" s="856" t="s">
        <v>377</v>
      </c>
      <c r="F305" s="856" t="s">
        <v>402</v>
      </c>
      <c r="G305" s="130"/>
      <c r="H305" s="856" t="s">
        <v>403</v>
      </c>
      <c r="I305" s="21"/>
      <c r="J305" s="231"/>
      <c r="K305" s="231"/>
      <c r="L305" s="231"/>
      <c r="M305" s="231"/>
      <c r="N305" s="231"/>
      <c r="O305" s="231"/>
      <c r="P305" s="231"/>
      <c r="Q305" s="231"/>
      <c r="R305" s="231"/>
      <c r="S305" s="231"/>
      <c r="T305" s="231"/>
      <c r="U305" s="231"/>
      <c r="V305" s="231"/>
      <c r="W305" s="231"/>
      <c r="X305" s="231"/>
      <c r="Y305" s="231"/>
      <c r="Z305" s="231"/>
      <c r="AA305" s="231"/>
      <c r="AB305" s="231"/>
      <c r="AC305" s="231"/>
      <c r="AD305" s="231"/>
      <c r="AE305" s="231"/>
      <c r="AF305" s="231"/>
      <c r="AG305" s="231"/>
    </row>
    <row r="306" spans="1:33" s="203" customFormat="1">
      <c r="A306" s="165"/>
      <c r="B306" s="47"/>
      <c r="C306" s="47"/>
      <c r="D306" s="47"/>
      <c r="E306" s="859"/>
      <c r="F306" s="859"/>
      <c r="G306" s="130"/>
      <c r="H306" s="859"/>
      <c r="I306" s="21"/>
      <c r="J306" s="231"/>
      <c r="K306" s="231"/>
      <c r="L306" s="231"/>
      <c r="M306" s="231"/>
      <c r="N306" s="231"/>
      <c r="O306" s="231"/>
      <c r="P306" s="231"/>
      <c r="Q306" s="231"/>
      <c r="R306" s="231"/>
      <c r="S306" s="231"/>
      <c r="T306" s="231"/>
      <c r="U306" s="231"/>
      <c r="V306" s="231"/>
      <c r="W306" s="231"/>
      <c r="X306" s="231"/>
      <c r="Y306" s="231"/>
      <c r="Z306" s="231"/>
      <c r="AA306" s="231"/>
      <c r="AB306" s="231"/>
      <c r="AC306" s="231"/>
      <c r="AD306" s="231"/>
      <c r="AE306" s="231"/>
      <c r="AF306" s="231"/>
      <c r="AG306" s="231"/>
    </row>
    <row r="307" spans="1:33" s="203" customFormat="1" ht="12.75" customHeight="1">
      <c r="A307" s="109"/>
      <c r="B307" s="174"/>
      <c r="C307" s="174"/>
      <c r="D307" s="174"/>
      <c r="E307" s="859"/>
      <c r="F307" s="859"/>
      <c r="G307" s="130"/>
      <c r="H307" s="859"/>
      <c r="I307" s="21"/>
      <c r="J307" s="231"/>
      <c r="K307" s="231"/>
      <c r="L307" s="231"/>
      <c r="M307" s="231"/>
      <c r="N307" s="231"/>
      <c r="O307" s="231"/>
      <c r="P307" s="231"/>
      <c r="Q307" s="231"/>
      <c r="R307" s="231"/>
      <c r="S307" s="231"/>
      <c r="T307" s="231"/>
      <c r="U307" s="231"/>
      <c r="V307" s="231"/>
      <c r="W307" s="231"/>
      <c r="X307" s="231"/>
      <c r="Y307" s="231"/>
      <c r="Z307" s="231"/>
      <c r="AA307" s="231"/>
      <c r="AB307" s="231"/>
      <c r="AC307" s="231"/>
      <c r="AD307" s="231"/>
      <c r="AE307" s="231"/>
      <c r="AF307" s="231"/>
      <c r="AG307" s="231"/>
    </row>
    <row r="308" spans="1:33" s="203" customFormat="1">
      <c r="A308" s="154" t="s">
        <v>233</v>
      </c>
      <c r="B308" s="47"/>
      <c r="C308" s="47"/>
      <c r="D308" s="47"/>
      <c r="E308" s="859"/>
      <c r="F308" s="859"/>
      <c r="G308" s="130"/>
      <c r="H308" s="859"/>
      <c r="I308" s="21"/>
      <c r="J308" s="231"/>
      <c r="K308" s="231"/>
      <c r="L308" s="231"/>
      <c r="M308" s="231"/>
      <c r="N308" s="231"/>
      <c r="O308" s="231"/>
      <c r="P308" s="231"/>
      <c r="Q308" s="231"/>
      <c r="R308" s="231"/>
      <c r="S308" s="231"/>
      <c r="T308" s="231"/>
      <c r="U308" s="231"/>
      <c r="V308" s="231"/>
      <c r="W308" s="231"/>
      <c r="X308" s="231"/>
      <c r="Y308" s="231"/>
      <c r="Z308" s="231"/>
      <c r="AA308" s="231"/>
      <c r="AB308" s="231"/>
      <c r="AC308" s="231"/>
      <c r="AD308" s="231"/>
      <c r="AE308" s="231"/>
      <c r="AF308" s="231"/>
      <c r="AG308" s="231"/>
    </row>
    <row r="309" spans="1:33" s="203" customFormat="1">
      <c r="A309" s="109" t="s">
        <v>83</v>
      </c>
      <c r="B309" s="174"/>
      <c r="C309" s="174"/>
      <c r="D309" s="174"/>
      <c r="E309" s="860"/>
      <c r="F309" s="860"/>
      <c r="G309" s="130"/>
      <c r="H309" s="860"/>
      <c r="I309" s="21"/>
      <c r="J309" s="231"/>
      <c r="K309" s="231"/>
      <c r="L309" s="231"/>
      <c r="M309" s="231"/>
      <c r="N309" s="231"/>
      <c r="O309" s="231"/>
      <c r="P309" s="231"/>
      <c r="Q309" s="231"/>
      <c r="R309" s="231"/>
      <c r="S309" s="231"/>
      <c r="T309" s="231"/>
      <c r="U309" s="231"/>
      <c r="V309" s="231"/>
      <c r="W309" s="231"/>
      <c r="X309" s="231"/>
      <c r="Y309" s="231"/>
      <c r="Z309" s="231"/>
      <c r="AA309" s="231"/>
      <c r="AB309" s="231"/>
      <c r="AC309" s="231"/>
      <c r="AD309" s="231"/>
      <c r="AE309" s="231"/>
      <c r="AF309" s="231"/>
      <c r="AG309" s="231"/>
    </row>
    <row r="310" spans="1:33" s="203" customFormat="1">
      <c r="A310" s="110" t="s">
        <v>84</v>
      </c>
      <c r="B310" s="116"/>
      <c r="C310" s="116"/>
      <c r="D310" s="116"/>
      <c r="E310" s="262"/>
      <c r="F310" s="146"/>
      <c r="G310" s="118"/>
      <c r="H310" s="146"/>
      <c r="I310" s="21"/>
      <c r="J310" s="231"/>
      <c r="K310" s="231"/>
      <c r="L310" s="231"/>
      <c r="M310" s="231"/>
      <c r="N310" s="231"/>
      <c r="O310" s="231"/>
      <c r="P310" s="231"/>
      <c r="Q310" s="231"/>
      <c r="R310" s="231"/>
      <c r="S310" s="231"/>
      <c r="T310" s="231"/>
      <c r="U310" s="231"/>
      <c r="V310" s="231"/>
      <c r="W310" s="231"/>
      <c r="X310" s="231"/>
      <c r="Y310" s="231"/>
      <c r="Z310" s="231"/>
      <c r="AA310" s="231"/>
      <c r="AB310" s="231"/>
      <c r="AC310" s="231"/>
      <c r="AD310" s="231"/>
      <c r="AE310" s="231"/>
      <c r="AF310" s="231"/>
      <c r="AG310" s="231"/>
    </row>
    <row r="311" spans="1:33" s="203" customFormat="1">
      <c r="A311" s="120">
        <v>1</v>
      </c>
      <c r="B311" s="47" t="s">
        <v>258</v>
      </c>
      <c r="C311" s="47"/>
      <c r="D311" s="186"/>
      <c r="E311" s="74">
        <v>0</v>
      </c>
      <c r="F311" s="52"/>
      <c r="G311" s="43"/>
      <c r="H311" s="52"/>
      <c r="I311" s="21"/>
      <c r="J311" s="231"/>
      <c r="K311" s="231"/>
      <c r="L311" s="231"/>
      <c r="M311" s="231"/>
      <c r="N311" s="231"/>
      <c r="O311" s="231"/>
      <c r="P311" s="231"/>
      <c r="Q311" s="231"/>
      <c r="R311" s="231"/>
      <c r="S311" s="231"/>
      <c r="T311" s="231"/>
      <c r="U311" s="231"/>
      <c r="V311" s="231"/>
      <c r="W311" s="231"/>
      <c r="X311" s="231"/>
      <c r="Y311" s="231"/>
      <c r="Z311" s="231"/>
      <c r="AA311" s="231"/>
      <c r="AB311" s="231"/>
      <c r="AC311" s="231"/>
      <c r="AD311" s="231"/>
      <c r="AE311" s="231"/>
      <c r="AF311" s="231"/>
      <c r="AG311" s="231"/>
    </row>
    <row r="312" spans="1:33" s="203" customFormat="1">
      <c r="A312" s="120">
        <v>2</v>
      </c>
      <c r="B312" s="47" t="s">
        <v>234</v>
      </c>
      <c r="C312" s="47"/>
      <c r="D312" s="186"/>
      <c r="E312" s="114">
        <v>1600</v>
      </c>
      <c r="F312" s="52">
        <v>1752</v>
      </c>
      <c r="G312" s="43"/>
      <c r="H312" s="52">
        <v>1035</v>
      </c>
      <c r="I312" s="21"/>
      <c r="J312" s="231"/>
      <c r="K312" s="231"/>
      <c r="L312" s="231"/>
      <c r="M312" s="231"/>
      <c r="N312" s="231"/>
      <c r="O312" s="231"/>
      <c r="P312" s="231"/>
      <c r="Q312" s="231"/>
      <c r="R312" s="231"/>
      <c r="S312" s="231"/>
      <c r="T312" s="231"/>
      <c r="U312" s="231"/>
      <c r="V312" s="231"/>
      <c r="W312" s="231"/>
      <c r="X312" s="231"/>
      <c r="Y312" s="231"/>
      <c r="Z312" s="231"/>
      <c r="AA312" s="231"/>
      <c r="AB312" s="231"/>
      <c r="AC312" s="231"/>
      <c r="AD312" s="231"/>
      <c r="AE312" s="231"/>
      <c r="AF312" s="231"/>
      <c r="AG312" s="231"/>
    </row>
    <row r="313" spans="1:33" s="203" customFormat="1">
      <c r="A313" s="120">
        <v>3</v>
      </c>
      <c r="B313" s="47" t="s">
        <v>259</v>
      </c>
      <c r="C313" s="47"/>
      <c r="D313" s="186"/>
      <c r="E313" s="114">
        <v>-305</v>
      </c>
      <c r="F313" s="52">
        <v>-630</v>
      </c>
      <c r="G313" s="43"/>
      <c r="H313" s="52">
        <v>-630</v>
      </c>
      <c r="I313" s="21"/>
      <c r="J313" s="231"/>
      <c r="K313" s="231"/>
      <c r="L313" s="231"/>
      <c r="M313" s="231"/>
      <c r="N313" s="231"/>
      <c r="O313" s="231"/>
      <c r="P313" s="231"/>
      <c r="Q313" s="231"/>
      <c r="R313" s="231"/>
      <c r="S313" s="231"/>
      <c r="T313" s="231"/>
      <c r="U313" s="231"/>
      <c r="V313" s="231"/>
      <c r="W313" s="231"/>
      <c r="X313" s="231"/>
      <c r="Y313" s="231"/>
      <c r="Z313" s="231"/>
      <c r="AA313" s="231"/>
      <c r="AB313" s="231"/>
      <c r="AC313" s="231"/>
      <c r="AD313" s="231"/>
      <c r="AE313" s="231"/>
      <c r="AF313" s="231"/>
      <c r="AG313" s="231"/>
    </row>
    <row r="314" spans="1:33" s="203" customFormat="1">
      <c r="A314" s="120">
        <v>4</v>
      </c>
      <c r="B314" s="47" t="s">
        <v>235</v>
      </c>
      <c r="C314" s="47"/>
      <c r="D314" s="186"/>
      <c r="E314" s="114">
        <v>6640</v>
      </c>
      <c r="F314" s="52">
        <v>6713</v>
      </c>
      <c r="G314" s="43"/>
      <c r="H314" s="52">
        <v>6919</v>
      </c>
      <c r="I314" s="21"/>
      <c r="J314" s="231"/>
      <c r="K314" s="231"/>
      <c r="L314" s="231"/>
      <c r="M314" s="231"/>
      <c r="N314" s="231"/>
      <c r="O314" s="231"/>
      <c r="P314" s="231"/>
      <c r="Q314" s="231"/>
      <c r="R314" s="231"/>
      <c r="S314" s="231"/>
      <c r="T314" s="231"/>
      <c r="U314" s="231"/>
      <c r="V314" s="231"/>
      <c r="W314" s="231"/>
      <c r="X314" s="231"/>
      <c r="Y314" s="231"/>
      <c r="Z314" s="231"/>
      <c r="AA314" s="231"/>
      <c r="AB314" s="231"/>
      <c r="AC314" s="231"/>
      <c r="AD314" s="231"/>
      <c r="AE314" s="231"/>
      <c r="AF314" s="231"/>
      <c r="AG314" s="231"/>
    </row>
    <row r="315" spans="1:33" s="203" customFormat="1">
      <c r="A315" s="120">
        <v>5</v>
      </c>
      <c r="B315" s="47" t="s">
        <v>236</v>
      </c>
      <c r="C315" s="47"/>
      <c r="D315" s="186"/>
      <c r="E315" s="114">
        <v>4423</v>
      </c>
      <c r="F315" s="52">
        <v>4425</v>
      </c>
      <c r="G315" s="187"/>
      <c r="H315" s="52">
        <v>4847</v>
      </c>
      <c r="I315" s="21"/>
      <c r="J315" s="231"/>
      <c r="K315" s="231"/>
      <c r="L315" s="231"/>
      <c r="M315" s="231"/>
      <c r="N315" s="231"/>
      <c r="O315" s="231"/>
      <c r="P315" s="231"/>
      <c r="Q315" s="231"/>
      <c r="R315" s="231"/>
      <c r="S315" s="231"/>
      <c r="T315" s="231"/>
      <c r="U315" s="231"/>
      <c r="V315" s="231"/>
      <c r="W315" s="231"/>
      <c r="X315" s="231"/>
      <c r="Y315" s="231"/>
      <c r="Z315" s="231"/>
      <c r="AA315" s="231"/>
      <c r="AB315" s="231"/>
      <c r="AC315" s="231"/>
      <c r="AD315" s="231"/>
      <c r="AE315" s="231"/>
      <c r="AF315" s="231"/>
      <c r="AG315" s="231"/>
    </row>
    <row r="316" spans="1:33" s="203" customFormat="1">
      <c r="A316" s="120">
        <v>6</v>
      </c>
      <c r="B316" s="47" t="s">
        <v>237</v>
      </c>
      <c r="C316" s="47"/>
      <c r="D316" s="186"/>
      <c r="E316" s="114">
        <v>10211</v>
      </c>
      <c r="F316" s="52">
        <v>10147</v>
      </c>
      <c r="G316" s="43"/>
      <c r="H316" s="52">
        <v>10142</v>
      </c>
      <c r="I316" s="21"/>
      <c r="J316" s="231"/>
      <c r="K316" s="231"/>
      <c r="L316" s="231"/>
      <c r="M316" s="231"/>
      <c r="N316" s="231"/>
      <c r="O316" s="231"/>
      <c r="P316" s="231"/>
      <c r="Q316" s="231"/>
      <c r="R316" s="231"/>
      <c r="S316" s="231"/>
      <c r="T316" s="231"/>
      <c r="U316" s="231"/>
      <c r="V316" s="231"/>
      <c r="W316" s="231"/>
      <c r="X316" s="231"/>
      <c r="Y316" s="231"/>
      <c r="Z316" s="231"/>
      <c r="AA316" s="231"/>
      <c r="AB316" s="231"/>
      <c r="AC316" s="231"/>
      <c r="AD316" s="231"/>
      <c r="AE316" s="231"/>
      <c r="AF316" s="231"/>
      <c r="AG316" s="231"/>
    </row>
    <row r="317" spans="1:33" s="203" customFormat="1">
      <c r="A317" s="120">
        <v>7</v>
      </c>
      <c r="B317" s="47" t="s">
        <v>238</v>
      </c>
      <c r="C317" s="47"/>
      <c r="D317" s="186"/>
      <c r="E317" s="114">
        <v>113</v>
      </c>
      <c r="F317" s="52">
        <v>108</v>
      </c>
      <c r="G317" s="43"/>
      <c r="H317" s="52">
        <v>108</v>
      </c>
      <c r="I317" s="21"/>
      <c r="J317" s="231"/>
      <c r="K317" s="231"/>
      <c r="L317" s="231"/>
      <c r="M317" s="231"/>
      <c r="N317" s="231"/>
      <c r="O317" s="231"/>
      <c r="P317" s="231"/>
      <c r="Q317" s="231"/>
      <c r="R317" s="231"/>
      <c r="S317" s="231"/>
      <c r="T317" s="231"/>
      <c r="U317" s="231"/>
      <c r="V317" s="231"/>
      <c r="W317" s="231"/>
      <c r="X317" s="231"/>
      <c r="Y317" s="231"/>
      <c r="Z317" s="231"/>
      <c r="AA317" s="231"/>
      <c r="AB317" s="231"/>
      <c r="AC317" s="231"/>
      <c r="AD317" s="231"/>
      <c r="AE317" s="231"/>
      <c r="AF317" s="231"/>
      <c r="AG317" s="231"/>
    </row>
    <row r="318" spans="1:33" s="203" customFormat="1">
      <c r="A318" s="120">
        <v>8</v>
      </c>
      <c r="B318" s="47" t="s">
        <v>239</v>
      </c>
      <c r="C318" s="47"/>
      <c r="D318" s="186"/>
      <c r="E318" s="114">
        <v>140</v>
      </c>
      <c r="F318" s="52">
        <v>141</v>
      </c>
      <c r="G318" s="43"/>
      <c r="H318" s="52">
        <v>147</v>
      </c>
      <c r="I318" s="21"/>
      <c r="J318" s="231"/>
      <c r="K318" s="231"/>
      <c r="L318" s="231"/>
      <c r="M318" s="231"/>
      <c r="N318" s="231"/>
      <c r="O318" s="231"/>
      <c r="P318" s="231"/>
      <c r="Q318" s="231"/>
      <c r="R318" s="231"/>
      <c r="S318" s="231"/>
      <c r="T318" s="231"/>
      <c r="U318" s="231"/>
      <c r="V318" s="231"/>
      <c r="W318" s="231"/>
      <c r="X318" s="231"/>
      <c r="Y318" s="231"/>
      <c r="Z318" s="231"/>
      <c r="AA318" s="231"/>
      <c r="AB318" s="231"/>
      <c r="AC318" s="231"/>
      <c r="AD318" s="231"/>
      <c r="AE318" s="231"/>
      <c r="AF318" s="231"/>
      <c r="AG318" s="231"/>
    </row>
    <row r="319" spans="1:33" s="203" customFormat="1">
      <c r="A319" s="815">
        <v>9</v>
      </c>
      <c r="B319" s="90" t="s">
        <v>260</v>
      </c>
      <c r="C319" s="47"/>
      <c r="D319" s="47"/>
      <c r="E319" s="114">
        <v>500</v>
      </c>
      <c r="F319" s="188"/>
      <c r="G319" s="43"/>
      <c r="H319" s="189">
        <v>500</v>
      </c>
      <c r="I319" s="21"/>
      <c r="J319" s="231"/>
      <c r="K319" s="231"/>
      <c r="L319" s="231"/>
      <c r="M319" s="231"/>
      <c r="N319" s="231"/>
      <c r="O319" s="231"/>
      <c r="P319" s="231"/>
      <c r="Q319" s="231"/>
      <c r="R319" s="231"/>
      <c r="S319" s="231"/>
      <c r="T319" s="231"/>
      <c r="U319" s="231"/>
      <c r="V319" s="231"/>
      <c r="W319" s="231"/>
      <c r="X319" s="231"/>
      <c r="Y319" s="231"/>
      <c r="Z319" s="231"/>
      <c r="AA319" s="231"/>
      <c r="AB319" s="231"/>
      <c r="AC319" s="231"/>
      <c r="AD319" s="231"/>
      <c r="AE319" s="231"/>
      <c r="AF319" s="231"/>
      <c r="AG319" s="231"/>
    </row>
    <row r="320" spans="1:33" s="203" customFormat="1">
      <c r="A320" s="124">
        <v>10</v>
      </c>
      <c r="B320" s="94" t="s">
        <v>62</v>
      </c>
      <c r="C320" s="94"/>
      <c r="D320" s="94"/>
      <c r="E320" s="159">
        <v>23322</v>
      </c>
      <c r="F320" s="61">
        <f>F311+F312+F313+F314+F315+F316+F317+F318</f>
        <v>22656</v>
      </c>
      <c r="G320" s="118"/>
      <c r="H320" s="61">
        <f>H311+H312+H313+H314+H315+H316+H317+H318+H319</f>
        <v>23068</v>
      </c>
      <c r="I320" s="183"/>
      <c r="J320" s="231"/>
      <c r="K320" s="231"/>
      <c r="L320" s="231"/>
      <c r="M320" s="231"/>
      <c r="N320" s="231"/>
      <c r="O320" s="231"/>
      <c r="P320" s="231"/>
      <c r="Q320" s="231"/>
      <c r="R320" s="231"/>
      <c r="S320" s="231"/>
      <c r="T320" s="231"/>
      <c r="U320" s="231"/>
      <c r="V320" s="231"/>
      <c r="W320" s="231"/>
      <c r="X320" s="231"/>
      <c r="Y320" s="231"/>
      <c r="Z320" s="231"/>
      <c r="AA320" s="231"/>
      <c r="AB320" s="231"/>
      <c r="AC320" s="231"/>
      <c r="AD320" s="231"/>
      <c r="AE320" s="231"/>
      <c r="AF320" s="231"/>
      <c r="AG320" s="231"/>
    </row>
    <row r="321" spans="1:33" s="203" customFormat="1">
      <c r="A321" s="179"/>
      <c r="B321" s="180"/>
      <c r="C321" s="180"/>
      <c r="D321" s="180"/>
      <c r="E321" s="180"/>
      <c r="F321" s="183"/>
      <c r="G321" s="21"/>
      <c r="H321" s="183"/>
      <c r="I321" s="183"/>
      <c r="J321" s="231"/>
      <c r="K321" s="231"/>
      <c r="L321" s="231"/>
      <c r="M321" s="231"/>
      <c r="N321" s="231"/>
      <c r="O321" s="231"/>
      <c r="P321" s="231"/>
      <c r="Q321" s="231"/>
      <c r="R321" s="231"/>
      <c r="S321" s="231"/>
      <c r="T321" s="231"/>
      <c r="U321" s="231"/>
      <c r="V321" s="231"/>
      <c r="W321" s="231"/>
      <c r="X321" s="231"/>
      <c r="Y321" s="231"/>
      <c r="Z321" s="231"/>
      <c r="AA321" s="231"/>
      <c r="AB321" s="231"/>
      <c r="AC321" s="231"/>
      <c r="AD321" s="231"/>
      <c r="AE321" s="231"/>
      <c r="AF321" s="231"/>
      <c r="AG321" s="231"/>
    </row>
    <row r="322" spans="1:33" s="203" customFormat="1">
      <c r="A322" s="148"/>
      <c r="B322" s="207"/>
      <c r="C322" s="207"/>
      <c r="D322" s="29"/>
      <c r="E322" s="29"/>
      <c r="F322" s="29"/>
      <c r="G322" s="29"/>
      <c r="H322" s="31" t="s">
        <v>27</v>
      </c>
      <c r="I322" s="2"/>
      <c r="J322" s="231"/>
      <c r="K322" s="231"/>
      <c r="L322" s="231"/>
      <c r="M322" s="231"/>
      <c r="N322" s="231"/>
      <c r="O322" s="231"/>
      <c r="P322" s="231"/>
      <c r="Q322" s="231"/>
      <c r="R322" s="231"/>
      <c r="S322" s="231"/>
      <c r="T322" s="231"/>
      <c r="U322" s="231"/>
      <c r="V322" s="231"/>
      <c r="W322" s="231"/>
      <c r="X322" s="231"/>
      <c r="Y322" s="231"/>
      <c r="Z322" s="231"/>
      <c r="AA322" s="231"/>
      <c r="AB322" s="231"/>
      <c r="AC322" s="231"/>
      <c r="AD322" s="231"/>
      <c r="AE322" s="231"/>
      <c r="AF322" s="231"/>
      <c r="AG322" s="231"/>
    </row>
    <row r="323" spans="1:33" s="203" customFormat="1">
      <c r="A323" s="190" t="s">
        <v>240</v>
      </c>
      <c r="B323" s="263"/>
      <c r="C323" s="861" t="s">
        <v>405</v>
      </c>
      <c r="D323" s="862"/>
      <c r="E323" s="862"/>
      <c r="F323" s="862"/>
      <c r="G323" s="862"/>
      <c r="H323" s="863"/>
      <c r="I323" s="210"/>
      <c r="J323" s="231"/>
      <c r="K323" s="231"/>
      <c r="L323" s="231"/>
      <c r="M323" s="231"/>
      <c r="N323" s="231"/>
      <c r="O323" s="231"/>
      <c r="P323" s="231"/>
      <c r="Q323" s="231"/>
      <c r="R323" s="231"/>
      <c r="S323" s="231"/>
      <c r="T323" s="231"/>
      <c r="U323" s="231"/>
      <c r="V323" s="231"/>
      <c r="W323" s="231"/>
      <c r="X323" s="231"/>
      <c r="Y323" s="231"/>
      <c r="Z323" s="231"/>
      <c r="AA323" s="231"/>
      <c r="AB323" s="231"/>
      <c r="AC323" s="231"/>
      <c r="AD323" s="231"/>
      <c r="AE323" s="231"/>
      <c r="AF323" s="231"/>
      <c r="AG323" s="231"/>
    </row>
    <row r="324" spans="1:33" s="203" customFormat="1" ht="39" thickBot="1">
      <c r="A324" s="110" t="s">
        <v>84</v>
      </c>
      <c r="B324" s="116"/>
      <c r="C324" s="35" t="s">
        <v>52</v>
      </c>
      <c r="D324" s="35" t="s">
        <v>53</v>
      </c>
      <c r="E324" s="37" t="s">
        <v>54</v>
      </c>
      <c r="F324" s="37" t="s">
        <v>55</v>
      </c>
      <c r="G324" s="37" t="s">
        <v>241</v>
      </c>
      <c r="H324" s="35" t="s">
        <v>121</v>
      </c>
      <c r="I324" s="29"/>
      <c r="J324" s="231"/>
      <c r="K324" s="231"/>
      <c r="L324" s="231"/>
      <c r="M324" s="231"/>
      <c r="N324" s="231"/>
      <c r="O324" s="231"/>
      <c r="P324" s="231"/>
      <c r="Q324" s="231"/>
      <c r="R324" s="231"/>
      <c r="S324" s="231"/>
      <c r="T324" s="231"/>
      <c r="U324" s="231"/>
      <c r="V324" s="231"/>
      <c r="W324" s="231"/>
      <c r="X324" s="231"/>
      <c r="Y324" s="231"/>
      <c r="Z324" s="231"/>
      <c r="AA324" s="231"/>
      <c r="AB324" s="231"/>
      <c r="AC324" s="231"/>
      <c r="AD324" s="231"/>
      <c r="AE324" s="231"/>
      <c r="AF324" s="231"/>
      <c r="AG324" s="231"/>
    </row>
    <row r="325" spans="1:33" s="203" customFormat="1" ht="13.5" thickBot="1">
      <c r="A325" s="815">
        <v>1</v>
      </c>
      <c r="B325" s="116" t="s">
        <v>242</v>
      </c>
      <c r="C325" s="193">
        <f t="shared" ref="C325:H325" si="0">SUM(C326:C329)</f>
        <v>14661</v>
      </c>
      <c r="D325" s="193">
        <f t="shared" si="0"/>
        <v>0</v>
      </c>
      <c r="E325" s="193">
        <v>3885</v>
      </c>
      <c r="F325" s="193">
        <f t="shared" si="0"/>
        <v>0</v>
      </c>
      <c r="G325" s="193">
        <f>SUM(G326:G329)</f>
        <v>0</v>
      </c>
      <c r="H325" s="193">
        <f t="shared" si="0"/>
        <v>0</v>
      </c>
      <c r="I325" s="207"/>
      <c r="J325" s="231"/>
      <c r="K325" s="231"/>
      <c r="L325" s="231"/>
      <c r="M325" s="231"/>
      <c r="N325" s="231"/>
      <c r="O325" s="231"/>
      <c r="P325" s="231"/>
      <c r="Q325" s="231"/>
      <c r="R325" s="231"/>
      <c r="S325" s="231"/>
      <c r="T325" s="231"/>
      <c r="U325" s="231"/>
      <c r="V325" s="231"/>
      <c r="W325" s="231"/>
      <c r="X325" s="231"/>
      <c r="Y325" s="231"/>
      <c r="Z325" s="231"/>
      <c r="AA325" s="231"/>
      <c r="AB325" s="231"/>
      <c r="AC325" s="231"/>
      <c r="AD325" s="231"/>
      <c r="AE325" s="231"/>
      <c r="AF325" s="231"/>
      <c r="AG325" s="231"/>
    </row>
    <row r="326" spans="1:33" s="203" customFormat="1">
      <c r="A326" s="815">
        <v>2</v>
      </c>
      <c r="B326" s="47" t="s">
        <v>243</v>
      </c>
      <c r="C326" s="169">
        <v>5368</v>
      </c>
      <c r="D326" s="169"/>
      <c r="E326" s="169">
        <v>871</v>
      </c>
      <c r="F326" s="169"/>
      <c r="G326" s="169"/>
      <c r="H326" s="169"/>
      <c r="I326" s="207"/>
      <c r="J326" s="231"/>
      <c r="K326" s="231"/>
      <c r="L326" s="231"/>
      <c r="M326" s="231"/>
      <c r="N326" s="231"/>
      <c r="O326" s="231"/>
      <c r="P326" s="231"/>
      <c r="Q326" s="231"/>
      <c r="R326" s="231"/>
      <c r="S326" s="231"/>
      <c r="T326" s="231"/>
      <c r="U326" s="231"/>
      <c r="V326" s="231"/>
      <c r="W326" s="231"/>
      <c r="X326" s="231"/>
      <c r="Y326" s="231"/>
      <c r="Z326" s="231"/>
      <c r="AA326" s="231"/>
      <c r="AB326" s="231"/>
      <c r="AC326" s="231"/>
      <c r="AD326" s="231"/>
      <c r="AE326" s="231"/>
      <c r="AF326" s="231"/>
      <c r="AG326" s="231"/>
    </row>
    <row r="327" spans="1:33" s="203" customFormat="1">
      <c r="A327" s="815">
        <v>3</v>
      </c>
      <c r="B327" s="47" t="s">
        <v>244</v>
      </c>
      <c r="C327" s="99">
        <v>5072</v>
      </c>
      <c r="D327" s="99"/>
      <c r="E327" s="99">
        <v>1583</v>
      </c>
      <c r="F327" s="99"/>
      <c r="G327" s="99"/>
      <c r="H327" s="99"/>
      <c r="I327" s="207"/>
      <c r="J327" s="231"/>
      <c r="K327" s="231"/>
      <c r="L327" s="231"/>
      <c r="M327" s="231"/>
      <c r="N327" s="231"/>
      <c r="O327" s="231"/>
      <c r="P327" s="231"/>
      <c r="Q327" s="231"/>
      <c r="R327" s="231"/>
      <c r="S327" s="231"/>
      <c r="T327" s="231"/>
      <c r="U327" s="231"/>
      <c r="V327" s="231"/>
      <c r="W327" s="231"/>
      <c r="X327" s="231"/>
      <c r="Y327" s="231"/>
      <c r="Z327" s="231"/>
      <c r="AA327" s="231"/>
      <c r="AB327" s="231"/>
      <c r="AC327" s="231"/>
      <c r="AD327" s="231"/>
      <c r="AE327" s="231"/>
      <c r="AF327" s="231"/>
      <c r="AG327" s="231"/>
    </row>
    <row r="328" spans="1:33" s="203" customFormat="1">
      <c r="A328" s="815">
        <v>4</v>
      </c>
      <c r="B328" s="47" t="s">
        <v>245</v>
      </c>
      <c r="C328" s="99">
        <v>3259</v>
      </c>
      <c r="D328" s="99"/>
      <c r="E328" s="99">
        <v>1166</v>
      </c>
      <c r="F328" s="99"/>
      <c r="G328" s="99"/>
      <c r="H328" s="99"/>
      <c r="I328" s="207"/>
      <c r="J328" s="231"/>
      <c r="K328" s="231"/>
      <c r="L328" s="231"/>
      <c r="M328" s="231"/>
      <c r="N328" s="231"/>
      <c r="O328" s="231"/>
      <c r="P328" s="231"/>
      <c r="Q328" s="231"/>
      <c r="R328" s="231"/>
      <c r="S328" s="231"/>
      <c r="T328" s="231"/>
      <c r="U328" s="231"/>
      <c r="V328" s="231"/>
      <c r="W328" s="231"/>
      <c r="X328" s="231"/>
      <c r="Y328" s="231"/>
      <c r="Z328" s="231"/>
      <c r="AA328" s="231"/>
      <c r="AB328" s="231"/>
      <c r="AC328" s="231"/>
      <c r="AD328" s="231"/>
      <c r="AE328" s="231"/>
      <c r="AF328" s="231"/>
      <c r="AG328" s="231"/>
    </row>
    <row r="329" spans="1:33" s="203" customFormat="1">
      <c r="A329" s="816">
        <v>5</v>
      </c>
      <c r="B329" s="54" t="s">
        <v>246</v>
      </c>
      <c r="C329" s="100">
        <v>962</v>
      </c>
      <c r="D329" s="100"/>
      <c r="E329" s="100">
        <v>265</v>
      </c>
      <c r="F329" s="100"/>
      <c r="G329" s="100"/>
      <c r="H329" s="100"/>
      <c r="I329" s="207"/>
      <c r="J329" s="231"/>
      <c r="K329" s="231"/>
      <c r="L329" s="231"/>
      <c r="M329" s="231"/>
      <c r="N329" s="231"/>
      <c r="O329" s="231"/>
      <c r="P329" s="231"/>
      <c r="Q329" s="231"/>
      <c r="R329" s="231"/>
      <c r="S329" s="231"/>
      <c r="T329" s="231"/>
      <c r="U329" s="231"/>
      <c r="V329" s="231"/>
      <c r="W329" s="231"/>
      <c r="X329" s="231"/>
      <c r="Y329" s="231"/>
      <c r="Z329" s="231"/>
      <c r="AA329" s="231"/>
      <c r="AB329" s="231"/>
      <c r="AC329" s="231"/>
      <c r="AD329" s="231"/>
      <c r="AE329" s="231"/>
      <c r="AF329" s="231"/>
      <c r="AG329" s="231"/>
    </row>
    <row r="330" spans="1:33" s="203" customFormat="1">
      <c r="A330" s="815"/>
      <c r="B330" s="47"/>
      <c r="C330" s="864" t="s">
        <v>404</v>
      </c>
      <c r="D330" s="865"/>
      <c r="E330" s="865"/>
      <c r="F330" s="865"/>
      <c r="G330" s="865"/>
      <c r="H330" s="866"/>
      <c r="I330" s="207"/>
      <c r="J330" s="231"/>
      <c r="K330" s="231"/>
      <c r="L330" s="231"/>
      <c r="M330" s="231"/>
      <c r="N330" s="231"/>
      <c r="O330" s="231"/>
      <c r="P330" s="231"/>
      <c r="Q330" s="231"/>
      <c r="R330" s="231"/>
      <c r="S330" s="231"/>
      <c r="T330" s="231"/>
      <c r="U330" s="231"/>
      <c r="V330" s="231"/>
      <c r="W330" s="231"/>
      <c r="X330" s="231"/>
      <c r="Y330" s="231"/>
      <c r="Z330" s="231"/>
      <c r="AA330" s="231"/>
      <c r="AB330" s="231"/>
      <c r="AC330" s="231"/>
      <c r="AD330" s="231"/>
      <c r="AE330" s="231"/>
      <c r="AF330" s="231"/>
      <c r="AG330" s="231"/>
    </row>
    <row r="331" spans="1:33" s="203" customFormat="1" ht="39" thickBot="1">
      <c r="A331" s="110" t="s">
        <v>84</v>
      </c>
      <c r="B331" s="116"/>
      <c r="C331" s="35" t="s">
        <v>52</v>
      </c>
      <c r="D331" s="35" t="s">
        <v>53</v>
      </c>
      <c r="E331" s="37" t="s">
        <v>54</v>
      </c>
      <c r="F331" s="37" t="s">
        <v>55</v>
      </c>
      <c r="G331" s="37" t="s">
        <v>241</v>
      </c>
      <c r="H331" s="35" t="s">
        <v>121</v>
      </c>
      <c r="I331" s="207"/>
      <c r="J331" s="231"/>
      <c r="K331" s="231"/>
      <c r="L331" s="231"/>
      <c r="M331" s="231"/>
      <c r="N331" s="231"/>
      <c r="O331" s="231"/>
      <c r="P331" s="231"/>
      <c r="Q331" s="231"/>
      <c r="R331" s="231"/>
      <c r="S331" s="231"/>
      <c r="T331" s="231"/>
      <c r="U331" s="231"/>
      <c r="V331" s="231"/>
      <c r="W331" s="231"/>
      <c r="X331" s="231"/>
      <c r="Y331" s="231"/>
      <c r="Z331" s="231"/>
      <c r="AA331" s="231"/>
      <c r="AB331" s="231"/>
      <c r="AC331" s="231"/>
      <c r="AD331" s="231"/>
      <c r="AE331" s="231"/>
      <c r="AF331" s="231"/>
      <c r="AG331" s="231"/>
    </row>
    <row r="332" spans="1:33" s="203" customFormat="1" ht="13.5" thickBot="1">
      <c r="A332" s="815">
        <v>1</v>
      </c>
      <c r="B332" s="116" t="s">
        <v>242</v>
      </c>
      <c r="C332" s="193">
        <f t="shared" ref="C332:H332" si="1">SUM(C333:C336)</f>
        <v>14948</v>
      </c>
      <c r="D332" s="193">
        <f t="shared" si="1"/>
        <v>0</v>
      </c>
      <c r="E332" s="193">
        <v>3885</v>
      </c>
      <c r="F332" s="193">
        <f t="shared" si="1"/>
        <v>0</v>
      </c>
      <c r="G332" s="193">
        <f>SUM(G333:G336)</f>
        <v>0</v>
      </c>
      <c r="H332" s="193">
        <f t="shared" si="1"/>
        <v>0</v>
      </c>
      <c r="I332" s="207"/>
      <c r="J332" s="231"/>
      <c r="K332" s="231"/>
      <c r="L332" s="231"/>
      <c r="M332" s="231"/>
      <c r="N332" s="231"/>
      <c r="O332" s="231"/>
      <c r="P332" s="231"/>
      <c r="Q332" s="231"/>
      <c r="R332" s="231"/>
      <c r="S332" s="231"/>
      <c r="T332" s="231"/>
      <c r="U332" s="231"/>
      <c r="V332" s="231"/>
      <c r="W332" s="231"/>
      <c r="X332" s="231"/>
      <c r="Y332" s="231"/>
      <c r="Z332" s="231"/>
      <c r="AA332" s="231"/>
      <c r="AB332" s="231"/>
      <c r="AC332" s="231"/>
      <c r="AD332" s="231"/>
      <c r="AE332" s="231"/>
      <c r="AF332" s="231"/>
      <c r="AG332" s="231"/>
    </row>
    <row r="333" spans="1:33" s="203" customFormat="1">
      <c r="A333" s="815">
        <v>2</v>
      </c>
      <c r="B333" s="47" t="s">
        <v>243</v>
      </c>
      <c r="C333" s="169">
        <v>5730</v>
      </c>
      <c r="D333" s="169"/>
      <c r="E333" s="169">
        <v>900</v>
      </c>
      <c r="F333" s="169"/>
      <c r="G333" s="169"/>
      <c r="H333" s="169"/>
      <c r="I333" s="207"/>
      <c r="J333" s="231"/>
      <c r="K333" s="231"/>
      <c r="L333" s="231"/>
      <c r="M333" s="231"/>
      <c r="N333" s="231"/>
      <c r="O333" s="231"/>
      <c r="P333" s="231"/>
      <c r="Q333" s="231"/>
      <c r="R333" s="231"/>
      <c r="S333" s="231"/>
      <c r="T333" s="231"/>
      <c r="U333" s="231"/>
      <c r="V333" s="231"/>
      <c r="W333" s="231"/>
      <c r="X333" s="231"/>
      <c r="Y333" s="231"/>
      <c r="Z333" s="231"/>
      <c r="AA333" s="231"/>
      <c r="AB333" s="231"/>
      <c r="AC333" s="231"/>
      <c r="AD333" s="231"/>
      <c r="AE333" s="231"/>
      <c r="AF333" s="231"/>
      <c r="AG333" s="231"/>
    </row>
    <row r="334" spans="1:33" s="203" customFormat="1">
      <c r="A334" s="815">
        <v>3</v>
      </c>
      <c r="B334" s="47" t="s">
        <v>244</v>
      </c>
      <c r="C334" s="99">
        <v>4820</v>
      </c>
      <c r="D334" s="99"/>
      <c r="E334" s="99">
        <v>1501</v>
      </c>
      <c r="F334" s="99"/>
      <c r="G334" s="99"/>
      <c r="H334" s="99"/>
      <c r="I334" s="207"/>
      <c r="J334" s="231"/>
      <c r="K334" s="231"/>
      <c r="L334" s="231"/>
      <c r="M334" s="231"/>
      <c r="N334" s="231"/>
      <c r="O334" s="231"/>
      <c r="P334" s="231"/>
      <c r="Q334" s="231"/>
      <c r="R334" s="231"/>
      <c r="S334" s="231"/>
      <c r="T334" s="231"/>
      <c r="U334" s="231"/>
      <c r="V334" s="231"/>
      <c r="W334" s="231"/>
      <c r="X334" s="231"/>
      <c r="Y334" s="231"/>
      <c r="Z334" s="231"/>
      <c r="AA334" s="231"/>
      <c r="AB334" s="231"/>
      <c r="AC334" s="231"/>
      <c r="AD334" s="231"/>
      <c r="AE334" s="231"/>
      <c r="AF334" s="231"/>
      <c r="AG334" s="231"/>
    </row>
    <row r="335" spans="1:33" s="203" customFormat="1">
      <c r="A335" s="815">
        <v>4</v>
      </c>
      <c r="B335" s="47" t="s">
        <v>245</v>
      </c>
      <c r="C335" s="99">
        <v>3653</v>
      </c>
      <c r="D335" s="99"/>
      <c r="E335" s="99">
        <v>1194</v>
      </c>
      <c r="F335" s="99"/>
      <c r="G335" s="99"/>
      <c r="H335" s="99"/>
      <c r="I335" s="207"/>
      <c r="J335" s="231"/>
      <c r="K335" s="231"/>
      <c r="L335" s="231"/>
      <c r="M335" s="231"/>
      <c r="N335" s="231"/>
      <c r="O335" s="231"/>
      <c r="P335" s="231"/>
      <c r="Q335" s="231"/>
      <c r="R335" s="231"/>
      <c r="S335" s="231"/>
      <c r="T335" s="231"/>
      <c r="U335" s="231"/>
      <c r="V335" s="231"/>
      <c r="W335" s="231"/>
      <c r="X335" s="231"/>
      <c r="Y335" s="231"/>
      <c r="Z335" s="231"/>
      <c r="AA335" s="231"/>
      <c r="AB335" s="231"/>
      <c r="AC335" s="231"/>
      <c r="AD335" s="231"/>
      <c r="AE335" s="231"/>
      <c r="AF335" s="231"/>
      <c r="AG335" s="231"/>
    </row>
    <row r="336" spans="1:33" s="203" customFormat="1">
      <c r="A336" s="816">
        <v>5</v>
      </c>
      <c r="B336" s="54" t="s">
        <v>246</v>
      </c>
      <c r="C336" s="100">
        <v>745</v>
      </c>
      <c r="D336" s="100"/>
      <c r="E336" s="100">
        <v>290</v>
      </c>
      <c r="F336" s="100"/>
      <c r="G336" s="100"/>
      <c r="H336" s="100"/>
      <c r="I336" s="207"/>
      <c r="J336" s="231"/>
      <c r="K336" s="231"/>
      <c r="L336" s="231"/>
      <c r="M336" s="231"/>
      <c r="N336" s="231"/>
      <c r="O336" s="231"/>
      <c r="P336" s="231"/>
      <c r="Q336" s="231"/>
      <c r="R336" s="231"/>
      <c r="S336" s="231"/>
      <c r="T336" s="231"/>
      <c r="U336" s="231"/>
      <c r="V336" s="231"/>
      <c r="W336" s="231"/>
      <c r="X336" s="231"/>
      <c r="Y336" s="231"/>
      <c r="Z336" s="231"/>
      <c r="AA336" s="231"/>
      <c r="AB336" s="231"/>
      <c r="AC336" s="231"/>
      <c r="AD336" s="231"/>
      <c r="AE336" s="231"/>
      <c r="AF336" s="231"/>
      <c r="AG336" s="231"/>
    </row>
    <row r="337" spans="1:33" s="203" customFormat="1">
      <c r="A337" s="23"/>
      <c r="B337" s="207"/>
      <c r="C337" s="207"/>
      <c r="D337" s="207"/>
      <c r="E337" s="207"/>
      <c r="F337" s="207"/>
      <c r="G337" s="207"/>
      <c r="H337" s="21"/>
      <c r="I337" s="21"/>
      <c r="J337" s="231"/>
      <c r="K337" s="231"/>
      <c r="L337" s="231"/>
      <c r="M337" s="231"/>
      <c r="N337" s="231"/>
      <c r="O337" s="231"/>
      <c r="P337" s="231"/>
      <c r="Q337" s="231"/>
      <c r="R337" s="231"/>
      <c r="S337" s="231"/>
      <c r="T337" s="231"/>
      <c r="U337" s="231"/>
      <c r="V337" s="231"/>
      <c r="W337" s="231"/>
      <c r="X337" s="231"/>
      <c r="Y337" s="231"/>
      <c r="Z337" s="231"/>
      <c r="AA337" s="231"/>
      <c r="AB337" s="231"/>
      <c r="AC337" s="231"/>
      <c r="AD337" s="231"/>
      <c r="AE337" s="231"/>
      <c r="AF337" s="231"/>
      <c r="AG337" s="231"/>
    </row>
    <row r="338" spans="1:33" s="203" customFormat="1" ht="12.75" customHeight="1">
      <c r="A338" s="23"/>
      <c r="B338" s="207"/>
      <c r="C338" s="207"/>
      <c r="D338" s="207"/>
      <c r="E338" s="207"/>
      <c r="F338" s="207"/>
      <c r="G338" s="207"/>
      <c r="H338" s="21"/>
      <c r="I338" s="21"/>
      <c r="J338" s="231"/>
      <c r="K338" s="231"/>
      <c r="L338" s="231"/>
      <c r="M338" s="231"/>
      <c r="N338" s="231"/>
      <c r="O338" s="231"/>
      <c r="P338" s="231"/>
      <c r="Q338" s="231"/>
      <c r="R338" s="231"/>
      <c r="S338" s="231"/>
      <c r="T338" s="231"/>
      <c r="U338" s="231"/>
      <c r="V338" s="231"/>
      <c r="W338" s="231"/>
      <c r="X338" s="231"/>
      <c r="Y338" s="231"/>
      <c r="Z338" s="231"/>
      <c r="AA338" s="231"/>
      <c r="AB338" s="231"/>
      <c r="AC338" s="231"/>
      <c r="AD338" s="231"/>
      <c r="AE338" s="231"/>
      <c r="AF338" s="231"/>
      <c r="AG338" s="231"/>
    </row>
    <row r="339" spans="1:33" s="203" customFormat="1">
      <c r="A339" s="23"/>
      <c r="B339" s="207"/>
      <c r="C339" s="207"/>
      <c r="D339" s="207"/>
      <c r="E339" s="207"/>
      <c r="F339" s="207"/>
      <c r="G339" s="207"/>
      <c r="H339" s="21"/>
      <c r="I339" s="21"/>
      <c r="J339" s="231"/>
      <c r="K339" s="231"/>
      <c r="L339" s="231"/>
      <c r="M339" s="231"/>
      <c r="N339" s="231"/>
      <c r="O339" s="231"/>
      <c r="P339" s="231"/>
      <c r="Q339" s="231"/>
      <c r="R339" s="231"/>
      <c r="S339" s="231"/>
      <c r="T339" s="231"/>
      <c r="U339" s="231"/>
      <c r="V339" s="231"/>
      <c r="W339" s="231"/>
      <c r="X339" s="231"/>
      <c r="Y339" s="231"/>
      <c r="Z339" s="231"/>
      <c r="AA339" s="231"/>
      <c r="AB339" s="231"/>
      <c r="AC339" s="231"/>
      <c r="AD339" s="231"/>
      <c r="AE339" s="231"/>
      <c r="AF339" s="231"/>
      <c r="AG339" s="231"/>
    </row>
    <row r="340" spans="1:33" s="203" customFormat="1">
      <c r="A340" s="23"/>
      <c r="B340" s="207"/>
      <c r="C340" s="207"/>
      <c r="D340" s="207"/>
      <c r="E340" s="207"/>
      <c r="F340" s="207"/>
      <c r="G340" s="207"/>
      <c r="H340" s="131" t="s">
        <v>27</v>
      </c>
      <c r="I340" s="21"/>
      <c r="J340" s="231"/>
      <c r="K340" s="231"/>
      <c r="L340" s="231"/>
      <c r="M340" s="231"/>
      <c r="N340" s="231"/>
      <c r="O340" s="231"/>
      <c r="P340" s="231"/>
      <c r="Q340" s="231"/>
      <c r="R340" s="231"/>
      <c r="S340" s="231"/>
      <c r="T340" s="231"/>
      <c r="U340" s="231"/>
      <c r="V340" s="231"/>
      <c r="W340" s="231"/>
      <c r="X340" s="231"/>
      <c r="Y340" s="231"/>
      <c r="Z340" s="231"/>
      <c r="AA340" s="231"/>
      <c r="AB340" s="231"/>
      <c r="AC340" s="231"/>
      <c r="AD340" s="231"/>
      <c r="AE340" s="231"/>
      <c r="AF340" s="231"/>
      <c r="AG340" s="231"/>
    </row>
    <row r="341" spans="1:33" s="203" customFormat="1">
      <c r="A341" s="197"/>
      <c r="B341" s="69"/>
      <c r="C341" s="69"/>
      <c r="D341" s="69"/>
      <c r="E341" s="856" t="s">
        <v>377</v>
      </c>
      <c r="F341" s="853" t="s">
        <v>402</v>
      </c>
      <c r="G341" s="207"/>
      <c r="H341" s="856" t="s">
        <v>403</v>
      </c>
      <c r="I341" s="21"/>
      <c r="J341" s="231"/>
      <c r="K341" s="231"/>
      <c r="L341" s="231"/>
      <c r="M341" s="231"/>
      <c r="N341" s="231"/>
      <c r="O341" s="231"/>
      <c r="P341" s="231"/>
      <c r="Q341" s="231"/>
      <c r="R341" s="231"/>
      <c r="S341" s="231"/>
      <c r="T341" s="231"/>
      <c r="U341" s="231"/>
      <c r="V341" s="231"/>
      <c r="W341" s="231"/>
      <c r="X341" s="231"/>
      <c r="Y341" s="231"/>
      <c r="Z341" s="231"/>
      <c r="AA341" s="231"/>
      <c r="AB341" s="231"/>
      <c r="AC341" s="231"/>
      <c r="AD341" s="231"/>
      <c r="AE341" s="231"/>
      <c r="AF341" s="231"/>
      <c r="AG341" s="231"/>
    </row>
    <row r="342" spans="1:33" s="203" customFormat="1">
      <c r="A342" s="144" t="s">
        <v>261</v>
      </c>
      <c r="B342" s="116"/>
      <c r="C342" s="116"/>
      <c r="D342" s="116"/>
      <c r="E342" s="859"/>
      <c r="F342" s="854"/>
      <c r="G342" s="207"/>
      <c r="H342" s="857"/>
      <c r="I342" s="21"/>
      <c r="J342" s="231"/>
      <c r="K342" s="231"/>
      <c r="L342" s="231"/>
      <c r="M342" s="231"/>
      <c r="N342" s="231"/>
      <c r="O342" s="231"/>
      <c r="P342" s="231"/>
      <c r="Q342" s="231"/>
      <c r="R342" s="231"/>
      <c r="S342" s="231"/>
      <c r="T342" s="231"/>
      <c r="U342" s="231"/>
      <c r="V342" s="231"/>
      <c r="W342" s="231"/>
      <c r="X342" s="231"/>
      <c r="Y342" s="231"/>
      <c r="Z342" s="231"/>
      <c r="AA342" s="231"/>
      <c r="AB342" s="231"/>
      <c r="AC342" s="231"/>
      <c r="AD342" s="231"/>
      <c r="AE342" s="231"/>
      <c r="AF342" s="231"/>
      <c r="AG342" s="231"/>
    </row>
    <row r="343" spans="1:33" s="203" customFormat="1">
      <c r="A343" s="119"/>
      <c r="B343" s="116"/>
      <c r="C343" s="116"/>
      <c r="D343" s="116"/>
      <c r="E343" s="859"/>
      <c r="F343" s="854"/>
      <c r="G343" s="207"/>
      <c r="H343" s="857"/>
      <c r="I343" s="21"/>
      <c r="J343" s="231"/>
      <c r="K343" s="231"/>
      <c r="L343" s="231"/>
      <c r="M343" s="231"/>
      <c r="N343" s="231"/>
      <c r="O343" s="231"/>
      <c r="P343" s="231"/>
      <c r="Q343" s="231"/>
      <c r="R343" s="231"/>
      <c r="S343" s="231"/>
      <c r="T343" s="231"/>
      <c r="U343" s="231"/>
      <c r="V343" s="231"/>
      <c r="W343" s="231"/>
      <c r="X343" s="231"/>
      <c r="Y343" s="231"/>
      <c r="Z343" s="231"/>
      <c r="AA343" s="231"/>
      <c r="AB343" s="231"/>
      <c r="AC343" s="231"/>
      <c r="AD343" s="231"/>
      <c r="AE343" s="231"/>
      <c r="AF343" s="231"/>
      <c r="AG343" s="231"/>
    </row>
    <row r="344" spans="1:33" s="203" customFormat="1">
      <c r="A344" s="198" t="s">
        <v>262</v>
      </c>
      <c r="B344" s="116"/>
      <c r="C344" s="116"/>
      <c r="D344" s="116"/>
      <c r="E344" s="859"/>
      <c r="F344" s="854"/>
      <c r="G344" s="207"/>
      <c r="H344" s="857"/>
      <c r="I344" s="21"/>
      <c r="J344" s="231"/>
      <c r="K344" s="231"/>
      <c r="L344" s="231"/>
      <c r="M344" s="231"/>
      <c r="N344" s="231"/>
      <c r="O344" s="231"/>
      <c r="P344" s="231"/>
      <c r="Q344" s="231"/>
      <c r="R344" s="231"/>
      <c r="S344" s="231"/>
      <c r="T344" s="231"/>
      <c r="U344" s="231"/>
      <c r="V344" s="231"/>
      <c r="W344" s="231"/>
      <c r="X344" s="231"/>
      <c r="Y344" s="231"/>
      <c r="Z344" s="231"/>
      <c r="AA344" s="231"/>
      <c r="AB344" s="231"/>
      <c r="AC344" s="231"/>
      <c r="AD344" s="231"/>
      <c r="AE344" s="231"/>
      <c r="AF344" s="231"/>
      <c r="AG344" s="231"/>
    </row>
    <row r="345" spans="1:33" s="203" customFormat="1">
      <c r="A345" s="198" t="s">
        <v>330</v>
      </c>
      <c r="B345" s="116"/>
      <c r="C345" s="116"/>
      <c r="D345" s="116"/>
      <c r="E345" s="860"/>
      <c r="F345" s="855"/>
      <c r="G345" s="207"/>
      <c r="H345" s="858"/>
      <c r="I345" s="21"/>
      <c r="J345" s="231"/>
      <c r="K345" s="231"/>
      <c r="L345" s="231"/>
      <c r="M345" s="231"/>
      <c r="N345" s="231"/>
      <c r="O345" s="231"/>
      <c r="P345" s="231"/>
      <c r="Q345" s="231"/>
      <c r="R345" s="231"/>
      <c r="S345" s="231"/>
      <c r="T345" s="231"/>
      <c r="U345" s="231"/>
      <c r="V345" s="231"/>
      <c r="W345" s="231"/>
      <c r="X345" s="231"/>
      <c r="Y345" s="231"/>
      <c r="Z345" s="231"/>
      <c r="AA345" s="231"/>
      <c r="AB345" s="231"/>
      <c r="AC345" s="231"/>
      <c r="AD345" s="231"/>
      <c r="AE345" s="231"/>
      <c r="AF345" s="231"/>
      <c r="AG345" s="231"/>
    </row>
    <row r="346" spans="1:33" s="203" customFormat="1">
      <c r="A346" s="119"/>
      <c r="B346" s="47"/>
      <c r="C346" s="116"/>
      <c r="D346" s="116"/>
      <c r="E346" s="178"/>
      <c r="F346" s="146"/>
      <c r="G346" s="23"/>
      <c r="H346" s="264"/>
      <c r="I346" s="21"/>
      <c r="J346" s="231"/>
      <c r="K346" s="231"/>
      <c r="L346" s="231"/>
      <c r="M346" s="231"/>
      <c r="N346" s="231"/>
      <c r="O346" s="231"/>
      <c r="P346" s="231"/>
      <c r="Q346" s="231"/>
      <c r="R346" s="231"/>
      <c r="S346" s="231"/>
      <c r="T346" s="231"/>
      <c r="U346" s="231"/>
      <c r="V346" s="231"/>
      <c r="W346" s="231"/>
      <c r="X346" s="231"/>
      <c r="Y346" s="231"/>
      <c r="Z346" s="231"/>
      <c r="AA346" s="231"/>
      <c r="AB346" s="231"/>
      <c r="AC346" s="231"/>
      <c r="AD346" s="231"/>
      <c r="AE346" s="231"/>
      <c r="AF346" s="231"/>
      <c r="AG346" s="231"/>
    </row>
    <row r="347" spans="1:33" s="203" customFormat="1">
      <c r="A347" s="815">
        <v>1</v>
      </c>
      <c r="B347" s="47" t="s">
        <v>263</v>
      </c>
      <c r="C347" s="116"/>
      <c r="D347" s="116"/>
      <c r="E347" s="354">
        <v>3776</v>
      </c>
      <c r="F347" s="265">
        <v>3594</v>
      </c>
      <c r="G347" s="43"/>
      <c r="H347" s="126">
        <v>3665</v>
      </c>
      <c r="I347" s="86"/>
      <c r="J347" s="231"/>
      <c r="K347" s="231"/>
      <c r="L347" s="231"/>
      <c r="M347" s="231"/>
      <c r="N347" s="231"/>
      <c r="O347" s="231"/>
      <c r="P347" s="231"/>
      <c r="Q347" s="231"/>
      <c r="R347" s="231"/>
      <c r="S347" s="231"/>
      <c r="T347" s="231"/>
      <c r="U347" s="231"/>
      <c r="V347" s="231"/>
      <c r="W347" s="231"/>
      <c r="X347" s="231"/>
      <c r="Y347" s="231"/>
      <c r="Z347" s="231"/>
      <c r="AA347" s="231"/>
      <c r="AB347" s="231"/>
      <c r="AC347" s="231"/>
      <c r="AD347" s="231"/>
      <c r="AE347" s="231"/>
      <c r="AF347" s="231"/>
      <c r="AG347" s="231"/>
    </row>
    <row r="348" spans="1:33" s="203" customFormat="1">
      <c r="A348" s="815"/>
      <c r="B348" s="47"/>
      <c r="C348" s="116"/>
      <c r="D348" s="116"/>
      <c r="E348" s="355"/>
      <c r="F348" s="188"/>
      <c r="G348" s="43"/>
      <c r="H348" s="188"/>
      <c r="I348" s="86"/>
      <c r="J348" s="231"/>
      <c r="K348" s="231"/>
      <c r="L348" s="231"/>
      <c r="M348" s="231"/>
      <c r="N348" s="231"/>
      <c r="O348" s="231"/>
      <c r="P348" s="231"/>
      <c r="Q348" s="231"/>
      <c r="R348" s="231"/>
      <c r="S348" s="231"/>
      <c r="T348" s="231"/>
      <c r="U348" s="231"/>
      <c r="V348" s="231"/>
      <c r="W348" s="231"/>
      <c r="X348" s="231"/>
      <c r="Y348" s="231"/>
      <c r="Z348" s="231"/>
      <c r="AA348" s="231"/>
      <c r="AB348" s="231"/>
      <c r="AC348" s="231"/>
      <c r="AD348" s="231"/>
      <c r="AE348" s="231"/>
      <c r="AF348" s="231"/>
      <c r="AG348" s="231"/>
    </row>
    <row r="349" spans="1:33" s="203" customFormat="1">
      <c r="A349" s="108" t="s">
        <v>378</v>
      </c>
      <c r="B349" s="47"/>
      <c r="C349" s="116"/>
      <c r="D349" s="116"/>
      <c r="E349" s="355"/>
      <c r="F349" s="188"/>
      <c r="G349" s="43"/>
      <c r="H349" s="188"/>
      <c r="I349" s="86"/>
      <c r="J349" s="231"/>
      <c r="K349" s="231"/>
      <c r="L349" s="231"/>
      <c r="M349" s="231"/>
      <c r="N349" s="231"/>
      <c r="O349" s="231"/>
      <c r="P349" s="231"/>
      <c r="Q349" s="231"/>
      <c r="R349" s="231"/>
      <c r="S349" s="231"/>
      <c r="T349" s="231"/>
      <c r="U349" s="231"/>
      <c r="V349" s="231"/>
      <c r="W349" s="231"/>
      <c r="X349" s="231"/>
      <c r="Y349" s="231"/>
      <c r="Z349" s="231"/>
      <c r="AA349" s="231"/>
      <c r="AB349" s="231"/>
      <c r="AC349" s="231"/>
      <c r="AD349" s="231"/>
      <c r="AE349" s="231"/>
      <c r="AF349" s="231"/>
      <c r="AG349" s="231"/>
    </row>
    <row r="350" spans="1:33" s="203" customFormat="1">
      <c r="A350" s="815"/>
      <c r="B350" s="47"/>
      <c r="C350" s="116"/>
      <c r="D350" s="116"/>
      <c r="E350" s="355"/>
      <c r="F350" s="188"/>
      <c r="G350" s="43"/>
      <c r="H350" s="188"/>
      <c r="I350" s="86"/>
      <c r="J350" s="231"/>
      <c r="K350" s="231"/>
      <c r="L350" s="231"/>
      <c r="M350" s="231"/>
      <c r="N350" s="231"/>
      <c r="O350" s="231"/>
      <c r="P350" s="231"/>
      <c r="Q350" s="231"/>
      <c r="R350" s="231"/>
      <c r="S350" s="231"/>
      <c r="T350" s="231"/>
      <c r="U350" s="231"/>
      <c r="V350" s="231"/>
      <c r="W350" s="231"/>
      <c r="X350" s="231"/>
      <c r="Y350" s="231"/>
      <c r="Z350" s="231"/>
      <c r="AA350" s="231"/>
      <c r="AB350" s="231"/>
      <c r="AC350" s="231"/>
      <c r="AD350" s="231"/>
      <c r="AE350" s="231"/>
      <c r="AF350" s="231"/>
      <c r="AG350" s="231"/>
    </row>
    <row r="351" spans="1:33" s="203" customFormat="1">
      <c r="A351" s="198" t="s">
        <v>379</v>
      </c>
      <c r="B351" s="47"/>
      <c r="C351" s="116"/>
      <c r="D351" s="116"/>
      <c r="E351" s="355"/>
      <c r="F351" s="188"/>
      <c r="G351" s="43"/>
      <c r="H351" s="188"/>
      <c r="I351" s="86"/>
      <c r="J351" s="231"/>
      <c r="K351" s="231"/>
      <c r="L351" s="231"/>
      <c r="M351" s="231"/>
      <c r="N351" s="231"/>
      <c r="O351" s="231"/>
      <c r="P351" s="231"/>
      <c r="Q351" s="231"/>
      <c r="R351" s="231"/>
      <c r="S351" s="231"/>
      <c r="T351" s="231"/>
      <c r="U351" s="231"/>
      <c r="V351" s="231"/>
      <c r="W351" s="231"/>
      <c r="X351" s="231"/>
      <c r="Y351" s="231"/>
      <c r="Z351" s="231"/>
      <c r="AA351" s="231"/>
      <c r="AB351" s="231"/>
      <c r="AC351" s="231"/>
      <c r="AD351" s="231"/>
      <c r="AE351" s="231"/>
      <c r="AF351" s="231"/>
      <c r="AG351" s="231"/>
    </row>
    <row r="352" spans="1:33" s="203" customFormat="1">
      <c r="A352" s="815"/>
      <c r="B352" s="47"/>
      <c r="C352" s="116"/>
      <c r="D352" s="116"/>
      <c r="E352" s="355"/>
      <c r="F352" s="188"/>
      <c r="G352" s="43"/>
      <c r="H352" s="188"/>
      <c r="I352" s="86"/>
      <c r="J352" s="231"/>
      <c r="K352" s="231"/>
      <c r="L352" s="231"/>
      <c r="M352" s="231"/>
      <c r="N352" s="231"/>
      <c r="O352" s="231"/>
      <c r="P352" s="231"/>
      <c r="Q352" s="231"/>
      <c r="R352" s="231"/>
      <c r="S352" s="231"/>
      <c r="T352" s="231"/>
      <c r="U352" s="231"/>
      <c r="V352" s="231"/>
      <c r="W352" s="231"/>
      <c r="X352" s="231"/>
      <c r="Y352" s="231"/>
      <c r="Z352" s="231"/>
      <c r="AA352" s="231"/>
      <c r="AB352" s="231"/>
      <c r="AC352" s="231"/>
      <c r="AD352" s="231"/>
      <c r="AE352" s="231"/>
      <c r="AF352" s="231"/>
      <c r="AG352" s="231"/>
    </row>
    <row r="353" spans="1:33" s="203" customFormat="1">
      <c r="A353" s="815">
        <v>2</v>
      </c>
      <c r="B353" s="47" t="s">
        <v>52</v>
      </c>
      <c r="C353" s="116"/>
      <c r="D353" s="116"/>
      <c r="E353" s="74">
        <v>1335</v>
      </c>
      <c r="F353" s="75">
        <v>1487</v>
      </c>
      <c r="G353" s="43"/>
      <c r="H353" s="126">
        <v>745</v>
      </c>
      <c r="I353" s="86"/>
      <c r="J353" s="231"/>
      <c r="K353" s="231"/>
      <c r="L353" s="231"/>
      <c r="M353" s="231"/>
      <c r="N353" s="231"/>
      <c r="O353" s="231"/>
      <c r="P353" s="231"/>
      <c r="Q353" s="231"/>
      <c r="R353" s="231"/>
      <c r="S353" s="231"/>
      <c r="T353" s="231"/>
      <c r="U353" s="231"/>
      <c r="V353" s="231"/>
      <c r="W353" s="231"/>
      <c r="X353" s="231"/>
      <c r="Y353" s="231"/>
      <c r="Z353" s="231"/>
      <c r="AA353" s="231"/>
      <c r="AB353" s="231"/>
      <c r="AC353" s="231"/>
      <c r="AD353" s="231"/>
      <c r="AE353" s="231"/>
      <c r="AF353" s="231"/>
      <c r="AG353" s="231"/>
    </row>
    <row r="354" spans="1:33" s="203" customFormat="1">
      <c r="A354" s="815">
        <v>3</v>
      </c>
      <c r="B354" s="47" t="s">
        <v>53</v>
      </c>
      <c r="C354" s="116"/>
      <c r="D354" s="116"/>
      <c r="E354" s="49">
        <v>0</v>
      </c>
      <c r="F354" s="75"/>
      <c r="G354" s="43"/>
      <c r="H354" s="126"/>
      <c r="I354" s="86"/>
      <c r="J354" s="231"/>
      <c r="K354" s="231"/>
      <c r="L354" s="231"/>
      <c r="M354" s="231"/>
      <c r="N354" s="231"/>
      <c r="O354" s="231"/>
      <c r="P354" s="231"/>
      <c r="Q354" s="231"/>
      <c r="R354" s="231"/>
      <c r="S354" s="231"/>
      <c r="T354" s="231"/>
      <c r="U354" s="231"/>
      <c r="V354" s="231"/>
      <c r="W354" s="231"/>
      <c r="X354" s="231"/>
      <c r="Y354" s="231"/>
      <c r="Z354" s="231"/>
      <c r="AA354" s="231"/>
      <c r="AB354" s="231"/>
      <c r="AC354" s="231"/>
      <c r="AD354" s="231"/>
      <c r="AE354" s="231"/>
      <c r="AF354" s="231"/>
      <c r="AG354" s="231"/>
    </row>
    <row r="355" spans="1:33" s="203" customFormat="1">
      <c r="A355" s="815">
        <v>4</v>
      </c>
      <c r="B355" s="47" t="s">
        <v>54</v>
      </c>
      <c r="C355" s="116"/>
      <c r="D355" s="116"/>
      <c r="E355" s="49">
        <v>265</v>
      </c>
      <c r="F355" s="75">
        <v>265</v>
      </c>
      <c r="G355" s="43"/>
      <c r="H355" s="126">
        <v>290</v>
      </c>
      <c r="I355" s="86"/>
      <c r="J355" s="231"/>
      <c r="K355" s="231"/>
      <c r="L355" s="231"/>
      <c r="M355" s="231"/>
      <c r="N355" s="231"/>
      <c r="O355" s="231"/>
      <c r="P355" s="231"/>
      <c r="Q355" s="231"/>
      <c r="R355" s="231"/>
      <c r="S355" s="231"/>
      <c r="T355" s="231"/>
      <c r="U355" s="231"/>
      <c r="V355" s="231"/>
      <c r="W355" s="231"/>
      <c r="X355" s="231"/>
      <c r="Y355" s="231"/>
      <c r="Z355" s="231"/>
      <c r="AA355" s="231"/>
      <c r="AB355" s="231"/>
      <c r="AC355" s="231"/>
      <c r="AD355" s="231"/>
      <c r="AE355" s="231"/>
      <c r="AF355" s="231"/>
      <c r="AG355" s="231"/>
    </row>
    <row r="356" spans="1:33" s="203" customFormat="1">
      <c r="A356" s="815">
        <v>5</v>
      </c>
      <c r="B356" s="47" t="s">
        <v>55</v>
      </c>
      <c r="C356" s="116"/>
      <c r="D356" s="116"/>
      <c r="E356" s="49">
        <v>0</v>
      </c>
      <c r="F356" s="75"/>
      <c r="G356" s="43"/>
      <c r="H356" s="126"/>
      <c r="I356" s="86"/>
      <c r="J356" s="231"/>
      <c r="K356" s="231"/>
      <c r="L356" s="231"/>
      <c r="M356" s="231"/>
      <c r="N356" s="231"/>
      <c r="O356" s="231"/>
      <c r="P356" s="231"/>
      <c r="Q356" s="231"/>
      <c r="R356" s="231"/>
      <c r="S356" s="231"/>
      <c r="T356" s="231"/>
      <c r="U356" s="231"/>
      <c r="V356" s="231"/>
      <c r="W356" s="231"/>
      <c r="X356" s="231"/>
      <c r="Y356" s="231"/>
      <c r="Z356" s="231"/>
      <c r="AA356" s="231"/>
      <c r="AB356" s="231"/>
      <c r="AC356" s="231"/>
      <c r="AD356" s="231"/>
      <c r="AE356" s="231"/>
      <c r="AF356" s="231"/>
      <c r="AG356" s="231"/>
    </row>
    <row r="357" spans="1:33" s="203" customFormat="1">
      <c r="A357" s="815">
        <v>6</v>
      </c>
      <c r="B357" s="47" t="s">
        <v>56</v>
      </c>
      <c r="C357" s="116"/>
      <c r="D357" s="116"/>
      <c r="E357" s="49">
        <v>0</v>
      </c>
      <c r="F357" s="76"/>
      <c r="G357" s="43"/>
      <c r="H357" s="126"/>
      <c r="I357" s="86"/>
      <c r="J357" s="231"/>
      <c r="K357" s="231"/>
      <c r="L357" s="231"/>
      <c r="M357" s="231"/>
      <c r="N357" s="231"/>
      <c r="O357" s="231"/>
      <c r="P357" s="231"/>
      <c r="Q357" s="231"/>
      <c r="R357" s="231"/>
      <c r="S357" s="231"/>
      <c r="T357" s="231"/>
      <c r="U357" s="231"/>
      <c r="V357" s="231"/>
      <c r="W357" s="231"/>
      <c r="X357" s="231"/>
      <c r="Y357" s="231"/>
      <c r="Z357" s="231"/>
      <c r="AA357" s="231"/>
      <c r="AB357" s="231"/>
      <c r="AC357" s="231"/>
      <c r="AD357" s="231"/>
      <c r="AE357" s="231"/>
      <c r="AF357" s="231"/>
      <c r="AG357" s="231"/>
    </row>
    <row r="358" spans="1:33" s="203" customFormat="1">
      <c r="A358" s="815">
        <v>7</v>
      </c>
      <c r="B358" s="47" t="s">
        <v>57</v>
      </c>
      <c r="C358" s="116"/>
      <c r="D358" s="116"/>
      <c r="E358" s="49">
        <v>0</v>
      </c>
      <c r="F358" s="52"/>
      <c r="G358" s="43"/>
      <c r="H358" s="126"/>
      <c r="I358" s="86"/>
      <c r="J358" s="231"/>
      <c r="K358" s="231"/>
      <c r="L358" s="231"/>
      <c r="M358" s="231"/>
      <c r="N358" s="231"/>
      <c r="O358" s="231"/>
      <c r="P358" s="231"/>
      <c r="Q358" s="231"/>
      <c r="R358" s="231"/>
      <c r="S358" s="231"/>
      <c r="T358" s="231"/>
      <c r="U358" s="231"/>
      <c r="V358" s="231"/>
      <c r="W358" s="231"/>
      <c r="X358" s="231"/>
      <c r="Y358" s="231"/>
      <c r="Z358" s="231"/>
      <c r="AA358" s="231"/>
      <c r="AB358" s="231"/>
      <c r="AC358" s="231"/>
      <c r="AD358" s="231"/>
      <c r="AE358" s="231"/>
      <c r="AF358" s="231"/>
      <c r="AG358" s="231"/>
    </row>
    <row r="359" spans="1:33" s="203" customFormat="1">
      <c r="A359" s="815">
        <v>8</v>
      </c>
      <c r="B359" s="47" t="s">
        <v>58</v>
      </c>
      <c r="C359" s="116"/>
      <c r="D359" s="116"/>
      <c r="E359" s="49">
        <v>0</v>
      </c>
      <c r="F359" s="265"/>
      <c r="G359" s="43"/>
      <c r="H359" s="126"/>
      <c r="I359" s="86"/>
      <c r="J359" s="231"/>
      <c r="K359" s="231"/>
      <c r="L359" s="231"/>
      <c r="M359" s="231"/>
      <c r="N359" s="231"/>
      <c r="O359" s="231"/>
      <c r="P359" s="231"/>
      <c r="Q359" s="231"/>
      <c r="R359" s="231"/>
      <c r="S359" s="231"/>
      <c r="T359" s="231"/>
      <c r="U359" s="231"/>
      <c r="V359" s="231"/>
      <c r="W359" s="231"/>
      <c r="X359" s="231"/>
      <c r="Y359" s="231"/>
      <c r="Z359" s="231"/>
      <c r="AA359" s="231"/>
      <c r="AB359" s="231"/>
      <c r="AC359" s="231"/>
      <c r="AD359" s="231"/>
      <c r="AE359" s="231"/>
      <c r="AF359" s="231"/>
      <c r="AG359" s="231"/>
    </row>
    <row r="360" spans="1:33" s="203" customFormat="1">
      <c r="A360" s="815">
        <v>9</v>
      </c>
      <c r="B360" s="47" t="s">
        <v>59</v>
      </c>
      <c r="C360" s="116"/>
      <c r="D360" s="116"/>
      <c r="E360" s="49">
        <v>0</v>
      </c>
      <c r="F360" s="265"/>
      <c r="G360" s="43"/>
      <c r="H360" s="126"/>
      <c r="I360" s="86"/>
      <c r="J360" s="231"/>
      <c r="K360" s="231"/>
      <c r="L360" s="231"/>
      <c r="M360" s="231"/>
      <c r="N360" s="231"/>
      <c r="O360" s="231"/>
      <c r="P360" s="231"/>
      <c r="Q360" s="231"/>
      <c r="R360" s="231"/>
      <c r="S360" s="231"/>
      <c r="T360" s="231"/>
      <c r="U360" s="231"/>
      <c r="V360" s="231"/>
      <c r="W360" s="231"/>
      <c r="X360" s="231"/>
      <c r="Y360" s="231"/>
      <c r="Z360" s="231"/>
      <c r="AA360" s="231"/>
      <c r="AB360" s="231"/>
      <c r="AC360" s="231"/>
      <c r="AD360" s="231"/>
      <c r="AE360" s="231"/>
      <c r="AF360" s="231"/>
      <c r="AG360" s="231"/>
    </row>
    <row r="361" spans="1:33" s="203" customFormat="1">
      <c r="A361" s="815">
        <v>10</v>
      </c>
      <c r="B361" s="47" t="s">
        <v>60</v>
      </c>
      <c r="C361" s="116"/>
      <c r="D361" s="116"/>
      <c r="E361" s="49">
        <v>0</v>
      </c>
      <c r="F361" s="265"/>
      <c r="G361" s="43"/>
      <c r="H361" s="126"/>
      <c r="I361" s="86"/>
      <c r="J361" s="231"/>
      <c r="K361" s="231"/>
      <c r="L361" s="231"/>
      <c r="M361" s="231"/>
      <c r="N361" s="231"/>
      <c r="O361" s="231"/>
      <c r="P361" s="231"/>
      <c r="Q361" s="231"/>
      <c r="R361" s="231"/>
      <c r="S361" s="231"/>
      <c r="T361" s="231"/>
      <c r="U361" s="231"/>
      <c r="V361" s="231"/>
      <c r="W361" s="231"/>
      <c r="X361" s="231"/>
      <c r="Y361" s="231"/>
      <c r="Z361" s="231"/>
      <c r="AA361" s="231"/>
      <c r="AB361" s="231"/>
      <c r="AC361" s="231"/>
      <c r="AD361" s="231"/>
      <c r="AE361" s="231"/>
      <c r="AF361" s="231"/>
      <c r="AG361" s="231"/>
    </row>
    <row r="362" spans="1:33" s="203" customFormat="1">
      <c r="A362" s="815">
        <v>11</v>
      </c>
      <c r="B362" s="47" t="s">
        <v>61</v>
      </c>
      <c r="C362" s="116"/>
      <c r="D362" s="116"/>
      <c r="E362" s="49">
        <v>0</v>
      </c>
      <c r="F362" s="265"/>
      <c r="G362" s="43"/>
      <c r="H362" s="126"/>
      <c r="I362" s="86"/>
      <c r="J362" s="231"/>
      <c r="K362" s="231"/>
      <c r="L362" s="231"/>
      <c r="M362" s="231"/>
      <c r="N362" s="231"/>
      <c r="O362" s="231"/>
      <c r="P362" s="231"/>
      <c r="Q362" s="231"/>
      <c r="R362" s="231"/>
      <c r="S362" s="231"/>
      <c r="T362" s="231"/>
      <c r="U362" s="231"/>
      <c r="V362" s="231"/>
      <c r="W362" s="231"/>
      <c r="X362" s="231"/>
      <c r="Y362" s="231"/>
      <c r="Z362" s="231"/>
      <c r="AA362" s="231"/>
      <c r="AB362" s="231"/>
      <c r="AC362" s="231"/>
      <c r="AD362" s="231"/>
      <c r="AE362" s="231"/>
      <c r="AF362" s="231"/>
      <c r="AG362" s="231"/>
    </row>
    <row r="363" spans="1:33" s="203" customFormat="1">
      <c r="A363" s="816">
        <v>12</v>
      </c>
      <c r="B363" s="54" t="s">
        <v>380</v>
      </c>
      <c r="C363" s="94"/>
      <c r="D363" s="94"/>
      <c r="E363" s="135">
        <v>1600</v>
      </c>
      <c r="F363" s="61">
        <f>SUM(F353:F362)</f>
        <v>1752</v>
      </c>
      <c r="G363" s="43"/>
      <c r="H363" s="61">
        <f>SUM(H353:H362)</f>
        <v>1035</v>
      </c>
      <c r="I363" s="86"/>
      <c r="J363" s="231"/>
      <c r="K363" s="231"/>
      <c r="L363" s="231"/>
      <c r="M363" s="231"/>
      <c r="N363" s="231"/>
      <c r="O363" s="231"/>
      <c r="P363" s="231"/>
      <c r="Q363" s="231"/>
      <c r="R363" s="231"/>
      <c r="S363" s="231"/>
      <c r="T363" s="231"/>
      <c r="U363" s="231"/>
      <c r="V363" s="231"/>
      <c r="W363" s="231"/>
      <c r="X363" s="231"/>
      <c r="Y363" s="231"/>
      <c r="Z363" s="231"/>
      <c r="AA363" s="231"/>
      <c r="AB363" s="231"/>
      <c r="AC363" s="231"/>
      <c r="AD363" s="231"/>
      <c r="AE363" s="231"/>
      <c r="AF363" s="231"/>
      <c r="AG363" s="231"/>
    </row>
    <row r="364" spans="1:33" s="203" customFormat="1">
      <c r="A364" s="199"/>
      <c r="B364" s="15"/>
      <c r="C364" s="15"/>
      <c r="D364" s="15"/>
      <c r="E364" s="15"/>
      <c r="F364" s="15"/>
      <c r="G364" s="15"/>
      <c r="H364" s="15"/>
      <c r="I364" s="86"/>
      <c r="J364" s="231"/>
      <c r="K364" s="231"/>
      <c r="L364" s="231"/>
      <c r="M364" s="231"/>
      <c r="N364" s="231"/>
      <c r="O364" s="231"/>
      <c r="P364" s="231"/>
      <c r="Q364" s="231"/>
      <c r="R364" s="231"/>
      <c r="S364" s="231"/>
      <c r="T364" s="231"/>
      <c r="U364" s="231"/>
      <c r="V364" s="231"/>
      <c r="W364" s="231"/>
      <c r="X364" s="231"/>
      <c r="Y364" s="231"/>
      <c r="Z364" s="231"/>
      <c r="AA364" s="231"/>
      <c r="AB364" s="231"/>
      <c r="AC364" s="231"/>
      <c r="AD364" s="231"/>
      <c r="AE364" s="231"/>
      <c r="AF364" s="231"/>
      <c r="AG364" s="231"/>
    </row>
    <row r="365" spans="1:33" s="203" customFormat="1">
      <c r="A365" s="199"/>
      <c r="B365" s="15"/>
      <c r="C365" s="15"/>
      <c r="D365" s="15"/>
      <c r="E365" s="15"/>
      <c r="F365" s="15"/>
      <c r="G365" s="15"/>
      <c r="H365" s="86"/>
      <c r="I365" s="86"/>
      <c r="J365" s="231"/>
      <c r="K365" s="231"/>
      <c r="L365" s="231"/>
      <c r="M365" s="231"/>
      <c r="N365" s="231"/>
      <c r="O365" s="231"/>
      <c r="P365" s="231"/>
      <c r="Q365" s="231"/>
      <c r="R365" s="231"/>
      <c r="S365" s="231"/>
      <c r="T365" s="231"/>
      <c r="U365" s="231"/>
      <c r="V365" s="231"/>
      <c r="W365" s="231"/>
      <c r="X365" s="231"/>
      <c r="Y365" s="231"/>
      <c r="Z365" s="231"/>
      <c r="AA365" s="231"/>
      <c r="AB365" s="231"/>
      <c r="AC365" s="231"/>
      <c r="AD365" s="231"/>
      <c r="AE365" s="231"/>
      <c r="AF365" s="231"/>
      <c r="AG365" s="231"/>
    </row>
    <row r="366" spans="1:33" s="8" customFormat="1"/>
    <row r="367" spans="1:33" s="8" customFormat="1"/>
    <row r="368" spans="1:33" s="8" customFormat="1"/>
    <row r="369" s="8" customFormat="1"/>
    <row r="370" s="8" customFormat="1"/>
    <row r="371" s="8" customFormat="1"/>
    <row r="372" s="8" customFormat="1"/>
    <row r="373" s="8" customFormat="1"/>
    <row r="374" s="8" customFormat="1"/>
    <row r="375" s="8" customFormat="1"/>
    <row r="376" s="8" customFormat="1"/>
    <row r="377" s="8" customFormat="1"/>
    <row r="378" s="8" customFormat="1"/>
    <row r="379" s="8" customFormat="1"/>
    <row r="380" s="8" customFormat="1"/>
    <row r="381" s="8" customFormat="1"/>
    <row r="382" s="8" customFormat="1"/>
    <row r="383" s="8" customFormat="1"/>
    <row r="384" s="8" customFormat="1"/>
    <row r="385" spans="1:9" s="8" customFormat="1"/>
    <row r="386" spans="1:9" s="8" customFormat="1"/>
    <row r="387" spans="1:9" s="8" customFormat="1"/>
    <row r="388" spans="1:9" s="8" customFormat="1"/>
    <row r="389" spans="1:9" s="8" customFormat="1"/>
    <row r="390" spans="1:9" s="8" customFormat="1"/>
    <row r="391" spans="1:9" s="8" customFormat="1"/>
    <row r="392" spans="1:9" s="8" customFormat="1"/>
    <row r="393" spans="1:9" s="8" customFormat="1"/>
    <row r="394" spans="1:9">
      <c r="A394" s="8"/>
      <c r="B394" s="8"/>
      <c r="C394" s="8"/>
      <c r="D394" s="8"/>
      <c r="E394" s="8"/>
      <c r="F394" s="8"/>
      <c r="G394" s="8"/>
      <c r="H394" s="8"/>
      <c r="I394" s="8"/>
    </row>
    <row r="395" spans="1:9">
      <c r="A395" s="8"/>
      <c r="B395" s="8"/>
      <c r="C395" s="8"/>
      <c r="D395" s="8"/>
      <c r="E395" s="8"/>
      <c r="F395" s="8"/>
      <c r="G395" s="8"/>
      <c r="H395" s="8"/>
      <c r="I395" s="8"/>
    </row>
    <row r="396" spans="1:9">
      <c r="A396" s="8"/>
      <c r="B396" s="8"/>
      <c r="C396" s="8"/>
      <c r="D396" s="8"/>
      <c r="E396" s="8"/>
      <c r="F396" s="8"/>
      <c r="G396" s="8"/>
      <c r="H396" s="8"/>
      <c r="I396" s="8"/>
    </row>
    <row r="397" spans="1:9">
      <c r="A397" s="8"/>
      <c r="B397" s="8"/>
      <c r="C397" s="8"/>
      <c r="D397" s="8"/>
      <c r="E397" s="8"/>
      <c r="F397" s="8"/>
      <c r="G397" s="8"/>
      <c r="H397" s="8"/>
      <c r="I397" s="8"/>
    </row>
    <row r="398" spans="1:9">
      <c r="A398" s="8"/>
      <c r="B398" s="8"/>
      <c r="C398" s="8"/>
      <c r="D398" s="8"/>
      <c r="E398" s="8"/>
      <c r="F398" s="8"/>
      <c r="G398" s="8"/>
      <c r="H398" s="8"/>
      <c r="I398" s="8"/>
    </row>
    <row r="399" spans="1:9">
      <c r="A399" s="8"/>
      <c r="B399" s="8"/>
      <c r="C399" s="8"/>
      <c r="D399" s="8"/>
      <c r="E399" s="8"/>
      <c r="F399" s="8"/>
      <c r="G399" s="8"/>
      <c r="H399" s="8"/>
      <c r="I399" s="8"/>
    </row>
    <row r="400" spans="1:9">
      <c r="A400" s="8"/>
      <c r="B400" s="8"/>
      <c r="C400" s="8"/>
      <c r="D400" s="8"/>
      <c r="E400" s="8"/>
      <c r="F400" s="8"/>
      <c r="G400" s="8"/>
      <c r="H400" s="8"/>
      <c r="I400" s="8"/>
    </row>
    <row r="401" spans="1:9">
      <c r="A401" s="8"/>
      <c r="B401" s="8"/>
      <c r="C401" s="8"/>
      <c r="D401" s="8"/>
      <c r="E401" s="8"/>
      <c r="F401" s="8"/>
      <c r="G401" s="8"/>
      <c r="H401" s="8"/>
      <c r="I401" s="8"/>
    </row>
    <row r="402" spans="1:9">
      <c r="A402" s="8"/>
      <c r="B402" s="8"/>
      <c r="C402" s="8"/>
      <c r="D402" s="8"/>
      <c r="E402" s="8"/>
      <c r="F402" s="8"/>
      <c r="G402" s="8"/>
      <c r="H402" s="8"/>
      <c r="I402" s="8"/>
    </row>
    <row r="403" spans="1:9">
      <c r="A403" s="8"/>
      <c r="B403" s="8"/>
      <c r="C403" s="8"/>
      <c r="D403" s="8"/>
      <c r="E403" s="8"/>
      <c r="F403" s="8"/>
      <c r="G403" s="8"/>
      <c r="H403" s="8"/>
      <c r="I403" s="8"/>
    </row>
    <row r="404" spans="1:9">
      <c r="A404" s="8"/>
      <c r="B404" s="8"/>
      <c r="C404" s="8"/>
      <c r="D404" s="8"/>
      <c r="E404" s="8"/>
      <c r="F404" s="8"/>
      <c r="G404" s="8"/>
      <c r="H404" s="8"/>
      <c r="I404" s="8"/>
    </row>
    <row r="405" spans="1:9">
      <c r="A405" s="8"/>
      <c r="B405" s="8"/>
      <c r="C405" s="8"/>
      <c r="D405" s="8"/>
      <c r="E405" s="8"/>
      <c r="F405" s="8"/>
      <c r="G405" s="8"/>
      <c r="H405" s="8"/>
      <c r="I405" s="8"/>
    </row>
    <row r="406" spans="1:9">
      <c r="A406" s="8"/>
      <c r="B406" s="8"/>
      <c r="C406" s="8"/>
      <c r="D406" s="8"/>
      <c r="E406" s="8"/>
      <c r="F406" s="8"/>
      <c r="G406" s="8"/>
      <c r="H406" s="8"/>
      <c r="I406" s="8"/>
    </row>
    <row r="407" spans="1:9">
      <c r="A407" s="8"/>
      <c r="B407" s="8"/>
      <c r="C407" s="8"/>
      <c r="D407" s="8"/>
      <c r="E407" s="8"/>
      <c r="F407" s="8"/>
      <c r="G407" s="8"/>
      <c r="H407" s="8"/>
      <c r="I407" s="8"/>
    </row>
    <row r="408" spans="1:9">
      <c r="A408" s="8"/>
      <c r="B408" s="8"/>
      <c r="C408" s="8"/>
      <c r="D408" s="8"/>
      <c r="E408" s="8"/>
      <c r="F408" s="8"/>
      <c r="G408" s="8"/>
      <c r="H408" s="8"/>
      <c r="I408" s="8"/>
    </row>
  </sheetData>
  <mergeCells count="59">
    <mergeCell ref="C19:F19"/>
    <mergeCell ref="B3:B4"/>
    <mergeCell ref="C3:D4"/>
    <mergeCell ref="A5:B5"/>
    <mergeCell ref="D6:H6"/>
    <mergeCell ref="A9:I9"/>
    <mergeCell ref="D10:F10"/>
    <mergeCell ref="C14:F14"/>
    <mergeCell ref="C15:F15"/>
    <mergeCell ref="C16:F16"/>
    <mergeCell ref="C17:F17"/>
    <mergeCell ref="C18:F18"/>
    <mergeCell ref="A23:D24"/>
    <mergeCell ref="E23:E24"/>
    <mergeCell ref="F23:F24"/>
    <mergeCell ref="H23:H24"/>
    <mergeCell ref="A25:A27"/>
    <mergeCell ref="B25:D27"/>
    <mergeCell ref="E25:E27"/>
    <mergeCell ref="F25:F27"/>
    <mergeCell ref="H25:H27"/>
    <mergeCell ref="A40:D41"/>
    <mergeCell ref="E40:E41"/>
    <mergeCell ref="F40:F41"/>
    <mergeCell ref="H40:H41"/>
    <mergeCell ref="E66:E70"/>
    <mergeCell ref="F66:F70"/>
    <mergeCell ref="G66:G70"/>
    <mergeCell ref="H66:H70"/>
    <mergeCell ref="I66:I70"/>
    <mergeCell ref="F91:F95"/>
    <mergeCell ref="H91:H95"/>
    <mergeCell ref="E193:E197"/>
    <mergeCell ref="F193:F197"/>
    <mergeCell ref="H193:H197"/>
    <mergeCell ref="E153:E157"/>
    <mergeCell ref="F153:F157"/>
    <mergeCell ref="H153:H157"/>
    <mergeCell ref="E91:E95"/>
    <mergeCell ref="E221:E225"/>
    <mergeCell ref="F221:F225"/>
    <mergeCell ref="H221:H225"/>
    <mergeCell ref="E234:E238"/>
    <mergeCell ref="F234:F238"/>
    <mergeCell ref="H234:H238"/>
    <mergeCell ref="E261:E265"/>
    <mergeCell ref="F261:F265"/>
    <mergeCell ref="H261:H265"/>
    <mergeCell ref="E280:E284"/>
    <mergeCell ref="F280:F284"/>
    <mergeCell ref="H280:H284"/>
    <mergeCell ref="E341:E345"/>
    <mergeCell ref="F341:F345"/>
    <mergeCell ref="H341:H345"/>
    <mergeCell ref="E305:E309"/>
    <mergeCell ref="F305:F309"/>
    <mergeCell ref="H305:H309"/>
    <mergeCell ref="C323:H323"/>
    <mergeCell ref="C330:H330"/>
  </mergeCells>
  <phoneticPr fontId="10" type="noConversion"/>
  <conditionalFormatting sqref="F75:F76 F286:F301 F311:F318 F80:F88 F106 F159:F162 F166:F168 F171:F172 F175:F177 F183:F190 F199:F200 F204:F206 F210:F213 F217:F218 F226:F230 F240:F241 F245:F246 F250:F253 F256 F267:F276 H250 F71 F96:F97 F103:F104 F110:F114 F118:F124 F128:F134 F138:F142 F146:F149">
    <cfRule type="expression" dxfId="44" priority="265" stopIfTrue="1">
      <formula>ISBLANK(F71)</formula>
    </cfRule>
    <cfRule type="expression" dxfId="43" priority="266" stopIfTrue="1">
      <formula>IF(AND(OR(F71-E71&gt;500,F71-E71&lt;-500),OR(#REF!&gt;0.1,#REF!&lt;-0.1)),TRUE,FALSE)</formula>
    </cfRule>
  </conditionalFormatting>
  <dataValidations count="1">
    <dataValidation type="list" errorStyle="information" allowBlank="1" showInputMessage="1" showErrorMessage="1" errorTitle="POBE 2006" error="Please select from the drop-down menu..." prompt="Please select your Authority from the drop-down menu..." sqref="C3:D4">
      <formula1>#REF!</formula1>
    </dataValidation>
  </dataValidations>
  <hyperlinks>
    <hyperlink ref="F7" r:id="rId1" display="lgfstats@scotland.gsi.gov.uk"/>
    <hyperlink ref="D6" r:id="rId2"/>
    <hyperlink ref="D10" r:id="rId3" display="^lgfstats@gov.scot"/>
    <hyperlink ref="B14" location="'POBE 2017'!A28" display="PART 1 - Expenditure"/>
    <hyperlink ref="C19:F19" location="'POBE 2017'!A323" display="Sheet 10. - PUBLIC PRIVATE PARTNERSHIPS/PRIVATE FINANCE INITIATIVES"/>
    <hyperlink ref="B15" location="'POBE 2017'!A40" display="PART 2 - Income and Balances"/>
    <hyperlink ref="B16" location="'POBE 2017'!A66" display="Sheet 1. EDUCATION"/>
    <hyperlink ref="B17" location="'POBE 2017'!A91" display="Sheet 2. SOCIAL WORK"/>
    <hyperlink ref="B18" location="'POBE 2017'!A153" display="Sheet 3. ROADS AND TRANSPORT"/>
    <hyperlink ref="B19" location="'POBE 2017'!A193" display="Sheet 4. ENVIRONMENTAL SERVICES"/>
    <hyperlink ref="C14:F14" location="'POBE 2017'!A221" display="Sheet 5. PLANNING AND DEVELOPMENT SERVICES"/>
    <hyperlink ref="C15:F15" location="'POBE 2017'!A234" display="Sheet 6. CULTURAL AND RELATED SERVICES"/>
    <hyperlink ref="C16:F16" location="'POBE 2017'!A261" display="Sheet 7. HOUSING"/>
    <hyperlink ref="C17:F17" location="'POBE 2017'!A280" display="Sheet 8. CENTRAL SERVICES"/>
    <hyperlink ref="C18:F18" location="'POBE 2017'!A305" display="Sheet 9. OTHER EXPENDITURE"/>
  </hyperlinks>
  <pageMargins left="0.75" right="0.75" top="1" bottom="1" header="0.5" footer="0.5"/>
  <pageSetup paperSize="9" orientation="portrait" r:id="rId4"/>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AI408"/>
  <sheetViews>
    <sheetView topLeftCell="A185" zoomScale="80" zoomScaleNormal="80" workbookViewId="0">
      <selection activeCell="E240" sqref="E240"/>
    </sheetView>
  </sheetViews>
  <sheetFormatPr defaultColWidth="9.140625" defaultRowHeight="12.75"/>
  <cols>
    <col min="1" max="1" width="10.5703125" style="1" customWidth="1"/>
    <col min="2" max="2" width="43" style="1" customWidth="1"/>
    <col min="3" max="3" width="24.5703125" style="1" customWidth="1"/>
    <col min="4" max="4" width="14.7109375" style="1" customWidth="1"/>
    <col min="5" max="5" width="21.5703125" style="1" customWidth="1"/>
    <col min="6" max="6" width="19.140625" style="1" customWidth="1"/>
    <col min="7" max="7" width="17.42578125" style="1" customWidth="1"/>
    <col min="8" max="8" width="19.28515625" style="1" customWidth="1"/>
    <col min="9" max="9" width="17.85546875" style="1" customWidth="1"/>
    <col min="10" max="17" width="9.140625" style="8" customWidth="1"/>
    <col min="18" max="28" width="9.140625" style="8"/>
    <col min="29" max="29" width="0" style="8" hidden="1" customWidth="1"/>
    <col min="30" max="35" width="9.140625" style="8"/>
    <col min="36" max="16384" width="9.140625" style="1"/>
  </cols>
  <sheetData>
    <row r="1" spans="1:35" s="203" customFormat="1" ht="51" customHeight="1">
      <c r="A1" s="3" t="s">
        <v>410</v>
      </c>
      <c r="B1" s="4"/>
      <c r="C1" s="224"/>
      <c r="D1" s="224"/>
      <c r="E1" s="224"/>
      <c r="F1" s="224"/>
      <c r="G1" s="225"/>
      <c r="H1" s="226"/>
      <c r="I1" s="227"/>
      <c r="J1" s="231"/>
      <c r="K1" s="231"/>
      <c r="L1" s="231"/>
      <c r="M1" s="231"/>
      <c r="N1" s="231"/>
      <c r="O1" s="231"/>
      <c r="P1" s="231"/>
      <c r="Q1" s="231"/>
      <c r="R1" s="231"/>
      <c r="S1" s="231"/>
      <c r="T1" s="231"/>
      <c r="U1" s="231"/>
      <c r="V1" s="231"/>
      <c r="W1" s="231"/>
      <c r="X1" s="231"/>
      <c r="Y1" s="231"/>
      <c r="Z1" s="231"/>
      <c r="AA1" s="231"/>
      <c r="AB1" s="231"/>
      <c r="AC1" s="231"/>
      <c r="AD1" s="231"/>
      <c r="AE1" s="231"/>
      <c r="AF1" s="231"/>
      <c r="AG1" s="231"/>
      <c r="AH1" s="231"/>
      <c r="AI1" s="231"/>
    </row>
    <row r="2" spans="1:35" s="203" customFormat="1" ht="35.25">
      <c r="A2" s="9"/>
      <c r="B2" s="10"/>
      <c r="C2" s="232"/>
      <c r="D2" s="232"/>
      <c r="E2" s="232"/>
      <c r="F2" s="11"/>
      <c r="G2" s="11"/>
      <c r="H2" s="11"/>
      <c r="I2" s="11"/>
      <c r="J2" s="231"/>
      <c r="K2" s="231"/>
      <c r="L2" s="231"/>
      <c r="M2" s="231"/>
      <c r="N2" s="231"/>
      <c r="O2" s="231"/>
      <c r="P2" s="231"/>
      <c r="Q2" s="231"/>
      <c r="R2" s="231"/>
      <c r="S2" s="231"/>
      <c r="T2" s="231"/>
      <c r="U2" s="231"/>
      <c r="V2" s="231"/>
      <c r="W2" s="231"/>
      <c r="X2" s="231"/>
      <c r="Y2" s="231"/>
      <c r="Z2" s="231"/>
      <c r="AA2" s="231"/>
      <c r="AB2" s="231"/>
      <c r="AC2" s="231"/>
      <c r="AD2" s="231"/>
      <c r="AE2" s="231"/>
      <c r="AF2" s="231"/>
      <c r="AG2" s="231"/>
      <c r="AH2" s="231"/>
      <c r="AI2" s="231"/>
    </row>
    <row r="3" spans="1:35" s="203" customFormat="1" ht="15">
      <c r="A3" s="12"/>
      <c r="B3" s="882" t="s">
        <v>0</v>
      </c>
      <c r="C3" s="884" t="s">
        <v>25</v>
      </c>
      <c r="D3" s="885"/>
      <c r="E3" s="13"/>
      <c r="F3" s="14"/>
      <c r="G3" s="14"/>
      <c r="H3" s="15"/>
      <c r="I3" s="14"/>
      <c r="J3" s="231"/>
      <c r="K3" s="231"/>
      <c r="L3" s="231"/>
      <c r="M3" s="231"/>
      <c r="N3" s="231"/>
      <c r="O3" s="231"/>
      <c r="P3" s="231"/>
      <c r="Q3" s="231"/>
      <c r="R3" s="231"/>
      <c r="S3" s="231"/>
      <c r="T3" s="231"/>
      <c r="U3" s="231"/>
      <c r="V3" s="231"/>
      <c r="W3" s="231"/>
      <c r="X3" s="231"/>
      <c r="Y3" s="231"/>
      <c r="Z3" s="231"/>
      <c r="AA3" s="231"/>
      <c r="AB3" s="231"/>
      <c r="AC3" s="231"/>
      <c r="AD3" s="231"/>
      <c r="AE3" s="231"/>
      <c r="AF3" s="231"/>
      <c r="AG3" s="231"/>
      <c r="AH3" s="231"/>
      <c r="AI3" s="231"/>
    </row>
    <row r="4" spans="1:35" s="203" customFormat="1" ht="15">
      <c r="A4" s="17"/>
      <c r="B4" s="883"/>
      <c r="C4" s="886"/>
      <c r="D4" s="887"/>
      <c r="E4" s="13"/>
      <c r="F4" s="14"/>
      <c r="G4" s="14"/>
      <c r="H4" s="15"/>
      <c r="I4" s="14"/>
      <c r="J4" s="231"/>
      <c r="K4" s="231"/>
      <c r="L4" s="231"/>
      <c r="M4" s="231"/>
      <c r="N4" s="231"/>
      <c r="O4" s="231"/>
      <c r="P4" s="231"/>
      <c r="Q4" s="231"/>
      <c r="R4" s="231"/>
      <c r="S4" s="231"/>
      <c r="T4" s="231"/>
      <c r="U4" s="231"/>
      <c r="V4" s="231"/>
      <c r="W4" s="231"/>
      <c r="X4" s="231"/>
      <c r="Y4" s="231"/>
      <c r="Z4" s="231"/>
      <c r="AA4" s="231"/>
      <c r="AB4" s="231"/>
      <c r="AC4" s="231"/>
      <c r="AD4" s="231"/>
      <c r="AE4" s="231"/>
      <c r="AF4" s="231"/>
      <c r="AG4" s="231"/>
      <c r="AH4" s="231"/>
      <c r="AI4" s="231"/>
    </row>
    <row r="5" spans="1:35" s="203" customFormat="1" ht="15">
      <c r="A5" s="888"/>
      <c r="B5" s="889"/>
      <c r="C5" s="18"/>
      <c r="D5" s="206"/>
      <c r="E5" s="206"/>
      <c r="F5" s="14"/>
      <c r="G5" s="14"/>
      <c r="H5" s="14"/>
      <c r="I5" s="234"/>
      <c r="J5" s="231"/>
      <c r="K5" s="231"/>
      <c r="L5" s="231"/>
      <c r="M5" s="231"/>
      <c r="N5" s="231"/>
      <c r="O5" s="231"/>
      <c r="P5" s="231"/>
      <c r="Q5" s="231"/>
      <c r="R5" s="231"/>
      <c r="S5" s="231"/>
      <c r="T5" s="231"/>
      <c r="U5" s="231"/>
      <c r="V5" s="231"/>
      <c r="W5" s="231"/>
      <c r="X5" s="231"/>
      <c r="Y5" s="231"/>
      <c r="Z5" s="231"/>
      <c r="AA5" s="231"/>
      <c r="AB5" s="231"/>
      <c r="AC5" s="231"/>
      <c r="AD5" s="231"/>
      <c r="AE5" s="231"/>
      <c r="AF5" s="231"/>
      <c r="AG5" s="231"/>
      <c r="AH5" s="231"/>
      <c r="AI5" s="231"/>
    </row>
    <row r="6" spans="1:35" s="203" customFormat="1" ht="23.25" customHeight="1">
      <c r="A6" s="19" t="s">
        <v>1</v>
      </c>
      <c r="B6" s="207"/>
      <c r="C6" s="20"/>
      <c r="D6" s="890" t="s">
        <v>249</v>
      </c>
      <c r="E6" s="890"/>
      <c r="F6" s="890"/>
      <c r="G6" s="890"/>
      <c r="H6" s="890"/>
      <c r="I6" s="29"/>
      <c r="J6" s="231"/>
      <c r="K6" s="231"/>
      <c r="L6" s="231"/>
      <c r="M6" s="231"/>
      <c r="N6" s="231"/>
      <c r="O6" s="231"/>
      <c r="P6" s="231"/>
      <c r="Q6" s="231"/>
      <c r="R6" s="231"/>
      <c r="S6" s="231"/>
      <c r="T6" s="231"/>
      <c r="U6" s="231"/>
      <c r="V6" s="231"/>
      <c r="W6" s="231"/>
      <c r="X6" s="231"/>
      <c r="Y6" s="231"/>
      <c r="Z6" s="231"/>
      <c r="AA6" s="231"/>
      <c r="AB6" s="231"/>
      <c r="AC6" s="231"/>
      <c r="AD6" s="231"/>
      <c r="AE6" s="231"/>
      <c r="AF6" s="231"/>
      <c r="AG6" s="231"/>
      <c r="AH6" s="231"/>
      <c r="AI6" s="231"/>
    </row>
    <row r="7" spans="1:35" s="203" customFormat="1" ht="18.75" customHeight="1">
      <c r="A7" s="19" t="s">
        <v>419</v>
      </c>
      <c r="B7" s="207"/>
      <c r="C7" s="207"/>
      <c r="D7" s="207"/>
      <c r="E7" s="207"/>
      <c r="F7" s="362" t="s">
        <v>250</v>
      </c>
      <c r="G7" s="1"/>
      <c r="H7" s="21"/>
      <c r="I7" s="29"/>
      <c r="J7" s="231"/>
      <c r="K7" s="231"/>
      <c r="L7" s="231"/>
      <c r="M7" s="231"/>
      <c r="N7" s="231"/>
      <c r="O7" s="231"/>
      <c r="P7" s="231"/>
      <c r="Q7" s="231"/>
      <c r="R7" s="231"/>
      <c r="S7" s="231"/>
      <c r="T7" s="231"/>
      <c r="U7" s="231"/>
      <c r="V7" s="231"/>
      <c r="W7" s="231"/>
      <c r="X7" s="231"/>
      <c r="Y7" s="231"/>
      <c r="Z7" s="231"/>
      <c r="AA7" s="231"/>
      <c r="AB7" s="231"/>
      <c r="AC7" s="231"/>
      <c r="AD7" s="231"/>
      <c r="AE7" s="231"/>
      <c r="AF7" s="231"/>
      <c r="AG7" s="231"/>
      <c r="AH7" s="231"/>
      <c r="AI7" s="231"/>
    </row>
    <row r="8" spans="1:35" s="203" customFormat="1" ht="24" customHeight="1">
      <c r="A8" s="22" t="s">
        <v>408</v>
      </c>
      <c r="B8" s="207"/>
      <c r="C8" s="207"/>
      <c r="D8" s="207"/>
      <c r="E8" s="207"/>
      <c r="F8" s="207"/>
      <c r="G8" s="812"/>
      <c r="H8" s="21"/>
      <c r="I8" s="29"/>
      <c r="J8" s="231"/>
      <c r="K8" s="231"/>
      <c r="L8" s="231"/>
      <c r="M8" s="231"/>
      <c r="N8" s="231"/>
      <c r="O8" s="231"/>
      <c r="P8" s="231"/>
      <c r="Q8" s="231"/>
      <c r="R8" s="231"/>
      <c r="S8" s="231"/>
      <c r="T8" s="231"/>
      <c r="U8" s="231"/>
      <c r="V8" s="231"/>
      <c r="W8" s="231"/>
      <c r="X8" s="231"/>
      <c r="Y8" s="231"/>
      <c r="Z8" s="231"/>
      <c r="AA8" s="231"/>
      <c r="AB8" s="231"/>
      <c r="AC8" s="231"/>
      <c r="AD8" s="231"/>
      <c r="AE8" s="231"/>
      <c r="AF8" s="231"/>
      <c r="AG8" s="231"/>
      <c r="AH8" s="231"/>
      <c r="AI8" s="231"/>
    </row>
    <row r="9" spans="1:35" s="203" customFormat="1" ht="30.75" customHeight="1">
      <c r="A9" s="891" t="s">
        <v>420</v>
      </c>
      <c r="B9" s="892"/>
      <c r="C9" s="892"/>
      <c r="D9" s="892"/>
      <c r="E9" s="892"/>
      <c r="F9" s="892"/>
      <c r="G9" s="892"/>
      <c r="H9" s="892"/>
      <c r="I9" s="892"/>
      <c r="J9" s="231"/>
      <c r="K9" s="231"/>
      <c r="L9" s="231"/>
      <c r="M9" s="231"/>
      <c r="N9" s="231"/>
      <c r="O9" s="231"/>
      <c r="P9" s="231"/>
      <c r="Q9" s="231"/>
      <c r="R9" s="231"/>
      <c r="S9" s="231"/>
      <c r="T9" s="231"/>
      <c r="U9" s="231"/>
      <c r="V9" s="231"/>
      <c r="W9" s="231"/>
      <c r="X9" s="231"/>
      <c r="Y9" s="231"/>
      <c r="Z9" s="231"/>
      <c r="AA9" s="231"/>
      <c r="AB9" s="231"/>
      <c r="AC9" s="231"/>
      <c r="AD9" s="231"/>
      <c r="AE9" s="231"/>
      <c r="AF9" s="231"/>
      <c r="AG9" s="231"/>
      <c r="AH9" s="231"/>
      <c r="AI9" s="231"/>
    </row>
    <row r="10" spans="1:35" s="203" customFormat="1" ht="12.75" customHeight="1">
      <c r="A10" s="22" t="s">
        <v>409</v>
      </c>
      <c r="B10" s="19"/>
      <c r="C10" s="1"/>
      <c r="D10" s="880" t="s">
        <v>250</v>
      </c>
      <c r="E10" s="881"/>
      <c r="F10" s="881"/>
      <c r="G10" s="207"/>
      <c r="H10" s="207"/>
      <c r="I10" s="29"/>
      <c r="J10" s="231"/>
      <c r="K10" s="231"/>
      <c r="L10" s="231"/>
      <c r="M10" s="231"/>
      <c r="N10" s="231"/>
      <c r="O10" s="231"/>
      <c r="P10" s="231"/>
      <c r="Q10" s="231"/>
      <c r="R10" s="231"/>
      <c r="S10" s="231"/>
      <c r="T10" s="231"/>
      <c r="U10" s="231"/>
      <c r="V10" s="231"/>
      <c r="W10" s="231"/>
      <c r="X10" s="231"/>
      <c r="Y10" s="231"/>
      <c r="Z10" s="231"/>
      <c r="AA10" s="231"/>
      <c r="AB10" s="231"/>
      <c r="AC10" s="231"/>
      <c r="AD10" s="231"/>
      <c r="AE10" s="231"/>
      <c r="AF10" s="231"/>
      <c r="AG10" s="231"/>
      <c r="AH10" s="231"/>
      <c r="AI10" s="231"/>
    </row>
    <row r="11" spans="1:35" s="203" customFormat="1">
      <c r="A11" s="23"/>
      <c r="B11" s="207"/>
      <c r="C11" s="207"/>
      <c r="D11" s="207"/>
      <c r="E11" s="207"/>
      <c r="F11" s="207"/>
      <c r="G11" s="21"/>
      <c r="H11" s="21"/>
      <c r="I11" s="29"/>
      <c r="J11" s="231"/>
      <c r="K11" s="231"/>
      <c r="L11" s="231"/>
      <c r="M11" s="231"/>
      <c r="N11" s="231"/>
      <c r="O11" s="231"/>
      <c r="P11" s="231"/>
      <c r="Q11" s="231"/>
      <c r="R11" s="231"/>
      <c r="S11" s="231"/>
      <c r="T11" s="231"/>
      <c r="U11" s="231"/>
      <c r="V11" s="231"/>
      <c r="W11" s="231"/>
      <c r="X11" s="231"/>
      <c r="Y11" s="231"/>
      <c r="Z11" s="231"/>
      <c r="AA11" s="231"/>
      <c r="AB11" s="231"/>
      <c r="AC11" s="231"/>
      <c r="AD11" s="231"/>
      <c r="AE11" s="231"/>
      <c r="AF11" s="231"/>
      <c r="AG11" s="231"/>
      <c r="AH11" s="231"/>
      <c r="AI11" s="231"/>
    </row>
    <row r="12" spans="1:35" s="203" customFormat="1">
      <c r="A12" s="24"/>
      <c r="B12" s="25" t="s">
        <v>7</v>
      </c>
      <c r="C12" s="26"/>
      <c r="D12" s="356"/>
      <c r="E12" s="356"/>
      <c r="F12" s="357"/>
      <c r="G12" s="21"/>
      <c r="H12" s="21"/>
      <c r="I12" s="29"/>
      <c r="J12" s="231"/>
      <c r="K12" s="231"/>
      <c r="L12" s="231"/>
      <c r="M12" s="231"/>
      <c r="N12" s="231"/>
      <c r="O12" s="231"/>
      <c r="P12" s="231"/>
      <c r="Q12" s="231"/>
      <c r="R12" s="231"/>
      <c r="S12" s="231"/>
      <c r="T12" s="231"/>
      <c r="U12" s="231"/>
      <c r="V12" s="231"/>
      <c r="W12" s="231"/>
      <c r="X12" s="231"/>
      <c r="Y12" s="231"/>
      <c r="Z12" s="231"/>
      <c r="AA12" s="231"/>
      <c r="AB12" s="231"/>
      <c r="AC12" s="231"/>
      <c r="AD12" s="231"/>
      <c r="AE12" s="231"/>
      <c r="AF12" s="231"/>
      <c r="AG12" s="231"/>
      <c r="AH12" s="231"/>
      <c r="AI12" s="231"/>
    </row>
    <row r="13" spans="1:35" s="203" customFormat="1">
      <c r="A13" s="23"/>
      <c r="B13" s="27"/>
      <c r="C13" s="358"/>
      <c r="D13" s="15"/>
      <c r="E13" s="15"/>
      <c r="F13" s="359"/>
      <c r="G13" s="207"/>
      <c r="H13" s="21"/>
      <c r="I13" s="29"/>
      <c r="J13" s="231"/>
      <c r="K13" s="231"/>
      <c r="L13" s="231"/>
      <c r="M13" s="231"/>
      <c r="N13" s="231"/>
      <c r="O13" s="231"/>
      <c r="P13" s="231"/>
      <c r="Q13" s="231"/>
      <c r="R13" s="231"/>
      <c r="S13" s="231"/>
      <c r="T13" s="231"/>
      <c r="U13" s="231"/>
      <c r="V13" s="231"/>
      <c r="W13" s="231"/>
      <c r="X13" s="231"/>
      <c r="Y13" s="231"/>
      <c r="Z13" s="231"/>
      <c r="AA13" s="231"/>
      <c r="AB13" s="231"/>
      <c r="AC13" s="231"/>
      <c r="AD13" s="231"/>
      <c r="AE13" s="231"/>
      <c r="AF13" s="231"/>
      <c r="AG13" s="231"/>
      <c r="AH13" s="231"/>
      <c r="AI13" s="231"/>
    </row>
    <row r="14" spans="1:35" s="203" customFormat="1">
      <c r="A14" s="23"/>
      <c r="B14" s="363" t="s">
        <v>328</v>
      </c>
      <c r="C14" s="870" t="s">
        <v>10</v>
      </c>
      <c r="D14" s="870"/>
      <c r="E14" s="870"/>
      <c r="F14" s="871"/>
      <c r="G14" s="207"/>
      <c r="H14" s="21"/>
      <c r="I14" s="29"/>
      <c r="J14" s="231"/>
      <c r="K14" s="231"/>
      <c r="L14" s="231"/>
      <c r="M14" s="231"/>
      <c r="N14" s="231"/>
      <c r="O14" s="231"/>
      <c r="P14" s="231"/>
      <c r="Q14" s="231"/>
      <c r="R14" s="231"/>
      <c r="S14" s="231"/>
      <c r="T14" s="231"/>
      <c r="U14" s="231"/>
      <c r="V14" s="231"/>
      <c r="W14" s="231"/>
      <c r="X14" s="231"/>
      <c r="Y14" s="231"/>
      <c r="Z14" s="231"/>
      <c r="AA14" s="231"/>
      <c r="AB14" s="231"/>
      <c r="AC14" s="231"/>
      <c r="AD14" s="231"/>
      <c r="AE14" s="231"/>
      <c r="AF14" s="231"/>
      <c r="AG14" s="231"/>
      <c r="AH14" s="231"/>
      <c r="AI14" s="231"/>
    </row>
    <row r="15" spans="1:35" s="203" customFormat="1">
      <c r="A15" s="23"/>
      <c r="B15" s="363" t="s">
        <v>329</v>
      </c>
      <c r="C15" s="870" t="s">
        <v>12</v>
      </c>
      <c r="D15" s="870"/>
      <c r="E15" s="870"/>
      <c r="F15" s="871"/>
      <c r="G15" s="207"/>
      <c r="H15" s="21"/>
      <c r="I15" s="29"/>
      <c r="J15" s="231"/>
      <c r="K15" s="231"/>
      <c r="L15" s="231"/>
      <c r="M15" s="231"/>
      <c r="N15" s="231"/>
      <c r="O15" s="231"/>
      <c r="P15" s="231"/>
      <c r="Q15" s="231"/>
      <c r="R15" s="231"/>
      <c r="S15" s="231"/>
      <c r="T15" s="231"/>
      <c r="U15" s="231"/>
      <c r="V15" s="231"/>
      <c r="W15" s="231"/>
      <c r="X15" s="231"/>
      <c r="Y15" s="231"/>
      <c r="Z15" s="231"/>
      <c r="AA15" s="231"/>
      <c r="AB15" s="231"/>
      <c r="AC15" s="231"/>
      <c r="AD15" s="231"/>
      <c r="AE15" s="231"/>
      <c r="AF15" s="231"/>
      <c r="AG15" s="231"/>
      <c r="AH15" s="231"/>
      <c r="AI15" s="231"/>
    </row>
    <row r="16" spans="1:35" s="203" customFormat="1">
      <c r="A16" s="23"/>
      <c r="B16" s="360" t="s">
        <v>14</v>
      </c>
      <c r="C16" s="870" t="s">
        <v>15</v>
      </c>
      <c r="D16" s="870"/>
      <c r="E16" s="870"/>
      <c r="F16" s="871"/>
      <c r="G16" s="207"/>
      <c r="H16" s="21"/>
      <c r="I16" s="29"/>
      <c r="J16" s="231"/>
      <c r="K16" s="231"/>
      <c r="L16" s="231"/>
      <c r="M16" s="231"/>
      <c r="N16" s="231"/>
      <c r="O16" s="231"/>
      <c r="P16" s="231"/>
      <c r="Q16" s="231"/>
      <c r="R16" s="231"/>
      <c r="S16" s="231"/>
      <c r="T16" s="231"/>
      <c r="U16" s="231"/>
      <c r="V16" s="231"/>
      <c r="W16" s="231"/>
      <c r="X16" s="231"/>
      <c r="Y16" s="231"/>
      <c r="Z16" s="231"/>
      <c r="AA16" s="231"/>
      <c r="AB16" s="231"/>
      <c r="AC16" s="231"/>
      <c r="AD16" s="231"/>
      <c r="AE16" s="231"/>
      <c r="AF16" s="231"/>
      <c r="AG16" s="231"/>
      <c r="AH16" s="231"/>
      <c r="AI16" s="231"/>
    </row>
    <row r="17" spans="1:35" s="203" customFormat="1">
      <c r="A17" s="23"/>
      <c r="B17" s="360" t="s">
        <v>17</v>
      </c>
      <c r="C17" s="870" t="s">
        <v>18</v>
      </c>
      <c r="D17" s="870"/>
      <c r="E17" s="870"/>
      <c r="F17" s="871"/>
      <c r="G17" s="207"/>
      <c r="H17" s="21"/>
      <c r="I17" s="29"/>
      <c r="J17" s="231"/>
      <c r="K17" s="231"/>
      <c r="L17" s="231"/>
      <c r="M17" s="231"/>
      <c r="N17" s="231"/>
      <c r="O17" s="231"/>
      <c r="P17" s="231"/>
      <c r="Q17" s="231"/>
      <c r="R17" s="231"/>
      <c r="S17" s="231"/>
      <c r="T17" s="231"/>
      <c r="U17" s="231"/>
      <c r="V17" s="231"/>
      <c r="W17" s="231"/>
      <c r="X17" s="231"/>
      <c r="Y17" s="231"/>
      <c r="Z17" s="231"/>
      <c r="AA17" s="231"/>
      <c r="AB17" s="231"/>
      <c r="AC17" s="231"/>
      <c r="AD17" s="231"/>
      <c r="AE17" s="231"/>
      <c r="AF17" s="231"/>
      <c r="AG17" s="231"/>
      <c r="AH17" s="231"/>
      <c r="AI17" s="231"/>
    </row>
    <row r="18" spans="1:35" s="203" customFormat="1">
      <c r="A18" s="23"/>
      <c r="B18" s="360" t="s">
        <v>20</v>
      </c>
      <c r="C18" s="870" t="s">
        <v>21</v>
      </c>
      <c r="D18" s="870"/>
      <c r="E18" s="870"/>
      <c r="F18" s="871"/>
      <c r="G18" s="207"/>
      <c r="H18" s="21"/>
      <c r="I18" s="29"/>
      <c r="J18" s="231"/>
      <c r="K18" s="231"/>
      <c r="L18" s="231"/>
      <c r="M18" s="231"/>
      <c r="N18" s="231"/>
      <c r="O18" s="231"/>
      <c r="P18" s="231"/>
      <c r="Q18" s="231"/>
      <c r="R18" s="231"/>
      <c r="S18" s="231"/>
      <c r="T18" s="231"/>
      <c r="U18" s="231"/>
      <c r="V18" s="231"/>
      <c r="W18" s="231"/>
      <c r="X18" s="231"/>
      <c r="Y18" s="231"/>
      <c r="Z18" s="231"/>
      <c r="AA18" s="231"/>
      <c r="AB18" s="231"/>
      <c r="AC18" s="231"/>
      <c r="AD18" s="231"/>
      <c r="AE18" s="231"/>
      <c r="AF18" s="231"/>
      <c r="AG18" s="231"/>
      <c r="AH18" s="231"/>
      <c r="AI18" s="231"/>
    </row>
    <row r="19" spans="1:35" s="203" customFormat="1">
      <c r="A19" s="23"/>
      <c r="B19" s="361" t="s">
        <v>23</v>
      </c>
      <c r="C19" s="872" t="s">
        <v>24</v>
      </c>
      <c r="D19" s="872"/>
      <c r="E19" s="872"/>
      <c r="F19" s="873"/>
      <c r="G19" s="21"/>
      <c r="H19" s="21"/>
      <c r="I19" s="29"/>
      <c r="J19" s="231"/>
      <c r="K19" s="231"/>
      <c r="L19" s="231"/>
      <c r="M19" s="231"/>
      <c r="N19" s="231"/>
      <c r="O19" s="231"/>
      <c r="P19" s="231"/>
      <c r="Q19" s="231"/>
      <c r="R19" s="231"/>
      <c r="S19" s="231"/>
      <c r="T19" s="231"/>
      <c r="U19" s="231"/>
      <c r="V19" s="231"/>
      <c r="W19" s="231"/>
      <c r="X19" s="231"/>
      <c r="Y19" s="231"/>
      <c r="Z19" s="231"/>
      <c r="AA19" s="231"/>
      <c r="AB19" s="231"/>
      <c r="AC19" s="231"/>
      <c r="AD19" s="231"/>
      <c r="AE19" s="231"/>
      <c r="AF19" s="231"/>
      <c r="AG19" s="231"/>
      <c r="AH19" s="231"/>
      <c r="AI19" s="231"/>
    </row>
    <row r="20" spans="1:35" s="203" customFormat="1">
      <c r="A20" s="236"/>
      <c r="B20" s="206"/>
      <c r="C20" s="206"/>
      <c r="D20" s="206"/>
      <c r="E20" s="206"/>
      <c r="F20" s="206"/>
      <c r="G20" s="206"/>
      <c r="H20" s="206"/>
      <c r="I20" s="206"/>
      <c r="J20" s="231"/>
      <c r="K20" s="231"/>
      <c r="L20" s="231"/>
      <c r="M20" s="231"/>
      <c r="N20" s="231"/>
      <c r="O20" s="231"/>
      <c r="P20" s="231"/>
      <c r="Q20" s="231"/>
      <c r="R20" s="231"/>
      <c r="S20" s="231"/>
      <c r="T20" s="231"/>
      <c r="U20" s="231"/>
      <c r="V20" s="231"/>
      <c r="W20" s="231"/>
      <c r="X20" s="231"/>
      <c r="Y20" s="231"/>
      <c r="Z20" s="231"/>
      <c r="AA20" s="231"/>
      <c r="AB20" s="231"/>
      <c r="AC20" s="231"/>
      <c r="AD20" s="231"/>
      <c r="AE20" s="231"/>
      <c r="AF20" s="231"/>
      <c r="AG20" s="231"/>
      <c r="AH20" s="231"/>
      <c r="AI20" s="231"/>
    </row>
    <row r="21" spans="1:35" s="203" customFormat="1" ht="19.5">
      <c r="A21" s="30"/>
      <c r="B21" s="13"/>
      <c r="C21" s="13"/>
      <c r="D21" s="13"/>
      <c r="E21" s="13"/>
      <c r="F21" s="13"/>
      <c r="G21" s="13"/>
      <c r="H21" s="31" t="s">
        <v>27</v>
      </c>
      <c r="I21" s="237"/>
      <c r="J21" s="231"/>
      <c r="K21" s="231"/>
      <c r="L21" s="231"/>
      <c r="M21" s="231"/>
      <c r="N21" s="231"/>
      <c r="O21" s="231"/>
      <c r="P21" s="231"/>
      <c r="Q21" s="231"/>
      <c r="R21" s="231"/>
      <c r="S21" s="231"/>
      <c r="T21" s="231"/>
      <c r="U21" s="231"/>
      <c r="V21" s="231"/>
      <c r="W21" s="231"/>
      <c r="X21" s="231"/>
      <c r="Y21" s="231"/>
      <c r="Z21" s="231"/>
      <c r="AA21" s="231"/>
      <c r="AB21" s="231"/>
      <c r="AC21" s="231"/>
      <c r="AD21" s="231"/>
      <c r="AE21" s="231"/>
      <c r="AF21" s="231"/>
      <c r="AG21" s="231"/>
      <c r="AH21" s="231"/>
      <c r="AI21" s="231"/>
    </row>
    <row r="22" spans="1:35" s="203" customFormat="1" ht="18.75" customHeight="1">
      <c r="A22" s="32"/>
      <c r="B22" s="29"/>
      <c r="C22" s="29"/>
      <c r="D22" s="29"/>
      <c r="E22" s="29"/>
      <c r="F22" s="33">
        <v>1</v>
      </c>
      <c r="G22" s="34"/>
      <c r="H22" s="33">
        <v>2</v>
      </c>
      <c r="I22" s="34"/>
      <c r="J22" s="231"/>
      <c r="K22" s="231"/>
      <c r="L22" s="231"/>
      <c r="M22" s="231"/>
      <c r="N22" s="231"/>
      <c r="O22" s="231"/>
      <c r="P22" s="231"/>
      <c r="Q22" s="231"/>
      <c r="R22" s="231"/>
      <c r="S22" s="231"/>
      <c r="T22" s="231"/>
      <c r="U22" s="231"/>
      <c r="V22" s="231"/>
      <c r="W22" s="231"/>
      <c r="X22" s="231"/>
      <c r="Y22" s="231"/>
      <c r="Z22" s="231"/>
      <c r="AA22" s="231"/>
      <c r="AB22" s="231"/>
      <c r="AC22" s="231"/>
      <c r="AD22" s="231"/>
      <c r="AE22" s="231"/>
      <c r="AF22" s="231"/>
      <c r="AG22" s="231"/>
      <c r="AH22" s="231"/>
      <c r="AI22" s="231"/>
    </row>
    <row r="23" spans="1:35" s="203" customFormat="1" ht="21.95" customHeight="1">
      <c r="A23" s="874" t="s">
        <v>30</v>
      </c>
      <c r="B23" s="875"/>
      <c r="C23" s="875"/>
      <c r="D23" s="875"/>
      <c r="E23" s="878" t="s">
        <v>376</v>
      </c>
      <c r="F23" s="856" t="s">
        <v>407</v>
      </c>
      <c r="G23" s="36"/>
      <c r="H23" s="878" t="s">
        <v>406</v>
      </c>
      <c r="I23" s="36"/>
      <c r="J23" s="231"/>
      <c r="K23" s="231"/>
      <c r="L23" s="231"/>
      <c r="M23" s="231"/>
      <c r="N23" s="231"/>
      <c r="O23" s="231"/>
      <c r="P23" s="231"/>
      <c r="Q23" s="231"/>
      <c r="R23" s="231"/>
      <c r="S23" s="231"/>
      <c r="T23" s="231"/>
      <c r="U23" s="231"/>
      <c r="V23" s="231"/>
      <c r="W23" s="231"/>
      <c r="X23" s="231"/>
      <c r="Y23" s="231"/>
      <c r="Z23" s="231"/>
      <c r="AA23" s="231"/>
      <c r="AB23" s="231"/>
      <c r="AC23" s="231"/>
      <c r="AD23" s="231"/>
      <c r="AE23" s="231"/>
      <c r="AF23" s="231"/>
      <c r="AG23" s="231"/>
      <c r="AH23" s="231"/>
      <c r="AI23" s="231"/>
    </row>
    <row r="24" spans="1:35" s="203" customFormat="1" ht="21.95" customHeight="1">
      <c r="A24" s="876"/>
      <c r="B24" s="877"/>
      <c r="C24" s="877"/>
      <c r="D24" s="877"/>
      <c r="E24" s="879"/>
      <c r="F24" s="860"/>
      <c r="G24" s="23"/>
      <c r="H24" s="879"/>
      <c r="I24" s="36"/>
      <c r="J24" s="231"/>
      <c r="K24" s="231"/>
      <c r="L24" s="231"/>
      <c r="M24" s="231"/>
      <c r="N24" s="231"/>
      <c r="O24" s="231"/>
      <c r="P24" s="231"/>
      <c r="Q24" s="231"/>
      <c r="R24" s="231"/>
      <c r="S24" s="231"/>
      <c r="T24" s="231"/>
      <c r="U24" s="231"/>
      <c r="V24" s="231"/>
      <c r="W24" s="231"/>
      <c r="X24" s="231"/>
      <c r="Y24" s="231"/>
      <c r="Z24" s="231"/>
      <c r="AA24" s="231"/>
      <c r="AB24" s="231"/>
      <c r="AC24" s="231"/>
      <c r="AD24" s="231"/>
      <c r="AE24" s="231"/>
      <c r="AF24" s="231"/>
      <c r="AG24" s="231"/>
      <c r="AH24" s="231"/>
      <c r="AI24" s="231"/>
    </row>
    <row r="25" spans="1:35" s="203" customFormat="1" ht="21.95" customHeight="1">
      <c r="A25" s="898" t="s">
        <v>48</v>
      </c>
      <c r="B25" s="901" t="s">
        <v>49</v>
      </c>
      <c r="C25" s="901"/>
      <c r="D25" s="902"/>
      <c r="E25" s="907" t="s">
        <v>50</v>
      </c>
      <c r="F25" s="909" t="s">
        <v>51</v>
      </c>
      <c r="G25" s="34"/>
      <c r="H25" s="907" t="s">
        <v>50</v>
      </c>
      <c r="I25" s="36"/>
      <c r="J25" s="231"/>
      <c r="K25" s="231"/>
      <c r="L25" s="231"/>
      <c r="M25" s="231"/>
      <c r="N25" s="231"/>
      <c r="O25" s="231"/>
      <c r="P25" s="231"/>
      <c r="Q25" s="231"/>
      <c r="R25" s="231"/>
      <c r="S25" s="231"/>
      <c r="T25" s="231"/>
      <c r="U25" s="231"/>
      <c r="V25" s="231"/>
      <c r="W25" s="231"/>
      <c r="X25" s="231"/>
      <c r="Y25" s="231"/>
      <c r="Z25" s="231"/>
      <c r="AA25" s="231"/>
      <c r="AB25" s="231"/>
      <c r="AC25" s="231"/>
      <c r="AD25" s="231"/>
      <c r="AE25" s="231"/>
      <c r="AF25" s="231"/>
      <c r="AG25" s="231"/>
      <c r="AH25" s="231"/>
      <c r="AI25" s="231"/>
    </row>
    <row r="26" spans="1:35" s="203" customFormat="1" ht="21.95" customHeight="1">
      <c r="A26" s="899"/>
      <c r="B26" s="903"/>
      <c r="C26" s="903"/>
      <c r="D26" s="904"/>
      <c r="E26" s="908"/>
      <c r="F26" s="859"/>
      <c r="G26" s="34"/>
      <c r="H26" s="908"/>
      <c r="I26" s="36"/>
      <c r="J26" s="231"/>
      <c r="K26" s="231"/>
      <c r="L26" s="231"/>
      <c r="M26" s="231"/>
      <c r="N26" s="231"/>
      <c r="O26" s="231"/>
      <c r="P26" s="231"/>
      <c r="Q26" s="231"/>
      <c r="R26" s="231"/>
      <c r="S26" s="231"/>
      <c r="T26" s="231"/>
      <c r="U26" s="231"/>
      <c r="V26" s="231"/>
      <c r="W26" s="231"/>
      <c r="X26" s="231"/>
      <c r="Y26" s="231"/>
      <c r="Z26" s="231"/>
      <c r="AA26" s="231"/>
      <c r="AB26" s="231"/>
      <c r="AC26" s="231"/>
      <c r="AD26" s="231"/>
      <c r="AE26" s="231"/>
      <c r="AF26" s="231"/>
      <c r="AG26" s="231"/>
      <c r="AH26" s="231"/>
      <c r="AI26" s="231"/>
    </row>
    <row r="27" spans="1:35" s="203" customFormat="1" ht="21.95" customHeight="1">
      <c r="A27" s="900"/>
      <c r="B27" s="905"/>
      <c r="C27" s="905"/>
      <c r="D27" s="906"/>
      <c r="E27" s="879"/>
      <c r="F27" s="860"/>
      <c r="G27" s="34"/>
      <c r="H27" s="879"/>
      <c r="I27" s="36"/>
      <c r="J27" s="231"/>
      <c r="K27" s="231"/>
      <c r="L27" s="231"/>
      <c r="M27" s="231"/>
      <c r="N27" s="231"/>
      <c r="O27" s="231"/>
      <c r="P27" s="231"/>
      <c r="Q27" s="231"/>
      <c r="R27" s="231"/>
      <c r="S27" s="231"/>
      <c r="T27" s="231"/>
      <c r="U27" s="231"/>
      <c r="V27" s="231"/>
      <c r="W27" s="231"/>
      <c r="X27" s="231"/>
      <c r="Y27" s="231"/>
      <c r="Z27" s="231"/>
      <c r="AA27" s="231"/>
      <c r="AB27" s="231"/>
      <c r="AC27" s="231"/>
      <c r="AD27" s="231"/>
      <c r="AE27" s="231"/>
      <c r="AF27" s="231"/>
      <c r="AG27" s="231"/>
      <c r="AH27" s="231"/>
      <c r="AI27" s="231"/>
    </row>
    <row r="28" spans="1:35" s="203" customFormat="1">
      <c r="A28" s="38">
        <v>1</v>
      </c>
      <c r="B28" s="39" t="s">
        <v>52</v>
      </c>
      <c r="C28" s="39"/>
      <c r="D28" s="40"/>
      <c r="E28" s="41">
        <v>347058</v>
      </c>
      <c r="F28" s="42">
        <f>F77</f>
        <v>359899</v>
      </c>
      <c r="G28" s="43"/>
      <c r="H28" s="44">
        <f>H77</f>
        <v>391739</v>
      </c>
      <c r="I28" s="43"/>
      <c r="J28" s="231"/>
      <c r="K28" s="231"/>
      <c r="L28" s="231"/>
      <c r="M28" s="231"/>
      <c r="N28" s="231"/>
      <c r="O28" s="231"/>
      <c r="P28" s="231"/>
      <c r="Q28" s="231"/>
      <c r="R28" s="231"/>
      <c r="S28" s="231"/>
      <c r="T28" s="231"/>
      <c r="U28" s="231"/>
      <c r="V28" s="231"/>
      <c r="W28" s="231"/>
      <c r="X28" s="231"/>
      <c r="Y28" s="231"/>
      <c r="Z28" s="231"/>
      <c r="AA28" s="231"/>
      <c r="AB28" s="231"/>
      <c r="AC28" s="231"/>
      <c r="AD28" s="231"/>
      <c r="AE28" s="231"/>
      <c r="AF28" s="231"/>
      <c r="AG28" s="231"/>
      <c r="AH28" s="231"/>
      <c r="AI28" s="231"/>
    </row>
    <row r="29" spans="1:35" s="203" customFormat="1">
      <c r="A29" s="46">
        <v>2</v>
      </c>
      <c r="B29" s="47" t="s">
        <v>53</v>
      </c>
      <c r="C29" s="47"/>
      <c r="D29" s="48"/>
      <c r="E29" s="49">
        <v>315523</v>
      </c>
      <c r="F29" s="50">
        <f>F105</f>
        <v>322415</v>
      </c>
      <c r="G29" s="43"/>
      <c r="H29" s="51">
        <f>H105</f>
        <v>326328</v>
      </c>
      <c r="I29" s="43"/>
      <c r="J29" s="231"/>
      <c r="K29" s="231"/>
      <c r="L29" s="231"/>
      <c r="M29" s="231"/>
      <c r="N29" s="231"/>
      <c r="O29" s="231"/>
      <c r="P29" s="231"/>
      <c r="Q29" s="231"/>
      <c r="R29" s="231"/>
      <c r="S29" s="231"/>
      <c r="T29" s="231"/>
      <c r="U29" s="231"/>
      <c r="V29" s="231"/>
      <c r="W29" s="231"/>
      <c r="X29" s="231"/>
      <c r="Y29" s="231"/>
      <c r="Z29" s="231"/>
      <c r="AA29" s="231"/>
      <c r="AB29" s="231"/>
      <c r="AC29" s="231"/>
      <c r="AD29" s="231"/>
      <c r="AE29" s="231"/>
      <c r="AF29" s="231"/>
      <c r="AG29" s="231"/>
      <c r="AH29" s="231"/>
      <c r="AI29" s="231"/>
    </row>
    <row r="30" spans="1:35" s="203" customFormat="1">
      <c r="A30" s="46">
        <v>3</v>
      </c>
      <c r="B30" s="47" t="s">
        <v>54</v>
      </c>
      <c r="C30" s="47"/>
      <c r="D30" s="48"/>
      <c r="E30" s="49">
        <v>4208</v>
      </c>
      <c r="F30" s="50">
        <f>F180</f>
        <v>1238</v>
      </c>
      <c r="G30" s="43"/>
      <c r="H30" s="51">
        <f>H180</f>
        <v>-10501</v>
      </c>
      <c r="I30" s="43"/>
      <c r="J30" s="231"/>
      <c r="K30" s="231"/>
      <c r="L30" s="231"/>
      <c r="M30" s="231"/>
      <c r="N30" s="231"/>
      <c r="O30" s="231"/>
      <c r="P30" s="231"/>
      <c r="Q30" s="231"/>
      <c r="R30" s="231"/>
      <c r="S30" s="231"/>
      <c r="T30" s="231"/>
      <c r="U30" s="231"/>
      <c r="V30" s="231"/>
      <c r="W30" s="231"/>
      <c r="X30" s="231"/>
      <c r="Y30" s="231"/>
      <c r="Z30" s="231"/>
      <c r="AA30" s="231"/>
      <c r="AB30" s="231"/>
      <c r="AC30" s="231"/>
      <c r="AD30" s="231"/>
      <c r="AE30" s="231"/>
      <c r="AF30" s="231"/>
      <c r="AG30" s="231"/>
      <c r="AH30" s="231"/>
      <c r="AI30" s="231"/>
    </row>
    <row r="31" spans="1:35" s="203" customFormat="1">
      <c r="A31" s="46">
        <v>4</v>
      </c>
      <c r="B31" s="47" t="s">
        <v>55</v>
      </c>
      <c r="C31" s="47"/>
      <c r="D31" s="48"/>
      <c r="E31" s="49">
        <v>59544</v>
      </c>
      <c r="F31" s="50">
        <f>F214</f>
        <v>65002</v>
      </c>
      <c r="G31" s="43"/>
      <c r="H31" s="51">
        <f>H214</f>
        <v>62437</v>
      </c>
      <c r="I31" s="43"/>
      <c r="J31" s="231"/>
      <c r="K31" s="231"/>
      <c r="L31" s="231"/>
      <c r="M31" s="231"/>
      <c r="N31" s="231"/>
      <c r="O31" s="231"/>
      <c r="P31" s="231"/>
      <c r="Q31" s="231"/>
      <c r="R31" s="231"/>
      <c r="S31" s="231"/>
      <c r="T31" s="231"/>
      <c r="U31" s="231"/>
      <c r="V31" s="231"/>
      <c r="W31" s="231"/>
      <c r="X31" s="231"/>
      <c r="Y31" s="231"/>
      <c r="Z31" s="231"/>
      <c r="AA31" s="231"/>
      <c r="AB31" s="231"/>
      <c r="AC31" s="231"/>
      <c r="AD31" s="231"/>
      <c r="AE31" s="231"/>
      <c r="AF31" s="231"/>
      <c r="AG31" s="231"/>
      <c r="AH31" s="231"/>
      <c r="AI31" s="231"/>
    </row>
    <row r="32" spans="1:35" s="203" customFormat="1">
      <c r="A32" s="46">
        <v>5</v>
      </c>
      <c r="B32" s="47" t="s">
        <v>56</v>
      </c>
      <c r="C32" s="47"/>
      <c r="D32" s="48"/>
      <c r="E32" s="49">
        <v>15845</v>
      </c>
      <c r="F32" s="50">
        <f>F231</f>
        <v>12188</v>
      </c>
      <c r="G32" s="43"/>
      <c r="H32" s="51">
        <f>H231</f>
        <v>10630</v>
      </c>
      <c r="I32" s="43"/>
      <c r="J32" s="231"/>
      <c r="K32" s="231"/>
      <c r="L32" s="231"/>
      <c r="M32" s="231"/>
      <c r="N32" s="231"/>
      <c r="O32" s="231"/>
      <c r="P32" s="231"/>
      <c r="Q32" s="231"/>
      <c r="R32" s="231"/>
      <c r="S32" s="231"/>
      <c r="T32" s="231"/>
      <c r="U32" s="231"/>
      <c r="V32" s="231"/>
      <c r="W32" s="231"/>
      <c r="X32" s="231"/>
      <c r="Y32" s="231"/>
      <c r="Z32" s="231"/>
      <c r="AA32" s="231"/>
      <c r="AB32" s="231"/>
      <c r="AC32" s="231"/>
      <c r="AD32" s="231"/>
      <c r="AE32" s="231"/>
      <c r="AF32" s="231"/>
      <c r="AG32" s="231"/>
      <c r="AH32" s="231"/>
      <c r="AI32" s="231"/>
    </row>
    <row r="33" spans="1:35" s="203" customFormat="1">
      <c r="A33" s="46">
        <v>6</v>
      </c>
      <c r="B33" s="47" t="s">
        <v>57</v>
      </c>
      <c r="C33" s="47"/>
      <c r="D33" s="48"/>
      <c r="E33" s="49">
        <v>31934</v>
      </c>
      <c r="F33" s="50">
        <f>F257</f>
        <v>33103</v>
      </c>
      <c r="G33" s="43"/>
      <c r="H33" s="51">
        <f>H257</f>
        <v>30958</v>
      </c>
      <c r="I33" s="43"/>
      <c r="J33" s="231"/>
      <c r="K33" s="231"/>
      <c r="L33" s="231"/>
      <c r="M33" s="231"/>
      <c r="N33" s="231"/>
      <c r="O33" s="231"/>
      <c r="P33" s="231"/>
      <c r="Q33" s="231"/>
      <c r="R33" s="231"/>
      <c r="S33" s="231"/>
      <c r="T33" s="231"/>
      <c r="U33" s="231"/>
      <c r="V33" s="231"/>
      <c r="W33" s="231"/>
      <c r="X33" s="231"/>
      <c r="Y33" s="231"/>
      <c r="Z33" s="231"/>
      <c r="AA33" s="231"/>
      <c r="AB33" s="231"/>
      <c r="AC33" s="231"/>
      <c r="AD33" s="231"/>
      <c r="AE33" s="231"/>
      <c r="AF33" s="231"/>
      <c r="AG33" s="231"/>
      <c r="AH33" s="231"/>
      <c r="AI33" s="231"/>
    </row>
    <row r="34" spans="1:35" s="203" customFormat="1">
      <c r="A34" s="46">
        <v>7</v>
      </c>
      <c r="B34" s="47" t="s">
        <v>58</v>
      </c>
      <c r="C34" s="47"/>
      <c r="D34" s="48"/>
      <c r="E34" s="49">
        <v>32369</v>
      </c>
      <c r="F34" s="50">
        <f>F277</f>
        <v>34203</v>
      </c>
      <c r="G34" s="43"/>
      <c r="H34" s="50">
        <f>H277</f>
        <v>33302</v>
      </c>
      <c r="I34" s="43"/>
      <c r="J34" s="231"/>
      <c r="K34" s="231"/>
      <c r="L34" s="231"/>
      <c r="M34" s="231"/>
      <c r="N34" s="231"/>
      <c r="O34" s="231"/>
      <c r="P34" s="231"/>
      <c r="Q34" s="231"/>
      <c r="R34" s="231"/>
      <c r="S34" s="231"/>
      <c r="T34" s="231"/>
      <c r="U34" s="231"/>
      <c r="V34" s="231"/>
      <c r="W34" s="231"/>
      <c r="X34" s="231"/>
      <c r="Y34" s="231"/>
      <c r="Z34" s="231"/>
      <c r="AA34" s="231"/>
      <c r="AB34" s="231"/>
      <c r="AC34" s="231"/>
      <c r="AD34" s="231"/>
      <c r="AE34" s="231"/>
      <c r="AF34" s="231"/>
      <c r="AG34" s="231"/>
      <c r="AH34" s="231"/>
      <c r="AI34" s="231"/>
    </row>
    <row r="35" spans="1:35" s="203" customFormat="1">
      <c r="A35" s="46">
        <v>8</v>
      </c>
      <c r="B35" s="47" t="s">
        <v>59</v>
      </c>
      <c r="C35" s="47"/>
      <c r="D35" s="48"/>
      <c r="E35" s="49">
        <v>47329</v>
      </c>
      <c r="F35" s="50">
        <f>F302</f>
        <v>35829</v>
      </c>
      <c r="G35" s="43"/>
      <c r="H35" s="50">
        <f>H302</f>
        <v>50328</v>
      </c>
      <c r="I35" s="21"/>
      <c r="J35" s="231"/>
      <c r="K35" s="231"/>
      <c r="L35" s="231"/>
      <c r="M35" s="231"/>
      <c r="N35" s="231"/>
      <c r="O35" s="231"/>
      <c r="P35" s="231"/>
      <c r="Q35" s="231"/>
      <c r="R35" s="231"/>
      <c r="S35" s="231"/>
      <c r="T35" s="231"/>
      <c r="U35" s="231"/>
      <c r="V35" s="231"/>
      <c r="W35" s="231"/>
      <c r="X35" s="231"/>
      <c r="Y35" s="231"/>
      <c r="Z35" s="231"/>
      <c r="AA35" s="231"/>
      <c r="AB35" s="231"/>
      <c r="AC35" s="231"/>
      <c r="AD35" s="231"/>
      <c r="AE35" s="231"/>
      <c r="AF35" s="231"/>
      <c r="AG35" s="231"/>
      <c r="AH35" s="231"/>
      <c r="AI35" s="231"/>
    </row>
    <row r="36" spans="1:35" s="203" customFormat="1">
      <c r="A36" s="46">
        <v>9</v>
      </c>
      <c r="B36" s="47" t="s">
        <v>60</v>
      </c>
      <c r="C36" s="47"/>
      <c r="D36" s="48"/>
      <c r="E36" s="49">
        <v>0</v>
      </c>
      <c r="F36" s="52">
        <v>0</v>
      </c>
      <c r="G36" s="43"/>
      <c r="H36" s="52">
        <v>0</v>
      </c>
      <c r="I36" s="21"/>
      <c r="J36" s="231"/>
      <c r="K36" s="231"/>
      <c r="L36" s="231"/>
      <c r="M36" s="231"/>
      <c r="N36" s="231"/>
      <c r="O36" s="231"/>
      <c r="P36" s="231"/>
      <c r="Q36" s="231"/>
      <c r="R36" s="231"/>
      <c r="S36" s="231"/>
      <c r="T36" s="231"/>
      <c r="U36" s="231"/>
      <c r="V36" s="231"/>
      <c r="W36" s="231"/>
      <c r="X36" s="231"/>
      <c r="Y36" s="231"/>
      <c r="Z36" s="231"/>
      <c r="AA36" s="231"/>
      <c r="AB36" s="231"/>
      <c r="AC36" s="231"/>
      <c r="AD36" s="231"/>
      <c r="AE36" s="231"/>
      <c r="AF36" s="231"/>
      <c r="AG36" s="231"/>
      <c r="AH36" s="231"/>
      <c r="AI36" s="231"/>
    </row>
    <row r="37" spans="1:35" s="203" customFormat="1">
      <c r="A37" s="53">
        <v>10</v>
      </c>
      <c r="B37" s="54" t="s">
        <v>61</v>
      </c>
      <c r="C37" s="54"/>
      <c r="D37" s="55"/>
      <c r="E37" s="56">
        <v>132579</v>
      </c>
      <c r="F37" s="57">
        <f>F320</f>
        <v>119674</v>
      </c>
      <c r="G37" s="43"/>
      <c r="H37" s="57">
        <f>H320</f>
        <v>121563</v>
      </c>
      <c r="I37" s="21"/>
      <c r="J37" s="231"/>
      <c r="K37" s="231"/>
      <c r="L37" s="231"/>
      <c r="M37" s="231"/>
      <c r="N37" s="231"/>
      <c r="O37" s="231"/>
      <c r="P37" s="231"/>
      <c r="Q37" s="231"/>
      <c r="R37" s="231"/>
      <c r="S37" s="231"/>
      <c r="T37" s="231"/>
      <c r="U37" s="231"/>
      <c r="V37" s="231"/>
      <c r="W37" s="231"/>
      <c r="X37" s="231"/>
      <c r="Y37" s="231"/>
      <c r="Z37" s="231"/>
      <c r="AA37" s="231"/>
      <c r="AB37" s="231"/>
      <c r="AC37" s="231"/>
      <c r="AD37" s="231"/>
      <c r="AE37" s="231"/>
      <c r="AF37" s="231"/>
      <c r="AG37" s="231"/>
      <c r="AH37" s="231"/>
      <c r="AI37" s="231"/>
    </row>
    <row r="38" spans="1:35" s="203" customFormat="1">
      <c r="A38" s="33">
        <v>11</v>
      </c>
      <c r="B38" s="58" t="s">
        <v>62</v>
      </c>
      <c r="C38" s="58"/>
      <c r="D38" s="59"/>
      <c r="E38" s="60">
        <v>986389</v>
      </c>
      <c r="F38" s="61">
        <f>SUM(F28:F37)</f>
        <v>983551</v>
      </c>
      <c r="G38" s="43"/>
      <c r="H38" s="61">
        <f>SUM(H28:H37)</f>
        <v>1016784</v>
      </c>
      <c r="I38" s="68"/>
      <c r="J38" s="231"/>
      <c r="K38" s="231"/>
      <c r="L38" s="231"/>
      <c r="M38" s="231"/>
      <c r="N38" s="231"/>
      <c r="O38" s="231"/>
      <c r="P38" s="231"/>
      <c r="Q38" s="231"/>
      <c r="R38" s="231"/>
      <c r="S38" s="231"/>
      <c r="T38" s="231"/>
      <c r="U38" s="231"/>
      <c r="V38" s="231"/>
      <c r="W38" s="231"/>
      <c r="X38" s="231"/>
      <c r="Y38" s="231"/>
      <c r="Z38" s="231"/>
      <c r="AA38" s="231"/>
      <c r="AB38" s="231"/>
      <c r="AC38" s="231"/>
      <c r="AD38" s="231"/>
      <c r="AE38" s="231"/>
      <c r="AF38" s="231"/>
      <c r="AG38" s="231"/>
      <c r="AH38" s="231"/>
      <c r="AI38" s="231"/>
    </row>
    <row r="39" spans="1:35" s="203" customFormat="1" ht="12.75" customHeight="1">
      <c r="A39" s="63"/>
      <c r="B39" s="64"/>
      <c r="C39" s="64"/>
      <c r="D39" s="65"/>
      <c r="E39" s="66"/>
      <c r="F39" s="67"/>
      <c r="G39" s="21"/>
      <c r="H39" s="67"/>
      <c r="I39" s="68"/>
      <c r="J39" s="231"/>
      <c r="K39" s="231"/>
      <c r="L39" s="231"/>
      <c r="M39" s="231"/>
      <c r="N39" s="231"/>
      <c r="O39" s="231"/>
      <c r="P39" s="231"/>
      <c r="Q39" s="231"/>
      <c r="R39" s="231"/>
      <c r="S39" s="231"/>
      <c r="T39" s="231"/>
      <c r="U39" s="231"/>
      <c r="V39" s="231"/>
      <c r="W39" s="231"/>
      <c r="X39" s="231"/>
      <c r="Y39" s="231"/>
      <c r="Z39" s="231"/>
      <c r="AA39" s="231"/>
      <c r="AB39" s="231"/>
      <c r="AC39" s="231"/>
      <c r="AD39" s="231"/>
      <c r="AE39" s="231"/>
      <c r="AF39" s="231"/>
      <c r="AG39" s="231"/>
      <c r="AH39" s="231"/>
      <c r="AI39" s="231"/>
    </row>
    <row r="40" spans="1:35" s="203" customFormat="1" ht="12.75" customHeight="1">
      <c r="A40" s="893" t="s">
        <v>63</v>
      </c>
      <c r="B40" s="894"/>
      <c r="C40" s="894"/>
      <c r="D40" s="895"/>
      <c r="E40" s="878" t="s">
        <v>376</v>
      </c>
      <c r="F40" s="856" t="s">
        <v>407</v>
      </c>
      <c r="G40" s="36"/>
      <c r="H40" s="878" t="s">
        <v>406</v>
      </c>
      <c r="I40" s="43"/>
      <c r="J40" s="231"/>
      <c r="K40" s="231"/>
      <c r="L40" s="231"/>
      <c r="M40" s="231"/>
      <c r="N40" s="231"/>
      <c r="O40" s="231"/>
      <c r="P40" s="231"/>
      <c r="Q40" s="231"/>
      <c r="R40" s="231"/>
      <c r="S40" s="231"/>
      <c r="T40" s="231"/>
      <c r="U40" s="231"/>
      <c r="V40" s="231"/>
      <c r="W40" s="231"/>
      <c r="X40" s="231"/>
      <c r="Y40" s="231"/>
      <c r="Z40" s="231"/>
      <c r="AA40" s="231"/>
      <c r="AB40" s="231"/>
      <c r="AC40" s="231"/>
      <c r="AD40" s="231"/>
      <c r="AE40" s="231"/>
      <c r="AF40" s="231"/>
      <c r="AG40" s="231"/>
      <c r="AH40" s="231"/>
      <c r="AI40" s="231"/>
    </row>
    <row r="41" spans="1:35" s="203" customFormat="1" ht="27.75" customHeight="1">
      <c r="A41" s="876"/>
      <c r="B41" s="877"/>
      <c r="C41" s="877"/>
      <c r="D41" s="896"/>
      <c r="E41" s="879"/>
      <c r="F41" s="860"/>
      <c r="G41" s="23"/>
      <c r="H41" s="879"/>
      <c r="I41" s="43"/>
      <c r="J41" s="231"/>
      <c r="K41" s="231"/>
      <c r="L41" s="231"/>
      <c r="M41" s="231"/>
      <c r="N41" s="231"/>
      <c r="O41" s="231"/>
      <c r="P41" s="231"/>
      <c r="Q41" s="231"/>
      <c r="R41" s="231"/>
      <c r="S41" s="231"/>
      <c r="T41" s="231"/>
      <c r="U41" s="231"/>
      <c r="V41" s="231"/>
      <c r="W41" s="231"/>
      <c r="X41" s="231"/>
      <c r="Y41" s="231"/>
      <c r="Z41" s="231"/>
      <c r="AA41" s="231"/>
      <c r="AB41" s="231"/>
      <c r="AC41" s="231"/>
      <c r="AD41" s="231"/>
      <c r="AE41" s="231"/>
      <c r="AF41" s="231"/>
      <c r="AG41" s="231"/>
      <c r="AH41" s="231"/>
      <c r="AI41" s="231"/>
    </row>
    <row r="42" spans="1:35" s="203" customFormat="1">
      <c r="A42" s="808" t="s">
        <v>64</v>
      </c>
      <c r="B42" s="69" t="s">
        <v>65</v>
      </c>
      <c r="C42" s="69"/>
      <c r="D42" s="70"/>
      <c r="E42" s="71"/>
      <c r="F42" s="72" t="str">
        <f>IF(OR(F43&lt;0,F44&lt;0,F47&lt;0,F48&lt;0,H43&lt;0,H44&lt;0,H47&lt;0,H48&lt;0),"Funding should be recorded as positive figures",".")</f>
        <v>.</v>
      </c>
      <c r="G42" s="45"/>
      <c r="H42" s="73"/>
      <c r="I42" s="43"/>
      <c r="J42" s="231"/>
      <c r="K42" s="231"/>
      <c r="L42" s="231"/>
      <c r="M42" s="231"/>
      <c r="N42" s="231"/>
      <c r="O42" s="231"/>
      <c r="P42" s="231"/>
      <c r="Q42" s="231"/>
      <c r="R42" s="231"/>
      <c r="S42" s="231"/>
      <c r="T42" s="231"/>
      <c r="U42" s="231"/>
      <c r="V42" s="231"/>
      <c r="W42" s="231"/>
      <c r="X42" s="231"/>
      <c r="Y42" s="231"/>
      <c r="Z42" s="231"/>
      <c r="AA42" s="231"/>
      <c r="AB42" s="231"/>
      <c r="AC42" s="231"/>
      <c r="AD42" s="231"/>
      <c r="AE42" s="231"/>
      <c r="AF42" s="231"/>
      <c r="AG42" s="231"/>
      <c r="AH42" s="231"/>
      <c r="AI42" s="231"/>
    </row>
    <row r="43" spans="1:35" s="203" customFormat="1">
      <c r="A43" s="46">
        <v>1</v>
      </c>
      <c r="B43" s="47" t="s">
        <v>66</v>
      </c>
      <c r="C43" s="47"/>
      <c r="D43" s="48"/>
      <c r="E43" s="74">
        <v>362804</v>
      </c>
      <c r="F43" s="241">
        <v>360928</v>
      </c>
      <c r="G43" s="45"/>
      <c r="H43" s="75">
        <v>338679</v>
      </c>
      <c r="I43" s="43"/>
      <c r="J43" s="231"/>
      <c r="K43" s="231"/>
      <c r="L43" s="231"/>
      <c r="M43" s="231"/>
      <c r="N43" s="231"/>
      <c r="O43" s="231"/>
      <c r="P43" s="231"/>
      <c r="Q43" s="231"/>
      <c r="R43" s="231"/>
      <c r="S43" s="231"/>
      <c r="T43" s="231"/>
      <c r="U43" s="231"/>
      <c r="V43" s="231"/>
      <c r="W43" s="231"/>
      <c r="X43" s="231"/>
      <c r="Y43" s="231"/>
      <c r="Z43" s="231"/>
      <c r="AA43" s="231"/>
      <c r="AB43" s="231"/>
      <c r="AC43" s="231"/>
      <c r="AD43" s="231"/>
      <c r="AE43" s="231"/>
      <c r="AF43" s="231"/>
      <c r="AG43" s="231"/>
      <c r="AH43" s="231"/>
      <c r="AI43" s="231"/>
    </row>
    <row r="44" spans="1:35" s="203" customFormat="1">
      <c r="A44" s="46">
        <v>2</v>
      </c>
      <c r="B44" s="47" t="s">
        <v>67</v>
      </c>
      <c r="C44" s="47"/>
      <c r="D44" s="48"/>
      <c r="E44" s="49">
        <v>340124</v>
      </c>
      <c r="F44" s="241">
        <v>340474</v>
      </c>
      <c r="G44" s="45"/>
      <c r="H44" s="75">
        <v>365250</v>
      </c>
      <c r="I44" s="43"/>
      <c r="J44" s="231"/>
      <c r="K44" s="231"/>
      <c r="L44" s="231"/>
      <c r="M44" s="231"/>
      <c r="N44" s="231"/>
      <c r="O44" s="231"/>
      <c r="P44" s="231"/>
      <c r="Q44" s="231"/>
      <c r="R44" s="231"/>
      <c r="S44" s="231"/>
      <c r="T44" s="231"/>
      <c r="U44" s="231"/>
      <c r="V44" s="231"/>
      <c r="W44" s="231"/>
      <c r="X44" s="231"/>
      <c r="Y44" s="231"/>
      <c r="Z44" s="231"/>
      <c r="AA44" s="231"/>
      <c r="AB44" s="231"/>
      <c r="AC44" s="231"/>
      <c r="AD44" s="231"/>
      <c r="AE44" s="231"/>
      <c r="AF44" s="231"/>
      <c r="AG44" s="231"/>
      <c r="AH44" s="231"/>
      <c r="AI44" s="231"/>
    </row>
    <row r="45" spans="1:35" s="203" customFormat="1">
      <c r="A45" s="46">
        <v>3</v>
      </c>
      <c r="B45" s="47" t="s">
        <v>68</v>
      </c>
      <c r="C45" s="47"/>
      <c r="D45" s="48"/>
      <c r="E45" s="49">
        <v>0</v>
      </c>
      <c r="F45" s="52">
        <v>0</v>
      </c>
      <c r="G45" s="45"/>
      <c r="H45" s="75">
        <v>0</v>
      </c>
      <c r="I45" s="43"/>
      <c r="J45" s="231"/>
      <c r="K45" s="231"/>
      <c r="L45" s="231"/>
      <c r="M45" s="231"/>
      <c r="N45" s="231"/>
      <c r="O45" s="231"/>
      <c r="P45" s="231"/>
      <c r="Q45" s="231"/>
      <c r="R45" s="231"/>
      <c r="S45" s="231"/>
      <c r="T45" s="231"/>
      <c r="U45" s="231"/>
      <c r="V45" s="231"/>
      <c r="W45" s="231"/>
      <c r="X45" s="231"/>
      <c r="Y45" s="231"/>
      <c r="Z45" s="231"/>
      <c r="AA45" s="231"/>
      <c r="AB45" s="231"/>
      <c r="AC45" s="231"/>
      <c r="AD45" s="231"/>
      <c r="AE45" s="231"/>
      <c r="AF45" s="231"/>
      <c r="AG45" s="231"/>
      <c r="AH45" s="231"/>
      <c r="AI45" s="231"/>
    </row>
    <row r="46" spans="1:35" s="203" customFormat="1">
      <c r="A46" s="46">
        <v>4</v>
      </c>
      <c r="B46" s="47" t="s">
        <v>70</v>
      </c>
      <c r="C46" s="47"/>
      <c r="D46" s="48"/>
      <c r="E46" s="49">
        <v>0</v>
      </c>
      <c r="F46" s="52">
        <v>0</v>
      </c>
      <c r="G46" s="45"/>
      <c r="H46" s="75">
        <v>0</v>
      </c>
      <c r="I46" s="43"/>
      <c r="J46" s="231"/>
      <c r="K46" s="231"/>
      <c r="L46" s="231"/>
      <c r="M46" s="231"/>
      <c r="N46" s="231"/>
      <c r="O46" s="231"/>
      <c r="P46" s="231"/>
      <c r="Q46" s="231"/>
      <c r="R46" s="231"/>
      <c r="S46" s="231"/>
      <c r="T46" s="231"/>
      <c r="U46" s="231"/>
      <c r="V46" s="231"/>
      <c r="W46" s="231"/>
      <c r="X46" s="231"/>
      <c r="Y46" s="231"/>
      <c r="Z46" s="231"/>
      <c r="AA46" s="231"/>
      <c r="AB46" s="231"/>
      <c r="AC46" s="231"/>
      <c r="AD46" s="231"/>
      <c r="AE46" s="231"/>
      <c r="AF46" s="231"/>
      <c r="AG46" s="231"/>
      <c r="AH46" s="231"/>
      <c r="AI46" s="231"/>
    </row>
    <row r="47" spans="1:35" s="203" customFormat="1">
      <c r="A47" s="46">
        <v>5</v>
      </c>
      <c r="B47" s="47" t="s">
        <v>69</v>
      </c>
      <c r="C47" s="47"/>
      <c r="D47" s="48"/>
      <c r="E47" s="49">
        <v>20921</v>
      </c>
      <c r="F47" s="52">
        <v>19340</v>
      </c>
      <c r="G47" s="45"/>
      <c r="H47" s="76">
        <v>49159</v>
      </c>
      <c r="I47" s="43"/>
      <c r="J47" s="231"/>
      <c r="K47" s="231"/>
      <c r="L47" s="231"/>
      <c r="M47" s="231"/>
      <c r="N47" s="231"/>
      <c r="O47" s="231"/>
      <c r="P47" s="231"/>
      <c r="Q47" s="231"/>
      <c r="R47" s="231"/>
      <c r="S47" s="231"/>
      <c r="T47" s="231"/>
      <c r="U47" s="231"/>
      <c r="V47" s="231"/>
      <c r="W47" s="231"/>
      <c r="X47" s="231"/>
      <c r="Y47" s="231"/>
      <c r="Z47" s="231"/>
      <c r="AA47" s="231"/>
      <c r="AB47" s="231"/>
      <c r="AC47" s="231"/>
      <c r="AD47" s="231"/>
      <c r="AE47" s="231"/>
      <c r="AF47" s="231"/>
      <c r="AG47" s="231"/>
      <c r="AH47" s="231"/>
      <c r="AI47" s="231"/>
    </row>
    <row r="48" spans="1:35" s="203" customFormat="1">
      <c r="A48" s="46">
        <v>6</v>
      </c>
      <c r="B48" s="90" t="s">
        <v>253</v>
      </c>
      <c r="C48" s="47"/>
      <c r="D48" s="195"/>
      <c r="E48" s="49">
        <v>256388</v>
      </c>
      <c r="F48" s="52">
        <v>257388</v>
      </c>
      <c r="G48" s="45"/>
      <c r="H48" s="52">
        <v>267329</v>
      </c>
      <c r="I48" s="43"/>
      <c r="J48" s="231"/>
      <c r="K48" s="231"/>
      <c r="L48" s="231"/>
      <c r="M48" s="231"/>
      <c r="N48" s="231"/>
      <c r="O48" s="231"/>
      <c r="P48" s="231"/>
      <c r="Q48" s="231"/>
      <c r="R48" s="231"/>
      <c r="S48" s="231"/>
      <c r="T48" s="231"/>
      <c r="U48" s="231"/>
      <c r="V48" s="231"/>
      <c r="W48" s="231"/>
      <c r="X48" s="231"/>
      <c r="Y48" s="231"/>
      <c r="Z48" s="231"/>
      <c r="AA48" s="231"/>
      <c r="AB48" s="231"/>
      <c r="AC48" s="231"/>
      <c r="AD48" s="231"/>
      <c r="AE48" s="231"/>
      <c r="AF48" s="231"/>
      <c r="AG48" s="231"/>
      <c r="AH48" s="231"/>
      <c r="AI48" s="231"/>
    </row>
    <row r="49" spans="1:35" s="203" customFormat="1">
      <c r="A49" s="77">
        <v>7</v>
      </c>
      <c r="B49" s="78" t="s">
        <v>71</v>
      </c>
      <c r="C49" s="58"/>
      <c r="D49" s="79"/>
      <c r="E49" s="80">
        <v>980237</v>
      </c>
      <c r="F49" s="81">
        <f>SUM(F43:F48)</f>
        <v>978130</v>
      </c>
      <c r="G49" s="82"/>
      <c r="H49" s="62">
        <f>SUM(H43:H48)</f>
        <v>1020417</v>
      </c>
      <c r="I49" s="242"/>
      <c r="J49" s="231"/>
      <c r="K49" s="231"/>
      <c r="L49" s="231"/>
      <c r="M49" s="231"/>
      <c r="N49" s="231"/>
      <c r="O49" s="231"/>
      <c r="P49" s="231"/>
      <c r="Q49" s="231"/>
      <c r="R49" s="231"/>
      <c r="S49" s="231"/>
      <c r="T49" s="231"/>
      <c r="U49" s="231"/>
      <c r="V49" s="231"/>
      <c r="W49" s="231"/>
      <c r="X49" s="231"/>
      <c r="Y49" s="231"/>
      <c r="Z49" s="231"/>
      <c r="AA49" s="231"/>
      <c r="AB49" s="231"/>
      <c r="AC49" s="231"/>
      <c r="AD49" s="231"/>
      <c r="AE49" s="231"/>
      <c r="AF49" s="231"/>
      <c r="AG49" s="231"/>
      <c r="AH49" s="231"/>
      <c r="AI49" s="231"/>
    </row>
    <row r="50" spans="1:35" s="203" customFormat="1">
      <c r="A50" s="83"/>
      <c r="B50" s="244"/>
      <c r="C50" s="244"/>
      <c r="D50" s="244"/>
      <c r="E50" s="85"/>
      <c r="F50" s="244"/>
      <c r="G50" s="86"/>
      <c r="H50" s="86"/>
      <c r="I50" s="21"/>
      <c r="J50" s="231"/>
      <c r="K50" s="231"/>
      <c r="L50" s="231"/>
      <c r="M50" s="231"/>
      <c r="N50" s="231"/>
      <c r="O50" s="231"/>
      <c r="P50" s="231"/>
      <c r="Q50" s="231"/>
      <c r="R50" s="231"/>
      <c r="S50" s="231"/>
      <c r="T50" s="231"/>
      <c r="U50" s="231"/>
      <c r="V50" s="231"/>
      <c r="W50" s="231"/>
      <c r="X50" s="231"/>
      <c r="Y50" s="231"/>
      <c r="Z50" s="231"/>
      <c r="AA50" s="231"/>
      <c r="AB50" s="231"/>
      <c r="AC50" s="231"/>
      <c r="AD50" s="231"/>
      <c r="AE50" s="231"/>
      <c r="AF50" s="231"/>
      <c r="AG50" s="231"/>
      <c r="AH50" s="231"/>
      <c r="AI50" s="231"/>
    </row>
    <row r="51" spans="1:35" s="203" customFormat="1">
      <c r="A51" s="808" t="s">
        <v>72</v>
      </c>
      <c r="B51" s="196" t="s">
        <v>254</v>
      </c>
      <c r="C51" s="69"/>
      <c r="D51" s="70"/>
      <c r="E51" s="87"/>
      <c r="F51" s="88"/>
      <c r="G51" s="45"/>
      <c r="H51" s="89"/>
      <c r="I51" s="43"/>
      <c r="J51" s="231"/>
      <c r="K51" s="231"/>
      <c r="L51" s="231"/>
      <c r="M51" s="231"/>
      <c r="N51" s="231"/>
      <c r="O51" s="231"/>
      <c r="P51" s="231"/>
      <c r="Q51" s="231"/>
      <c r="R51" s="231"/>
      <c r="S51" s="231"/>
      <c r="T51" s="231"/>
      <c r="U51" s="231"/>
      <c r="V51" s="231"/>
      <c r="W51" s="231"/>
      <c r="X51" s="231"/>
      <c r="Y51" s="231"/>
      <c r="Z51" s="231"/>
      <c r="AA51" s="231"/>
      <c r="AB51" s="231"/>
      <c r="AC51" s="231"/>
      <c r="AD51" s="231"/>
      <c r="AE51" s="231"/>
      <c r="AF51" s="231"/>
      <c r="AG51" s="231"/>
      <c r="AH51" s="231"/>
      <c r="AI51" s="231"/>
    </row>
    <row r="52" spans="1:35" s="203" customFormat="1">
      <c r="A52" s="46">
        <v>8</v>
      </c>
      <c r="B52" s="90" t="s">
        <v>73</v>
      </c>
      <c r="C52" s="47"/>
      <c r="D52" s="48"/>
      <c r="E52" s="74">
        <v>986389</v>
      </c>
      <c r="F52" s="50">
        <f>F38</f>
        <v>983551</v>
      </c>
      <c r="G52" s="45"/>
      <c r="H52" s="91">
        <f>H38</f>
        <v>1016784</v>
      </c>
      <c r="I52" s="43"/>
      <c r="J52" s="231"/>
      <c r="K52" s="231"/>
      <c r="L52" s="231"/>
      <c r="M52" s="231"/>
      <c r="N52" s="231"/>
      <c r="O52" s="231"/>
      <c r="P52" s="231"/>
      <c r="Q52" s="231"/>
      <c r="R52" s="231"/>
      <c r="S52" s="231"/>
      <c r="T52" s="231"/>
      <c r="U52" s="231"/>
      <c r="V52" s="231"/>
      <c r="W52" s="231"/>
      <c r="X52" s="231"/>
      <c r="Y52" s="231"/>
      <c r="Z52" s="231"/>
      <c r="AA52" s="231"/>
      <c r="AB52" s="231"/>
      <c r="AC52" s="231"/>
      <c r="AD52" s="231"/>
      <c r="AE52" s="231"/>
      <c r="AF52" s="231"/>
      <c r="AG52" s="231"/>
      <c r="AH52" s="231"/>
      <c r="AI52" s="231"/>
    </row>
    <row r="53" spans="1:35" s="203" customFormat="1">
      <c r="A53" s="46">
        <v>9</v>
      </c>
      <c r="B53" s="90" t="s">
        <v>74</v>
      </c>
      <c r="C53" s="47"/>
      <c r="D53" s="48"/>
      <c r="E53" s="49">
        <v>980237</v>
      </c>
      <c r="F53" s="92">
        <f>F49</f>
        <v>978130</v>
      </c>
      <c r="G53" s="45"/>
      <c r="H53" s="91">
        <f>H49</f>
        <v>1020417</v>
      </c>
      <c r="I53" s="43"/>
      <c r="J53" s="231"/>
      <c r="K53" s="231"/>
      <c r="L53" s="231"/>
      <c r="M53" s="231"/>
      <c r="N53" s="231"/>
      <c r="O53" s="231"/>
      <c r="P53" s="231"/>
      <c r="Q53" s="231"/>
      <c r="R53" s="231"/>
      <c r="S53" s="231"/>
      <c r="T53" s="231"/>
      <c r="U53" s="231"/>
      <c r="V53" s="231"/>
      <c r="W53" s="231"/>
      <c r="X53" s="231"/>
      <c r="Y53" s="231"/>
      <c r="Z53" s="231"/>
      <c r="AA53" s="231"/>
      <c r="AB53" s="231"/>
      <c r="AC53" s="231"/>
      <c r="AD53" s="231"/>
      <c r="AE53" s="231"/>
      <c r="AF53" s="231"/>
      <c r="AG53" s="231"/>
      <c r="AH53" s="231"/>
      <c r="AI53" s="231"/>
    </row>
    <row r="54" spans="1:35" s="203" customFormat="1">
      <c r="A54" s="810">
        <v>10</v>
      </c>
      <c r="B54" s="93" t="s">
        <v>255</v>
      </c>
      <c r="C54" s="94"/>
      <c r="D54" s="55"/>
      <c r="E54" s="95">
        <v>-6152</v>
      </c>
      <c r="F54" s="96">
        <f>F53-F52</f>
        <v>-5421</v>
      </c>
      <c r="G54" s="45"/>
      <c r="H54" s="97">
        <f>H53-H52</f>
        <v>3633</v>
      </c>
      <c r="I54" s="43"/>
      <c r="J54" s="231"/>
      <c r="K54" s="231"/>
      <c r="L54" s="231"/>
      <c r="M54" s="231"/>
      <c r="N54" s="231"/>
      <c r="O54" s="231"/>
      <c r="P54" s="231"/>
      <c r="Q54" s="231"/>
      <c r="R54" s="231"/>
      <c r="S54" s="231"/>
      <c r="T54" s="231"/>
      <c r="U54" s="231"/>
      <c r="V54" s="231"/>
      <c r="W54" s="231"/>
      <c r="X54" s="231"/>
      <c r="Y54" s="231"/>
      <c r="Z54" s="231"/>
      <c r="AA54" s="231"/>
      <c r="AB54" s="231"/>
      <c r="AC54" s="231"/>
      <c r="AD54" s="231"/>
      <c r="AE54" s="231"/>
      <c r="AF54" s="231"/>
      <c r="AG54" s="231"/>
      <c r="AH54" s="231"/>
      <c r="AI54" s="231"/>
    </row>
    <row r="55" spans="1:35" s="203" customFormat="1">
      <c r="A55" s="83"/>
      <c r="B55" s="244"/>
      <c r="C55" s="244"/>
      <c r="D55" s="244"/>
      <c r="E55" s="85"/>
      <c r="F55" s="244"/>
      <c r="G55" s="86"/>
      <c r="H55" s="86"/>
      <c r="I55" s="21"/>
      <c r="J55" s="231"/>
      <c r="K55" s="231"/>
      <c r="L55" s="231"/>
      <c r="M55" s="231"/>
      <c r="N55" s="231"/>
      <c r="O55" s="231"/>
      <c r="P55" s="231"/>
      <c r="Q55" s="231"/>
      <c r="R55" s="231"/>
      <c r="S55" s="231"/>
      <c r="T55" s="231"/>
      <c r="U55" s="231"/>
      <c r="V55" s="231"/>
      <c r="W55" s="231"/>
      <c r="X55" s="231"/>
      <c r="Y55" s="231"/>
      <c r="Z55" s="231"/>
      <c r="AA55" s="231"/>
      <c r="AB55" s="231"/>
      <c r="AC55" s="231"/>
      <c r="AD55" s="231"/>
      <c r="AE55" s="231"/>
      <c r="AF55" s="231"/>
      <c r="AG55" s="231"/>
      <c r="AH55" s="231"/>
      <c r="AI55" s="231"/>
    </row>
    <row r="56" spans="1:35" s="203" customFormat="1">
      <c r="A56" s="808" t="s">
        <v>75</v>
      </c>
      <c r="B56" s="69" t="s">
        <v>256</v>
      </c>
      <c r="C56" s="69"/>
      <c r="D56" s="70"/>
      <c r="E56" s="87"/>
      <c r="F56" s="88"/>
      <c r="G56" s="45"/>
      <c r="H56" s="89"/>
      <c r="I56" s="43"/>
      <c r="J56" s="231"/>
      <c r="K56" s="231"/>
      <c r="L56" s="231"/>
      <c r="M56" s="231"/>
      <c r="N56" s="231"/>
      <c r="O56" s="231"/>
      <c r="P56" s="231"/>
      <c r="Q56" s="231"/>
      <c r="R56" s="231"/>
      <c r="S56" s="231"/>
      <c r="T56" s="231"/>
      <c r="U56" s="231"/>
      <c r="V56" s="231"/>
      <c r="W56" s="231"/>
      <c r="X56" s="231"/>
      <c r="Y56" s="231"/>
      <c r="Z56" s="231"/>
      <c r="AA56" s="231"/>
      <c r="AB56" s="231"/>
      <c r="AC56" s="231"/>
      <c r="AD56" s="231"/>
      <c r="AE56" s="231"/>
      <c r="AF56" s="231"/>
      <c r="AG56" s="231"/>
      <c r="AH56" s="231"/>
      <c r="AI56" s="231"/>
    </row>
    <row r="57" spans="1:35" s="203" customFormat="1">
      <c r="A57" s="46">
        <v>11</v>
      </c>
      <c r="B57" s="47" t="s">
        <v>76</v>
      </c>
      <c r="C57" s="47"/>
      <c r="D57" s="48"/>
      <c r="E57" s="74">
        <v>138356</v>
      </c>
      <c r="F57" s="52">
        <v>151285</v>
      </c>
      <c r="G57" s="45"/>
      <c r="H57" s="91">
        <f>F61</f>
        <v>145864</v>
      </c>
      <c r="I57" s="43"/>
      <c r="J57" s="231"/>
      <c r="K57" s="231"/>
      <c r="L57" s="231"/>
      <c r="M57" s="231"/>
      <c r="N57" s="231"/>
      <c r="O57" s="231"/>
      <c r="P57" s="231"/>
      <c r="Q57" s="231"/>
      <c r="R57" s="231"/>
      <c r="S57" s="231"/>
      <c r="T57" s="231"/>
      <c r="U57" s="231"/>
      <c r="V57" s="231"/>
      <c r="W57" s="231"/>
      <c r="X57" s="231"/>
      <c r="Y57" s="231"/>
      <c r="Z57" s="231"/>
      <c r="AA57" s="231"/>
      <c r="AB57" s="231"/>
      <c r="AC57" s="231"/>
      <c r="AD57" s="231"/>
      <c r="AE57" s="231"/>
      <c r="AF57" s="231"/>
      <c r="AG57" s="231"/>
      <c r="AH57" s="231"/>
      <c r="AI57" s="231"/>
    </row>
    <row r="58" spans="1:35" s="203" customFormat="1">
      <c r="A58" s="46">
        <v>12</v>
      </c>
      <c r="B58" s="90" t="s">
        <v>257</v>
      </c>
      <c r="C58" s="47"/>
      <c r="D58" s="48"/>
      <c r="E58" s="49">
        <v>-6152</v>
      </c>
      <c r="F58" s="92">
        <f>F54</f>
        <v>-5421</v>
      </c>
      <c r="G58" s="45"/>
      <c r="H58" s="98">
        <f>H54</f>
        <v>3633</v>
      </c>
      <c r="I58" s="43"/>
      <c r="J58" s="231"/>
      <c r="K58" s="231"/>
      <c r="L58" s="231"/>
      <c r="M58" s="231"/>
      <c r="N58" s="231"/>
      <c r="O58" s="231"/>
      <c r="P58" s="231"/>
      <c r="Q58" s="231"/>
      <c r="R58" s="231"/>
      <c r="S58" s="231"/>
      <c r="T58" s="231"/>
      <c r="U58" s="231"/>
      <c r="V58" s="231"/>
      <c r="W58" s="231"/>
      <c r="X58" s="231"/>
      <c r="Y58" s="231"/>
      <c r="Z58" s="231"/>
      <c r="AA58" s="231"/>
      <c r="AB58" s="231"/>
      <c r="AC58" s="231"/>
      <c r="AD58" s="231"/>
      <c r="AE58" s="231"/>
      <c r="AF58" s="231"/>
      <c r="AG58" s="231"/>
      <c r="AH58" s="231"/>
      <c r="AI58" s="231"/>
    </row>
    <row r="59" spans="1:35" s="203" customFormat="1">
      <c r="A59" s="46">
        <v>13</v>
      </c>
      <c r="B59" s="47" t="s">
        <v>77</v>
      </c>
      <c r="C59" s="47"/>
      <c r="D59" s="48"/>
      <c r="E59" s="49">
        <v>0</v>
      </c>
      <c r="F59" s="52">
        <v>0</v>
      </c>
      <c r="G59" s="45"/>
      <c r="H59" s="99">
        <v>0</v>
      </c>
      <c r="I59" s="43"/>
      <c r="J59" s="231"/>
      <c r="K59" s="231"/>
      <c r="L59" s="231"/>
      <c r="M59" s="231"/>
      <c r="N59" s="231"/>
      <c r="O59" s="231"/>
      <c r="P59" s="231"/>
      <c r="Q59" s="231"/>
      <c r="R59" s="231"/>
      <c r="S59" s="231"/>
      <c r="T59" s="231"/>
      <c r="U59" s="231"/>
      <c r="V59" s="231"/>
      <c r="W59" s="231"/>
      <c r="X59" s="231"/>
      <c r="Y59" s="231"/>
      <c r="Z59" s="231"/>
      <c r="AA59" s="231"/>
      <c r="AB59" s="231"/>
      <c r="AC59" s="231"/>
      <c r="AD59" s="231"/>
      <c r="AE59" s="231"/>
      <c r="AF59" s="231"/>
      <c r="AG59" s="231"/>
      <c r="AH59" s="231"/>
      <c r="AI59" s="231"/>
    </row>
    <row r="60" spans="1:35" s="203" customFormat="1">
      <c r="A60" s="46">
        <v>14</v>
      </c>
      <c r="B60" s="47" t="s">
        <v>78</v>
      </c>
      <c r="C60" s="47"/>
      <c r="D60" s="48"/>
      <c r="E60" s="49">
        <v>0</v>
      </c>
      <c r="F60" s="52">
        <v>0</v>
      </c>
      <c r="G60" s="45"/>
      <c r="H60" s="100">
        <v>0</v>
      </c>
      <c r="I60" s="43"/>
      <c r="J60" s="231"/>
      <c r="K60" s="231"/>
      <c r="L60" s="231"/>
      <c r="M60" s="231"/>
      <c r="N60" s="231"/>
      <c r="O60" s="231"/>
      <c r="P60" s="231"/>
      <c r="Q60" s="231"/>
      <c r="R60" s="231"/>
      <c r="S60" s="231"/>
      <c r="T60" s="231"/>
      <c r="U60" s="231"/>
      <c r="V60" s="231"/>
      <c r="W60" s="231"/>
      <c r="X60" s="231"/>
      <c r="Y60" s="231"/>
      <c r="Z60" s="231"/>
      <c r="AA60" s="231"/>
      <c r="AB60" s="231"/>
      <c r="AC60" s="231"/>
      <c r="AD60" s="231"/>
      <c r="AE60" s="231"/>
      <c r="AF60" s="231"/>
      <c r="AG60" s="231"/>
      <c r="AH60" s="231"/>
      <c r="AI60" s="231"/>
    </row>
    <row r="61" spans="1:35" s="203" customFormat="1">
      <c r="A61" s="53">
        <v>15</v>
      </c>
      <c r="B61" s="54" t="s">
        <v>79</v>
      </c>
      <c r="C61" s="54"/>
      <c r="D61" s="55"/>
      <c r="E61" s="56">
        <v>132204</v>
      </c>
      <c r="F61" s="96">
        <f>F57+F58+F59+F60</f>
        <v>145864</v>
      </c>
      <c r="G61" s="45"/>
      <c r="H61" s="101">
        <f>H57+H58+H59+H60</f>
        <v>149497</v>
      </c>
      <c r="I61" s="43"/>
      <c r="J61" s="231"/>
      <c r="K61" s="231"/>
      <c r="L61" s="231"/>
      <c r="M61" s="231"/>
      <c r="N61" s="231"/>
      <c r="O61" s="231"/>
      <c r="P61" s="231"/>
      <c r="Q61" s="231"/>
      <c r="R61" s="231"/>
      <c r="S61" s="231"/>
      <c r="T61" s="231"/>
      <c r="U61" s="231"/>
      <c r="V61" s="231"/>
      <c r="W61" s="231"/>
      <c r="X61" s="231"/>
      <c r="Y61" s="231"/>
      <c r="Z61" s="231"/>
      <c r="AA61" s="231"/>
      <c r="AB61" s="231"/>
      <c r="AC61" s="231"/>
      <c r="AD61" s="231"/>
      <c r="AE61" s="231"/>
      <c r="AF61" s="231"/>
      <c r="AG61" s="231"/>
      <c r="AH61" s="231"/>
      <c r="AI61" s="231"/>
    </row>
    <row r="62" spans="1:35" s="203" customFormat="1">
      <c r="A62" s="102"/>
      <c r="B62" s="207"/>
      <c r="C62" s="207"/>
      <c r="D62" s="207"/>
      <c r="E62" s="103"/>
      <c r="F62" s="21"/>
      <c r="G62" s="21"/>
      <c r="H62" s="21"/>
      <c r="I62" s="21"/>
      <c r="J62" s="231"/>
      <c r="K62" s="231"/>
      <c r="L62" s="231"/>
      <c r="M62" s="231"/>
      <c r="N62" s="231"/>
      <c r="O62" s="231"/>
      <c r="P62" s="231"/>
      <c r="Q62" s="231"/>
      <c r="R62" s="231"/>
      <c r="S62" s="231"/>
      <c r="T62" s="231"/>
      <c r="U62" s="231"/>
      <c r="V62" s="231"/>
      <c r="W62" s="231"/>
      <c r="X62" s="231"/>
      <c r="Y62" s="231"/>
      <c r="Z62" s="231"/>
      <c r="AA62" s="231"/>
      <c r="AB62" s="231"/>
      <c r="AC62" s="231"/>
      <c r="AD62" s="231"/>
      <c r="AE62" s="231"/>
      <c r="AF62" s="231"/>
      <c r="AG62" s="231"/>
      <c r="AH62" s="231"/>
      <c r="AI62" s="231"/>
    </row>
    <row r="63" spans="1:35" s="203" customFormat="1" ht="12.75" customHeight="1">
      <c r="A63" s="23"/>
      <c r="B63" s="207"/>
      <c r="C63" s="207"/>
      <c r="D63" s="207"/>
      <c r="E63" s="15"/>
      <c r="F63" s="207"/>
      <c r="G63" s="207"/>
      <c r="H63" s="21"/>
      <c r="I63" s="21"/>
      <c r="J63" s="231"/>
      <c r="K63" s="231"/>
      <c r="L63" s="231"/>
      <c r="M63" s="231"/>
      <c r="N63" s="231"/>
      <c r="O63" s="231"/>
      <c r="P63" s="231"/>
      <c r="Q63" s="231"/>
      <c r="R63" s="231"/>
      <c r="S63" s="231"/>
      <c r="T63" s="231"/>
      <c r="U63" s="231"/>
      <c r="V63" s="231"/>
      <c r="W63" s="231"/>
      <c r="X63" s="231"/>
      <c r="Y63" s="231"/>
      <c r="Z63" s="231"/>
      <c r="AA63" s="231"/>
      <c r="AB63" s="231"/>
      <c r="AC63" s="231"/>
      <c r="AD63" s="231"/>
      <c r="AE63" s="231"/>
      <c r="AF63" s="231"/>
      <c r="AG63" s="231"/>
      <c r="AH63" s="231"/>
      <c r="AI63" s="231"/>
    </row>
    <row r="64" spans="1:35" s="203" customFormat="1" ht="15">
      <c r="A64" s="104" t="s">
        <v>80</v>
      </c>
      <c r="B64" s="29"/>
      <c r="C64" s="29"/>
      <c r="D64" s="29"/>
      <c r="E64" s="15"/>
      <c r="F64" s="29"/>
      <c r="G64" s="29"/>
      <c r="H64" s="29"/>
      <c r="I64" s="29"/>
      <c r="J64" s="231"/>
      <c r="K64" s="231"/>
      <c r="L64" s="231"/>
      <c r="M64" s="231"/>
      <c r="N64" s="231"/>
      <c r="O64" s="231"/>
      <c r="P64" s="231"/>
      <c r="Q64" s="231"/>
      <c r="R64" s="231"/>
      <c r="S64" s="231"/>
      <c r="T64" s="231"/>
      <c r="U64" s="231"/>
      <c r="V64" s="231"/>
      <c r="W64" s="231"/>
      <c r="X64" s="231"/>
      <c r="Y64" s="231"/>
      <c r="Z64" s="231"/>
      <c r="AA64" s="231"/>
      <c r="AB64" s="231"/>
      <c r="AC64" s="231"/>
      <c r="AD64" s="231"/>
      <c r="AE64" s="231"/>
      <c r="AF64" s="231"/>
      <c r="AG64" s="231"/>
      <c r="AH64" s="231"/>
      <c r="AI64" s="231"/>
    </row>
    <row r="65" spans="1:35" s="203" customFormat="1">
      <c r="A65" s="32"/>
      <c r="B65" s="29"/>
      <c r="C65" s="29"/>
      <c r="D65" s="29"/>
      <c r="E65" s="105"/>
      <c r="F65" s="29"/>
      <c r="G65" s="29"/>
      <c r="H65" s="29"/>
      <c r="I65" s="131" t="s">
        <v>27</v>
      </c>
      <c r="J65" s="231"/>
      <c r="K65" s="231"/>
      <c r="L65" s="231"/>
      <c r="M65" s="231"/>
      <c r="N65" s="231"/>
      <c r="O65" s="231"/>
      <c r="P65" s="231"/>
      <c r="Q65" s="231"/>
      <c r="R65" s="231"/>
      <c r="S65" s="231"/>
      <c r="T65" s="231"/>
      <c r="U65" s="231"/>
      <c r="V65" s="231"/>
      <c r="W65" s="231"/>
      <c r="X65" s="231"/>
      <c r="Y65" s="231"/>
      <c r="Z65" s="231"/>
      <c r="AA65" s="231"/>
      <c r="AB65" s="231"/>
      <c r="AC65" s="231"/>
      <c r="AD65" s="231"/>
      <c r="AE65" s="231"/>
      <c r="AF65" s="231"/>
      <c r="AG65" s="231"/>
      <c r="AH65" s="231"/>
      <c r="AI65" s="231"/>
    </row>
    <row r="66" spans="1:35" s="203" customFormat="1">
      <c r="A66" s="106" t="s">
        <v>14</v>
      </c>
      <c r="B66" s="107"/>
      <c r="C66" s="107"/>
      <c r="D66" s="107"/>
      <c r="E66" s="856" t="s">
        <v>377</v>
      </c>
      <c r="F66" s="962" t="s">
        <v>402</v>
      </c>
      <c r="G66" s="867" t="s">
        <v>81</v>
      </c>
      <c r="H66" s="962" t="s">
        <v>403</v>
      </c>
      <c r="I66" s="867" t="s">
        <v>81</v>
      </c>
      <c r="J66" s="231"/>
      <c r="K66" s="231"/>
      <c r="L66" s="231"/>
      <c r="M66" s="231"/>
      <c r="N66" s="231"/>
      <c r="O66" s="231"/>
      <c r="P66" s="231"/>
      <c r="Q66" s="231"/>
      <c r="R66" s="231"/>
      <c r="S66" s="231"/>
      <c r="T66" s="231"/>
      <c r="U66" s="231"/>
      <c r="V66" s="231"/>
      <c r="W66" s="231"/>
      <c r="X66" s="231"/>
      <c r="Y66" s="231"/>
      <c r="Z66" s="231"/>
      <c r="AA66" s="231"/>
      <c r="AB66" s="231"/>
      <c r="AC66" s="231"/>
      <c r="AD66" s="231"/>
      <c r="AE66" s="231"/>
      <c r="AF66" s="231"/>
      <c r="AG66" s="231"/>
      <c r="AH66" s="231"/>
      <c r="AI66" s="231"/>
    </row>
    <row r="67" spans="1:35" s="203" customFormat="1" ht="21" customHeight="1">
      <c r="A67" s="108"/>
      <c r="B67" s="47"/>
      <c r="C67" s="47"/>
      <c r="D67" s="47"/>
      <c r="E67" s="859"/>
      <c r="F67" s="963"/>
      <c r="G67" s="868"/>
      <c r="H67" s="963"/>
      <c r="I67" s="868"/>
      <c r="J67" s="231"/>
      <c r="K67" s="231"/>
      <c r="L67" s="231"/>
      <c r="M67" s="231"/>
      <c r="N67" s="231"/>
      <c r="O67" s="231"/>
      <c r="P67" s="231"/>
      <c r="Q67" s="231"/>
      <c r="R67" s="231"/>
      <c r="S67" s="231"/>
      <c r="T67" s="231"/>
      <c r="U67" s="231"/>
      <c r="V67" s="231"/>
      <c r="W67" s="231"/>
      <c r="X67" s="231"/>
      <c r="Y67" s="231"/>
      <c r="Z67" s="231"/>
      <c r="AA67" s="231"/>
      <c r="AB67" s="231"/>
      <c r="AC67" s="231"/>
      <c r="AD67" s="231"/>
      <c r="AE67" s="231"/>
      <c r="AF67" s="231"/>
      <c r="AG67" s="231"/>
      <c r="AH67" s="231"/>
      <c r="AI67" s="231"/>
    </row>
    <row r="68" spans="1:35" s="203" customFormat="1">
      <c r="A68" s="109" t="s">
        <v>82</v>
      </c>
      <c r="B68" s="47"/>
      <c r="C68" s="47"/>
      <c r="D68" s="47"/>
      <c r="E68" s="859"/>
      <c r="F68" s="963"/>
      <c r="G68" s="868"/>
      <c r="H68" s="963"/>
      <c r="I68" s="868"/>
      <c r="J68" s="231"/>
      <c r="K68" s="231"/>
      <c r="L68" s="231"/>
      <c r="M68" s="231"/>
      <c r="N68" s="231"/>
      <c r="O68" s="231"/>
      <c r="P68" s="231"/>
      <c r="Q68" s="231"/>
      <c r="R68" s="231"/>
      <c r="S68" s="231"/>
      <c r="T68" s="231"/>
      <c r="U68" s="231"/>
      <c r="V68" s="231"/>
      <c r="W68" s="231"/>
      <c r="X68" s="231"/>
      <c r="Y68" s="231"/>
      <c r="Z68" s="231"/>
      <c r="AA68" s="231"/>
      <c r="AB68" s="231"/>
      <c r="AC68" s="231"/>
      <c r="AD68" s="231"/>
      <c r="AE68" s="231"/>
      <c r="AF68" s="231"/>
      <c r="AG68" s="231"/>
      <c r="AH68" s="231"/>
      <c r="AI68" s="231"/>
    </row>
    <row r="69" spans="1:35" s="203" customFormat="1">
      <c r="A69" s="109" t="s">
        <v>83</v>
      </c>
      <c r="B69" s="47"/>
      <c r="C69" s="47"/>
      <c r="D69" s="47"/>
      <c r="E69" s="859"/>
      <c r="F69" s="963"/>
      <c r="G69" s="868"/>
      <c r="H69" s="963"/>
      <c r="I69" s="868"/>
      <c r="J69" s="231"/>
      <c r="K69" s="231"/>
      <c r="L69" s="231"/>
      <c r="M69" s="231"/>
      <c r="N69" s="231"/>
      <c r="O69" s="231"/>
      <c r="P69" s="231"/>
      <c r="Q69" s="231"/>
      <c r="R69" s="231"/>
      <c r="S69" s="231"/>
      <c r="T69" s="231"/>
      <c r="U69" s="231"/>
      <c r="V69" s="231"/>
      <c r="W69" s="231"/>
      <c r="X69" s="231"/>
      <c r="Y69" s="231"/>
      <c r="Z69" s="231"/>
      <c r="AA69" s="231"/>
      <c r="AB69" s="231"/>
      <c r="AC69" s="231"/>
      <c r="AD69" s="231"/>
      <c r="AE69" s="231"/>
      <c r="AF69" s="231"/>
      <c r="AG69" s="231"/>
      <c r="AH69" s="231"/>
      <c r="AI69" s="231"/>
    </row>
    <row r="70" spans="1:35" s="203" customFormat="1">
      <c r="A70" s="110" t="s">
        <v>84</v>
      </c>
      <c r="B70" s="47"/>
      <c r="C70" s="47"/>
      <c r="D70" s="47"/>
      <c r="E70" s="860"/>
      <c r="F70" s="964"/>
      <c r="G70" s="869"/>
      <c r="H70" s="964"/>
      <c r="I70" s="869"/>
      <c r="J70" s="231"/>
      <c r="K70" s="231"/>
      <c r="L70" s="231"/>
      <c r="M70" s="231"/>
      <c r="N70" s="231"/>
      <c r="O70" s="231"/>
      <c r="P70" s="231"/>
      <c r="Q70" s="231"/>
      <c r="R70" s="231"/>
      <c r="S70" s="231"/>
      <c r="T70" s="231"/>
      <c r="U70" s="231"/>
      <c r="V70" s="231"/>
      <c r="W70" s="231"/>
      <c r="X70" s="231"/>
      <c r="Y70" s="231"/>
      <c r="Z70" s="231"/>
      <c r="AA70" s="231"/>
      <c r="AB70" s="231"/>
      <c r="AC70" s="231"/>
      <c r="AD70" s="231"/>
      <c r="AE70" s="231"/>
      <c r="AF70" s="231"/>
      <c r="AG70" s="231"/>
      <c r="AH70" s="231"/>
      <c r="AI70" s="231"/>
    </row>
    <row r="71" spans="1:35" s="203" customFormat="1">
      <c r="A71" s="111">
        <v>1</v>
      </c>
      <c r="B71" s="47" t="s">
        <v>85</v>
      </c>
      <c r="C71" s="47"/>
      <c r="D71" s="47"/>
      <c r="E71" s="41">
        <v>31166</v>
      </c>
      <c r="F71" s="247">
        <v>34408</v>
      </c>
      <c r="G71" s="112">
        <v>11867</v>
      </c>
      <c r="H71" s="248">
        <v>54451</v>
      </c>
      <c r="I71" s="112">
        <v>11417</v>
      </c>
      <c r="J71" s="231"/>
      <c r="K71" s="231"/>
      <c r="L71" s="231"/>
      <c r="M71" s="231"/>
      <c r="N71" s="231"/>
      <c r="O71" s="231"/>
      <c r="P71" s="231"/>
      <c r="Q71" s="231"/>
      <c r="R71" s="231"/>
      <c r="S71" s="231"/>
      <c r="T71" s="231"/>
      <c r="U71" s="231"/>
      <c r="V71" s="231"/>
      <c r="W71" s="231"/>
      <c r="X71" s="231"/>
      <c r="Y71" s="231"/>
      <c r="Z71" s="231"/>
      <c r="AA71" s="231"/>
      <c r="AB71" s="231"/>
      <c r="AC71" s="231"/>
      <c r="AD71" s="231"/>
      <c r="AE71" s="231"/>
      <c r="AF71" s="231"/>
      <c r="AG71" s="231"/>
      <c r="AH71" s="231"/>
      <c r="AI71" s="231"/>
    </row>
    <row r="72" spans="1:35" s="203" customFormat="1">
      <c r="A72" s="111">
        <v>2</v>
      </c>
      <c r="B72" s="47" t="s">
        <v>86</v>
      </c>
      <c r="C72" s="47"/>
      <c r="D72" s="47"/>
      <c r="E72" s="49">
        <v>135285</v>
      </c>
      <c r="F72" s="247">
        <v>138027</v>
      </c>
      <c r="G72" s="113">
        <v>89634</v>
      </c>
      <c r="H72" s="123">
        <v>143499</v>
      </c>
      <c r="I72" s="113">
        <v>96661</v>
      </c>
      <c r="J72" s="231"/>
      <c r="K72" s="231"/>
      <c r="L72" s="231"/>
      <c r="M72" s="231"/>
      <c r="N72" s="231"/>
      <c r="O72" s="231"/>
      <c r="P72" s="231"/>
      <c r="Q72" s="231"/>
      <c r="R72" s="231"/>
      <c r="S72" s="231"/>
      <c r="T72" s="231"/>
      <c r="U72" s="231"/>
      <c r="V72" s="231"/>
      <c r="W72" s="231"/>
      <c r="X72" s="231"/>
      <c r="Y72" s="231"/>
      <c r="Z72" s="231"/>
      <c r="AA72" s="231"/>
      <c r="AB72" s="231"/>
      <c r="AC72" s="231"/>
      <c r="AD72" s="231"/>
      <c r="AE72" s="231"/>
      <c r="AF72" s="231"/>
      <c r="AG72" s="231"/>
      <c r="AH72" s="231"/>
      <c r="AI72" s="231"/>
    </row>
    <row r="73" spans="1:35" s="203" customFormat="1">
      <c r="A73" s="111">
        <v>3</v>
      </c>
      <c r="B73" s="47" t="s">
        <v>87</v>
      </c>
      <c r="C73" s="47"/>
      <c r="D73" s="47"/>
      <c r="E73" s="114">
        <v>120170</v>
      </c>
      <c r="F73" s="247">
        <v>124958</v>
      </c>
      <c r="G73" s="113">
        <v>83478</v>
      </c>
      <c r="H73" s="123">
        <v>129408</v>
      </c>
      <c r="I73" s="113">
        <v>88597</v>
      </c>
      <c r="J73" s="231"/>
      <c r="K73" s="231"/>
      <c r="L73" s="231"/>
      <c r="M73" s="231"/>
      <c r="N73" s="231"/>
      <c r="O73" s="231"/>
      <c r="P73" s="231"/>
      <c r="Q73" s="231"/>
      <c r="R73" s="231"/>
      <c r="S73" s="231"/>
      <c r="T73" s="231"/>
      <c r="U73" s="231"/>
      <c r="V73" s="231"/>
      <c r="W73" s="231"/>
      <c r="X73" s="231"/>
      <c r="Y73" s="231"/>
      <c r="Z73" s="231"/>
      <c r="AA73" s="231"/>
      <c r="AB73" s="231"/>
      <c r="AC73" s="231"/>
      <c r="AD73" s="231"/>
      <c r="AE73" s="231"/>
      <c r="AF73" s="231"/>
      <c r="AG73" s="231"/>
      <c r="AH73" s="231"/>
      <c r="AI73" s="231"/>
    </row>
    <row r="74" spans="1:35" s="203" customFormat="1">
      <c r="A74" s="111">
        <v>4</v>
      </c>
      <c r="B74" s="47" t="s">
        <v>88</v>
      </c>
      <c r="C74" s="47"/>
      <c r="D74" s="47"/>
      <c r="E74" s="114">
        <v>47883</v>
      </c>
      <c r="F74" s="247">
        <v>51851</v>
      </c>
      <c r="G74" s="113">
        <v>23317</v>
      </c>
      <c r="H74" s="123">
        <v>52005</v>
      </c>
      <c r="I74" s="113">
        <v>25491</v>
      </c>
      <c r="J74" s="231"/>
      <c r="K74" s="231"/>
      <c r="L74" s="231"/>
      <c r="M74" s="231"/>
      <c r="N74" s="231"/>
      <c r="O74" s="231"/>
      <c r="P74" s="231"/>
      <c r="Q74" s="231"/>
      <c r="R74" s="231"/>
      <c r="S74" s="231"/>
      <c r="T74" s="231"/>
      <c r="U74" s="231"/>
      <c r="V74" s="231"/>
      <c r="W74" s="231"/>
      <c r="X74" s="231"/>
      <c r="Y74" s="231"/>
      <c r="Z74" s="231"/>
      <c r="AA74" s="231"/>
      <c r="AB74" s="231"/>
      <c r="AC74" s="231"/>
      <c r="AD74" s="231"/>
      <c r="AE74" s="231"/>
      <c r="AF74" s="231"/>
      <c r="AG74" s="231"/>
      <c r="AH74" s="231"/>
      <c r="AI74" s="231"/>
    </row>
    <row r="75" spans="1:35" s="203" customFormat="1">
      <c r="A75" s="111">
        <v>5</v>
      </c>
      <c r="B75" s="47" t="s">
        <v>89</v>
      </c>
      <c r="C75" s="47" t="s">
        <v>90</v>
      </c>
      <c r="D75" s="47"/>
      <c r="E75" s="114">
        <v>12533</v>
      </c>
      <c r="F75" s="247">
        <v>10195</v>
      </c>
      <c r="G75" s="113">
        <v>429</v>
      </c>
      <c r="H75" s="123">
        <v>11677</v>
      </c>
      <c r="I75" s="113">
        <v>430</v>
      </c>
      <c r="J75" s="231"/>
      <c r="K75" s="231"/>
      <c r="L75" s="231"/>
      <c r="M75" s="231"/>
      <c r="N75" s="231"/>
      <c r="O75" s="231"/>
      <c r="P75" s="231"/>
      <c r="Q75" s="231"/>
      <c r="R75" s="231"/>
      <c r="S75" s="231"/>
      <c r="T75" s="231"/>
      <c r="U75" s="231"/>
      <c r="V75" s="231"/>
      <c r="W75" s="231"/>
      <c r="X75" s="231"/>
      <c r="Y75" s="231"/>
      <c r="Z75" s="231"/>
      <c r="AA75" s="231"/>
      <c r="AB75" s="231"/>
      <c r="AC75" s="231"/>
      <c r="AD75" s="231"/>
      <c r="AE75" s="231"/>
      <c r="AF75" s="231"/>
      <c r="AG75" s="231"/>
      <c r="AH75" s="231"/>
      <c r="AI75" s="231"/>
    </row>
    <row r="76" spans="1:35" s="203" customFormat="1">
      <c r="A76" s="809"/>
      <c r="B76" s="811"/>
      <c r="C76" s="47" t="s">
        <v>91</v>
      </c>
      <c r="D76" s="47"/>
      <c r="E76" s="114">
        <v>21</v>
      </c>
      <c r="F76" s="247">
        <v>460</v>
      </c>
      <c r="G76" s="115">
        <v>0</v>
      </c>
      <c r="H76" s="249">
        <v>699</v>
      </c>
      <c r="I76" s="115">
        <v>0</v>
      </c>
      <c r="J76" s="231"/>
      <c r="K76" s="231"/>
      <c r="L76" s="231"/>
      <c r="M76" s="231"/>
      <c r="N76" s="231"/>
      <c r="O76" s="231"/>
      <c r="P76" s="231"/>
      <c r="Q76" s="231"/>
      <c r="R76" s="231"/>
      <c r="S76" s="231"/>
      <c r="T76" s="231"/>
      <c r="U76" s="231"/>
      <c r="V76" s="231"/>
      <c r="W76" s="231"/>
      <c r="X76" s="231"/>
      <c r="Y76" s="231"/>
      <c r="Z76" s="231"/>
      <c r="AA76" s="231"/>
      <c r="AB76" s="231"/>
      <c r="AC76" s="231"/>
      <c r="AD76" s="231"/>
      <c r="AE76" s="231"/>
      <c r="AF76" s="231"/>
      <c r="AG76" s="231"/>
      <c r="AH76" s="231"/>
      <c r="AI76" s="231"/>
    </row>
    <row r="77" spans="1:35" s="203" customFormat="1">
      <c r="A77" s="111">
        <v>6</v>
      </c>
      <c r="B77" s="116" t="s">
        <v>92</v>
      </c>
      <c r="C77" s="116"/>
      <c r="D77" s="47"/>
      <c r="E77" s="80">
        <v>347058</v>
      </c>
      <c r="F77" s="250">
        <f>SUM(F71:F76)</f>
        <v>359899</v>
      </c>
      <c r="G77" s="251">
        <f>SUM(G71:G76)</f>
        <v>208725</v>
      </c>
      <c r="H77" s="252">
        <f>SUM(H71:H76)</f>
        <v>391739</v>
      </c>
      <c r="I77" s="251">
        <f>SUM(I71:I76)</f>
        <v>222596</v>
      </c>
      <c r="J77" s="231"/>
      <c r="K77" s="231"/>
      <c r="L77" s="231"/>
      <c r="M77" s="231"/>
      <c r="N77" s="231"/>
      <c r="O77" s="231"/>
      <c r="P77" s="231"/>
      <c r="Q77" s="231"/>
      <c r="R77" s="231"/>
      <c r="S77" s="231"/>
      <c r="T77" s="231"/>
      <c r="U77" s="231"/>
      <c r="V77" s="231"/>
      <c r="W77" s="231"/>
      <c r="X77" s="231"/>
      <c r="Y77" s="231"/>
      <c r="Z77" s="231"/>
      <c r="AA77" s="231"/>
      <c r="AB77" s="231"/>
      <c r="AC77" s="231"/>
      <c r="AD77" s="231"/>
      <c r="AE77" s="231"/>
      <c r="AF77" s="231"/>
      <c r="AG77" s="231"/>
      <c r="AH77" s="231"/>
      <c r="AI77" s="231"/>
    </row>
    <row r="78" spans="1:35" s="203" customFormat="1">
      <c r="A78" s="809"/>
      <c r="B78" s="47"/>
      <c r="C78" s="47"/>
      <c r="D78" s="47"/>
      <c r="E78" s="117"/>
      <c r="F78" s="118"/>
      <c r="G78" s="118"/>
      <c r="H78" s="118"/>
      <c r="I78" s="118"/>
      <c r="J78" s="231"/>
      <c r="K78" s="231"/>
      <c r="L78" s="231"/>
      <c r="M78" s="231"/>
      <c r="N78" s="231"/>
      <c r="O78" s="231"/>
      <c r="P78" s="231"/>
      <c r="Q78" s="231"/>
      <c r="R78" s="231"/>
      <c r="S78" s="231"/>
      <c r="T78" s="231"/>
      <c r="U78" s="231"/>
      <c r="V78" s="231"/>
      <c r="W78" s="231"/>
      <c r="X78" s="231"/>
      <c r="Y78" s="231"/>
      <c r="Z78" s="231"/>
      <c r="AA78" s="231"/>
      <c r="AB78" s="231"/>
      <c r="AC78" s="231"/>
      <c r="AD78" s="231"/>
      <c r="AE78" s="231"/>
      <c r="AF78" s="231"/>
      <c r="AG78" s="231"/>
      <c r="AH78" s="231"/>
      <c r="AI78" s="231"/>
    </row>
    <row r="79" spans="1:35" s="203" customFormat="1">
      <c r="A79" s="119" t="s">
        <v>93</v>
      </c>
      <c r="B79" s="116"/>
      <c r="C79" s="116"/>
      <c r="D79" s="116"/>
      <c r="E79" s="117"/>
      <c r="F79" s="118"/>
      <c r="G79" s="118"/>
      <c r="H79" s="118"/>
      <c r="I79" s="118"/>
      <c r="J79" s="231"/>
      <c r="K79" s="231"/>
      <c r="L79" s="231"/>
      <c r="M79" s="231"/>
      <c r="N79" s="231"/>
      <c r="O79" s="231"/>
      <c r="P79" s="231"/>
      <c r="Q79" s="231"/>
      <c r="R79" s="231"/>
      <c r="S79" s="231"/>
      <c r="T79" s="231"/>
      <c r="U79" s="231"/>
      <c r="V79" s="231"/>
      <c r="W79" s="231"/>
      <c r="X79" s="231"/>
      <c r="Y79" s="231"/>
      <c r="Z79" s="231"/>
      <c r="AA79" s="231"/>
      <c r="AB79" s="231"/>
      <c r="AC79" s="231"/>
      <c r="AD79" s="231"/>
      <c r="AE79" s="231"/>
      <c r="AF79" s="231"/>
      <c r="AG79" s="231"/>
      <c r="AH79" s="231"/>
      <c r="AI79" s="231"/>
    </row>
    <row r="80" spans="1:35" s="203" customFormat="1">
      <c r="A80" s="120">
        <v>7</v>
      </c>
      <c r="B80" s="47" t="s">
        <v>94</v>
      </c>
      <c r="C80" s="47"/>
      <c r="D80" s="47"/>
      <c r="E80" s="41">
        <v>4763</v>
      </c>
      <c r="F80" s="253">
        <v>4870</v>
      </c>
      <c r="G80" s="112">
        <v>3186</v>
      </c>
      <c r="H80" s="248">
        <v>5308</v>
      </c>
      <c r="I80" s="112">
        <v>3546</v>
      </c>
      <c r="J80" s="231"/>
      <c r="K80" s="231"/>
      <c r="L80" s="231"/>
      <c r="M80" s="231"/>
      <c r="N80" s="231"/>
      <c r="O80" s="231"/>
      <c r="P80" s="231"/>
      <c r="Q80" s="231"/>
      <c r="R80" s="231"/>
      <c r="S80" s="231"/>
      <c r="T80" s="231"/>
      <c r="U80" s="231"/>
      <c r="V80" s="231"/>
      <c r="W80" s="231"/>
      <c r="X80" s="231"/>
      <c r="Y80" s="231"/>
      <c r="Z80" s="231"/>
      <c r="AA80" s="231"/>
      <c r="AB80" s="231"/>
      <c r="AC80" s="231"/>
      <c r="AD80" s="231"/>
      <c r="AE80" s="231"/>
      <c r="AF80" s="231"/>
      <c r="AG80" s="231"/>
      <c r="AH80" s="231"/>
      <c r="AI80" s="231"/>
    </row>
    <row r="81" spans="1:35" s="203" customFormat="1">
      <c r="A81" s="120">
        <v>8</v>
      </c>
      <c r="B81" s="47" t="s">
        <v>95</v>
      </c>
      <c r="C81" s="47"/>
      <c r="D81" s="47"/>
      <c r="E81" s="49">
        <v>78104</v>
      </c>
      <c r="F81" s="247">
        <v>80344</v>
      </c>
      <c r="G81" s="113">
        <v>77907</v>
      </c>
      <c r="H81" s="123">
        <v>86870</v>
      </c>
      <c r="I81" s="113">
        <v>84649</v>
      </c>
      <c r="J81" s="231"/>
      <c r="K81" s="231"/>
      <c r="L81" s="231"/>
      <c r="M81" s="231"/>
      <c r="N81" s="231"/>
      <c r="O81" s="231"/>
      <c r="P81" s="231"/>
      <c r="Q81" s="231"/>
      <c r="R81" s="231"/>
      <c r="S81" s="231"/>
      <c r="T81" s="231"/>
      <c r="U81" s="231"/>
      <c r="V81" s="231"/>
      <c r="W81" s="231"/>
      <c r="X81" s="231"/>
      <c r="Y81" s="231"/>
      <c r="Z81" s="231"/>
      <c r="AA81" s="231"/>
      <c r="AB81" s="231"/>
      <c r="AC81" s="231"/>
      <c r="AD81" s="231"/>
      <c r="AE81" s="231"/>
      <c r="AF81" s="231"/>
      <c r="AG81" s="231"/>
      <c r="AH81" s="231"/>
      <c r="AI81" s="231"/>
    </row>
    <row r="82" spans="1:35" s="203" customFormat="1">
      <c r="A82" s="120">
        <v>9</v>
      </c>
      <c r="B82" s="47" t="s">
        <v>96</v>
      </c>
      <c r="C82" s="47"/>
      <c r="D82" s="47"/>
      <c r="E82" s="49">
        <v>73295</v>
      </c>
      <c r="F82" s="247">
        <v>75362</v>
      </c>
      <c r="G82" s="113">
        <v>73415</v>
      </c>
      <c r="H82" s="123">
        <v>79903</v>
      </c>
      <c r="I82" s="113">
        <v>78178</v>
      </c>
      <c r="J82" s="231"/>
      <c r="K82" s="231"/>
      <c r="L82" s="231"/>
      <c r="M82" s="231"/>
      <c r="N82" s="231"/>
      <c r="O82" s="231"/>
      <c r="P82" s="231"/>
      <c r="Q82" s="231"/>
      <c r="R82" s="231"/>
      <c r="S82" s="231"/>
      <c r="T82" s="231"/>
      <c r="U82" s="231"/>
      <c r="V82" s="231"/>
      <c r="W82" s="231"/>
      <c r="X82" s="231"/>
      <c r="Y82" s="231"/>
      <c r="Z82" s="231"/>
      <c r="AA82" s="231"/>
      <c r="AB82" s="231"/>
      <c r="AC82" s="231"/>
      <c r="AD82" s="231"/>
      <c r="AE82" s="231"/>
      <c r="AF82" s="231"/>
      <c r="AG82" s="231"/>
      <c r="AH82" s="231"/>
      <c r="AI82" s="231"/>
    </row>
    <row r="83" spans="1:35" s="203" customFormat="1">
      <c r="A83" s="120">
        <v>10</v>
      </c>
      <c r="B83" s="90" t="s">
        <v>97</v>
      </c>
      <c r="C83" s="47"/>
      <c r="D83" s="47"/>
      <c r="E83" s="49">
        <v>40631</v>
      </c>
      <c r="F83" s="247">
        <v>43136</v>
      </c>
      <c r="G83" s="113">
        <v>23253</v>
      </c>
      <c r="H83" s="123">
        <v>42952</v>
      </c>
      <c r="I83" s="113">
        <v>25490</v>
      </c>
      <c r="J83" s="231"/>
      <c r="K83" s="231"/>
      <c r="L83" s="231"/>
      <c r="M83" s="231"/>
      <c r="N83" s="231"/>
      <c r="O83" s="231"/>
      <c r="P83" s="231"/>
      <c r="Q83" s="231"/>
      <c r="R83" s="231"/>
      <c r="S83" s="231"/>
      <c r="T83" s="231"/>
      <c r="U83" s="231"/>
      <c r="V83" s="231"/>
      <c r="W83" s="231"/>
      <c r="X83" s="231"/>
      <c r="Y83" s="231"/>
      <c r="Z83" s="231"/>
      <c r="AA83" s="231"/>
      <c r="AB83" s="231"/>
      <c r="AC83" s="231"/>
      <c r="AD83" s="231"/>
      <c r="AE83" s="231"/>
      <c r="AF83" s="231"/>
      <c r="AG83" s="231"/>
      <c r="AH83" s="231"/>
      <c r="AI83" s="231"/>
    </row>
    <row r="84" spans="1:35" s="203" customFormat="1">
      <c r="A84" s="120">
        <v>11</v>
      </c>
      <c r="B84" s="90" t="s">
        <v>98</v>
      </c>
      <c r="C84" s="47"/>
      <c r="D84" s="47"/>
      <c r="E84" s="49">
        <v>4758</v>
      </c>
      <c r="F84" s="247">
        <v>7258</v>
      </c>
      <c r="G84" s="113">
        <v>0</v>
      </c>
      <c r="H84" s="123">
        <v>4909</v>
      </c>
      <c r="I84" s="113">
        <v>0</v>
      </c>
      <c r="J84" s="231"/>
      <c r="K84" s="231"/>
      <c r="L84" s="231"/>
      <c r="M84" s="231"/>
      <c r="N84" s="231"/>
      <c r="O84" s="231"/>
      <c r="P84" s="231"/>
      <c r="Q84" s="231"/>
      <c r="R84" s="231"/>
      <c r="S84" s="231"/>
      <c r="T84" s="231"/>
      <c r="U84" s="231"/>
      <c r="V84" s="231"/>
      <c r="W84" s="231"/>
      <c r="X84" s="231"/>
      <c r="Y84" s="231"/>
      <c r="Z84" s="231"/>
      <c r="AA84" s="231"/>
      <c r="AB84" s="231"/>
      <c r="AC84" s="231"/>
      <c r="AD84" s="231"/>
      <c r="AE84" s="231"/>
      <c r="AF84" s="231"/>
      <c r="AG84" s="231"/>
      <c r="AH84" s="231"/>
      <c r="AI84" s="231"/>
    </row>
    <row r="85" spans="1:35" s="203" customFormat="1">
      <c r="A85" s="120">
        <v>12</v>
      </c>
      <c r="B85" s="47" t="s">
        <v>99</v>
      </c>
      <c r="C85" s="47"/>
      <c r="D85" s="47"/>
      <c r="E85" s="49">
        <v>5748</v>
      </c>
      <c r="F85" s="247">
        <v>5746</v>
      </c>
      <c r="G85" s="113">
        <v>0</v>
      </c>
      <c r="H85" s="123">
        <v>5781</v>
      </c>
      <c r="I85" s="113">
        <v>0</v>
      </c>
      <c r="J85" s="231"/>
      <c r="K85" s="231"/>
      <c r="L85" s="231"/>
      <c r="M85" s="231"/>
      <c r="N85" s="231"/>
      <c r="O85" s="231"/>
      <c r="P85" s="231"/>
      <c r="Q85" s="231"/>
      <c r="R85" s="231"/>
      <c r="S85" s="231"/>
      <c r="T85" s="231"/>
      <c r="U85" s="231"/>
      <c r="V85" s="231"/>
      <c r="W85" s="231"/>
      <c r="X85" s="231"/>
      <c r="Y85" s="231"/>
      <c r="Z85" s="231"/>
      <c r="AA85" s="231"/>
      <c r="AB85" s="231"/>
      <c r="AC85" s="231"/>
      <c r="AD85" s="231"/>
      <c r="AE85" s="231"/>
      <c r="AF85" s="231"/>
      <c r="AG85" s="231"/>
      <c r="AH85" s="231"/>
      <c r="AI85" s="231"/>
    </row>
    <row r="86" spans="1:35" s="203" customFormat="1">
      <c r="A86" s="120">
        <v>13</v>
      </c>
      <c r="B86" s="47" t="s">
        <v>100</v>
      </c>
      <c r="C86" s="47"/>
      <c r="D86" s="47"/>
      <c r="E86" s="49">
        <v>54873</v>
      </c>
      <c r="F86" s="247">
        <v>66778</v>
      </c>
      <c r="G86" s="113">
        <v>0</v>
      </c>
      <c r="H86" s="123">
        <v>61257</v>
      </c>
      <c r="I86" s="113">
        <v>0</v>
      </c>
      <c r="J86" s="231"/>
      <c r="K86" s="231"/>
      <c r="L86" s="231"/>
      <c r="M86" s="231"/>
      <c r="N86" s="231"/>
      <c r="O86" s="231"/>
      <c r="P86" s="231"/>
      <c r="Q86" s="231"/>
      <c r="R86" s="231"/>
      <c r="S86" s="231"/>
      <c r="T86" s="231"/>
      <c r="U86" s="231"/>
      <c r="V86" s="231"/>
      <c r="W86" s="231"/>
      <c r="X86" s="231"/>
      <c r="Y86" s="231"/>
      <c r="Z86" s="231"/>
      <c r="AA86" s="231"/>
      <c r="AB86" s="231"/>
      <c r="AC86" s="231"/>
      <c r="AD86" s="231"/>
      <c r="AE86" s="231"/>
      <c r="AF86" s="231"/>
      <c r="AG86" s="231"/>
      <c r="AH86" s="231"/>
      <c r="AI86" s="231"/>
    </row>
    <row r="87" spans="1:35" s="203" customFormat="1">
      <c r="A87" s="120">
        <v>14</v>
      </c>
      <c r="B87" s="47" t="s">
        <v>101</v>
      </c>
      <c r="C87" s="47"/>
      <c r="D87" s="47"/>
      <c r="E87" s="49">
        <v>0</v>
      </c>
      <c r="F87" s="247">
        <v>0</v>
      </c>
      <c r="G87" s="113">
        <v>0</v>
      </c>
      <c r="H87" s="123">
        <v>0</v>
      </c>
      <c r="I87" s="113">
        <v>0</v>
      </c>
      <c r="J87" s="231"/>
      <c r="K87" s="231"/>
      <c r="L87" s="231"/>
      <c r="M87" s="231"/>
      <c r="N87" s="231"/>
      <c r="O87" s="231"/>
      <c r="P87" s="231"/>
      <c r="Q87" s="231"/>
      <c r="R87" s="231"/>
      <c r="S87" s="231"/>
      <c r="T87" s="231"/>
      <c r="U87" s="231"/>
      <c r="V87" s="231"/>
      <c r="W87" s="231"/>
      <c r="X87" s="231"/>
      <c r="Y87" s="231"/>
      <c r="Z87" s="231"/>
      <c r="AA87" s="231"/>
      <c r="AB87" s="231"/>
      <c r="AC87" s="231"/>
      <c r="AD87" s="231"/>
      <c r="AE87" s="231"/>
      <c r="AF87" s="231"/>
      <c r="AG87" s="231"/>
      <c r="AH87" s="231"/>
      <c r="AI87" s="231"/>
    </row>
    <row r="88" spans="1:35" s="203" customFormat="1">
      <c r="A88" s="124">
        <v>15</v>
      </c>
      <c r="B88" s="125" t="s">
        <v>102</v>
      </c>
      <c r="C88" s="54"/>
      <c r="D88" s="54"/>
      <c r="E88" s="56">
        <v>0</v>
      </c>
      <c r="F88" s="254">
        <v>0</v>
      </c>
      <c r="G88" s="127">
        <v>0</v>
      </c>
      <c r="H88" s="255">
        <v>0</v>
      </c>
      <c r="I88" s="127">
        <v>0</v>
      </c>
      <c r="J88" s="231"/>
      <c r="K88" s="231"/>
      <c r="L88" s="231"/>
      <c r="M88" s="231"/>
      <c r="N88" s="231"/>
      <c r="O88" s="231"/>
      <c r="P88" s="231"/>
      <c r="Q88" s="231"/>
      <c r="R88" s="231"/>
      <c r="S88" s="231"/>
      <c r="T88" s="231"/>
      <c r="U88" s="231"/>
      <c r="V88" s="231"/>
      <c r="W88" s="231"/>
      <c r="X88" s="231"/>
      <c r="Y88" s="231"/>
      <c r="Z88" s="231"/>
      <c r="AA88" s="231"/>
      <c r="AB88" s="231"/>
      <c r="AC88" s="231"/>
      <c r="AD88" s="231"/>
      <c r="AE88" s="231"/>
      <c r="AF88" s="231"/>
      <c r="AG88" s="231"/>
      <c r="AH88" s="231"/>
      <c r="AI88" s="231"/>
    </row>
    <row r="89" spans="1:35" s="203" customFormat="1">
      <c r="A89" s="128"/>
      <c r="B89" s="129"/>
      <c r="C89" s="129"/>
      <c r="D89" s="129"/>
      <c r="E89" s="15"/>
      <c r="F89" s="130"/>
      <c r="G89" s="29"/>
      <c r="H89" s="207"/>
      <c r="I89" s="29"/>
      <c r="J89" s="231"/>
      <c r="K89" s="231"/>
      <c r="L89" s="231"/>
      <c r="M89" s="231"/>
      <c r="N89" s="231"/>
      <c r="O89" s="231"/>
      <c r="P89" s="231"/>
      <c r="Q89" s="231"/>
      <c r="R89" s="231"/>
      <c r="S89" s="231"/>
      <c r="T89" s="231"/>
      <c r="U89" s="231"/>
      <c r="V89" s="231"/>
      <c r="W89" s="231"/>
      <c r="X89" s="231"/>
      <c r="Y89" s="231"/>
      <c r="Z89" s="231"/>
      <c r="AA89" s="231"/>
      <c r="AB89" s="231"/>
      <c r="AC89" s="231"/>
      <c r="AD89" s="231"/>
      <c r="AE89" s="231"/>
      <c r="AF89" s="231"/>
      <c r="AG89" s="231"/>
      <c r="AH89" s="231"/>
      <c r="AI89" s="231"/>
    </row>
    <row r="90" spans="1:35" s="203" customFormat="1">
      <c r="A90" s="128"/>
      <c r="B90" s="129"/>
      <c r="C90" s="129"/>
      <c r="D90" s="129"/>
      <c r="E90" s="105"/>
      <c r="F90" s="130"/>
      <c r="G90" s="29"/>
      <c r="H90" s="131" t="s">
        <v>27</v>
      </c>
      <c r="I90" s="29"/>
      <c r="J90" s="231"/>
      <c r="K90" s="231"/>
      <c r="L90" s="231"/>
      <c r="M90" s="231"/>
      <c r="N90" s="231"/>
      <c r="O90" s="231"/>
      <c r="P90" s="231"/>
      <c r="Q90" s="231"/>
      <c r="R90" s="231"/>
      <c r="S90" s="231"/>
      <c r="T90" s="231"/>
      <c r="U90" s="231"/>
      <c r="V90" s="231"/>
      <c r="W90" s="231"/>
      <c r="X90" s="231"/>
      <c r="Y90" s="231"/>
      <c r="Z90" s="231"/>
      <c r="AA90" s="231"/>
      <c r="AB90" s="231"/>
      <c r="AC90" s="231"/>
      <c r="AD90" s="231"/>
      <c r="AE90" s="231"/>
      <c r="AF90" s="231"/>
      <c r="AG90" s="231"/>
      <c r="AH90" s="231"/>
      <c r="AI90" s="231"/>
    </row>
    <row r="91" spans="1:35" s="203" customFormat="1">
      <c r="A91" s="106" t="s">
        <v>17</v>
      </c>
      <c r="B91" s="107"/>
      <c r="C91" s="107"/>
      <c r="D91" s="107"/>
      <c r="E91" s="856" t="s">
        <v>421</v>
      </c>
      <c r="F91" s="856" t="s">
        <v>402</v>
      </c>
      <c r="G91" s="257"/>
      <c r="H91" s="856" t="s">
        <v>403</v>
      </c>
      <c r="I91" s="29"/>
      <c r="J91" s="231"/>
      <c r="K91" s="231"/>
      <c r="L91" s="231"/>
      <c r="M91" s="231"/>
      <c r="N91" s="231"/>
      <c r="O91" s="231"/>
      <c r="P91" s="231"/>
      <c r="Q91" s="231"/>
      <c r="R91" s="231"/>
      <c r="S91" s="231"/>
      <c r="T91" s="231"/>
      <c r="U91" s="231"/>
      <c r="V91" s="231"/>
      <c r="W91" s="231"/>
      <c r="X91" s="231"/>
      <c r="Y91" s="231"/>
      <c r="Z91" s="231"/>
      <c r="AA91" s="231"/>
      <c r="AB91" s="231"/>
      <c r="AC91" s="231"/>
      <c r="AD91" s="231"/>
      <c r="AE91" s="231"/>
      <c r="AF91" s="231"/>
      <c r="AG91" s="231"/>
      <c r="AH91" s="231"/>
      <c r="AI91" s="231"/>
    </row>
    <row r="92" spans="1:35" s="203" customFormat="1" ht="12.75" customHeight="1">
      <c r="A92" s="109"/>
      <c r="B92" s="132"/>
      <c r="C92" s="132"/>
      <c r="D92" s="132"/>
      <c r="E92" s="859"/>
      <c r="F92" s="859"/>
      <c r="G92" s="29"/>
      <c r="H92" s="859"/>
      <c r="I92" s="29"/>
      <c r="J92" s="231"/>
      <c r="K92" s="231"/>
      <c r="L92" s="231"/>
      <c r="M92" s="231"/>
      <c r="N92" s="231"/>
      <c r="O92" s="231"/>
      <c r="P92" s="231"/>
      <c r="Q92" s="231"/>
      <c r="R92" s="231"/>
      <c r="S92" s="231"/>
      <c r="T92" s="231"/>
      <c r="U92" s="231"/>
      <c r="V92" s="231"/>
      <c r="W92" s="231"/>
      <c r="X92" s="231"/>
      <c r="Y92" s="231"/>
      <c r="Z92" s="231"/>
      <c r="AA92" s="231"/>
      <c r="AB92" s="231"/>
      <c r="AC92" s="231"/>
      <c r="AD92" s="231"/>
      <c r="AE92" s="231"/>
      <c r="AF92" s="231"/>
      <c r="AG92" s="231"/>
      <c r="AH92" s="231"/>
      <c r="AI92" s="231"/>
    </row>
    <row r="93" spans="1:35" s="203" customFormat="1">
      <c r="A93" s="109" t="s">
        <v>103</v>
      </c>
      <c r="B93" s="132"/>
      <c r="C93" s="132"/>
      <c r="D93" s="132"/>
      <c r="E93" s="859"/>
      <c r="F93" s="859"/>
      <c r="G93" s="29"/>
      <c r="H93" s="859"/>
      <c r="I93" s="29"/>
      <c r="J93" s="231"/>
      <c r="K93" s="231"/>
      <c r="L93" s="231"/>
      <c r="M93" s="231"/>
      <c r="N93" s="231"/>
      <c r="O93" s="231"/>
      <c r="P93" s="231"/>
      <c r="Q93" s="231"/>
      <c r="R93" s="231"/>
      <c r="S93" s="231"/>
      <c r="T93" s="231"/>
      <c r="U93" s="231"/>
      <c r="V93" s="231"/>
      <c r="W93" s="231"/>
      <c r="X93" s="231"/>
      <c r="Y93" s="231"/>
      <c r="Z93" s="231"/>
      <c r="AA93" s="231"/>
      <c r="AB93" s="231"/>
      <c r="AC93" s="231"/>
      <c r="AD93" s="231"/>
      <c r="AE93" s="231"/>
      <c r="AF93" s="231"/>
      <c r="AG93" s="231"/>
      <c r="AH93" s="231"/>
      <c r="AI93" s="231"/>
    </row>
    <row r="94" spans="1:35" s="203" customFormat="1">
      <c r="A94" s="109" t="s">
        <v>83</v>
      </c>
      <c r="B94" s="132"/>
      <c r="C94" s="132"/>
      <c r="D94" s="132"/>
      <c r="E94" s="859"/>
      <c r="F94" s="859"/>
      <c r="G94" s="130"/>
      <c r="H94" s="859"/>
      <c r="I94" s="29"/>
      <c r="J94" s="231"/>
      <c r="K94" s="231"/>
      <c r="L94" s="231"/>
      <c r="M94" s="231"/>
      <c r="N94" s="231"/>
      <c r="O94" s="231"/>
      <c r="P94" s="231"/>
      <c r="Q94" s="231"/>
      <c r="R94" s="231"/>
      <c r="S94" s="231"/>
      <c r="T94" s="231"/>
      <c r="U94" s="231"/>
      <c r="V94" s="231"/>
      <c r="W94" s="231"/>
      <c r="X94" s="231"/>
      <c r="Y94" s="231"/>
      <c r="Z94" s="231"/>
      <c r="AA94" s="231"/>
      <c r="AB94" s="231"/>
      <c r="AC94" s="231"/>
      <c r="AD94" s="231"/>
      <c r="AE94" s="231"/>
      <c r="AF94" s="231"/>
      <c r="AG94" s="231"/>
      <c r="AH94" s="231"/>
      <c r="AI94" s="231"/>
    </row>
    <row r="95" spans="1:35" s="203" customFormat="1">
      <c r="A95" s="110" t="s">
        <v>84</v>
      </c>
      <c r="B95" s="132"/>
      <c r="C95" s="132"/>
      <c r="D95" s="132"/>
      <c r="E95" s="860"/>
      <c r="F95" s="860"/>
      <c r="G95" s="130"/>
      <c r="H95" s="860"/>
      <c r="I95" s="130"/>
      <c r="J95" s="231"/>
      <c r="K95" s="231"/>
      <c r="L95" s="231"/>
      <c r="M95" s="231"/>
      <c r="N95" s="231"/>
      <c r="O95" s="231"/>
      <c r="P95" s="231"/>
      <c r="Q95" s="231"/>
      <c r="R95" s="231"/>
      <c r="S95" s="231"/>
      <c r="T95" s="231"/>
      <c r="U95" s="231"/>
      <c r="V95" s="231"/>
      <c r="W95" s="231"/>
      <c r="X95" s="231"/>
      <c r="Y95" s="231"/>
      <c r="Z95" s="231"/>
      <c r="AA95" s="231"/>
      <c r="AB95" s="231"/>
      <c r="AC95" s="231"/>
      <c r="AD95" s="231"/>
      <c r="AE95" s="231"/>
      <c r="AF95" s="231"/>
      <c r="AG95" s="231"/>
      <c r="AH95" s="231"/>
      <c r="AI95" s="231"/>
    </row>
    <row r="96" spans="1:35" s="203" customFormat="1">
      <c r="A96" s="120">
        <v>1</v>
      </c>
      <c r="B96" s="47" t="s">
        <v>104</v>
      </c>
      <c r="C96" s="47"/>
      <c r="D96" s="47"/>
      <c r="E96" s="41">
        <v>1997</v>
      </c>
      <c r="F96" s="52">
        <v>217</v>
      </c>
      <c r="G96" s="118"/>
      <c r="H96" s="133">
        <v>-69</v>
      </c>
      <c r="I96" s="139"/>
      <c r="J96" s="231"/>
      <c r="K96" s="231"/>
      <c r="L96" s="231"/>
      <c r="M96" s="231"/>
      <c r="N96" s="231"/>
      <c r="O96" s="231"/>
      <c r="P96" s="231"/>
      <c r="Q96" s="231"/>
      <c r="R96" s="231"/>
      <c r="S96" s="231"/>
      <c r="T96" s="231"/>
      <c r="U96" s="231"/>
      <c r="V96" s="231"/>
      <c r="W96" s="231"/>
      <c r="X96" s="231"/>
      <c r="Y96" s="231"/>
      <c r="Z96" s="231"/>
      <c r="AA96" s="231"/>
      <c r="AB96" s="231"/>
      <c r="AC96" s="231"/>
      <c r="AD96" s="231"/>
      <c r="AE96" s="231"/>
      <c r="AF96" s="231"/>
      <c r="AG96" s="231"/>
      <c r="AH96" s="231"/>
      <c r="AI96" s="231"/>
    </row>
    <row r="97" spans="1:35" s="203" customFormat="1">
      <c r="A97" s="120">
        <v>2</v>
      </c>
      <c r="B97" s="47" t="s">
        <v>105</v>
      </c>
      <c r="C97" s="47"/>
      <c r="D97" s="47"/>
      <c r="E97" s="49">
        <v>31</v>
      </c>
      <c r="F97" s="52">
        <v>28</v>
      </c>
      <c r="G97" s="118"/>
      <c r="H97" s="122">
        <v>28</v>
      </c>
      <c r="I97" s="139"/>
      <c r="J97" s="231"/>
      <c r="K97" s="231"/>
      <c r="L97" s="231"/>
      <c r="M97" s="231"/>
      <c r="N97" s="231"/>
      <c r="O97" s="231"/>
      <c r="P97" s="231"/>
      <c r="Q97" s="231"/>
      <c r="R97" s="231"/>
      <c r="S97" s="231"/>
      <c r="T97" s="231"/>
      <c r="U97" s="231"/>
      <c r="V97" s="231"/>
      <c r="W97" s="231"/>
      <c r="X97" s="231"/>
      <c r="Y97" s="231"/>
      <c r="Z97" s="231"/>
      <c r="AA97" s="231"/>
      <c r="AB97" s="231"/>
      <c r="AC97" s="231"/>
      <c r="AD97" s="231"/>
      <c r="AE97" s="231"/>
      <c r="AF97" s="231"/>
      <c r="AG97" s="231"/>
      <c r="AH97" s="231"/>
      <c r="AI97" s="231"/>
    </row>
    <row r="98" spans="1:35" s="203" customFormat="1">
      <c r="A98" s="120">
        <v>3</v>
      </c>
      <c r="B98" s="47" t="s">
        <v>106</v>
      </c>
      <c r="C98" s="47"/>
      <c r="D98" s="47"/>
      <c r="E98" s="114">
        <v>91306</v>
      </c>
      <c r="F98" s="50">
        <f>F115</f>
        <v>88251</v>
      </c>
      <c r="G98" s="118"/>
      <c r="H98" s="50">
        <f>H115</f>
        <v>89530</v>
      </c>
      <c r="I98" s="139"/>
      <c r="J98" s="231"/>
      <c r="K98" s="231"/>
      <c r="L98" s="231"/>
      <c r="M98" s="231"/>
      <c r="N98" s="231"/>
      <c r="O98" s="231"/>
      <c r="P98" s="231"/>
      <c r="Q98" s="231"/>
      <c r="R98" s="231"/>
      <c r="S98" s="231"/>
      <c r="T98" s="231"/>
      <c r="U98" s="231"/>
      <c r="V98" s="231"/>
      <c r="W98" s="231"/>
      <c r="X98" s="231"/>
      <c r="Y98" s="231"/>
      <c r="Z98" s="231"/>
      <c r="AA98" s="231"/>
      <c r="AB98" s="231"/>
      <c r="AC98" s="231"/>
      <c r="AD98" s="231"/>
      <c r="AE98" s="231"/>
      <c r="AF98" s="231"/>
      <c r="AG98" s="231"/>
      <c r="AH98" s="231"/>
      <c r="AI98" s="231"/>
    </row>
    <row r="99" spans="1:35" s="203" customFormat="1">
      <c r="A99" s="120">
        <v>4</v>
      </c>
      <c r="B99" s="47" t="s">
        <v>107</v>
      </c>
      <c r="C99" s="47"/>
      <c r="D99" s="47"/>
      <c r="E99" s="114">
        <v>97072</v>
      </c>
      <c r="F99" s="50">
        <f>F125</f>
        <v>101118</v>
      </c>
      <c r="G99" s="118"/>
      <c r="H99" s="50">
        <f>H125</f>
        <v>100856</v>
      </c>
      <c r="I99" s="139"/>
      <c r="J99" s="231"/>
      <c r="K99" s="231"/>
      <c r="L99" s="231"/>
      <c r="M99" s="231"/>
      <c r="N99" s="231"/>
      <c r="O99" s="231"/>
      <c r="P99" s="231"/>
      <c r="Q99" s="231"/>
      <c r="R99" s="231"/>
      <c r="S99" s="231"/>
      <c r="T99" s="231"/>
      <c r="U99" s="231"/>
      <c r="V99" s="231"/>
      <c r="W99" s="231"/>
      <c r="X99" s="231"/>
      <c r="Y99" s="231"/>
      <c r="Z99" s="231"/>
      <c r="AA99" s="231"/>
      <c r="AB99" s="231"/>
      <c r="AC99" s="231"/>
      <c r="AD99" s="231"/>
      <c r="AE99" s="231"/>
      <c r="AF99" s="231"/>
      <c r="AG99" s="231"/>
      <c r="AH99" s="231"/>
      <c r="AI99" s="231"/>
    </row>
    <row r="100" spans="1:35" s="203" customFormat="1">
      <c r="A100" s="120">
        <v>5</v>
      </c>
      <c r="B100" s="47" t="s">
        <v>108</v>
      </c>
      <c r="C100" s="47"/>
      <c r="D100" s="47"/>
      <c r="E100" s="114">
        <v>33867</v>
      </c>
      <c r="F100" s="50">
        <f>F135</f>
        <v>34306</v>
      </c>
      <c r="G100" s="118"/>
      <c r="H100" s="50">
        <f>H135</f>
        <v>35027</v>
      </c>
      <c r="I100" s="139"/>
      <c r="J100" s="231"/>
      <c r="K100" s="231"/>
      <c r="L100" s="231"/>
      <c r="M100" s="231"/>
      <c r="N100" s="231"/>
      <c r="O100" s="231"/>
      <c r="P100" s="231"/>
      <c r="Q100" s="231"/>
      <c r="R100" s="231"/>
      <c r="S100" s="231"/>
      <c r="T100" s="231"/>
      <c r="U100" s="231"/>
      <c r="V100" s="231"/>
      <c r="W100" s="231"/>
      <c r="X100" s="231"/>
      <c r="Y100" s="231"/>
      <c r="Z100" s="231"/>
      <c r="AA100" s="231"/>
      <c r="AB100" s="231"/>
      <c r="AC100" s="231"/>
      <c r="AD100" s="231"/>
      <c r="AE100" s="231"/>
      <c r="AF100" s="231"/>
      <c r="AG100" s="231"/>
      <c r="AH100" s="231"/>
      <c r="AI100" s="231"/>
    </row>
    <row r="101" spans="1:35" s="203" customFormat="1">
      <c r="A101" s="120">
        <v>6</v>
      </c>
      <c r="B101" s="47" t="s">
        <v>109</v>
      </c>
      <c r="C101" s="47"/>
      <c r="D101" s="47"/>
      <c r="E101" s="114">
        <v>65066</v>
      </c>
      <c r="F101" s="50">
        <f>F143</f>
        <v>70679</v>
      </c>
      <c r="G101" s="118"/>
      <c r="H101" s="50">
        <f>H143</f>
        <v>72544</v>
      </c>
      <c r="I101" s="139"/>
      <c r="J101" s="231"/>
      <c r="K101" s="231"/>
      <c r="L101" s="231"/>
      <c r="M101" s="231"/>
      <c r="N101" s="231"/>
      <c r="O101" s="231"/>
      <c r="P101" s="231"/>
      <c r="Q101" s="231"/>
      <c r="R101" s="231"/>
      <c r="S101" s="231"/>
      <c r="T101" s="231"/>
      <c r="U101" s="231"/>
      <c r="V101" s="231"/>
      <c r="W101" s="231"/>
      <c r="X101" s="231"/>
      <c r="Y101" s="231"/>
      <c r="Z101" s="231"/>
      <c r="AA101" s="231"/>
      <c r="AB101" s="231"/>
      <c r="AC101" s="231"/>
      <c r="AD101" s="231"/>
      <c r="AE101" s="231"/>
      <c r="AF101" s="231"/>
      <c r="AG101" s="231"/>
      <c r="AH101" s="231"/>
      <c r="AI101" s="231"/>
    </row>
    <row r="102" spans="1:35" s="203" customFormat="1">
      <c r="A102" s="120">
        <v>7</v>
      </c>
      <c r="B102" s="47" t="s">
        <v>110</v>
      </c>
      <c r="C102" s="47"/>
      <c r="D102" s="47"/>
      <c r="E102" s="114">
        <v>14813</v>
      </c>
      <c r="F102" s="50">
        <f>F150</f>
        <v>16893</v>
      </c>
      <c r="G102" s="118"/>
      <c r="H102" s="50">
        <f>H150</f>
        <v>17833</v>
      </c>
      <c r="I102" s="139"/>
      <c r="J102" s="231"/>
      <c r="K102" s="231"/>
      <c r="L102" s="231"/>
      <c r="M102" s="231"/>
      <c r="N102" s="231"/>
      <c r="O102" s="231"/>
      <c r="P102" s="231"/>
      <c r="Q102" s="231"/>
      <c r="R102" s="231"/>
      <c r="S102" s="231"/>
      <c r="T102" s="231"/>
      <c r="U102" s="231"/>
      <c r="V102" s="231"/>
      <c r="W102" s="231"/>
      <c r="X102" s="231"/>
      <c r="Y102" s="231"/>
      <c r="Z102" s="231"/>
      <c r="AA102" s="231"/>
      <c r="AB102" s="231"/>
      <c r="AC102" s="231"/>
      <c r="AD102" s="231"/>
      <c r="AE102" s="231"/>
      <c r="AF102" s="231"/>
      <c r="AG102" s="231"/>
      <c r="AH102" s="231"/>
      <c r="AI102" s="231"/>
    </row>
    <row r="103" spans="1:35" s="203" customFormat="1">
      <c r="A103" s="120">
        <v>8</v>
      </c>
      <c r="B103" s="47" t="s">
        <v>111</v>
      </c>
      <c r="C103" s="47"/>
      <c r="D103" s="47"/>
      <c r="E103" s="114">
        <v>1304</v>
      </c>
      <c r="F103" s="52">
        <v>1641</v>
      </c>
      <c r="G103" s="118"/>
      <c r="H103" s="122">
        <v>1606</v>
      </c>
      <c r="I103" s="139"/>
      <c r="J103" s="231"/>
      <c r="K103" s="231"/>
      <c r="L103" s="231"/>
      <c r="M103" s="231"/>
      <c r="N103" s="231"/>
      <c r="O103" s="231"/>
      <c r="P103" s="231"/>
      <c r="Q103" s="231"/>
      <c r="R103" s="231"/>
      <c r="S103" s="231"/>
      <c r="T103" s="231"/>
      <c r="U103" s="231"/>
      <c r="V103" s="231"/>
      <c r="W103" s="231"/>
      <c r="X103" s="231"/>
      <c r="Y103" s="231"/>
      <c r="Z103" s="231"/>
      <c r="AA103" s="231"/>
      <c r="AB103" s="231"/>
      <c r="AC103" s="231"/>
      <c r="AD103" s="231"/>
      <c r="AE103" s="231"/>
      <c r="AF103" s="231"/>
      <c r="AG103" s="231"/>
      <c r="AH103" s="231"/>
      <c r="AI103" s="231"/>
    </row>
    <row r="104" spans="1:35" s="203" customFormat="1">
      <c r="A104" s="120">
        <v>9</v>
      </c>
      <c r="B104" s="47" t="s">
        <v>112</v>
      </c>
      <c r="C104" s="47"/>
      <c r="D104" s="47"/>
      <c r="E104" s="114">
        <v>10067</v>
      </c>
      <c r="F104" s="52">
        <v>9282</v>
      </c>
      <c r="G104" s="118"/>
      <c r="H104" s="122">
        <v>8973</v>
      </c>
      <c r="I104" s="139"/>
      <c r="J104" s="231"/>
      <c r="K104" s="231"/>
      <c r="L104" s="231"/>
      <c r="M104" s="231"/>
      <c r="N104" s="231"/>
      <c r="O104" s="231"/>
      <c r="P104" s="231"/>
      <c r="Q104" s="231"/>
      <c r="R104" s="231"/>
      <c r="S104" s="231"/>
      <c r="T104" s="231"/>
      <c r="U104" s="231"/>
      <c r="V104" s="231"/>
      <c r="W104" s="231"/>
      <c r="X104" s="231"/>
      <c r="Y104" s="231"/>
      <c r="Z104" s="231"/>
      <c r="AA104" s="231"/>
      <c r="AB104" s="231"/>
      <c r="AC104" s="231"/>
      <c r="AD104" s="231"/>
      <c r="AE104" s="231"/>
      <c r="AF104" s="231"/>
      <c r="AG104" s="231"/>
      <c r="AH104" s="231"/>
      <c r="AI104" s="231"/>
    </row>
    <row r="105" spans="1:35" s="203" customFormat="1">
      <c r="A105" s="111" t="s">
        <v>113</v>
      </c>
      <c r="B105" s="116" t="s">
        <v>114</v>
      </c>
      <c r="C105" s="116"/>
      <c r="D105" s="47"/>
      <c r="E105" s="134">
        <v>315523</v>
      </c>
      <c r="F105" s="61">
        <f>SUM(F96:F104)</f>
        <v>322415</v>
      </c>
      <c r="G105" s="118"/>
      <c r="H105" s="61">
        <f>SUM(H96:H104)</f>
        <v>326328</v>
      </c>
      <c r="I105" s="139"/>
      <c r="J105" s="231"/>
      <c r="K105" s="231"/>
      <c r="L105" s="231"/>
      <c r="M105" s="231"/>
      <c r="N105" s="231"/>
      <c r="O105" s="231"/>
      <c r="P105" s="231"/>
      <c r="Q105" s="231"/>
      <c r="R105" s="231"/>
      <c r="S105" s="231"/>
      <c r="T105" s="231"/>
      <c r="U105" s="231"/>
      <c r="V105" s="231"/>
      <c r="W105" s="231"/>
      <c r="X105" s="231"/>
      <c r="Y105" s="231"/>
      <c r="Z105" s="231"/>
      <c r="AA105" s="231"/>
      <c r="AB105" s="231"/>
      <c r="AC105" s="231"/>
      <c r="AD105" s="231"/>
      <c r="AE105" s="231"/>
      <c r="AF105" s="231"/>
      <c r="AG105" s="231"/>
      <c r="AH105" s="231"/>
      <c r="AI105" s="231"/>
    </row>
    <row r="106" spans="1:35" s="203" customFormat="1">
      <c r="A106" s="120">
        <v>11</v>
      </c>
      <c r="B106" s="90" t="s">
        <v>115</v>
      </c>
      <c r="C106" s="47"/>
      <c r="D106" s="47"/>
      <c r="E106" s="135">
        <v>462</v>
      </c>
      <c r="F106" s="136">
        <v>392</v>
      </c>
      <c r="G106" s="118"/>
      <c r="H106" s="137">
        <v>463</v>
      </c>
      <c r="I106" s="139"/>
      <c r="J106" s="231"/>
      <c r="K106" s="231"/>
      <c r="L106" s="231"/>
      <c r="M106" s="231"/>
      <c r="N106" s="231"/>
      <c r="O106" s="231"/>
      <c r="P106" s="231"/>
      <c r="Q106" s="231"/>
      <c r="R106" s="231"/>
      <c r="S106" s="231"/>
      <c r="T106" s="231"/>
      <c r="U106" s="231"/>
      <c r="V106" s="231"/>
      <c r="W106" s="231"/>
      <c r="X106" s="231"/>
      <c r="Y106" s="231"/>
      <c r="Z106" s="231"/>
      <c r="AA106" s="231"/>
      <c r="AB106" s="231"/>
      <c r="AC106" s="231"/>
      <c r="AD106" s="231"/>
      <c r="AE106" s="231"/>
      <c r="AF106" s="231"/>
      <c r="AG106" s="231"/>
      <c r="AH106" s="231"/>
      <c r="AI106" s="231"/>
    </row>
    <row r="107" spans="1:35" s="203" customFormat="1">
      <c r="A107" s="111"/>
      <c r="B107" s="47"/>
      <c r="C107" s="47"/>
      <c r="D107" s="138"/>
      <c r="E107" s="117"/>
      <c r="F107" s="139"/>
      <c r="G107" s="139"/>
      <c r="H107" s="139"/>
      <c r="I107" s="139"/>
      <c r="J107" s="231"/>
      <c r="K107" s="231"/>
      <c r="L107" s="231"/>
      <c r="M107" s="231"/>
      <c r="N107" s="231"/>
      <c r="O107" s="231"/>
      <c r="P107" s="231"/>
      <c r="Q107" s="231"/>
      <c r="R107" s="231"/>
      <c r="S107" s="231"/>
      <c r="T107" s="231"/>
      <c r="U107" s="231"/>
      <c r="V107" s="231"/>
      <c r="W107" s="231"/>
      <c r="X107" s="231"/>
      <c r="Y107" s="231"/>
      <c r="Z107" s="231"/>
      <c r="AA107" s="231"/>
      <c r="AB107" s="231"/>
      <c r="AC107" s="231"/>
      <c r="AD107" s="231"/>
      <c r="AE107" s="231"/>
      <c r="AF107" s="231"/>
      <c r="AG107" s="231"/>
      <c r="AH107" s="231"/>
      <c r="AI107" s="231"/>
    </row>
    <row r="108" spans="1:35" s="203" customFormat="1">
      <c r="A108" s="119" t="s">
        <v>116</v>
      </c>
      <c r="B108" s="47"/>
      <c r="C108" s="47"/>
      <c r="D108" s="47"/>
      <c r="E108" s="117"/>
      <c r="F108" s="139"/>
      <c r="G108" s="139"/>
      <c r="H108" s="139"/>
      <c r="I108" s="139"/>
      <c r="J108" s="231"/>
      <c r="K108" s="231"/>
      <c r="L108" s="231"/>
      <c r="M108" s="231"/>
      <c r="N108" s="231"/>
      <c r="O108" s="231"/>
      <c r="P108" s="231"/>
      <c r="Q108" s="231"/>
      <c r="R108" s="231"/>
      <c r="S108" s="231"/>
      <c r="T108" s="231"/>
      <c r="U108" s="231"/>
      <c r="V108" s="231"/>
      <c r="W108" s="231"/>
      <c r="X108" s="231"/>
      <c r="Y108" s="231"/>
      <c r="Z108" s="231"/>
      <c r="AA108" s="231"/>
      <c r="AB108" s="231"/>
      <c r="AC108" s="231"/>
      <c r="AD108" s="231"/>
      <c r="AE108" s="231"/>
      <c r="AF108" s="231"/>
      <c r="AG108" s="231"/>
      <c r="AH108" s="231"/>
      <c r="AI108" s="231"/>
    </row>
    <row r="109" spans="1:35" s="203" customFormat="1">
      <c r="A109" s="119" t="s">
        <v>106</v>
      </c>
      <c r="B109" s="47"/>
      <c r="C109" s="47"/>
      <c r="D109" s="47"/>
      <c r="E109" s="140"/>
      <c r="F109" s="141"/>
      <c r="G109" s="139"/>
      <c r="H109" s="141"/>
      <c r="I109" s="139"/>
      <c r="J109" s="231"/>
      <c r="K109" s="231"/>
      <c r="L109" s="231"/>
      <c r="M109" s="231"/>
      <c r="N109" s="231"/>
      <c r="O109" s="231"/>
      <c r="P109" s="231"/>
      <c r="Q109" s="231"/>
      <c r="R109" s="231"/>
      <c r="S109" s="231"/>
      <c r="T109" s="231"/>
      <c r="U109" s="231"/>
      <c r="V109" s="231"/>
      <c r="W109" s="231"/>
      <c r="X109" s="231"/>
      <c r="Y109" s="231"/>
      <c r="Z109" s="231"/>
      <c r="AA109" s="231"/>
      <c r="AB109" s="231"/>
      <c r="AC109" s="231"/>
      <c r="AD109" s="231"/>
      <c r="AE109" s="231"/>
      <c r="AF109" s="231"/>
      <c r="AG109" s="231"/>
      <c r="AH109" s="231"/>
      <c r="AI109" s="231"/>
    </row>
    <row r="110" spans="1:35" s="203" customFormat="1">
      <c r="A110" s="120">
        <v>12</v>
      </c>
      <c r="B110" s="47" t="s">
        <v>117</v>
      </c>
      <c r="C110" s="47"/>
      <c r="D110" s="47"/>
      <c r="E110" s="49">
        <v>21681</v>
      </c>
      <c r="F110" s="52">
        <v>22877</v>
      </c>
      <c r="G110" s="118"/>
      <c r="H110" s="122">
        <v>23399</v>
      </c>
      <c r="I110" s="139"/>
      <c r="J110" s="231"/>
      <c r="K110" s="231"/>
      <c r="L110" s="231"/>
      <c r="M110" s="231"/>
      <c r="N110" s="231"/>
      <c r="O110" s="231"/>
      <c r="P110" s="231"/>
      <c r="Q110" s="231"/>
      <c r="R110" s="231"/>
      <c r="S110" s="231"/>
      <c r="T110" s="231"/>
      <c r="U110" s="231"/>
      <c r="V110" s="231"/>
      <c r="W110" s="231"/>
      <c r="X110" s="231"/>
      <c r="Y110" s="231"/>
      <c r="Z110" s="231"/>
      <c r="AA110" s="231"/>
      <c r="AB110" s="231"/>
      <c r="AC110" s="231"/>
      <c r="AD110" s="231"/>
      <c r="AE110" s="231"/>
      <c r="AF110" s="231"/>
      <c r="AG110" s="231"/>
      <c r="AH110" s="231"/>
      <c r="AI110" s="231"/>
    </row>
    <row r="111" spans="1:35" s="203" customFormat="1">
      <c r="A111" s="120">
        <v>13</v>
      </c>
      <c r="B111" s="47" t="s">
        <v>118</v>
      </c>
      <c r="C111" s="47"/>
      <c r="D111" s="47"/>
      <c r="E111" s="49">
        <v>26052</v>
      </c>
      <c r="F111" s="52">
        <v>24299</v>
      </c>
      <c r="G111" s="118"/>
      <c r="H111" s="122">
        <v>25403</v>
      </c>
      <c r="I111" s="139"/>
      <c r="J111" s="231"/>
      <c r="K111" s="231"/>
      <c r="L111" s="231"/>
      <c r="M111" s="231"/>
      <c r="N111" s="231"/>
      <c r="O111" s="231"/>
      <c r="P111" s="231"/>
      <c r="Q111" s="231"/>
      <c r="R111" s="231"/>
      <c r="S111" s="231"/>
      <c r="T111" s="231"/>
      <c r="U111" s="231"/>
      <c r="V111" s="231"/>
      <c r="W111" s="231"/>
      <c r="X111" s="231"/>
      <c r="Y111" s="231"/>
      <c r="Z111" s="231"/>
      <c r="AA111" s="231"/>
      <c r="AB111" s="231"/>
      <c r="AC111" s="231"/>
      <c r="AD111" s="231"/>
      <c r="AE111" s="231"/>
      <c r="AF111" s="231"/>
      <c r="AG111" s="231"/>
      <c r="AH111" s="231"/>
      <c r="AI111" s="231"/>
    </row>
    <row r="112" spans="1:35" s="203" customFormat="1">
      <c r="A112" s="120">
        <v>14</v>
      </c>
      <c r="B112" s="47" t="s">
        <v>119</v>
      </c>
      <c r="C112" s="47"/>
      <c r="D112" s="47"/>
      <c r="E112" s="49">
        <v>19423</v>
      </c>
      <c r="F112" s="52">
        <v>20802</v>
      </c>
      <c r="G112" s="118"/>
      <c r="H112" s="122">
        <v>20060</v>
      </c>
      <c r="I112" s="139"/>
      <c r="J112" s="231"/>
      <c r="K112" s="231"/>
      <c r="L112" s="231"/>
      <c r="M112" s="231"/>
      <c r="N112" s="231"/>
      <c r="O112" s="231"/>
      <c r="P112" s="231"/>
      <c r="Q112" s="231"/>
      <c r="R112" s="231"/>
      <c r="S112" s="231"/>
      <c r="T112" s="231"/>
      <c r="U112" s="231"/>
      <c r="V112" s="231"/>
      <c r="W112" s="231"/>
      <c r="X112" s="231"/>
      <c r="Y112" s="231"/>
      <c r="Z112" s="231"/>
      <c r="AA112" s="231"/>
      <c r="AB112" s="231"/>
      <c r="AC112" s="231"/>
      <c r="AD112" s="231"/>
      <c r="AE112" s="231"/>
      <c r="AF112" s="231"/>
      <c r="AG112" s="231"/>
      <c r="AH112" s="231"/>
      <c r="AI112" s="231"/>
    </row>
    <row r="113" spans="1:35" s="203" customFormat="1">
      <c r="A113" s="120">
        <v>15</v>
      </c>
      <c r="B113" s="47" t="s">
        <v>120</v>
      </c>
      <c r="C113" s="47"/>
      <c r="D113" s="47"/>
      <c r="E113" s="49">
        <v>18714</v>
      </c>
      <c r="F113" s="52">
        <v>14964</v>
      </c>
      <c r="G113" s="118"/>
      <c r="H113" s="122">
        <v>16865</v>
      </c>
      <c r="I113" s="139"/>
      <c r="J113" s="231"/>
      <c r="K113" s="231"/>
      <c r="L113" s="231"/>
      <c r="M113" s="231"/>
      <c r="N113" s="231"/>
      <c r="O113" s="231"/>
      <c r="P113" s="231"/>
      <c r="Q113" s="231"/>
      <c r="R113" s="231"/>
      <c r="S113" s="231"/>
      <c r="T113" s="231"/>
      <c r="U113" s="231"/>
      <c r="V113" s="231"/>
      <c r="W113" s="231"/>
      <c r="X113" s="231"/>
      <c r="Y113" s="231"/>
      <c r="Z113" s="231"/>
      <c r="AA113" s="231"/>
      <c r="AB113" s="231"/>
      <c r="AC113" s="231"/>
      <c r="AD113" s="231"/>
      <c r="AE113" s="231"/>
      <c r="AF113" s="231"/>
      <c r="AG113" s="231"/>
      <c r="AH113" s="231"/>
      <c r="AI113" s="231"/>
    </row>
    <row r="114" spans="1:35" s="203" customFormat="1">
      <c r="A114" s="120">
        <v>16</v>
      </c>
      <c r="B114" s="47" t="s">
        <v>121</v>
      </c>
      <c r="C114" s="47"/>
      <c r="D114" s="47"/>
      <c r="E114" s="49">
        <v>5436</v>
      </c>
      <c r="F114" s="52">
        <v>5309</v>
      </c>
      <c r="G114" s="118"/>
      <c r="H114" s="100">
        <v>3803</v>
      </c>
      <c r="I114" s="139"/>
      <c r="J114" s="231"/>
      <c r="K114" s="231"/>
      <c r="L114" s="231"/>
      <c r="M114" s="231"/>
      <c r="N114" s="231"/>
      <c r="O114" s="231"/>
      <c r="P114" s="231"/>
      <c r="Q114" s="231"/>
      <c r="R114" s="231"/>
      <c r="S114" s="231"/>
      <c r="T114" s="231"/>
      <c r="U114" s="231"/>
      <c r="V114" s="231"/>
      <c r="W114" s="231"/>
      <c r="X114" s="231"/>
      <c r="Y114" s="231"/>
      <c r="Z114" s="231"/>
      <c r="AA114" s="231"/>
      <c r="AB114" s="231"/>
      <c r="AC114" s="231"/>
      <c r="AD114" s="231"/>
      <c r="AE114" s="231"/>
      <c r="AF114" s="231"/>
      <c r="AG114" s="231"/>
      <c r="AH114" s="231"/>
      <c r="AI114" s="231"/>
    </row>
    <row r="115" spans="1:35" s="203" customFormat="1">
      <c r="A115" s="120">
        <v>17</v>
      </c>
      <c r="B115" s="116" t="s">
        <v>122</v>
      </c>
      <c r="C115" s="116"/>
      <c r="D115" s="116"/>
      <c r="E115" s="80">
        <v>91306</v>
      </c>
      <c r="F115" s="142">
        <f>SUM(F110:F114)</f>
        <v>88251</v>
      </c>
      <c r="G115" s="118"/>
      <c r="H115" s="142">
        <f>SUM(H110:H114)</f>
        <v>89530</v>
      </c>
      <c r="I115" s="139"/>
      <c r="J115" s="231"/>
      <c r="K115" s="231"/>
      <c r="L115" s="231"/>
      <c r="M115" s="231"/>
      <c r="N115" s="231"/>
      <c r="O115" s="231"/>
      <c r="P115" s="231"/>
      <c r="Q115" s="231"/>
      <c r="R115" s="231"/>
      <c r="S115" s="231"/>
      <c r="T115" s="231"/>
      <c r="U115" s="231"/>
      <c r="V115" s="231"/>
      <c r="W115" s="231"/>
      <c r="X115" s="231"/>
      <c r="Y115" s="231"/>
      <c r="Z115" s="231"/>
      <c r="AA115" s="231"/>
      <c r="AB115" s="231"/>
      <c r="AC115" s="231"/>
      <c r="AD115" s="231"/>
      <c r="AE115" s="231"/>
      <c r="AF115" s="231"/>
      <c r="AG115" s="231"/>
      <c r="AH115" s="231"/>
      <c r="AI115" s="231"/>
    </row>
    <row r="116" spans="1:35" s="203" customFormat="1">
      <c r="A116" s="111"/>
      <c r="B116" s="116"/>
      <c r="C116" s="116"/>
      <c r="D116" s="116"/>
      <c r="E116" s="143"/>
      <c r="F116" s="118"/>
      <c r="G116" s="118"/>
      <c r="H116" s="118"/>
      <c r="I116" s="139"/>
      <c r="J116" s="231"/>
      <c r="K116" s="231"/>
      <c r="L116" s="231"/>
      <c r="M116" s="231"/>
      <c r="N116" s="231"/>
      <c r="O116" s="231"/>
      <c r="P116" s="231"/>
      <c r="Q116" s="231"/>
      <c r="R116" s="231"/>
      <c r="S116" s="231"/>
      <c r="T116" s="231"/>
      <c r="U116" s="231"/>
      <c r="V116" s="231"/>
      <c r="W116" s="231"/>
      <c r="X116" s="231"/>
      <c r="Y116" s="231"/>
      <c r="Z116" s="231"/>
      <c r="AA116" s="231"/>
      <c r="AB116" s="231"/>
      <c r="AC116" s="231"/>
      <c r="AD116" s="231"/>
      <c r="AE116" s="231"/>
      <c r="AF116" s="231"/>
      <c r="AG116" s="231"/>
      <c r="AH116" s="231"/>
      <c r="AI116" s="231"/>
    </row>
    <row r="117" spans="1:35" s="203" customFormat="1">
      <c r="A117" s="144" t="s">
        <v>107</v>
      </c>
      <c r="B117" s="116"/>
      <c r="C117" s="116"/>
      <c r="D117" s="116"/>
      <c r="E117" s="145"/>
      <c r="F117" s="146"/>
      <c r="G117" s="118"/>
      <c r="H117" s="146"/>
      <c r="I117" s="139"/>
      <c r="J117" s="231"/>
      <c r="K117" s="231"/>
      <c r="L117" s="231"/>
      <c r="M117" s="231"/>
      <c r="N117" s="231"/>
      <c r="O117" s="231"/>
      <c r="P117" s="231"/>
      <c r="Q117" s="231"/>
      <c r="R117" s="231"/>
      <c r="S117" s="231"/>
      <c r="T117" s="231"/>
      <c r="U117" s="231"/>
      <c r="V117" s="231"/>
      <c r="W117" s="231"/>
      <c r="X117" s="231"/>
      <c r="Y117" s="231"/>
      <c r="Z117" s="231"/>
      <c r="AA117" s="231"/>
      <c r="AB117" s="231"/>
      <c r="AC117" s="231"/>
      <c r="AD117" s="231"/>
      <c r="AE117" s="231"/>
      <c r="AF117" s="231"/>
      <c r="AG117" s="231"/>
      <c r="AH117" s="231"/>
      <c r="AI117" s="231"/>
    </row>
    <row r="118" spans="1:35" s="203" customFormat="1">
      <c r="A118" s="120">
        <v>18</v>
      </c>
      <c r="B118" s="47" t="s">
        <v>123</v>
      </c>
      <c r="C118" s="47"/>
      <c r="D118" s="47"/>
      <c r="E118" s="49">
        <v>9817</v>
      </c>
      <c r="F118" s="52">
        <v>9721</v>
      </c>
      <c r="G118" s="118"/>
      <c r="H118" s="122">
        <v>9667</v>
      </c>
      <c r="I118" s="139"/>
      <c r="J118" s="231"/>
      <c r="K118" s="231"/>
      <c r="L118" s="231"/>
      <c r="M118" s="231"/>
      <c r="N118" s="231"/>
      <c r="O118" s="231"/>
      <c r="P118" s="231"/>
      <c r="Q118" s="231"/>
      <c r="R118" s="231"/>
      <c r="S118" s="231"/>
      <c r="T118" s="231"/>
      <c r="U118" s="231"/>
      <c r="V118" s="231"/>
      <c r="W118" s="231"/>
      <c r="X118" s="231"/>
      <c r="Y118" s="231"/>
      <c r="Z118" s="231"/>
      <c r="AA118" s="231"/>
      <c r="AB118" s="231"/>
      <c r="AC118" s="231"/>
      <c r="AD118" s="231"/>
      <c r="AE118" s="231"/>
      <c r="AF118" s="231"/>
      <c r="AG118" s="231"/>
      <c r="AH118" s="231"/>
      <c r="AI118" s="231"/>
    </row>
    <row r="119" spans="1:35" s="203" customFormat="1">
      <c r="A119" s="120">
        <v>19</v>
      </c>
      <c r="B119" s="47" t="s">
        <v>124</v>
      </c>
      <c r="C119" s="47"/>
      <c r="D119" s="47"/>
      <c r="E119" s="49">
        <v>17128</v>
      </c>
      <c r="F119" s="52">
        <v>17976</v>
      </c>
      <c r="G119" s="118"/>
      <c r="H119" s="122">
        <v>17947</v>
      </c>
      <c r="I119" s="139"/>
      <c r="J119" s="231"/>
      <c r="K119" s="231"/>
      <c r="L119" s="231"/>
      <c r="M119" s="231"/>
      <c r="N119" s="231"/>
      <c r="O119" s="231"/>
      <c r="P119" s="231"/>
      <c r="Q119" s="231"/>
      <c r="R119" s="231"/>
      <c r="S119" s="231"/>
      <c r="T119" s="231"/>
      <c r="U119" s="231"/>
      <c r="V119" s="231"/>
      <c r="W119" s="231"/>
      <c r="X119" s="231"/>
      <c r="Y119" s="231"/>
      <c r="Z119" s="231"/>
      <c r="AA119" s="231"/>
      <c r="AB119" s="231"/>
      <c r="AC119" s="231"/>
      <c r="AD119" s="231"/>
      <c r="AE119" s="231"/>
      <c r="AF119" s="231"/>
      <c r="AG119" s="231"/>
      <c r="AH119" s="231"/>
      <c r="AI119" s="231"/>
    </row>
    <row r="120" spans="1:35" s="203" customFormat="1">
      <c r="A120" s="120">
        <v>20</v>
      </c>
      <c r="B120" s="47" t="s">
        <v>119</v>
      </c>
      <c r="C120" s="47"/>
      <c r="D120" s="47"/>
      <c r="E120" s="49">
        <v>54219</v>
      </c>
      <c r="F120" s="52">
        <v>55476</v>
      </c>
      <c r="G120" s="118"/>
      <c r="H120" s="122">
        <v>54610</v>
      </c>
      <c r="I120" s="139"/>
      <c r="J120" s="231"/>
      <c r="K120" s="231"/>
      <c r="L120" s="231"/>
      <c r="M120" s="231"/>
      <c r="N120" s="231"/>
      <c r="O120" s="231"/>
      <c r="P120" s="231"/>
      <c r="Q120" s="231"/>
      <c r="R120" s="231"/>
      <c r="S120" s="231"/>
      <c r="T120" s="231"/>
      <c r="U120" s="231"/>
      <c r="V120" s="231"/>
      <c r="W120" s="231"/>
      <c r="X120" s="231"/>
      <c r="Y120" s="231"/>
      <c r="Z120" s="231"/>
      <c r="AA120" s="231"/>
      <c r="AB120" s="231"/>
      <c r="AC120" s="231"/>
      <c r="AD120" s="231"/>
      <c r="AE120" s="231"/>
      <c r="AF120" s="231"/>
      <c r="AG120" s="231"/>
      <c r="AH120" s="231"/>
      <c r="AI120" s="231"/>
    </row>
    <row r="121" spans="1:35" s="203" customFormat="1">
      <c r="A121" s="120">
        <v>21</v>
      </c>
      <c r="B121" s="47" t="s">
        <v>120</v>
      </c>
      <c r="C121" s="47"/>
      <c r="D121" s="47"/>
      <c r="E121" s="49">
        <v>4493</v>
      </c>
      <c r="F121" s="52">
        <v>4649</v>
      </c>
      <c r="G121" s="118"/>
      <c r="H121" s="122">
        <v>4751</v>
      </c>
      <c r="I121" s="139"/>
      <c r="J121" s="231"/>
      <c r="K121" s="231"/>
      <c r="L121" s="231"/>
      <c r="M121" s="231"/>
      <c r="N121" s="231"/>
      <c r="O121" s="231"/>
      <c r="P121" s="231"/>
      <c r="Q121" s="231"/>
      <c r="R121" s="231"/>
      <c r="S121" s="231"/>
      <c r="T121" s="231"/>
      <c r="U121" s="231"/>
      <c r="V121" s="231"/>
      <c r="W121" s="231"/>
      <c r="X121" s="231"/>
      <c r="Y121" s="231"/>
      <c r="Z121" s="231"/>
      <c r="AA121" s="231"/>
      <c r="AB121" s="231"/>
      <c r="AC121" s="231"/>
      <c r="AD121" s="231"/>
      <c r="AE121" s="231"/>
      <c r="AF121" s="231"/>
      <c r="AG121" s="231"/>
      <c r="AH121" s="231"/>
      <c r="AI121" s="231"/>
    </row>
    <row r="122" spans="1:35" s="203" customFormat="1">
      <c r="A122" s="120">
        <v>22</v>
      </c>
      <c r="B122" s="47" t="s">
        <v>125</v>
      </c>
      <c r="C122" s="47"/>
      <c r="D122" s="47"/>
      <c r="E122" s="49">
        <v>1560</v>
      </c>
      <c r="F122" s="52">
        <v>1522</v>
      </c>
      <c r="G122" s="118"/>
      <c r="H122" s="122">
        <v>1628</v>
      </c>
      <c r="I122" s="139"/>
      <c r="J122" s="231"/>
      <c r="K122" s="231"/>
      <c r="L122" s="231"/>
      <c r="M122" s="231"/>
      <c r="N122" s="231"/>
      <c r="O122" s="231"/>
      <c r="P122" s="231"/>
      <c r="Q122" s="231"/>
      <c r="R122" s="231"/>
      <c r="S122" s="231"/>
      <c r="T122" s="231"/>
      <c r="U122" s="231"/>
      <c r="V122" s="231"/>
      <c r="W122" s="231"/>
      <c r="X122" s="231"/>
      <c r="Y122" s="231"/>
      <c r="Z122" s="231"/>
      <c r="AA122" s="231"/>
      <c r="AB122" s="231"/>
      <c r="AC122" s="231"/>
      <c r="AD122" s="231"/>
      <c r="AE122" s="231"/>
      <c r="AF122" s="231"/>
      <c r="AG122" s="231"/>
      <c r="AH122" s="231"/>
      <c r="AI122" s="231"/>
    </row>
    <row r="123" spans="1:35" s="203" customFormat="1">
      <c r="A123" s="120">
        <v>23</v>
      </c>
      <c r="B123" s="90" t="s">
        <v>126</v>
      </c>
      <c r="C123" s="47"/>
      <c r="D123" s="47"/>
      <c r="E123" s="49">
        <v>9016</v>
      </c>
      <c r="F123" s="52">
        <v>10680</v>
      </c>
      <c r="G123" s="118"/>
      <c r="H123" s="99">
        <v>10990</v>
      </c>
      <c r="I123" s="139"/>
      <c r="J123" s="231"/>
      <c r="K123" s="231"/>
      <c r="L123" s="231"/>
      <c r="M123" s="231"/>
      <c r="N123" s="231"/>
      <c r="O123" s="231"/>
      <c r="P123" s="231"/>
      <c r="Q123" s="231"/>
      <c r="R123" s="231"/>
      <c r="S123" s="231"/>
      <c r="T123" s="231"/>
      <c r="U123" s="231"/>
      <c r="V123" s="231"/>
      <c r="W123" s="231"/>
      <c r="X123" s="231"/>
      <c r="Y123" s="231"/>
      <c r="Z123" s="231"/>
      <c r="AA123" s="231"/>
      <c r="AB123" s="231"/>
      <c r="AC123" s="231"/>
      <c r="AD123" s="231"/>
      <c r="AE123" s="231"/>
      <c r="AF123" s="231"/>
      <c r="AG123" s="231"/>
      <c r="AH123" s="231"/>
      <c r="AI123" s="231"/>
    </row>
    <row r="124" spans="1:35" s="203" customFormat="1">
      <c r="A124" s="120">
        <v>24</v>
      </c>
      <c r="B124" s="47" t="s">
        <v>121</v>
      </c>
      <c r="C124" s="47"/>
      <c r="D124" s="47"/>
      <c r="E124" s="49">
        <v>839</v>
      </c>
      <c r="F124" s="52">
        <v>1094</v>
      </c>
      <c r="G124" s="118"/>
      <c r="H124" s="100">
        <v>1263</v>
      </c>
      <c r="I124" s="139"/>
      <c r="J124" s="231"/>
      <c r="K124" s="231"/>
      <c r="L124" s="231"/>
      <c r="M124" s="231"/>
      <c r="N124" s="231"/>
      <c r="O124" s="231"/>
      <c r="P124" s="231"/>
      <c r="Q124" s="231"/>
      <c r="R124" s="231"/>
      <c r="S124" s="231"/>
      <c r="T124" s="231"/>
      <c r="U124" s="231"/>
      <c r="V124" s="231"/>
      <c r="W124" s="231"/>
      <c r="X124" s="231"/>
      <c r="Y124" s="231"/>
      <c r="Z124" s="231"/>
      <c r="AA124" s="231"/>
      <c r="AB124" s="231"/>
      <c r="AC124" s="231"/>
      <c r="AD124" s="231"/>
      <c r="AE124" s="231"/>
      <c r="AF124" s="231"/>
      <c r="AG124" s="231"/>
      <c r="AH124" s="231"/>
      <c r="AI124" s="231"/>
    </row>
    <row r="125" spans="1:35" s="203" customFormat="1">
      <c r="A125" s="120">
        <v>25</v>
      </c>
      <c r="B125" s="147" t="s">
        <v>127</v>
      </c>
      <c r="C125" s="147"/>
      <c r="D125" s="147"/>
      <c r="E125" s="80">
        <v>97072</v>
      </c>
      <c r="F125" s="142">
        <f>SUM(F118:F124)</f>
        <v>101118</v>
      </c>
      <c r="G125" s="118"/>
      <c r="H125" s="142">
        <f>SUM(H118:H124)</f>
        <v>100856</v>
      </c>
      <c r="I125" s="139"/>
      <c r="J125" s="231"/>
      <c r="K125" s="231"/>
      <c r="L125" s="231"/>
      <c r="M125" s="231"/>
      <c r="N125" s="231"/>
      <c r="O125" s="231"/>
      <c r="P125" s="231"/>
      <c r="Q125" s="231"/>
      <c r="R125" s="231"/>
      <c r="S125" s="231"/>
      <c r="T125" s="231"/>
      <c r="U125" s="231"/>
      <c r="V125" s="231"/>
      <c r="W125" s="231"/>
      <c r="X125" s="231"/>
      <c r="Y125" s="231"/>
      <c r="Z125" s="231"/>
      <c r="AA125" s="231"/>
      <c r="AB125" s="231"/>
      <c r="AC125" s="231"/>
      <c r="AD125" s="231"/>
      <c r="AE125" s="231"/>
      <c r="AF125" s="231"/>
      <c r="AG125" s="231"/>
      <c r="AH125" s="231"/>
      <c r="AI125" s="231"/>
    </row>
    <row r="126" spans="1:35" s="203" customFormat="1">
      <c r="A126" s="111"/>
      <c r="B126" s="47"/>
      <c r="C126" s="47"/>
      <c r="D126" s="47"/>
      <c r="E126" s="117"/>
      <c r="F126" s="118"/>
      <c r="G126" s="118"/>
      <c r="H126" s="118"/>
      <c r="I126" s="139"/>
      <c r="J126" s="231"/>
      <c r="K126" s="231"/>
      <c r="L126" s="231"/>
      <c r="M126" s="231"/>
      <c r="N126" s="231"/>
      <c r="O126" s="231"/>
      <c r="P126" s="231"/>
      <c r="Q126" s="231"/>
      <c r="R126" s="231"/>
      <c r="S126" s="231"/>
      <c r="T126" s="231"/>
      <c r="U126" s="231"/>
      <c r="V126" s="231"/>
      <c r="W126" s="231"/>
      <c r="X126" s="231"/>
      <c r="Y126" s="231"/>
      <c r="Z126" s="231"/>
      <c r="AA126" s="231"/>
      <c r="AB126" s="231"/>
      <c r="AC126" s="231"/>
      <c r="AD126" s="231"/>
      <c r="AE126" s="231"/>
      <c r="AF126" s="231"/>
      <c r="AG126" s="231"/>
      <c r="AH126" s="231"/>
      <c r="AI126" s="231"/>
    </row>
    <row r="127" spans="1:35" s="203" customFormat="1">
      <c r="A127" s="119" t="s">
        <v>108</v>
      </c>
      <c r="B127" s="147"/>
      <c r="C127" s="147"/>
      <c r="D127" s="147"/>
      <c r="E127" s="140"/>
      <c r="F127" s="146"/>
      <c r="G127" s="118"/>
      <c r="H127" s="146"/>
      <c r="I127" s="139"/>
      <c r="J127" s="231"/>
      <c r="K127" s="231"/>
      <c r="L127" s="231"/>
      <c r="M127" s="231"/>
      <c r="N127" s="231"/>
      <c r="O127" s="231"/>
      <c r="P127" s="231"/>
      <c r="Q127" s="231"/>
      <c r="R127" s="231"/>
      <c r="S127" s="231"/>
      <c r="T127" s="231"/>
      <c r="U127" s="231"/>
      <c r="V127" s="231"/>
      <c r="W127" s="231"/>
      <c r="X127" s="231"/>
      <c r="Y127" s="231"/>
      <c r="Z127" s="231"/>
      <c r="AA127" s="231"/>
      <c r="AB127" s="231"/>
      <c r="AC127" s="231"/>
      <c r="AD127" s="231"/>
      <c r="AE127" s="231"/>
      <c r="AF127" s="231"/>
      <c r="AG127" s="231"/>
      <c r="AH127" s="231"/>
      <c r="AI127" s="231"/>
    </row>
    <row r="128" spans="1:35" s="203" customFormat="1">
      <c r="A128" s="120">
        <v>26</v>
      </c>
      <c r="B128" s="47" t="s">
        <v>123</v>
      </c>
      <c r="C128" s="47"/>
      <c r="D128" s="47"/>
      <c r="E128" s="74">
        <v>950</v>
      </c>
      <c r="F128" s="52">
        <v>878</v>
      </c>
      <c r="G128" s="118"/>
      <c r="H128" s="122">
        <v>743</v>
      </c>
      <c r="I128" s="139"/>
      <c r="J128" s="231"/>
      <c r="K128" s="231"/>
      <c r="L128" s="231"/>
      <c r="M128" s="231"/>
      <c r="N128" s="231"/>
      <c r="O128" s="231"/>
      <c r="P128" s="231"/>
      <c r="Q128" s="231"/>
      <c r="R128" s="231"/>
      <c r="S128" s="231"/>
      <c r="T128" s="231"/>
      <c r="U128" s="231"/>
      <c r="V128" s="231"/>
      <c r="W128" s="231"/>
      <c r="X128" s="231"/>
      <c r="Y128" s="231"/>
      <c r="Z128" s="231"/>
      <c r="AA128" s="231"/>
      <c r="AB128" s="231"/>
      <c r="AC128" s="231"/>
      <c r="AD128" s="231"/>
      <c r="AE128" s="231"/>
      <c r="AF128" s="231"/>
      <c r="AG128" s="231"/>
      <c r="AH128" s="231"/>
      <c r="AI128" s="231"/>
    </row>
    <row r="129" spans="1:35" s="203" customFormat="1">
      <c r="A129" s="120">
        <v>27</v>
      </c>
      <c r="B129" s="47" t="s">
        <v>124</v>
      </c>
      <c r="C129" s="47"/>
      <c r="D129" s="47"/>
      <c r="E129" s="49">
        <v>11629</v>
      </c>
      <c r="F129" s="52">
        <v>12854</v>
      </c>
      <c r="G129" s="118"/>
      <c r="H129" s="122">
        <v>12526</v>
      </c>
      <c r="I129" s="139"/>
      <c r="J129" s="231"/>
      <c r="K129" s="231"/>
      <c r="L129" s="231"/>
      <c r="M129" s="231"/>
      <c r="N129" s="231"/>
      <c r="O129" s="231"/>
      <c r="P129" s="231"/>
      <c r="Q129" s="231"/>
      <c r="R129" s="231"/>
      <c r="S129" s="231"/>
      <c r="T129" s="231"/>
      <c r="U129" s="231"/>
      <c r="V129" s="231"/>
      <c r="W129" s="231"/>
      <c r="X129" s="231"/>
      <c r="Y129" s="231"/>
      <c r="Z129" s="231"/>
      <c r="AA129" s="231"/>
      <c r="AB129" s="231"/>
      <c r="AC129" s="231"/>
      <c r="AD129" s="231"/>
      <c r="AE129" s="231"/>
      <c r="AF129" s="231"/>
      <c r="AG129" s="231"/>
      <c r="AH129" s="231"/>
      <c r="AI129" s="231"/>
    </row>
    <row r="130" spans="1:35" s="203" customFormat="1">
      <c r="A130" s="120">
        <v>28</v>
      </c>
      <c r="B130" s="47" t="s">
        <v>119</v>
      </c>
      <c r="C130" s="47"/>
      <c r="D130" s="47"/>
      <c r="E130" s="49">
        <v>6617</v>
      </c>
      <c r="F130" s="52">
        <v>6170</v>
      </c>
      <c r="G130" s="118"/>
      <c r="H130" s="122">
        <v>6662</v>
      </c>
      <c r="I130" s="139"/>
      <c r="J130" s="231"/>
      <c r="K130" s="231"/>
      <c r="L130" s="231"/>
      <c r="M130" s="231"/>
      <c r="N130" s="231"/>
      <c r="O130" s="231"/>
      <c r="P130" s="231"/>
      <c r="Q130" s="231"/>
      <c r="R130" s="231"/>
      <c r="S130" s="231"/>
      <c r="T130" s="231"/>
      <c r="U130" s="231"/>
      <c r="V130" s="231"/>
      <c r="W130" s="231"/>
      <c r="X130" s="231"/>
      <c r="Y130" s="231"/>
      <c r="Z130" s="231"/>
      <c r="AA130" s="231"/>
      <c r="AB130" s="231"/>
      <c r="AC130" s="231"/>
      <c r="AD130" s="231"/>
      <c r="AE130" s="231"/>
      <c r="AF130" s="231"/>
      <c r="AG130" s="231"/>
      <c r="AH130" s="231"/>
      <c r="AI130" s="231"/>
    </row>
    <row r="131" spans="1:35" s="203" customFormat="1">
      <c r="A131" s="120">
        <v>29</v>
      </c>
      <c r="B131" s="47" t="s">
        <v>120</v>
      </c>
      <c r="C131" s="47"/>
      <c r="D131" s="47"/>
      <c r="E131" s="49">
        <v>7099</v>
      </c>
      <c r="F131" s="52">
        <v>7075</v>
      </c>
      <c r="G131" s="118"/>
      <c r="H131" s="122">
        <v>7991</v>
      </c>
      <c r="I131" s="139"/>
      <c r="J131" s="231"/>
      <c r="K131" s="231"/>
      <c r="L131" s="231"/>
      <c r="M131" s="231"/>
      <c r="N131" s="231"/>
      <c r="O131" s="231"/>
      <c r="P131" s="231"/>
      <c r="Q131" s="231"/>
      <c r="R131" s="231"/>
      <c r="S131" s="231"/>
      <c r="T131" s="231"/>
      <c r="U131" s="231"/>
      <c r="V131" s="231"/>
      <c r="W131" s="231"/>
      <c r="X131" s="231"/>
      <c r="Y131" s="231"/>
      <c r="Z131" s="231"/>
      <c r="AA131" s="231"/>
      <c r="AB131" s="231"/>
      <c r="AC131" s="231"/>
      <c r="AD131" s="231"/>
      <c r="AE131" s="231"/>
      <c r="AF131" s="231"/>
      <c r="AG131" s="231"/>
      <c r="AH131" s="231"/>
      <c r="AI131" s="231"/>
    </row>
    <row r="132" spans="1:35" s="203" customFormat="1">
      <c r="A132" s="120">
        <v>30</v>
      </c>
      <c r="B132" s="47" t="s">
        <v>125</v>
      </c>
      <c r="C132" s="47"/>
      <c r="D132" s="47"/>
      <c r="E132" s="49">
        <v>489</v>
      </c>
      <c r="F132" s="52">
        <v>317</v>
      </c>
      <c r="G132" s="118"/>
      <c r="H132" s="122">
        <v>545</v>
      </c>
      <c r="I132" s="139"/>
      <c r="J132" s="231"/>
      <c r="K132" s="231"/>
      <c r="L132" s="231"/>
      <c r="M132" s="231"/>
      <c r="N132" s="231"/>
      <c r="O132" s="231"/>
      <c r="P132" s="231"/>
      <c r="Q132" s="231"/>
      <c r="R132" s="231"/>
      <c r="S132" s="231"/>
      <c r="T132" s="231"/>
      <c r="U132" s="231"/>
      <c r="V132" s="231"/>
      <c r="W132" s="231"/>
      <c r="X132" s="231"/>
      <c r="Y132" s="231"/>
      <c r="Z132" s="231"/>
      <c r="AA132" s="231"/>
      <c r="AB132" s="231"/>
      <c r="AC132" s="231"/>
      <c r="AD132" s="231"/>
      <c r="AE132" s="231"/>
      <c r="AF132" s="231"/>
      <c r="AG132" s="231"/>
      <c r="AH132" s="231"/>
      <c r="AI132" s="231"/>
    </row>
    <row r="133" spans="1:35" s="203" customFormat="1">
      <c r="A133" s="120">
        <v>31</v>
      </c>
      <c r="B133" s="90" t="s">
        <v>126</v>
      </c>
      <c r="C133" s="47"/>
      <c r="D133" s="47"/>
      <c r="E133" s="49">
        <v>6309</v>
      </c>
      <c r="F133" s="52">
        <v>7007</v>
      </c>
      <c r="G133" s="118"/>
      <c r="H133" s="122">
        <v>6514</v>
      </c>
      <c r="I133" s="139"/>
      <c r="J133" s="231"/>
      <c r="K133" s="231"/>
      <c r="L133" s="231"/>
      <c r="M133" s="231"/>
      <c r="N133" s="231"/>
      <c r="O133" s="231"/>
      <c r="P133" s="231"/>
      <c r="Q133" s="231"/>
      <c r="R133" s="231"/>
      <c r="S133" s="231"/>
      <c r="T133" s="231"/>
      <c r="U133" s="231"/>
      <c r="V133" s="231"/>
      <c r="W133" s="231"/>
      <c r="X133" s="231"/>
      <c r="Y133" s="231"/>
      <c r="Z133" s="231"/>
      <c r="AA133" s="231"/>
      <c r="AB133" s="231"/>
      <c r="AC133" s="231"/>
      <c r="AD133" s="231"/>
      <c r="AE133" s="231"/>
      <c r="AF133" s="231"/>
      <c r="AG133" s="231"/>
      <c r="AH133" s="231"/>
      <c r="AI133" s="231"/>
    </row>
    <row r="134" spans="1:35" s="203" customFormat="1">
      <c r="A134" s="120">
        <v>32</v>
      </c>
      <c r="B134" s="47" t="s">
        <v>121</v>
      </c>
      <c r="C134" s="47"/>
      <c r="D134" s="47"/>
      <c r="E134" s="49">
        <v>774</v>
      </c>
      <c r="F134" s="52">
        <v>5</v>
      </c>
      <c r="G134" s="118"/>
      <c r="H134" s="100">
        <v>46</v>
      </c>
      <c r="I134" s="139"/>
      <c r="J134" s="231"/>
      <c r="K134" s="231"/>
      <c r="L134" s="231"/>
      <c r="M134" s="231"/>
      <c r="N134" s="231"/>
      <c r="O134" s="231"/>
      <c r="P134" s="231"/>
      <c r="Q134" s="231"/>
      <c r="R134" s="231"/>
      <c r="S134" s="231"/>
      <c r="T134" s="231"/>
      <c r="U134" s="231"/>
      <c r="V134" s="231"/>
      <c r="W134" s="231"/>
      <c r="X134" s="231"/>
      <c r="Y134" s="231"/>
      <c r="Z134" s="231"/>
      <c r="AA134" s="231"/>
      <c r="AB134" s="231"/>
      <c r="AC134" s="231"/>
      <c r="AD134" s="231"/>
      <c r="AE134" s="231"/>
      <c r="AF134" s="231"/>
      <c r="AG134" s="231"/>
      <c r="AH134" s="231"/>
      <c r="AI134" s="231"/>
    </row>
    <row r="135" spans="1:35" s="203" customFormat="1">
      <c r="A135" s="120">
        <v>33</v>
      </c>
      <c r="B135" s="116" t="s">
        <v>128</v>
      </c>
      <c r="C135" s="116"/>
      <c r="D135" s="116"/>
      <c r="E135" s="80">
        <v>33867</v>
      </c>
      <c r="F135" s="142">
        <f>SUM(F128:F134)</f>
        <v>34306</v>
      </c>
      <c r="G135" s="118"/>
      <c r="H135" s="142">
        <f>SUM(H128:H134)</f>
        <v>35027</v>
      </c>
      <c r="I135" s="139"/>
      <c r="J135" s="231"/>
      <c r="K135" s="231"/>
      <c r="L135" s="231"/>
      <c r="M135" s="231"/>
      <c r="N135" s="231"/>
      <c r="O135" s="231"/>
      <c r="P135" s="231"/>
      <c r="Q135" s="231"/>
      <c r="R135" s="231"/>
      <c r="S135" s="231"/>
      <c r="T135" s="231"/>
      <c r="U135" s="231"/>
      <c r="V135" s="231"/>
      <c r="W135" s="231"/>
      <c r="X135" s="231"/>
      <c r="Y135" s="231"/>
      <c r="Z135" s="231"/>
      <c r="AA135" s="231"/>
      <c r="AB135" s="231"/>
      <c r="AC135" s="231"/>
      <c r="AD135" s="231"/>
      <c r="AE135" s="231"/>
      <c r="AF135" s="231"/>
      <c r="AG135" s="231"/>
      <c r="AH135" s="231"/>
      <c r="AI135" s="231"/>
    </row>
    <row r="136" spans="1:35" s="203" customFormat="1">
      <c r="A136" s="111"/>
      <c r="B136" s="47"/>
      <c r="C136" s="47"/>
      <c r="D136" s="138"/>
      <c r="E136" s="117"/>
      <c r="F136" s="118"/>
      <c r="G136" s="118"/>
      <c r="H136" s="118"/>
      <c r="I136" s="139"/>
      <c r="J136" s="231"/>
      <c r="K136" s="231"/>
      <c r="L136" s="231"/>
      <c r="M136" s="231"/>
      <c r="N136" s="231"/>
      <c r="O136" s="231"/>
      <c r="P136" s="231"/>
      <c r="Q136" s="231"/>
      <c r="R136" s="231"/>
      <c r="S136" s="231"/>
      <c r="T136" s="231"/>
      <c r="U136" s="231"/>
      <c r="V136" s="231"/>
      <c r="W136" s="231"/>
      <c r="X136" s="231"/>
      <c r="Y136" s="231"/>
      <c r="Z136" s="231"/>
      <c r="AA136" s="231"/>
      <c r="AB136" s="231"/>
      <c r="AC136" s="231"/>
      <c r="AD136" s="231"/>
      <c r="AE136" s="231"/>
      <c r="AF136" s="231"/>
      <c r="AG136" s="231"/>
      <c r="AH136" s="231"/>
      <c r="AI136" s="231"/>
    </row>
    <row r="137" spans="1:35" s="203" customFormat="1">
      <c r="A137" s="119" t="s">
        <v>109</v>
      </c>
      <c r="B137" s="116"/>
      <c r="C137" s="116"/>
      <c r="D137" s="116"/>
      <c r="E137" s="140"/>
      <c r="F137" s="146"/>
      <c r="G137" s="118"/>
      <c r="H137" s="146"/>
      <c r="I137" s="139"/>
      <c r="J137" s="231"/>
      <c r="K137" s="231"/>
      <c r="L137" s="231"/>
      <c r="M137" s="231"/>
      <c r="N137" s="231"/>
      <c r="O137" s="231"/>
      <c r="P137" s="231"/>
      <c r="Q137" s="231"/>
      <c r="R137" s="231"/>
      <c r="S137" s="231"/>
      <c r="T137" s="231"/>
      <c r="U137" s="231"/>
      <c r="V137" s="231"/>
      <c r="W137" s="231"/>
      <c r="X137" s="231"/>
      <c r="Y137" s="231"/>
      <c r="Z137" s="231"/>
      <c r="AA137" s="231"/>
      <c r="AB137" s="231"/>
      <c r="AC137" s="231"/>
      <c r="AD137" s="231"/>
      <c r="AE137" s="231"/>
      <c r="AF137" s="231"/>
      <c r="AG137" s="231"/>
      <c r="AH137" s="231"/>
      <c r="AI137" s="231"/>
    </row>
    <row r="138" spans="1:35" s="203" customFormat="1">
      <c r="A138" s="120">
        <v>34</v>
      </c>
      <c r="B138" s="47" t="s">
        <v>123</v>
      </c>
      <c r="C138" s="47"/>
      <c r="D138" s="47"/>
      <c r="E138" s="49">
        <v>1152</v>
      </c>
      <c r="F138" s="52">
        <v>589</v>
      </c>
      <c r="G138" s="118"/>
      <c r="H138" s="122">
        <v>867</v>
      </c>
      <c r="I138" s="139"/>
      <c r="J138" s="231"/>
      <c r="K138" s="231"/>
      <c r="L138" s="231"/>
      <c r="M138" s="231"/>
      <c r="N138" s="231"/>
      <c r="O138" s="231"/>
      <c r="P138" s="231"/>
      <c r="Q138" s="231"/>
      <c r="R138" s="231"/>
      <c r="S138" s="231"/>
      <c r="T138" s="231"/>
      <c r="U138" s="231"/>
      <c r="V138" s="231"/>
      <c r="W138" s="231"/>
      <c r="X138" s="231"/>
      <c r="Y138" s="231"/>
      <c r="Z138" s="231"/>
      <c r="AA138" s="231"/>
      <c r="AB138" s="231"/>
      <c r="AC138" s="231"/>
      <c r="AD138" s="231"/>
      <c r="AE138" s="231"/>
      <c r="AF138" s="231"/>
      <c r="AG138" s="231"/>
      <c r="AH138" s="231"/>
      <c r="AI138" s="231"/>
    </row>
    <row r="139" spans="1:35" s="203" customFormat="1">
      <c r="A139" s="120">
        <v>35</v>
      </c>
      <c r="B139" s="47" t="s">
        <v>119</v>
      </c>
      <c r="C139" s="47"/>
      <c r="D139" s="47"/>
      <c r="E139" s="49">
        <v>4175</v>
      </c>
      <c r="F139" s="52">
        <v>4419</v>
      </c>
      <c r="G139" s="118"/>
      <c r="H139" s="122">
        <v>5256</v>
      </c>
      <c r="I139" s="139"/>
      <c r="J139" s="231"/>
      <c r="K139" s="231"/>
      <c r="L139" s="231"/>
      <c r="M139" s="231"/>
      <c r="N139" s="231"/>
      <c r="O139" s="231"/>
      <c r="P139" s="231"/>
      <c r="Q139" s="231"/>
      <c r="R139" s="231"/>
      <c r="S139" s="231"/>
      <c r="T139" s="231"/>
      <c r="U139" s="231"/>
      <c r="V139" s="231"/>
      <c r="W139" s="231"/>
      <c r="X139" s="231"/>
      <c r="Y139" s="231"/>
      <c r="Z139" s="231"/>
      <c r="AA139" s="231"/>
      <c r="AB139" s="231"/>
      <c r="AC139" s="231"/>
      <c r="AD139" s="231"/>
      <c r="AE139" s="231"/>
      <c r="AF139" s="231"/>
      <c r="AG139" s="231"/>
      <c r="AH139" s="231"/>
      <c r="AI139" s="231"/>
    </row>
    <row r="140" spans="1:35" s="203" customFormat="1">
      <c r="A140" s="120">
        <v>36</v>
      </c>
      <c r="B140" s="47" t="s">
        <v>120</v>
      </c>
      <c r="C140" s="47"/>
      <c r="D140" s="47"/>
      <c r="E140" s="49">
        <v>5074</v>
      </c>
      <c r="F140" s="52">
        <v>7723</v>
      </c>
      <c r="G140" s="118"/>
      <c r="H140" s="122">
        <v>8628</v>
      </c>
      <c r="I140" s="139"/>
      <c r="J140" s="231"/>
      <c r="K140" s="231"/>
      <c r="L140" s="231"/>
      <c r="M140" s="231"/>
      <c r="N140" s="231"/>
      <c r="O140" s="231"/>
      <c r="P140" s="231"/>
      <c r="Q140" s="231"/>
      <c r="R140" s="231"/>
      <c r="S140" s="231"/>
      <c r="T140" s="231"/>
      <c r="U140" s="231"/>
      <c r="V140" s="231"/>
      <c r="W140" s="231"/>
      <c r="X140" s="231"/>
      <c r="Y140" s="231"/>
      <c r="Z140" s="231"/>
      <c r="AA140" s="231"/>
      <c r="AB140" s="231"/>
      <c r="AC140" s="231"/>
      <c r="AD140" s="231"/>
      <c r="AE140" s="231"/>
      <c r="AF140" s="231"/>
      <c r="AG140" s="231"/>
      <c r="AH140" s="231"/>
      <c r="AI140" s="231"/>
    </row>
    <row r="141" spans="1:35" s="203" customFormat="1">
      <c r="A141" s="120">
        <v>37</v>
      </c>
      <c r="B141" s="90" t="s">
        <v>126</v>
      </c>
      <c r="C141" s="47"/>
      <c r="D141" s="47"/>
      <c r="E141" s="49">
        <v>8209</v>
      </c>
      <c r="F141" s="52">
        <v>9202</v>
      </c>
      <c r="G141" s="118"/>
      <c r="H141" s="99">
        <v>8937</v>
      </c>
      <c r="I141" s="139"/>
      <c r="J141" s="231"/>
      <c r="K141" s="231"/>
      <c r="L141" s="231"/>
      <c r="M141" s="231"/>
      <c r="N141" s="231"/>
      <c r="O141" s="231"/>
      <c r="P141" s="231"/>
      <c r="Q141" s="231"/>
      <c r="R141" s="231"/>
      <c r="S141" s="231"/>
      <c r="T141" s="231"/>
      <c r="U141" s="231"/>
      <c r="V141" s="231"/>
      <c r="W141" s="231"/>
      <c r="X141" s="231"/>
      <c r="Y141" s="231"/>
      <c r="Z141" s="231"/>
      <c r="AA141" s="231"/>
      <c r="AB141" s="231"/>
      <c r="AC141" s="231"/>
      <c r="AD141" s="231"/>
      <c r="AE141" s="231"/>
      <c r="AF141" s="231"/>
      <c r="AG141" s="231"/>
      <c r="AH141" s="231"/>
      <c r="AI141" s="231"/>
    </row>
    <row r="142" spans="1:35" s="203" customFormat="1">
      <c r="A142" s="120">
        <v>38</v>
      </c>
      <c r="B142" s="47" t="s">
        <v>121</v>
      </c>
      <c r="C142" s="47"/>
      <c r="D142" s="47"/>
      <c r="E142" s="49">
        <v>46456</v>
      </c>
      <c r="F142" s="52">
        <v>48746</v>
      </c>
      <c r="G142" s="118"/>
      <c r="H142" s="100">
        <v>48856</v>
      </c>
      <c r="I142" s="139"/>
      <c r="J142" s="231"/>
      <c r="K142" s="231"/>
      <c r="L142" s="231"/>
      <c r="M142" s="231"/>
      <c r="N142" s="231"/>
      <c r="O142" s="231"/>
      <c r="P142" s="231"/>
      <c r="Q142" s="231"/>
      <c r="R142" s="231"/>
      <c r="S142" s="231"/>
      <c r="T142" s="231"/>
      <c r="U142" s="231"/>
      <c r="V142" s="231"/>
      <c r="W142" s="231"/>
      <c r="X142" s="231"/>
      <c r="Y142" s="231"/>
      <c r="Z142" s="231"/>
      <c r="AA142" s="231"/>
      <c r="AB142" s="231"/>
      <c r="AC142" s="231"/>
      <c r="AD142" s="231"/>
      <c r="AE142" s="231"/>
      <c r="AF142" s="231"/>
      <c r="AG142" s="231"/>
      <c r="AH142" s="231"/>
      <c r="AI142" s="231"/>
    </row>
    <row r="143" spans="1:35" s="203" customFormat="1">
      <c r="A143" s="120">
        <v>39</v>
      </c>
      <c r="B143" s="116" t="s">
        <v>129</v>
      </c>
      <c r="C143" s="116"/>
      <c r="D143" s="116"/>
      <c r="E143" s="80">
        <v>65066</v>
      </c>
      <c r="F143" s="142">
        <f>SUM(F138:F142)</f>
        <v>70679</v>
      </c>
      <c r="G143" s="118"/>
      <c r="H143" s="142">
        <f>SUM(H138:H142)</f>
        <v>72544</v>
      </c>
      <c r="I143" s="139"/>
      <c r="J143" s="231"/>
      <c r="K143" s="231"/>
      <c r="L143" s="231"/>
      <c r="M143" s="231"/>
      <c r="N143" s="231"/>
      <c r="O143" s="231"/>
      <c r="P143" s="231"/>
      <c r="Q143" s="231"/>
      <c r="R143" s="231"/>
      <c r="S143" s="231"/>
      <c r="T143" s="231"/>
      <c r="U143" s="231"/>
      <c r="V143" s="231"/>
      <c r="W143" s="231"/>
      <c r="X143" s="231"/>
      <c r="Y143" s="231"/>
      <c r="Z143" s="231"/>
      <c r="AA143" s="231"/>
      <c r="AB143" s="231"/>
      <c r="AC143" s="231"/>
      <c r="AD143" s="231"/>
      <c r="AE143" s="231"/>
      <c r="AF143" s="231"/>
      <c r="AG143" s="231"/>
      <c r="AH143" s="231"/>
      <c r="AI143" s="231"/>
    </row>
    <row r="144" spans="1:35" s="203" customFormat="1">
      <c r="A144" s="111"/>
      <c r="B144" s="47"/>
      <c r="C144" s="47"/>
      <c r="D144" s="47"/>
      <c r="E144" s="117"/>
      <c r="F144" s="118"/>
      <c r="G144" s="118"/>
      <c r="H144" s="118"/>
      <c r="I144" s="139"/>
      <c r="J144" s="231"/>
      <c r="K144" s="231"/>
      <c r="L144" s="231"/>
      <c r="M144" s="231"/>
      <c r="N144" s="231"/>
      <c r="O144" s="231"/>
      <c r="P144" s="231"/>
      <c r="Q144" s="231"/>
      <c r="R144" s="231"/>
      <c r="S144" s="231"/>
      <c r="T144" s="231"/>
      <c r="U144" s="231"/>
      <c r="V144" s="231"/>
      <c r="W144" s="231"/>
      <c r="X144" s="231"/>
      <c r="Y144" s="231"/>
      <c r="Z144" s="231"/>
      <c r="AA144" s="231"/>
      <c r="AB144" s="231"/>
      <c r="AC144" s="231"/>
      <c r="AD144" s="231"/>
      <c r="AE144" s="231"/>
      <c r="AF144" s="231"/>
      <c r="AG144" s="231"/>
      <c r="AH144" s="231"/>
      <c r="AI144" s="231"/>
    </row>
    <row r="145" spans="1:35" s="203" customFormat="1">
      <c r="A145" s="119" t="s">
        <v>110</v>
      </c>
      <c r="B145" s="116"/>
      <c r="C145" s="116"/>
      <c r="D145" s="116"/>
      <c r="E145" s="140"/>
      <c r="F145" s="146"/>
      <c r="G145" s="118"/>
      <c r="H145" s="146"/>
      <c r="I145" s="139"/>
      <c r="J145" s="231"/>
      <c r="K145" s="231"/>
      <c r="L145" s="231"/>
      <c r="M145" s="231"/>
      <c r="N145" s="231"/>
      <c r="O145" s="231"/>
      <c r="P145" s="231"/>
      <c r="Q145" s="231"/>
      <c r="R145" s="231"/>
      <c r="S145" s="231"/>
      <c r="T145" s="231"/>
      <c r="U145" s="231"/>
      <c r="V145" s="231"/>
      <c r="W145" s="231"/>
      <c r="X145" s="231"/>
      <c r="Y145" s="231"/>
      <c r="Z145" s="231"/>
      <c r="AA145" s="231"/>
      <c r="AB145" s="231"/>
      <c r="AC145" s="231"/>
      <c r="AD145" s="231"/>
      <c r="AE145" s="231"/>
      <c r="AF145" s="231"/>
      <c r="AG145" s="231"/>
      <c r="AH145" s="231"/>
      <c r="AI145" s="231"/>
    </row>
    <row r="146" spans="1:35" s="203" customFormat="1">
      <c r="A146" s="120">
        <v>40</v>
      </c>
      <c r="B146" s="47" t="s">
        <v>123</v>
      </c>
      <c r="C146" s="47"/>
      <c r="D146" s="47"/>
      <c r="E146" s="49">
        <v>3997</v>
      </c>
      <c r="F146" s="52">
        <v>3649</v>
      </c>
      <c r="G146" s="118"/>
      <c r="H146" s="122">
        <v>4159</v>
      </c>
      <c r="I146" s="139"/>
      <c r="J146" s="231"/>
      <c r="K146" s="231"/>
      <c r="L146" s="231"/>
      <c r="M146" s="231"/>
      <c r="N146" s="231"/>
      <c r="O146" s="231"/>
      <c r="P146" s="231"/>
      <c r="Q146" s="231"/>
      <c r="R146" s="231"/>
      <c r="S146" s="231"/>
      <c r="T146" s="231"/>
      <c r="U146" s="231"/>
      <c r="V146" s="231"/>
      <c r="W146" s="231"/>
      <c r="X146" s="231"/>
      <c r="Y146" s="231"/>
      <c r="Z146" s="231"/>
      <c r="AA146" s="231"/>
      <c r="AB146" s="231"/>
      <c r="AC146" s="231"/>
      <c r="AD146" s="231"/>
      <c r="AE146" s="231"/>
      <c r="AF146" s="231"/>
      <c r="AG146" s="231"/>
      <c r="AH146" s="231"/>
      <c r="AI146" s="231"/>
    </row>
    <row r="147" spans="1:35" s="203" customFormat="1">
      <c r="A147" s="120">
        <v>41</v>
      </c>
      <c r="B147" s="47" t="s">
        <v>119</v>
      </c>
      <c r="C147" s="47"/>
      <c r="D147" s="47"/>
      <c r="E147" s="49">
        <v>2251</v>
      </c>
      <c r="F147" s="52">
        <v>2330</v>
      </c>
      <c r="G147" s="118"/>
      <c r="H147" s="122">
        <v>2682</v>
      </c>
      <c r="I147" s="139"/>
      <c r="J147" s="231"/>
      <c r="K147" s="231"/>
      <c r="L147" s="231"/>
      <c r="M147" s="231"/>
      <c r="N147" s="231"/>
      <c r="O147" s="231"/>
      <c r="P147" s="231"/>
      <c r="Q147" s="231"/>
      <c r="R147" s="231"/>
      <c r="S147" s="231"/>
      <c r="T147" s="231"/>
      <c r="U147" s="231"/>
      <c r="V147" s="231"/>
      <c r="W147" s="231"/>
      <c r="X147" s="231"/>
      <c r="Y147" s="231"/>
      <c r="Z147" s="231"/>
      <c r="AA147" s="231"/>
      <c r="AB147" s="231"/>
      <c r="AC147" s="231"/>
      <c r="AD147" s="231"/>
      <c r="AE147" s="231"/>
      <c r="AF147" s="231"/>
      <c r="AG147" s="231"/>
      <c r="AH147" s="231"/>
      <c r="AI147" s="231"/>
    </row>
    <row r="148" spans="1:35" s="203" customFormat="1">
      <c r="A148" s="120">
        <v>42</v>
      </c>
      <c r="B148" s="47" t="s">
        <v>120</v>
      </c>
      <c r="C148" s="47"/>
      <c r="D148" s="47"/>
      <c r="E148" s="49">
        <v>1429</v>
      </c>
      <c r="F148" s="52">
        <v>1696</v>
      </c>
      <c r="G148" s="118"/>
      <c r="H148" s="122">
        <v>1586</v>
      </c>
      <c r="I148" s="139"/>
      <c r="J148" s="231"/>
      <c r="K148" s="231"/>
      <c r="L148" s="231"/>
      <c r="M148" s="231"/>
      <c r="N148" s="231"/>
      <c r="O148" s="231"/>
      <c r="P148" s="231"/>
      <c r="Q148" s="231"/>
      <c r="R148" s="231"/>
      <c r="S148" s="231"/>
      <c r="T148" s="231"/>
      <c r="U148" s="231"/>
      <c r="V148" s="231"/>
      <c r="W148" s="231"/>
      <c r="X148" s="231"/>
      <c r="Y148" s="231"/>
      <c r="Z148" s="231"/>
      <c r="AA148" s="231"/>
      <c r="AB148" s="231"/>
      <c r="AC148" s="231"/>
      <c r="AD148" s="231"/>
      <c r="AE148" s="231"/>
      <c r="AF148" s="231"/>
      <c r="AG148" s="231"/>
      <c r="AH148" s="231"/>
      <c r="AI148" s="231"/>
    </row>
    <row r="149" spans="1:35" s="203" customFormat="1">
      <c r="A149" s="120">
        <v>43</v>
      </c>
      <c r="B149" s="47" t="s">
        <v>121</v>
      </c>
      <c r="C149" s="47"/>
      <c r="D149" s="47"/>
      <c r="E149" s="49">
        <v>7136</v>
      </c>
      <c r="F149" s="52">
        <v>9218</v>
      </c>
      <c r="G149" s="118"/>
      <c r="H149" s="100">
        <v>9406</v>
      </c>
      <c r="I149" s="139"/>
      <c r="J149" s="231"/>
      <c r="K149" s="231"/>
      <c r="L149" s="231"/>
      <c r="M149" s="231"/>
      <c r="N149" s="231"/>
      <c r="O149" s="231"/>
      <c r="P149" s="231"/>
      <c r="Q149" s="231"/>
      <c r="R149" s="231"/>
      <c r="S149" s="231"/>
      <c r="T149" s="231"/>
      <c r="U149" s="231"/>
      <c r="V149" s="231"/>
      <c r="W149" s="231"/>
      <c r="X149" s="231"/>
      <c r="Y149" s="231"/>
      <c r="Z149" s="231"/>
      <c r="AA149" s="231"/>
      <c r="AB149" s="231"/>
      <c r="AC149" s="231"/>
      <c r="AD149" s="231"/>
      <c r="AE149" s="231"/>
      <c r="AF149" s="231"/>
      <c r="AG149" s="231"/>
      <c r="AH149" s="231"/>
      <c r="AI149" s="231"/>
    </row>
    <row r="150" spans="1:35" s="203" customFormat="1">
      <c r="A150" s="124">
        <v>44</v>
      </c>
      <c r="B150" s="94" t="s">
        <v>130</v>
      </c>
      <c r="C150" s="94"/>
      <c r="D150" s="94"/>
      <c r="E150" s="80">
        <v>14813</v>
      </c>
      <c r="F150" s="142">
        <f>SUM(F146:F149)</f>
        <v>16893</v>
      </c>
      <c r="G150" s="259"/>
      <c r="H150" s="142">
        <f>SUM(H146:H149)</f>
        <v>17833</v>
      </c>
      <c r="I150" s="139"/>
      <c r="J150" s="231"/>
      <c r="K150" s="231"/>
      <c r="L150" s="231"/>
      <c r="M150" s="231"/>
      <c r="N150" s="231"/>
      <c r="O150" s="231"/>
      <c r="P150" s="231"/>
      <c r="Q150" s="231"/>
      <c r="R150" s="231"/>
      <c r="S150" s="231"/>
      <c r="T150" s="231"/>
      <c r="U150" s="231"/>
      <c r="V150" s="231"/>
      <c r="W150" s="231"/>
      <c r="X150" s="231"/>
      <c r="Y150" s="231"/>
      <c r="Z150" s="231"/>
      <c r="AA150" s="231"/>
      <c r="AB150" s="231"/>
      <c r="AC150" s="231"/>
      <c r="AD150" s="231"/>
      <c r="AE150" s="231"/>
      <c r="AF150" s="231"/>
      <c r="AG150" s="231"/>
      <c r="AH150" s="231"/>
      <c r="AI150" s="231"/>
    </row>
    <row r="151" spans="1:35" s="203" customFormat="1">
      <c r="A151" s="148"/>
      <c r="B151" s="129"/>
      <c r="C151" s="129"/>
      <c r="D151" s="149"/>
      <c r="E151" s="150"/>
      <c r="F151" s="29"/>
      <c r="G151" s="29"/>
      <c r="H151" s="207"/>
      <c r="I151" s="29"/>
      <c r="J151" s="231"/>
      <c r="K151" s="231"/>
      <c r="L151" s="231"/>
      <c r="M151" s="231"/>
      <c r="N151" s="231"/>
      <c r="O151" s="231"/>
      <c r="P151" s="231"/>
      <c r="Q151" s="231"/>
      <c r="R151" s="231"/>
      <c r="S151" s="231"/>
      <c r="T151" s="231"/>
      <c r="U151" s="231"/>
      <c r="V151" s="231"/>
      <c r="W151" s="231"/>
      <c r="X151" s="231"/>
      <c r="Y151" s="231"/>
      <c r="Z151" s="231"/>
      <c r="AA151" s="231"/>
      <c r="AB151" s="231"/>
      <c r="AC151" s="231"/>
      <c r="AD151" s="231"/>
      <c r="AE151" s="231"/>
      <c r="AF151" s="231"/>
      <c r="AG151" s="231"/>
      <c r="AH151" s="231"/>
      <c r="AI151" s="231"/>
    </row>
    <row r="152" spans="1:35" s="203" customFormat="1">
      <c r="A152" s="148"/>
      <c r="B152" s="129"/>
      <c r="C152" s="129"/>
      <c r="D152" s="151"/>
      <c r="E152" s="152"/>
      <c r="F152" s="29"/>
      <c r="G152" s="29"/>
      <c r="H152" s="131" t="s">
        <v>27</v>
      </c>
      <c r="I152" s="29"/>
      <c r="J152" s="231"/>
      <c r="K152" s="231"/>
      <c r="L152" s="231"/>
      <c r="M152" s="231"/>
      <c r="N152" s="231"/>
      <c r="O152" s="231"/>
      <c r="P152" s="231"/>
      <c r="Q152" s="231"/>
      <c r="R152" s="231"/>
      <c r="S152" s="231"/>
      <c r="T152" s="231"/>
      <c r="U152" s="231"/>
      <c r="V152" s="231"/>
      <c r="W152" s="231"/>
      <c r="X152" s="231"/>
      <c r="Y152" s="231"/>
      <c r="Z152" s="231"/>
      <c r="AA152" s="231"/>
      <c r="AB152" s="231"/>
      <c r="AC152" s="231"/>
      <c r="AD152" s="231"/>
      <c r="AE152" s="231"/>
      <c r="AF152" s="231"/>
      <c r="AG152" s="231"/>
      <c r="AH152" s="231"/>
      <c r="AI152" s="231"/>
    </row>
    <row r="153" spans="1:35" s="203" customFormat="1">
      <c r="A153" s="106" t="s">
        <v>20</v>
      </c>
      <c r="B153" s="107"/>
      <c r="C153" s="107"/>
      <c r="D153" s="107"/>
      <c r="E153" s="856" t="s">
        <v>377</v>
      </c>
      <c r="F153" s="856" t="s">
        <v>402</v>
      </c>
      <c r="G153" s="130"/>
      <c r="H153" s="856" t="s">
        <v>403</v>
      </c>
      <c r="I153" s="130"/>
      <c r="J153" s="231"/>
      <c r="K153" s="231"/>
      <c r="L153" s="231"/>
      <c r="M153" s="231"/>
      <c r="N153" s="231"/>
      <c r="O153" s="231"/>
      <c r="P153" s="231"/>
      <c r="Q153" s="231"/>
      <c r="R153" s="231"/>
      <c r="S153" s="231"/>
      <c r="T153" s="231"/>
      <c r="U153" s="231"/>
      <c r="V153" s="231"/>
      <c r="W153" s="231"/>
      <c r="X153" s="231"/>
      <c r="Y153" s="231"/>
      <c r="Z153" s="231"/>
      <c r="AA153" s="231"/>
      <c r="AB153" s="231"/>
      <c r="AC153" s="231"/>
      <c r="AD153" s="231"/>
      <c r="AE153" s="231"/>
      <c r="AF153" s="231"/>
      <c r="AG153" s="231"/>
      <c r="AH153" s="231"/>
      <c r="AI153" s="231"/>
    </row>
    <row r="154" spans="1:35" s="203" customFormat="1">
      <c r="A154" s="153"/>
      <c r="B154" s="132"/>
      <c r="C154" s="132"/>
      <c r="D154" s="132"/>
      <c r="E154" s="859"/>
      <c r="F154" s="859"/>
      <c r="G154" s="130"/>
      <c r="H154" s="859"/>
      <c r="I154" s="130"/>
      <c r="J154" s="231"/>
      <c r="K154" s="231"/>
      <c r="L154" s="231"/>
      <c r="M154" s="231"/>
      <c r="N154" s="231"/>
      <c r="O154" s="231"/>
      <c r="P154" s="231"/>
      <c r="Q154" s="231"/>
      <c r="R154" s="231"/>
      <c r="S154" s="231"/>
      <c r="T154" s="231"/>
      <c r="U154" s="231"/>
      <c r="V154" s="231"/>
      <c r="W154" s="231"/>
      <c r="X154" s="231"/>
      <c r="Y154" s="231"/>
      <c r="Z154" s="231"/>
      <c r="AA154" s="231"/>
      <c r="AB154" s="231"/>
      <c r="AC154" s="231"/>
      <c r="AD154" s="231"/>
      <c r="AE154" s="231"/>
      <c r="AF154" s="231"/>
      <c r="AG154" s="231"/>
      <c r="AH154" s="231"/>
      <c r="AI154" s="231"/>
    </row>
    <row r="155" spans="1:35" s="203" customFormat="1">
      <c r="A155" s="154" t="s">
        <v>131</v>
      </c>
      <c r="B155" s="116"/>
      <c r="C155" s="116"/>
      <c r="D155" s="116"/>
      <c r="E155" s="859"/>
      <c r="F155" s="859"/>
      <c r="G155" s="130"/>
      <c r="H155" s="859"/>
      <c r="I155" s="130"/>
      <c r="J155" s="231"/>
      <c r="K155" s="231"/>
      <c r="L155" s="231"/>
      <c r="M155" s="231"/>
      <c r="N155" s="231"/>
      <c r="O155" s="231"/>
      <c r="P155" s="231"/>
      <c r="Q155" s="231"/>
      <c r="R155" s="231"/>
      <c r="S155" s="231"/>
      <c r="T155" s="231"/>
      <c r="U155" s="231"/>
      <c r="V155" s="231"/>
      <c r="W155" s="231"/>
      <c r="X155" s="231"/>
      <c r="Y155" s="231"/>
      <c r="Z155" s="231"/>
      <c r="AA155" s="231"/>
      <c r="AB155" s="231"/>
      <c r="AC155" s="231"/>
      <c r="AD155" s="231"/>
      <c r="AE155" s="231"/>
      <c r="AF155" s="231"/>
      <c r="AG155" s="231"/>
      <c r="AH155" s="231"/>
      <c r="AI155" s="231"/>
    </row>
    <row r="156" spans="1:35" s="203" customFormat="1" ht="12.75" customHeight="1">
      <c r="A156" s="109" t="s">
        <v>83</v>
      </c>
      <c r="B156" s="47"/>
      <c r="C156" s="47"/>
      <c r="D156" s="47"/>
      <c r="E156" s="859"/>
      <c r="F156" s="859"/>
      <c r="G156" s="130"/>
      <c r="H156" s="859"/>
      <c r="I156" s="130"/>
      <c r="J156" s="231"/>
      <c r="K156" s="231"/>
      <c r="L156" s="231"/>
      <c r="M156" s="231"/>
      <c r="N156" s="231"/>
      <c r="O156" s="231"/>
      <c r="P156" s="231"/>
      <c r="Q156" s="231"/>
      <c r="R156" s="231"/>
      <c r="S156" s="231"/>
      <c r="T156" s="231"/>
      <c r="U156" s="231"/>
      <c r="V156" s="231"/>
      <c r="W156" s="231"/>
      <c r="X156" s="231"/>
      <c r="Y156" s="231"/>
      <c r="Z156" s="231"/>
      <c r="AA156" s="231"/>
      <c r="AB156" s="231"/>
      <c r="AC156" s="231"/>
      <c r="AD156" s="231"/>
      <c r="AE156" s="231"/>
      <c r="AF156" s="231"/>
      <c r="AG156" s="231"/>
      <c r="AH156" s="231"/>
      <c r="AI156" s="231"/>
    </row>
    <row r="157" spans="1:35" s="203" customFormat="1">
      <c r="A157" s="110" t="s">
        <v>84</v>
      </c>
      <c r="B157" s="132"/>
      <c r="C157" s="132"/>
      <c r="D157" s="132"/>
      <c r="E157" s="860"/>
      <c r="F157" s="860"/>
      <c r="G157" s="130"/>
      <c r="H157" s="860"/>
      <c r="I157" s="130"/>
      <c r="J157" s="231"/>
      <c r="K157" s="231"/>
      <c r="L157" s="231"/>
      <c r="M157" s="231"/>
      <c r="N157" s="231"/>
      <c r="O157" s="231"/>
      <c r="P157" s="231"/>
      <c r="Q157" s="231"/>
      <c r="R157" s="231"/>
      <c r="S157" s="231"/>
      <c r="T157" s="231"/>
      <c r="U157" s="231"/>
      <c r="V157" s="231"/>
      <c r="W157" s="231"/>
      <c r="X157" s="231"/>
      <c r="Y157" s="231"/>
      <c r="Z157" s="231"/>
      <c r="AA157" s="231"/>
      <c r="AB157" s="231"/>
      <c r="AC157" s="231"/>
      <c r="AD157" s="231"/>
      <c r="AE157" s="231"/>
      <c r="AF157" s="231"/>
      <c r="AG157" s="231"/>
      <c r="AH157" s="231"/>
      <c r="AI157" s="231"/>
    </row>
    <row r="158" spans="1:35" s="203" customFormat="1">
      <c r="A158" s="119" t="s">
        <v>132</v>
      </c>
      <c r="B158" s="47"/>
      <c r="C158" s="47"/>
      <c r="D158" s="47"/>
      <c r="E158" s="155"/>
      <c r="F158" s="146" t="s">
        <v>133</v>
      </c>
      <c r="G158" s="118"/>
      <c r="H158" s="146"/>
      <c r="I158" s="29"/>
      <c r="J158" s="231"/>
      <c r="K158" s="231"/>
      <c r="L158" s="231"/>
      <c r="M158" s="231"/>
      <c r="N158" s="231"/>
      <c r="O158" s="231"/>
      <c r="P158" s="231"/>
      <c r="Q158" s="231"/>
      <c r="R158" s="231"/>
      <c r="S158" s="231"/>
      <c r="T158" s="231"/>
      <c r="U158" s="231"/>
      <c r="V158" s="231"/>
      <c r="W158" s="231"/>
      <c r="X158" s="231"/>
      <c r="Y158" s="231"/>
      <c r="Z158" s="231"/>
      <c r="AA158" s="231"/>
      <c r="AB158" s="231"/>
      <c r="AC158" s="231"/>
      <c r="AD158" s="231"/>
      <c r="AE158" s="231"/>
      <c r="AF158" s="231"/>
      <c r="AG158" s="231"/>
      <c r="AH158" s="231"/>
      <c r="AI158" s="231"/>
    </row>
    <row r="159" spans="1:35" s="203" customFormat="1">
      <c r="A159" s="120">
        <v>1</v>
      </c>
      <c r="B159" s="47" t="s">
        <v>134</v>
      </c>
      <c r="C159" s="47"/>
      <c r="D159" s="47"/>
      <c r="E159" s="74">
        <v>0</v>
      </c>
      <c r="F159" s="52">
        <v>0</v>
      </c>
      <c r="G159" s="118"/>
      <c r="H159" s="122">
        <v>0</v>
      </c>
      <c r="I159" s="29"/>
      <c r="J159" s="231"/>
      <c r="K159" s="231"/>
      <c r="L159" s="231"/>
      <c r="M159" s="231"/>
      <c r="N159" s="231"/>
      <c r="O159" s="231"/>
      <c r="P159" s="231"/>
      <c r="Q159" s="231"/>
      <c r="R159" s="231"/>
      <c r="S159" s="231"/>
      <c r="T159" s="231"/>
      <c r="U159" s="231"/>
      <c r="V159" s="231"/>
      <c r="W159" s="231"/>
      <c r="X159" s="231"/>
      <c r="Y159" s="231"/>
      <c r="Z159" s="231"/>
      <c r="AA159" s="231"/>
      <c r="AB159" s="231"/>
      <c r="AC159" s="231"/>
      <c r="AD159" s="231"/>
      <c r="AE159" s="231"/>
      <c r="AF159" s="231"/>
      <c r="AG159" s="231"/>
      <c r="AH159" s="231"/>
      <c r="AI159" s="231"/>
    </row>
    <row r="160" spans="1:35" s="203" customFormat="1">
      <c r="A160" s="120">
        <v>2</v>
      </c>
      <c r="B160" s="47" t="s">
        <v>135</v>
      </c>
      <c r="C160" s="47"/>
      <c r="D160" s="47"/>
      <c r="E160" s="49">
        <v>2889</v>
      </c>
      <c r="F160" s="52">
        <v>2600</v>
      </c>
      <c r="G160" s="118"/>
      <c r="H160" s="122">
        <v>2409</v>
      </c>
      <c r="I160" s="29"/>
      <c r="J160" s="231"/>
      <c r="K160" s="231"/>
      <c r="L160" s="231"/>
      <c r="M160" s="231"/>
      <c r="N160" s="231"/>
      <c r="O160" s="231"/>
      <c r="P160" s="231"/>
      <c r="Q160" s="231"/>
      <c r="R160" s="231"/>
      <c r="S160" s="231"/>
      <c r="T160" s="231"/>
      <c r="U160" s="231"/>
      <c r="V160" s="231"/>
      <c r="W160" s="231"/>
      <c r="X160" s="231"/>
      <c r="Y160" s="231"/>
      <c r="Z160" s="231"/>
      <c r="AA160" s="231"/>
      <c r="AB160" s="231"/>
      <c r="AC160" s="231"/>
      <c r="AD160" s="231"/>
      <c r="AE160" s="231"/>
      <c r="AF160" s="231"/>
      <c r="AG160" s="231"/>
      <c r="AH160" s="231"/>
      <c r="AI160" s="231"/>
    </row>
    <row r="161" spans="1:35" s="203" customFormat="1">
      <c r="A161" s="120">
        <v>3</v>
      </c>
      <c r="B161" s="47" t="s">
        <v>136</v>
      </c>
      <c r="C161" s="47"/>
      <c r="D161" s="47"/>
      <c r="E161" s="114">
        <v>6146</v>
      </c>
      <c r="F161" s="52">
        <v>8294</v>
      </c>
      <c r="G161" s="118"/>
      <c r="H161" s="122">
        <v>7337</v>
      </c>
      <c r="I161" s="29"/>
      <c r="J161" s="231"/>
      <c r="K161" s="231"/>
      <c r="L161" s="231"/>
      <c r="M161" s="231"/>
      <c r="N161" s="231"/>
      <c r="O161" s="231"/>
      <c r="P161" s="231"/>
      <c r="Q161" s="231"/>
      <c r="R161" s="231"/>
      <c r="S161" s="231"/>
      <c r="T161" s="231"/>
      <c r="U161" s="231"/>
      <c r="V161" s="231"/>
      <c r="W161" s="231"/>
      <c r="X161" s="231"/>
      <c r="Y161" s="231"/>
      <c r="Z161" s="231"/>
      <c r="AA161" s="231"/>
      <c r="AB161" s="231"/>
      <c r="AC161" s="231"/>
      <c r="AD161" s="231"/>
      <c r="AE161" s="231"/>
      <c r="AF161" s="231"/>
      <c r="AG161" s="231"/>
      <c r="AH161" s="231"/>
      <c r="AI161" s="231"/>
    </row>
    <row r="162" spans="1:35" s="203" customFormat="1">
      <c r="A162" s="120">
        <v>4</v>
      </c>
      <c r="B162" s="47" t="s">
        <v>137</v>
      </c>
      <c r="C162" s="47"/>
      <c r="D162" s="47"/>
      <c r="E162" s="114">
        <v>4444</v>
      </c>
      <c r="F162" s="52">
        <v>4482</v>
      </c>
      <c r="G162" s="118"/>
      <c r="H162" s="100">
        <v>4183</v>
      </c>
      <c r="I162" s="29"/>
      <c r="J162" s="231"/>
      <c r="K162" s="231"/>
      <c r="L162" s="231"/>
      <c r="M162" s="231"/>
      <c r="N162" s="231"/>
      <c r="O162" s="231"/>
      <c r="P162" s="231"/>
      <c r="Q162" s="231"/>
      <c r="R162" s="231"/>
      <c r="S162" s="231"/>
      <c r="T162" s="231"/>
      <c r="U162" s="231"/>
      <c r="V162" s="231"/>
      <c r="W162" s="231"/>
      <c r="X162" s="231"/>
      <c r="Y162" s="231"/>
      <c r="Z162" s="231"/>
      <c r="AA162" s="231"/>
      <c r="AB162" s="231"/>
      <c r="AC162" s="231"/>
      <c r="AD162" s="231"/>
      <c r="AE162" s="231"/>
      <c r="AF162" s="231"/>
      <c r="AG162" s="231"/>
      <c r="AH162" s="231"/>
      <c r="AI162" s="231"/>
    </row>
    <row r="163" spans="1:35" s="203" customFormat="1">
      <c r="A163" s="120">
        <v>5</v>
      </c>
      <c r="B163" s="116" t="s">
        <v>138</v>
      </c>
      <c r="C163" s="116"/>
      <c r="D163" s="116"/>
      <c r="E163" s="80">
        <v>13479</v>
      </c>
      <c r="F163" s="142">
        <f>SUM(F159:F162)</f>
        <v>15376</v>
      </c>
      <c r="G163" s="118"/>
      <c r="H163" s="142">
        <f>SUM(H159:H162)</f>
        <v>13929</v>
      </c>
      <c r="I163" s="29"/>
      <c r="J163" s="231"/>
      <c r="K163" s="231"/>
      <c r="L163" s="231"/>
      <c r="M163" s="231"/>
      <c r="N163" s="231"/>
      <c r="O163" s="231"/>
      <c r="P163" s="231"/>
      <c r="Q163" s="231"/>
      <c r="R163" s="231"/>
      <c r="S163" s="231"/>
      <c r="T163" s="231"/>
      <c r="U163" s="231"/>
      <c r="V163" s="231"/>
      <c r="W163" s="231"/>
      <c r="X163" s="231"/>
      <c r="Y163" s="231"/>
      <c r="Z163" s="231"/>
      <c r="AA163" s="231"/>
      <c r="AB163" s="231"/>
      <c r="AC163" s="231"/>
      <c r="AD163" s="231"/>
      <c r="AE163" s="231"/>
      <c r="AF163" s="231"/>
      <c r="AG163" s="231"/>
      <c r="AH163" s="231"/>
      <c r="AI163" s="231"/>
    </row>
    <row r="164" spans="1:35" s="203" customFormat="1">
      <c r="A164" s="46"/>
      <c r="B164" s="132"/>
      <c r="C164" s="132"/>
      <c r="D164" s="132"/>
      <c r="E164" s="156"/>
      <c r="F164" s="139"/>
      <c r="G164" s="139"/>
      <c r="H164" s="139"/>
      <c r="I164" s="29"/>
      <c r="J164" s="231"/>
      <c r="K164" s="231"/>
      <c r="L164" s="231"/>
      <c r="M164" s="231"/>
      <c r="N164" s="231"/>
      <c r="O164" s="231"/>
      <c r="P164" s="231"/>
      <c r="Q164" s="231"/>
      <c r="R164" s="231"/>
      <c r="S164" s="231"/>
      <c r="T164" s="231"/>
      <c r="U164" s="231"/>
      <c r="V164" s="231"/>
      <c r="W164" s="231"/>
      <c r="X164" s="231"/>
      <c r="Y164" s="231"/>
      <c r="Z164" s="231"/>
      <c r="AA164" s="231"/>
      <c r="AB164" s="231"/>
      <c r="AC164" s="231"/>
      <c r="AD164" s="231"/>
      <c r="AE164" s="231"/>
      <c r="AF164" s="231"/>
      <c r="AG164" s="231"/>
      <c r="AH164" s="231"/>
      <c r="AI164" s="231"/>
    </row>
    <row r="165" spans="1:35" s="203" customFormat="1">
      <c r="A165" s="119" t="s">
        <v>139</v>
      </c>
      <c r="B165" s="47"/>
      <c r="C165" s="47"/>
      <c r="D165" s="47"/>
      <c r="E165" s="140"/>
      <c r="F165" s="146"/>
      <c r="G165" s="118"/>
      <c r="H165" s="146"/>
      <c r="I165" s="29"/>
      <c r="J165" s="231"/>
      <c r="K165" s="231"/>
      <c r="L165" s="231"/>
      <c r="M165" s="231"/>
      <c r="N165" s="231"/>
      <c r="O165" s="231"/>
      <c r="P165" s="231"/>
      <c r="Q165" s="231"/>
      <c r="R165" s="231"/>
      <c r="S165" s="231"/>
      <c r="T165" s="231"/>
      <c r="U165" s="231"/>
      <c r="V165" s="231"/>
      <c r="W165" s="231"/>
      <c r="X165" s="231"/>
      <c r="Y165" s="231"/>
      <c r="Z165" s="231"/>
      <c r="AA165" s="231"/>
      <c r="AB165" s="231"/>
      <c r="AC165" s="231"/>
      <c r="AD165" s="231"/>
      <c r="AE165" s="231"/>
      <c r="AF165" s="231"/>
      <c r="AG165" s="231"/>
      <c r="AH165" s="231"/>
      <c r="AI165" s="231"/>
    </row>
    <row r="166" spans="1:35" s="203" customFormat="1">
      <c r="A166" s="120">
        <v>6</v>
      </c>
      <c r="B166" s="47" t="s">
        <v>140</v>
      </c>
      <c r="C166" s="47"/>
      <c r="D166" s="47"/>
      <c r="E166" s="74">
        <v>1623</v>
      </c>
      <c r="F166" s="52">
        <v>1344</v>
      </c>
      <c r="G166" s="118"/>
      <c r="H166" s="122">
        <v>1327</v>
      </c>
      <c r="I166" s="29"/>
      <c r="J166" s="231"/>
      <c r="K166" s="231"/>
      <c r="L166" s="231"/>
      <c r="M166" s="231"/>
      <c r="N166" s="231"/>
      <c r="O166" s="231"/>
      <c r="P166" s="231"/>
      <c r="Q166" s="231"/>
      <c r="R166" s="231"/>
      <c r="S166" s="231"/>
      <c r="T166" s="231"/>
      <c r="U166" s="231"/>
      <c r="V166" s="231"/>
      <c r="W166" s="231"/>
      <c r="X166" s="231"/>
      <c r="Y166" s="231"/>
      <c r="Z166" s="231"/>
      <c r="AA166" s="231"/>
      <c r="AB166" s="231"/>
      <c r="AC166" s="231"/>
      <c r="AD166" s="231"/>
      <c r="AE166" s="231"/>
      <c r="AF166" s="231"/>
      <c r="AG166" s="231"/>
      <c r="AH166" s="231"/>
      <c r="AI166" s="231"/>
    </row>
    <row r="167" spans="1:35" s="203" customFormat="1">
      <c r="A167" s="120">
        <v>7</v>
      </c>
      <c r="B167" s="47" t="s">
        <v>141</v>
      </c>
      <c r="C167" s="47"/>
      <c r="D167" s="47"/>
      <c r="E167" s="49">
        <v>0</v>
      </c>
      <c r="F167" s="52">
        <v>0</v>
      </c>
      <c r="G167" s="118"/>
      <c r="H167" s="122">
        <v>0</v>
      </c>
      <c r="I167" s="29"/>
      <c r="J167" s="231"/>
      <c r="K167" s="231"/>
      <c r="L167" s="231"/>
      <c r="M167" s="231"/>
      <c r="N167" s="231"/>
      <c r="O167" s="231"/>
      <c r="P167" s="231"/>
      <c r="Q167" s="231"/>
      <c r="R167" s="231"/>
      <c r="S167" s="231"/>
      <c r="T167" s="231"/>
      <c r="U167" s="231"/>
      <c r="V167" s="231"/>
      <c r="W167" s="231"/>
      <c r="X167" s="231"/>
      <c r="Y167" s="231"/>
      <c r="Z167" s="231"/>
      <c r="AA167" s="231"/>
      <c r="AB167" s="231"/>
      <c r="AC167" s="231"/>
      <c r="AD167" s="231"/>
      <c r="AE167" s="231"/>
      <c r="AF167" s="231"/>
      <c r="AG167" s="231"/>
      <c r="AH167" s="231"/>
      <c r="AI167" s="231"/>
    </row>
    <row r="168" spans="1:35" s="203" customFormat="1">
      <c r="A168" s="120">
        <v>8</v>
      </c>
      <c r="B168" s="47" t="s">
        <v>121</v>
      </c>
      <c r="C168" s="47"/>
      <c r="D168" s="47"/>
      <c r="E168" s="49">
        <v>2112</v>
      </c>
      <c r="F168" s="52">
        <v>1430</v>
      </c>
      <c r="G168" s="118"/>
      <c r="H168" s="100">
        <v>1243</v>
      </c>
      <c r="I168" s="29"/>
      <c r="J168" s="231"/>
      <c r="K168" s="231"/>
      <c r="L168" s="231"/>
      <c r="M168" s="231"/>
      <c r="N168" s="231"/>
      <c r="O168" s="231"/>
      <c r="P168" s="231"/>
      <c r="Q168" s="231"/>
      <c r="R168" s="231"/>
      <c r="S168" s="231"/>
      <c r="T168" s="231"/>
      <c r="U168" s="231"/>
      <c r="V168" s="231"/>
      <c r="W168" s="231"/>
      <c r="X168" s="231"/>
      <c r="Y168" s="231"/>
      <c r="Z168" s="231"/>
      <c r="AA168" s="231"/>
      <c r="AB168" s="231"/>
      <c r="AC168" s="231"/>
      <c r="AD168" s="231"/>
      <c r="AE168" s="231"/>
      <c r="AF168" s="231"/>
      <c r="AG168" s="231"/>
      <c r="AH168" s="231"/>
      <c r="AI168" s="231"/>
    </row>
    <row r="169" spans="1:35" s="203" customFormat="1">
      <c r="A169" s="120">
        <v>9</v>
      </c>
      <c r="B169" s="116" t="s">
        <v>142</v>
      </c>
      <c r="C169" s="116"/>
      <c r="D169" s="116"/>
      <c r="E169" s="80">
        <v>3735</v>
      </c>
      <c r="F169" s="142">
        <f>SUM(F166:F168)</f>
        <v>2774</v>
      </c>
      <c r="G169" s="118"/>
      <c r="H169" s="142">
        <f>SUM(H166:H168)</f>
        <v>2570</v>
      </c>
      <c r="I169" s="29"/>
      <c r="J169" s="231"/>
      <c r="K169" s="231"/>
      <c r="L169" s="231"/>
      <c r="M169" s="231"/>
      <c r="N169" s="231"/>
      <c r="O169" s="231"/>
      <c r="P169" s="231"/>
      <c r="Q169" s="231"/>
      <c r="R169" s="231"/>
      <c r="S169" s="231"/>
      <c r="T169" s="231"/>
      <c r="U169" s="231"/>
      <c r="V169" s="231"/>
      <c r="W169" s="231"/>
      <c r="X169" s="231"/>
      <c r="Y169" s="231"/>
      <c r="Z169" s="231"/>
      <c r="AA169" s="231"/>
      <c r="AB169" s="231"/>
      <c r="AC169" s="231"/>
      <c r="AD169" s="231"/>
      <c r="AE169" s="231"/>
      <c r="AF169" s="231"/>
      <c r="AG169" s="231"/>
      <c r="AH169" s="231"/>
      <c r="AI169" s="231"/>
    </row>
    <row r="170" spans="1:35" s="203" customFormat="1">
      <c r="A170" s="46"/>
      <c r="B170" s="132"/>
      <c r="C170" s="132"/>
      <c r="D170" s="132"/>
      <c r="E170" s="156"/>
      <c r="F170" s="139"/>
      <c r="G170" s="139"/>
      <c r="H170" s="139"/>
      <c r="I170" s="29"/>
      <c r="J170" s="231"/>
      <c r="K170" s="231"/>
      <c r="L170" s="231"/>
      <c r="M170" s="231"/>
      <c r="N170" s="231"/>
      <c r="O170" s="231"/>
      <c r="P170" s="231"/>
      <c r="Q170" s="231"/>
      <c r="R170" s="231"/>
      <c r="S170" s="231"/>
      <c r="T170" s="231"/>
      <c r="U170" s="231"/>
      <c r="V170" s="231"/>
      <c r="W170" s="231"/>
      <c r="X170" s="231"/>
      <c r="Y170" s="231"/>
      <c r="Z170" s="231"/>
      <c r="AA170" s="231"/>
      <c r="AB170" s="231"/>
      <c r="AC170" s="231"/>
      <c r="AD170" s="231"/>
      <c r="AE170" s="231"/>
      <c r="AF170" s="231"/>
      <c r="AG170" s="231"/>
      <c r="AH170" s="231"/>
      <c r="AI170" s="231"/>
    </row>
    <row r="171" spans="1:35" s="203" customFormat="1">
      <c r="A171" s="120">
        <v>10</v>
      </c>
      <c r="B171" s="47" t="s">
        <v>143</v>
      </c>
      <c r="C171" s="47"/>
      <c r="D171" s="47"/>
      <c r="E171" s="41">
        <v>-21684</v>
      </c>
      <c r="F171" s="121">
        <v>-24361</v>
      </c>
      <c r="G171" s="118"/>
      <c r="H171" s="133">
        <v>-27299</v>
      </c>
      <c r="I171" s="29"/>
      <c r="J171" s="231"/>
      <c r="K171" s="231"/>
      <c r="L171" s="231"/>
      <c r="M171" s="231"/>
      <c r="N171" s="231"/>
      <c r="O171" s="231"/>
      <c r="P171" s="231"/>
      <c r="Q171" s="231"/>
      <c r="R171" s="231"/>
      <c r="S171" s="231"/>
      <c r="T171" s="231"/>
      <c r="U171" s="231"/>
      <c r="V171" s="231"/>
      <c r="W171" s="231"/>
      <c r="X171" s="231"/>
      <c r="Y171" s="231"/>
      <c r="Z171" s="231"/>
      <c r="AA171" s="231"/>
      <c r="AB171" s="231"/>
      <c r="AC171" s="231"/>
      <c r="AD171" s="231"/>
      <c r="AE171" s="231"/>
      <c r="AF171" s="231"/>
      <c r="AG171" s="231"/>
      <c r="AH171" s="231"/>
      <c r="AI171" s="231"/>
    </row>
    <row r="172" spans="1:35" s="203" customFormat="1">
      <c r="A172" s="120">
        <v>11</v>
      </c>
      <c r="B172" s="47" t="s">
        <v>144</v>
      </c>
      <c r="C172" s="47"/>
      <c r="D172" s="47"/>
      <c r="E172" s="56">
        <v>0</v>
      </c>
      <c r="F172" s="126">
        <v>0</v>
      </c>
      <c r="G172" s="118"/>
      <c r="H172" s="100">
        <v>0</v>
      </c>
      <c r="I172" s="29"/>
      <c r="J172" s="231"/>
      <c r="K172" s="231"/>
      <c r="L172" s="231"/>
      <c r="M172" s="231"/>
      <c r="N172" s="231"/>
      <c r="O172" s="231"/>
      <c r="P172" s="231"/>
      <c r="Q172" s="231"/>
      <c r="R172" s="231"/>
      <c r="S172" s="231"/>
      <c r="T172" s="231"/>
      <c r="U172" s="231"/>
      <c r="V172" s="231"/>
      <c r="W172" s="231"/>
      <c r="X172" s="231"/>
      <c r="Y172" s="231"/>
      <c r="Z172" s="231"/>
      <c r="AA172" s="231"/>
      <c r="AB172" s="231"/>
      <c r="AC172" s="231"/>
      <c r="AD172" s="231"/>
      <c r="AE172" s="231"/>
      <c r="AF172" s="231"/>
      <c r="AG172" s="231"/>
      <c r="AH172" s="231"/>
      <c r="AI172" s="231"/>
    </row>
    <row r="173" spans="1:35" s="203" customFormat="1">
      <c r="A173" s="46"/>
      <c r="B173" s="132"/>
      <c r="C173" s="132"/>
      <c r="D173" s="132"/>
      <c r="E173" s="156"/>
      <c r="F173" s="139"/>
      <c r="G173" s="139"/>
      <c r="H173" s="139"/>
      <c r="I173" s="29"/>
      <c r="J173" s="231"/>
      <c r="K173" s="231"/>
      <c r="L173" s="231"/>
      <c r="M173" s="231"/>
      <c r="N173" s="231"/>
      <c r="O173" s="231"/>
      <c r="P173" s="231"/>
      <c r="Q173" s="231"/>
      <c r="R173" s="231"/>
      <c r="S173" s="231"/>
      <c r="T173" s="231"/>
      <c r="U173" s="231"/>
      <c r="V173" s="231"/>
      <c r="W173" s="231"/>
      <c r="X173" s="231"/>
      <c r="Y173" s="231"/>
      <c r="Z173" s="231"/>
      <c r="AA173" s="231"/>
      <c r="AB173" s="231"/>
      <c r="AC173" s="231"/>
      <c r="AD173" s="231"/>
      <c r="AE173" s="231"/>
      <c r="AF173" s="231"/>
      <c r="AG173" s="231"/>
      <c r="AH173" s="231"/>
      <c r="AI173" s="231"/>
    </row>
    <row r="174" spans="1:35" s="203" customFormat="1">
      <c r="A174" s="119" t="s">
        <v>145</v>
      </c>
      <c r="B174" s="47"/>
      <c r="C174" s="47"/>
      <c r="D174" s="47"/>
      <c r="E174" s="157"/>
      <c r="F174" s="146"/>
      <c r="G174" s="118"/>
      <c r="H174" s="146"/>
      <c r="I174" s="29"/>
      <c r="J174" s="231"/>
      <c r="K174" s="231"/>
      <c r="L174" s="231"/>
      <c r="M174" s="231"/>
      <c r="N174" s="231"/>
      <c r="O174" s="231"/>
      <c r="P174" s="231"/>
      <c r="Q174" s="231"/>
      <c r="R174" s="231"/>
      <c r="S174" s="231"/>
      <c r="T174" s="231"/>
      <c r="U174" s="231"/>
      <c r="V174" s="231"/>
      <c r="W174" s="231"/>
      <c r="X174" s="231"/>
      <c r="Y174" s="231"/>
      <c r="Z174" s="231"/>
      <c r="AA174" s="231"/>
      <c r="AB174" s="231"/>
      <c r="AC174" s="231"/>
      <c r="AD174" s="231"/>
      <c r="AE174" s="231"/>
      <c r="AF174" s="231"/>
      <c r="AG174" s="231"/>
      <c r="AH174" s="231"/>
      <c r="AI174" s="231"/>
    </row>
    <row r="175" spans="1:35" s="203" customFormat="1">
      <c r="A175" s="120">
        <v>12</v>
      </c>
      <c r="B175" s="47" t="s">
        <v>146</v>
      </c>
      <c r="C175" s="47"/>
      <c r="D175" s="47"/>
      <c r="E175" s="74">
        <v>988</v>
      </c>
      <c r="F175" s="52">
        <v>879</v>
      </c>
      <c r="G175" s="118"/>
      <c r="H175" s="122">
        <v>1185</v>
      </c>
      <c r="I175" s="29"/>
      <c r="J175" s="231"/>
      <c r="K175" s="231"/>
      <c r="L175" s="231"/>
      <c r="M175" s="231"/>
      <c r="N175" s="231"/>
      <c r="O175" s="231"/>
      <c r="P175" s="231"/>
      <c r="Q175" s="231"/>
      <c r="R175" s="231"/>
      <c r="S175" s="231"/>
      <c r="T175" s="231"/>
      <c r="U175" s="231"/>
      <c r="V175" s="231"/>
      <c r="W175" s="231"/>
      <c r="X175" s="231"/>
      <c r="Y175" s="231"/>
      <c r="Z175" s="231"/>
      <c r="AA175" s="231"/>
      <c r="AB175" s="231"/>
      <c r="AC175" s="231"/>
      <c r="AD175" s="231"/>
      <c r="AE175" s="231"/>
      <c r="AF175" s="231"/>
      <c r="AG175" s="231"/>
      <c r="AH175" s="231"/>
      <c r="AI175" s="231"/>
    </row>
    <row r="176" spans="1:35" s="203" customFormat="1">
      <c r="A176" s="120">
        <v>13</v>
      </c>
      <c r="B176" s="47" t="s">
        <v>147</v>
      </c>
      <c r="C176" s="47"/>
      <c r="D176" s="47"/>
      <c r="E176" s="49">
        <v>2544</v>
      </c>
      <c r="F176" s="52">
        <v>2406</v>
      </c>
      <c r="G176" s="118"/>
      <c r="H176" s="122">
        <v>2766</v>
      </c>
      <c r="I176" s="29"/>
      <c r="J176" s="231"/>
      <c r="K176" s="231"/>
      <c r="L176" s="231"/>
      <c r="M176" s="231"/>
      <c r="N176" s="231"/>
      <c r="O176" s="231"/>
      <c r="P176" s="231"/>
      <c r="Q176" s="231"/>
      <c r="R176" s="231"/>
      <c r="S176" s="231"/>
      <c r="T176" s="231"/>
      <c r="U176" s="231"/>
      <c r="V176" s="231"/>
      <c r="W176" s="231"/>
      <c r="X176" s="231"/>
      <c r="Y176" s="231"/>
      <c r="Z176" s="231"/>
      <c r="AA176" s="231"/>
      <c r="AB176" s="231"/>
      <c r="AC176" s="231"/>
      <c r="AD176" s="231"/>
      <c r="AE176" s="231"/>
      <c r="AF176" s="231"/>
      <c r="AG176" s="231"/>
      <c r="AH176" s="231"/>
      <c r="AI176" s="231"/>
    </row>
    <row r="177" spans="1:35" s="203" customFormat="1">
      <c r="A177" s="120">
        <v>14</v>
      </c>
      <c r="B177" s="47" t="s">
        <v>148</v>
      </c>
      <c r="C177" s="47"/>
      <c r="D177" s="47"/>
      <c r="E177" s="56">
        <v>5146</v>
      </c>
      <c r="F177" s="52">
        <v>4164</v>
      </c>
      <c r="G177" s="118"/>
      <c r="H177" s="100">
        <v>-3652</v>
      </c>
      <c r="I177" s="29"/>
      <c r="J177" s="231"/>
      <c r="K177" s="231"/>
      <c r="L177" s="231"/>
      <c r="M177" s="231"/>
      <c r="N177" s="231"/>
      <c r="O177" s="231"/>
      <c r="P177" s="231"/>
      <c r="Q177" s="231"/>
      <c r="R177" s="231"/>
      <c r="S177" s="231"/>
      <c r="T177" s="231"/>
      <c r="U177" s="231"/>
      <c r="V177" s="231"/>
      <c r="W177" s="231"/>
      <c r="X177" s="231"/>
      <c r="Y177" s="231"/>
      <c r="Z177" s="231"/>
      <c r="AA177" s="231"/>
      <c r="AB177" s="231"/>
      <c r="AC177" s="231"/>
      <c r="AD177" s="231"/>
      <c r="AE177" s="231"/>
      <c r="AF177" s="231"/>
      <c r="AG177" s="231"/>
      <c r="AH177" s="231"/>
      <c r="AI177" s="231"/>
    </row>
    <row r="178" spans="1:35" s="203" customFormat="1">
      <c r="A178" s="120">
        <v>15</v>
      </c>
      <c r="B178" s="116" t="s">
        <v>149</v>
      </c>
      <c r="C178" s="116"/>
      <c r="D178" s="116"/>
      <c r="E178" s="80">
        <v>8678</v>
      </c>
      <c r="F178" s="142">
        <f>SUM(F175:F177)</f>
        <v>7449</v>
      </c>
      <c r="G178" s="118"/>
      <c r="H178" s="142">
        <f>SUM(H175:H177)</f>
        <v>299</v>
      </c>
      <c r="I178" s="29"/>
      <c r="J178" s="231"/>
      <c r="K178" s="231"/>
      <c r="L178" s="231"/>
      <c r="M178" s="231"/>
      <c r="N178" s="231"/>
      <c r="O178" s="231"/>
      <c r="P178" s="231"/>
      <c r="Q178" s="231"/>
      <c r="R178" s="231"/>
      <c r="S178" s="231"/>
      <c r="T178" s="231"/>
      <c r="U178" s="231"/>
      <c r="V178" s="231"/>
      <c r="W178" s="231"/>
      <c r="X178" s="231"/>
      <c r="Y178" s="231"/>
      <c r="Z178" s="231"/>
      <c r="AA178" s="231"/>
      <c r="AB178" s="231"/>
      <c r="AC178" s="231"/>
      <c r="AD178" s="231"/>
      <c r="AE178" s="231"/>
      <c r="AF178" s="231"/>
      <c r="AG178" s="231"/>
      <c r="AH178" s="231"/>
      <c r="AI178" s="231"/>
    </row>
    <row r="179" spans="1:35" s="203" customFormat="1">
      <c r="A179" s="120">
        <v>16</v>
      </c>
      <c r="B179" s="116" t="s">
        <v>150</v>
      </c>
      <c r="C179" s="116"/>
      <c r="D179" s="116"/>
      <c r="E179" s="80">
        <v>8678</v>
      </c>
      <c r="F179" s="158">
        <f>F172+F178</f>
        <v>7449</v>
      </c>
      <c r="G179" s="118"/>
      <c r="H179" s="158">
        <f>H172+H178</f>
        <v>299</v>
      </c>
      <c r="I179" s="29"/>
      <c r="J179" s="231"/>
      <c r="K179" s="231"/>
      <c r="L179" s="231"/>
      <c r="M179" s="231"/>
      <c r="N179" s="231"/>
      <c r="O179" s="231"/>
      <c r="P179" s="231"/>
      <c r="Q179" s="231"/>
      <c r="R179" s="231"/>
      <c r="S179" s="231"/>
      <c r="T179" s="231"/>
      <c r="U179" s="231"/>
      <c r="V179" s="231"/>
      <c r="W179" s="231"/>
      <c r="X179" s="231"/>
      <c r="Y179" s="231"/>
      <c r="Z179" s="231"/>
      <c r="AA179" s="231"/>
      <c r="AB179" s="231"/>
      <c r="AC179" s="231"/>
      <c r="AD179" s="231"/>
      <c r="AE179" s="231"/>
      <c r="AF179" s="231"/>
      <c r="AG179" s="231"/>
      <c r="AH179" s="231"/>
      <c r="AI179" s="231"/>
    </row>
    <row r="180" spans="1:35" s="203" customFormat="1">
      <c r="A180" s="120">
        <v>17</v>
      </c>
      <c r="B180" s="116" t="s">
        <v>151</v>
      </c>
      <c r="C180" s="116"/>
      <c r="D180" s="116"/>
      <c r="E180" s="159">
        <v>4208</v>
      </c>
      <c r="F180" s="61">
        <f>SUM(F163+F169+F171+F179)</f>
        <v>1238</v>
      </c>
      <c r="G180" s="118"/>
      <c r="H180" s="61">
        <f>SUM(H163+H169+H171+H179)</f>
        <v>-10501</v>
      </c>
      <c r="I180" s="29"/>
      <c r="J180" s="231"/>
      <c r="K180" s="231"/>
      <c r="L180" s="231"/>
      <c r="M180" s="231"/>
      <c r="N180" s="231"/>
      <c r="O180" s="231"/>
      <c r="P180" s="231"/>
      <c r="Q180" s="231"/>
      <c r="R180" s="231"/>
      <c r="S180" s="231"/>
      <c r="T180" s="231"/>
      <c r="U180" s="231"/>
      <c r="V180" s="231"/>
      <c r="W180" s="231"/>
      <c r="X180" s="231"/>
      <c r="Y180" s="231"/>
      <c r="Z180" s="231"/>
      <c r="AA180" s="231"/>
      <c r="AB180" s="231"/>
      <c r="AC180" s="231"/>
      <c r="AD180" s="231"/>
      <c r="AE180" s="231"/>
      <c r="AF180" s="231"/>
      <c r="AG180" s="231"/>
      <c r="AH180" s="231"/>
      <c r="AI180" s="231"/>
    </row>
    <row r="181" spans="1:35" s="203" customFormat="1">
      <c r="A181" s="46"/>
      <c r="B181" s="132"/>
      <c r="C181" s="132"/>
      <c r="D181" s="132"/>
      <c r="E181" s="156"/>
      <c r="F181" s="139"/>
      <c r="G181" s="139"/>
      <c r="H181" s="139"/>
      <c r="I181" s="29"/>
      <c r="J181" s="231"/>
      <c r="K181" s="231"/>
      <c r="L181" s="231"/>
      <c r="M181" s="231"/>
      <c r="N181" s="231"/>
      <c r="O181" s="231"/>
      <c r="P181" s="231"/>
      <c r="Q181" s="231"/>
      <c r="R181" s="231"/>
      <c r="S181" s="231"/>
      <c r="T181" s="231"/>
      <c r="U181" s="231"/>
      <c r="V181" s="231"/>
      <c r="W181" s="231"/>
      <c r="X181" s="231"/>
      <c r="Y181" s="231"/>
      <c r="Z181" s="231"/>
      <c r="AA181" s="231"/>
      <c r="AB181" s="231"/>
      <c r="AC181" s="231"/>
      <c r="AD181" s="231"/>
      <c r="AE181" s="231"/>
      <c r="AF181" s="231"/>
      <c r="AG181" s="231"/>
      <c r="AH181" s="231"/>
      <c r="AI181" s="231"/>
    </row>
    <row r="182" spans="1:35" s="203" customFormat="1">
      <c r="A182" s="119" t="s">
        <v>152</v>
      </c>
      <c r="B182" s="47"/>
      <c r="C182" s="47"/>
      <c r="D182" s="116"/>
      <c r="E182" s="117"/>
      <c r="F182" s="118"/>
      <c r="G182" s="118"/>
      <c r="H182" s="118"/>
      <c r="I182" s="29"/>
      <c r="J182" s="231"/>
      <c r="K182" s="231"/>
      <c r="L182" s="231"/>
      <c r="M182" s="231"/>
      <c r="N182" s="231"/>
      <c r="O182" s="231"/>
      <c r="P182" s="231"/>
      <c r="Q182" s="231"/>
      <c r="R182" s="231"/>
      <c r="S182" s="231"/>
      <c r="T182" s="231"/>
      <c r="U182" s="231"/>
      <c r="V182" s="231"/>
      <c r="W182" s="231"/>
      <c r="X182" s="231"/>
      <c r="Y182" s="231"/>
      <c r="Z182" s="231"/>
      <c r="AA182" s="231"/>
      <c r="AB182" s="231"/>
      <c r="AC182" s="231"/>
      <c r="AD182" s="231"/>
      <c r="AE182" s="231"/>
      <c r="AF182" s="231"/>
      <c r="AG182" s="231"/>
      <c r="AH182" s="231"/>
      <c r="AI182" s="231"/>
    </row>
    <row r="183" spans="1:35" s="203" customFormat="1">
      <c r="A183" s="120">
        <v>18</v>
      </c>
      <c r="B183" s="47" t="s">
        <v>153</v>
      </c>
      <c r="C183" s="47"/>
      <c r="D183" s="47"/>
      <c r="E183" s="41">
        <v>2090</v>
      </c>
      <c r="F183" s="121">
        <v>2052</v>
      </c>
      <c r="G183" s="118"/>
      <c r="H183" s="133">
        <v>2355</v>
      </c>
      <c r="I183" s="29"/>
      <c r="J183" s="231"/>
      <c r="K183" s="231"/>
      <c r="L183" s="231"/>
      <c r="M183" s="231"/>
      <c r="N183" s="231"/>
      <c r="O183" s="231"/>
      <c r="P183" s="231"/>
      <c r="Q183" s="231"/>
      <c r="R183" s="231"/>
      <c r="S183" s="231"/>
      <c r="T183" s="231"/>
      <c r="U183" s="231"/>
      <c r="V183" s="231"/>
      <c r="W183" s="231"/>
      <c r="X183" s="231"/>
      <c r="Y183" s="231"/>
      <c r="Z183" s="231"/>
      <c r="AA183" s="231"/>
      <c r="AB183" s="231"/>
      <c r="AC183" s="231"/>
      <c r="AD183" s="231"/>
      <c r="AE183" s="231"/>
      <c r="AF183" s="231"/>
      <c r="AG183" s="231"/>
      <c r="AH183" s="231"/>
      <c r="AI183" s="231"/>
    </row>
    <row r="184" spans="1:35" s="203" customFormat="1">
      <c r="A184" s="120">
        <v>19</v>
      </c>
      <c r="B184" s="47" t="s">
        <v>154</v>
      </c>
      <c r="C184" s="47"/>
      <c r="D184" s="47"/>
      <c r="E184" s="49">
        <v>454</v>
      </c>
      <c r="F184" s="52">
        <v>353</v>
      </c>
      <c r="G184" s="118"/>
      <c r="H184" s="122">
        <v>412</v>
      </c>
      <c r="I184" s="29"/>
      <c r="J184" s="231"/>
      <c r="K184" s="231"/>
      <c r="L184" s="231"/>
      <c r="M184" s="231"/>
      <c r="N184" s="231"/>
      <c r="O184" s="231"/>
      <c r="P184" s="231"/>
      <c r="Q184" s="231"/>
      <c r="R184" s="231"/>
      <c r="S184" s="231"/>
      <c r="T184" s="231"/>
      <c r="U184" s="231"/>
      <c r="V184" s="231"/>
      <c r="W184" s="231"/>
      <c r="X184" s="231"/>
      <c r="Y184" s="231"/>
      <c r="Z184" s="231"/>
      <c r="AA184" s="231"/>
      <c r="AB184" s="231"/>
      <c r="AC184" s="231"/>
      <c r="AD184" s="231"/>
      <c r="AE184" s="231"/>
      <c r="AF184" s="231"/>
      <c r="AG184" s="231"/>
      <c r="AH184" s="231"/>
      <c r="AI184" s="231"/>
    </row>
    <row r="185" spans="1:35" s="203" customFormat="1">
      <c r="A185" s="120">
        <v>20</v>
      </c>
      <c r="B185" s="47" t="s">
        <v>155</v>
      </c>
      <c r="C185" s="47"/>
      <c r="D185" s="47"/>
      <c r="E185" s="49">
        <v>0</v>
      </c>
      <c r="F185" s="52">
        <v>0</v>
      </c>
      <c r="G185" s="118"/>
      <c r="H185" s="122">
        <v>0</v>
      </c>
      <c r="I185" s="29"/>
      <c r="J185" s="231"/>
      <c r="K185" s="231"/>
      <c r="L185" s="231"/>
      <c r="M185" s="231"/>
      <c r="N185" s="231"/>
      <c r="O185" s="231"/>
      <c r="P185" s="231"/>
      <c r="Q185" s="231"/>
      <c r="R185" s="231"/>
      <c r="S185" s="231"/>
      <c r="T185" s="231"/>
      <c r="U185" s="231"/>
      <c r="V185" s="231"/>
      <c r="W185" s="231"/>
      <c r="X185" s="231"/>
      <c r="Y185" s="231"/>
      <c r="Z185" s="231"/>
      <c r="AA185" s="231"/>
      <c r="AB185" s="231"/>
      <c r="AC185" s="231"/>
      <c r="AD185" s="231"/>
      <c r="AE185" s="231"/>
      <c r="AF185" s="231"/>
      <c r="AG185" s="231"/>
      <c r="AH185" s="231"/>
      <c r="AI185" s="231"/>
    </row>
    <row r="186" spans="1:35" s="203" customFormat="1">
      <c r="A186" s="120">
        <v>21</v>
      </c>
      <c r="B186" s="47" t="s">
        <v>156</v>
      </c>
      <c r="C186" s="47"/>
      <c r="D186" s="47"/>
      <c r="E186" s="49">
        <v>0</v>
      </c>
      <c r="F186" s="52">
        <v>0</v>
      </c>
      <c r="G186" s="118"/>
      <c r="H186" s="122">
        <v>0</v>
      </c>
      <c r="I186" s="29"/>
      <c r="J186" s="231"/>
      <c r="K186" s="231"/>
      <c r="L186" s="231"/>
      <c r="M186" s="231"/>
      <c r="N186" s="231"/>
      <c r="O186" s="231"/>
      <c r="P186" s="231"/>
      <c r="Q186" s="231"/>
      <c r="R186" s="231"/>
      <c r="S186" s="231"/>
      <c r="T186" s="231"/>
      <c r="U186" s="231"/>
      <c r="V186" s="231"/>
      <c r="W186" s="231"/>
      <c r="X186" s="231"/>
      <c r="Y186" s="231"/>
      <c r="Z186" s="231"/>
      <c r="AA186" s="231"/>
      <c r="AB186" s="231"/>
      <c r="AC186" s="231"/>
      <c r="AD186" s="231"/>
      <c r="AE186" s="231"/>
      <c r="AF186" s="231"/>
      <c r="AG186" s="231"/>
      <c r="AH186" s="231"/>
      <c r="AI186" s="231"/>
    </row>
    <row r="187" spans="1:35" s="203" customFormat="1">
      <c r="A187" s="120">
        <v>22</v>
      </c>
      <c r="B187" s="47" t="s">
        <v>157</v>
      </c>
      <c r="C187" s="47"/>
      <c r="D187" s="47"/>
      <c r="E187" s="49">
        <v>0</v>
      </c>
      <c r="F187" s="52">
        <v>0</v>
      </c>
      <c r="G187" s="118"/>
      <c r="H187" s="122">
        <v>0</v>
      </c>
      <c r="I187" s="29"/>
      <c r="J187" s="231"/>
      <c r="K187" s="231"/>
      <c r="L187" s="231"/>
      <c r="M187" s="231"/>
      <c r="N187" s="231"/>
      <c r="O187" s="231"/>
      <c r="P187" s="231"/>
      <c r="Q187" s="231"/>
      <c r="R187" s="231"/>
      <c r="S187" s="231"/>
      <c r="T187" s="231"/>
      <c r="U187" s="231"/>
      <c r="V187" s="231"/>
      <c r="W187" s="231"/>
      <c r="X187" s="231"/>
      <c r="Y187" s="231"/>
      <c r="Z187" s="231"/>
      <c r="AA187" s="231"/>
      <c r="AB187" s="231"/>
      <c r="AC187" s="231"/>
      <c r="AD187" s="231"/>
      <c r="AE187" s="231"/>
      <c r="AF187" s="231"/>
      <c r="AG187" s="231"/>
      <c r="AH187" s="231"/>
      <c r="AI187" s="231"/>
    </row>
    <row r="188" spans="1:35" s="203" customFormat="1">
      <c r="A188" s="120">
        <v>23</v>
      </c>
      <c r="B188" s="47" t="s">
        <v>158</v>
      </c>
      <c r="C188" s="47"/>
      <c r="D188" s="47"/>
      <c r="E188" s="49">
        <v>0</v>
      </c>
      <c r="F188" s="52">
        <v>0</v>
      </c>
      <c r="G188" s="118"/>
      <c r="H188" s="122">
        <v>0</v>
      </c>
      <c r="I188" s="29"/>
      <c r="J188" s="231"/>
      <c r="K188" s="231"/>
      <c r="L188" s="231"/>
      <c r="M188" s="231"/>
      <c r="N188" s="231"/>
      <c r="O188" s="231"/>
      <c r="P188" s="231"/>
      <c r="Q188" s="231"/>
      <c r="R188" s="231"/>
      <c r="S188" s="231"/>
      <c r="T188" s="231"/>
      <c r="U188" s="231"/>
      <c r="V188" s="231"/>
      <c r="W188" s="231"/>
      <c r="X188" s="231"/>
      <c r="Y188" s="231"/>
      <c r="Z188" s="231"/>
      <c r="AA188" s="231"/>
      <c r="AB188" s="231"/>
      <c r="AC188" s="231"/>
      <c r="AD188" s="231"/>
      <c r="AE188" s="231"/>
      <c r="AF188" s="231"/>
      <c r="AG188" s="231"/>
      <c r="AH188" s="231"/>
      <c r="AI188" s="231"/>
    </row>
    <row r="189" spans="1:35" s="203" customFormat="1">
      <c r="A189" s="120">
        <v>24</v>
      </c>
      <c r="B189" s="47" t="s">
        <v>159</v>
      </c>
      <c r="C189" s="47"/>
      <c r="D189" s="47"/>
      <c r="E189" s="49">
        <v>0</v>
      </c>
      <c r="F189" s="52">
        <v>0</v>
      </c>
      <c r="G189" s="118"/>
      <c r="H189" s="122">
        <v>0</v>
      </c>
      <c r="I189" s="29"/>
      <c r="J189" s="231"/>
      <c r="K189" s="231"/>
      <c r="L189" s="231"/>
      <c r="M189" s="231"/>
      <c r="N189" s="231"/>
      <c r="O189" s="231"/>
      <c r="P189" s="231"/>
      <c r="Q189" s="231"/>
      <c r="R189" s="231"/>
      <c r="S189" s="231"/>
      <c r="T189" s="231"/>
      <c r="U189" s="231"/>
      <c r="V189" s="231"/>
      <c r="W189" s="231"/>
      <c r="X189" s="231"/>
      <c r="Y189" s="231"/>
      <c r="Z189" s="231"/>
      <c r="AA189" s="231"/>
      <c r="AB189" s="231"/>
      <c r="AC189" s="231"/>
      <c r="AD189" s="231"/>
      <c r="AE189" s="231"/>
      <c r="AF189" s="231"/>
      <c r="AG189" s="231"/>
      <c r="AH189" s="231"/>
      <c r="AI189" s="231"/>
    </row>
    <row r="190" spans="1:35" s="203" customFormat="1">
      <c r="A190" s="124">
        <v>25</v>
      </c>
      <c r="B190" s="54" t="s">
        <v>160</v>
      </c>
      <c r="C190" s="54"/>
      <c r="D190" s="54"/>
      <c r="E190" s="56">
        <v>0</v>
      </c>
      <c r="F190" s="126">
        <v>0</v>
      </c>
      <c r="G190" s="118"/>
      <c r="H190" s="100">
        <v>0</v>
      </c>
      <c r="I190" s="24"/>
      <c r="J190" s="231"/>
      <c r="K190" s="231"/>
      <c r="L190" s="231"/>
      <c r="M190" s="231"/>
      <c r="N190" s="231"/>
      <c r="O190" s="231"/>
      <c r="P190" s="231"/>
      <c r="Q190" s="231"/>
      <c r="R190" s="231"/>
      <c r="S190" s="231"/>
      <c r="T190" s="231"/>
      <c r="U190" s="231"/>
      <c r="V190" s="231"/>
      <c r="W190" s="231"/>
      <c r="X190" s="231"/>
      <c r="Y190" s="231"/>
      <c r="Z190" s="231"/>
      <c r="AA190" s="231"/>
      <c r="AB190" s="231"/>
      <c r="AC190" s="231"/>
      <c r="AD190" s="231"/>
      <c r="AE190" s="231"/>
      <c r="AF190" s="231"/>
      <c r="AG190" s="231"/>
      <c r="AH190" s="231"/>
      <c r="AI190" s="231"/>
    </row>
    <row r="191" spans="1:35" s="203" customFormat="1">
      <c r="A191" s="161"/>
      <c r="B191" s="129"/>
      <c r="C191" s="129"/>
      <c r="D191" s="149"/>
      <c r="E191" s="162"/>
      <c r="F191" s="29"/>
      <c r="G191" s="29"/>
      <c r="H191" s="207"/>
      <c r="I191" s="29"/>
      <c r="J191" s="231"/>
      <c r="K191" s="231"/>
      <c r="L191" s="231"/>
      <c r="M191" s="231"/>
      <c r="N191" s="231"/>
      <c r="O191" s="231"/>
      <c r="P191" s="231"/>
      <c r="Q191" s="231"/>
      <c r="R191" s="231"/>
      <c r="S191" s="231"/>
      <c r="T191" s="231"/>
      <c r="U191" s="231"/>
      <c r="V191" s="231"/>
      <c r="W191" s="231"/>
      <c r="X191" s="231"/>
      <c r="Y191" s="231"/>
      <c r="Z191" s="231"/>
      <c r="AA191" s="231"/>
      <c r="AB191" s="231"/>
      <c r="AC191" s="231"/>
      <c r="AD191" s="231"/>
      <c r="AE191" s="231"/>
      <c r="AF191" s="231"/>
      <c r="AG191" s="231"/>
      <c r="AH191" s="231"/>
      <c r="AI191" s="231"/>
    </row>
    <row r="192" spans="1:35" s="203" customFormat="1">
      <c r="A192" s="161"/>
      <c r="B192" s="129"/>
      <c r="C192" s="129"/>
      <c r="D192" s="151"/>
      <c r="E192" s="163"/>
      <c r="F192" s="29"/>
      <c r="G192" s="29"/>
      <c r="H192" s="131" t="s">
        <v>27</v>
      </c>
      <c r="I192" s="29"/>
      <c r="J192" s="231"/>
      <c r="K192" s="231"/>
      <c r="L192" s="231"/>
      <c r="M192" s="231"/>
      <c r="N192" s="231"/>
      <c r="O192" s="231"/>
      <c r="P192" s="231"/>
      <c r="Q192" s="231"/>
      <c r="R192" s="231"/>
      <c r="S192" s="231"/>
      <c r="T192" s="231"/>
      <c r="U192" s="231"/>
      <c r="V192" s="231"/>
      <c r="W192" s="231"/>
      <c r="X192" s="231"/>
      <c r="Y192" s="231"/>
      <c r="Z192" s="231"/>
      <c r="AA192" s="231"/>
      <c r="AB192" s="231"/>
      <c r="AC192" s="231"/>
      <c r="AD192" s="231"/>
      <c r="AE192" s="231"/>
      <c r="AF192" s="231"/>
      <c r="AG192" s="231"/>
      <c r="AH192" s="231"/>
      <c r="AI192" s="231"/>
    </row>
    <row r="193" spans="1:35" s="203" customFormat="1" ht="12.75" customHeight="1">
      <c r="A193" s="106" t="s">
        <v>23</v>
      </c>
      <c r="B193" s="164"/>
      <c r="C193" s="164"/>
      <c r="D193" s="164"/>
      <c r="E193" s="856" t="s">
        <v>377</v>
      </c>
      <c r="F193" s="856" t="s">
        <v>402</v>
      </c>
      <c r="G193" s="130"/>
      <c r="H193" s="856" t="s">
        <v>403</v>
      </c>
      <c r="I193" s="130"/>
      <c r="J193" s="231"/>
      <c r="K193" s="231"/>
      <c r="L193" s="231"/>
      <c r="M193" s="231"/>
      <c r="N193" s="231"/>
      <c r="O193" s="231"/>
      <c r="P193" s="231"/>
      <c r="Q193" s="231"/>
      <c r="R193" s="231"/>
      <c r="S193" s="231"/>
      <c r="T193" s="231"/>
      <c r="U193" s="231"/>
      <c r="V193" s="231"/>
      <c r="W193" s="231"/>
      <c r="X193" s="231"/>
      <c r="Y193" s="231"/>
      <c r="Z193" s="231"/>
      <c r="AA193" s="231"/>
      <c r="AB193" s="231"/>
      <c r="AC193" s="231"/>
      <c r="AD193" s="231"/>
      <c r="AE193" s="231"/>
      <c r="AF193" s="231"/>
      <c r="AG193" s="231"/>
      <c r="AH193" s="231"/>
      <c r="AI193" s="231"/>
    </row>
    <row r="194" spans="1:35" s="203" customFormat="1" ht="23.25" customHeight="1">
      <c r="A194" s="165"/>
      <c r="B194" s="132"/>
      <c r="C194" s="132"/>
      <c r="D194" s="132"/>
      <c r="E194" s="859"/>
      <c r="F194" s="859"/>
      <c r="G194" s="130"/>
      <c r="H194" s="859"/>
      <c r="I194" s="130"/>
      <c r="J194" s="231"/>
      <c r="K194" s="231"/>
      <c r="L194" s="231"/>
      <c r="M194" s="231"/>
      <c r="N194" s="231"/>
      <c r="O194" s="231"/>
      <c r="P194" s="231"/>
      <c r="Q194" s="231"/>
      <c r="R194" s="231"/>
      <c r="S194" s="231"/>
      <c r="T194" s="231"/>
      <c r="U194" s="231"/>
      <c r="V194" s="231"/>
      <c r="W194" s="231"/>
      <c r="X194" s="231"/>
      <c r="Y194" s="231"/>
      <c r="Z194" s="231"/>
      <c r="AA194" s="231"/>
      <c r="AB194" s="231"/>
      <c r="AC194" s="231"/>
      <c r="AD194" s="231"/>
      <c r="AE194" s="231"/>
      <c r="AF194" s="231"/>
      <c r="AG194" s="231"/>
      <c r="AH194" s="231"/>
      <c r="AI194" s="231"/>
    </row>
    <row r="195" spans="1:35" s="203" customFormat="1">
      <c r="A195" s="154" t="s">
        <v>161</v>
      </c>
      <c r="B195" s="116"/>
      <c r="C195" s="116"/>
      <c r="D195" s="116"/>
      <c r="E195" s="859"/>
      <c r="F195" s="859"/>
      <c r="G195" s="130"/>
      <c r="H195" s="859"/>
      <c r="I195" s="130"/>
      <c r="J195" s="231"/>
      <c r="K195" s="231"/>
      <c r="L195" s="231"/>
      <c r="M195" s="231"/>
      <c r="N195" s="231"/>
      <c r="O195" s="231"/>
      <c r="P195" s="231"/>
      <c r="Q195" s="231"/>
      <c r="R195" s="231"/>
      <c r="S195" s="231"/>
      <c r="T195" s="231"/>
      <c r="U195" s="231"/>
      <c r="V195" s="231"/>
      <c r="W195" s="231"/>
      <c r="X195" s="231"/>
      <c r="Y195" s="231"/>
      <c r="Z195" s="231"/>
      <c r="AA195" s="231"/>
      <c r="AB195" s="231"/>
      <c r="AC195" s="231"/>
      <c r="AD195" s="231"/>
      <c r="AE195" s="231"/>
      <c r="AF195" s="231"/>
      <c r="AG195" s="231"/>
      <c r="AH195" s="231"/>
      <c r="AI195" s="231"/>
    </row>
    <row r="196" spans="1:35" s="203" customFormat="1">
      <c r="A196" s="109" t="s">
        <v>83</v>
      </c>
      <c r="B196" s="47"/>
      <c r="C196" s="47"/>
      <c r="D196" s="47"/>
      <c r="E196" s="859"/>
      <c r="F196" s="859"/>
      <c r="G196" s="130"/>
      <c r="H196" s="859"/>
      <c r="I196" s="130"/>
      <c r="J196" s="231"/>
      <c r="K196" s="231"/>
      <c r="L196" s="231"/>
      <c r="M196" s="231"/>
      <c r="N196" s="231"/>
      <c r="O196" s="231"/>
      <c r="P196" s="231"/>
      <c r="Q196" s="231"/>
      <c r="R196" s="231"/>
      <c r="S196" s="231"/>
      <c r="T196" s="231"/>
      <c r="U196" s="231"/>
      <c r="V196" s="231"/>
      <c r="W196" s="231"/>
      <c r="X196" s="231"/>
      <c r="Y196" s="231"/>
      <c r="Z196" s="231"/>
      <c r="AA196" s="231"/>
      <c r="AB196" s="231"/>
      <c r="AC196" s="231"/>
      <c r="AD196" s="231"/>
      <c r="AE196" s="231"/>
      <c r="AF196" s="231"/>
      <c r="AG196" s="231"/>
      <c r="AH196" s="231"/>
      <c r="AI196" s="231"/>
    </row>
    <row r="197" spans="1:35" s="203" customFormat="1">
      <c r="A197" s="110" t="s">
        <v>84</v>
      </c>
      <c r="B197" s="132"/>
      <c r="C197" s="132"/>
      <c r="D197" s="132"/>
      <c r="E197" s="860"/>
      <c r="F197" s="860"/>
      <c r="G197" s="130"/>
      <c r="H197" s="860"/>
      <c r="I197" s="130"/>
      <c r="J197" s="231"/>
      <c r="K197" s="231"/>
      <c r="L197" s="231"/>
      <c r="M197" s="231"/>
      <c r="N197" s="231"/>
      <c r="O197" s="231"/>
      <c r="P197" s="231"/>
      <c r="Q197" s="231"/>
      <c r="R197" s="231"/>
      <c r="S197" s="231"/>
      <c r="T197" s="231"/>
      <c r="U197" s="231"/>
      <c r="V197" s="231"/>
      <c r="W197" s="231"/>
      <c r="X197" s="231"/>
      <c r="Y197" s="231"/>
      <c r="Z197" s="231"/>
      <c r="AA197" s="231"/>
      <c r="AB197" s="231"/>
      <c r="AC197" s="231"/>
      <c r="AD197" s="231"/>
      <c r="AE197" s="231"/>
      <c r="AF197" s="231"/>
      <c r="AG197" s="231"/>
      <c r="AH197" s="231"/>
      <c r="AI197" s="231"/>
    </row>
    <row r="198" spans="1:35" s="203" customFormat="1">
      <c r="A198" s="153" t="s">
        <v>162</v>
      </c>
      <c r="B198" s="166"/>
      <c r="C198" s="166"/>
      <c r="D198" s="166"/>
      <c r="E198" s="167"/>
      <c r="F198" s="146"/>
      <c r="G198" s="118"/>
      <c r="H198" s="146"/>
      <c r="I198" s="29"/>
      <c r="J198" s="231"/>
      <c r="K198" s="231"/>
      <c r="L198" s="231"/>
      <c r="M198" s="231"/>
      <c r="N198" s="231"/>
      <c r="O198" s="231"/>
      <c r="P198" s="231"/>
      <c r="Q198" s="231"/>
      <c r="R198" s="231"/>
      <c r="S198" s="231"/>
      <c r="T198" s="231"/>
      <c r="U198" s="231"/>
      <c r="V198" s="231"/>
      <c r="W198" s="231"/>
      <c r="X198" s="231"/>
      <c r="Y198" s="231"/>
      <c r="Z198" s="231"/>
      <c r="AA198" s="231"/>
      <c r="AB198" s="231"/>
      <c r="AC198" s="231"/>
      <c r="AD198" s="231"/>
      <c r="AE198" s="231"/>
      <c r="AF198" s="231"/>
      <c r="AG198" s="231"/>
      <c r="AH198" s="231"/>
      <c r="AI198" s="231"/>
    </row>
    <row r="199" spans="1:35" s="203" customFormat="1">
      <c r="A199" s="120">
        <v>1</v>
      </c>
      <c r="B199" s="47" t="s">
        <v>163</v>
      </c>
      <c r="C199" s="47"/>
      <c r="D199" s="47"/>
      <c r="E199" s="74">
        <v>303</v>
      </c>
      <c r="F199" s="52">
        <v>287</v>
      </c>
      <c r="G199" s="118"/>
      <c r="H199" s="122">
        <v>292</v>
      </c>
      <c r="I199" s="29"/>
      <c r="J199" s="231"/>
      <c r="K199" s="231"/>
      <c r="L199" s="231"/>
      <c r="M199" s="231"/>
      <c r="N199" s="231"/>
      <c r="O199" s="231"/>
      <c r="P199" s="231"/>
      <c r="Q199" s="231"/>
      <c r="R199" s="231"/>
      <c r="S199" s="231"/>
      <c r="T199" s="231"/>
      <c r="U199" s="231"/>
      <c r="V199" s="231"/>
      <c r="W199" s="231"/>
      <c r="X199" s="231"/>
      <c r="Y199" s="231"/>
      <c r="Z199" s="231"/>
      <c r="AA199" s="231"/>
      <c r="AB199" s="231"/>
      <c r="AC199" s="231"/>
      <c r="AD199" s="231"/>
      <c r="AE199" s="231"/>
      <c r="AF199" s="231"/>
      <c r="AG199" s="231"/>
      <c r="AH199" s="231"/>
      <c r="AI199" s="231"/>
    </row>
    <row r="200" spans="1:35" s="203" customFormat="1">
      <c r="A200" s="120">
        <v>2</v>
      </c>
      <c r="B200" s="47" t="s">
        <v>164</v>
      </c>
      <c r="C200" s="47"/>
      <c r="D200" s="47"/>
      <c r="E200" s="56">
        <v>1850</v>
      </c>
      <c r="F200" s="52">
        <v>1945</v>
      </c>
      <c r="G200" s="118"/>
      <c r="H200" s="100">
        <v>1830</v>
      </c>
      <c r="I200" s="29"/>
      <c r="J200" s="231"/>
      <c r="K200" s="231"/>
      <c r="L200" s="231"/>
      <c r="M200" s="231"/>
      <c r="N200" s="231"/>
      <c r="O200" s="231"/>
      <c r="P200" s="231"/>
      <c r="Q200" s="231"/>
      <c r="R200" s="231"/>
      <c r="S200" s="231"/>
      <c r="T200" s="231"/>
      <c r="U200" s="231"/>
      <c r="V200" s="231"/>
      <c r="W200" s="231"/>
      <c r="X200" s="231"/>
      <c r="Y200" s="231"/>
      <c r="Z200" s="231"/>
      <c r="AA200" s="231"/>
      <c r="AB200" s="231"/>
      <c r="AC200" s="231"/>
      <c r="AD200" s="231"/>
      <c r="AE200" s="231"/>
      <c r="AF200" s="231"/>
      <c r="AG200" s="231"/>
      <c r="AH200" s="231"/>
      <c r="AI200" s="231"/>
    </row>
    <row r="201" spans="1:35" s="203" customFormat="1">
      <c r="A201" s="120">
        <v>3</v>
      </c>
      <c r="B201" s="116" t="s">
        <v>165</v>
      </c>
      <c r="C201" s="116"/>
      <c r="D201" s="116"/>
      <c r="E201" s="80">
        <v>2153</v>
      </c>
      <c r="F201" s="142">
        <f>SUM(F199:F200)</f>
        <v>2232</v>
      </c>
      <c r="G201" s="118"/>
      <c r="H201" s="142">
        <f>SUM(H199:H200)</f>
        <v>2122</v>
      </c>
      <c r="I201" s="29"/>
      <c r="J201" s="231"/>
      <c r="K201" s="231"/>
      <c r="L201" s="231"/>
      <c r="M201" s="231"/>
      <c r="N201" s="231"/>
      <c r="O201" s="231"/>
      <c r="P201" s="231"/>
      <c r="Q201" s="231"/>
      <c r="R201" s="231"/>
      <c r="S201" s="231"/>
      <c r="T201" s="231"/>
      <c r="U201" s="231"/>
      <c r="V201" s="231"/>
      <c r="W201" s="231"/>
      <c r="X201" s="231"/>
      <c r="Y201" s="231"/>
      <c r="Z201" s="231"/>
      <c r="AA201" s="231"/>
      <c r="AB201" s="231"/>
      <c r="AC201" s="231"/>
      <c r="AD201" s="231"/>
      <c r="AE201" s="231"/>
      <c r="AF201" s="231"/>
      <c r="AG201" s="231"/>
      <c r="AH201" s="231"/>
      <c r="AI201" s="231"/>
    </row>
    <row r="202" spans="1:35" s="203" customFormat="1">
      <c r="A202" s="46"/>
      <c r="B202" s="132"/>
      <c r="C202" s="132"/>
      <c r="D202" s="132"/>
      <c r="E202" s="156"/>
      <c r="F202" s="139"/>
      <c r="G202" s="139"/>
      <c r="H202" s="139"/>
      <c r="I202" s="29"/>
      <c r="J202" s="231"/>
      <c r="K202" s="231"/>
      <c r="L202" s="231"/>
      <c r="M202" s="231"/>
      <c r="N202" s="231"/>
      <c r="O202" s="231"/>
      <c r="P202" s="231"/>
      <c r="Q202" s="231"/>
      <c r="R202" s="231"/>
      <c r="S202" s="231"/>
      <c r="T202" s="231"/>
      <c r="U202" s="231"/>
      <c r="V202" s="231"/>
      <c r="W202" s="231"/>
      <c r="X202" s="231"/>
      <c r="Y202" s="231"/>
      <c r="Z202" s="231"/>
      <c r="AA202" s="231"/>
      <c r="AB202" s="231"/>
      <c r="AC202" s="231"/>
      <c r="AD202" s="231"/>
      <c r="AE202" s="231"/>
      <c r="AF202" s="231"/>
      <c r="AG202" s="231"/>
      <c r="AH202" s="231"/>
      <c r="AI202" s="231"/>
    </row>
    <row r="203" spans="1:35" s="203" customFormat="1">
      <c r="A203" s="153" t="s">
        <v>166</v>
      </c>
      <c r="B203" s="116"/>
      <c r="C203" s="116"/>
      <c r="D203" s="116"/>
      <c r="E203" s="140"/>
      <c r="F203" s="146"/>
      <c r="G203" s="118"/>
      <c r="H203" s="146"/>
      <c r="I203" s="29"/>
      <c r="J203" s="231"/>
      <c r="K203" s="231"/>
      <c r="L203" s="231"/>
      <c r="M203" s="231"/>
      <c r="N203" s="231"/>
      <c r="O203" s="231"/>
      <c r="P203" s="231"/>
      <c r="Q203" s="231"/>
      <c r="R203" s="231"/>
      <c r="S203" s="231"/>
      <c r="T203" s="231"/>
      <c r="U203" s="231"/>
      <c r="V203" s="231"/>
      <c r="W203" s="231"/>
      <c r="X203" s="231"/>
      <c r="Y203" s="231"/>
      <c r="Z203" s="231"/>
      <c r="AA203" s="231"/>
      <c r="AB203" s="231"/>
      <c r="AC203" s="231"/>
      <c r="AD203" s="231"/>
      <c r="AE203" s="231"/>
      <c r="AF203" s="231"/>
      <c r="AG203" s="231"/>
      <c r="AH203" s="231"/>
      <c r="AI203" s="231"/>
    </row>
    <row r="204" spans="1:35" s="203" customFormat="1">
      <c r="A204" s="120">
        <v>4</v>
      </c>
      <c r="B204" s="47" t="s">
        <v>167</v>
      </c>
      <c r="C204" s="47"/>
      <c r="D204" s="47"/>
      <c r="E204" s="74">
        <v>15938</v>
      </c>
      <c r="F204" s="52">
        <v>17849</v>
      </c>
      <c r="G204" s="118"/>
      <c r="H204" s="122">
        <v>14641</v>
      </c>
      <c r="I204" s="29"/>
      <c r="J204" s="231"/>
      <c r="K204" s="231"/>
      <c r="L204" s="231"/>
      <c r="M204" s="231"/>
      <c r="N204" s="231"/>
      <c r="O204" s="231"/>
      <c r="P204" s="231"/>
      <c r="Q204" s="231"/>
      <c r="R204" s="231"/>
      <c r="S204" s="231"/>
      <c r="T204" s="231"/>
      <c r="U204" s="231"/>
      <c r="V204" s="231"/>
      <c r="W204" s="231"/>
      <c r="X204" s="231"/>
      <c r="Y204" s="231"/>
      <c r="Z204" s="231"/>
      <c r="AA204" s="231"/>
      <c r="AB204" s="231"/>
      <c r="AC204" s="231"/>
      <c r="AD204" s="231"/>
      <c r="AE204" s="231"/>
      <c r="AF204" s="231"/>
      <c r="AG204" s="231"/>
      <c r="AH204" s="231"/>
      <c r="AI204" s="231"/>
    </row>
    <row r="205" spans="1:35" s="203" customFormat="1">
      <c r="A205" s="120">
        <v>5</v>
      </c>
      <c r="B205" s="47" t="s">
        <v>168</v>
      </c>
      <c r="C205" s="47"/>
      <c r="D205" s="47"/>
      <c r="E205" s="49">
        <v>14826</v>
      </c>
      <c r="F205" s="52">
        <v>20023</v>
      </c>
      <c r="G205" s="118"/>
      <c r="H205" s="122">
        <v>22908</v>
      </c>
      <c r="I205" s="29"/>
      <c r="J205" s="231"/>
      <c r="K205" s="231"/>
      <c r="L205" s="231"/>
      <c r="M205" s="231"/>
      <c r="N205" s="231"/>
      <c r="O205" s="231"/>
      <c r="P205" s="231"/>
      <c r="Q205" s="231"/>
      <c r="R205" s="231"/>
      <c r="S205" s="231"/>
      <c r="T205" s="231"/>
      <c r="U205" s="231"/>
      <c r="V205" s="231"/>
      <c r="W205" s="231"/>
      <c r="X205" s="231"/>
      <c r="Y205" s="231"/>
      <c r="Z205" s="231"/>
      <c r="AA205" s="231"/>
      <c r="AB205" s="231"/>
      <c r="AC205" s="231"/>
      <c r="AD205" s="231"/>
      <c r="AE205" s="231"/>
      <c r="AF205" s="231"/>
      <c r="AG205" s="231"/>
      <c r="AH205" s="231"/>
      <c r="AI205" s="231"/>
    </row>
    <row r="206" spans="1:35" s="203" customFormat="1">
      <c r="A206" s="120">
        <v>6</v>
      </c>
      <c r="B206" s="47" t="s">
        <v>169</v>
      </c>
      <c r="C206" s="47"/>
      <c r="D206" s="47"/>
      <c r="E206" s="49">
        <v>13536</v>
      </c>
      <c r="F206" s="52">
        <v>13350</v>
      </c>
      <c r="G206" s="118"/>
      <c r="H206" s="100">
        <v>12518</v>
      </c>
      <c r="I206" s="29"/>
      <c r="J206" s="231"/>
      <c r="K206" s="231"/>
      <c r="L206" s="231"/>
      <c r="M206" s="231"/>
      <c r="N206" s="231"/>
      <c r="O206" s="231"/>
      <c r="P206" s="231"/>
      <c r="Q206" s="231"/>
      <c r="R206" s="231"/>
      <c r="S206" s="231"/>
      <c r="T206" s="231"/>
      <c r="U206" s="231"/>
      <c r="V206" s="231"/>
      <c r="W206" s="231"/>
      <c r="X206" s="231"/>
      <c r="Y206" s="231"/>
      <c r="Z206" s="231"/>
      <c r="AA206" s="231"/>
      <c r="AB206" s="231"/>
      <c r="AC206" s="231"/>
      <c r="AD206" s="231"/>
      <c r="AE206" s="231"/>
      <c r="AF206" s="231"/>
      <c r="AG206" s="231"/>
      <c r="AH206" s="231"/>
      <c r="AI206" s="231"/>
    </row>
    <row r="207" spans="1:35" s="203" customFormat="1">
      <c r="A207" s="120">
        <v>7</v>
      </c>
      <c r="B207" s="116" t="s">
        <v>170</v>
      </c>
      <c r="C207" s="116"/>
      <c r="D207" s="116"/>
      <c r="E207" s="80">
        <v>44300</v>
      </c>
      <c r="F207" s="142">
        <f>SUM(F204:F206)</f>
        <v>51222</v>
      </c>
      <c r="G207" s="118"/>
      <c r="H207" s="142">
        <f>SUM(H204:H206)</f>
        <v>50067</v>
      </c>
      <c r="I207" s="29"/>
      <c r="J207" s="231"/>
      <c r="K207" s="231"/>
      <c r="L207" s="231"/>
      <c r="M207" s="231"/>
      <c r="N207" s="231"/>
      <c r="O207" s="231"/>
      <c r="P207" s="231"/>
      <c r="Q207" s="231"/>
      <c r="R207" s="231"/>
      <c r="S207" s="231"/>
      <c r="T207" s="231"/>
      <c r="U207" s="231"/>
      <c r="V207" s="231"/>
      <c r="W207" s="231"/>
      <c r="X207" s="231"/>
      <c r="Y207" s="231"/>
      <c r="Z207" s="231"/>
      <c r="AA207" s="231"/>
      <c r="AB207" s="231"/>
      <c r="AC207" s="231"/>
      <c r="AD207" s="231"/>
      <c r="AE207" s="231"/>
      <c r="AF207" s="231"/>
      <c r="AG207" s="231"/>
      <c r="AH207" s="231"/>
      <c r="AI207" s="231"/>
    </row>
    <row r="208" spans="1:35" s="203" customFormat="1">
      <c r="A208" s="46"/>
      <c r="B208" s="132"/>
      <c r="C208" s="132"/>
      <c r="D208" s="132"/>
      <c r="E208" s="156"/>
      <c r="F208" s="139"/>
      <c r="G208" s="139"/>
      <c r="H208" s="139"/>
      <c r="I208" s="29"/>
      <c r="J208" s="231"/>
      <c r="K208" s="231"/>
      <c r="L208" s="231"/>
      <c r="M208" s="231"/>
      <c r="N208" s="231"/>
      <c r="O208" s="231"/>
      <c r="P208" s="231"/>
      <c r="Q208" s="231"/>
      <c r="R208" s="231"/>
      <c r="S208" s="231"/>
      <c r="T208" s="231"/>
      <c r="U208" s="231"/>
      <c r="V208" s="231"/>
      <c r="W208" s="231"/>
      <c r="X208" s="231"/>
      <c r="Y208" s="231"/>
      <c r="Z208" s="231"/>
      <c r="AA208" s="231"/>
      <c r="AB208" s="231"/>
      <c r="AC208" s="231"/>
      <c r="AD208" s="231"/>
      <c r="AE208" s="231"/>
      <c r="AF208" s="231"/>
      <c r="AG208" s="231"/>
      <c r="AH208" s="231"/>
      <c r="AI208" s="231"/>
    </row>
    <row r="209" spans="1:35" s="203" customFormat="1">
      <c r="A209" s="153" t="s">
        <v>121</v>
      </c>
      <c r="B209" s="168"/>
      <c r="C209" s="168"/>
      <c r="D209" s="168"/>
      <c r="E209" s="140"/>
      <c r="F209" s="146"/>
      <c r="G209" s="118"/>
      <c r="H209" s="146"/>
      <c r="I209" s="29"/>
      <c r="J209" s="231"/>
      <c r="K209" s="231"/>
      <c r="L209" s="231"/>
      <c r="M209" s="231"/>
      <c r="N209" s="231"/>
      <c r="O209" s="231"/>
      <c r="P209" s="231"/>
      <c r="Q209" s="231"/>
      <c r="R209" s="231"/>
      <c r="S209" s="231"/>
      <c r="T209" s="231"/>
      <c r="U209" s="231"/>
      <c r="V209" s="231"/>
      <c r="W209" s="231"/>
      <c r="X209" s="231"/>
      <c r="Y209" s="231"/>
      <c r="Z209" s="231"/>
      <c r="AA209" s="231"/>
      <c r="AB209" s="231"/>
      <c r="AC209" s="231"/>
      <c r="AD209" s="231"/>
      <c r="AE209" s="231"/>
      <c r="AF209" s="231"/>
      <c r="AG209" s="231"/>
      <c r="AH209" s="231"/>
      <c r="AI209" s="231"/>
    </row>
    <row r="210" spans="1:35" s="203" customFormat="1">
      <c r="A210" s="120">
        <v>8</v>
      </c>
      <c r="B210" s="47" t="s">
        <v>171</v>
      </c>
      <c r="C210" s="47"/>
      <c r="D210" s="47"/>
      <c r="E210" s="74">
        <v>-445</v>
      </c>
      <c r="F210" s="52">
        <v>201</v>
      </c>
      <c r="G210" s="118"/>
      <c r="H210" s="122">
        <v>-545</v>
      </c>
      <c r="I210" s="29"/>
      <c r="J210" s="231"/>
      <c r="K210" s="231"/>
      <c r="L210" s="231"/>
      <c r="M210" s="231"/>
      <c r="N210" s="231"/>
      <c r="O210" s="231"/>
      <c r="P210" s="231"/>
      <c r="Q210" s="231"/>
      <c r="R210" s="231"/>
      <c r="S210" s="231"/>
      <c r="T210" s="231"/>
      <c r="U210" s="231"/>
      <c r="V210" s="231"/>
      <c r="W210" s="231"/>
      <c r="X210" s="231"/>
      <c r="Y210" s="231"/>
      <c r="Z210" s="231"/>
      <c r="AA210" s="231"/>
      <c r="AB210" s="231"/>
      <c r="AC210" s="231"/>
      <c r="AD210" s="231"/>
      <c r="AE210" s="231"/>
      <c r="AF210" s="231"/>
      <c r="AG210" s="231"/>
      <c r="AH210" s="231"/>
      <c r="AI210" s="231"/>
    </row>
    <row r="211" spans="1:35" s="203" customFormat="1">
      <c r="A211" s="120">
        <v>9</v>
      </c>
      <c r="B211" s="47" t="s">
        <v>172</v>
      </c>
      <c r="C211" s="47"/>
      <c r="D211" s="47"/>
      <c r="E211" s="49">
        <v>0</v>
      </c>
      <c r="F211" s="52">
        <v>0</v>
      </c>
      <c r="G211" s="118"/>
      <c r="H211" s="122">
        <v>0</v>
      </c>
      <c r="I211" s="29"/>
      <c r="J211" s="231"/>
      <c r="K211" s="231"/>
      <c r="L211" s="231"/>
      <c r="M211" s="231"/>
      <c r="N211" s="231"/>
      <c r="O211" s="231"/>
      <c r="P211" s="231"/>
      <c r="Q211" s="231"/>
      <c r="R211" s="231"/>
      <c r="S211" s="231"/>
      <c r="T211" s="231"/>
      <c r="U211" s="231"/>
      <c r="V211" s="231"/>
      <c r="W211" s="231"/>
      <c r="X211" s="231"/>
      <c r="Y211" s="231"/>
      <c r="Z211" s="231"/>
      <c r="AA211" s="231"/>
      <c r="AB211" s="231"/>
      <c r="AC211" s="231"/>
      <c r="AD211" s="231"/>
      <c r="AE211" s="231"/>
      <c r="AF211" s="231"/>
      <c r="AG211" s="231"/>
      <c r="AH211" s="231"/>
      <c r="AI211" s="231"/>
    </row>
    <row r="212" spans="1:35" s="203" customFormat="1">
      <c r="A212" s="120">
        <v>10</v>
      </c>
      <c r="B212" s="47" t="s">
        <v>173</v>
      </c>
      <c r="C212" s="47"/>
      <c r="D212" s="47"/>
      <c r="E212" s="49">
        <v>739</v>
      </c>
      <c r="F212" s="52">
        <v>677</v>
      </c>
      <c r="G212" s="118"/>
      <c r="H212" s="122">
        <v>588</v>
      </c>
      <c r="I212" s="29"/>
      <c r="J212" s="231"/>
      <c r="K212" s="231"/>
      <c r="L212" s="231"/>
      <c r="M212" s="231"/>
      <c r="N212" s="231"/>
      <c r="O212" s="231"/>
      <c r="P212" s="231"/>
      <c r="Q212" s="231"/>
      <c r="R212" s="231"/>
      <c r="S212" s="231"/>
      <c r="T212" s="231"/>
      <c r="U212" s="231"/>
      <c r="V212" s="231"/>
      <c r="W212" s="231"/>
      <c r="X212" s="231"/>
      <c r="Y212" s="231"/>
      <c r="Z212" s="231"/>
      <c r="AA212" s="231"/>
      <c r="AB212" s="231"/>
      <c r="AC212" s="231"/>
      <c r="AD212" s="231"/>
      <c r="AE212" s="231"/>
      <c r="AF212" s="231"/>
      <c r="AG212" s="231"/>
      <c r="AH212" s="231"/>
      <c r="AI212" s="231"/>
    </row>
    <row r="213" spans="1:35" s="203" customFormat="1">
      <c r="A213" s="120">
        <v>11</v>
      </c>
      <c r="B213" s="47" t="s">
        <v>174</v>
      </c>
      <c r="C213" s="47"/>
      <c r="D213" s="47"/>
      <c r="E213" s="49">
        <v>12797</v>
      </c>
      <c r="F213" s="52">
        <v>10670</v>
      </c>
      <c r="G213" s="118"/>
      <c r="H213" s="99">
        <v>10205</v>
      </c>
      <c r="I213" s="29"/>
      <c r="J213" s="231"/>
      <c r="K213" s="231"/>
      <c r="L213" s="231"/>
      <c r="M213" s="231"/>
      <c r="N213" s="231"/>
      <c r="O213" s="231"/>
      <c r="P213" s="231"/>
      <c r="Q213" s="231"/>
      <c r="R213" s="231"/>
      <c r="S213" s="231"/>
      <c r="T213" s="231"/>
      <c r="U213" s="231"/>
      <c r="V213" s="231"/>
      <c r="W213" s="231"/>
      <c r="X213" s="231"/>
      <c r="Y213" s="231"/>
      <c r="Z213" s="231"/>
      <c r="AA213" s="231"/>
      <c r="AB213" s="231"/>
      <c r="AC213" s="231"/>
      <c r="AD213" s="231"/>
      <c r="AE213" s="231"/>
      <c r="AF213" s="231"/>
      <c r="AG213" s="231"/>
      <c r="AH213" s="231"/>
      <c r="AI213" s="231"/>
    </row>
    <row r="214" spans="1:35" s="203" customFormat="1">
      <c r="A214" s="120">
        <v>12</v>
      </c>
      <c r="B214" s="116" t="s">
        <v>175</v>
      </c>
      <c r="C214" s="116"/>
      <c r="D214" s="116"/>
      <c r="E214" s="159">
        <v>59544</v>
      </c>
      <c r="F214" s="61">
        <f>F201+F207+SUM(F210:F213)</f>
        <v>65002</v>
      </c>
      <c r="G214" s="118"/>
      <c r="H214" s="61">
        <f>H201+H207+SUM(H210:H213)</f>
        <v>62437</v>
      </c>
      <c r="I214" s="29"/>
      <c r="J214" s="231"/>
      <c r="K214" s="231"/>
      <c r="L214" s="231"/>
      <c r="M214" s="231"/>
      <c r="N214" s="231"/>
      <c r="O214" s="231"/>
      <c r="P214" s="231"/>
      <c r="Q214" s="231"/>
      <c r="R214" s="231"/>
      <c r="S214" s="231"/>
      <c r="T214" s="231"/>
      <c r="U214" s="231"/>
      <c r="V214" s="231"/>
      <c r="W214" s="231"/>
      <c r="X214" s="231"/>
      <c r="Y214" s="231"/>
      <c r="Z214" s="231"/>
      <c r="AA214" s="231"/>
      <c r="AB214" s="231"/>
      <c r="AC214" s="231"/>
      <c r="AD214" s="231"/>
      <c r="AE214" s="231"/>
      <c r="AF214" s="231"/>
      <c r="AG214" s="231"/>
      <c r="AH214" s="231"/>
      <c r="AI214" s="231"/>
    </row>
    <row r="215" spans="1:35" s="203" customFormat="1">
      <c r="A215" s="111"/>
      <c r="B215" s="47"/>
      <c r="C215" s="47"/>
      <c r="D215" s="47"/>
      <c r="E215" s="117"/>
      <c r="F215" s="118"/>
      <c r="G215" s="118"/>
      <c r="H215" s="118"/>
      <c r="I215" s="29"/>
      <c r="J215" s="231"/>
      <c r="K215" s="231"/>
      <c r="L215" s="231"/>
      <c r="M215" s="231"/>
      <c r="N215" s="231"/>
      <c r="O215" s="231"/>
      <c r="P215" s="231"/>
      <c r="Q215" s="231"/>
      <c r="R215" s="231"/>
      <c r="S215" s="231"/>
      <c r="T215" s="231"/>
      <c r="U215" s="231"/>
      <c r="V215" s="231"/>
      <c r="W215" s="231"/>
      <c r="X215" s="231"/>
      <c r="Y215" s="231"/>
      <c r="Z215" s="231"/>
      <c r="AA215" s="231"/>
      <c r="AB215" s="231"/>
      <c r="AC215" s="231"/>
      <c r="AD215" s="231"/>
      <c r="AE215" s="231"/>
      <c r="AF215" s="231"/>
      <c r="AG215" s="231"/>
      <c r="AH215" s="231"/>
      <c r="AI215" s="231"/>
    </row>
    <row r="216" spans="1:35" s="203" customFormat="1">
      <c r="A216" s="119" t="s">
        <v>176</v>
      </c>
      <c r="B216" s="116"/>
      <c r="C216" s="116"/>
      <c r="D216" s="116"/>
      <c r="E216" s="117"/>
      <c r="F216" s="160"/>
      <c r="G216" s="118"/>
      <c r="H216" s="160"/>
      <c r="I216" s="29"/>
      <c r="J216" s="231"/>
      <c r="K216" s="231"/>
      <c r="L216" s="231"/>
      <c r="M216" s="231"/>
      <c r="N216" s="231"/>
      <c r="O216" s="231"/>
      <c r="P216" s="231"/>
      <c r="Q216" s="231"/>
      <c r="R216" s="231"/>
      <c r="S216" s="231"/>
      <c r="T216" s="231"/>
      <c r="U216" s="231"/>
      <c r="V216" s="231"/>
      <c r="W216" s="231"/>
      <c r="X216" s="231"/>
      <c r="Y216" s="231"/>
      <c r="Z216" s="231"/>
      <c r="AA216" s="231"/>
      <c r="AB216" s="231"/>
      <c r="AC216" s="231"/>
      <c r="AD216" s="231"/>
      <c r="AE216" s="231"/>
      <c r="AF216" s="231"/>
      <c r="AG216" s="231"/>
      <c r="AH216" s="231"/>
      <c r="AI216" s="231"/>
    </row>
    <row r="217" spans="1:35" s="203" customFormat="1">
      <c r="A217" s="120">
        <v>13</v>
      </c>
      <c r="B217" s="47" t="s">
        <v>177</v>
      </c>
      <c r="C217" s="47"/>
      <c r="D217" s="47"/>
      <c r="E217" s="41">
        <v>802</v>
      </c>
      <c r="F217" s="121">
        <v>701</v>
      </c>
      <c r="G217" s="118"/>
      <c r="H217" s="169">
        <v>420</v>
      </c>
      <c r="I217" s="29"/>
      <c r="J217" s="231"/>
      <c r="K217" s="231"/>
      <c r="L217" s="231"/>
      <c r="M217" s="231"/>
      <c r="N217" s="231"/>
      <c r="O217" s="231"/>
      <c r="P217" s="231"/>
      <c r="Q217" s="231"/>
      <c r="R217" s="231"/>
      <c r="S217" s="231"/>
      <c r="T217" s="231"/>
      <c r="U217" s="231"/>
      <c r="V217" s="231"/>
      <c r="W217" s="231"/>
      <c r="X217" s="231"/>
      <c r="Y217" s="231"/>
      <c r="Z217" s="231"/>
      <c r="AA217" s="231"/>
      <c r="AB217" s="231"/>
      <c r="AC217" s="231"/>
      <c r="AD217" s="231"/>
      <c r="AE217" s="231"/>
      <c r="AF217" s="231"/>
      <c r="AG217" s="231"/>
      <c r="AH217" s="231"/>
      <c r="AI217" s="231"/>
    </row>
    <row r="218" spans="1:35" s="203" customFormat="1">
      <c r="A218" s="124">
        <v>14</v>
      </c>
      <c r="B218" s="54" t="s">
        <v>178</v>
      </c>
      <c r="C218" s="54"/>
      <c r="D218" s="54"/>
      <c r="E218" s="56">
        <v>9052</v>
      </c>
      <c r="F218" s="126">
        <v>8985</v>
      </c>
      <c r="G218" s="118"/>
      <c r="H218" s="100">
        <v>8205</v>
      </c>
      <c r="I218" s="29"/>
      <c r="J218" s="231"/>
      <c r="K218" s="231"/>
      <c r="L218" s="231"/>
      <c r="M218" s="231"/>
      <c r="N218" s="231"/>
      <c r="O218" s="231"/>
      <c r="P218" s="231"/>
      <c r="Q218" s="231"/>
      <c r="R218" s="231"/>
      <c r="S218" s="231"/>
      <c r="T218" s="231"/>
      <c r="U218" s="231"/>
      <c r="V218" s="231"/>
      <c r="W218" s="231"/>
      <c r="X218" s="231"/>
      <c r="Y218" s="231"/>
      <c r="Z218" s="231"/>
      <c r="AA218" s="231"/>
      <c r="AB218" s="231"/>
      <c r="AC218" s="231"/>
      <c r="AD218" s="231"/>
      <c r="AE218" s="231"/>
      <c r="AF218" s="231"/>
      <c r="AG218" s="231"/>
      <c r="AH218" s="231"/>
      <c r="AI218" s="231"/>
    </row>
    <row r="219" spans="1:35" s="203" customFormat="1">
      <c r="A219" s="148"/>
      <c r="B219" s="29"/>
      <c r="C219" s="29"/>
      <c r="D219" s="170"/>
      <c r="E219" s="171"/>
      <c r="F219" s="29"/>
      <c r="G219" s="29"/>
      <c r="H219" s="207"/>
      <c r="I219" s="29"/>
      <c r="J219" s="231"/>
      <c r="K219" s="231"/>
      <c r="L219" s="231"/>
      <c r="M219" s="231"/>
      <c r="N219" s="231"/>
      <c r="O219" s="231"/>
      <c r="P219" s="231"/>
      <c r="Q219" s="231"/>
      <c r="R219" s="231"/>
      <c r="S219" s="231"/>
      <c r="T219" s="231"/>
      <c r="U219" s="231"/>
      <c r="V219" s="231"/>
      <c r="W219" s="231"/>
      <c r="X219" s="231"/>
      <c r="Y219" s="231"/>
      <c r="Z219" s="231"/>
      <c r="AA219" s="231"/>
      <c r="AB219" s="231"/>
      <c r="AC219" s="231"/>
      <c r="AD219" s="231"/>
      <c r="AE219" s="231"/>
      <c r="AF219" s="231"/>
      <c r="AG219" s="231"/>
      <c r="AH219" s="231"/>
      <c r="AI219" s="231"/>
    </row>
    <row r="220" spans="1:35" s="203" customFormat="1">
      <c r="A220" s="148"/>
      <c r="B220" s="29"/>
      <c r="C220" s="29"/>
      <c r="D220" s="172"/>
      <c r="E220" s="152"/>
      <c r="F220" s="29"/>
      <c r="G220" s="29"/>
      <c r="H220" s="131" t="s">
        <v>27</v>
      </c>
      <c r="I220" s="29"/>
      <c r="J220" s="231"/>
      <c r="K220" s="231"/>
      <c r="L220" s="231"/>
      <c r="M220" s="231"/>
      <c r="N220" s="231"/>
      <c r="O220" s="231"/>
      <c r="P220" s="231"/>
      <c r="Q220" s="231"/>
      <c r="R220" s="231"/>
      <c r="S220" s="231"/>
      <c r="T220" s="231"/>
      <c r="U220" s="231"/>
      <c r="V220" s="231"/>
      <c r="W220" s="231"/>
      <c r="X220" s="231"/>
      <c r="Y220" s="231"/>
      <c r="Z220" s="231"/>
      <c r="AA220" s="231"/>
      <c r="AB220" s="231"/>
      <c r="AC220" s="231"/>
      <c r="AD220" s="231"/>
      <c r="AE220" s="231"/>
      <c r="AF220" s="231"/>
      <c r="AG220" s="231"/>
      <c r="AH220" s="231"/>
      <c r="AI220" s="231"/>
    </row>
    <row r="221" spans="1:35" s="203" customFormat="1" ht="12.75" customHeight="1">
      <c r="A221" s="106" t="s">
        <v>10</v>
      </c>
      <c r="B221" s="164"/>
      <c r="C221" s="164"/>
      <c r="D221" s="164"/>
      <c r="E221" s="856" t="s">
        <v>377</v>
      </c>
      <c r="F221" s="856" t="s">
        <v>402</v>
      </c>
      <c r="G221" s="130"/>
      <c r="H221" s="856" t="s">
        <v>403</v>
      </c>
      <c r="I221" s="130"/>
      <c r="J221" s="231"/>
      <c r="K221" s="231"/>
      <c r="L221" s="231"/>
      <c r="M221" s="231"/>
      <c r="N221" s="231"/>
      <c r="O221" s="231"/>
      <c r="P221" s="231"/>
      <c r="Q221" s="231"/>
      <c r="R221" s="231"/>
      <c r="S221" s="231"/>
      <c r="T221" s="231"/>
      <c r="U221" s="231"/>
      <c r="V221" s="231"/>
      <c r="W221" s="231"/>
      <c r="X221" s="231"/>
      <c r="Y221" s="231"/>
      <c r="Z221" s="231"/>
      <c r="AA221" s="231"/>
      <c r="AB221" s="231"/>
      <c r="AC221" s="231"/>
      <c r="AD221" s="231"/>
      <c r="AE221" s="231"/>
      <c r="AF221" s="231"/>
      <c r="AG221" s="231"/>
      <c r="AH221" s="231"/>
      <c r="AI221" s="231"/>
    </row>
    <row r="222" spans="1:35" s="203" customFormat="1">
      <c r="A222" s="109"/>
      <c r="B222" s="132"/>
      <c r="C222" s="132"/>
      <c r="D222" s="132"/>
      <c r="E222" s="859"/>
      <c r="F222" s="859"/>
      <c r="G222" s="130"/>
      <c r="H222" s="859"/>
      <c r="I222" s="130"/>
      <c r="J222" s="231"/>
      <c r="K222" s="231"/>
      <c r="L222" s="231"/>
      <c r="M222" s="231"/>
      <c r="N222" s="231"/>
      <c r="O222" s="231"/>
      <c r="P222" s="231"/>
      <c r="Q222" s="231"/>
      <c r="R222" s="231"/>
      <c r="S222" s="231"/>
      <c r="T222" s="231"/>
      <c r="U222" s="231"/>
      <c r="V222" s="231"/>
      <c r="W222" s="231"/>
      <c r="X222" s="231"/>
      <c r="Y222" s="231"/>
      <c r="Z222" s="231"/>
      <c r="AA222" s="231"/>
      <c r="AB222" s="231"/>
      <c r="AC222" s="231"/>
      <c r="AD222" s="231"/>
      <c r="AE222" s="231"/>
      <c r="AF222" s="231"/>
      <c r="AG222" s="231"/>
      <c r="AH222" s="231"/>
      <c r="AI222" s="231"/>
    </row>
    <row r="223" spans="1:35" s="203" customFormat="1">
      <c r="A223" s="154" t="s">
        <v>179</v>
      </c>
      <c r="B223" s="116"/>
      <c r="C223" s="116"/>
      <c r="D223" s="116"/>
      <c r="E223" s="859"/>
      <c r="F223" s="859"/>
      <c r="G223" s="130"/>
      <c r="H223" s="859"/>
      <c r="I223" s="130"/>
      <c r="J223" s="231"/>
      <c r="K223" s="231"/>
      <c r="L223" s="231"/>
      <c r="M223" s="231"/>
      <c r="N223" s="231"/>
      <c r="O223" s="231"/>
      <c r="P223" s="231"/>
      <c r="Q223" s="231"/>
      <c r="R223" s="231"/>
      <c r="S223" s="231"/>
      <c r="T223" s="231"/>
      <c r="U223" s="231"/>
      <c r="V223" s="231"/>
      <c r="W223" s="231"/>
      <c r="X223" s="231"/>
      <c r="Y223" s="231"/>
      <c r="Z223" s="231"/>
      <c r="AA223" s="231"/>
      <c r="AB223" s="231"/>
      <c r="AC223" s="231"/>
      <c r="AD223" s="231"/>
      <c r="AE223" s="231"/>
      <c r="AF223" s="231"/>
      <c r="AG223" s="231"/>
      <c r="AH223" s="231"/>
      <c r="AI223" s="231"/>
    </row>
    <row r="224" spans="1:35" s="203" customFormat="1">
      <c r="A224" s="109" t="s">
        <v>83</v>
      </c>
      <c r="B224" s="47"/>
      <c r="C224" s="47"/>
      <c r="D224" s="47"/>
      <c r="E224" s="859"/>
      <c r="F224" s="859"/>
      <c r="G224" s="130"/>
      <c r="H224" s="859"/>
      <c r="I224" s="130"/>
      <c r="J224" s="231"/>
      <c r="K224" s="231"/>
      <c r="L224" s="231"/>
      <c r="M224" s="231"/>
      <c r="N224" s="231"/>
      <c r="O224" s="231"/>
      <c r="P224" s="231"/>
      <c r="Q224" s="231"/>
      <c r="R224" s="231"/>
      <c r="S224" s="231"/>
      <c r="T224" s="231"/>
      <c r="U224" s="231"/>
      <c r="V224" s="231"/>
      <c r="W224" s="231"/>
      <c r="X224" s="231"/>
      <c r="Y224" s="231"/>
      <c r="Z224" s="231"/>
      <c r="AA224" s="231"/>
      <c r="AB224" s="231"/>
      <c r="AC224" s="231"/>
      <c r="AD224" s="231"/>
      <c r="AE224" s="231"/>
      <c r="AF224" s="231"/>
      <c r="AG224" s="231"/>
      <c r="AH224" s="231"/>
      <c r="AI224" s="231"/>
    </row>
    <row r="225" spans="1:35" s="203" customFormat="1">
      <c r="A225" s="110" t="s">
        <v>84</v>
      </c>
      <c r="B225" s="132"/>
      <c r="C225" s="132"/>
      <c r="D225" s="132"/>
      <c r="E225" s="860"/>
      <c r="F225" s="860"/>
      <c r="G225" s="130"/>
      <c r="H225" s="860"/>
      <c r="I225" s="130"/>
      <c r="J225" s="231"/>
      <c r="K225" s="231"/>
      <c r="L225" s="231"/>
      <c r="M225" s="231"/>
      <c r="N225" s="231"/>
      <c r="O225" s="231"/>
      <c r="P225" s="231"/>
      <c r="Q225" s="231"/>
      <c r="R225" s="231"/>
      <c r="S225" s="231"/>
      <c r="T225" s="231"/>
      <c r="U225" s="231"/>
      <c r="V225" s="231"/>
      <c r="W225" s="231"/>
      <c r="X225" s="231"/>
      <c r="Y225" s="231"/>
      <c r="Z225" s="231"/>
      <c r="AA225" s="231"/>
      <c r="AB225" s="231"/>
      <c r="AC225" s="231"/>
      <c r="AD225" s="231"/>
      <c r="AE225" s="231"/>
      <c r="AF225" s="231"/>
      <c r="AG225" s="231"/>
      <c r="AH225" s="231"/>
      <c r="AI225" s="231"/>
    </row>
    <row r="226" spans="1:35" s="203" customFormat="1">
      <c r="A226" s="120">
        <v>1</v>
      </c>
      <c r="B226" s="47" t="s">
        <v>180</v>
      </c>
      <c r="C226" s="47"/>
      <c r="D226" s="47"/>
      <c r="E226" s="41">
        <v>326</v>
      </c>
      <c r="F226" s="52">
        <v>312</v>
      </c>
      <c r="G226" s="118"/>
      <c r="H226" s="133">
        <v>204</v>
      </c>
      <c r="I226" s="29"/>
      <c r="J226" s="231"/>
      <c r="K226" s="231"/>
      <c r="L226" s="231"/>
      <c r="M226" s="231"/>
      <c r="N226" s="231"/>
      <c r="O226" s="231"/>
      <c r="P226" s="231"/>
      <c r="Q226" s="231"/>
      <c r="R226" s="231"/>
      <c r="S226" s="231"/>
      <c r="T226" s="231"/>
      <c r="U226" s="231"/>
      <c r="V226" s="231"/>
      <c r="W226" s="231"/>
      <c r="X226" s="231"/>
      <c r="Y226" s="231"/>
      <c r="Z226" s="231"/>
      <c r="AA226" s="231"/>
      <c r="AB226" s="231"/>
      <c r="AC226" s="231"/>
      <c r="AD226" s="231"/>
      <c r="AE226" s="231"/>
      <c r="AF226" s="231"/>
      <c r="AG226" s="231"/>
      <c r="AH226" s="231"/>
      <c r="AI226" s="231"/>
    </row>
    <row r="227" spans="1:35" s="203" customFormat="1">
      <c r="A227" s="120">
        <v>2</v>
      </c>
      <c r="B227" s="47" t="s">
        <v>181</v>
      </c>
      <c r="C227" s="47"/>
      <c r="D227" s="47"/>
      <c r="E227" s="49">
        <v>2214</v>
      </c>
      <c r="F227" s="52">
        <v>1435</v>
      </c>
      <c r="G227" s="118"/>
      <c r="H227" s="122">
        <v>1173</v>
      </c>
      <c r="I227" s="29"/>
      <c r="J227" s="231"/>
      <c r="K227" s="231"/>
      <c r="L227" s="231"/>
      <c r="M227" s="231"/>
      <c r="N227" s="231"/>
      <c r="O227" s="231"/>
      <c r="P227" s="231"/>
      <c r="Q227" s="231"/>
      <c r="R227" s="231"/>
      <c r="S227" s="231"/>
      <c r="T227" s="231"/>
      <c r="U227" s="231"/>
      <c r="V227" s="231"/>
      <c r="W227" s="231"/>
      <c r="X227" s="231"/>
      <c r="Y227" s="231"/>
      <c r="Z227" s="231"/>
      <c r="AA227" s="231"/>
      <c r="AB227" s="231"/>
      <c r="AC227" s="231"/>
      <c r="AD227" s="231"/>
      <c r="AE227" s="231"/>
      <c r="AF227" s="231"/>
      <c r="AG227" s="231"/>
      <c r="AH227" s="231"/>
      <c r="AI227" s="231"/>
    </row>
    <row r="228" spans="1:35" s="203" customFormat="1">
      <c r="A228" s="120">
        <v>3</v>
      </c>
      <c r="B228" s="47" t="s">
        <v>182</v>
      </c>
      <c r="C228" s="47"/>
      <c r="D228" s="47"/>
      <c r="E228" s="114">
        <v>2384</v>
      </c>
      <c r="F228" s="52">
        <v>1576</v>
      </c>
      <c r="G228" s="118"/>
      <c r="H228" s="122">
        <v>1594</v>
      </c>
      <c r="I228" s="29"/>
      <c r="J228" s="231"/>
      <c r="K228" s="231"/>
      <c r="L228" s="231"/>
      <c r="M228" s="231"/>
      <c r="N228" s="231"/>
      <c r="O228" s="231"/>
      <c r="P228" s="231"/>
      <c r="Q228" s="231"/>
      <c r="R228" s="231"/>
      <c r="S228" s="231"/>
      <c r="T228" s="231"/>
      <c r="U228" s="231"/>
      <c r="V228" s="231"/>
      <c r="W228" s="231"/>
      <c r="X228" s="231"/>
      <c r="Y228" s="231"/>
      <c r="Z228" s="231"/>
      <c r="AA228" s="231"/>
      <c r="AB228" s="231"/>
      <c r="AC228" s="231"/>
      <c r="AD228" s="231"/>
      <c r="AE228" s="231"/>
      <c r="AF228" s="231"/>
      <c r="AG228" s="231"/>
      <c r="AH228" s="231"/>
      <c r="AI228" s="231"/>
    </row>
    <row r="229" spans="1:35" s="203" customFormat="1">
      <c r="A229" s="120">
        <v>4</v>
      </c>
      <c r="B229" s="47" t="s">
        <v>183</v>
      </c>
      <c r="C229" s="47"/>
      <c r="D229" s="47"/>
      <c r="E229" s="114">
        <v>532</v>
      </c>
      <c r="F229" s="52">
        <v>403</v>
      </c>
      <c r="G229" s="118"/>
      <c r="H229" s="122">
        <v>391</v>
      </c>
      <c r="I229" s="29"/>
      <c r="J229" s="231"/>
      <c r="K229" s="231"/>
      <c r="L229" s="231"/>
      <c r="M229" s="231"/>
      <c r="N229" s="231"/>
      <c r="O229" s="231"/>
      <c r="P229" s="231"/>
      <c r="Q229" s="231"/>
      <c r="R229" s="231"/>
      <c r="S229" s="231"/>
      <c r="T229" s="231"/>
      <c r="U229" s="231"/>
      <c r="V229" s="231"/>
      <c r="W229" s="231"/>
      <c r="X229" s="231"/>
      <c r="Y229" s="231"/>
      <c r="Z229" s="231"/>
      <c r="AA229" s="231"/>
      <c r="AB229" s="231"/>
      <c r="AC229" s="231"/>
      <c r="AD229" s="231"/>
      <c r="AE229" s="231"/>
      <c r="AF229" s="231"/>
      <c r="AG229" s="231"/>
      <c r="AH229" s="231"/>
      <c r="AI229" s="231"/>
    </row>
    <row r="230" spans="1:35" s="203" customFormat="1">
      <c r="A230" s="120">
        <v>5</v>
      </c>
      <c r="B230" s="47" t="s">
        <v>184</v>
      </c>
      <c r="C230" s="47"/>
      <c r="D230" s="47"/>
      <c r="E230" s="114">
        <v>10389</v>
      </c>
      <c r="F230" s="52">
        <v>8462</v>
      </c>
      <c r="G230" s="118"/>
      <c r="H230" s="99">
        <v>7268</v>
      </c>
      <c r="I230" s="29"/>
      <c r="J230" s="231"/>
      <c r="K230" s="231"/>
      <c r="L230" s="231"/>
      <c r="M230" s="231"/>
      <c r="N230" s="231"/>
      <c r="O230" s="231"/>
      <c r="P230" s="231"/>
      <c r="Q230" s="231"/>
      <c r="R230" s="231"/>
      <c r="S230" s="231"/>
      <c r="T230" s="231"/>
      <c r="U230" s="231"/>
      <c r="V230" s="231"/>
      <c r="W230" s="231"/>
      <c r="X230" s="231"/>
      <c r="Y230" s="231"/>
      <c r="Z230" s="231"/>
      <c r="AA230" s="231"/>
      <c r="AB230" s="231"/>
      <c r="AC230" s="231"/>
      <c r="AD230" s="231"/>
      <c r="AE230" s="231"/>
      <c r="AF230" s="231"/>
      <c r="AG230" s="231"/>
      <c r="AH230" s="231"/>
      <c r="AI230" s="231"/>
    </row>
    <row r="231" spans="1:35" s="203" customFormat="1">
      <c r="A231" s="124">
        <v>6</v>
      </c>
      <c r="B231" s="173" t="s">
        <v>185</v>
      </c>
      <c r="C231" s="173"/>
      <c r="D231" s="173"/>
      <c r="E231" s="159">
        <v>15845</v>
      </c>
      <c r="F231" s="61">
        <f>SUM(F226:F230)</f>
        <v>12188</v>
      </c>
      <c r="G231" s="118"/>
      <c r="H231" s="61">
        <f>SUM(H226:H230)</f>
        <v>10630</v>
      </c>
      <c r="I231" s="29"/>
      <c r="J231" s="231"/>
      <c r="K231" s="231"/>
      <c r="L231" s="231"/>
      <c r="M231" s="231"/>
      <c r="N231" s="231"/>
      <c r="O231" s="231"/>
      <c r="P231" s="231"/>
      <c r="Q231" s="231"/>
      <c r="R231" s="231"/>
      <c r="S231" s="231"/>
      <c r="T231" s="231"/>
      <c r="U231" s="231"/>
      <c r="V231" s="231"/>
      <c r="W231" s="231"/>
      <c r="X231" s="231"/>
      <c r="Y231" s="231"/>
      <c r="Z231" s="231"/>
      <c r="AA231" s="231"/>
      <c r="AB231" s="231"/>
      <c r="AC231" s="231"/>
      <c r="AD231" s="231"/>
      <c r="AE231" s="231"/>
      <c r="AF231" s="231"/>
      <c r="AG231" s="231"/>
      <c r="AH231" s="231"/>
      <c r="AI231" s="231"/>
    </row>
    <row r="232" spans="1:35" s="203" customFormat="1">
      <c r="A232" s="148"/>
      <c r="B232" s="29"/>
      <c r="C232" s="29"/>
      <c r="D232" s="170"/>
      <c r="E232" s="150"/>
      <c r="F232" s="29"/>
      <c r="G232" s="29"/>
      <c r="H232" s="207"/>
      <c r="I232" s="29"/>
      <c r="J232" s="231"/>
      <c r="K232" s="231"/>
      <c r="L232" s="231"/>
      <c r="M232" s="231"/>
      <c r="N232" s="231"/>
      <c r="O232" s="231"/>
      <c r="P232" s="231"/>
      <c r="Q232" s="231"/>
      <c r="R232" s="231"/>
      <c r="S232" s="231"/>
      <c r="T232" s="231"/>
      <c r="U232" s="231"/>
      <c r="V232" s="231"/>
      <c r="W232" s="231"/>
      <c r="X232" s="231"/>
      <c r="Y232" s="231"/>
      <c r="Z232" s="231"/>
      <c r="AA232" s="231"/>
      <c r="AB232" s="231"/>
      <c r="AC232" s="231"/>
      <c r="AD232" s="231"/>
      <c r="AE232" s="231"/>
      <c r="AF232" s="231"/>
      <c r="AG232" s="231"/>
      <c r="AH232" s="231"/>
      <c r="AI232" s="231"/>
    </row>
    <row r="233" spans="1:35" s="203" customFormat="1">
      <c r="A233" s="148"/>
      <c r="B233" s="29"/>
      <c r="C233" s="29"/>
      <c r="D233" s="172"/>
      <c r="E233" s="152"/>
      <c r="F233" s="29"/>
      <c r="G233" s="29"/>
      <c r="H233" s="131" t="s">
        <v>27</v>
      </c>
      <c r="I233" s="29"/>
      <c r="J233" s="231"/>
      <c r="K233" s="231"/>
      <c r="L233" s="231"/>
      <c r="M233" s="231"/>
      <c r="N233" s="231"/>
      <c r="O233" s="231"/>
      <c r="P233" s="231"/>
      <c r="Q233" s="231"/>
      <c r="R233" s="231"/>
      <c r="S233" s="231"/>
      <c r="T233" s="231"/>
      <c r="U233" s="231"/>
      <c r="V233" s="231"/>
      <c r="W233" s="231"/>
      <c r="X233" s="231"/>
      <c r="Y233" s="231"/>
      <c r="Z233" s="231"/>
      <c r="AA233" s="231"/>
      <c r="AB233" s="231"/>
      <c r="AC233" s="231"/>
      <c r="AD233" s="231"/>
      <c r="AE233" s="231"/>
      <c r="AF233" s="231"/>
      <c r="AG233" s="231"/>
      <c r="AH233" s="231"/>
      <c r="AI233" s="231"/>
    </row>
    <row r="234" spans="1:35" s="203" customFormat="1" ht="12.75" customHeight="1">
      <c r="A234" s="106" t="s">
        <v>12</v>
      </c>
      <c r="B234" s="164"/>
      <c r="C234" s="164"/>
      <c r="D234" s="164"/>
      <c r="E234" s="856" t="s">
        <v>377</v>
      </c>
      <c r="F234" s="856" t="s">
        <v>402</v>
      </c>
      <c r="G234" s="130"/>
      <c r="H234" s="856" t="s">
        <v>403</v>
      </c>
      <c r="I234" s="130"/>
      <c r="J234" s="231"/>
      <c r="K234" s="231"/>
      <c r="L234" s="231"/>
      <c r="M234" s="231"/>
      <c r="N234" s="231"/>
      <c r="O234" s="231"/>
      <c r="P234" s="231"/>
      <c r="Q234" s="231"/>
      <c r="R234" s="231"/>
      <c r="S234" s="231"/>
      <c r="T234" s="231"/>
      <c r="U234" s="231"/>
      <c r="V234" s="231"/>
      <c r="W234" s="231"/>
      <c r="X234" s="231"/>
      <c r="Y234" s="231"/>
      <c r="Z234" s="231"/>
      <c r="AA234" s="231"/>
      <c r="AB234" s="231"/>
      <c r="AC234" s="231"/>
      <c r="AD234" s="231"/>
      <c r="AE234" s="231"/>
      <c r="AF234" s="231"/>
      <c r="AG234" s="231"/>
      <c r="AH234" s="231"/>
      <c r="AI234" s="231"/>
    </row>
    <row r="235" spans="1:35" s="203" customFormat="1">
      <c r="A235" s="165"/>
      <c r="B235" s="47"/>
      <c r="C235" s="47"/>
      <c r="D235" s="47"/>
      <c r="E235" s="859"/>
      <c r="F235" s="859"/>
      <c r="G235" s="130"/>
      <c r="H235" s="859"/>
      <c r="I235" s="130"/>
      <c r="J235" s="231"/>
      <c r="K235" s="231"/>
      <c r="L235" s="231"/>
      <c r="M235" s="231"/>
      <c r="N235" s="231"/>
      <c r="O235" s="231"/>
      <c r="P235" s="231"/>
      <c r="Q235" s="231"/>
      <c r="R235" s="231"/>
      <c r="S235" s="231"/>
      <c r="T235" s="231"/>
      <c r="U235" s="231"/>
      <c r="V235" s="231"/>
      <c r="W235" s="231"/>
      <c r="X235" s="231"/>
      <c r="Y235" s="231"/>
      <c r="Z235" s="231"/>
      <c r="AA235" s="231"/>
      <c r="AB235" s="231"/>
      <c r="AC235" s="231"/>
      <c r="AD235" s="231"/>
      <c r="AE235" s="231"/>
      <c r="AF235" s="231"/>
      <c r="AG235" s="231"/>
      <c r="AH235" s="231"/>
      <c r="AI235" s="231"/>
    </row>
    <row r="236" spans="1:35" s="203" customFormat="1">
      <c r="A236" s="154" t="s">
        <v>186</v>
      </c>
      <c r="B236" s="174"/>
      <c r="C236" s="174"/>
      <c r="D236" s="174"/>
      <c r="E236" s="859"/>
      <c r="F236" s="859"/>
      <c r="G236" s="130"/>
      <c r="H236" s="859"/>
      <c r="I236" s="130"/>
      <c r="J236" s="231"/>
      <c r="K236" s="231"/>
      <c r="L236" s="231"/>
      <c r="M236" s="231"/>
      <c r="N236" s="231"/>
      <c r="O236" s="231"/>
      <c r="P236" s="231"/>
      <c r="Q236" s="231"/>
      <c r="R236" s="231"/>
      <c r="S236" s="231"/>
      <c r="T236" s="231"/>
      <c r="U236" s="231"/>
      <c r="V236" s="231"/>
      <c r="W236" s="231"/>
      <c r="X236" s="231"/>
      <c r="Y236" s="231"/>
      <c r="Z236" s="231"/>
      <c r="AA236" s="231"/>
      <c r="AB236" s="231"/>
      <c r="AC236" s="231"/>
      <c r="AD236" s="231"/>
      <c r="AE236" s="231"/>
      <c r="AF236" s="231"/>
      <c r="AG236" s="231"/>
      <c r="AH236" s="231"/>
      <c r="AI236" s="231"/>
    </row>
    <row r="237" spans="1:35" s="203" customFormat="1">
      <c r="A237" s="109" t="s">
        <v>83</v>
      </c>
      <c r="B237" s="47"/>
      <c r="C237" s="47"/>
      <c r="D237" s="47"/>
      <c r="E237" s="859"/>
      <c r="F237" s="859"/>
      <c r="G237" s="130"/>
      <c r="H237" s="859"/>
      <c r="I237" s="130"/>
      <c r="J237" s="231"/>
      <c r="K237" s="231"/>
      <c r="L237" s="231"/>
      <c r="M237" s="231"/>
      <c r="N237" s="231"/>
      <c r="O237" s="231"/>
      <c r="P237" s="231"/>
      <c r="Q237" s="231"/>
      <c r="R237" s="231"/>
      <c r="S237" s="231"/>
      <c r="T237" s="231"/>
      <c r="U237" s="231"/>
      <c r="V237" s="231"/>
      <c r="W237" s="231"/>
      <c r="X237" s="231"/>
      <c r="Y237" s="231"/>
      <c r="Z237" s="231"/>
      <c r="AA237" s="231"/>
      <c r="AB237" s="231"/>
      <c r="AC237" s="231"/>
      <c r="AD237" s="231"/>
      <c r="AE237" s="231"/>
      <c r="AF237" s="231"/>
      <c r="AG237" s="231"/>
      <c r="AH237" s="231"/>
      <c r="AI237" s="231"/>
    </row>
    <row r="238" spans="1:35" s="203" customFormat="1">
      <c r="A238" s="110" t="s">
        <v>84</v>
      </c>
      <c r="B238" s="174"/>
      <c r="C238" s="174"/>
      <c r="D238" s="174"/>
      <c r="E238" s="860"/>
      <c r="F238" s="860"/>
      <c r="G238" s="130"/>
      <c r="H238" s="860"/>
      <c r="I238" s="130"/>
      <c r="J238" s="231"/>
      <c r="K238" s="231"/>
      <c r="L238" s="231"/>
      <c r="M238" s="231"/>
      <c r="N238" s="231"/>
      <c r="O238" s="231"/>
      <c r="P238" s="231"/>
      <c r="Q238" s="231"/>
      <c r="R238" s="231"/>
      <c r="S238" s="231"/>
      <c r="T238" s="231"/>
      <c r="U238" s="231"/>
      <c r="V238" s="231"/>
      <c r="W238" s="231"/>
      <c r="X238" s="231"/>
      <c r="Y238" s="231"/>
      <c r="Z238" s="231"/>
      <c r="AA238" s="231"/>
      <c r="AB238" s="231"/>
      <c r="AC238" s="231"/>
      <c r="AD238" s="231"/>
      <c r="AE238" s="231"/>
      <c r="AF238" s="231"/>
      <c r="AG238" s="231"/>
      <c r="AH238" s="231"/>
      <c r="AI238" s="231"/>
    </row>
    <row r="239" spans="1:35" s="203" customFormat="1">
      <c r="A239" s="153" t="s">
        <v>187</v>
      </c>
      <c r="B239" s="116"/>
      <c r="C239" s="116"/>
      <c r="D239" s="116"/>
      <c r="E239" s="167"/>
      <c r="F239" s="146"/>
      <c r="G239" s="118"/>
      <c r="H239" s="146"/>
      <c r="I239" s="29"/>
      <c r="J239" s="231"/>
      <c r="K239" s="231"/>
      <c r="L239" s="231"/>
      <c r="M239" s="231"/>
      <c r="N239" s="231"/>
      <c r="O239" s="231"/>
      <c r="P239" s="231"/>
      <c r="Q239" s="231"/>
      <c r="R239" s="231"/>
      <c r="S239" s="231"/>
      <c r="T239" s="231"/>
      <c r="U239" s="231"/>
      <c r="V239" s="231"/>
      <c r="W239" s="231"/>
      <c r="X239" s="231"/>
      <c r="Y239" s="231"/>
      <c r="Z239" s="231"/>
      <c r="AA239" s="231"/>
      <c r="AB239" s="231"/>
      <c r="AC239" s="231"/>
      <c r="AD239" s="231"/>
      <c r="AE239" s="231"/>
      <c r="AF239" s="231"/>
      <c r="AG239" s="231"/>
      <c r="AH239" s="231"/>
      <c r="AI239" s="231"/>
    </row>
    <row r="240" spans="1:35" s="203" customFormat="1">
      <c r="A240" s="120">
        <v>1</v>
      </c>
      <c r="B240" s="47" t="s">
        <v>188</v>
      </c>
      <c r="C240" s="47"/>
      <c r="D240" s="47"/>
      <c r="E240" s="74">
        <v>2907</v>
      </c>
      <c r="F240" s="52">
        <v>3099</v>
      </c>
      <c r="G240" s="118"/>
      <c r="H240" s="122">
        <v>2965</v>
      </c>
      <c r="I240" s="29"/>
      <c r="J240" s="231"/>
      <c r="K240" s="231"/>
      <c r="L240" s="231"/>
      <c r="M240" s="231"/>
      <c r="N240" s="231"/>
      <c r="O240" s="231"/>
      <c r="P240" s="231"/>
      <c r="Q240" s="231"/>
      <c r="R240" s="231"/>
      <c r="S240" s="231"/>
      <c r="T240" s="231"/>
      <c r="U240" s="231"/>
      <c r="V240" s="231"/>
      <c r="W240" s="231"/>
      <c r="X240" s="231"/>
      <c r="Y240" s="231"/>
      <c r="Z240" s="231"/>
      <c r="AA240" s="231"/>
      <c r="AB240" s="231"/>
      <c r="AC240" s="231"/>
      <c r="AD240" s="231"/>
      <c r="AE240" s="231"/>
      <c r="AF240" s="231"/>
      <c r="AG240" s="231"/>
      <c r="AH240" s="231"/>
      <c r="AI240" s="231"/>
    </row>
    <row r="241" spans="1:35" s="203" customFormat="1">
      <c r="A241" s="809">
        <v>2</v>
      </c>
      <c r="B241" s="47" t="s">
        <v>189</v>
      </c>
      <c r="C241" s="47"/>
      <c r="D241" s="47"/>
      <c r="E241" s="114">
        <v>2305</v>
      </c>
      <c r="F241" s="52">
        <v>2262</v>
      </c>
      <c r="G241" s="118"/>
      <c r="H241" s="100">
        <v>1918</v>
      </c>
      <c r="I241" s="29"/>
      <c r="J241" s="231"/>
      <c r="K241" s="231"/>
      <c r="L241" s="231"/>
      <c r="M241" s="231"/>
      <c r="N241" s="231"/>
      <c r="O241" s="231"/>
      <c r="P241" s="231"/>
      <c r="Q241" s="231"/>
      <c r="R241" s="231"/>
      <c r="S241" s="231"/>
      <c r="T241" s="231"/>
      <c r="U241" s="231"/>
      <c r="V241" s="231"/>
      <c r="W241" s="231"/>
      <c r="X241" s="231"/>
      <c r="Y241" s="231"/>
      <c r="Z241" s="231"/>
      <c r="AA241" s="231"/>
      <c r="AB241" s="231"/>
      <c r="AC241" s="231"/>
      <c r="AD241" s="231"/>
      <c r="AE241" s="231"/>
      <c r="AF241" s="231"/>
      <c r="AG241" s="231"/>
      <c r="AH241" s="231"/>
      <c r="AI241" s="231"/>
    </row>
    <row r="242" spans="1:35" s="203" customFormat="1">
      <c r="A242" s="809">
        <v>3</v>
      </c>
      <c r="B242" s="168" t="s">
        <v>190</v>
      </c>
      <c r="C242" s="168"/>
      <c r="D242" s="168"/>
      <c r="E242" s="80">
        <v>5212</v>
      </c>
      <c r="F242" s="142">
        <f>SUM(F240:F241)</f>
        <v>5361</v>
      </c>
      <c r="G242" s="118"/>
      <c r="H242" s="142">
        <f>SUM(H240:H241)</f>
        <v>4883</v>
      </c>
      <c r="I242" s="29"/>
      <c r="J242" s="231"/>
      <c r="K242" s="231"/>
      <c r="L242" s="231"/>
      <c r="M242" s="231"/>
      <c r="N242" s="231"/>
      <c r="O242" s="231"/>
      <c r="P242" s="231"/>
      <c r="Q242" s="231"/>
      <c r="R242" s="231"/>
      <c r="S242" s="231"/>
      <c r="T242" s="231"/>
      <c r="U242" s="231"/>
      <c r="V242" s="231"/>
      <c r="W242" s="231"/>
      <c r="X242" s="231"/>
      <c r="Y242" s="231"/>
      <c r="Z242" s="231"/>
      <c r="AA242" s="231"/>
      <c r="AB242" s="231"/>
      <c r="AC242" s="231"/>
      <c r="AD242" s="231"/>
      <c r="AE242" s="231"/>
      <c r="AF242" s="231"/>
      <c r="AG242" s="231"/>
      <c r="AH242" s="231"/>
      <c r="AI242" s="231"/>
    </row>
    <row r="243" spans="1:35" s="203" customFormat="1">
      <c r="A243" s="809"/>
      <c r="B243" s="116"/>
      <c r="C243" s="116"/>
      <c r="D243" s="116"/>
      <c r="E243" s="117"/>
      <c r="F243" s="118"/>
      <c r="G243" s="118"/>
      <c r="H243" s="118"/>
      <c r="I243" s="29"/>
      <c r="J243" s="231"/>
      <c r="K243" s="231"/>
      <c r="L243" s="231"/>
      <c r="M243" s="231"/>
      <c r="N243" s="231"/>
      <c r="O243" s="231"/>
      <c r="P243" s="231"/>
      <c r="Q243" s="231"/>
      <c r="R243" s="231"/>
      <c r="S243" s="231"/>
      <c r="T243" s="231"/>
      <c r="U243" s="231"/>
      <c r="V243" s="231"/>
      <c r="W243" s="231"/>
      <c r="X243" s="231"/>
      <c r="Y243" s="231"/>
      <c r="Z243" s="231"/>
      <c r="AA243" s="231"/>
      <c r="AB243" s="231"/>
      <c r="AC243" s="231"/>
      <c r="AD243" s="231"/>
      <c r="AE243" s="231"/>
      <c r="AF243" s="231"/>
      <c r="AG243" s="231"/>
      <c r="AH243" s="231"/>
      <c r="AI243" s="231"/>
    </row>
    <row r="244" spans="1:35" s="203" customFormat="1">
      <c r="A244" s="108" t="s">
        <v>191</v>
      </c>
      <c r="B244" s="47"/>
      <c r="C244" s="47"/>
      <c r="D244" s="47"/>
      <c r="E244" s="140"/>
      <c r="F244" s="146"/>
      <c r="G244" s="118"/>
      <c r="H244" s="146"/>
      <c r="I244" s="29"/>
      <c r="J244" s="231"/>
      <c r="K244" s="231"/>
      <c r="L244" s="231"/>
      <c r="M244" s="231"/>
      <c r="N244" s="231"/>
      <c r="O244" s="231"/>
      <c r="P244" s="231"/>
      <c r="Q244" s="231"/>
      <c r="R244" s="231"/>
      <c r="S244" s="231"/>
      <c r="T244" s="231"/>
      <c r="U244" s="231"/>
      <c r="V244" s="231"/>
      <c r="W244" s="231"/>
      <c r="X244" s="231"/>
      <c r="Y244" s="231"/>
      <c r="Z244" s="231"/>
      <c r="AA244" s="231"/>
      <c r="AB244" s="231"/>
      <c r="AC244" s="231"/>
      <c r="AD244" s="231"/>
      <c r="AE244" s="231"/>
      <c r="AF244" s="231"/>
      <c r="AG244" s="231"/>
      <c r="AH244" s="231"/>
      <c r="AI244" s="231"/>
    </row>
    <row r="245" spans="1:35" s="203" customFormat="1">
      <c r="A245" s="809">
        <v>4</v>
      </c>
      <c r="B245" s="47" t="s">
        <v>192</v>
      </c>
      <c r="C245" s="47"/>
      <c r="D245" s="47"/>
      <c r="E245" s="74">
        <v>6235</v>
      </c>
      <c r="F245" s="52">
        <v>6017</v>
      </c>
      <c r="G245" s="118"/>
      <c r="H245" s="122">
        <v>5777</v>
      </c>
      <c r="I245" s="29"/>
      <c r="J245" s="231"/>
      <c r="K245" s="231"/>
      <c r="L245" s="231"/>
      <c r="M245" s="231"/>
      <c r="N245" s="231"/>
      <c r="O245" s="231"/>
      <c r="P245" s="231"/>
      <c r="Q245" s="231"/>
      <c r="R245" s="231"/>
      <c r="S245" s="231"/>
      <c r="T245" s="231"/>
      <c r="U245" s="231"/>
      <c r="V245" s="231"/>
      <c r="W245" s="231"/>
      <c r="X245" s="231"/>
      <c r="Y245" s="231"/>
      <c r="Z245" s="231"/>
      <c r="AA245" s="231"/>
      <c r="AB245" s="231"/>
      <c r="AC245" s="231"/>
      <c r="AD245" s="231"/>
      <c r="AE245" s="231"/>
      <c r="AF245" s="231"/>
      <c r="AG245" s="231"/>
      <c r="AH245" s="231"/>
      <c r="AI245" s="231"/>
    </row>
    <row r="246" spans="1:35" s="203" customFormat="1">
      <c r="A246" s="809">
        <v>5</v>
      </c>
      <c r="B246" s="47" t="s">
        <v>193</v>
      </c>
      <c r="C246" s="47"/>
      <c r="D246" s="47"/>
      <c r="E246" s="49">
        <v>0</v>
      </c>
      <c r="F246" s="52">
        <v>0</v>
      </c>
      <c r="G246" s="118"/>
      <c r="H246" s="100">
        <v>0</v>
      </c>
      <c r="I246" s="29"/>
      <c r="J246" s="231"/>
      <c r="K246" s="231"/>
      <c r="L246" s="231"/>
      <c r="M246" s="231"/>
      <c r="N246" s="231"/>
      <c r="O246" s="231"/>
      <c r="P246" s="231"/>
      <c r="Q246" s="231"/>
      <c r="R246" s="231"/>
      <c r="S246" s="231"/>
      <c r="T246" s="231"/>
      <c r="U246" s="231"/>
      <c r="V246" s="231"/>
      <c r="W246" s="231"/>
      <c r="X246" s="231"/>
      <c r="Y246" s="231"/>
      <c r="Z246" s="231"/>
      <c r="AA246" s="231"/>
      <c r="AB246" s="231"/>
      <c r="AC246" s="231"/>
      <c r="AD246" s="231"/>
      <c r="AE246" s="231"/>
      <c r="AF246" s="231"/>
      <c r="AG246" s="231"/>
      <c r="AH246" s="231"/>
      <c r="AI246" s="231"/>
    </row>
    <row r="247" spans="1:35" s="203" customFormat="1">
      <c r="A247" s="809">
        <v>6</v>
      </c>
      <c r="B247" s="116" t="s">
        <v>194</v>
      </c>
      <c r="C247" s="116"/>
      <c r="D247" s="116"/>
      <c r="E247" s="80">
        <v>6235</v>
      </c>
      <c r="F247" s="142">
        <f>SUM(F245:F246)</f>
        <v>6017</v>
      </c>
      <c r="G247" s="118"/>
      <c r="H247" s="142">
        <f>SUM(H245:H246)</f>
        <v>5777</v>
      </c>
      <c r="I247" s="29"/>
      <c r="J247" s="231"/>
      <c r="K247" s="231"/>
      <c r="L247" s="231"/>
      <c r="M247" s="231"/>
      <c r="N247" s="231"/>
      <c r="O247" s="231"/>
      <c r="P247" s="231"/>
      <c r="Q247" s="231"/>
      <c r="R247" s="231"/>
      <c r="S247" s="231"/>
      <c r="T247" s="231"/>
      <c r="U247" s="231"/>
      <c r="V247" s="231"/>
      <c r="W247" s="231"/>
      <c r="X247" s="231"/>
      <c r="Y247" s="231"/>
      <c r="Z247" s="231"/>
      <c r="AA247" s="231"/>
      <c r="AB247" s="231"/>
      <c r="AC247" s="231"/>
      <c r="AD247" s="231"/>
      <c r="AE247" s="231"/>
      <c r="AF247" s="231"/>
      <c r="AG247" s="231"/>
      <c r="AH247" s="231"/>
      <c r="AI247" s="231"/>
    </row>
    <row r="248" spans="1:35" s="203" customFormat="1">
      <c r="A248" s="809"/>
      <c r="B248" s="116"/>
      <c r="C248" s="116"/>
      <c r="D248" s="116"/>
      <c r="E248" s="117"/>
      <c r="F248" s="118"/>
      <c r="G248" s="118"/>
      <c r="H248" s="118"/>
      <c r="I248" s="29"/>
      <c r="J248" s="231"/>
      <c r="K248" s="231"/>
      <c r="L248" s="231"/>
      <c r="M248" s="231"/>
      <c r="N248" s="231"/>
      <c r="O248" s="231"/>
      <c r="P248" s="231"/>
      <c r="Q248" s="231"/>
      <c r="R248" s="231"/>
      <c r="S248" s="231"/>
      <c r="T248" s="231"/>
      <c r="U248" s="231"/>
      <c r="V248" s="231"/>
      <c r="W248" s="231"/>
      <c r="X248" s="231"/>
      <c r="Y248" s="231"/>
      <c r="Z248" s="231"/>
      <c r="AA248" s="231"/>
      <c r="AB248" s="231"/>
      <c r="AC248" s="231"/>
      <c r="AD248" s="231"/>
      <c r="AE248" s="231"/>
      <c r="AF248" s="231"/>
      <c r="AG248" s="231"/>
      <c r="AH248" s="231"/>
      <c r="AI248" s="231"/>
    </row>
    <row r="249" spans="1:35" s="203" customFormat="1">
      <c r="A249" s="108" t="s">
        <v>195</v>
      </c>
      <c r="B249" s="116"/>
      <c r="C249" s="116"/>
      <c r="D249" s="116"/>
      <c r="E249" s="140"/>
      <c r="F249" s="146"/>
      <c r="G249" s="118"/>
      <c r="H249" s="146"/>
      <c r="I249" s="29"/>
      <c r="J249" s="231"/>
      <c r="K249" s="231"/>
      <c r="L249" s="231"/>
      <c r="M249" s="231"/>
      <c r="N249" s="231"/>
      <c r="O249" s="231"/>
      <c r="P249" s="231"/>
      <c r="Q249" s="231"/>
      <c r="R249" s="231"/>
      <c r="S249" s="231"/>
      <c r="T249" s="231"/>
      <c r="U249" s="231"/>
      <c r="V249" s="231"/>
      <c r="W249" s="231"/>
      <c r="X249" s="231"/>
      <c r="Y249" s="231"/>
      <c r="Z249" s="231"/>
      <c r="AA249" s="231"/>
      <c r="AB249" s="231"/>
      <c r="AC249" s="231"/>
      <c r="AD249" s="231"/>
      <c r="AE249" s="231"/>
      <c r="AF249" s="231"/>
      <c r="AG249" s="231"/>
      <c r="AH249" s="231"/>
      <c r="AI249" s="231"/>
    </row>
    <row r="250" spans="1:35" s="203" customFormat="1">
      <c r="A250" s="809">
        <v>7</v>
      </c>
      <c r="B250" s="47" t="s">
        <v>196</v>
      </c>
      <c r="C250" s="47"/>
      <c r="D250" s="47"/>
      <c r="E250" s="74">
        <v>465</v>
      </c>
      <c r="F250" s="52">
        <v>563</v>
      </c>
      <c r="G250" s="118"/>
      <c r="H250" s="52">
        <v>456</v>
      </c>
      <c r="I250" s="29"/>
      <c r="J250" s="231"/>
      <c r="K250" s="231"/>
      <c r="L250" s="231"/>
      <c r="M250" s="231"/>
      <c r="N250" s="231"/>
      <c r="O250" s="231"/>
      <c r="P250" s="231"/>
      <c r="Q250" s="231"/>
      <c r="R250" s="231"/>
      <c r="S250" s="231"/>
      <c r="T250" s="231"/>
      <c r="U250" s="231"/>
      <c r="V250" s="231"/>
      <c r="W250" s="231"/>
      <c r="X250" s="231"/>
      <c r="Y250" s="231"/>
      <c r="Z250" s="231"/>
      <c r="AA250" s="231"/>
      <c r="AB250" s="231"/>
      <c r="AC250" s="231"/>
      <c r="AD250" s="231"/>
      <c r="AE250" s="231"/>
      <c r="AF250" s="231"/>
      <c r="AG250" s="231"/>
      <c r="AH250" s="231"/>
      <c r="AI250" s="231"/>
    </row>
    <row r="251" spans="1:35" s="203" customFormat="1">
      <c r="A251" s="809">
        <v>8</v>
      </c>
      <c r="B251" s="47" t="s">
        <v>197</v>
      </c>
      <c r="C251" s="47"/>
      <c r="D251" s="47"/>
      <c r="E251" s="49">
        <v>6969</v>
      </c>
      <c r="F251" s="52">
        <v>7984</v>
      </c>
      <c r="G251" s="118"/>
      <c r="H251" s="122">
        <v>7111</v>
      </c>
      <c r="I251" s="29"/>
      <c r="J251" s="231"/>
      <c r="K251" s="231"/>
      <c r="L251" s="231"/>
      <c r="M251" s="231"/>
      <c r="N251" s="231"/>
      <c r="O251" s="231"/>
      <c r="P251" s="231"/>
      <c r="Q251" s="231"/>
      <c r="R251" s="231"/>
      <c r="S251" s="231"/>
      <c r="T251" s="231"/>
      <c r="U251" s="231"/>
      <c r="V251" s="231"/>
      <c r="W251" s="231"/>
      <c r="X251" s="231"/>
      <c r="Y251" s="231"/>
      <c r="Z251" s="231"/>
      <c r="AA251" s="231"/>
      <c r="AB251" s="231"/>
      <c r="AC251" s="231"/>
      <c r="AD251" s="231"/>
      <c r="AE251" s="231"/>
      <c r="AF251" s="231"/>
      <c r="AG251" s="231"/>
      <c r="AH251" s="231"/>
      <c r="AI251" s="231"/>
    </row>
    <row r="252" spans="1:35" s="203" customFormat="1">
      <c r="A252" s="809">
        <v>9</v>
      </c>
      <c r="B252" s="47" t="s">
        <v>198</v>
      </c>
      <c r="C252" s="47"/>
      <c r="D252" s="47"/>
      <c r="E252" s="49">
        <v>2965</v>
      </c>
      <c r="F252" s="52">
        <v>3171</v>
      </c>
      <c r="G252" s="118"/>
      <c r="H252" s="122">
        <v>2873</v>
      </c>
      <c r="I252" s="29"/>
      <c r="J252" s="231"/>
      <c r="K252" s="231"/>
      <c r="L252" s="231"/>
      <c r="M252" s="231"/>
      <c r="N252" s="231"/>
      <c r="O252" s="231"/>
      <c r="P252" s="231"/>
      <c r="Q252" s="231"/>
      <c r="R252" s="231"/>
      <c r="S252" s="231"/>
      <c r="T252" s="231"/>
      <c r="U252" s="231"/>
      <c r="V252" s="231"/>
      <c r="W252" s="231"/>
      <c r="X252" s="231"/>
      <c r="Y252" s="231"/>
      <c r="Z252" s="231"/>
      <c r="AA252" s="231"/>
      <c r="AB252" s="231"/>
      <c r="AC252" s="231"/>
      <c r="AD252" s="231"/>
      <c r="AE252" s="231"/>
      <c r="AF252" s="231"/>
      <c r="AG252" s="231"/>
      <c r="AH252" s="231"/>
      <c r="AI252" s="231"/>
    </row>
    <row r="253" spans="1:35" s="203" customFormat="1">
      <c r="A253" s="809">
        <v>10</v>
      </c>
      <c r="B253" s="47" t="s">
        <v>199</v>
      </c>
      <c r="C253" s="47"/>
      <c r="D253" s="47"/>
      <c r="E253" s="49">
        <v>105</v>
      </c>
      <c r="F253" s="52">
        <v>215</v>
      </c>
      <c r="G253" s="118"/>
      <c r="H253" s="100">
        <v>197</v>
      </c>
      <c r="I253" s="29"/>
      <c r="J253" s="231"/>
      <c r="K253" s="231"/>
      <c r="L253" s="231"/>
      <c r="M253" s="231"/>
      <c r="N253" s="231"/>
      <c r="O253" s="231"/>
      <c r="P253" s="231"/>
      <c r="Q253" s="231"/>
      <c r="R253" s="231"/>
      <c r="S253" s="231"/>
      <c r="T253" s="231"/>
      <c r="U253" s="231"/>
      <c r="V253" s="231"/>
      <c r="W253" s="231"/>
      <c r="X253" s="231"/>
      <c r="Y253" s="231"/>
      <c r="Z253" s="231"/>
      <c r="AA253" s="231"/>
      <c r="AB253" s="231"/>
      <c r="AC253" s="231"/>
      <c r="AD253" s="231"/>
      <c r="AE253" s="231"/>
      <c r="AF253" s="231"/>
      <c r="AG253" s="231"/>
      <c r="AH253" s="231"/>
      <c r="AI253" s="231"/>
    </row>
    <row r="254" spans="1:35" s="203" customFormat="1">
      <c r="A254" s="809">
        <v>11</v>
      </c>
      <c r="B254" s="116" t="s">
        <v>200</v>
      </c>
      <c r="C254" s="116"/>
      <c r="D254" s="116"/>
      <c r="E254" s="80">
        <v>10504</v>
      </c>
      <c r="F254" s="142">
        <f>SUM(F250:F253)</f>
        <v>11933</v>
      </c>
      <c r="G254" s="118"/>
      <c r="H254" s="142">
        <f>SUM(H250:H253)</f>
        <v>10637</v>
      </c>
      <c r="I254" s="260"/>
      <c r="J254" s="231"/>
      <c r="K254" s="231"/>
      <c r="L254" s="231"/>
      <c r="M254" s="231"/>
      <c r="N254" s="231"/>
      <c r="O254" s="231"/>
      <c r="P254" s="231"/>
      <c r="Q254" s="231"/>
      <c r="R254" s="231"/>
      <c r="S254" s="231"/>
      <c r="T254" s="231"/>
      <c r="U254" s="231"/>
      <c r="V254" s="231"/>
      <c r="W254" s="231"/>
      <c r="X254" s="231"/>
      <c r="Y254" s="231"/>
      <c r="Z254" s="231"/>
      <c r="AA254" s="231"/>
      <c r="AB254" s="231"/>
      <c r="AC254" s="231"/>
      <c r="AD254" s="231"/>
      <c r="AE254" s="231"/>
      <c r="AF254" s="231"/>
      <c r="AG254" s="231"/>
      <c r="AH254" s="231"/>
      <c r="AI254" s="231"/>
    </row>
    <row r="255" spans="1:35" s="203" customFormat="1">
      <c r="A255" s="809"/>
      <c r="B255" s="116"/>
      <c r="C255" s="116"/>
      <c r="D255" s="116"/>
      <c r="E255" s="117"/>
      <c r="F255" s="118"/>
      <c r="G255" s="118"/>
      <c r="H255" s="118"/>
      <c r="I255" s="29"/>
      <c r="J255" s="231"/>
      <c r="K255" s="231"/>
      <c r="L255" s="231"/>
      <c r="M255" s="231"/>
      <c r="N255" s="231"/>
      <c r="O255" s="231"/>
      <c r="P255" s="231"/>
      <c r="Q255" s="231"/>
      <c r="R255" s="231"/>
      <c r="S255" s="231"/>
      <c r="T255" s="231"/>
      <c r="U255" s="231"/>
      <c r="V255" s="231"/>
      <c r="W255" s="231"/>
      <c r="X255" s="231"/>
      <c r="Y255" s="231"/>
      <c r="Z255" s="231"/>
      <c r="AA255" s="231"/>
      <c r="AB255" s="231"/>
      <c r="AC255" s="231"/>
      <c r="AD255" s="231"/>
      <c r="AE255" s="231"/>
      <c r="AF255" s="231"/>
      <c r="AG255" s="231"/>
      <c r="AH255" s="231"/>
      <c r="AI255" s="231"/>
    </row>
    <row r="256" spans="1:35" s="203" customFormat="1">
      <c r="A256" s="809">
        <v>12</v>
      </c>
      <c r="B256" s="47" t="s">
        <v>201</v>
      </c>
      <c r="C256" s="47"/>
      <c r="D256" s="47"/>
      <c r="E256" s="176">
        <v>9983</v>
      </c>
      <c r="F256" s="136">
        <v>9792</v>
      </c>
      <c r="G256" s="118"/>
      <c r="H256" s="177">
        <v>9661</v>
      </c>
      <c r="I256" s="260"/>
      <c r="J256" s="231"/>
      <c r="K256" s="231"/>
      <c r="L256" s="231"/>
      <c r="M256" s="231"/>
      <c r="N256" s="231"/>
      <c r="O256" s="231"/>
      <c r="P256" s="231"/>
      <c r="Q256" s="231"/>
      <c r="R256" s="231"/>
      <c r="S256" s="231"/>
      <c r="T256" s="231"/>
      <c r="U256" s="231"/>
      <c r="V256" s="231"/>
      <c r="W256" s="231"/>
      <c r="X256" s="231"/>
      <c r="Y256" s="231"/>
      <c r="Z256" s="231"/>
      <c r="AA256" s="231"/>
      <c r="AB256" s="231"/>
      <c r="AC256" s="231"/>
      <c r="AD256" s="231"/>
      <c r="AE256" s="231"/>
      <c r="AF256" s="231"/>
      <c r="AG256" s="231"/>
      <c r="AH256" s="231"/>
      <c r="AI256" s="231"/>
    </row>
    <row r="257" spans="1:35" s="203" customFormat="1">
      <c r="A257" s="124">
        <v>13</v>
      </c>
      <c r="B257" s="94" t="s">
        <v>202</v>
      </c>
      <c r="C257" s="94"/>
      <c r="D257" s="94"/>
      <c r="E257" s="159">
        <v>31934</v>
      </c>
      <c r="F257" s="61">
        <f>F242+F247+F254+F256</f>
        <v>33103</v>
      </c>
      <c r="G257" s="118"/>
      <c r="H257" s="61">
        <f>H242+H247+H254+H256</f>
        <v>30958</v>
      </c>
      <c r="I257" s="21"/>
      <c r="J257" s="231"/>
      <c r="K257" s="231"/>
      <c r="L257" s="231"/>
      <c r="M257" s="231"/>
      <c r="N257" s="231"/>
      <c r="O257" s="231"/>
      <c r="P257" s="231"/>
      <c r="Q257" s="231"/>
      <c r="R257" s="231"/>
      <c r="S257" s="231"/>
      <c r="T257" s="231"/>
      <c r="U257" s="231"/>
      <c r="V257" s="231"/>
      <c r="W257" s="231"/>
      <c r="X257" s="231"/>
      <c r="Y257" s="231"/>
      <c r="Z257" s="231"/>
      <c r="AA257" s="231"/>
      <c r="AB257" s="231"/>
      <c r="AC257" s="231"/>
      <c r="AD257" s="231"/>
      <c r="AE257" s="231"/>
      <c r="AF257" s="231"/>
      <c r="AG257" s="231"/>
      <c r="AH257" s="231"/>
      <c r="AI257" s="231"/>
    </row>
    <row r="258" spans="1:35" s="203" customFormat="1">
      <c r="A258" s="207"/>
      <c r="B258" s="207"/>
      <c r="C258" s="207"/>
      <c r="D258" s="208"/>
      <c r="E258" s="208"/>
      <c r="F258" s="207"/>
      <c r="G258" s="207"/>
      <c r="H258" s="207"/>
      <c r="I258" s="21"/>
      <c r="J258" s="231"/>
      <c r="K258" s="231"/>
      <c r="L258" s="231"/>
      <c r="M258" s="231"/>
      <c r="N258" s="231"/>
      <c r="O258" s="231"/>
      <c r="P258" s="231"/>
      <c r="Q258" s="231"/>
      <c r="R258" s="231"/>
      <c r="S258" s="231"/>
      <c r="T258" s="231"/>
      <c r="U258" s="231"/>
      <c r="V258" s="231"/>
      <c r="W258" s="231"/>
      <c r="X258" s="231"/>
      <c r="Y258" s="231"/>
      <c r="Z258" s="231"/>
      <c r="AA258" s="231"/>
      <c r="AB258" s="231"/>
      <c r="AC258" s="231"/>
      <c r="AD258" s="231"/>
      <c r="AE258" s="231"/>
      <c r="AF258" s="231"/>
      <c r="AG258" s="231"/>
      <c r="AH258" s="231"/>
      <c r="AI258" s="231"/>
    </row>
    <row r="259" spans="1:35" s="203" customFormat="1">
      <c r="A259" s="23"/>
      <c r="B259" s="207"/>
      <c r="C259" s="207"/>
      <c r="D259" s="207"/>
      <c r="E259" s="207"/>
      <c r="F259" s="207"/>
      <c r="G259" s="207"/>
      <c r="H259" s="21"/>
      <c r="I259" s="21"/>
      <c r="J259" s="231"/>
      <c r="K259" s="231"/>
      <c r="L259" s="231"/>
      <c r="M259" s="231"/>
      <c r="N259" s="231"/>
      <c r="O259" s="231"/>
      <c r="P259" s="231"/>
      <c r="Q259" s="231"/>
      <c r="R259" s="231"/>
      <c r="S259" s="231"/>
      <c r="T259" s="231"/>
      <c r="U259" s="231"/>
      <c r="V259" s="231"/>
      <c r="W259" s="231"/>
      <c r="X259" s="231"/>
      <c r="Y259" s="231"/>
      <c r="Z259" s="231"/>
      <c r="AA259" s="231"/>
      <c r="AB259" s="231"/>
      <c r="AC259" s="231"/>
      <c r="AD259" s="231"/>
      <c r="AE259" s="231"/>
      <c r="AF259" s="231"/>
      <c r="AG259" s="231"/>
      <c r="AH259" s="231"/>
      <c r="AI259" s="231"/>
    </row>
    <row r="260" spans="1:35" s="203" customFormat="1">
      <c r="A260" s="148"/>
      <c r="B260" s="29"/>
      <c r="C260" s="29"/>
      <c r="D260" s="172"/>
      <c r="E260" s="152"/>
      <c r="F260" s="29"/>
      <c r="G260" s="29"/>
      <c r="H260" s="131" t="s">
        <v>27</v>
      </c>
      <c r="I260" s="21"/>
      <c r="J260" s="231"/>
      <c r="K260" s="231"/>
      <c r="L260" s="231"/>
      <c r="M260" s="231"/>
      <c r="N260" s="231"/>
      <c r="O260" s="231"/>
      <c r="P260" s="231"/>
      <c r="Q260" s="231"/>
      <c r="R260" s="231"/>
      <c r="S260" s="231"/>
      <c r="T260" s="231"/>
      <c r="U260" s="231"/>
      <c r="V260" s="231"/>
      <c r="W260" s="231"/>
      <c r="X260" s="231"/>
      <c r="Y260" s="231"/>
      <c r="Z260" s="231"/>
      <c r="AA260" s="231"/>
      <c r="AB260" s="231"/>
      <c r="AC260" s="231"/>
      <c r="AD260" s="231"/>
      <c r="AE260" s="231"/>
      <c r="AF260" s="231"/>
      <c r="AG260" s="231"/>
      <c r="AH260" s="231"/>
      <c r="AI260" s="231"/>
    </row>
    <row r="261" spans="1:35" s="203" customFormat="1" ht="12.75" customHeight="1">
      <c r="A261" s="106" t="s">
        <v>15</v>
      </c>
      <c r="B261" s="164"/>
      <c r="C261" s="164"/>
      <c r="D261" s="164"/>
      <c r="E261" s="856" t="s">
        <v>377</v>
      </c>
      <c r="F261" s="856" t="s">
        <v>402</v>
      </c>
      <c r="G261" s="130"/>
      <c r="H261" s="856" t="s">
        <v>403</v>
      </c>
      <c r="I261" s="21"/>
      <c r="J261" s="231"/>
      <c r="K261" s="231"/>
      <c r="L261" s="231"/>
      <c r="M261" s="231"/>
      <c r="N261" s="231"/>
      <c r="O261" s="231"/>
      <c r="P261" s="231"/>
      <c r="Q261" s="231"/>
      <c r="R261" s="231"/>
      <c r="S261" s="231"/>
      <c r="T261" s="231"/>
      <c r="U261" s="231"/>
      <c r="V261" s="231"/>
      <c r="W261" s="231"/>
      <c r="X261" s="231"/>
      <c r="Y261" s="231"/>
      <c r="Z261" s="231"/>
      <c r="AA261" s="231"/>
      <c r="AB261" s="231"/>
      <c r="AC261" s="231"/>
      <c r="AD261" s="231"/>
      <c r="AE261" s="231"/>
      <c r="AF261" s="231"/>
      <c r="AG261" s="231"/>
      <c r="AH261" s="231"/>
      <c r="AI261" s="231"/>
    </row>
    <row r="262" spans="1:35" s="203" customFormat="1">
      <c r="A262" s="165"/>
      <c r="B262" s="47"/>
      <c r="C262" s="47"/>
      <c r="D262" s="47"/>
      <c r="E262" s="859"/>
      <c r="F262" s="859"/>
      <c r="G262" s="130"/>
      <c r="H262" s="859"/>
      <c r="I262" s="21"/>
      <c r="J262" s="231"/>
      <c r="K262" s="231"/>
      <c r="L262" s="231"/>
      <c r="M262" s="231"/>
      <c r="N262" s="231"/>
      <c r="O262" s="231"/>
      <c r="P262" s="231"/>
      <c r="Q262" s="231"/>
      <c r="R262" s="231"/>
      <c r="S262" s="231"/>
      <c r="T262" s="231"/>
      <c r="U262" s="231"/>
      <c r="V262" s="231"/>
      <c r="W262" s="231"/>
      <c r="X262" s="231"/>
      <c r="Y262" s="231"/>
      <c r="Z262" s="231"/>
      <c r="AA262" s="231"/>
      <c r="AB262" s="231"/>
      <c r="AC262" s="231"/>
      <c r="AD262" s="231"/>
      <c r="AE262" s="231"/>
      <c r="AF262" s="231"/>
      <c r="AG262" s="231"/>
      <c r="AH262" s="231"/>
      <c r="AI262" s="231"/>
    </row>
    <row r="263" spans="1:35" s="203" customFormat="1">
      <c r="A263" s="109"/>
      <c r="B263" s="174"/>
      <c r="C263" s="174"/>
      <c r="D263" s="174"/>
      <c r="E263" s="859"/>
      <c r="F263" s="859"/>
      <c r="G263" s="130"/>
      <c r="H263" s="859"/>
      <c r="I263" s="21"/>
      <c r="J263" s="231"/>
      <c r="K263" s="231"/>
      <c r="L263" s="231"/>
      <c r="M263" s="231"/>
      <c r="N263" s="231"/>
      <c r="O263" s="231"/>
      <c r="P263" s="231"/>
      <c r="Q263" s="231"/>
      <c r="R263" s="231"/>
      <c r="S263" s="231"/>
      <c r="T263" s="231"/>
      <c r="U263" s="231"/>
      <c r="V263" s="231"/>
      <c r="W263" s="231"/>
      <c r="X263" s="231"/>
      <c r="Y263" s="231"/>
      <c r="Z263" s="231"/>
      <c r="AA263" s="231"/>
      <c r="AB263" s="231"/>
      <c r="AC263" s="231"/>
      <c r="AD263" s="231"/>
      <c r="AE263" s="231"/>
      <c r="AF263" s="231"/>
      <c r="AG263" s="231"/>
      <c r="AH263" s="231"/>
      <c r="AI263" s="231"/>
    </row>
    <row r="264" spans="1:35" s="203" customFormat="1">
      <c r="A264" s="154" t="s">
        <v>203</v>
      </c>
      <c r="B264" s="47"/>
      <c r="C264" s="47"/>
      <c r="D264" s="47"/>
      <c r="E264" s="859"/>
      <c r="F264" s="859"/>
      <c r="G264" s="130"/>
      <c r="H264" s="859"/>
      <c r="I264" s="21"/>
      <c r="J264" s="231"/>
      <c r="K264" s="231"/>
      <c r="L264" s="231"/>
      <c r="M264" s="231"/>
      <c r="N264" s="231"/>
      <c r="O264" s="231"/>
      <c r="P264" s="231"/>
      <c r="Q264" s="231"/>
      <c r="R264" s="231"/>
      <c r="S264" s="231"/>
      <c r="T264" s="231"/>
      <c r="U264" s="231"/>
      <c r="V264" s="231"/>
      <c r="W264" s="231"/>
      <c r="X264" s="231"/>
      <c r="Y264" s="231"/>
      <c r="Z264" s="231"/>
      <c r="AA264" s="231"/>
      <c r="AB264" s="231"/>
      <c r="AC264" s="231"/>
      <c r="AD264" s="231"/>
      <c r="AE264" s="231"/>
      <c r="AF264" s="231"/>
      <c r="AG264" s="231"/>
      <c r="AH264" s="231"/>
      <c r="AI264" s="231"/>
    </row>
    <row r="265" spans="1:35" s="203" customFormat="1">
      <c r="A265" s="109" t="s">
        <v>83</v>
      </c>
      <c r="B265" s="174"/>
      <c r="C265" s="174"/>
      <c r="D265" s="174"/>
      <c r="E265" s="860"/>
      <c r="F265" s="860"/>
      <c r="G265" s="130"/>
      <c r="H265" s="860"/>
      <c r="I265" s="21"/>
      <c r="J265" s="231"/>
      <c r="K265" s="231"/>
      <c r="L265" s="231"/>
      <c r="M265" s="231"/>
      <c r="N265" s="231"/>
      <c r="O265" s="231"/>
      <c r="P265" s="231"/>
      <c r="Q265" s="231"/>
      <c r="R265" s="231"/>
      <c r="S265" s="231"/>
      <c r="T265" s="231"/>
      <c r="U265" s="231"/>
      <c r="V265" s="231"/>
      <c r="W265" s="231"/>
      <c r="X265" s="231"/>
      <c r="Y265" s="231"/>
      <c r="Z265" s="231"/>
      <c r="AA265" s="231"/>
      <c r="AB265" s="231"/>
      <c r="AC265" s="231"/>
      <c r="AD265" s="231"/>
      <c r="AE265" s="231"/>
      <c r="AF265" s="231"/>
      <c r="AG265" s="231"/>
      <c r="AH265" s="231"/>
      <c r="AI265" s="231"/>
    </row>
    <row r="266" spans="1:35" s="203" customFormat="1">
      <c r="A266" s="110" t="s">
        <v>84</v>
      </c>
      <c r="B266" s="116"/>
      <c r="C266" s="116"/>
      <c r="D266" s="116"/>
      <c r="E266" s="178"/>
      <c r="F266" s="146"/>
      <c r="G266" s="118"/>
      <c r="H266" s="146"/>
      <c r="I266" s="21"/>
      <c r="J266" s="231"/>
      <c r="K266" s="231"/>
      <c r="L266" s="231"/>
      <c r="M266" s="231"/>
      <c r="N266" s="231"/>
      <c r="O266" s="231"/>
      <c r="P266" s="231"/>
      <c r="Q266" s="231"/>
      <c r="R266" s="231"/>
      <c r="S266" s="231"/>
      <c r="T266" s="231"/>
      <c r="U266" s="231"/>
      <c r="V266" s="231"/>
      <c r="W266" s="231"/>
      <c r="X266" s="231"/>
      <c r="Y266" s="231"/>
      <c r="Z266" s="231"/>
      <c r="AA266" s="231"/>
      <c r="AB266" s="231"/>
      <c r="AC266" s="231"/>
      <c r="AD266" s="231"/>
      <c r="AE266" s="231"/>
      <c r="AF266" s="231"/>
      <c r="AG266" s="231"/>
      <c r="AH266" s="231"/>
      <c r="AI266" s="231"/>
    </row>
    <row r="267" spans="1:35" s="203" customFormat="1">
      <c r="A267" s="120">
        <v>1</v>
      </c>
      <c r="B267" s="47" t="s">
        <v>204</v>
      </c>
      <c r="C267" s="47"/>
      <c r="D267" s="47"/>
      <c r="E267" s="74">
        <v>16</v>
      </c>
      <c r="F267" s="52">
        <v>15</v>
      </c>
      <c r="G267" s="118"/>
      <c r="H267" s="122">
        <v>13</v>
      </c>
      <c r="I267" s="21"/>
      <c r="J267" s="231"/>
      <c r="K267" s="231"/>
      <c r="L267" s="231"/>
      <c r="M267" s="231"/>
      <c r="N267" s="231"/>
      <c r="O267" s="231"/>
      <c r="P267" s="231"/>
      <c r="Q267" s="231"/>
      <c r="R267" s="231"/>
      <c r="S267" s="231"/>
      <c r="T267" s="231"/>
      <c r="U267" s="231"/>
      <c r="V267" s="231"/>
      <c r="W267" s="231"/>
      <c r="X267" s="231"/>
      <c r="Y267" s="231"/>
      <c r="Z267" s="231"/>
      <c r="AA267" s="231"/>
      <c r="AB267" s="231"/>
      <c r="AC267" s="231"/>
      <c r="AD267" s="231"/>
      <c r="AE267" s="231"/>
      <c r="AF267" s="231"/>
      <c r="AG267" s="231"/>
      <c r="AH267" s="231"/>
      <c r="AI267" s="231"/>
    </row>
    <row r="268" spans="1:35" s="203" customFormat="1">
      <c r="A268" s="809">
        <v>2</v>
      </c>
      <c r="B268" s="166" t="s">
        <v>205</v>
      </c>
      <c r="C268" s="166"/>
      <c r="D268" s="47"/>
      <c r="E268" s="114">
        <v>0</v>
      </c>
      <c r="F268" s="52">
        <v>0</v>
      </c>
      <c r="G268" s="118"/>
      <c r="H268" s="122">
        <v>0</v>
      </c>
      <c r="I268" s="21"/>
      <c r="J268" s="231"/>
      <c r="K268" s="231"/>
      <c r="L268" s="231"/>
      <c r="M268" s="231"/>
      <c r="N268" s="231"/>
      <c r="O268" s="231"/>
      <c r="P268" s="231"/>
      <c r="Q268" s="231"/>
      <c r="R268" s="231"/>
      <c r="S268" s="231"/>
      <c r="T268" s="231"/>
      <c r="U268" s="231"/>
      <c r="V268" s="231"/>
      <c r="W268" s="231"/>
      <c r="X268" s="231"/>
      <c r="Y268" s="231"/>
      <c r="Z268" s="231"/>
      <c r="AA268" s="231"/>
      <c r="AB268" s="231"/>
      <c r="AC268" s="231"/>
      <c r="AD268" s="231"/>
      <c r="AE268" s="231"/>
      <c r="AF268" s="231"/>
      <c r="AG268" s="231"/>
      <c r="AH268" s="231"/>
      <c r="AI268" s="231"/>
    </row>
    <row r="269" spans="1:35" s="203" customFormat="1">
      <c r="A269" s="120">
        <v>3</v>
      </c>
      <c r="B269" s="47" t="s">
        <v>206</v>
      </c>
      <c r="C269" s="47"/>
      <c r="D269" s="168"/>
      <c r="E269" s="114">
        <v>0</v>
      </c>
      <c r="F269" s="52">
        <v>0</v>
      </c>
      <c r="G269" s="118"/>
      <c r="H269" s="122">
        <v>0</v>
      </c>
      <c r="I269" s="21"/>
      <c r="J269" s="231"/>
      <c r="K269" s="231"/>
      <c r="L269" s="231"/>
      <c r="M269" s="231"/>
      <c r="N269" s="231"/>
      <c r="O269" s="231"/>
      <c r="P269" s="231"/>
      <c r="Q269" s="231"/>
      <c r="R269" s="231"/>
      <c r="S269" s="231"/>
      <c r="T269" s="231"/>
      <c r="U269" s="231"/>
      <c r="V269" s="231"/>
      <c r="W269" s="231"/>
      <c r="X269" s="231"/>
      <c r="Y269" s="231"/>
      <c r="Z269" s="231"/>
      <c r="AA269" s="231"/>
      <c r="AB269" s="231"/>
      <c r="AC269" s="231"/>
      <c r="AD269" s="231"/>
      <c r="AE269" s="231"/>
      <c r="AF269" s="231"/>
      <c r="AG269" s="231"/>
      <c r="AH269" s="231"/>
      <c r="AI269" s="231"/>
    </row>
    <row r="270" spans="1:35" s="203" customFormat="1">
      <c r="A270" s="809">
        <v>4</v>
      </c>
      <c r="B270" s="47" t="s">
        <v>207</v>
      </c>
      <c r="C270" s="47"/>
      <c r="D270" s="116"/>
      <c r="E270" s="114">
        <v>2107</v>
      </c>
      <c r="F270" s="52">
        <v>1137</v>
      </c>
      <c r="G270" s="118"/>
      <c r="H270" s="122">
        <v>1159</v>
      </c>
      <c r="I270" s="21"/>
      <c r="J270" s="231"/>
      <c r="K270" s="231"/>
      <c r="L270" s="231"/>
      <c r="M270" s="231"/>
      <c r="N270" s="231"/>
      <c r="O270" s="231"/>
      <c r="P270" s="231"/>
      <c r="Q270" s="231"/>
      <c r="R270" s="231"/>
      <c r="S270" s="231"/>
      <c r="T270" s="231"/>
      <c r="U270" s="231"/>
      <c r="V270" s="231"/>
      <c r="W270" s="231"/>
      <c r="X270" s="231"/>
      <c r="Y270" s="231"/>
      <c r="Z270" s="231"/>
      <c r="AA270" s="231"/>
      <c r="AB270" s="231"/>
      <c r="AC270" s="231"/>
      <c r="AD270" s="231"/>
      <c r="AE270" s="231"/>
      <c r="AF270" s="231"/>
      <c r="AG270" s="231"/>
      <c r="AH270" s="231"/>
      <c r="AI270" s="231"/>
    </row>
    <row r="271" spans="1:35" s="203" customFormat="1">
      <c r="A271" s="120">
        <v>5</v>
      </c>
      <c r="B271" s="47" t="s">
        <v>208</v>
      </c>
      <c r="C271" s="47"/>
      <c r="D271" s="47"/>
      <c r="E271" s="114">
        <v>6322</v>
      </c>
      <c r="F271" s="52">
        <v>6240</v>
      </c>
      <c r="G271" s="118"/>
      <c r="H271" s="122">
        <v>6322</v>
      </c>
      <c r="I271" s="21"/>
      <c r="J271" s="231"/>
      <c r="K271" s="231"/>
      <c r="L271" s="231"/>
      <c r="M271" s="231"/>
      <c r="N271" s="231"/>
      <c r="O271" s="231"/>
      <c r="P271" s="231"/>
      <c r="Q271" s="231"/>
      <c r="R271" s="231"/>
      <c r="S271" s="231"/>
      <c r="T271" s="231"/>
      <c r="U271" s="231"/>
      <c r="V271" s="231"/>
      <c r="W271" s="231"/>
      <c r="X271" s="231"/>
      <c r="Y271" s="231"/>
      <c r="Z271" s="231"/>
      <c r="AA271" s="231"/>
      <c r="AB271" s="231"/>
      <c r="AC271" s="231"/>
      <c r="AD271" s="231"/>
      <c r="AE271" s="231"/>
      <c r="AF271" s="231"/>
      <c r="AG271" s="231"/>
      <c r="AH271" s="231"/>
      <c r="AI271" s="231"/>
    </row>
    <row r="272" spans="1:35" s="203" customFormat="1">
      <c r="A272" s="809">
        <v>6</v>
      </c>
      <c r="B272" s="47" t="s">
        <v>209</v>
      </c>
      <c r="C272" s="47"/>
      <c r="D272" s="47"/>
      <c r="E272" s="114">
        <v>-6384</v>
      </c>
      <c r="F272" s="52">
        <v>-6531</v>
      </c>
      <c r="G272" s="118"/>
      <c r="H272" s="122">
        <v>-6499</v>
      </c>
      <c r="I272" s="21"/>
      <c r="J272" s="231"/>
      <c r="K272" s="231"/>
      <c r="L272" s="231"/>
      <c r="M272" s="231"/>
      <c r="N272" s="231"/>
      <c r="O272" s="231"/>
      <c r="P272" s="231"/>
      <c r="Q272" s="231"/>
      <c r="R272" s="231"/>
      <c r="S272" s="231"/>
      <c r="T272" s="231"/>
      <c r="U272" s="231"/>
      <c r="V272" s="231"/>
      <c r="W272" s="231"/>
      <c r="X272" s="231"/>
      <c r="Y272" s="231"/>
      <c r="Z272" s="231"/>
      <c r="AA272" s="231"/>
      <c r="AB272" s="231"/>
      <c r="AC272" s="231"/>
      <c r="AD272" s="231"/>
      <c r="AE272" s="231"/>
      <c r="AF272" s="231"/>
      <c r="AG272" s="231"/>
      <c r="AH272" s="231"/>
      <c r="AI272" s="231"/>
    </row>
    <row r="273" spans="1:35" s="203" customFormat="1">
      <c r="A273" s="120">
        <v>7</v>
      </c>
      <c r="B273" s="47" t="s">
        <v>210</v>
      </c>
      <c r="C273" s="47"/>
      <c r="D273" s="47"/>
      <c r="E273" s="114">
        <v>13225</v>
      </c>
      <c r="F273" s="52">
        <v>18213</v>
      </c>
      <c r="G273" s="118"/>
      <c r="H273" s="122">
        <v>15515</v>
      </c>
      <c r="I273" s="21"/>
      <c r="J273" s="231"/>
      <c r="K273" s="231"/>
      <c r="L273" s="231"/>
      <c r="M273" s="231"/>
      <c r="N273" s="231"/>
      <c r="O273" s="231"/>
      <c r="P273" s="231"/>
      <c r="Q273" s="231"/>
      <c r="R273" s="231"/>
      <c r="S273" s="231"/>
      <c r="T273" s="231"/>
      <c r="U273" s="231"/>
      <c r="V273" s="231"/>
      <c r="W273" s="231"/>
      <c r="X273" s="231"/>
      <c r="Y273" s="231"/>
      <c r="Z273" s="231"/>
      <c r="AA273" s="231"/>
      <c r="AB273" s="231"/>
      <c r="AC273" s="231"/>
      <c r="AD273" s="231"/>
      <c r="AE273" s="231"/>
      <c r="AF273" s="231"/>
      <c r="AG273" s="231"/>
      <c r="AH273" s="231"/>
      <c r="AI273" s="231"/>
    </row>
    <row r="274" spans="1:35" s="203" customFormat="1">
      <c r="A274" s="809">
        <v>8</v>
      </c>
      <c r="B274" s="47" t="s">
        <v>211</v>
      </c>
      <c r="C274" s="47"/>
      <c r="D274" s="47"/>
      <c r="E274" s="114">
        <v>14665</v>
      </c>
      <c r="F274" s="52">
        <v>13882</v>
      </c>
      <c r="G274" s="118"/>
      <c r="H274" s="122">
        <v>14750</v>
      </c>
      <c r="I274" s="21"/>
      <c r="J274" s="231"/>
      <c r="K274" s="231"/>
      <c r="L274" s="231"/>
      <c r="M274" s="231"/>
      <c r="N274" s="231"/>
      <c r="O274" s="231"/>
      <c r="P274" s="231"/>
      <c r="Q274" s="231"/>
      <c r="R274" s="231"/>
      <c r="S274" s="231"/>
      <c r="T274" s="231"/>
      <c r="U274" s="231"/>
      <c r="V274" s="231"/>
      <c r="W274" s="231"/>
      <c r="X274" s="231"/>
      <c r="Y274" s="231"/>
      <c r="Z274" s="231"/>
      <c r="AA274" s="231"/>
      <c r="AB274" s="231"/>
      <c r="AC274" s="231"/>
      <c r="AD274" s="231"/>
      <c r="AE274" s="231"/>
      <c r="AF274" s="231"/>
      <c r="AG274" s="231"/>
      <c r="AH274" s="231"/>
      <c r="AI274" s="231"/>
    </row>
    <row r="275" spans="1:35" s="203" customFormat="1">
      <c r="A275" s="120">
        <v>9</v>
      </c>
      <c r="B275" s="47" t="s">
        <v>212</v>
      </c>
      <c r="C275" s="47"/>
      <c r="D275" s="47"/>
      <c r="E275" s="114">
        <v>8</v>
      </c>
      <c r="F275" s="52">
        <v>7</v>
      </c>
      <c r="G275" s="118"/>
      <c r="H275" s="122">
        <v>6</v>
      </c>
      <c r="I275" s="21"/>
      <c r="J275" s="231"/>
      <c r="K275" s="231"/>
      <c r="L275" s="231"/>
      <c r="M275" s="231"/>
      <c r="N275" s="231"/>
      <c r="O275" s="231"/>
      <c r="P275" s="231"/>
      <c r="Q275" s="231"/>
      <c r="R275" s="231"/>
      <c r="S275" s="231"/>
      <c r="T275" s="231"/>
      <c r="U275" s="231"/>
      <c r="V275" s="231"/>
      <c r="W275" s="231"/>
      <c r="X275" s="231"/>
      <c r="Y275" s="231"/>
      <c r="Z275" s="231"/>
      <c r="AA275" s="231"/>
      <c r="AB275" s="231"/>
      <c r="AC275" s="231"/>
      <c r="AD275" s="231"/>
      <c r="AE275" s="231"/>
      <c r="AF275" s="231"/>
      <c r="AG275" s="231"/>
      <c r="AH275" s="231"/>
      <c r="AI275" s="231"/>
    </row>
    <row r="276" spans="1:35" s="203" customFormat="1">
      <c r="A276" s="809">
        <v>10</v>
      </c>
      <c r="B276" s="47" t="s">
        <v>213</v>
      </c>
      <c r="C276" s="47"/>
      <c r="D276" s="47"/>
      <c r="E276" s="114">
        <v>2410</v>
      </c>
      <c r="F276" s="52">
        <v>1240</v>
      </c>
      <c r="G276" s="118"/>
      <c r="H276" s="99">
        <v>2036</v>
      </c>
      <c r="I276" s="21"/>
      <c r="J276" s="231"/>
      <c r="K276" s="231"/>
      <c r="L276" s="231"/>
      <c r="M276" s="231"/>
      <c r="N276" s="231"/>
      <c r="O276" s="231"/>
      <c r="P276" s="231"/>
      <c r="Q276" s="231"/>
      <c r="R276" s="231"/>
      <c r="S276" s="231"/>
      <c r="T276" s="231"/>
      <c r="U276" s="231"/>
      <c r="V276" s="231"/>
      <c r="W276" s="231"/>
      <c r="X276" s="231"/>
      <c r="Y276" s="231"/>
      <c r="Z276" s="231"/>
      <c r="AA276" s="231"/>
      <c r="AB276" s="231"/>
      <c r="AC276" s="231"/>
      <c r="AD276" s="231"/>
      <c r="AE276" s="231"/>
      <c r="AF276" s="231"/>
      <c r="AG276" s="231"/>
      <c r="AH276" s="231"/>
      <c r="AI276" s="231"/>
    </row>
    <row r="277" spans="1:35" s="203" customFormat="1">
      <c r="A277" s="124">
        <v>11</v>
      </c>
      <c r="B277" s="94" t="s">
        <v>214</v>
      </c>
      <c r="C277" s="94"/>
      <c r="D277" s="94"/>
      <c r="E277" s="159">
        <v>32369</v>
      </c>
      <c r="F277" s="61">
        <f>SUM(F267:F276)</f>
        <v>34203</v>
      </c>
      <c r="G277" s="118"/>
      <c r="H277" s="61">
        <f>SUM(H267:H276)</f>
        <v>33302</v>
      </c>
      <c r="I277" s="21"/>
      <c r="J277" s="231"/>
      <c r="K277" s="231"/>
      <c r="L277" s="231"/>
      <c r="M277" s="231"/>
      <c r="N277" s="231"/>
      <c r="O277" s="231"/>
      <c r="P277" s="231"/>
      <c r="Q277" s="231"/>
      <c r="R277" s="231"/>
      <c r="S277" s="231"/>
      <c r="T277" s="231"/>
      <c r="U277" s="231"/>
      <c r="V277" s="231"/>
      <c r="W277" s="231"/>
      <c r="X277" s="231"/>
      <c r="Y277" s="231"/>
      <c r="Z277" s="231"/>
      <c r="AA277" s="231"/>
      <c r="AB277" s="231"/>
      <c r="AC277" s="231"/>
      <c r="AD277" s="231"/>
      <c r="AE277" s="231"/>
      <c r="AF277" s="231"/>
      <c r="AG277" s="231"/>
      <c r="AH277" s="231"/>
      <c r="AI277" s="231"/>
    </row>
    <row r="278" spans="1:35" s="203" customFormat="1">
      <c r="A278" s="207"/>
      <c r="B278" s="207"/>
      <c r="C278" s="207"/>
      <c r="D278" s="207"/>
      <c r="E278" s="207"/>
      <c r="F278" s="207"/>
      <c r="G278" s="207"/>
      <c r="H278" s="207"/>
      <c r="I278" s="21"/>
      <c r="J278" s="231"/>
      <c r="K278" s="231"/>
      <c r="L278" s="231"/>
      <c r="M278" s="231"/>
      <c r="N278" s="231"/>
      <c r="O278" s="231"/>
      <c r="P278" s="231"/>
      <c r="Q278" s="231"/>
      <c r="R278" s="231"/>
      <c r="S278" s="231"/>
      <c r="T278" s="231"/>
      <c r="U278" s="231"/>
      <c r="V278" s="231"/>
      <c r="W278" s="231"/>
      <c r="X278" s="231"/>
      <c r="Y278" s="231"/>
      <c r="Z278" s="231"/>
      <c r="AA278" s="231"/>
      <c r="AB278" s="231"/>
      <c r="AC278" s="231"/>
      <c r="AD278" s="231"/>
      <c r="AE278" s="231"/>
      <c r="AF278" s="231"/>
      <c r="AG278" s="231"/>
      <c r="AH278" s="231"/>
      <c r="AI278" s="231"/>
    </row>
    <row r="279" spans="1:35" s="203" customFormat="1">
      <c r="A279" s="207"/>
      <c r="B279" s="207"/>
      <c r="C279" s="207"/>
      <c r="D279" s="207"/>
      <c r="E279" s="207"/>
      <c r="F279" s="207"/>
      <c r="G279" s="207"/>
      <c r="H279" s="131" t="s">
        <v>27</v>
      </c>
      <c r="I279" s="21"/>
      <c r="J279" s="231"/>
      <c r="K279" s="231"/>
      <c r="L279" s="231"/>
      <c r="M279" s="231"/>
      <c r="N279" s="231"/>
      <c r="O279" s="231"/>
      <c r="P279" s="231"/>
      <c r="Q279" s="231"/>
      <c r="R279" s="231"/>
      <c r="S279" s="231"/>
      <c r="T279" s="231"/>
      <c r="U279" s="231"/>
      <c r="V279" s="231"/>
      <c r="W279" s="231"/>
      <c r="X279" s="231"/>
      <c r="Y279" s="231"/>
      <c r="Z279" s="231"/>
      <c r="AA279" s="231"/>
      <c r="AB279" s="231"/>
      <c r="AC279" s="231"/>
      <c r="AD279" s="231"/>
      <c r="AE279" s="231"/>
      <c r="AF279" s="231"/>
      <c r="AG279" s="231"/>
      <c r="AH279" s="231"/>
      <c r="AI279" s="231"/>
    </row>
    <row r="280" spans="1:35" s="203" customFormat="1" ht="12.75" customHeight="1">
      <c r="A280" s="106" t="s">
        <v>18</v>
      </c>
      <c r="B280" s="164"/>
      <c r="C280" s="164"/>
      <c r="D280" s="164"/>
      <c r="E280" s="856" t="s">
        <v>377</v>
      </c>
      <c r="F280" s="856" t="s">
        <v>402</v>
      </c>
      <c r="G280" s="130"/>
      <c r="H280" s="856" t="s">
        <v>403</v>
      </c>
      <c r="I280" s="21"/>
      <c r="J280" s="231"/>
      <c r="K280" s="231"/>
      <c r="L280" s="231"/>
      <c r="M280" s="231"/>
      <c r="N280" s="231"/>
      <c r="O280" s="231"/>
      <c r="P280" s="231"/>
      <c r="Q280" s="231"/>
      <c r="R280" s="231"/>
      <c r="S280" s="231"/>
      <c r="T280" s="231"/>
      <c r="U280" s="231"/>
      <c r="V280" s="231"/>
      <c r="W280" s="231"/>
      <c r="X280" s="231"/>
      <c r="Y280" s="231"/>
      <c r="Z280" s="231"/>
      <c r="AA280" s="231"/>
      <c r="AB280" s="231"/>
      <c r="AC280" s="231"/>
      <c r="AD280" s="231"/>
      <c r="AE280" s="231"/>
      <c r="AF280" s="231"/>
      <c r="AG280" s="231"/>
      <c r="AH280" s="231"/>
      <c r="AI280" s="231"/>
    </row>
    <row r="281" spans="1:35" s="203" customFormat="1">
      <c r="A281" s="165"/>
      <c r="B281" s="47"/>
      <c r="C281" s="47"/>
      <c r="D281" s="47"/>
      <c r="E281" s="859"/>
      <c r="F281" s="859"/>
      <c r="G281" s="130"/>
      <c r="H281" s="859"/>
      <c r="I281" s="21"/>
      <c r="J281" s="231"/>
      <c r="K281" s="231"/>
      <c r="L281" s="231"/>
      <c r="M281" s="231"/>
      <c r="N281" s="231"/>
      <c r="O281" s="231"/>
      <c r="P281" s="231"/>
      <c r="Q281" s="231"/>
      <c r="R281" s="231"/>
      <c r="S281" s="231"/>
      <c r="T281" s="231"/>
      <c r="U281" s="231"/>
      <c r="V281" s="231"/>
      <c r="W281" s="231"/>
      <c r="X281" s="231"/>
      <c r="Y281" s="231"/>
      <c r="Z281" s="231"/>
      <c r="AA281" s="231"/>
      <c r="AB281" s="231"/>
      <c r="AC281" s="231"/>
      <c r="AD281" s="231"/>
      <c r="AE281" s="231"/>
      <c r="AF281" s="231"/>
      <c r="AG281" s="231"/>
      <c r="AH281" s="231"/>
      <c r="AI281" s="231"/>
    </row>
    <row r="282" spans="1:35" s="203" customFormat="1" ht="21.75" customHeight="1">
      <c r="A282" s="109"/>
      <c r="B282" s="174"/>
      <c r="C282" s="174"/>
      <c r="D282" s="174"/>
      <c r="E282" s="859"/>
      <c r="F282" s="859"/>
      <c r="G282" s="130"/>
      <c r="H282" s="859"/>
      <c r="I282" s="21"/>
      <c r="J282" s="231"/>
      <c r="K282" s="231"/>
      <c r="L282" s="231"/>
      <c r="M282" s="231"/>
      <c r="N282" s="231"/>
      <c r="O282" s="231"/>
      <c r="P282" s="231"/>
      <c r="Q282" s="231"/>
      <c r="R282" s="231"/>
      <c r="S282" s="231"/>
      <c r="T282" s="231"/>
      <c r="U282" s="231"/>
      <c r="V282" s="231"/>
      <c r="W282" s="231"/>
      <c r="X282" s="231"/>
      <c r="Y282" s="231"/>
      <c r="Z282" s="231"/>
      <c r="AA282" s="231"/>
      <c r="AB282" s="231"/>
      <c r="AC282" s="231"/>
      <c r="AD282" s="231"/>
      <c r="AE282" s="231"/>
      <c r="AF282" s="231"/>
      <c r="AG282" s="231"/>
      <c r="AH282" s="231"/>
      <c r="AI282" s="231"/>
    </row>
    <row r="283" spans="1:35" s="203" customFormat="1">
      <c r="A283" s="154" t="s">
        <v>215</v>
      </c>
      <c r="B283" s="47"/>
      <c r="C283" s="47"/>
      <c r="D283" s="47"/>
      <c r="E283" s="859"/>
      <c r="F283" s="859"/>
      <c r="G283" s="130"/>
      <c r="H283" s="859"/>
      <c r="I283" s="21"/>
      <c r="J283" s="231"/>
      <c r="K283" s="231"/>
      <c r="L283" s="231"/>
      <c r="M283" s="231"/>
      <c r="N283" s="231"/>
      <c r="O283" s="231"/>
      <c r="P283" s="231"/>
      <c r="Q283" s="231"/>
      <c r="R283" s="231"/>
      <c r="S283" s="231"/>
      <c r="T283" s="231"/>
      <c r="U283" s="231"/>
      <c r="V283" s="231"/>
      <c r="W283" s="231"/>
      <c r="X283" s="231"/>
      <c r="Y283" s="231"/>
      <c r="Z283" s="231"/>
      <c r="AA283" s="231"/>
      <c r="AB283" s="231"/>
      <c r="AC283" s="231"/>
      <c r="AD283" s="231"/>
      <c r="AE283" s="231"/>
      <c r="AF283" s="231"/>
      <c r="AG283" s="231"/>
      <c r="AH283" s="231"/>
      <c r="AI283" s="231"/>
    </row>
    <row r="284" spans="1:35" s="203" customFormat="1">
      <c r="A284" s="109" t="s">
        <v>83</v>
      </c>
      <c r="B284" s="174"/>
      <c r="C284" s="174"/>
      <c r="D284" s="174"/>
      <c r="E284" s="860"/>
      <c r="F284" s="860"/>
      <c r="G284" s="130"/>
      <c r="H284" s="860"/>
      <c r="I284" s="21"/>
      <c r="J284" s="231"/>
      <c r="K284" s="231"/>
      <c r="L284" s="231"/>
      <c r="M284" s="231"/>
      <c r="N284" s="231"/>
      <c r="O284" s="231"/>
      <c r="P284" s="231"/>
      <c r="Q284" s="231"/>
      <c r="R284" s="231"/>
      <c r="S284" s="231"/>
      <c r="T284" s="231"/>
      <c r="U284" s="231"/>
      <c r="V284" s="231"/>
      <c r="W284" s="231"/>
      <c r="X284" s="231"/>
      <c r="Y284" s="231"/>
      <c r="Z284" s="231"/>
      <c r="AA284" s="231"/>
      <c r="AB284" s="231"/>
      <c r="AC284" s="231"/>
      <c r="AD284" s="231"/>
      <c r="AE284" s="231"/>
      <c r="AF284" s="231"/>
      <c r="AG284" s="231"/>
      <c r="AH284" s="231"/>
      <c r="AI284" s="231"/>
    </row>
    <row r="285" spans="1:35" s="203" customFormat="1">
      <c r="A285" s="110" t="s">
        <v>84</v>
      </c>
      <c r="B285" s="116"/>
      <c r="C285" s="116"/>
      <c r="D285" s="116"/>
      <c r="E285" s="178"/>
      <c r="F285" s="146"/>
      <c r="G285" s="118"/>
      <c r="H285" s="146"/>
      <c r="I285" s="21"/>
      <c r="J285" s="231"/>
      <c r="K285" s="231"/>
      <c r="L285" s="231"/>
      <c r="M285" s="231"/>
      <c r="N285" s="231"/>
      <c r="O285" s="231"/>
      <c r="P285" s="231"/>
      <c r="Q285" s="231"/>
      <c r="R285" s="231"/>
      <c r="S285" s="231"/>
      <c r="T285" s="231"/>
      <c r="U285" s="231"/>
      <c r="V285" s="231"/>
      <c r="W285" s="231"/>
      <c r="X285" s="231"/>
      <c r="Y285" s="231"/>
      <c r="Z285" s="231"/>
      <c r="AA285" s="231"/>
      <c r="AB285" s="231"/>
      <c r="AC285" s="231"/>
      <c r="AD285" s="231"/>
      <c r="AE285" s="231"/>
      <c r="AF285" s="231"/>
      <c r="AG285" s="231"/>
      <c r="AH285" s="231"/>
      <c r="AI285" s="231"/>
    </row>
    <row r="286" spans="1:35" s="203" customFormat="1">
      <c r="A286" s="120">
        <v>1</v>
      </c>
      <c r="B286" s="47" t="s">
        <v>216</v>
      </c>
      <c r="C286" s="47"/>
      <c r="D286" s="47"/>
      <c r="E286" s="74">
        <v>1524</v>
      </c>
      <c r="F286" s="52">
        <v>1893</v>
      </c>
      <c r="G286" s="118"/>
      <c r="H286" s="122">
        <v>2084</v>
      </c>
      <c r="I286" s="21"/>
      <c r="J286" s="231"/>
      <c r="K286" s="231"/>
      <c r="L286" s="231"/>
      <c r="M286" s="231"/>
      <c r="N286" s="231"/>
      <c r="O286" s="231"/>
      <c r="P286" s="231"/>
      <c r="Q286" s="231"/>
      <c r="R286" s="231"/>
      <c r="S286" s="231"/>
      <c r="T286" s="231"/>
      <c r="U286" s="231"/>
      <c r="V286" s="231"/>
      <c r="W286" s="231"/>
      <c r="X286" s="231"/>
      <c r="Y286" s="231"/>
      <c r="Z286" s="231"/>
      <c r="AA286" s="231"/>
      <c r="AB286" s="231"/>
      <c r="AC286" s="231"/>
      <c r="AD286" s="231"/>
      <c r="AE286" s="231"/>
      <c r="AF286" s="231"/>
      <c r="AG286" s="231"/>
      <c r="AH286" s="231"/>
      <c r="AI286" s="231"/>
    </row>
    <row r="287" spans="1:35" s="203" customFormat="1">
      <c r="A287" s="809">
        <v>2</v>
      </c>
      <c r="B287" s="47" t="s">
        <v>217</v>
      </c>
      <c r="C287" s="47"/>
      <c r="D287" s="47"/>
      <c r="E287" s="114">
        <v>247</v>
      </c>
      <c r="F287" s="52">
        <v>-102</v>
      </c>
      <c r="G287" s="118"/>
      <c r="H287" s="122">
        <v>-77</v>
      </c>
      <c r="I287" s="21"/>
      <c r="J287" s="231"/>
      <c r="K287" s="231"/>
      <c r="L287" s="231"/>
      <c r="M287" s="231"/>
      <c r="N287" s="231"/>
      <c r="O287" s="231"/>
      <c r="P287" s="231"/>
      <c r="Q287" s="231"/>
      <c r="R287" s="231"/>
      <c r="S287" s="231"/>
      <c r="T287" s="231"/>
      <c r="U287" s="231"/>
      <c r="V287" s="231"/>
      <c r="W287" s="231"/>
      <c r="X287" s="231"/>
      <c r="Y287" s="231"/>
      <c r="Z287" s="231"/>
      <c r="AA287" s="231"/>
      <c r="AB287" s="231"/>
      <c r="AC287" s="231"/>
      <c r="AD287" s="231"/>
      <c r="AE287" s="231"/>
      <c r="AF287" s="231"/>
      <c r="AG287" s="231"/>
      <c r="AH287" s="231"/>
      <c r="AI287" s="231"/>
    </row>
    <row r="288" spans="1:35" s="203" customFormat="1">
      <c r="A288" s="120">
        <v>3</v>
      </c>
      <c r="B288" s="90" t="s">
        <v>218</v>
      </c>
      <c r="C288" s="166"/>
      <c r="D288" s="168"/>
      <c r="E288" s="114">
        <v>4403</v>
      </c>
      <c r="F288" s="52">
        <v>5358</v>
      </c>
      <c r="G288" s="118"/>
      <c r="H288" s="122">
        <v>5129</v>
      </c>
      <c r="I288" s="21"/>
      <c r="J288" s="231"/>
      <c r="K288" s="231"/>
      <c r="L288" s="231"/>
      <c r="M288" s="231"/>
      <c r="N288" s="231"/>
      <c r="O288" s="231"/>
      <c r="P288" s="231"/>
      <c r="Q288" s="231"/>
      <c r="R288" s="231"/>
      <c r="S288" s="231"/>
      <c r="T288" s="231"/>
      <c r="U288" s="231"/>
      <c r="V288" s="231"/>
      <c r="W288" s="231"/>
      <c r="X288" s="231"/>
      <c r="Y288" s="231"/>
      <c r="Z288" s="231"/>
      <c r="AA288" s="231"/>
      <c r="AB288" s="231"/>
      <c r="AC288" s="231"/>
      <c r="AD288" s="231"/>
      <c r="AE288" s="231"/>
      <c r="AF288" s="231"/>
      <c r="AG288" s="231"/>
      <c r="AH288" s="231"/>
      <c r="AI288" s="231"/>
    </row>
    <row r="289" spans="1:35" s="203" customFormat="1">
      <c r="A289" s="809">
        <v>4</v>
      </c>
      <c r="B289" s="47" t="s">
        <v>219</v>
      </c>
      <c r="C289" s="47"/>
      <c r="D289" s="116"/>
      <c r="E289" s="114">
        <v>316</v>
      </c>
      <c r="F289" s="52">
        <v>402</v>
      </c>
      <c r="G289" s="118"/>
      <c r="H289" s="122">
        <v>421</v>
      </c>
      <c r="I289" s="21"/>
      <c r="J289" s="231"/>
      <c r="K289" s="231"/>
      <c r="L289" s="231"/>
      <c r="M289" s="231"/>
      <c r="N289" s="231"/>
      <c r="O289" s="231"/>
      <c r="P289" s="231"/>
      <c r="Q289" s="231"/>
      <c r="R289" s="231"/>
      <c r="S289" s="231"/>
      <c r="T289" s="231"/>
      <c r="U289" s="231"/>
      <c r="V289" s="231"/>
      <c r="W289" s="231"/>
      <c r="X289" s="231"/>
      <c r="Y289" s="231"/>
      <c r="Z289" s="231"/>
      <c r="AA289" s="231"/>
      <c r="AB289" s="231"/>
      <c r="AC289" s="231"/>
      <c r="AD289" s="231"/>
      <c r="AE289" s="231"/>
      <c r="AF289" s="231"/>
      <c r="AG289" s="231"/>
      <c r="AH289" s="231"/>
      <c r="AI289" s="231"/>
    </row>
    <row r="290" spans="1:35" s="203" customFormat="1">
      <c r="A290" s="809">
        <v>5</v>
      </c>
      <c r="B290" s="47" t="s">
        <v>220</v>
      </c>
      <c r="C290" s="47"/>
      <c r="D290" s="47"/>
      <c r="E290" s="114">
        <v>-864</v>
      </c>
      <c r="F290" s="52">
        <v>-1300</v>
      </c>
      <c r="G290" s="118"/>
      <c r="H290" s="122">
        <v>-1176</v>
      </c>
      <c r="I290" s="21"/>
      <c r="J290" s="231"/>
      <c r="K290" s="231"/>
      <c r="L290" s="231"/>
      <c r="M290" s="231"/>
      <c r="N290" s="231"/>
      <c r="O290" s="231"/>
      <c r="P290" s="231"/>
      <c r="Q290" s="231"/>
      <c r="R290" s="231"/>
      <c r="S290" s="231"/>
      <c r="T290" s="231"/>
      <c r="U290" s="231"/>
      <c r="V290" s="231"/>
      <c r="W290" s="231"/>
      <c r="X290" s="231"/>
      <c r="Y290" s="231"/>
      <c r="Z290" s="231"/>
      <c r="AA290" s="231"/>
      <c r="AB290" s="231"/>
      <c r="AC290" s="231"/>
      <c r="AD290" s="231"/>
      <c r="AE290" s="231"/>
      <c r="AF290" s="231"/>
      <c r="AG290" s="231"/>
      <c r="AH290" s="231"/>
      <c r="AI290" s="231"/>
    </row>
    <row r="291" spans="1:35" s="203" customFormat="1">
      <c r="A291" s="120">
        <v>6</v>
      </c>
      <c r="B291" s="47" t="s">
        <v>221</v>
      </c>
      <c r="C291" s="47"/>
      <c r="D291" s="47"/>
      <c r="E291" s="114">
        <v>21</v>
      </c>
      <c r="F291" s="52">
        <v>28</v>
      </c>
      <c r="G291" s="118"/>
      <c r="H291" s="122">
        <v>22</v>
      </c>
      <c r="I291" s="21"/>
      <c r="J291" s="231"/>
      <c r="K291" s="231"/>
      <c r="L291" s="231"/>
      <c r="M291" s="231"/>
      <c r="N291" s="231"/>
      <c r="O291" s="231"/>
      <c r="P291" s="231"/>
      <c r="Q291" s="231"/>
      <c r="R291" s="231"/>
      <c r="S291" s="231"/>
      <c r="T291" s="231"/>
      <c r="U291" s="231"/>
      <c r="V291" s="231"/>
      <c r="W291" s="231"/>
      <c r="X291" s="231"/>
      <c r="Y291" s="231"/>
      <c r="Z291" s="231"/>
      <c r="AA291" s="231"/>
      <c r="AB291" s="231"/>
      <c r="AC291" s="231"/>
      <c r="AD291" s="231"/>
      <c r="AE291" s="231"/>
      <c r="AF291" s="231"/>
      <c r="AG291" s="231"/>
      <c r="AH291" s="231"/>
      <c r="AI291" s="231"/>
    </row>
    <row r="292" spans="1:35" s="203" customFormat="1">
      <c r="A292" s="809">
        <v>7</v>
      </c>
      <c r="B292" s="47" t="s">
        <v>222</v>
      </c>
      <c r="C292" s="47"/>
      <c r="D292" s="116"/>
      <c r="E292" s="114">
        <v>893</v>
      </c>
      <c r="F292" s="52">
        <v>951</v>
      </c>
      <c r="G292" s="118"/>
      <c r="H292" s="122">
        <v>992</v>
      </c>
      <c r="I292" s="21"/>
      <c r="J292" s="231"/>
      <c r="K292" s="231"/>
      <c r="L292" s="231"/>
      <c r="M292" s="231"/>
      <c r="N292" s="231"/>
      <c r="O292" s="231"/>
      <c r="P292" s="231"/>
      <c r="Q292" s="231"/>
      <c r="R292" s="231"/>
      <c r="S292" s="231"/>
      <c r="T292" s="231"/>
      <c r="U292" s="231"/>
      <c r="V292" s="231"/>
      <c r="W292" s="231"/>
      <c r="X292" s="231"/>
      <c r="Y292" s="231"/>
      <c r="Z292" s="231"/>
      <c r="AA292" s="231"/>
      <c r="AB292" s="231"/>
      <c r="AC292" s="231"/>
      <c r="AD292" s="231"/>
      <c r="AE292" s="231"/>
      <c r="AF292" s="231"/>
      <c r="AG292" s="231"/>
      <c r="AH292" s="231"/>
      <c r="AI292" s="231"/>
    </row>
    <row r="293" spans="1:35" s="203" customFormat="1">
      <c r="A293" s="120">
        <v>8</v>
      </c>
      <c r="B293" s="47" t="s">
        <v>223</v>
      </c>
      <c r="C293" s="47"/>
      <c r="D293" s="116"/>
      <c r="E293" s="114">
        <v>1414</v>
      </c>
      <c r="F293" s="52">
        <v>1795</v>
      </c>
      <c r="G293" s="118"/>
      <c r="H293" s="122">
        <v>1874</v>
      </c>
      <c r="I293" s="21"/>
      <c r="J293" s="231"/>
      <c r="K293" s="231"/>
      <c r="L293" s="231"/>
      <c r="M293" s="231"/>
      <c r="N293" s="231"/>
      <c r="O293" s="231"/>
      <c r="P293" s="231"/>
      <c r="Q293" s="231"/>
      <c r="R293" s="231"/>
      <c r="S293" s="231"/>
      <c r="T293" s="231"/>
      <c r="U293" s="231"/>
      <c r="V293" s="231"/>
      <c r="W293" s="231"/>
      <c r="X293" s="231"/>
      <c r="Y293" s="231"/>
      <c r="Z293" s="231"/>
      <c r="AA293" s="231"/>
      <c r="AB293" s="231"/>
      <c r="AC293" s="231"/>
      <c r="AD293" s="231"/>
      <c r="AE293" s="231"/>
      <c r="AF293" s="231"/>
      <c r="AG293" s="231"/>
      <c r="AH293" s="231"/>
      <c r="AI293" s="231"/>
    </row>
    <row r="294" spans="1:35" s="203" customFormat="1">
      <c r="A294" s="809">
        <v>9</v>
      </c>
      <c r="B294" s="47" t="s">
        <v>224</v>
      </c>
      <c r="C294" s="47"/>
      <c r="D294" s="116"/>
      <c r="E294" s="114">
        <v>1264</v>
      </c>
      <c r="F294" s="52">
        <v>775</v>
      </c>
      <c r="G294" s="118"/>
      <c r="H294" s="122">
        <v>808</v>
      </c>
      <c r="I294" s="21"/>
      <c r="J294" s="231"/>
      <c r="K294" s="231"/>
      <c r="L294" s="231"/>
      <c r="M294" s="231"/>
      <c r="N294" s="231"/>
      <c r="O294" s="231"/>
      <c r="P294" s="231"/>
      <c r="Q294" s="231"/>
      <c r="R294" s="231"/>
      <c r="S294" s="231"/>
      <c r="T294" s="231"/>
      <c r="U294" s="231"/>
      <c r="V294" s="231"/>
      <c r="W294" s="231"/>
      <c r="X294" s="231"/>
      <c r="Y294" s="231"/>
      <c r="Z294" s="231"/>
      <c r="AA294" s="231"/>
      <c r="AB294" s="231"/>
      <c r="AC294" s="231"/>
      <c r="AD294" s="231"/>
      <c r="AE294" s="231"/>
      <c r="AF294" s="231"/>
      <c r="AG294" s="231"/>
      <c r="AH294" s="231"/>
      <c r="AI294" s="231"/>
    </row>
    <row r="295" spans="1:35" s="203" customFormat="1">
      <c r="A295" s="120">
        <v>10</v>
      </c>
      <c r="B295" s="47" t="s">
        <v>225</v>
      </c>
      <c r="C295" s="47"/>
      <c r="D295" s="47"/>
      <c r="E295" s="114">
        <v>817</v>
      </c>
      <c r="F295" s="52">
        <v>890</v>
      </c>
      <c r="G295" s="118"/>
      <c r="H295" s="122">
        <v>691</v>
      </c>
      <c r="I295" s="21"/>
      <c r="J295" s="231"/>
      <c r="K295" s="231"/>
      <c r="L295" s="231"/>
      <c r="M295" s="231"/>
      <c r="N295" s="231"/>
      <c r="O295" s="231"/>
      <c r="P295" s="231"/>
      <c r="Q295" s="231"/>
      <c r="R295" s="231"/>
      <c r="S295" s="231"/>
      <c r="T295" s="231"/>
      <c r="U295" s="231"/>
      <c r="V295" s="231"/>
      <c r="W295" s="231"/>
      <c r="X295" s="231"/>
      <c r="Y295" s="231"/>
      <c r="Z295" s="231"/>
      <c r="AA295" s="231"/>
      <c r="AB295" s="231"/>
      <c r="AC295" s="231"/>
      <c r="AD295" s="231"/>
      <c r="AE295" s="231"/>
      <c r="AF295" s="231"/>
      <c r="AG295" s="231"/>
      <c r="AH295" s="231"/>
      <c r="AI295" s="231"/>
    </row>
    <row r="296" spans="1:35" s="203" customFormat="1">
      <c r="A296" s="809">
        <v>11</v>
      </c>
      <c r="B296" s="47" t="s">
        <v>226</v>
      </c>
      <c r="C296" s="47"/>
      <c r="D296" s="47"/>
      <c r="E296" s="114">
        <v>0</v>
      </c>
      <c r="F296" s="52">
        <v>0</v>
      </c>
      <c r="G296" s="118"/>
      <c r="H296" s="122">
        <v>0</v>
      </c>
      <c r="I296" s="21"/>
      <c r="J296" s="231"/>
      <c r="K296" s="231"/>
      <c r="L296" s="231"/>
      <c r="M296" s="231"/>
      <c r="N296" s="231"/>
      <c r="O296" s="231"/>
      <c r="P296" s="231"/>
      <c r="Q296" s="231"/>
      <c r="R296" s="231"/>
      <c r="S296" s="231"/>
      <c r="T296" s="231"/>
      <c r="U296" s="231"/>
      <c r="V296" s="231"/>
      <c r="W296" s="231"/>
      <c r="X296" s="231"/>
      <c r="Y296" s="231"/>
      <c r="Z296" s="231"/>
      <c r="AA296" s="231"/>
      <c r="AB296" s="231"/>
      <c r="AC296" s="231"/>
      <c r="AD296" s="231"/>
      <c r="AE296" s="231"/>
      <c r="AF296" s="231"/>
      <c r="AG296" s="231"/>
      <c r="AH296" s="231"/>
      <c r="AI296" s="231"/>
    </row>
    <row r="297" spans="1:35" s="203" customFormat="1">
      <c r="A297" s="120">
        <v>12</v>
      </c>
      <c r="B297" s="47" t="s">
        <v>227</v>
      </c>
      <c r="C297" s="47"/>
      <c r="D297" s="47"/>
      <c r="E297" s="114">
        <v>-113</v>
      </c>
      <c r="F297" s="52">
        <v>-179</v>
      </c>
      <c r="G297" s="118"/>
      <c r="H297" s="122">
        <v>-166</v>
      </c>
      <c r="I297" s="21"/>
      <c r="J297" s="231"/>
      <c r="K297" s="231"/>
      <c r="L297" s="231"/>
      <c r="M297" s="231"/>
      <c r="N297" s="231"/>
      <c r="O297" s="231"/>
      <c r="P297" s="231"/>
      <c r="Q297" s="231"/>
      <c r="R297" s="231"/>
      <c r="S297" s="231"/>
      <c r="T297" s="231"/>
      <c r="U297" s="231"/>
      <c r="V297" s="231"/>
      <c r="W297" s="231"/>
      <c r="X297" s="231"/>
      <c r="Y297" s="231"/>
      <c r="Z297" s="231"/>
      <c r="AA297" s="231"/>
      <c r="AB297" s="231"/>
      <c r="AC297" s="231"/>
      <c r="AD297" s="231"/>
      <c r="AE297" s="231"/>
      <c r="AF297" s="231"/>
      <c r="AG297" s="231"/>
      <c r="AH297" s="231"/>
      <c r="AI297" s="231"/>
    </row>
    <row r="298" spans="1:35" s="203" customFormat="1">
      <c r="A298" s="809">
        <v>13</v>
      </c>
      <c r="B298" s="47" t="s">
        <v>228</v>
      </c>
      <c r="C298" s="47"/>
      <c r="D298" s="47"/>
      <c r="E298" s="114">
        <v>7071</v>
      </c>
      <c r="F298" s="52">
        <v>6690</v>
      </c>
      <c r="G298" s="118"/>
      <c r="H298" s="122">
        <v>6949</v>
      </c>
      <c r="I298" s="21"/>
      <c r="J298" s="231"/>
      <c r="K298" s="231"/>
      <c r="L298" s="231"/>
      <c r="M298" s="231"/>
      <c r="N298" s="231"/>
      <c r="O298" s="231"/>
      <c r="P298" s="231"/>
      <c r="Q298" s="231"/>
      <c r="R298" s="231"/>
      <c r="S298" s="231"/>
      <c r="T298" s="231"/>
      <c r="U298" s="231"/>
      <c r="V298" s="231"/>
      <c r="W298" s="231"/>
      <c r="X298" s="231"/>
      <c r="Y298" s="231"/>
      <c r="Z298" s="231"/>
      <c r="AA298" s="231"/>
      <c r="AB298" s="231"/>
      <c r="AC298" s="231"/>
      <c r="AD298" s="231"/>
      <c r="AE298" s="231"/>
      <c r="AF298" s="231"/>
      <c r="AG298" s="231"/>
      <c r="AH298" s="231"/>
      <c r="AI298" s="231"/>
    </row>
    <row r="299" spans="1:35" s="203" customFormat="1">
      <c r="A299" s="120">
        <v>14</v>
      </c>
      <c r="B299" s="47" t="s">
        <v>229</v>
      </c>
      <c r="C299" s="47"/>
      <c r="D299" s="116"/>
      <c r="E299" s="114">
        <v>0</v>
      </c>
      <c r="F299" s="52">
        <v>0</v>
      </c>
      <c r="G299" s="118"/>
      <c r="H299" s="122">
        <v>0</v>
      </c>
      <c r="I299" s="21"/>
      <c r="J299" s="231"/>
      <c r="K299" s="231"/>
      <c r="L299" s="231"/>
      <c r="M299" s="231"/>
      <c r="N299" s="231"/>
      <c r="O299" s="231"/>
      <c r="P299" s="231"/>
      <c r="Q299" s="231"/>
      <c r="R299" s="231"/>
      <c r="S299" s="231"/>
      <c r="T299" s="231"/>
      <c r="U299" s="231"/>
      <c r="V299" s="231"/>
      <c r="W299" s="231"/>
      <c r="X299" s="231"/>
      <c r="Y299" s="231"/>
      <c r="Z299" s="231"/>
      <c r="AA299" s="231"/>
      <c r="AB299" s="231"/>
      <c r="AC299" s="231"/>
      <c r="AD299" s="231"/>
      <c r="AE299" s="231"/>
      <c r="AF299" s="231"/>
      <c r="AG299" s="231"/>
      <c r="AH299" s="231"/>
      <c r="AI299" s="231"/>
    </row>
    <row r="300" spans="1:35" s="203" customFormat="1">
      <c r="A300" s="809">
        <v>15</v>
      </c>
      <c r="B300" s="47" t="s">
        <v>230</v>
      </c>
      <c r="C300" s="47"/>
      <c r="D300" s="116"/>
      <c r="E300" s="114">
        <v>9085</v>
      </c>
      <c r="F300" s="52">
        <v>9085</v>
      </c>
      <c r="G300" s="118"/>
      <c r="H300" s="122">
        <v>9085</v>
      </c>
      <c r="I300" s="21"/>
      <c r="J300" s="231"/>
      <c r="K300" s="231"/>
      <c r="L300" s="231"/>
      <c r="M300" s="231"/>
      <c r="N300" s="231"/>
      <c r="O300" s="231"/>
      <c r="P300" s="231"/>
      <c r="Q300" s="231"/>
      <c r="R300" s="231"/>
      <c r="S300" s="231"/>
      <c r="T300" s="231"/>
      <c r="U300" s="231"/>
      <c r="V300" s="231"/>
      <c r="W300" s="231"/>
      <c r="X300" s="231"/>
      <c r="Y300" s="231"/>
      <c r="Z300" s="231"/>
      <c r="AA300" s="231"/>
      <c r="AB300" s="231"/>
      <c r="AC300" s="231"/>
      <c r="AD300" s="231"/>
      <c r="AE300" s="231"/>
      <c r="AF300" s="231"/>
      <c r="AG300" s="231"/>
      <c r="AH300" s="231"/>
      <c r="AI300" s="231"/>
    </row>
    <row r="301" spans="1:35" s="203" customFormat="1">
      <c r="A301" s="120">
        <v>17</v>
      </c>
      <c r="B301" s="47" t="s">
        <v>231</v>
      </c>
      <c r="C301" s="47"/>
      <c r="D301" s="47"/>
      <c r="E301" s="114">
        <v>21251</v>
      </c>
      <c r="F301" s="52">
        <v>9543</v>
      </c>
      <c r="G301" s="118"/>
      <c r="H301" s="99">
        <v>23692</v>
      </c>
      <c r="I301" s="21"/>
      <c r="J301" s="231"/>
      <c r="K301" s="231"/>
      <c r="L301" s="231"/>
      <c r="M301" s="231"/>
      <c r="N301" s="231"/>
      <c r="O301" s="231"/>
      <c r="P301" s="231"/>
      <c r="Q301" s="231"/>
      <c r="R301" s="231"/>
      <c r="S301" s="231"/>
      <c r="T301" s="231"/>
      <c r="U301" s="231"/>
      <c r="V301" s="231"/>
      <c r="W301" s="231"/>
      <c r="X301" s="231"/>
      <c r="Y301" s="231"/>
      <c r="Z301" s="231"/>
      <c r="AA301" s="231"/>
      <c r="AB301" s="231"/>
      <c r="AC301" s="231"/>
      <c r="AD301" s="231"/>
      <c r="AE301" s="231"/>
      <c r="AF301" s="231"/>
      <c r="AG301" s="231"/>
      <c r="AH301" s="231"/>
      <c r="AI301" s="231"/>
    </row>
    <row r="302" spans="1:35" s="203" customFormat="1">
      <c r="A302" s="810">
        <v>18</v>
      </c>
      <c r="B302" s="94" t="s">
        <v>232</v>
      </c>
      <c r="C302" s="94"/>
      <c r="D302" s="94"/>
      <c r="E302" s="159">
        <v>47329</v>
      </c>
      <c r="F302" s="61">
        <f>SUM(F286:F301)</f>
        <v>35829</v>
      </c>
      <c r="G302" s="118"/>
      <c r="H302" s="61">
        <f>SUM(H286:H301)</f>
        <v>50328</v>
      </c>
      <c r="I302" s="21"/>
      <c r="J302" s="231"/>
      <c r="K302" s="231"/>
      <c r="L302" s="231"/>
      <c r="M302" s="231"/>
      <c r="N302" s="231"/>
      <c r="O302" s="231"/>
      <c r="P302" s="231"/>
      <c r="Q302" s="231"/>
      <c r="R302" s="231"/>
      <c r="S302" s="231"/>
      <c r="T302" s="231"/>
      <c r="U302" s="231"/>
      <c r="V302" s="231"/>
      <c r="W302" s="231"/>
      <c r="X302" s="231"/>
      <c r="Y302" s="231"/>
      <c r="Z302" s="231"/>
      <c r="AA302" s="231"/>
      <c r="AB302" s="231"/>
      <c r="AC302" s="231"/>
      <c r="AD302" s="231"/>
      <c r="AE302" s="231"/>
      <c r="AF302" s="231"/>
      <c r="AG302" s="231"/>
      <c r="AH302" s="231"/>
      <c r="AI302" s="231"/>
    </row>
    <row r="303" spans="1:35" s="203" customFormat="1">
      <c r="A303" s="179"/>
      <c r="B303" s="180"/>
      <c r="C303" s="180"/>
      <c r="D303" s="181"/>
      <c r="E303" s="182"/>
      <c r="F303" s="183"/>
      <c r="G303" s="21"/>
      <c r="H303" s="183"/>
      <c r="I303" s="21"/>
      <c r="J303" s="231"/>
      <c r="K303" s="231"/>
      <c r="L303" s="231"/>
      <c r="M303" s="231"/>
      <c r="N303" s="231"/>
      <c r="O303" s="231"/>
      <c r="P303" s="231"/>
      <c r="Q303" s="231"/>
      <c r="R303" s="231"/>
      <c r="S303" s="231"/>
      <c r="T303" s="231"/>
      <c r="U303" s="231"/>
      <c r="V303" s="231"/>
      <c r="W303" s="231"/>
      <c r="X303" s="231"/>
      <c r="Y303" s="231"/>
      <c r="Z303" s="231"/>
      <c r="AA303" s="231"/>
      <c r="AB303" s="231"/>
      <c r="AC303" s="231"/>
      <c r="AD303" s="231"/>
      <c r="AE303" s="231"/>
      <c r="AF303" s="231"/>
      <c r="AG303" s="231"/>
      <c r="AH303" s="231"/>
      <c r="AI303" s="231"/>
    </row>
    <row r="304" spans="1:35" s="203" customFormat="1">
      <c r="A304" s="184"/>
      <c r="B304" s="207"/>
      <c r="C304" s="207"/>
      <c r="D304" s="209"/>
      <c r="E304" s="185"/>
      <c r="F304" s="207"/>
      <c r="G304" s="207"/>
      <c r="H304" s="131" t="s">
        <v>27</v>
      </c>
      <c r="I304" s="21"/>
      <c r="J304" s="231"/>
      <c r="K304" s="231"/>
      <c r="L304" s="231"/>
      <c r="M304" s="231"/>
      <c r="N304" s="231"/>
      <c r="O304" s="231"/>
      <c r="P304" s="231"/>
      <c r="Q304" s="231"/>
      <c r="R304" s="231"/>
      <c r="S304" s="231"/>
      <c r="T304" s="231"/>
      <c r="U304" s="231"/>
      <c r="V304" s="231"/>
      <c r="W304" s="231"/>
      <c r="X304" s="231"/>
      <c r="Y304" s="231"/>
      <c r="Z304" s="231"/>
      <c r="AA304" s="231"/>
      <c r="AB304" s="231"/>
      <c r="AC304" s="231"/>
      <c r="AD304" s="231"/>
      <c r="AE304" s="231"/>
      <c r="AF304" s="231"/>
      <c r="AG304" s="231"/>
      <c r="AH304" s="231"/>
      <c r="AI304" s="231"/>
    </row>
    <row r="305" spans="1:35" s="203" customFormat="1" ht="12.75" customHeight="1">
      <c r="A305" s="106" t="s">
        <v>21</v>
      </c>
      <c r="B305" s="164"/>
      <c r="C305" s="164"/>
      <c r="D305" s="164"/>
      <c r="E305" s="856" t="s">
        <v>377</v>
      </c>
      <c r="F305" s="856" t="s">
        <v>402</v>
      </c>
      <c r="G305" s="130"/>
      <c r="H305" s="856" t="s">
        <v>403</v>
      </c>
      <c r="I305" s="21"/>
      <c r="J305" s="231"/>
      <c r="K305" s="231"/>
      <c r="L305" s="231"/>
      <c r="M305" s="231"/>
      <c r="N305" s="231"/>
      <c r="O305" s="231"/>
      <c r="P305" s="231"/>
      <c r="Q305" s="231"/>
      <c r="R305" s="231"/>
      <c r="S305" s="231"/>
      <c r="T305" s="231"/>
      <c r="U305" s="231"/>
      <c r="V305" s="231"/>
      <c r="W305" s="231"/>
      <c r="X305" s="231"/>
      <c r="Y305" s="231"/>
      <c r="Z305" s="231"/>
      <c r="AA305" s="231"/>
      <c r="AB305" s="231"/>
      <c r="AC305" s="231"/>
      <c r="AD305" s="231"/>
      <c r="AE305" s="231"/>
      <c r="AF305" s="231"/>
      <c r="AG305" s="231"/>
      <c r="AH305" s="231"/>
      <c r="AI305" s="231"/>
    </row>
    <row r="306" spans="1:35" s="203" customFormat="1">
      <c r="A306" s="165"/>
      <c r="B306" s="47"/>
      <c r="C306" s="47"/>
      <c r="D306" s="47"/>
      <c r="E306" s="859"/>
      <c r="F306" s="859"/>
      <c r="G306" s="130"/>
      <c r="H306" s="859"/>
      <c r="I306" s="21"/>
      <c r="J306" s="231"/>
      <c r="K306" s="231"/>
      <c r="L306" s="231"/>
      <c r="M306" s="231"/>
      <c r="N306" s="231"/>
      <c r="O306" s="231"/>
      <c r="P306" s="231"/>
      <c r="Q306" s="231"/>
      <c r="R306" s="231"/>
      <c r="S306" s="231"/>
      <c r="T306" s="231"/>
      <c r="U306" s="231"/>
      <c r="V306" s="231"/>
      <c r="W306" s="231"/>
      <c r="X306" s="231"/>
      <c r="Y306" s="231"/>
      <c r="Z306" s="231"/>
      <c r="AA306" s="231"/>
      <c r="AB306" s="231"/>
      <c r="AC306" s="231"/>
      <c r="AD306" s="231"/>
      <c r="AE306" s="231"/>
      <c r="AF306" s="231"/>
      <c r="AG306" s="231"/>
      <c r="AH306" s="231"/>
      <c r="AI306" s="231"/>
    </row>
    <row r="307" spans="1:35" s="203" customFormat="1" ht="12.75" customHeight="1">
      <c r="A307" s="109"/>
      <c r="B307" s="174"/>
      <c r="C307" s="174"/>
      <c r="D307" s="174"/>
      <c r="E307" s="859"/>
      <c r="F307" s="859"/>
      <c r="G307" s="130"/>
      <c r="H307" s="859"/>
      <c r="I307" s="21"/>
      <c r="J307" s="231"/>
      <c r="K307" s="231"/>
      <c r="L307" s="231"/>
      <c r="M307" s="231"/>
      <c r="N307" s="231"/>
      <c r="O307" s="231"/>
      <c r="P307" s="231"/>
      <c r="Q307" s="231"/>
      <c r="R307" s="231"/>
      <c r="S307" s="231"/>
      <c r="T307" s="231"/>
      <c r="U307" s="231"/>
      <c r="V307" s="231"/>
      <c r="W307" s="231"/>
      <c r="X307" s="231"/>
      <c r="Y307" s="231"/>
      <c r="Z307" s="231"/>
      <c r="AA307" s="231"/>
      <c r="AB307" s="231"/>
      <c r="AC307" s="231"/>
      <c r="AD307" s="231"/>
      <c r="AE307" s="231"/>
      <c r="AF307" s="231"/>
      <c r="AG307" s="231"/>
      <c r="AH307" s="231"/>
      <c r="AI307" s="231"/>
    </row>
    <row r="308" spans="1:35" s="203" customFormat="1">
      <c r="A308" s="154" t="s">
        <v>233</v>
      </c>
      <c r="B308" s="47"/>
      <c r="C308" s="47"/>
      <c r="D308" s="47"/>
      <c r="E308" s="859"/>
      <c r="F308" s="859"/>
      <c r="G308" s="130"/>
      <c r="H308" s="859"/>
      <c r="I308" s="21"/>
      <c r="J308" s="231"/>
      <c r="K308" s="231"/>
      <c r="L308" s="231"/>
      <c r="M308" s="231"/>
      <c r="N308" s="231"/>
      <c r="O308" s="231"/>
      <c r="P308" s="231"/>
      <c r="Q308" s="231"/>
      <c r="R308" s="231"/>
      <c r="S308" s="231"/>
      <c r="T308" s="231"/>
      <c r="U308" s="231"/>
      <c r="V308" s="231"/>
      <c r="W308" s="231"/>
      <c r="X308" s="231"/>
      <c r="Y308" s="231"/>
      <c r="Z308" s="231"/>
      <c r="AA308" s="231"/>
      <c r="AB308" s="231"/>
      <c r="AC308" s="231"/>
      <c r="AD308" s="231"/>
      <c r="AE308" s="231"/>
      <c r="AF308" s="231"/>
      <c r="AG308" s="231"/>
      <c r="AH308" s="231"/>
      <c r="AI308" s="231"/>
    </row>
    <row r="309" spans="1:35" s="203" customFormat="1">
      <c r="A309" s="109" t="s">
        <v>83</v>
      </c>
      <c r="B309" s="174"/>
      <c r="C309" s="174"/>
      <c r="D309" s="174"/>
      <c r="E309" s="860"/>
      <c r="F309" s="860"/>
      <c r="G309" s="130"/>
      <c r="H309" s="860"/>
      <c r="I309" s="21"/>
      <c r="J309" s="231"/>
      <c r="K309" s="231"/>
      <c r="L309" s="231"/>
      <c r="M309" s="231"/>
      <c r="N309" s="231"/>
      <c r="O309" s="231"/>
      <c r="P309" s="231"/>
      <c r="Q309" s="231"/>
      <c r="R309" s="231"/>
      <c r="S309" s="231"/>
      <c r="T309" s="231"/>
      <c r="U309" s="231"/>
      <c r="V309" s="231"/>
      <c r="W309" s="231"/>
      <c r="X309" s="231"/>
      <c r="Y309" s="231"/>
      <c r="Z309" s="231"/>
      <c r="AA309" s="231"/>
      <c r="AB309" s="231"/>
      <c r="AC309" s="231"/>
      <c r="AD309" s="231"/>
      <c r="AE309" s="231"/>
      <c r="AF309" s="231"/>
      <c r="AG309" s="231"/>
      <c r="AH309" s="231"/>
      <c r="AI309" s="231"/>
    </row>
    <row r="310" spans="1:35" s="203" customFormat="1">
      <c r="A310" s="110" t="s">
        <v>84</v>
      </c>
      <c r="B310" s="116"/>
      <c r="C310" s="116"/>
      <c r="D310" s="116"/>
      <c r="E310" s="262"/>
      <c r="F310" s="146"/>
      <c r="G310" s="118"/>
      <c r="H310" s="146"/>
      <c r="I310" s="21"/>
      <c r="J310" s="231"/>
      <c r="K310" s="231"/>
      <c r="L310" s="231"/>
      <c r="M310" s="231"/>
      <c r="N310" s="231"/>
      <c r="O310" s="231"/>
      <c r="P310" s="231"/>
      <c r="Q310" s="231"/>
      <c r="R310" s="231"/>
      <c r="S310" s="231"/>
      <c r="T310" s="231"/>
      <c r="U310" s="231"/>
      <c r="V310" s="231"/>
      <c r="W310" s="231"/>
      <c r="X310" s="231"/>
      <c r="Y310" s="231"/>
      <c r="Z310" s="231"/>
      <c r="AA310" s="231"/>
      <c r="AB310" s="231"/>
      <c r="AC310" s="231"/>
      <c r="AD310" s="231"/>
      <c r="AE310" s="231"/>
      <c r="AF310" s="231"/>
      <c r="AG310" s="231"/>
      <c r="AH310" s="231"/>
      <c r="AI310" s="231"/>
    </row>
    <row r="311" spans="1:35" s="203" customFormat="1">
      <c r="A311" s="120">
        <v>1</v>
      </c>
      <c r="B311" s="47" t="s">
        <v>258</v>
      </c>
      <c r="C311" s="47"/>
      <c r="D311" s="186"/>
      <c r="E311" s="74">
        <v>-6098</v>
      </c>
      <c r="F311" s="52">
        <v>-2947</v>
      </c>
      <c r="G311" s="43"/>
      <c r="H311" s="52">
        <v>-3658</v>
      </c>
      <c r="I311" s="21"/>
      <c r="J311" s="231"/>
      <c r="K311" s="231"/>
      <c r="L311" s="231"/>
      <c r="M311" s="231"/>
      <c r="N311" s="231"/>
      <c r="O311" s="231"/>
      <c r="P311" s="231"/>
      <c r="Q311" s="231"/>
      <c r="R311" s="231"/>
      <c r="S311" s="231"/>
      <c r="T311" s="231"/>
      <c r="U311" s="231"/>
      <c r="V311" s="231"/>
      <c r="W311" s="231"/>
      <c r="X311" s="231"/>
      <c r="Y311" s="231"/>
      <c r="Z311" s="231"/>
      <c r="AA311" s="231"/>
      <c r="AB311" s="231"/>
      <c r="AC311" s="231"/>
      <c r="AD311" s="231"/>
      <c r="AE311" s="231"/>
      <c r="AF311" s="231"/>
      <c r="AG311" s="231"/>
      <c r="AH311" s="231"/>
      <c r="AI311" s="231"/>
    </row>
    <row r="312" spans="1:35" s="203" customFormat="1">
      <c r="A312" s="120">
        <v>2</v>
      </c>
      <c r="B312" s="47" t="s">
        <v>234</v>
      </c>
      <c r="C312" s="47"/>
      <c r="D312" s="186"/>
      <c r="E312" s="114">
        <v>0</v>
      </c>
      <c r="F312" s="52">
        <v>0</v>
      </c>
      <c r="G312" s="43"/>
      <c r="H312" s="52">
        <v>0</v>
      </c>
      <c r="I312" s="21"/>
      <c r="J312" s="231"/>
      <c r="K312" s="231"/>
      <c r="L312" s="231"/>
      <c r="M312" s="231"/>
      <c r="N312" s="231"/>
      <c r="O312" s="231"/>
      <c r="P312" s="231"/>
      <c r="Q312" s="231"/>
      <c r="R312" s="231"/>
      <c r="S312" s="231"/>
      <c r="T312" s="231"/>
      <c r="U312" s="231"/>
      <c r="V312" s="231"/>
      <c r="W312" s="231"/>
      <c r="X312" s="231"/>
      <c r="Y312" s="231"/>
      <c r="Z312" s="231"/>
      <c r="AA312" s="231"/>
      <c r="AB312" s="231"/>
      <c r="AC312" s="231"/>
      <c r="AD312" s="231"/>
      <c r="AE312" s="231"/>
      <c r="AF312" s="231"/>
      <c r="AG312" s="231"/>
      <c r="AH312" s="231"/>
      <c r="AI312" s="231"/>
    </row>
    <row r="313" spans="1:35" s="203" customFormat="1">
      <c r="A313" s="120">
        <v>3</v>
      </c>
      <c r="B313" s="47" t="s">
        <v>259</v>
      </c>
      <c r="C313" s="47"/>
      <c r="D313" s="186"/>
      <c r="E313" s="114">
        <v>-10898</v>
      </c>
      <c r="F313" s="52">
        <v>-11800</v>
      </c>
      <c r="G313" s="43"/>
      <c r="H313" s="52">
        <v>-12166</v>
      </c>
      <c r="I313" s="21"/>
      <c r="J313" s="231"/>
      <c r="K313" s="231"/>
      <c r="L313" s="231"/>
      <c r="M313" s="231"/>
      <c r="N313" s="231"/>
      <c r="O313" s="231"/>
      <c r="P313" s="231"/>
      <c r="Q313" s="231"/>
      <c r="R313" s="231"/>
      <c r="S313" s="231"/>
      <c r="T313" s="231"/>
      <c r="U313" s="231"/>
      <c r="V313" s="231"/>
      <c r="W313" s="231"/>
      <c r="X313" s="231"/>
      <c r="Y313" s="231"/>
      <c r="Z313" s="231"/>
      <c r="AA313" s="231"/>
      <c r="AB313" s="231"/>
      <c r="AC313" s="231"/>
      <c r="AD313" s="231"/>
      <c r="AE313" s="231"/>
      <c r="AF313" s="231"/>
      <c r="AG313" s="231"/>
      <c r="AH313" s="231"/>
      <c r="AI313" s="231"/>
    </row>
    <row r="314" spans="1:35" s="203" customFormat="1">
      <c r="A314" s="120">
        <v>4</v>
      </c>
      <c r="B314" s="47" t="s">
        <v>235</v>
      </c>
      <c r="C314" s="47"/>
      <c r="D314" s="186"/>
      <c r="E314" s="114">
        <v>55948</v>
      </c>
      <c r="F314" s="52">
        <v>60791</v>
      </c>
      <c r="G314" s="43"/>
      <c r="H314" s="52">
        <v>60000</v>
      </c>
      <c r="I314" s="21"/>
      <c r="J314" s="231"/>
      <c r="K314" s="231"/>
      <c r="L314" s="231"/>
      <c r="M314" s="231"/>
      <c r="N314" s="231"/>
      <c r="O314" s="231"/>
      <c r="P314" s="231"/>
      <c r="Q314" s="231"/>
      <c r="R314" s="231"/>
      <c r="S314" s="231"/>
      <c r="T314" s="231"/>
      <c r="U314" s="231"/>
      <c r="V314" s="231"/>
      <c r="W314" s="231"/>
      <c r="X314" s="231"/>
      <c r="Y314" s="231"/>
      <c r="Z314" s="231"/>
      <c r="AA314" s="231"/>
      <c r="AB314" s="231"/>
      <c r="AC314" s="231"/>
      <c r="AD314" s="231"/>
      <c r="AE314" s="231"/>
      <c r="AF314" s="231"/>
      <c r="AG314" s="231"/>
      <c r="AH314" s="231"/>
      <c r="AI314" s="231"/>
    </row>
    <row r="315" spans="1:35" s="203" customFormat="1">
      <c r="A315" s="120">
        <v>5</v>
      </c>
      <c r="B315" s="47" t="s">
        <v>236</v>
      </c>
      <c r="C315" s="47"/>
      <c r="D315" s="186"/>
      <c r="E315" s="114">
        <v>9448</v>
      </c>
      <c r="F315" s="52">
        <v>8023</v>
      </c>
      <c r="G315" s="187"/>
      <c r="H315" s="52">
        <v>8206</v>
      </c>
      <c r="I315" s="21"/>
      <c r="J315" s="231"/>
      <c r="K315" s="231"/>
      <c r="L315" s="231"/>
      <c r="M315" s="231"/>
      <c r="N315" s="231"/>
      <c r="O315" s="231"/>
      <c r="P315" s="231"/>
      <c r="Q315" s="231"/>
      <c r="R315" s="231"/>
      <c r="S315" s="231"/>
      <c r="T315" s="231"/>
      <c r="U315" s="231"/>
      <c r="V315" s="231"/>
      <c r="W315" s="231"/>
      <c r="X315" s="231"/>
      <c r="Y315" s="231"/>
      <c r="Z315" s="231"/>
      <c r="AA315" s="231"/>
      <c r="AB315" s="231"/>
      <c r="AC315" s="231"/>
      <c r="AD315" s="231"/>
      <c r="AE315" s="231"/>
      <c r="AF315" s="231"/>
      <c r="AG315" s="231"/>
      <c r="AH315" s="231"/>
      <c r="AI315" s="231"/>
    </row>
    <row r="316" spans="1:35" s="203" customFormat="1">
      <c r="A316" s="120">
        <v>6</v>
      </c>
      <c r="B316" s="47" t="s">
        <v>237</v>
      </c>
      <c r="C316" s="47"/>
      <c r="D316" s="186"/>
      <c r="E316" s="114">
        <v>74751</v>
      </c>
      <c r="F316" s="52">
        <v>65373</v>
      </c>
      <c r="G316" s="43"/>
      <c r="H316" s="52">
        <v>65858</v>
      </c>
      <c r="I316" s="21"/>
      <c r="J316" s="231"/>
      <c r="K316" s="231"/>
      <c r="L316" s="231"/>
      <c r="M316" s="231"/>
      <c r="N316" s="231"/>
      <c r="O316" s="231"/>
      <c r="P316" s="231"/>
      <c r="Q316" s="231"/>
      <c r="R316" s="231"/>
      <c r="S316" s="231"/>
      <c r="T316" s="231"/>
      <c r="U316" s="231"/>
      <c r="V316" s="231"/>
      <c r="W316" s="231"/>
      <c r="X316" s="231"/>
      <c r="Y316" s="231"/>
      <c r="Z316" s="231"/>
      <c r="AA316" s="231"/>
      <c r="AB316" s="231"/>
      <c r="AC316" s="231"/>
      <c r="AD316" s="231"/>
      <c r="AE316" s="231"/>
      <c r="AF316" s="231"/>
      <c r="AG316" s="231"/>
      <c r="AH316" s="231"/>
      <c r="AI316" s="231"/>
    </row>
    <row r="317" spans="1:35" s="203" customFormat="1">
      <c r="A317" s="120">
        <v>7</v>
      </c>
      <c r="B317" s="47" t="s">
        <v>238</v>
      </c>
      <c r="C317" s="47"/>
      <c r="D317" s="186"/>
      <c r="E317" s="114">
        <v>0</v>
      </c>
      <c r="F317" s="52">
        <v>0</v>
      </c>
      <c r="G317" s="43"/>
      <c r="H317" s="52">
        <v>0</v>
      </c>
      <c r="I317" s="21"/>
      <c r="J317" s="231"/>
      <c r="K317" s="231"/>
      <c r="L317" s="231"/>
      <c r="M317" s="231"/>
      <c r="N317" s="231"/>
      <c r="O317" s="231"/>
      <c r="P317" s="231"/>
      <c r="Q317" s="231"/>
      <c r="R317" s="231"/>
      <c r="S317" s="231"/>
      <c r="T317" s="231"/>
      <c r="U317" s="231"/>
      <c r="V317" s="231"/>
      <c r="W317" s="231"/>
      <c r="X317" s="231"/>
      <c r="Y317" s="231"/>
      <c r="Z317" s="231"/>
      <c r="AA317" s="231"/>
      <c r="AB317" s="231"/>
      <c r="AC317" s="231"/>
      <c r="AD317" s="231"/>
      <c r="AE317" s="231"/>
      <c r="AF317" s="231"/>
      <c r="AG317" s="231"/>
      <c r="AH317" s="231"/>
      <c r="AI317" s="231"/>
    </row>
    <row r="318" spans="1:35" s="203" customFormat="1">
      <c r="A318" s="120">
        <v>8</v>
      </c>
      <c r="B318" s="47" t="s">
        <v>239</v>
      </c>
      <c r="C318" s="47"/>
      <c r="D318" s="186"/>
      <c r="E318" s="114">
        <v>200</v>
      </c>
      <c r="F318" s="52">
        <v>234</v>
      </c>
      <c r="G318" s="43"/>
      <c r="H318" s="52">
        <v>250</v>
      </c>
      <c r="I318" s="21"/>
      <c r="J318" s="231"/>
      <c r="K318" s="231"/>
      <c r="L318" s="231"/>
      <c r="M318" s="231"/>
      <c r="N318" s="231"/>
      <c r="O318" s="231"/>
      <c r="P318" s="231"/>
      <c r="Q318" s="231"/>
      <c r="R318" s="231"/>
      <c r="S318" s="231"/>
      <c r="T318" s="231"/>
      <c r="U318" s="231"/>
      <c r="V318" s="231"/>
      <c r="W318" s="231"/>
      <c r="X318" s="231"/>
      <c r="Y318" s="231"/>
      <c r="Z318" s="231"/>
      <c r="AA318" s="231"/>
      <c r="AB318" s="231"/>
      <c r="AC318" s="231"/>
      <c r="AD318" s="231"/>
      <c r="AE318" s="231"/>
      <c r="AF318" s="231"/>
      <c r="AG318" s="231"/>
      <c r="AH318" s="231"/>
      <c r="AI318" s="231"/>
    </row>
    <row r="319" spans="1:35" s="203" customFormat="1">
      <c r="A319" s="809">
        <v>9</v>
      </c>
      <c r="B319" s="90" t="s">
        <v>260</v>
      </c>
      <c r="C319" s="47"/>
      <c r="D319" s="47"/>
      <c r="E319" s="114">
        <v>9228</v>
      </c>
      <c r="F319" s="188"/>
      <c r="G319" s="43"/>
      <c r="H319" s="189">
        <v>3073</v>
      </c>
      <c r="I319" s="21"/>
      <c r="J319" s="231"/>
      <c r="K319" s="231"/>
      <c r="L319" s="231"/>
      <c r="M319" s="231"/>
      <c r="N319" s="231"/>
      <c r="O319" s="231"/>
      <c r="P319" s="231"/>
      <c r="Q319" s="231"/>
      <c r="R319" s="231"/>
      <c r="S319" s="231"/>
      <c r="T319" s="231"/>
      <c r="U319" s="231"/>
      <c r="V319" s="231"/>
      <c r="W319" s="231"/>
      <c r="X319" s="231"/>
      <c r="Y319" s="231"/>
      <c r="Z319" s="231"/>
      <c r="AA319" s="231"/>
      <c r="AB319" s="231"/>
      <c r="AC319" s="231"/>
      <c r="AD319" s="231"/>
      <c r="AE319" s="231"/>
      <c r="AF319" s="231"/>
      <c r="AG319" s="231"/>
      <c r="AH319" s="231"/>
      <c r="AI319" s="231"/>
    </row>
    <row r="320" spans="1:35" s="203" customFormat="1">
      <c r="A320" s="124">
        <v>10</v>
      </c>
      <c r="B320" s="94" t="s">
        <v>62</v>
      </c>
      <c r="C320" s="94"/>
      <c r="D320" s="94"/>
      <c r="E320" s="159">
        <v>132579</v>
      </c>
      <c r="F320" s="61">
        <f>F311+F312+F313+F314+F315+F316+F317+F318</f>
        <v>119674</v>
      </c>
      <c r="G320" s="118"/>
      <c r="H320" s="61">
        <f>H311+H312+H313+H314+H315+H316+H317+H318+H319</f>
        <v>121563</v>
      </c>
      <c r="I320" s="183"/>
      <c r="J320" s="231"/>
      <c r="K320" s="231"/>
      <c r="L320" s="231"/>
      <c r="M320" s="231"/>
      <c r="N320" s="231"/>
      <c r="O320" s="231"/>
      <c r="P320" s="231"/>
      <c r="Q320" s="231"/>
      <c r="R320" s="231"/>
      <c r="S320" s="231"/>
      <c r="T320" s="231"/>
      <c r="U320" s="231"/>
      <c r="V320" s="231"/>
      <c r="W320" s="231"/>
      <c r="X320" s="231"/>
      <c r="Y320" s="231"/>
      <c r="Z320" s="231"/>
      <c r="AA320" s="231"/>
      <c r="AB320" s="231"/>
      <c r="AC320" s="231"/>
      <c r="AD320" s="231"/>
      <c r="AE320" s="231"/>
      <c r="AF320" s="231"/>
      <c r="AG320" s="231"/>
      <c r="AH320" s="231"/>
      <c r="AI320" s="231"/>
    </row>
    <row r="321" spans="1:35" s="203" customFormat="1">
      <c r="A321" s="179"/>
      <c r="B321" s="180"/>
      <c r="C321" s="180"/>
      <c r="D321" s="180"/>
      <c r="E321" s="180"/>
      <c r="F321" s="183"/>
      <c r="G321" s="21"/>
      <c r="H321" s="183"/>
      <c r="I321" s="183"/>
      <c r="J321" s="231"/>
      <c r="K321" s="231"/>
      <c r="L321" s="231"/>
      <c r="M321" s="231"/>
      <c r="N321" s="231"/>
      <c r="O321" s="231"/>
      <c r="P321" s="231"/>
      <c r="Q321" s="231"/>
      <c r="R321" s="231"/>
      <c r="S321" s="231"/>
      <c r="T321" s="231"/>
      <c r="U321" s="231"/>
      <c r="V321" s="231"/>
      <c r="W321" s="231"/>
      <c r="X321" s="231"/>
      <c r="Y321" s="231"/>
      <c r="Z321" s="231"/>
      <c r="AA321" s="231"/>
      <c r="AB321" s="231"/>
      <c r="AC321" s="231"/>
      <c r="AD321" s="231"/>
      <c r="AE321" s="231"/>
      <c r="AF321" s="231"/>
      <c r="AG321" s="231"/>
      <c r="AH321" s="231"/>
      <c r="AI321" s="231"/>
    </row>
    <row r="322" spans="1:35" s="203" customFormat="1">
      <c r="A322" s="148"/>
      <c r="B322" s="207"/>
      <c r="C322" s="207"/>
      <c r="D322" s="29"/>
      <c r="E322" s="29"/>
      <c r="F322" s="29"/>
      <c r="G322" s="29"/>
      <c r="H322" s="31" t="s">
        <v>27</v>
      </c>
      <c r="I322" s="2"/>
      <c r="J322" s="231"/>
      <c r="K322" s="231"/>
      <c r="L322" s="231"/>
      <c r="M322" s="231"/>
      <c r="N322" s="231"/>
      <c r="O322" s="231"/>
      <c r="P322" s="231"/>
      <c r="Q322" s="231"/>
      <c r="R322" s="231"/>
      <c r="S322" s="231"/>
      <c r="T322" s="231"/>
      <c r="U322" s="231"/>
      <c r="V322" s="231"/>
      <c r="W322" s="231"/>
      <c r="X322" s="231"/>
      <c r="Y322" s="231"/>
      <c r="Z322" s="231"/>
      <c r="AA322" s="231"/>
      <c r="AB322" s="231"/>
      <c r="AC322" s="231"/>
      <c r="AD322" s="231"/>
      <c r="AE322" s="231"/>
      <c r="AF322" s="231"/>
      <c r="AG322" s="231"/>
      <c r="AH322" s="231"/>
      <c r="AI322" s="231"/>
    </row>
    <row r="323" spans="1:35" s="203" customFormat="1">
      <c r="A323" s="190" t="s">
        <v>240</v>
      </c>
      <c r="B323" s="263"/>
      <c r="C323" s="861" t="s">
        <v>405</v>
      </c>
      <c r="D323" s="862"/>
      <c r="E323" s="862"/>
      <c r="F323" s="862"/>
      <c r="G323" s="862"/>
      <c r="H323" s="863"/>
      <c r="I323" s="210"/>
      <c r="J323" s="231"/>
      <c r="K323" s="231"/>
      <c r="L323" s="231"/>
      <c r="M323" s="231"/>
      <c r="N323" s="231"/>
      <c r="O323" s="231"/>
      <c r="P323" s="231"/>
      <c r="Q323" s="231"/>
      <c r="R323" s="231"/>
      <c r="S323" s="231"/>
      <c r="T323" s="231"/>
      <c r="U323" s="231"/>
      <c r="V323" s="231"/>
      <c r="W323" s="231"/>
      <c r="X323" s="231"/>
      <c r="Y323" s="231"/>
      <c r="Z323" s="231"/>
      <c r="AA323" s="231"/>
      <c r="AB323" s="231"/>
      <c r="AC323" s="231"/>
      <c r="AD323" s="231"/>
      <c r="AE323" s="231"/>
      <c r="AF323" s="231"/>
      <c r="AG323" s="231"/>
      <c r="AH323" s="231"/>
      <c r="AI323" s="231"/>
    </row>
    <row r="324" spans="1:35" s="203" customFormat="1" ht="39" thickBot="1">
      <c r="A324" s="110" t="s">
        <v>84</v>
      </c>
      <c r="B324" s="116"/>
      <c r="C324" s="35" t="s">
        <v>52</v>
      </c>
      <c r="D324" s="35" t="s">
        <v>53</v>
      </c>
      <c r="E324" s="37" t="s">
        <v>54</v>
      </c>
      <c r="F324" s="37" t="s">
        <v>55</v>
      </c>
      <c r="G324" s="37" t="s">
        <v>241</v>
      </c>
      <c r="H324" s="35" t="s">
        <v>121</v>
      </c>
      <c r="I324" s="29"/>
      <c r="J324" s="231"/>
      <c r="K324" s="231"/>
      <c r="L324" s="231"/>
      <c r="M324" s="231"/>
      <c r="N324" s="231"/>
      <c r="O324" s="231"/>
      <c r="P324" s="231"/>
      <c r="Q324" s="231"/>
      <c r="R324" s="231"/>
      <c r="S324" s="231"/>
      <c r="T324" s="231"/>
      <c r="U324" s="231"/>
      <c r="V324" s="231"/>
      <c r="W324" s="231"/>
      <c r="X324" s="231"/>
      <c r="Y324" s="231"/>
      <c r="Z324" s="231"/>
      <c r="AA324" s="231"/>
      <c r="AB324" s="231"/>
      <c r="AC324" s="231"/>
      <c r="AD324" s="231"/>
      <c r="AE324" s="231"/>
      <c r="AF324" s="231"/>
      <c r="AG324" s="231"/>
      <c r="AH324" s="231"/>
      <c r="AI324" s="231"/>
    </row>
    <row r="325" spans="1:35" s="203" customFormat="1" ht="13.5" thickBot="1">
      <c r="A325" s="809">
        <v>1</v>
      </c>
      <c r="B325" s="116" t="s">
        <v>242</v>
      </c>
      <c r="C325" s="193">
        <f t="shared" ref="C325:H325" si="0">SUM(C326:C329)</f>
        <v>44480</v>
      </c>
      <c r="D325" s="193">
        <f t="shared" si="0"/>
        <v>1096</v>
      </c>
      <c r="E325" s="193">
        <v>0</v>
      </c>
      <c r="F325" s="193">
        <f t="shared" si="0"/>
        <v>0</v>
      </c>
      <c r="G325" s="193">
        <f>SUM(G326:G329)</f>
        <v>0</v>
      </c>
      <c r="H325" s="193">
        <f t="shared" si="0"/>
        <v>0</v>
      </c>
      <c r="I325" s="207"/>
      <c r="J325" s="231"/>
      <c r="K325" s="231"/>
      <c r="L325" s="231"/>
      <c r="M325" s="231"/>
      <c r="N325" s="231"/>
      <c r="O325" s="231"/>
      <c r="P325" s="231"/>
      <c r="Q325" s="231"/>
      <c r="R325" s="231"/>
      <c r="S325" s="231"/>
      <c r="T325" s="231"/>
      <c r="U325" s="231"/>
      <c r="V325" s="231"/>
      <c r="W325" s="231"/>
      <c r="X325" s="231"/>
      <c r="Y325" s="231"/>
      <c r="Z325" s="231"/>
      <c r="AA325" s="231"/>
      <c r="AB325" s="231"/>
      <c r="AC325" s="231"/>
      <c r="AD325" s="231"/>
      <c r="AE325" s="231"/>
      <c r="AF325" s="231"/>
      <c r="AG325" s="231"/>
      <c r="AH325" s="231"/>
      <c r="AI325" s="231"/>
    </row>
    <row r="326" spans="1:35" s="203" customFormat="1">
      <c r="A326" s="809">
        <v>2</v>
      </c>
      <c r="B326" s="47" t="s">
        <v>243</v>
      </c>
      <c r="C326" s="169">
        <v>15158</v>
      </c>
      <c r="D326" s="169">
        <v>469</v>
      </c>
      <c r="E326" s="169"/>
      <c r="F326" s="169"/>
      <c r="G326" s="169"/>
      <c r="H326" s="169"/>
      <c r="I326" s="207"/>
      <c r="J326" s="231"/>
      <c r="K326" s="231"/>
      <c r="L326" s="231"/>
      <c r="M326" s="231"/>
      <c r="N326" s="231"/>
      <c r="O326" s="231"/>
      <c r="P326" s="231"/>
      <c r="Q326" s="231"/>
      <c r="R326" s="231"/>
      <c r="S326" s="231"/>
      <c r="T326" s="231"/>
      <c r="U326" s="231"/>
      <c r="V326" s="231"/>
      <c r="W326" s="231"/>
      <c r="X326" s="231"/>
      <c r="Y326" s="231"/>
      <c r="Z326" s="231"/>
      <c r="AA326" s="231"/>
      <c r="AB326" s="231"/>
      <c r="AC326" s="231"/>
      <c r="AD326" s="231"/>
      <c r="AE326" s="231"/>
      <c r="AF326" s="231"/>
      <c r="AG326" s="231"/>
      <c r="AH326" s="231"/>
      <c r="AI326" s="231"/>
    </row>
    <row r="327" spans="1:35" s="203" customFormat="1">
      <c r="A327" s="809">
        <v>3</v>
      </c>
      <c r="B327" s="47" t="s">
        <v>244</v>
      </c>
      <c r="C327" s="99">
        <v>18219</v>
      </c>
      <c r="D327" s="99">
        <v>383</v>
      </c>
      <c r="E327" s="99"/>
      <c r="F327" s="99"/>
      <c r="G327" s="99"/>
      <c r="H327" s="99"/>
      <c r="I327" s="207"/>
      <c r="J327" s="231"/>
      <c r="K327" s="231"/>
      <c r="L327" s="231"/>
      <c r="M327" s="231"/>
      <c r="N327" s="231"/>
      <c r="O327" s="231"/>
      <c r="P327" s="231"/>
      <c r="Q327" s="231"/>
      <c r="R327" s="231"/>
      <c r="S327" s="231"/>
      <c r="T327" s="231"/>
      <c r="U327" s="231"/>
      <c r="V327" s="231"/>
      <c r="W327" s="231"/>
      <c r="X327" s="231"/>
      <c r="Y327" s="231"/>
      <c r="Z327" s="231"/>
      <c r="AA327" s="231"/>
      <c r="AB327" s="231"/>
      <c r="AC327" s="231"/>
      <c r="AD327" s="231"/>
      <c r="AE327" s="231"/>
      <c r="AF327" s="231"/>
      <c r="AG327" s="231"/>
      <c r="AH327" s="231"/>
      <c r="AI327" s="231"/>
    </row>
    <row r="328" spans="1:35" s="203" customFormat="1">
      <c r="A328" s="809">
        <v>4</v>
      </c>
      <c r="B328" s="47" t="s">
        <v>245</v>
      </c>
      <c r="C328" s="99">
        <v>7886</v>
      </c>
      <c r="D328" s="99">
        <v>137</v>
      </c>
      <c r="E328" s="99"/>
      <c r="F328" s="99"/>
      <c r="G328" s="99"/>
      <c r="H328" s="99"/>
      <c r="I328" s="207"/>
      <c r="J328" s="231"/>
      <c r="K328" s="231"/>
      <c r="L328" s="231"/>
      <c r="M328" s="231"/>
      <c r="N328" s="231"/>
      <c r="O328" s="231"/>
      <c r="P328" s="231"/>
      <c r="Q328" s="231"/>
      <c r="R328" s="231"/>
      <c r="S328" s="231"/>
      <c r="T328" s="231"/>
      <c r="U328" s="231"/>
      <c r="V328" s="231"/>
      <c r="W328" s="231"/>
      <c r="X328" s="231"/>
      <c r="Y328" s="231"/>
      <c r="Z328" s="231"/>
      <c r="AA328" s="231"/>
      <c r="AB328" s="231"/>
      <c r="AC328" s="231"/>
      <c r="AD328" s="231"/>
      <c r="AE328" s="231"/>
      <c r="AF328" s="231"/>
      <c r="AG328" s="231"/>
      <c r="AH328" s="231"/>
      <c r="AI328" s="231"/>
    </row>
    <row r="329" spans="1:35" s="203" customFormat="1">
      <c r="A329" s="810">
        <v>5</v>
      </c>
      <c r="B329" s="54" t="s">
        <v>246</v>
      </c>
      <c r="C329" s="100">
        <v>3217</v>
      </c>
      <c r="D329" s="100">
        <v>107</v>
      </c>
      <c r="E329" s="100"/>
      <c r="F329" s="100"/>
      <c r="G329" s="100"/>
      <c r="H329" s="100"/>
      <c r="I329" s="207"/>
      <c r="J329" s="231"/>
      <c r="K329" s="231"/>
      <c r="L329" s="231"/>
      <c r="M329" s="231"/>
      <c r="N329" s="231"/>
      <c r="O329" s="231"/>
      <c r="P329" s="231"/>
      <c r="Q329" s="231"/>
      <c r="R329" s="231"/>
      <c r="S329" s="231"/>
      <c r="T329" s="231"/>
      <c r="U329" s="231"/>
      <c r="V329" s="231"/>
      <c r="W329" s="231"/>
      <c r="X329" s="231"/>
      <c r="Y329" s="231"/>
      <c r="Z329" s="231"/>
      <c r="AA329" s="231"/>
      <c r="AB329" s="231"/>
      <c r="AC329" s="231"/>
      <c r="AD329" s="231"/>
      <c r="AE329" s="231"/>
      <c r="AF329" s="231"/>
      <c r="AG329" s="231"/>
      <c r="AH329" s="231"/>
      <c r="AI329" s="231"/>
    </row>
    <row r="330" spans="1:35" s="203" customFormat="1">
      <c r="A330" s="809"/>
      <c r="B330" s="47"/>
      <c r="C330" s="864" t="s">
        <v>404</v>
      </c>
      <c r="D330" s="865"/>
      <c r="E330" s="865"/>
      <c r="F330" s="865"/>
      <c r="G330" s="865"/>
      <c r="H330" s="866"/>
      <c r="I330" s="207"/>
      <c r="J330" s="231"/>
      <c r="K330" s="231"/>
      <c r="L330" s="231"/>
      <c r="M330" s="231"/>
      <c r="N330" s="231"/>
      <c r="O330" s="231"/>
      <c r="P330" s="231"/>
      <c r="Q330" s="231"/>
      <c r="R330" s="231"/>
      <c r="S330" s="231"/>
      <c r="T330" s="231"/>
      <c r="U330" s="231"/>
      <c r="V330" s="231"/>
      <c r="W330" s="231"/>
      <c r="X330" s="231"/>
      <c r="Y330" s="231"/>
      <c r="Z330" s="231"/>
      <c r="AA330" s="231"/>
      <c r="AB330" s="231"/>
      <c r="AC330" s="231"/>
      <c r="AD330" s="231"/>
      <c r="AE330" s="231"/>
      <c r="AF330" s="231"/>
      <c r="AG330" s="231"/>
      <c r="AH330" s="231"/>
      <c r="AI330" s="231"/>
    </row>
    <row r="331" spans="1:35" s="203" customFormat="1" ht="39" thickBot="1">
      <c r="A331" s="110" t="s">
        <v>84</v>
      </c>
      <c r="B331" s="116"/>
      <c r="C331" s="35" t="s">
        <v>52</v>
      </c>
      <c r="D331" s="35" t="s">
        <v>53</v>
      </c>
      <c r="E331" s="37" t="s">
        <v>54</v>
      </c>
      <c r="F331" s="37" t="s">
        <v>55</v>
      </c>
      <c r="G331" s="37" t="s">
        <v>241</v>
      </c>
      <c r="H331" s="35" t="s">
        <v>121</v>
      </c>
      <c r="I331" s="207"/>
      <c r="J331" s="231"/>
      <c r="K331" s="231"/>
      <c r="L331" s="231"/>
      <c r="M331" s="231"/>
      <c r="N331" s="231"/>
      <c r="O331" s="231"/>
      <c r="P331" s="231"/>
      <c r="Q331" s="231"/>
      <c r="R331" s="231"/>
      <c r="S331" s="231"/>
      <c r="T331" s="231"/>
      <c r="U331" s="231"/>
      <c r="V331" s="231"/>
      <c r="W331" s="231"/>
      <c r="X331" s="231"/>
      <c r="Y331" s="231"/>
      <c r="Z331" s="231"/>
      <c r="AA331" s="231"/>
      <c r="AB331" s="231"/>
      <c r="AC331" s="231"/>
      <c r="AD331" s="231"/>
      <c r="AE331" s="231"/>
      <c r="AF331" s="231"/>
      <c r="AG331" s="231"/>
      <c r="AH331" s="231"/>
      <c r="AI331" s="231"/>
    </row>
    <row r="332" spans="1:35" s="203" customFormat="1" ht="13.5" thickBot="1">
      <c r="A332" s="809">
        <v>1</v>
      </c>
      <c r="B332" s="116" t="s">
        <v>242</v>
      </c>
      <c r="C332" s="193">
        <f t="shared" ref="C332:H332" si="1">SUM(C333:C336)</f>
        <v>45109</v>
      </c>
      <c r="D332" s="193">
        <f t="shared" si="1"/>
        <v>1108</v>
      </c>
      <c r="E332" s="193">
        <v>0</v>
      </c>
      <c r="F332" s="193">
        <f t="shared" si="1"/>
        <v>0</v>
      </c>
      <c r="G332" s="193">
        <f>SUM(G333:G336)</f>
        <v>0</v>
      </c>
      <c r="H332" s="193">
        <f t="shared" si="1"/>
        <v>0</v>
      </c>
      <c r="I332" s="207"/>
      <c r="J332" s="231"/>
      <c r="K332" s="231"/>
      <c r="L332" s="231"/>
      <c r="M332" s="231"/>
      <c r="N332" s="231"/>
      <c r="O332" s="231"/>
      <c r="P332" s="231"/>
      <c r="Q332" s="231"/>
      <c r="R332" s="231"/>
      <c r="S332" s="231"/>
      <c r="T332" s="231"/>
      <c r="U332" s="231"/>
      <c r="V332" s="231"/>
      <c r="W332" s="231"/>
      <c r="X332" s="231"/>
      <c r="Y332" s="231"/>
      <c r="Z332" s="231"/>
      <c r="AA332" s="231"/>
      <c r="AB332" s="231"/>
      <c r="AC332" s="231"/>
      <c r="AD332" s="231"/>
      <c r="AE332" s="231"/>
      <c r="AF332" s="231"/>
      <c r="AG332" s="231"/>
      <c r="AH332" s="231"/>
      <c r="AI332" s="231"/>
    </row>
    <row r="333" spans="1:35" s="203" customFormat="1">
      <c r="A333" s="809">
        <v>2</v>
      </c>
      <c r="B333" s="47" t="s">
        <v>243</v>
      </c>
      <c r="C333" s="169">
        <v>15586</v>
      </c>
      <c r="D333" s="169">
        <v>481</v>
      </c>
      <c r="E333" s="169"/>
      <c r="F333" s="169"/>
      <c r="G333" s="169"/>
      <c r="H333" s="169"/>
      <c r="I333" s="207"/>
      <c r="J333" s="231"/>
      <c r="K333" s="231"/>
      <c r="L333" s="231"/>
      <c r="M333" s="231"/>
      <c r="N333" s="231"/>
      <c r="O333" s="231"/>
      <c r="P333" s="231"/>
      <c r="Q333" s="231"/>
      <c r="R333" s="231"/>
      <c r="S333" s="231"/>
      <c r="T333" s="231"/>
      <c r="U333" s="231"/>
      <c r="V333" s="231"/>
      <c r="W333" s="231"/>
      <c r="X333" s="231"/>
      <c r="Y333" s="231"/>
      <c r="Z333" s="231"/>
      <c r="AA333" s="231"/>
      <c r="AB333" s="231"/>
      <c r="AC333" s="231"/>
      <c r="AD333" s="231"/>
      <c r="AE333" s="231"/>
      <c r="AF333" s="231"/>
      <c r="AG333" s="231"/>
      <c r="AH333" s="231"/>
      <c r="AI333" s="231"/>
    </row>
    <row r="334" spans="1:35" s="203" customFormat="1">
      <c r="A334" s="809">
        <v>3</v>
      </c>
      <c r="B334" s="47" t="s">
        <v>244</v>
      </c>
      <c r="C334" s="99">
        <v>17943</v>
      </c>
      <c r="D334" s="99">
        <v>371</v>
      </c>
      <c r="E334" s="99"/>
      <c r="F334" s="99"/>
      <c r="G334" s="99"/>
      <c r="H334" s="99"/>
      <c r="I334" s="207"/>
      <c r="J334" s="231"/>
      <c r="K334" s="231"/>
      <c r="L334" s="231"/>
      <c r="M334" s="231"/>
      <c r="N334" s="231"/>
      <c r="O334" s="231"/>
      <c r="P334" s="231"/>
      <c r="Q334" s="231"/>
      <c r="R334" s="231"/>
      <c r="S334" s="231"/>
      <c r="T334" s="231"/>
      <c r="U334" s="231"/>
      <c r="V334" s="231"/>
      <c r="W334" s="231"/>
      <c r="X334" s="231"/>
      <c r="Y334" s="231"/>
      <c r="Z334" s="231"/>
      <c r="AA334" s="231"/>
      <c r="AB334" s="231"/>
      <c r="AC334" s="231"/>
      <c r="AD334" s="231"/>
      <c r="AE334" s="231"/>
      <c r="AF334" s="231"/>
      <c r="AG334" s="231"/>
      <c r="AH334" s="231"/>
      <c r="AI334" s="231"/>
    </row>
    <row r="335" spans="1:35" s="203" customFormat="1">
      <c r="A335" s="809">
        <v>4</v>
      </c>
      <c r="B335" s="47" t="s">
        <v>245</v>
      </c>
      <c r="C335" s="99">
        <v>8081</v>
      </c>
      <c r="D335" s="99">
        <v>125</v>
      </c>
      <c r="E335" s="99"/>
      <c r="F335" s="99"/>
      <c r="G335" s="99"/>
      <c r="H335" s="99"/>
      <c r="I335" s="207"/>
      <c r="J335" s="231"/>
      <c r="K335" s="231"/>
      <c r="L335" s="231"/>
      <c r="M335" s="231"/>
      <c r="N335" s="231"/>
      <c r="O335" s="231"/>
      <c r="P335" s="231"/>
      <c r="Q335" s="231"/>
      <c r="R335" s="231"/>
      <c r="S335" s="231"/>
      <c r="T335" s="231"/>
      <c r="U335" s="231"/>
      <c r="V335" s="231"/>
      <c r="W335" s="231"/>
      <c r="X335" s="231"/>
      <c r="Y335" s="231"/>
      <c r="Z335" s="231"/>
      <c r="AA335" s="231"/>
      <c r="AB335" s="231"/>
      <c r="AC335" s="231"/>
      <c r="AD335" s="231"/>
      <c r="AE335" s="231"/>
      <c r="AF335" s="231"/>
      <c r="AG335" s="231"/>
      <c r="AH335" s="231"/>
      <c r="AI335" s="231"/>
    </row>
    <row r="336" spans="1:35" s="203" customFormat="1">
      <c r="A336" s="810">
        <v>5</v>
      </c>
      <c r="B336" s="54" t="s">
        <v>246</v>
      </c>
      <c r="C336" s="100">
        <v>3499</v>
      </c>
      <c r="D336" s="100">
        <v>131</v>
      </c>
      <c r="E336" s="100"/>
      <c r="F336" s="100"/>
      <c r="G336" s="100"/>
      <c r="H336" s="100"/>
      <c r="I336" s="207"/>
      <c r="J336" s="231"/>
      <c r="K336" s="231"/>
      <c r="L336" s="231"/>
      <c r="M336" s="231"/>
      <c r="N336" s="231"/>
      <c r="O336" s="231"/>
      <c r="P336" s="231"/>
      <c r="Q336" s="231"/>
      <c r="R336" s="231"/>
      <c r="S336" s="231"/>
      <c r="T336" s="231"/>
      <c r="U336" s="231"/>
      <c r="V336" s="231"/>
      <c r="W336" s="231"/>
      <c r="X336" s="231"/>
      <c r="Y336" s="231"/>
      <c r="Z336" s="231"/>
      <c r="AA336" s="231"/>
      <c r="AB336" s="231"/>
      <c r="AC336" s="231"/>
      <c r="AD336" s="231"/>
      <c r="AE336" s="231"/>
      <c r="AF336" s="231"/>
      <c r="AG336" s="231"/>
      <c r="AH336" s="231"/>
      <c r="AI336" s="231"/>
    </row>
    <row r="337" spans="1:35" s="203" customFormat="1">
      <c r="A337" s="23"/>
      <c r="B337" s="207"/>
      <c r="C337" s="207"/>
      <c r="D337" s="207"/>
      <c r="E337" s="207"/>
      <c r="F337" s="207"/>
      <c r="G337" s="207"/>
      <c r="H337" s="21"/>
      <c r="I337" s="21"/>
      <c r="J337" s="231"/>
      <c r="K337" s="231"/>
      <c r="L337" s="231"/>
      <c r="M337" s="231"/>
      <c r="N337" s="231"/>
      <c r="O337" s="231"/>
      <c r="P337" s="231"/>
      <c r="Q337" s="231"/>
      <c r="R337" s="231"/>
      <c r="S337" s="231"/>
      <c r="T337" s="231"/>
      <c r="U337" s="231"/>
      <c r="V337" s="231"/>
      <c r="W337" s="231"/>
      <c r="X337" s="231"/>
      <c r="Y337" s="231"/>
      <c r="Z337" s="231"/>
      <c r="AA337" s="231"/>
      <c r="AB337" s="231"/>
      <c r="AC337" s="231"/>
      <c r="AD337" s="231"/>
      <c r="AE337" s="231"/>
      <c r="AF337" s="231"/>
      <c r="AG337" s="231"/>
      <c r="AH337" s="231"/>
      <c r="AI337" s="231"/>
    </row>
    <row r="338" spans="1:35" s="203" customFormat="1" ht="12.75" customHeight="1">
      <c r="A338" s="23"/>
      <c r="B338" s="207"/>
      <c r="C338" s="207"/>
      <c r="D338" s="207"/>
      <c r="E338" s="207"/>
      <c r="F338" s="207"/>
      <c r="G338" s="207"/>
      <c r="H338" s="21"/>
      <c r="I338" s="21"/>
      <c r="J338" s="231"/>
      <c r="K338" s="231"/>
      <c r="L338" s="231"/>
      <c r="M338" s="231"/>
      <c r="N338" s="231"/>
      <c r="O338" s="231"/>
      <c r="P338" s="231"/>
      <c r="Q338" s="231"/>
      <c r="R338" s="231"/>
      <c r="S338" s="231"/>
      <c r="T338" s="231"/>
      <c r="U338" s="231"/>
      <c r="V338" s="231"/>
      <c r="W338" s="231"/>
      <c r="X338" s="231"/>
      <c r="Y338" s="231"/>
      <c r="Z338" s="231"/>
      <c r="AA338" s="231"/>
      <c r="AB338" s="231"/>
      <c r="AC338" s="231"/>
      <c r="AD338" s="231"/>
      <c r="AE338" s="231"/>
      <c r="AF338" s="231"/>
      <c r="AG338" s="231"/>
      <c r="AH338" s="231"/>
      <c r="AI338" s="231"/>
    </row>
    <row r="339" spans="1:35" s="203" customFormat="1">
      <c r="A339" s="23"/>
      <c r="B339" s="207"/>
      <c r="C339" s="207"/>
      <c r="D339" s="207"/>
      <c r="E339" s="207"/>
      <c r="F339" s="207"/>
      <c r="G339" s="207"/>
      <c r="H339" s="21"/>
      <c r="I339" s="21"/>
      <c r="J339" s="231"/>
      <c r="K339" s="231"/>
      <c r="L339" s="231"/>
      <c r="M339" s="231"/>
      <c r="N339" s="231"/>
      <c r="O339" s="231"/>
      <c r="P339" s="231"/>
      <c r="Q339" s="231"/>
      <c r="R339" s="231"/>
      <c r="S339" s="231"/>
      <c r="T339" s="231"/>
      <c r="U339" s="231"/>
      <c r="V339" s="231"/>
      <c r="W339" s="231"/>
      <c r="X339" s="231"/>
      <c r="Y339" s="231"/>
      <c r="Z339" s="231"/>
      <c r="AA339" s="231"/>
      <c r="AB339" s="231"/>
      <c r="AC339" s="231"/>
      <c r="AD339" s="231"/>
      <c r="AE339" s="231"/>
      <c r="AF339" s="231"/>
      <c r="AG339" s="231"/>
      <c r="AH339" s="231"/>
      <c r="AI339" s="231"/>
    </row>
    <row r="340" spans="1:35" s="203" customFormat="1">
      <c r="A340" s="23"/>
      <c r="B340" s="207"/>
      <c r="C340" s="207"/>
      <c r="D340" s="207"/>
      <c r="E340" s="207"/>
      <c r="F340" s="207"/>
      <c r="G340" s="207"/>
      <c r="H340" s="131" t="s">
        <v>27</v>
      </c>
      <c r="I340" s="21"/>
      <c r="J340" s="231"/>
      <c r="K340" s="231"/>
      <c r="L340" s="231"/>
      <c r="M340" s="231"/>
      <c r="N340" s="231"/>
      <c r="O340" s="231"/>
      <c r="P340" s="231"/>
      <c r="Q340" s="231"/>
      <c r="R340" s="231"/>
      <c r="S340" s="231"/>
      <c r="T340" s="231"/>
      <c r="U340" s="231"/>
      <c r="V340" s="231"/>
      <c r="W340" s="231"/>
      <c r="X340" s="231"/>
      <c r="Y340" s="231"/>
      <c r="Z340" s="231"/>
      <c r="AA340" s="231"/>
      <c r="AB340" s="231"/>
      <c r="AC340" s="231"/>
      <c r="AD340" s="231"/>
      <c r="AE340" s="231"/>
      <c r="AF340" s="231"/>
      <c r="AG340" s="231"/>
      <c r="AH340" s="231"/>
      <c r="AI340" s="231"/>
    </row>
    <row r="341" spans="1:35" s="203" customFormat="1">
      <c r="A341" s="197"/>
      <c r="B341" s="69"/>
      <c r="C341" s="69"/>
      <c r="D341" s="69"/>
      <c r="E341" s="856" t="s">
        <v>377</v>
      </c>
      <c r="F341" s="853" t="s">
        <v>402</v>
      </c>
      <c r="G341" s="207"/>
      <c r="H341" s="856" t="s">
        <v>403</v>
      </c>
      <c r="I341" s="21"/>
      <c r="J341" s="231"/>
      <c r="K341" s="231"/>
      <c r="L341" s="231"/>
      <c r="M341" s="231"/>
      <c r="N341" s="231"/>
      <c r="O341" s="231"/>
      <c r="P341" s="231"/>
      <c r="Q341" s="231"/>
      <c r="R341" s="231"/>
      <c r="S341" s="231"/>
      <c r="T341" s="231"/>
      <c r="U341" s="231"/>
      <c r="V341" s="231"/>
      <c r="W341" s="231"/>
      <c r="X341" s="231"/>
      <c r="Y341" s="231"/>
      <c r="Z341" s="231"/>
      <c r="AA341" s="231"/>
      <c r="AB341" s="231"/>
      <c r="AC341" s="231"/>
      <c r="AD341" s="231"/>
      <c r="AE341" s="231"/>
      <c r="AF341" s="231"/>
      <c r="AG341" s="231"/>
      <c r="AH341" s="231"/>
      <c r="AI341" s="231"/>
    </row>
    <row r="342" spans="1:35" s="203" customFormat="1">
      <c r="A342" s="144" t="s">
        <v>261</v>
      </c>
      <c r="B342" s="116"/>
      <c r="C342" s="116"/>
      <c r="D342" s="116"/>
      <c r="E342" s="859"/>
      <c r="F342" s="854"/>
      <c r="G342" s="207"/>
      <c r="H342" s="857"/>
      <c r="I342" s="21"/>
      <c r="J342" s="231"/>
      <c r="K342" s="231"/>
      <c r="L342" s="231"/>
      <c r="M342" s="231"/>
      <c r="N342" s="231"/>
      <c r="O342" s="231"/>
      <c r="P342" s="231"/>
      <c r="Q342" s="231"/>
      <c r="R342" s="231"/>
      <c r="S342" s="231"/>
      <c r="T342" s="231"/>
      <c r="U342" s="231"/>
      <c r="V342" s="231"/>
      <c r="W342" s="231"/>
      <c r="X342" s="231"/>
      <c r="Y342" s="231"/>
      <c r="Z342" s="231"/>
      <c r="AA342" s="231"/>
      <c r="AB342" s="231"/>
      <c r="AC342" s="231"/>
      <c r="AD342" s="231"/>
      <c r="AE342" s="231"/>
      <c r="AF342" s="231"/>
      <c r="AG342" s="231"/>
      <c r="AH342" s="231"/>
      <c r="AI342" s="231"/>
    </row>
    <row r="343" spans="1:35" s="203" customFormat="1">
      <c r="A343" s="119"/>
      <c r="B343" s="116"/>
      <c r="C343" s="116"/>
      <c r="D343" s="116"/>
      <c r="E343" s="859"/>
      <c r="F343" s="854"/>
      <c r="G343" s="207"/>
      <c r="H343" s="857"/>
      <c r="I343" s="21"/>
      <c r="J343" s="231"/>
      <c r="K343" s="231"/>
      <c r="L343" s="231"/>
      <c r="M343" s="231"/>
      <c r="N343" s="231"/>
      <c r="O343" s="231"/>
      <c r="P343" s="231"/>
      <c r="Q343" s="231"/>
      <c r="R343" s="231"/>
      <c r="S343" s="231"/>
      <c r="T343" s="231"/>
      <c r="U343" s="231"/>
      <c r="V343" s="231"/>
      <c r="W343" s="231"/>
      <c r="X343" s="231"/>
      <c r="Y343" s="231"/>
      <c r="Z343" s="231"/>
      <c r="AA343" s="231"/>
      <c r="AB343" s="231"/>
      <c r="AC343" s="231"/>
      <c r="AD343" s="231"/>
      <c r="AE343" s="231"/>
      <c r="AF343" s="231"/>
      <c r="AG343" s="231"/>
      <c r="AH343" s="231"/>
      <c r="AI343" s="231"/>
    </row>
    <row r="344" spans="1:35" s="203" customFormat="1">
      <c r="A344" s="198" t="s">
        <v>262</v>
      </c>
      <c r="B344" s="116"/>
      <c r="C344" s="116"/>
      <c r="D344" s="116"/>
      <c r="E344" s="859"/>
      <c r="F344" s="854"/>
      <c r="G344" s="207"/>
      <c r="H344" s="857"/>
      <c r="I344" s="21"/>
      <c r="J344" s="231"/>
      <c r="K344" s="231"/>
      <c r="L344" s="231"/>
      <c r="M344" s="231"/>
      <c r="N344" s="231"/>
      <c r="O344" s="231"/>
      <c r="P344" s="231"/>
      <c r="Q344" s="231"/>
      <c r="R344" s="231"/>
      <c r="S344" s="231"/>
      <c r="T344" s="231"/>
      <c r="U344" s="231"/>
      <c r="V344" s="231"/>
      <c r="W344" s="231"/>
      <c r="X344" s="231"/>
      <c r="Y344" s="231"/>
      <c r="Z344" s="231"/>
      <c r="AA344" s="231"/>
      <c r="AB344" s="231"/>
      <c r="AC344" s="231"/>
      <c r="AD344" s="231"/>
      <c r="AE344" s="231"/>
      <c r="AF344" s="231"/>
      <c r="AG344" s="231"/>
      <c r="AH344" s="231"/>
      <c r="AI344" s="231"/>
    </row>
    <row r="345" spans="1:35" s="203" customFormat="1">
      <c r="A345" s="198" t="s">
        <v>330</v>
      </c>
      <c r="B345" s="116"/>
      <c r="C345" s="116"/>
      <c r="D345" s="116"/>
      <c r="E345" s="860"/>
      <c r="F345" s="855"/>
      <c r="G345" s="207"/>
      <c r="H345" s="858"/>
      <c r="I345" s="21"/>
      <c r="J345" s="231"/>
      <c r="K345" s="231"/>
      <c r="L345" s="231"/>
      <c r="M345" s="231"/>
      <c r="N345" s="231"/>
      <c r="O345" s="231"/>
      <c r="P345" s="231"/>
      <c r="Q345" s="231"/>
      <c r="R345" s="231"/>
      <c r="S345" s="231"/>
      <c r="T345" s="231"/>
      <c r="U345" s="231"/>
      <c r="V345" s="231"/>
      <c r="W345" s="231"/>
      <c r="X345" s="231"/>
      <c r="Y345" s="231"/>
      <c r="Z345" s="231"/>
      <c r="AA345" s="231"/>
      <c r="AB345" s="231"/>
      <c r="AC345" s="231"/>
      <c r="AD345" s="231"/>
      <c r="AE345" s="231"/>
      <c r="AF345" s="231"/>
      <c r="AG345" s="231"/>
      <c r="AH345" s="231"/>
      <c r="AI345" s="231"/>
    </row>
    <row r="346" spans="1:35" s="203" customFormat="1">
      <c r="A346" s="119"/>
      <c r="B346" s="47"/>
      <c r="C346" s="116"/>
      <c r="D346" s="116"/>
      <c r="E346" s="178"/>
      <c r="F346" s="146"/>
      <c r="G346" s="23"/>
      <c r="H346" s="264"/>
      <c r="I346" s="21"/>
      <c r="J346" s="231"/>
      <c r="K346" s="231"/>
      <c r="L346" s="231"/>
      <c r="M346" s="231"/>
      <c r="N346" s="231"/>
      <c r="O346" s="231"/>
      <c r="P346" s="231"/>
      <c r="Q346" s="231"/>
      <c r="R346" s="231"/>
      <c r="S346" s="231"/>
      <c r="T346" s="231"/>
      <c r="U346" s="231"/>
      <c r="V346" s="231"/>
      <c r="W346" s="231"/>
      <c r="X346" s="231"/>
      <c r="Y346" s="231"/>
      <c r="Z346" s="231"/>
      <c r="AA346" s="231"/>
      <c r="AB346" s="231"/>
      <c r="AC346" s="231"/>
      <c r="AD346" s="231"/>
      <c r="AE346" s="231"/>
      <c r="AF346" s="231"/>
      <c r="AG346" s="231"/>
      <c r="AH346" s="231"/>
      <c r="AI346" s="231"/>
    </row>
    <row r="347" spans="1:35" s="203" customFormat="1">
      <c r="A347" s="809">
        <v>1</v>
      </c>
      <c r="B347" s="47" t="s">
        <v>263</v>
      </c>
      <c r="C347" s="116"/>
      <c r="D347" s="116"/>
      <c r="E347" s="354">
        <v>26672</v>
      </c>
      <c r="F347" s="265">
        <v>26672</v>
      </c>
      <c r="G347" s="43"/>
      <c r="H347" s="126">
        <v>26319</v>
      </c>
      <c r="I347" s="86"/>
      <c r="J347" s="231"/>
      <c r="K347" s="231"/>
      <c r="L347" s="231"/>
      <c r="M347" s="231"/>
      <c r="N347" s="231"/>
      <c r="O347" s="231"/>
      <c r="P347" s="231"/>
      <c r="Q347" s="231"/>
      <c r="R347" s="231"/>
      <c r="S347" s="231"/>
      <c r="T347" s="231"/>
      <c r="U347" s="231"/>
      <c r="V347" s="231"/>
      <c r="W347" s="231"/>
      <c r="X347" s="231"/>
      <c r="Y347" s="231"/>
      <c r="Z347" s="231"/>
      <c r="AA347" s="231"/>
      <c r="AB347" s="231"/>
      <c r="AC347" s="231"/>
      <c r="AD347" s="231"/>
      <c r="AE347" s="231"/>
      <c r="AF347" s="231"/>
      <c r="AG347" s="231"/>
      <c r="AH347" s="231"/>
      <c r="AI347" s="231"/>
    </row>
    <row r="348" spans="1:35" s="203" customFormat="1">
      <c r="A348" s="809"/>
      <c r="B348" s="47"/>
      <c r="C348" s="116"/>
      <c r="D348" s="116"/>
      <c r="E348" s="355"/>
      <c r="F348" s="188"/>
      <c r="G348" s="43"/>
      <c r="H348" s="188"/>
      <c r="I348" s="86"/>
      <c r="J348" s="231"/>
      <c r="K348" s="231"/>
      <c r="L348" s="231"/>
      <c r="M348" s="231"/>
      <c r="N348" s="231"/>
      <c r="O348" s="231"/>
      <c r="P348" s="231"/>
      <c r="Q348" s="231"/>
      <c r="R348" s="231"/>
      <c r="S348" s="231"/>
      <c r="T348" s="231"/>
      <c r="U348" s="231"/>
      <c r="V348" s="231"/>
      <c r="W348" s="231"/>
      <c r="X348" s="231"/>
      <c r="Y348" s="231"/>
      <c r="Z348" s="231"/>
      <c r="AA348" s="231"/>
      <c r="AB348" s="231"/>
      <c r="AC348" s="231"/>
      <c r="AD348" s="231"/>
      <c r="AE348" s="231"/>
      <c r="AF348" s="231"/>
      <c r="AG348" s="231"/>
      <c r="AH348" s="231"/>
      <c r="AI348" s="231"/>
    </row>
    <row r="349" spans="1:35" s="203" customFormat="1">
      <c r="A349" s="108" t="s">
        <v>378</v>
      </c>
      <c r="B349" s="47"/>
      <c r="C349" s="116"/>
      <c r="D349" s="116"/>
      <c r="E349" s="355"/>
      <c r="F349" s="188"/>
      <c r="G349" s="43"/>
      <c r="H349" s="188"/>
      <c r="I349" s="86"/>
      <c r="J349" s="231"/>
      <c r="K349" s="231"/>
      <c r="L349" s="231"/>
      <c r="M349" s="231"/>
      <c r="N349" s="231"/>
      <c r="O349" s="231"/>
      <c r="P349" s="231"/>
      <c r="Q349" s="231"/>
      <c r="R349" s="231"/>
      <c r="S349" s="231"/>
      <c r="T349" s="231"/>
      <c r="U349" s="231"/>
      <c r="V349" s="231"/>
      <c r="W349" s="231"/>
      <c r="X349" s="231"/>
      <c r="Y349" s="231"/>
      <c r="Z349" s="231"/>
      <c r="AA349" s="231"/>
      <c r="AB349" s="231"/>
      <c r="AC349" s="231"/>
      <c r="AD349" s="231"/>
      <c r="AE349" s="231"/>
      <c r="AF349" s="231"/>
      <c r="AG349" s="231"/>
      <c r="AH349" s="231"/>
      <c r="AI349" s="231"/>
    </row>
    <row r="350" spans="1:35" s="203" customFormat="1">
      <c r="A350" s="809"/>
      <c r="B350" s="47"/>
      <c r="C350" s="116"/>
      <c r="D350" s="116"/>
      <c r="E350" s="355"/>
      <c r="F350" s="188"/>
      <c r="G350" s="43"/>
      <c r="H350" s="188"/>
      <c r="I350" s="86"/>
      <c r="J350" s="231"/>
      <c r="K350" s="231"/>
      <c r="L350" s="231"/>
      <c r="M350" s="231"/>
      <c r="N350" s="231"/>
      <c r="O350" s="231"/>
      <c r="P350" s="231"/>
      <c r="Q350" s="231"/>
      <c r="R350" s="231"/>
      <c r="S350" s="231"/>
      <c r="T350" s="231"/>
      <c r="U350" s="231"/>
      <c r="V350" s="231"/>
      <c r="W350" s="231"/>
      <c r="X350" s="231"/>
      <c r="Y350" s="231"/>
      <c r="Z350" s="231"/>
      <c r="AA350" s="231"/>
      <c r="AB350" s="231"/>
      <c r="AC350" s="231"/>
      <c r="AD350" s="231"/>
      <c r="AE350" s="231"/>
      <c r="AF350" s="231"/>
      <c r="AG350" s="231"/>
      <c r="AH350" s="231"/>
      <c r="AI350" s="231"/>
    </row>
    <row r="351" spans="1:35" s="203" customFormat="1">
      <c r="A351" s="198" t="s">
        <v>379</v>
      </c>
      <c r="B351" s="47"/>
      <c r="C351" s="116"/>
      <c r="D351" s="116"/>
      <c r="E351" s="355"/>
      <c r="F351" s="188"/>
      <c r="G351" s="43"/>
      <c r="H351" s="188"/>
      <c r="I351" s="86"/>
      <c r="J351" s="231"/>
      <c r="K351" s="231"/>
      <c r="L351" s="231"/>
      <c r="M351" s="231"/>
      <c r="N351" s="231"/>
      <c r="O351" s="231"/>
      <c r="P351" s="231"/>
      <c r="Q351" s="231"/>
      <c r="R351" s="231"/>
      <c r="S351" s="231"/>
      <c r="T351" s="231"/>
      <c r="U351" s="231"/>
      <c r="V351" s="231"/>
      <c r="W351" s="231"/>
      <c r="X351" s="231"/>
      <c r="Y351" s="231"/>
      <c r="Z351" s="231"/>
      <c r="AA351" s="231"/>
      <c r="AB351" s="231"/>
      <c r="AC351" s="231"/>
      <c r="AD351" s="231"/>
      <c r="AE351" s="231"/>
      <c r="AF351" s="231"/>
      <c r="AG351" s="231"/>
      <c r="AH351" s="231"/>
      <c r="AI351" s="231"/>
    </row>
    <row r="352" spans="1:35" s="203" customFormat="1">
      <c r="A352" s="809"/>
      <c r="B352" s="47"/>
      <c r="C352" s="116"/>
      <c r="D352" s="116"/>
      <c r="E352" s="355"/>
      <c r="F352" s="188"/>
      <c r="G352" s="43"/>
      <c r="H352" s="188"/>
      <c r="I352" s="86"/>
      <c r="J352" s="231"/>
      <c r="K352" s="231"/>
      <c r="L352" s="231"/>
      <c r="M352" s="231"/>
      <c r="N352" s="231"/>
      <c r="O352" s="231"/>
      <c r="P352" s="231"/>
      <c r="Q352" s="231"/>
      <c r="R352" s="231"/>
      <c r="S352" s="231"/>
      <c r="T352" s="231"/>
      <c r="U352" s="231"/>
      <c r="V352" s="231"/>
      <c r="W352" s="231"/>
      <c r="X352" s="231"/>
      <c r="Y352" s="231"/>
      <c r="Z352" s="231"/>
      <c r="AA352" s="231"/>
      <c r="AB352" s="231"/>
      <c r="AC352" s="231"/>
      <c r="AD352" s="231"/>
      <c r="AE352" s="231"/>
      <c r="AF352" s="231"/>
      <c r="AG352" s="231"/>
      <c r="AH352" s="231"/>
      <c r="AI352" s="231"/>
    </row>
    <row r="353" spans="1:35" s="203" customFormat="1">
      <c r="A353" s="809">
        <v>2</v>
      </c>
      <c r="B353" s="47" t="s">
        <v>52</v>
      </c>
      <c r="C353" s="116"/>
      <c r="D353" s="116"/>
      <c r="E353" s="74">
        <v>0</v>
      </c>
      <c r="F353" s="265">
        <v>0</v>
      </c>
      <c r="G353" s="43"/>
      <c r="H353" s="126">
        <v>0</v>
      </c>
      <c r="I353" s="86"/>
      <c r="J353" s="231"/>
      <c r="K353" s="231"/>
      <c r="L353" s="231"/>
      <c r="M353" s="231"/>
      <c r="N353" s="231"/>
      <c r="O353" s="231"/>
      <c r="P353" s="231"/>
      <c r="Q353" s="231"/>
      <c r="R353" s="231"/>
      <c r="S353" s="231"/>
      <c r="T353" s="231"/>
      <c r="U353" s="231"/>
      <c r="V353" s="231"/>
      <c r="W353" s="231"/>
      <c r="X353" s="231"/>
      <c r="Y353" s="231"/>
      <c r="Z353" s="231"/>
      <c r="AA353" s="231"/>
      <c r="AB353" s="231"/>
      <c r="AC353" s="231"/>
      <c r="AD353" s="231"/>
      <c r="AE353" s="231"/>
      <c r="AF353" s="231"/>
      <c r="AG353" s="231"/>
      <c r="AH353" s="231"/>
      <c r="AI353" s="231"/>
    </row>
    <row r="354" spans="1:35" s="203" customFormat="1">
      <c r="A354" s="809">
        <v>3</v>
      </c>
      <c r="B354" s="47" t="s">
        <v>53</v>
      </c>
      <c r="C354" s="116"/>
      <c r="D354" s="116"/>
      <c r="E354" s="49">
        <v>0</v>
      </c>
      <c r="F354" s="265">
        <v>0</v>
      </c>
      <c r="G354" s="43"/>
      <c r="H354" s="126">
        <v>0</v>
      </c>
      <c r="I354" s="86"/>
      <c r="J354" s="231"/>
      <c r="K354" s="231"/>
      <c r="L354" s="231"/>
      <c r="M354" s="231"/>
      <c r="N354" s="231"/>
      <c r="O354" s="231"/>
      <c r="P354" s="231"/>
      <c r="Q354" s="231"/>
      <c r="R354" s="231"/>
      <c r="S354" s="231"/>
      <c r="T354" s="231"/>
      <c r="U354" s="231"/>
      <c r="V354" s="231"/>
      <c r="W354" s="231"/>
      <c r="X354" s="231"/>
      <c r="Y354" s="231"/>
      <c r="Z354" s="231"/>
      <c r="AA354" s="231"/>
      <c r="AB354" s="231"/>
      <c r="AC354" s="231"/>
      <c r="AD354" s="231"/>
      <c r="AE354" s="231"/>
      <c r="AF354" s="231"/>
      <c r="AG354" s="231"/>
      <c r="AH354" s="231"/>
      <c r="AI354" s="231"/>
    </row>
    <row r="355" spans="1:35" s="203" customFormat="1">
      <c r="A355" s="809">
        <v>4</v>
      </c>
      <c r="B355" s="47" t="s">
        <v>54</v>
      </c>
      <c r="C355" s="116"/>
      <c r="D355" s="116"/>
      <c r="E355" s="49">
        <v>0</v>
      </c>
      <c r="F355" s="265">
        <v>40</v>
      </c>
      <c r="G355" s="43"/>
      <c r="H355" s="126">
        <v>0</v>
      </c>
      <c r="I355" s="86"/>
      <c r="J355" s="231"/>
      <c r="K355" s="231"/>
      <c r="L355" s="231"/>
      <c r="M355" s="231"/>
      <c r="N355" s="231"/>
      <c r="O355" s="231"/>
      <c r="P355" s="231"/>
      <c r="Q355" s="231"/>
      <c r="R355" s="231"/>
      <c r="S355" s="231"/>
      <c r="T355" s="231"/>
      <c r="U355" s="231"/>
      <c r="V355" s="231"/>
      <c r="W355" s="231"/>
      <c r="X355" s="231"/>
      <c r="Y355" s="231"/>
      <c r="Z355" s="231"/>
      <c r="AA355" s="231"/>
      <c r="AB355" s="231"/>
      <c r="AC355" s="231"/>
      <c r="AD355" s="231"/>
      <c r="AE355" s="231"/>
      <c r="AF355" s="231"/>
      <c r="AG355" s="231"/>
      <c r="AH355" s="231"/>
      <c r="AI355" s="231"/>
    </row>
    <row r="356" spans="1:35" s="203" customFormat="1">
      <c r="A356" s="809">
        <v>5</v>
      </c>
      <c r="B356" s="47" t="s">
        <v>55</v>
      </c>
      <c r="C356" s="116"/>
      <c r="D356" s="116"/>
      <c r="E356" s="49">
        <v>0</v>
      </c>
      <c r="F356" s="265">
        <v>0</v>
      </c>
      <c r="G356" s="43"/>
      <c r="H356" s="126">
        <v>0</v>
      </c>
      <c r="I356" s="86"/>
      <c r="J356" s="231"/>
      <c r="K356" s="231"/>
      <c r="L356" s="231"/>
      <c r="M356" s="231"/>
      <c r="N356" s="231"/>
      <c r="O356" s="231"/>
      <c r="P356" s="231"/>
      <c r="Q356" s="231"/>
      <c r="R356" s="231"/>
      <c r="S356" s="231"/>
      <c r="T356" s="231"/>
      <c r="U356" s="231"/>
      <c r="V356" s="231"/>
      <c r="W356" s="231"/>
      <c r="X356" s="231"/>
      <c r="Y356" s="231"/>
      <c r="Z356" s="231"/>
      <c r="AA356" s="231"/>
      <c r="AB356" s="231"/>
      <c r="AC356" s="231"/>
      <c r="AD356" s="231"/>
      <c r="AE356" s="231"/>
      <c r="AF356" s="231"/>
      <c r="AG356" s="231"/>
      <c r="AH356" s="231"/>
      <c r="AI356" s="231"/>
    </row>
    <row r="357" spans="1:35" s="203" customFormat="1">
      <c r="A357" s="809">
        <v>6</v>
      </c>
      <c r="B357" s="47" t="s">
        <v>56</v>
      </c>
      <c r="C357" s="116"/>
      <c r="D357" s="116"/>
      <c r="E357" s="49">
        <v>0</v>
      </c>
      <c r="F357" s="265">
        <v>54</v>
      </c>
      <c r="G357" s="43"/>
      <c r="H357" s="126">
        <v>0</v>
      </c>
      <c r="I357" s="86"/>
      <c r="J357" s="231"/>
      <c r="K357" s="231"/>
      <c r="L357" s="231"/>
      <c r="M357" s="231"/>
      <c r="N357" s="231"/>
      <c r="O357" s="231"/>
      <c r="P357" s="231"/>
      <c r="Q357" s="231"/>
      <c r="R357" s="231"/>
      <c r="S357" s="231"/>
      <c r="T357" s="231"/>
      <c r="U357" s="231"/>
      <c r="V357" s="231"/>
      <c r="W357" s="231"/>
      <c r="X357" s="231"/>
      <c r="Y357" s="231"/>
      <c r="Z357" s="231"/>
      <c r="AA357" s="231"/>
      <c r="AB357" s="231"/>
      <c r="AC357" s="231"/>
      <c r="AD357" s="231"/>
      <c r="AE357" s="231"/>
      <c r="AF357" s="231"/>
      <c r="AG357" s="231"/>
      <c r="AH357" s="231"/>
      <c r="AI357" s="231"/>
    </row>
    <row r="358" spans="1:35" s="203" customFormat="1">
      <c r="A358" s="809">
        <v>7</v>
      </c>
      <c r="B358" s="47" t="s">
        <v>57</v>
      </c>
      <c r="C358" s="116"/>
      <c r="D358" s="116"/>
      <c r="E358" s="49">
        <v>0</v>
      </c>
      <c r="F358" s="265">
        <v>506</v>
      </c>
      <c r="G358" s="43"/>
      <c r="H358" s="126">
        <v>0</v>
      </c>
      <c r="I358" s="86"/>
      <c r="J358" s="231"/>
      <c r="K358" s="231"/>
      <c r="L358" s="231"/>
      <c r="M358" s="231"/>
      <c r="N358" s="231"/>
      <c r="O358" s="231"/>
      <c r="P358" s="231"/>
      <c r="Q358" s="231"/>
      <c r="R358" s="231"/>
      <c r="S358" s="231"/>
      <c r="T358" s="231"/>
      <c r="U358" s="231"/>
      <c r="V358" s="231"/>
      <c r="W358" s="231"/>
      <c r="X358" s="231"/>
      <c r="Y358" s="231"/>
      <c r="Z358" s="231"/>
      <c r="AA358" s="231"/>
      <c r="AB358" s="231"/>
      <c r="AC358" s="231"/>
      <c r="AD358" s="231"/>
      <c r="AE358" s="231"/>
      <c r="AF358" s="231"/>
      <c r="AG358" s="231"/>
      <c r="AH358" s="231"/>
      <c r="AI358" s="231"/>
    </row>
    <row r="359" spans="1:35" s="203" customFormat="1">
      <c r="A359" s="809">
        <v>8</v>
      </c>
      <c r="B359" s="47" t="s">
        <v>58</v>
      </c>
      <c r="C359" s="116"/>
      <c r="D359" s="116"/>
      <c r="E359" s="49">
        <v>0</v>
      </c>
      <c r="F359" s="265">
        <v>3448</v>
      </c>
      <c r="G359" s="43"/>
      <c r="H359" s="126">
        <v>0</v>
      </c>
      <c r="I359" s="86"/>
      <c r="J359" s="231"/>
      <c r="K359" s="231"/>
      <c r="L359" s="231"/>
      <c r="M359" s="231"/>
      <c r="N359" s="231"/>
      <c r="O359" s="231"/>
      <c r="P359" s="231"/>
      <c r="Q359" s="231"/>
      <c r="R359" s="231"/>
      <c r="S359" s="231"/>
      <c r="T359" s="231"/>
      <c r="U359" s="231"/>
      <c r="V359" s="231"/>
      <c r="W359" s="231"/>
      <c r="X359" s="231"/>
      <c r="Y359" s="231"/>
      <c r="Z359" s="231"/>
      <c r="AA359" s="231"/>
      <c r="AB359" s="231"/>
      <c r="AC359" s="231"/>
      <c r="AD359" s="231"/>
      <c r="AE359" s="231"/>
      <c r="AF359" s="231"/>
      <c r="AG359" s="231"/>
      <c r="AH359" s="231"/>
      <c r="AI359" s="231"/>
    </row>
    <row r="360" spans="1:35" s="203" customFormat="1">
      <c r="A360" s="809">
        <v>9</v>
      </c>
      <c r="B360" s="47" t="s">
        <v>59</v>
      </c>
      <c r="C360" s="116"/>
      <c r="D360" s="116"/>
      <c r="E360" s="49">
        <v>0</v>
      </c>
      <c r="F360" s="265">
        <v>0</v>
      </c>
      <c r="G360" s="43"/>
      <c r="H360" s="126">
        <v>0</v>
      </c>
      <c r="I360" s="86"/>
      <c r="J360" s="231"/>
      <c r="K360" s="231"/>
      <c r="L360" s="231"/>
      <c r="M360" s="231"/>
      <c r="N360" s="231"/>
      <c r="O360" s="231"/>
      <c r="P360" s="231"/>
      <c r="Q360" s="231"/>
      <c r="R360" s="231"/>
      <c r="S360" s="231"/>
      <c r="T360" s="231"/>
      <c r="U360" s="231"/>
      <c r="V360" s="231"/>
      <c r="W360" s="231"/>
      <c r="X360" s="231"/>
      <c r="Y360" s="231"/>
      <c r="Z360" s="231"/>
      <c r="AA360" s="231"/>
      <c r="AB360" s="231"/>
      <c r="AC360" s="231"/>
      <c r="AD360" s="231"/>
      <c r="AE360" s="231"/>
      <c r="AF360" s="231"/>
      <c r="AG360" s="231"/>
      <c r="AH360" s="231"/>
      <c r="AI360" s="231"/>
    </row>
    <row r="361" spans="1:35" s="203" customFormat="1">
      <c r="A361" s="809">
        <v>10</v>
      </c>
      <c r="B361" s="47" t="s">
        <v>60</v>
      </c>
      <c r="C361" s="116"/>
      <c r="D361" s="116"/>
      <c r="E361" s="49">
        <v>0</v>
      </c>
      <c r="F361" s="265">
        <v>0</v>
      </c>
      <c r="G361" s="43"/>
      <c r="H361" s="126">
        <v>0</v>
      </c>
      <c r="I361" s="86"/>
      <c r="J361" s="231"/>
      <c r="K361" s="231"/>
      <c r="L361" s="231"/>
      <c r="M361" s="231"/>
      <c r="N361" s="231"/>
      <c r="O361" s="231"/>
      <c r="P361" s="231"/>
      <c r="Q361" s="231"/>
      <c r="R361" s="231"/>
      <c r="S361" s="231"/>
      <c r="T361" s="231"/>
      <c r="U361" s="231"/>
      <c r="V361" s="231"/>
      <c r="W361" s="231"/>
      <c r="X361" s="231"/>
      <c r="Y361" s="231"/>
      <c r="Z361" s="231"/>
      <c r="AA361" s="231"/>
      <c r="AB361" s="231"/>
      <c r="AC361" s="231"/>
      <c r="AD361" s="231"/>
      <c r="AE361" s="231"/>
      <c r="AF361" s="231"/>
      <c r="AG361" s="231"/>
      <c r="AH361" s="231"/>
      <c r="AI361" s="231"/>
    </row>
    <row r="362" spans="1:35" s="203" customFormat="1">
      <c r="A362" s="809">
        <v>11</v>
      </c>
      <c r="B362" s="47" t="s">
        <v>61</v>
      </c>
      <c r="C362" s="116"/>
      <c r="D362" s="116"/>
      <c r="E362" s="49">
        <v>0</v>
      </c>
      <c r="F362" s="265">
        <v>0</v>
      </c>
      <c r="G362" s="43"/>
      <c r="H362" s="126">
        <v>0</v>
      </c>
      <c r="I362" s="86"/>
      <c r="J362" s="231"/>
      <c r="K362" s="231"/>
      <c r="L362" s="231"/>
      <c r="M362" s="231"/>
      <c r="N362" s="231"/>
      <c r="O362" s="231"/>
      <c r="P362" s="231"/>
      <c r="Q362" s="231"/>
      <c r="R362" s="231"/>
      <c r="S362" s="231"/>
      <c r="T362" s="231"/>
      <c r="U362" s="231"/>
      <c r="V362" s="231"/>
      <c r="W362" s="231"/>
      <c r="X362" s="231"/>
      <c r="Y362" s="231"/>
      <c r="Z362" s="231"/>
      <c r="AA362" s="231"/>
      <c r="AB362" s="231"/>
      <c r="AC362" s="231"/>
      <c r="AD362" s="231"/>
      <c r="AE362" s="231"/>
      <c r="AF362" s="231"/>
      <c r="AG362" s="231"/>
      <c r="AH362" s="231"/>
      <c r="AI362" s="231"/>
    </row>
    <row r="363" spans="1:35" s="203" customFormat="1">
      <c r="A363" s="810">
        <v>12</v>
      </c>
      <c r="B363" s="54" t="s">
        <v>380</v>
      </c>
      <c r="C363" s="94"/>
      <c r="D363" s="94"/>
      <c r="E363" s="135">
        <v>0</v>
      </c>
      <c r="F363" s="61">
        <f>SUM(F353:F362)</f>
        <v>4048</v>
      </c>
      <c r="G363" s="43"/>
      <c r="H363" s="61">
        <f>SUM(H353:H362)</f>
        <v>0</v>
      </c>
      <c r="I363" s="86"/>
      <c r="J363" s="231"/>
      <c r="K363" s="231"/>
      <c r="L363" s="231"/>
      <c r="M363" s="231"/>
      <c r="N363" s="231"/>
      <c r="O363" s="231"/>
      <c r="P363" s="231"/>
      <c r="Q363" s="231"/>
      <c r="R363" s="231"/>
      <c r="S363" s="231"/>
      <c r="T363" s="231"/>
      <c r="U363" s="231"/>
      <c r="V363" s="231"/>
      <c r="W363" s="231"/>
      <c r="X363" s="231"/>
      <c r="Y363" s="231"/>
      <c r="Z363" s="231"/>
      <c r="AA363" s="231"/>
      <c r="AB363" s="231"/>
      <c r="AC363" s="231"/>
      <c r="AD363" s="231"/>
      <c r="AE363" s="231"/>
      <c r="AF363" s="231"/>
      <c r="AG363" s="231"/>
      <c r="AH363" s="231"/>
      <c r="AI363" s="231"/>
    </row>
    <row r="364" spans="1:35" s="203" customFormat="1">
      <c r="A364" s="199"/>
      <c r="B364" s="15"/>
      <c r="C364" s="15"/>
      <c r="D364" s="15"/>
      <c r="E364" s="15"/>
      <c r="F364" s="15"/>
      <c r="G364" s="15"/>
      <c r="H364" s="15"/>
      <c r="I364" s="86"/>
      <c r="J364" s="231"/>
      <c r="K364" s="231"/>
      <c r="L364" s="231"/>
      <c r="M364" s="231"/>
      <c r="N364" s="231"/>
      <c r="O364" s="231"/>
      <c r="P364" s="231"/>
      <c r="Q364" s="231"/>
      <c r="R364" s="231"/>
      <c r="S364" s="231"/>
      <c r="T364" s="231"/>
      <c r="U364" s="231"/>
      <c r="V364" s="231"/>
      <c r="W364" s="231"/>
      <c r="X364" s="231"/>
      <c r="Y364" s="231"/>
      <c r="Z364" s="231"/>
      <c r="AA364" s="231"/>
      <c r="AB364" s="231"/>
      <c r="AC364" s="231"/>
      <c r="AD364" s="231"/>
      <c r="AE364" s="231"/>
      <c r="AF364" s="231"/>
      <c r="AG364" s="231"/>
      <c r="AH364" s="231"/>
      <c r="AI364" s="231"/>
    </row>
    <row r="365" spans="1:35" s="203" customFormat="1">
      <c r="A365" s="199"/>
      <c r="B365" s="15"/>
      <c r="C365" s="15"/>
      <c r="D365" s="15"/>
      <c r="E365" s="15"/>
      <c r="F365" s="15"/>
      <c r="G365" s="15"/>
      <c r="H365" s="86"/>
      <c r="I365" s="86"/>
      <c r="J365" s="231"/>
      <c r="K365" s="231"/>
      <c r="L365" s="231"/>
      <c r="M365" s="231"/>
      <c r="N365" s="231"/>
      <c r="O365" s="231"/>
      <c r="P365" s="231"/>
      <c r="Q365" s="231"/>
      <c r="R365" s="231"/>
      <c r="S365" s="231"/>
      <c r="T365" s="231"/>
      <c r="U365" s="231"/>
      <c r="V365" s="231"/>
      <c r="W365" s="231"/>
      <c r="X365" s="231"/>
      <c r="Y365" s="231"/>
      <c r="Z365" s="231"/>
      <c r="AA365" s="231"/>
      <c r="AB365" s="231"/>
      <c r="AC365" s="231"/>
      <c r="AD365" s="231"/>
      <c r="AE365" s="231"/>
      <c r="AF365" s="231"/>
      <c r="AG365" s="231"/>
      <c r="AH365" s="231"/>
      <c r="AI365" s="231"/>
    </row>
    <row r="366" spans="1:35" s="8" customFormat="1"/>
    <row r="367" spans="1:35" s="8" customFormat="1"/>
    <row r="368" spans="1:35" s="8" customFormat="1"/>
    <row r="369" s="8" customFormat="1"/>
    <row r="370" s="8" customFormat="1"/>
    <row r="371" s="8" customFormat="1"/>
    <row r="372" s="8" customFormat="1"/>
    <row r="373" s="8" customFormat="1"/>
    <row r="374" s="8" customFormat="1"/>
    <row r="375" s="8" customFormat="1"/>
    <row r="376" s="8" customFormat="1"/>
    <row r="377" s="8" customFormat="1"/>
    <row r="378" s="8" customFormat="1"/>
    <row r="379" s="8" customFormat="1"/>
    <row r="380" s="8" customFormat="1"/>
    <row r="381" s="8" customFormat="1"/>
    <row r="382" s="8" customFormat="1"/>
    <row r="383" s="8" customFormat="1"/>
    <row r="384" s="8" customFormat="1"/>
    <row r="385" spans="1:9" s="8" customFormat="1"/>
    <row r="386" spans="1:9" s="8" customFormat="1"/>
    <row r="387" spans="1:9" s="8" customFormat="1"/>
    <row r="388" spans="1:9" s="8" customFormat="1"/>
    <row r="389" spans="1:9" s="8" customFormat="1"/>
    <row r="390" spans="1:9" s="8" customFormat="1"/>
    <row r="391" spans="1:9" s="8" customFormat="1"/>
    <row r="392" spans="1:9" s="8" customFormat="1"/>
    <row r="393" spans="1:9" s="8" customFormat="1"/>
    <row r="394" spans="1:9">
      <c r="A394" s="8"/>
      <c r="B394" s="8"/>
      <c r="C394" s="8"/>
      <c r="D394" s="8"/>
      <c r="E394" s="8"/>
      <c r="F394" s="8"/>
      <c r="G394" s="8"/>
      <c r="H394" s="8"/>
      <c r="I394" s="8"/>
    </row>
    <row r="395" spans="1:9">
      <c r="A395" s="8"/>
      <c r="B395" s="8"/>
      <c r="C395" s="8"/>
      <c r="D395" s="8"/>
      <c r="E395" s="8"/>
      <c r="F395" s="8"/>
      <c r="G395" s="8"/>
      <c r="H395" s="8"/>
      <c r="I395" s="8"/>
    </row>
    <row r="396" spans="1:9">
      <c r="A396" s="8"/>
      <c r="B396" s="8"/>
      <c r="C396" s="8"/>
      <c r="D396" s="8"/>
      <c r="E396" s="8"/>
      <c r="F396" s="8"/>
      <c r="G396" s="8"/>
      <c r="H396" s="8"/>
      <c r="I396" s="8"/>
    </row>
    <row r="397" spans="1:9">
      <c r="A397" s="8"/>
      <c r="B397" s="8"/>
      <c r="C397" s="8"/>
      <c r="D397" s="8"/>
      <c r="E397" s="8"/>
      <c r="F397" s="8"/>
      <c r="G397" s="8"/>
      <c r="H397" s="8"/>
      <c r="I397" s="8"/>
    </row>
    <row r="398" spans="1:9">
      <c r="A398" s="8"/>
      <c r="B398" s="8"/>
      <c r="C398" s="8"/>
      <c r="D398" s="8"/>
      <c r="E398" s="8"/>
      <c r="F398" s="8"/>
      <c r="G398" s="8"/>
      <c r="H398" s="8"/>
      <c r="I398" s="8"/>
    </row>
    <row r="399" spans="1:9">
      <c r="A399" s="8"/>
      <c r="B399" s="8"/>
      <c r="C399" s="8"/>
      <c r="D399" s="8"/>
      <c r="E399" s="8"/>
      <c r="F399" s="8"/>
      <c r="G399" s="8"/>
      <c r="H399" s="8"/>
      <c r="I399" s="8"/>
    </row>
    <row r="400" spans="1:9">
      <c r="A400" s="8"/>
      <c r="B400" s="8"/>
      <c r="C400" s="8"/>
      <c r="D400" s="8"/>
      <c r="E400" s="8"/>
      <c r="F400" s="8"/>
      <c r="G400" s="8"/>
      <c r="H400" s="8"/>
      <c r="I400" s="8"/>
    </row>
    <row r="401" spans="1:9">
      <c r="A401" s="8"/>
      <c r="B401" s="8"/>
      <c r="C401" s="8"/>
      <c r="D401" s="8"/>
      <c r="E401" s="8"/>
      <c r="F401" s="8"/>
      <c r="G401" s="8"/>
      <c r="H401" s="8"/>
      <c r="I401" s="8"/>
    </row>
    <row r="402" spans="1:9">
      <c r="A402" s="8"/>
      <c r="B402" s="8"/>
      <c r="C402" s="8"/>
      <c r="D402" s="8"/>
      <c r="E402" s="8"/>
      <c r="F402" s="8"/>
      <c r="G402" s="8"/>
      <c r="H402" s="8"/>
      <c r="I402" s="8"/>
    </row>
    <row r="403" spans="1:9">
      <c r="A403" s="8"/>
      <c r="B403" s="8"/>
      <c r="C403" s="8"/>
      <c r="D403" s="8"/>
      <c r="E403" s="8"/>
      <c r="F403" s="8"/>
      <c r="G403" s="8"/>
      <c r="H403" s="8"/>
      <c r="I403" s="8"/>
    </row>
    <row r="404" spans="1:9">
      <c r="A404" s="8"/>
      <c r="B404" s="8"/>
      <c r="C404" s="8"/>
      <c r="D404" s="8"/>
      <c r="E404" s="8"/>
      <c r="F404" s="8"/>
      <c r="G404" s="8"/>
      <c r="H404" s="8"/>
      <c r="I404" s="8"/>
    </row>
    <row r="405" spans="1:9">
      <c r="A405" s="8"/>
      <c r="B405" s="8"/>
      <c r="C405" s="8"/>
      <c r="D405" s="8"/>
      <c r="E405" s="8"/>
      <c r="F405" s="8"/>
      <c r="G405" s="8"/>
      <c r="H405" s="8"/>
      <c r="I405" s="8"/>
    </row>
    <row r="406" spans="1:9">
      <c r="A406" s="8"/>
      <c r="B406" s="8"/>
      <c r="C406" s="8"/>
      <c r="D406" s="8"/>
      <c r="E406" s="8"/>
      <c r="F406" s="8"/>
      <c r="G406" s="8"/>
      <c r="H406" s="8"/>
      <c r="I406" s="8"/>
    </row>
    <row r="407" spans="1:9">
      <c r="A407" s="8"/>
      <c r="B407" s="8"/>
      <c r="C407" s="8"/>
      <c r="D407" s="8"/>
      <c r="E407" s="8"/>
      <c r="F407" s="8"/>
      <c r="G407" s="8"/>
      <c r="H407" s="8"/>
      <c r="I407" s="8"/>
    </row>
    <row r="408" spans="1:9">
      <c r="A408" s="8"/>
      <c r="B408" s="8"/>
      <c r="C408" s="8"/>
      <c r="D408" s="8"/>
      <c r="E408" s="8"/>
      <c r="F408" s="8"/>
      <c r="G408" s="8"/>
      <c r="H408" s="8"/>
      <c r="I408" s="8"/>
    </row>
  </sheetData>
  <mergeCells count="59">
    <mergeCell ref="F341:F345"/>
    <mergeCell ref="H341:H345"/>
    <mergeCell ref="E261:E265"/>
    <mergeCell ref="F261:F265"/>
    <mergeCell ref="H261:H265"/>
    <mergeCell ref="E280:E284"/>
    <mergeCell ref="F280:F284"/>
    <mergeCell ref="H280:H284"/>
    <mergeCell ref="E305:E309"/>
    <mergeCell ref="F305:F309"/>
    <mergeCell ref="H305:H309"/>
    <mergeCell ref="C323:H323"/>
    <mergeCell ref="C330:H330"/>
    <mergeCell ref="E341:E345"/>
    <mergeCell ref="E221:E225"/>
    <mergeCell ref="F221:F225"/>
    <mergeCell ref="H221:H225"/>
    <mergeCell ref="E234:E238"/>
    <mergeCell ref="F234:F238"/>
    <mergeCell ref="H234:H238"/>
    <mergeCell ref="G66:G70"/>
    <mergeCell ref="H66:H70"/>
    <mergeCell ref="F91:F95"/>
    <mergeCell ref="H91:H95"/>
    <mergeCell ref="E193:E197"/>
    <mergeCell ref="F193:F197"/>
    <mergeCell ref="H193:H197"/>
    <mergeCell ref="E153:E157"/>
    <mergeCell ref="F153:F157"/>
    <mergeCell ref="H153:H157"/>
    <mergeCell ref="E91:E95"/>
    <mergeCell ref="I66:I70"/>
    <mergeCell ref="A23:D24"/>
    <mergeCell ref="E23:E24"/>
    <mergeCell ref="F23:F24"/>
    <mergeCell ref="H23:H24"/>
    <mergeCell ref="A25:A27"/>
    <mergeCell ref="B25:D27"/>
    <mergeCell ref="E25:E27"/>
    <mergeCell ref="F25:F27"/>
    <mergeCell ref="H25:H27"/>
    <mergeCell ref="A40:D41"/>
    <mergeCell ref="E40:E41"/>
    <mergeCell ref="F40:F41"/>
    <mergeCell ref="H40:H41"/>
    <mergeCell ref="E66:E70"/>
    <mergeCell ref="F66:F70"/>
    <mergeCell ref="C19:F19"/>
    <mergeCell ref="B3:B4"/>
    <mergeCell ref="C3:D4"/>
    <mergeCell ref="A5:B5"/>
    <mergeCell ref="D6:H6"/>
    <mergeCell ref="A9:I9"/>
    <mergeCell ref="D10:F10"/>
    <mergeCell ref="C14:F14"/>
    <mergeCell ref="C15:F15"/>
    <mergeCell ref="C16:F16"/>
    <mergeCell ref="C17:F17"/>
    <mergeCell ref="C18:F18"/>
  </mergeCells>
  <phoneticPr fontId="10" type="noConversion"/>
  <conditionalFormatting sqref="F71:F76 F286:F301 F311:F318 F80:F88 F96:F97 F103:F104 F106 F110:F114 F118:F124 F128:F134 F138:F142 F146:F149 F159:F162 F166:F168 F171:F172 F175:F177 F183:F190 F199:F200 F204:F206 F210:F213 F217:F218 F226:F230 F240:F241 F245:F246 F250:F253 F256 F267:F276 H250">
    <cfRule type="expression" dxfId="42" priority="267" stopIfTrue="1">
      <formula>ISBLANK(F71)</formula>
    </cfRule>
    <cfRule type="expression" dxfId="41" priority="268" stopIfTrue="1">
      <formula>IF(AND(OR(F71-E71&gt;500,F71-E71&lt;-500),OR(#REF!&gt;0.1,#REF!&lt;-0.1)),TRUE,FALSE)</formula>
    </cfRule>
  </conditionalFormatting>
  <dataValidations count="1">
    <dataValidation type="list" errorStyle="information" allowBlank="1" showInputMessage="1" showErrorMessage="1" errorTitle="POBE 2006" error="Please select from the drop-down menu..." prompt="Please select your Authority from the drop-down menu..." sqref="C3:D4">
      <formula1>#REF!</formula1>
    </dataValidation>
  </dataValidations>
  <hyperlinks>
    <hyperlink ref="F7" r:id="rId1" display="lgfstats@scotland.gsi.gov.uk"/>
    <hyperlink ref="D6" r:id="rId2"/>
    <hyperlink ref="D10" r:id="rId3" display="^lgfstats@gov.scot"/>
    <hyperlink ref="B14" location="'POBE 2017'!A28" display="PART 1 - Expenditure"/>
    <hyperlink ref="C19:F19" location="'POBE 2017'!A323" display="Sheet 10. - PUBLIC PRIVATE PARTNERSHIPS/PRIVATE FINANCE INITIATIVES"/>
    <hyperlink ref="B15" location="'POBE 2017'!A40" display="PART 2 - Income and Balances"/>
    <hyperlink ref="B16" location="'POBE 2017'!A66" display="Sheet 1. EDUCATION"/>
    <hyperlink ref="B17" location="'POBE 2017'!A91" display="Sheet 2. SOCIAL WORK"/>
    <hyperlink ref="B18" location="'POBE 2017'!A153" display="Sheet 3. ROADS AND TRANSPORT"/>
    <hyperlink ref="B19" location="'POBE 2017'!A193" display="Sheet 4. ENVIRONMENTAL SERVICES"/>
    <hyperlink ref="C14:F14" location="'POBE 2017'!A221" display="Sheet 5. PLANNING AND DEVELOPMENT SERVICES"/>
    <hyperlink ref="C15:F15" location="'POBE 2017'!A234" display="Sheet 6. CULTURAL AND RELATED SERVICES"/>
    <hyperlink ref="C16:F16" location="'POBE 2017'!A261" display="Sheet 7. HOUSING"/>
    <hyperlink ref="C17:F17" location="'POBE 2017'!A280" display="Sheet 8. CENTRAL SERVICES"/>
    <hyperlink ref="C18:F18" location="'POBE 2017'!A305" display="Sheet 9. OTHER EXPENDITURE"/>
  </hyperlinks>
  <pageMargins left="0.75" right="0.75" top="1" bottom="1" header="0.5" footer="0.5"/>
  <pageSetup paperSize="9" orientation="portrait" r:id="rId4"/>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A1:AE412"/>
  <sheetViews>
    <sheetView topLeftCell="A184" zoomScale="80" zoomScaleNormal="80" workbookViewId="0">
      <selection activeCell="G288" sqref="G288"/>
    </sheetView>
  </sheetViews>
  <sheetFormatPr defaultColWidth="9.140625" defaultRowHeight="12.75"/>
  <cols>
    <col min="1" max="1" width="10.5703125" style="1" customWidth="1"/>
    <col min="2" max="2" width="43" style="1" customWidth="1"/>
    <col min="3" max="3" width="24.5703125" style="1" customWidth="1"/>
    <col min="4" max="4" width="14.7109375" style="1" customWidth="1"/>
    <col min="5" max="5" width="21.5703125" style="1" customWidth="1"/>
    <col min="6" max="6" width="19.140625" style="1" customWidth="1"/>
    <col min="7" max="7" width="17.42578125" style="1" customWidth="1"/>
    <col min="8" max="8" width="19.28515625" style="1" customWidth="1"/>
    <col min="9" max="9" width="17.85546875" style="1" customWidth="1"/>
    <col min="10" max="13" width="9.140625" style="8" customWidth="1"/>
    <col min="14" max="24" width="9.140625" style="8"/>
    <col min="25" max="25" width="0" style="8" hidden="1" customWidth="1"/>
    <col min="26" max="31" width="9.140625" style="8"/>
    <col min="32" max="16384" width="9.140625" style="1"/>
  </cols>
  <sheetData>
    <row r="1" spans="1:31" s="203" customFormat="1" ht="51" customHeight="1">
      <c r="A1" s="3" t="s">
        <v>410</v>
      </c>
      <c r="B1" s="4"/>
      <c r="C1" s="224"/>
      <c r="D1" s="224"/>
      <c r="E1" s="224"/>
      <c r="F1" s="224"/>
      <c r="G1" s="225"/>
      <c r="H1" s="226"/>
      <c r="I1" s="227"/>
      <c r="J1" s="231"/>
      <c r="K1" s="231"/>
      <c r="L1" s="231"/>
      <c r="M1" s="231"/>
      <c r="N1" s="231"/>
      <c r="O1" s="231"/>
      <c r="P1" s="231"/>
      <c r="Q1" s="231"/>
      <c r="R1" s="231"/>
      <c r="S1" s="231"/>
      <c r="T1" s="231"/>
      <c r="U1" s="231"/>
      <c r="V1" s="231"/>
      <c r="W1" s="231"/>
      <c r="X1" s="231"/>
      <c r="Y1" s="231"/>
      <c r="Z1" s="231"/>
      <c r="AA1" s="231"/>
      <c r="AB1" s="231"/>
      <c r="AC1" s="231"/>
      <c r="AD1" s="231"/>
      <c r="AE1" s="231"/>
    </row>
    <row r="2" spans="1:31" s="203" customFormat="1" ht="35.25">
      <c r="A2" s="9"/>
      <c r="B2" s="10"/>
      <c r="C2" s="232"/>
      <c r="D2" s="232"/>
      <c r="E2" s="232"/>
      <c r="F2" s="11"/>
      <c r="G2" s="11"/>
      <c r="H2" s="11"/>
      <c r="I2" s="11"/>
      <c r="J2" s="231"/>
      <c r="K2" s="231"/>
      <c r="L2" s="231"/>
      <c r="M2" s="231"/>
      <c r="N2" s="231"/>
      <c r="O2" s="231"/>
      <c r="P2" s="231"/>
      <c r="Q2" s="231"/>
      <c r="R2" s="231"/>
      <c r="S2" s="231"/>
      <c r="T2" s="231"/>
      <c r="U2" s="231"/>
      <c r="V2" s="231"/>
      <c r="W2" s="231"/>
      <c r="X2" s="231"/>
      <c r="Y2" s="231"/>
      <c r="Z2" s="231"/>
      <c r="AA2" s="231"/>
      <c r="AB2" s="231"/>
      <c r="AC2" s="231"/>
      <c r="AD2" s="231"/>
      <c r="AE2" s="231"/>
    </row>
    <row r="3" spans="1:31" s="203" customFormat="1" ht="15">
      <c r="A3" s="12"/>
      <c r="B3" s="882" t="s">
        <v>0</v>
      </c>
      <c r="C3" s="884" t="s">
        <v>26</v>
      </c>
      <c r="D3" s="885"/>
      <c r="E3" s="13"/>
      <c r="F3" s="14"/>
      <c r="G3" s="14"/>
      <c r="H3" s="15"/>
      <c r="I3" s="14"/>
      <c r="J3" s="231"/>
      <c r="K3" s="231"/>
      <c r="L3" s="231"/>
      <c r="M3" s="231"/>
      <c r="N3" s="231"/>
      <c r="O3" s="231"/>
      <c r="P3" s="231"/>
      <c r="Q3" s="231"/>
      <c r="R3" s="231"/>
      <c r="S3" s="231"/>
      <c r="T3" s="231"/>
      <c r="U3" s="231"/>
      <c r="V3" s="231"/>
      <c r="W3" s="231"/>
      <c r="X3" s="231"/>
      <c r="Y3" s="231"/>
      <c r="Z3" s="231"/>
      <c r="AA3" s="231"/>
      <c r="AB3" s="231"/>
      <c r="AC3" s="231"/>
      <c r="AD3" s="231"/>
      <c r="AE3" s="231"/>
    </row>
    <row r="4" spans="1:31" s="203" customFormat="1" ht="15">
      <c r="A4" s="17"/>
      <c r="B4" s="883"/>
      <c r="C4" s="886"/>
      <c r="D4" s="887"/>
      <c r="E4" s="13"/>
      <c r="F4" s="14"/>
      <c r="G4" s="14"/>
      <c r="H4" s="15"/>
      <c r="I4" s="14"/>
      <c r="J4" s="231"/>
      <c r="K4" s="231"/>
      <c r="L4" s="231"/>
      <c r="M4" s="231"/>
      <c r="N4" s="231"/>
      <c r="O4" s="231"/>
      <c r="P4" s="231"/>
      <c r="Q4" s="231"/>
      <c r="R4" s="231"/>
      <c r="S4" s="231"/>
      <c r="T4" s="231"/>
      <c r="U4" s="231"/>
      <c r="V4" s="231"/>
      <c r="W4" s="231"/>
      <c r="X4" s="231"/>
      <c r="Y4" s="231"/>
      <c r="Z4" s="231"/>
      <c r="AA4" s="231"/>
      <c r="AB4" s="231"/>
      <c r="AC4" s="231"/>
      <c r="AD4" s="231"/>
      <c r="AE4" s="231"/>
    </row>
    <row r="5" spans="1:31" s="203" customFormat="1" ht="15">
      <c r="A5" s="888"/>
      <c r="B5" s="889"/>
      <c r="C5" s="18"/>
      <c r="D5" s="206"/>
      <c r="E5" s="206"/>
      <c r="F5" s="14"/>
      <c r="G5" s="14"/>
      <c r="H5" s="14"/>
      <c r="I5" s="234"/>
      <c r="J5" s="231"/>
      <c r="K5" s="231"/>
      <c r="L5" s="231"/>
      <c r="M5" s="231"/>
      <c r="N5" s="231"/>
      <c r="O5" s="231"/>
      <c r="P5" s="231"/>
      <c r="Q5" s="231"/>
      <c r="R5" s="231"/>
      <c r="S5" s="231"/>
      <c r="T5" s="231"/>
      <c r="U5" s="231"/>
      <c r="V5" s="231"/>
      <c r="W5" s="231"/>
      <c r="X5" s="231"/>
      <c r="Y5" s="231"/>
      <c r="Z5" s="231"/>
      <c r="AA5" s="231"/>
      <c r="AB5" s="231"/>
      <c r="AC5" s="231"/>
      <c r="AD5" s="231"/>
      <c r="AE5" s="231"/>
    </row>
    <row r="6" spans="1:31" s="203" customFormat="1" ht="23.25" customHeight="1">
      <c r="A6" s="19" t="s">
        <v>1</v>
      </c>
      <c r="B6" s="207"/>
      <c r="C6" s="20"/>
      <c r="D6" s="890" t="s">
        <v>249</v>
      </c>
      <c r="E6" s="890"/>
      <c r="F6" s="890"/>
      <c r="G6" s="890"/>
      <c r="H6" s="890"/>
      <c r="I6" s="29"/>
      <c r="J6" s="231"/>
      <c r="K6" s="231"/>
      <c r="L6" s="231"/>
      <c r="M6" s="231"/>
      <c r="N6" s="231"/>
      <c r="O6" s="231"/>
      <c r="P6" s="231"/>
      <c r="Q6" s="231"/>
      <c r="R6" s="231"/>
      <c r="S6" s="231"/>
      <c r="T6" s="231"/>
      <c r="U6" s="231"/>
      <c r="V6" s="231"/>
      <c r="W6" s="231"/>
      <c r="X6" s="231"/>
      <c r="Y6" s="231"/>
      <c r="Z6" s="231"/>
      <c r="AA6" s="231"/>
      <c r="AB6" s="231"/>
      <c r="AC6" s="231"/>
      <c r="AD6" s="231"/>
      <c r="AE6" s="231"/>
    </row>
    <row r="7" spans="1:31" s="203" customFormat="1" ht="18.75" customHeight="1">
      <c r="A7" s="19" t="s">
        <v>419</v>
      </c>
      <c r="B7" s="207"/>
      <c r="C7" s="207"/>
      <c r="D7" s="207"/>
      <c r="E7" s="207"/>
      <c r="F7" s="362" t="s">
        <v>250</v>
      </c>
      <c r="G7" s="1"/>
      <c r="H7" s="21"/>
      <c r="I7" s="29"/>
      <c r="J7" s="231"/>
      <c r="K7" s="231"/>
      <c r="L7" s="231"/>
      <c r="M7" s="231"/>
      <c r="N7" s="231"/>
      <c r="O7" s="231"/>
      <c r="P7" s="231"/>
      <c r="Q7" s="231"/>
      <c r="R7" s="231"/>
      <c r="S7" s="231"/>
      <c r="T7" s="231"/>
      <c r="U7" s="231"/>
      <c r="V7" s="231"/>
      <c r="W7" s="231"/>
      <c r="X7" s="231"/>
      <c r="Y7" s="231"/>
      <c r="Z7" s="231"/>
      <c r="AA7" s="231"/>
      <c r="AB7" s="231"/>
      <c r="AC7" s="231"/>
      <c r="AD7" s="231"/>
      <c r="AE7" s="231"/>
    </row>
    <row r="8" spans="1:31" s="203" customFormat="1" ht="24" customHeight="1">
      <c r="A8" s="22" t="s">
        <v>408</v>
      </c>
      <c r="B8" s="207"/>
      <c r="C8" s="207"/>
      <c r="D8" s="207"/>
      <c r="E8" s="207"/>
      <c r="F8" s="207"/>
      <c r="G8" s="437"/>
      <c r="H8" s="21"/>
      <c r="I8" s="29"/>
      <c r="J8" s="231"/>
      <c r="K8" s="231"/>
      <c r="L8" s="231"/>
      <c r="M8" s="231"/>
      <c r="N8" s="231"/>
      <c r="O8" s="231"/>
      <c r="P8" s="231"/>
      <c r="Q8" s="231"/>
      <c r="R8" s="231"/>
      <c r="S8" s="231"/>
      <c r="T8" s="231"/>
      <c r="U8" s="231"/>
      <c r="V8" s="231"/>
      <c r="W8" s="231"/>
      <c r="X8" s="231"/>
      <c r="Y8" s="231"/>
      <c r="Z8" s="231"/>
      <c r="AA8" s="231"/>
      <c r="AB8" s="231"/>
      <c r="AC8" s="231"/>
      <c r="AD8" s="231"/>
      <c r="AE8" s="231"/>
    </row>
    <row r="9" spans="1:31" s="203" customFormat="1" ht="30.75" customHeight="1">
      <c r="A9" s="891" t="s">
        <v>420</v>
      </c>
      <c r="B9" s="892"/>
      <c r="C9" s="892"/>
      <c r="D9" s="892"/>
      <c r="E9" s="892"/>
      <c r="F9" s="892"/>
      <c r="G9" s="892"/>
      <c r="H9" s="892"/>
      <c r="I9" s="892"/>
      <c r="J9" s="231"/>
      <c r="K9" s="231"/>
      <c r="L9" s="231"/>
      <c r="M9" s="231"/>
      <c r="N9" s="231"/>
      <c r="O9" s="231"/>
      <c r="P9" s="231"/>
      <c r="Q9" s="231"/>
      <c r="R9" s="231"/>
      <c r="S9" s="231"/>
      <c r="T9" s="231"/>
      <c r="U9" s="231"/>
      <c r="V9" s="231"/>
      <c r="W9" s="231"/>
      <c r="X9" s="231"/>
      <c r="Y9" s="231"/>
      <c r="Z9" s="231"/>
      <c r="AA9" s="231"/>
      <c r="AB9" s="231"/>
      <c r="AC9" s="231"/>
      <c r="AD9" s="231"/>
      <c r="AE9" s="231"/>
    </row>
    <row r="10" spans="1:31" s="203" customFormat="1" ht="12.75" customHeight="1">
      <c r="A10" s="22" t="s">
        <v>409</v>
      </c>
      <c r="B10" s="19"/>
      <c r="C10" s="1"/>
      <c r="D10" s="880" t="s">
        <v>250</v>
      </c>
      <c r="E10" s="881"/>
      <c r="F10" s="881"/>
      <c r="G10" s="207"/>
      <c r="H10" s="207"/>
      <c r="I10" s="29"/>
      <c r="J10" s="231"/>
      <c r="K10" s="231"/>
      <c r="L10" s="231"/>
      <c r="M10" s="231"/>
      <c r="N10" s="231"/>
      <c r="O10" s="231"/>
      <c r="P10" s="231"/>
      <c r="Q10" s="231"/>
      <c r="R10" s="231"/>
      <c r="S10" s="231"/>
      <c r="T10" s="231"/>
      <c r="U10" s="231"/>
      <c r="V10" s="231"/>
      <c r="W10" s="231"/>
      <c r="X10" s="231"/>
      <c r="Y10" s="231"/>
      <c r="Z10" s="231"/>
      <c r="AA10" s="231"/>
      <c r="AB10" s="231"/>
      <c r="AC10" s="231"/>
      <c r="AD10" s="231"/>
      <c r="AE10" s="231"/>
    </row>
    <row r="11" spans="1:31" s="203" customFormat="1">
      <c r="A11" s="23"/>
      <c r="B11" s="207"/>
      <c r="C11" s="207"/>
      <c r="D11" s="207"/>
      <c r="E11" s="207"/>
      <c r="F11" s="207"/>
      <c r="G11" s="21"/>
      <c r="H11" s="21"/>
      <c r="I11" s="29"/>
      <c r="J11" s="231"/>
      <c r="K11" s="231"/>
      <c r="L11" s="231"/>
      <c r="M11" s="231"/>
      <c r="N11" s="231"/>
      <c r="O11" s="231"/>
      <c r="P11" s="231"/>
      <c r="Q11" s="231"/>
      <c r="R11" s="231"/>
      <c r="S11" s="231"/>
      <c r="T11" s="231"/>
      <c r="U11" s="231"/>
      <c r="V11" s="231"/>
      <c r="W11" s="231"/>
      <c r="X11" s="231"/>
      <c r="Y11" s="231"/>
      <c r="Z11" s="231"/>
      <c r="AA11" s="231"/>
      <c r="AB11" s="231"/>
      <c r="AC11" s="231"/>
      <c r="AD11" s="231"/>
      <c r="AE11" s="231"/>
    </row>
    <row r="12" spans="1:31" s="203" customFormat="1">
      <c r="A12" s="24"/>
      <c r="B12" s="25" t="s">
        <v>7</v>
      </c>
      <c r="C12" s="26"/>
      <c r="D12" s="356"/>
      <c r="E12" s="356"/>
      <c r="F12" s="357"/>
      <c r="G12" s="21"/>
      <c r="H12" s="21"/>
      <c r="I12" s="29"/>
      <c r="J12" s="231"/>
      <c r="K12" s="231"/>
      <c r="L12" s="231"/>
      <c r="M12" s="231"/>
      <c r="N12" s="231"/>
      <c r="O12" s="231"/>
      <c r="P12" s="231"/>
      <c r="Q12" s="231"/>
      <c r="R12" s="231"/>
      <c r="S12" s="231"/>
      <c r="T12" s="231"/>
      <c r="U12" s="231"/>
      <c r="V12" s="231"/>
      <c r="W12" s="231"/>
      <c r="X12" s="231"/>
      <c r="Y12" s="231"/>
      <c r="Z12" s="231"/>
      <c r="AA12" s="231"/>
      <c r="AB12" s="231"/>
      <c r="AC12" s="231"/>
      <c r="AD12" s="231"/>
      <c r="AE12" s="231"/>
    </row>
    <row r="13" spans="1:31" s="203" customFormat="1">
      <c r="A13" s="23"/>
      <c r="B13" s="27"/>
      <c r="C13" s="358"/>
      <c r="D13" s="15"/>
      <c r="E13" s="15"/>
      <c r="F13" s="359"/>
      <c r="G13" s="207"/>
      <c r="H13" s="21"/>
      <c r="I13" s="29"/>
      <c r="J13" s="231"/>
      <c r="K13" s="231"/>
      <c r="L13" s="231"/>
      <c r="M13" s="231"/>
      <c r="N13" s="231"/>
      <c r="O13" s="231"/>
      <c r="P13" s="231"/>
      <c r="Q13" s="231"/>
      <c r="R13" s="231"/>
      <c r="S13" s="231"/>
      <c r="T13" s="231"/>
      <c r="U13" s="231"/>
      <c r="V13" s="231"/>
      <c r="W13" s="231"/>
      <c r="X13" s="231"/>
      <c r="Y13" s="231"/>
      <c r="Z13" s="231"/>
      <c r="AA13" s="231"/>
      <c r="AB13" s="231"/>
      <c r="AC13" s="231"/>
      <c r="AD13" s="231"/>
      <c r="AE13" s="231"/>
    </row>
    <row r="14" spans="1:31" s="203" customFormat="1">
      <c r="A14" s="23"/>
      <c r="B14" s="363" t="s">
        <v>328</v>
      </c>
      <c r="C14" s="870" t="s">
        <v>10</v>
      </c>
      <c r="D14" s="870"/>
      <c r="E14" s="870"/>
      <c r="F14" s="871"/>
      <c r="G14" s="207"/>
      <c r="H14" s="21"/>
      <c r="I14" s="29"/>
      <c r="J14" s="231"/>
      <c r="K14" s="231"/>
      <c r="L14" s="231"/>
      <c r="M14" s="231"/>
      <c r="N14" s="231"/>
      <c r="O14" s="231"/>
      <c r="P14" s="231"/>
      <c r="Q14" s="231"/>
      <c r="R14" s="231"/>
      <c r="S14" s="231"/>
      <c r="T14" s="231"/>
      <c r="U14" s="231"/>
      <c r="V14" s="231"/>
      <c r="W14" s="231"/>
      <c r="X14" s="231"/>
      <c r="Y14" s="231"/>
      <c r="Z14" s="231"/>
      <c r="AA14" s="231"/>
      <c r="AB14" s="231"/>
      <c r="AC14" s="231"/>
      <c r="AD14" s="231"/>
      <c r="AE14" s="231"/>
    </row>
    <row r="15" spans="1:31" s="203" customFormat="1">
      <c r="A15" s="23"/>
      <c r="B15" s="363" t="s">
        <v>329</v>
      </c>
      <c r="C15" s="870" t="s">
        <v>12</v>
      </c>
      <c r="D15" s="870"/>
      <c r="E15" s="870"/>
      <c r="F15" s="871"/>
      <c r="G15" s="207"/>
      <c r="H15" s="21"/>
      <c r="I15" s="29"/>
      <c r="J15" s="231"/>
      <c r="K15" s="231"/>
      <c r="L15" s="231"/>
      <c r="M15" s="231"/>
      <c r="N15" s="231"/>
      <c r="O15" s="231"/>
      <c r="P15" s="231"/>
      <c r="Q15" s="231"/>
      <c r="R15" s="231"/>
      <c r="S15" s="231"/>
      <c r="T15" s="231"/>
      <c r="U15" s="231"/>
      <c r="V15" s="231"/>
      <c r="W15" s="231"/>
      <c r="X15" s="231"/>
      <c r="Y15" s="231"/>
      <c r="Z15" s="231"/>
      <c r="AA15" s="231"/>
      <c r="AB15" s="231"/>
      <c r="AC15" s="231"/>
      <c r="AD15" s="231"/>
      <c r="AE15" s="231"/>
    </row>
    <row r="16" spans="1:31" s="203" customFormat="1">
      <c r="A16" s="23"/>
      <c r="B16" s="360" t="s">
        <v>14</v>
      </c>
      <c r="C16" s="870" t="s">
        <v>15</v>
      </c>
      <c r="D16" s="870"/>
      <c r="E16" s="870"/>
      <c r="F16" s="871"/>
      <c r="G16" s="207"/>
      <c r="H16" s="21"/>
      <c r="I16" s="29"/>
      <c r="J16" s="231"/>
      <c r="K16" s="231"/>
      <c r="L16" s="231"/>
      <c r="M16" s="231"/>
      <c r="N16" s="231"/>
      <c r="O16" s="231"/>
      <c r="P16" s="231"/>
      <c r="Q16" s="231"/>
      <c r="R16" s="231"/>
      <c r="S16" s="231"/>
      <c r="T16" s="231"/>
      <c r="U16" s="231"/>
      <c r="V16" s="231"/>
      <c r="W16" s="231"/>
      <c r="X16" s="231"/>
      <c r="Y16" s="231"/>
      <c r="Z16" s="231"/>
      <c r="AA16" s="231"/>
      <c r="AB16" s="231"/>
      <c r="AC16" s="231"/>
      <c r="AD16" s="231"/>
      <c r="AE16" s="231"/>
    </row>
    <row r="17" spans="1:31" s="203" customFormat="1">
      <c r="A17" s="23"/>
      <c r="B17" s="360" t="s">
        <v>17</v>
      </c>
      <c r="C17" s="870" t="s">
        <v>18</v>
      </c>
      <c r="D17" s="870"/>
      <c r="E17" s="870"/>
      <c r="F17" s="871"/>
      <c r="G17" s="207"/>
      <c r="H17" s="21"/>
      <c r="I17" s="29"/>
      <c r="J17" s="231"/>
      <c r="K17" s="231"/>
      <c r="L17" s="231"/>
      <c r="M17" s="231"/>
      <c r="N17" s="231"/>
      <c r="O17" s="231"/>
      <c r="P17" s="231"/>
      <c r="Q17" s="231"/>
      <c r="R17" s="231"/>
      <c r="S17" s="231"/>
      <c r="T17" s="231"/>
      <c r="U17" s="231"/>
      <c r="V17" s="231"/>
      <c r="W17" s="231"/>
      <c r="X17" s="231"/>
      <c r="Y17" s="231"/>
      <c r="Z17" s="231"/>
      <c r="AA17" s="231"/>
      <c r="AB17" s="231"/>
      <c r="AC17" s="231"/>
      <c r="AD17" s="231"/>
      <c r="AE17" s="231"/>
    </row>
    <row r="18" spans="1:31" s="203" customFormat="1">
      <c r="A18" s="23"/>
      <c r="B18" s="360" t="s">
        <v>20</v>
      </c>
      <c r="C18" s="870" t="s">
        <v>21</v>
      </c>
      <c r="D18" s="870"/>
      <c r="E18" s="870"/>
      <c r="F18" s="871"/>
      <c r="G18" s="207"/>
      <c r="H18" s="21"/>
      <c r="I18" s="29"/>
      <c r="J18" s="231"/>
      <c r="K18" s="231"/>
      <c r="L18" s="231"/>
      <c r="M18" s="231"/>
      <c r="N18" s="231"/>
      <c r="O18" s="231"/>
      <c r="P18" s="231"/>
      <c r="Q18" s="231"/>
      <c r="R18" s="231"/>
      <c r="S18" s="231"/>
      <c r="T18" s="231"/>
      <c r="U18" s="231"/>
      <c r="V18" s="231"/>
      <c r="W18" s="231"/>
      <c r="X18" s="231"/>
      <c r="Y18" s="231"/>
      <c r="Z18" s="231"/>
      <c r="AA18" s="231"/>
      <c r="AB18" s="231"/>
      <c r="AC18" s="231"/>
      <c r="AD18" s="231"/>
      <c r="AE18" s="231"/>
    </row>
    <row r="19" spans="1:31" s="203" customFormat="1">
      <c r="A19" s="23"/>
      <c r="B19" s="361" t="s">
        <v>23</v>
      </c>
      <c r="C19" s="872" t="s">
        <v>24</v>
      </c>
      <c r="D19" s="872"/>
      <c r="E19" s="872"/>
      <c r="F19" s="873"/>
      <c r="G19" s="21"/>
      <c r="H19" s="21"/>
      <c r="I19" s="29"/>
      <c r="J19" s="231"/>
      <c r="K19" s="231"/>
      <c r="L19" s="231"/>
      <c r="M19" s="231"/>
      <c r="N19" s="231"/>
      <c r="O19" s="231"/>
      <c r="P19" s="231"/>
      <c r="Q19" s="231"/>
      <c r="R19" s="231"/>
      <c r="S19" s="231"/>
      <c r="T19" s="231"/>
      <c r="U19" s="231"/>
      <c r="V19" s="231"/>
      <c r="W19" s="231"/>
      <c r="X19" s="231"/>
      <c r="Y19" s="231"/>
      <c r="Z19" s="231"/>
      <c r="AA19" s="231"/>
      <c r="AB19" s="231"/>
      <c r="AC19" s="231"/>
      <c r="AD19" s="231"/>
      <c r="AE19" s="231"/>
    </row>
    <row r="20" spans="1:31" s="203" customFormat="1">
      <c r="A20" s="236"/>
      <c r="B20" s="206"/>
      <c r="C20" s="206"/>
      <c r="D20" s="206"/>
      <c r="E20" s="206"/>
      <c r="F20" s="206"/>
      <c r="G20" s="206"/>
      <c r="H20" s="206"/>
      <c r="I20" s="206"/>
      <c r="J20" s="231"/>
      <c r="K20" s="231"/>
      <c r="L20" s="231"/>
      <c r="M20" s="231"/>
      <c r="N20" s="231"/>
      <c r="O20" s="231"/>
      <c r="P20" s="231"/>
      <c r="Q20" s="231"/>
      <c r="R20" s="231"/>
      <c r="S20" s="231"/>
      <c r="T20" s="231"/>
      <c r="U20" s="231"/>
      <c r="V20" s="231"/>
      <c r="W20" s="231"/>
      <c r="X20" s="231"/>
      <c r="Y20" s="231"/>
      <c r="Z20" s="231"/>
      <c r="AA20" s="231"/>
      <c r="AB20" s="231"/>
      <c r="AC20" s="231"/>
      <c r="AD20" s="231"/>
      <c r="AE20" s="231"/>
    </row>
    <row r="21" spans="1:31" s="203" customFormat="1" ht="19.5">
      <c r="A21" s="30"/>
      <c r="B21" s="13"/>
      <c r="C21" s="13"/>
      <c r="D21" s="13"/>
      <c r="E21" s="13"/>
      <c r="F21" s="13"/>
      <c r="G21" s="13"/>
      <c r="H21" s="31" t="s">
        <v>27</v>
      </c>
      <c r="I21" s="237"/>
      <c r="J21" s="231"/>
      <c r="K21" s="231"/>
      <c r="L21" s="231"/>
      <c r="M21" s="231"/>
      <c r="N21" s="231"/>
      <c r="O21" s="231"/>
      <c r="P21" s="231"/>
      <c r="Q21" s="231"/>
      <c r="R21" s="231"/>
      <c r="S21" s="231"/>
      <c r="T21" s="231"/>
      <c r="U21" s="231"/>
      <c r="V21" s="231"/>
      <c r="W21" s="231"/>
      <c r="X21" s="231"/>
      <c r="Y21" s="231"/>
      <c r="Z21" s="231"/>
      <c r="AA21" s="231"/>
      <c r="AB21" s="231"/>
      <c r="AC21" s="231"/>
      <c r="AD21" s="231"/>
      <c r="AE21" s="231"/>
    </row>
    <row r="22" spans="1:31" s="203" customFormat="1" ht="18.75" customHeight="1">
      <c r="A22" s="32"/>
      <c r="B22" s="29"/>
      <c r="C22" s="29"/>
      <c r="D22" s="29"/>
      <c r="E22" s="29"/>
      <c r="F22" s="33">
        <v>1</v>
      </c>
      <c r="G22" s="34"/>
      <c r="H22" s="33">
        <v>2</v>
      </c>
      <c r="I22" s="34"/>
      <c r="J22" s="231"/>
      <c r="K22" s="231"/>
      <c r="L22" s="231"/>
      <c r="M22" s="231"/>
      <c r="N22" s="231"/>
      <c r="O22" s="231"/>
      <c r="P22" s="231"/>
      <c r="Q22" s="231"/>
      <c r="R22" s="231"/>
      <c r="S22" s="231"/>
      <c r="T22" s="231"/>
      <c r="U22" s="231"/>
      <c r="V22" s="231"/>
      <c r="W22" s="231"/>
      <c r="X22" s="231"/>
      <c r="Y22" s="231"/>
      <c r="Z22" s="231"/>
      <c r="AA22" s="231"/>
      <c r="AB22" s="231"/>
      <c r="AC22" s="231"/>
      <c r="AD22" s="231"/>
      <c r="AE22" s="231"/>
    </row>
    <row r="23" spans="1:31" s="203" customFormat="1" ht="21.95" customHeight="1">
      <c r="A23" s="874" t="s">
        <v>30</v>
      </c>
      <c r="B23" s="875"/>
      <c r="C23" s="875"/>
      <c r="D23" s="875"/>
      <c r="E23" s="878" t="s">
        <v>376</v>
      </c>
      <c r="F23" s="856" t="s">
        <v>407</v>
      </c>
      <c r="G23" s="36"/>
      <c r="H23" s="878" t="s">
        <v>406</v>
      </c>
      <c r="I23" s="36"/>
      <c r="J23" s="231"/>
      <c r="K23" s="231"/>
      <c r="L23" s="231"/>
      <c r="M23" s="231"/>
      <c r="N23" s="231"/>
      <c r="O23" s="231"/>
      <c r="P23" s="231"/>
      <c r="Q23" s="231"/>
      <c r="R23" s="231"/>
      <c r="S23" s="231"/>
      <c r="T23" s="231"/>
      <c r="U23" s="231"/>
      <c r="V23" s="231"/>
      <c r="W23" s="231"/>
      <c r="X23" s="231"/>
      <c r="Y23" s="231"/>
      <c r="Z23" s="231"/>
      <c r="AA23" s="231"/>
      <c r="AB23" s="231"/>
      <c r="AC23" s="231"/>
      <c r="AD23" s="231"/>
      <c r="AE23" s="231"/>
    </row>
    <row r="24" spans="1:31" s="203" customFormat="1" ht="21.95" customHeight="1">
      <c r="A24" s="876"/>
      <c r="B24" s="877"/>
      <c r="C24" s="877"/>
      <c r="D24" s="877"/>
      <c r="E24" s="879"/>
      <c r="F24" s="860"/>
      <c r="G24" s="23"/>
      <c r="H24" s="879"/>
      <c r="I24" s="36"/>
      <c r="J24" s="231"/>
      <c r="K24" s="231"/>
      <c r="L24" s="231"/>
      <c r="M24" s="231"/>
      <c r="N24" s="231"/>
      <c r="O24" s="231"/>
      <c r="P24" s="231"/>
      <c r="Q24" s="231"/>
      <c r="R24" s="231"/>
      <c r="S24" s="231"/>
      <c r="T24" s="231"/>
      <c r="U24" s="231"/>
      <c r="V24" s="231"/>
      <c r="W24" s="231"/>
      <c r="X24" s="231"/>
      <c r="Y24" s="231"/>
      <c r="Z24" s="231"/>
      <c r="AA24" s="231"/>
      <c r="AB24" s="231"/>
      <c r="AC24" s="231"/>
      <c r="AD24" s="231"/>
      <c r="AE24" s="231"/>
    </row>
    <row r="25" spans="1:31" s="203" customFormat="1" ht="21.95" customHeight="1">
      <c r="A25" s="898" t="s">
        <v>48</v>
      </c>
      <c r="B25" s="901" t="s">
        <v>49</v>
      </c>
      <c r="C25" s="901"/>
      <c r="D25" s="902"/>
      <c r="E25" s="907" t="s">
        <v>50</v>
      </c>
      <c r="F25" s="909" t="s">
        <v>51</v>
      </c>
      <c r="G25" s="34"/>
      <c r="H25" s="907" t="s">
        <v>50</v>
      </c>
      <c r="I25" s="36"/>
      <c r="J25" s="231"/>
      <c r="K25" s="231"/>
      <c r="L25" s="231"/>
      <c r="M25" s="231"/>
      <c r="N25" s="231"/>
      <c r="O25" s="231"/>
      <c r="P25" s="231"/>
      <c r="Q25" s="231"/>
      <c r="R25" s="231"/>
      <c r="S25" s="231"/>
      <c r="T25" s="231"/>
      <c r="U25" s="231"/>
      <c r="V25" s="231"/>
      <c r="W25" s="231"/>
      <c r="X25" s="231"/>
      <c r="Y25" s="231"/>
      <c r="Z25" s="231"/>
      <c r="AA25" s="231"/>
      <c r="AB25" s="231"/>
      <c r="AC25" s="231"/>
      <c r="AD25" s="231"/>
      <c r="AE25" s="231"/>
    </row>
    <row r="26" spans="1:31" s="203" customFormat="1" ht="21.95" customHeight="1">
      <c r="A26" s="899"/>
      <c r="B26" s="903"/>
      <c r="C26" s="903"/>
      <c r="D26" s="904"/>
      <c r="E26" s="908"/>
      <c r="F26" s="859"/>
      <c r="G26" s="34"/>
      <c r="H26" s="908"/>
      <c r="I26" s="36"/>
      <c r="J26" s="231"/>
      <c r="K26" s="231"/>
      <c r="L26" s="231"/>
      <c r="M26" s="231"/>
      <c r="N26" s="231"/>
      <c r="O26" s="231"/>
      <c r="P26" s="231"/>
      <c r="Q26" s="231"/>
      <c r="R26" s="231"/>
      <c r="S26" s="231"/>
      <c r="T26" s="231"/>
      <c r="U26" s="231"/>
      <c r="V26" s="231"/>
      <c r="W26" s="231"/>
      <c r="X26" s="231"/>
      <c r="Y26" s="231"/>
      <c r="Z26" s="231"/>
      <c r="AA26" s="231"/>
      <c r="AB26" s="231"/>
      <c r="AC26" s="231"/>
      <c r="AD26" s="231"/>
      <c r="AE26" s="231"/>
    </row>
    <row r="27" spans="1:31" s="203" customFormat="1" ht="21.95" customHeight="1">
      <c r="A27" s="900"/>
      <c r="B27" s="905"/>
      <c r="C27" s="905"/>
      <c r="D27" s="906"/>
      <c r="E27" s="879"/>
      <c r="F27" s="860"/>
      <c r="G27" s="34"/>
      <c r="H27" s="879"/>
      <c r="I27" s="36"/>
      <c r="J27" s="231"/>
      <c r="K27" s="231"/>
      <c r="L27" s="231"/>
      <c r="M27" s="231"/>
      <c r="N27" s="231"/>
      <c r="O27" s="231"/>
      <c r="P27" s="231"/>
      <c r="Q27" s="231"/>
      <c r="R27" s="231"/>
      <c r="S27" s="231"/>
      <c r="T27" s="231"/>
      <c r="U27" s="231"/>
      <c r="V27" s="231"/>
      <c r="W27" s="231"/>
      <c r="X27" s="231"/>
      <c r="Y27" s="231"/>
      <c r="Z27" s="231"/>
      <c r="AA27" s="231"/>
      <c r="AB27" s="231"/>
      <c r="AC27" s="231"/>
      <c r="AD27" s="231"/>
      <c r="AE27" s="231"/>
    </row>
    <row r="28" spans="1:31" s="203" customFormat="1">
      <c r="A28" s="38">
        <v>1</v>
      </c>
      <c r="B28" s="39" t="s">
        <v>52</v>
      </c>
      <c r="C28" s="39"/>
      <c r="D28" s="40"/>
      <c r="E28" s="41">
        <v>42986</v>
      </c>
      <c r="F28" s="42">
        <f>F77</f>
        <v>42924</v>
      </c>
      <c r="G28" s="43"/>
      <c r="H28" s="44">
        <f>H77</f>
        <v>44636</v>
      </c>
      <c r="I28" s="43"/>
      <c r="J28" s="231"/>
      <c r="K28" s="231"/>
      <c r="L28" s="231"/>
      <c r="M28" s="231"/>
      <c r="N28" s="231"/>
      <c r="O28" s="231"/>
      <c r="P28" s="231"/>
      <c r="Q28" s="231"/>
      <c r="R28" s="231"/>
      <c r="S28" s="231"/>
      <c r="T28" s="231"/>
      <c r="U28" s="231"/>
      <c r="V28" s="231"/>
      <c r="W28" s="231"/>
      <c r="X28" s="231"/>
      <c r="Y28" s="231"/>
      <c r="Z28" s="231"/>
      <c r="AA28" s="231"/>
      <c r="AB28" s="231"/>
      <c r="AC28" s="231"/>
      <c r="AD28" s="231"/>
      <c r="AE28" s="231"/>
    </row>
    <row r="29" spans="1:31" s="203" customFormat="1">
      <c r="A29" s="46">
        <v>2</v>
      </c>
      <c r="B29" s="47" t="s">
        <v>53</v>
      </c>
      <c r="C29" s="47"/>
      <c r="D29" s="48"/>
      <c r="E29" s="49">
        <v>24275</v>
      </c>
      <c r="F29" s="50">
        <f>F105</f>
        <v>23600</v>
      </c>
      <c r="G29" s="43"/>
      <c r="H29" s="51">
        <f>H105</f>
        <v>24862</v>
      </c>
      <c r="I29" s="43"/>
      <c r="J29" s="231"/>
      <c r="K29" s="231"/>
      <c r="L29" s="231"/>
      <c r="M29" s="231"/>
      <c r="N29" s="231"/>
      <c r="O29" s="231"/>
      <c r="P29" s="231"/>
      <c r="Q29" s="231"/>
      <c r="R29" s="231"/>
      <c r="S29" s="231"/>
      <c r="T29" s="231"/>
      <c r="U29" s="231"/>
      <c r="V29" s="231"/>
      <c r="W29" s="231"/>
      <c r="X29" s="231"/>
      <c r="Y29" s="231"/>
      <c r="Z29" s="231"/>
      <c r="AA29" s="231"/>
      <c r="AB29" s="231"/>
      <c r="AC29" s="231"/>
      <c r="AD29" s="231"/>
      <c r="AE29" s="231"/>
    </row>
    <row r="30" spans="1:31" s="203" customFormat="1">
      <c r="A30" s="46">
        <v>3</v>
      </c>
      <c r="B30" s="47" t="s">
        <v>54</v>
      </c>
      <c r="C30" s="47"/>
      <c r="D30" s="48"/>
      <c r="E30" s="49">
        <v>7374</v>
      </c>
      <c r="F30" s="50">
        <f>F180</f>
        <v>7419</v>
      </c>
      <c r="G30" s="43"/>
      <c r="H30" s="51">
        <f>H180</f>
        <v>6736</v>
      </c>
      <c r="I30" s="43"/>
      <c r="J30" s="231"/>
      <c r="K30" s="231"/>
      <c r="L30" s="231"/>
      <c r="M30" s="231"/>
      <c r="N30" s="231"/>
      <c r="O30" s="231"/>
      <c r="P30" s="231"/>
      <c r="Q30" s="231"/>
      <c r="R30" s="231"/>
      <c r="S30" s="231"/>
      <c r="T30" s="231"/>
      <c r="U30" s="231"/>
      <c r="V30" s="231"/>
      <c r="W30" s="231"/>
      <c r="X30" s="231"/>
      <c r="Y30" s="231"/>
      <c r="Z30" s="231"/>
      <c r="AA30" s="231"/>
      <c r="AB30" s="231"/>
      <c r="AC30" s="231"/>
      <c r="AD30" s="231"/>
      <c r="AE30" s="231"/>
    </row>
    <row r="31" spans="1:31" s="203" customFormat="1">
      <c r="A31" s="46">
        <v>4</v>
      </c>
      <c r="B31" s="47" t="s">
        <v>55</v>
      </c>
      <c r="C31" s="47"/>
      <c r="D31" s="48"/>
      <c r="E31" s="49">
        <v>6278</v>
      </c>
      <c r="F31" s="50">
        <f>F214</f>
        <v>6278</v>
      </c>
      <c r="G31" s="43"/>
      <c r="H31" s="51">
        <f>H214</f>
        <v>5139</v>
      </c>
      <c r="I31" s="43"/>
      <c r="J31" s="231"/>
      <c r="K31" s="231"/>
      <c r="L31" s="231"/>
      <c r="M31" s="231"/>
      <c r="N31" s="231"/>
      <c r="O31" s="231"/>
      <c r="P31" s="231"/>
      <c r="Q31" s="231"/>
      <c r="R31" s="231"/>
      <c r="S31" s="231"/>
      <c r="T31" s="231"/>
      <c r="U31" s="231"/>
      <c r="V31" s="231"/>
      <c r="W31" s="231"/>
      <c r="X31" s="231"/>
      <c r="Y31" s="231"/>
      <c r="Z31" s="231"/>
      <c r="AA31" s="231"/>
      <c r="AB31" s="231"/>
      <c r="AC31" s="231"/>
      <c r="AD31" s="231"/>
      <c r="AE31" s="231"/>
    </row>
    <row r="32" spans="1:31" s="203" customFormat="1">
      <c r="A32" s="46">
        <v>5</v>
      </c>
      <c r="B32" s="47" t="s">
        <v>56</v>
      </c>
      <c r="C32" s="47"/>
      <c r="D32" s="48"/>
      <c r="E32" s="49">
        <v>2836</v>
      </c>
      <c r="F32" s="50">
        <f>F231</f>
        <v>3238</v>
      </c>
      <c r="G32" s="43"/>
      <c r="H32" s="51">
        <f>H231</f>
        <v>2776</v>
      </c>
      <c r="I32" s="43"/>
      <c r="J32" s="231"/>
      <c r="K32" s="231"/>
      <c r="L32" s="231"/>
      <c r="M32" s="231"/>
      <c r="N32" s="231"/>
      <c r="O32" s="231"/>
      <c r="P32" s="231"/>
      <c r="Q32" s="231"/>
      <c r="R32" s="231"/>
      <c r="S32" s="231"/>
      <c r="T32" s="231"/>
      <c r="U32" s="231"/>
      <c r="V32" s="231"/>
      <c r="W32" s="231"/>
      <c r="X32" s="231"/>
      <c r="Y32" s="231"/>
      <c r="Z32" s="231"/>
      <c r="AA32" s="231"/>
      <c r="AB32" s="231"/>
      <c r="AC32" s="231"/>
      <c r="AD32" s="231"/>
      <c r="AE32" s="231"/>
    </row>
    <row r="33" spans="1:31" s="203" customFormat="1">
      <c r="A33" s="46">
        <v>6</v>
      </c>
      <c r="B33" s="47" t="s">
        <v>57</v>
      </c>
      <c r="C33" s="47"/>
      <c r="D33" s="48"/>
      <c r="E33" s="49">
        <v>3812</v>
      </c>
      <c r="F33" s="50">
        <f>F257</f>
        <v>3691</v>
      </c>
      <c r="G33" s="43"/>
      <c r="H33" s="51">
        <f>H257</f>
        <v>3596</v>
      </c>
      <c r="I33" s="43"/>
      <c r="J33" s="231"/>
      <c r="K33" s="231"/>
      <c r="L33" s="231"/>
      <c r="M33" s="231"/>
      <c r="N33" s="231"/>
      <c r="O33" s="231"/>
      <c r="P33" s="231"/>
      <c r="Q33" s="231"/>
      <c r="R33" s="231"/>
      <c r="S33" s="231"/>
      <c r="T33" s="231"/>
      <c r="U33" s="231"/>
      <c r="V33" s="231"/>
      <c r="W33" s="231"/>
      <c r="X33" s="231"/>
      <c r="Y33" s="231"/>
      <c r="Z33" s="231"/>
      <c r="AA33" s="231"/>
      <c r="AB33" s="231"/>
      <c r="AC33" s="231"/>
      <c r="AD33" s="231"/>
      <c r="AE33" s="231"/>
    </row>
    <row r="34" spans="1:31" s="203" customFormat="1">
      <c r="A34" s="46">
        <v>7</v>
      </c>
      <c r="B34" s="47" t="s">
        <v>58</v>
      </c>
      <c r="C34" s="47"/>
      <c r="D34" s="48"/>
      <c r="E34" s="49">
        <v>2453</v>
      </c>
      <c r="F34" s="50">
        <f>F277</f>
        <v>2493</v>
      </c>
      <c r="G34" s="43"/>
      <c r="H34" s="50">
        <f>H277</f>
        <v>2531</v>
      </c>
      <c r="I34" s="43"/>
      <c r="J34" s="231"/>
      <c r="K34" s="231"/>
      <c r="L34" s="231"/>
      <c r="M34" s="231"/>
      <c r="N34" s="231"/>
      <c r="O34" s="231"/>
      <c r="P34" s="231"/>
      <c r="Q34" s="231"/>
      <c r="R34" s="231"/>
      <c r="S34" s="231"/>
      <c r="T34" s="231"/>
      <c r="U34" s="231"/>
      <c r="V34" s="231"/>
      <c r="W34" s="231"/>
      <c r="X34" s="231"/>
      <c r="Y34" s="231"/>
      <c r="Z34" s="231"/>
      <c r="AA34" s="231"/>
      <c r="AB34" s="231"/>
      <c r="AC34" s="231"/>
      <c r="AD34" s="231"/>
      <c r="AE34" s="231"/>
    </row>
    <row r="35" spans="1:31" s="203" customFormat="1">
      <c r="A35" s="46">
        <v>8</v>
      </c>
      <c r="B35" s="47" t="s">
        <v>59</v>
      </c>
      <c r="C35" s="47"/>
      <c r="D35" s="48"/>
      <c r="E35" s="49">
        <v>4243</v>
      </c>
      <c r="F35" s="50">
        <f>F302</f>
        <v>4377</v>
      </c>
      <c r="G35" s="43"/>
      <c r="H35" s="50">
        <f>H302</f>
        <v>4176</v>
      </c>
      <c r="I35" s="21"/>
      <c r="J35" s="231"/>
      <c r="K35" s="231"/>
      <c r="L35" s="231"/>
      <c r="M35" s="231"/>
      <c r="N35" s="231"/>
      <c r="O35" s="231"/>
      <c r="P35" s="231"/>
      <c r="Q35" s="231"/>
      <c r="R35" s="231"/>
      <c r="S35" s="231"/>
      <c r="T35" s="231"/>
      <c r="U35" s="231"/>
      <c r="V35" s="231"/>
      <c r="W35" s="231"/>
      <c r="X35" s="231"/>
      <c r="Y35" s="231"/>
      <c r="Z35" s="231"/>
      <c r="AA35" s="231"/>
      <c r="AB35" s="231"/>
      <c r="AC35" s="231"/>
      <c r="AD35" s="231"/>
      <c r="AE35" s="231"/>
    </row>
    <row r="36" spans="1:31" s="203" customFormat="1">
      <c r="A36" s="46">
        <v>9</v>
      </c>
      <c r="B36" s="47" t="s">
        <v>60</v>
      </c>
      <c r="C36" s="47"/>
      <c r="D36" s="48"/>
      <c r="E36" s="49">
        <v>263</v>
      </c>
      <c r="F36" s="52">
        <v>298</v>
      </c>
      <c r="G36" s="43"/>
      <c r="H36" s="52">
        <v>286</v>
      </c>
      <c r="I36" s="21"/>
      <c r="J36" s="231"/>
      <c r="K36" s="231"/>
      <c r="L36" s="231"/>
      <c r="M36" s="231"/>
      <c r="N36" s="231"/>
      <c r="O36" s="231"/>
      <c r="P36" s="231"/>
      <c r="Q36" s="231"/>
      <c r="R36" s="231"/>
      <c r="S36" s="231"/>
      <c r="T36" s="231"/>
      <c r="U36" s="231"/>
      <c r="V36" s="231"/>
      <c r="W36" s="231"/>
      <c r="X36" s="231"/>
      <c r="Y36" s="231"/>
      <c r="Z36" s="231"/>
      <c r="AA36" s="231"/>
      <c r="AB36" s="231"/>
      <c r="AC36" s="231"/>
      <c r="AD36" s="231"/>
      <c r="AE36" s="231"/>
    </row>
    <row r="37" spans="1:31" s="203" customFormat="1">
      <c r="A37" s="53">
        <v>10</v>
      </c>
      <c r="B37" s="54" t="s">
        <v>61</v>
      </c>
      <c r="C37" s="54"/>
      <c r="D37" s="55"/>
      <c r="E37" s="56">
        <v>15335</v>
      </c>
      <c r="F37" s="57">
        <f>F320</f>
        <v>14898</v>
      </c>
      <c r="G37" s="43"/>
      <c r="H37" s="57">
        <f>H320</f>
        <v>15086</v>
      </c>
      <c r="I37" s="21"/>
      <c r="J37" s="231"/>
      <c r="K37" s="231"/>
      <c r="L37" s="231"/>
      <c r="M37" s="231"/>
      <c r="N37" s="231"/>
      <c r="O37" s="231"/>
      <c r="P37" s="231"/>
      <c r="Q37" s="231"/>
      <c r="R37" s="231"/>
      <c r="S37" s="231"/>
      <c r="T37" s="231"/>
      <c r="U37" s="231"/>
      <c r="V37" s="231"/>
      <c r="W37" s="231"/>
      <c r="X37" s="231"/>
      <c r="Y37" s="231"/>
      <c r="Z37" s="231"/>
      <c r="AA37" s="231"/>
      <c r="AB37" s="231"/>
      <c r="AC37" s="231"/>
      <c r="AD37" s="231"/>
      <c r="AE37" s="231"/>
    </row>
    <row r="38" spans="1:31" s="203" customFormat="1">
      <c r="A38" s="33">
        <v>11</v>
      </c>
      <c r="B38" s="58" t="s">
        <v>62</v>
      </c>
      <c r="C38" s="58"/>
      <c r="D38" s="59"/>
      <c r="E38" s="60">
        <v>109855</v>
      </c>
      <c r="F38" s="61">
        <f>SUM(F28:F37)</f>
        <v>109216</v>
      </c>
      <c r="G38" s="43"/>
      <c r="H38" s="61">
        <f>SUM(H28:H37)</f>
        <v>109824</v>
      </c>
      <c r="I38" s="68"/>
      <c r="J38" s="231"/>
      <c r="K38" s="231"/>
      <c r="L38" s="231"/>
      <c r="M38" s="231"/>
      <c r="N38" s="231"/>
      <c r="O38" s="231"/>
      <c r="P38" s="231"/>
      <c r="Q38" s="231"/>
      <c r="R38" s="231"/>
      <c r="S38" s="231"/>
      <c r="T38" s="231"/>
      <c r="U38" s="231"/>
      <c r="V38" s="231"/>
      <c r="W38" s="231"/>
      <c r="X38" s="231"/>
      <c r="Y38" s="231"/>
      <c r="Z38" s="231"/>
      <c r="AA38" s="231"/>
      <c r="AB38" s="231"/>
      <c r="AC38" s="231"/>
      <c r="AD38" s="231"/>
      <c r="AE38" s="231"/>
    </row>
    <row r="39" spans="1:31" s="203" customFormat="1" ht="12.75" customHeight="1">
      <c r="A39" s="63"/>
      <c r="B39" s="64"/>
      <c r="C39" s="64"/>
      <c r="D39" s="65"/>
      <c r="E39" s="66"/>
      <c r="F39" s="67"/>
      <c r="G39" s="21"/>
      <c r="H39" s="67"/>
      <c r="I39" s="68"/>
      <c r="J39" s="231"/>
      <c r="K39" s="231"/>
      <c r="L39" s="231"/>
      <c r="M39" s="231"/>
      <c r="N39" s="231"/>
      <c r="O39" s="231"/>
      <c r="P39" s="231"/>
      <c r="Q39" s="231"/>
      <c r="R39" s="231"/>
      <c r="S39" s="231"/>
      <c r="T39" s="231"/>
      <c r="U39" s="231"/>
      <c r="V39" s="231"/>
      <c r="W39" s="231"/>
      <c r="X39" s="231"/>
      <c r="Y39" s="231"/>
      <c r="Z39" s="231"/>
      <c r="AA39" s="231"/>
      <c r="AB39" s="231"/>
      <c r="AC39" s="231"/>
      <c r="AD39" s="231"/>
      <c r="AE39" s="231"/>
    </row>
    <row r="40" spans="1:31" s="203" customFormat="1" ht="12.75" customHeight="1">
      <c r="A40" s="893" t="s">
        <v>63</v>
      </c>
      <c r="B40" s="894"/>
      <c r="C40" s="894"/>
      <c r="D40" s="895"/>
      <c r="E40" s="878" t="s">
        <v>376</v>
      </c>
      <c r="F40" s="856" t="s">
        <v>407</v>
      </c>
      <c r="G40" s="36"/>
      <c r="H40" s="878" t="s">
        <v>406</v>
      </c>
      <c r="I40" s="43"/>
      <c r="J40" s="231"/>
      <c r="K40" s="231"/>
      <c r="L40" s="231"/>
      <c r="M40" s="231"/>
      <c r="N40" s="231"/>
      <c r="O40" s="231"/>
      <c r="P40" s="231"/>
      <c r="Q40" s="231"/>
      <c r="R40" s="231"/>
      <c r="S40" s="231"/>
      <c r="T40" s="231"/>
      <c r="U40" s="231"/>
      <c r="V40" s="231"/>
      <c r="W40" s="231"/>
      <c r="X40" s="231"/>
      <c r="Y40" s="231"/>
      <c r="Z40" s="231"/>
      <c r="AA40" s="231"/>
      <c r="AB40" s="231"/>
      <c r="AC40" s="231"/>
      <c r="AD40" s="231"/>
      <c r="AE40" s="231"/>
    </row>
    <row r="41" spans="1:31" s="203" customFormat="1" ht="27.75" customHeight="1">
      <c r="A41" s="876"/>
      <c r="B41" s="877"/>
      <c r="C41" s="877"/>
      <c r="D41" s="896"/>
      <c r="E41" s="879"/>
      <c r="F41" s="860"/>
      <c r="G41" s="23"/>
      <c r="H41" s="879"/>
      <c r="I41" s="43"/>
      <c r="J41" s="231"/>
      <c r="K41" s="231"/>
      <c r="L41" s="231"/>
      <c r="M41" s="231"/>
      <c r="N41" s="231"/>
      <c r="O41" s="231"/>
      <c r="P41" s="231"/>
      <c r="Q41" s="231"/>
      <c r="R41" s="231"/>
      <c r="S41" s="231"/>
      <c r="T41" s="231"/>
      <c r="U41" s="231"/>
      <c r="V41" s="231"/>
      <c r="W41" s="231"/>
      <c r="X41" s="231"/>
      <c r="Y41" s="231"/>
      <c r="Z41" s="231"/>
      <c r="AA41" s="231"/>
      <c r="AB41" s="231"/>
      <c r="AC41" s="231"/>
      <c r="AD41" s="231"/>
      <c r="AE41" s="231"/>
    </row>
    <row r="42" spans="1:31" s="203" customFormat="1">
      <c r="A42" s="438" t="s">
        <v>64</v>
      </c>
      <c r="B42" s="69" t="s">
        <v>65</v>
      </c>
      <c r="C42" s="69"/>
      <c r="D42" s="70"/>
      <c r="E42" s="71"/>
      <c r="F42" s="72" t="str">
        <f>IF(OR(F43&lt;0,F44&lt;0,F47&lt;0,F48&lt;0,H43&lt;0,H44&lt;0,H47&lt;0,H48&lt;0),"Funding should be recorded as positive figures",".")</f>
        <v>.</v>
      </c>
      <c r="G42" s="45"/>
      <c r="H42" s="73"/>
      <c r="I42" s="43"/>
      <c r="J42" s="231"/>
      <c r="K42" s="231"/>
      <c r="L42" s="231"/>
      <c r="M42" s="231"/>
      <c r="N42" s="231"/>
      <c r="O42" s="231"/>
      <c r="P42" s="231"/>
      <c r="Q42" s="231"/>
      <c r="R42" s="231"/>
      <c r="S42" s="231"/>
      <c r="T42" s="231"/>
      <c r="U42" s="231"/>
      <c r="V42" s="231"/>
      <c r="W42" s="231"/>
      <c r="X42" s="231"/>
      <c r="Y42" s="231"/>
      <c r="Z42" s="231"/>
      <c r="AA42" s="231"/>
      <c r="AB42" s="231"/>
      <c r="AC42" s="231"/>
      <c r="AD42" s="231"/>
      <c r="AE42" s="231"/>
    </row>
    <row r="43" spans="1:31" s="203" customFormat="1">
      <c r="A43" s="46">
        <v>1</v>
      </c>
      <c r="B43" s="47" t="s">
        <v>66</v>
      </c>
      <c r="C43" s="47"/>
      <c r="D43" s="48"/>
      <c r="E43" s="74">
        <v>86194</v>
      </c>
      <c r="F43" s="241">
        <v>86515</v>
      </c>
      <c r="G43" s="45"/>
      <c r="H43" s="75">
        <v>84793</v>
      </c>
      <c r="I43" s="43"/>
      <c r="J43" s="231"/>
      <c r="K43" s="231"/>
      <c r="L43" s="231"/>
      <c r="M43" s="231"/>
      <c r="N43" s="231"/>
      <c r="O43" s="231"/>
      <c r="P43" s="231"/>
      <c r="Q43" s="231"/>
      <c r="R43" s="231"/>
      <c r="S43" s="231"/>
      <c r="T43" s="231"/>
      <c r="U43" s="231"/>
      <c r="V43" s="231"/>
      <c r="W43" s="231"/>
      <c r="X43" s="231"/>
      <c r="Y43" s="231"/>
      <c r="Z43" s="231"/>
      <c r="AA43" s="231"/>
      <c r="AB43" s="231"/>
      <c r="AC43" s="231"/>
      <c r="AD43" s="231"/>
      <c r="AE43" s="231"/>
    </row>
    <row r="44" spans="1:31" s="203" customFormat="1">
      <c r="A44" s="46">
        <v>2</v>
      </c>
      <c r="B44" s="47" t="s">
        <v>67</v>
      </c>
      <c r="C44" s="47"/>
      <c r="D44" s="48"/>
      <c r="E44" s="49">
        <v>7702</v>
      </c>
      <c r="F44" s="241">
        <v>7702</v>
      </c>
      <c r="G44" s="45"/>
      <c r="H44" s="75">
        <v>8482</v>
      </c>
      <c r="I44" s="43"/>
      <c r="J44" s="231"/>
      <c r="K44" s="231"/>
      <c r="L44" s="231"/>
      <c r="M44" s="231"/>
      <c r="N44" s="231"/>
      <c r="O44" s="231"/>
      <c r="P44" s="231"/>
      <c r="Q44" s="231"/>
      <c r="R44" s="231"/>
      <c r="S44" s="231"/>
      <c r="T44" s="231"/>
      <c r="U44" s="231"/>
      <c r="V44" s="231"/>
      <c r="W44" s="231"/>
      <c r="X44" s="231"/>
      <c r="Y44" s="231"/>
      <c r="Z44" s="231"/>
      <c r="AA44" s="231"/>
      <c r="AB44" s="231"/>
      <c r="AC44" s="231"/>
      <c r="AD44" s="231"/>
      <c r="AE44" s="231"/>
    </row>
    <row r="45" spans="1:31" s="203" customFormat="1">
      <c r="A45" s="46">
        <v>3</v>
      </c>
      <c r="B45" s="47" t="s">
        <v>68</v>
      </c>
      <c r="C45" s="47"/>
      <c r="D45" s="48"/>
      <c r="E45" s="49">
        <v>0</v>
      </c>
      <c r="F45" s="52">
        <v>0</v>
      </c>
      <c r="G45" s="45"/>
      <c r="H45" s="75">
        <v>0</v>
      </c>
      <c r="I45" s="43"/>
      <c r="J45" s="231"/>
      <c r="K45" s="231"/>
      <c r="L45" s="231"/>
      <c r="M45" s="231"/>
      <c r="N45" s="231"/>
      <c r="O45" s="231"/>
      <c r="P45" s="231"/>
      <c r="Q45" s="231"/>
      <c r="R45" s="231"/>
      <c r="S45" s="231"/>
      <c r="T45" s="231"/>
      <c r="U45" s="231"/>
      <c r="V45" s="231"/>
      <c r="W45" s="231"/>
      <c r="X45" s="231"/>
      <c r="Y45" s="231"/>
      <c r="Z45" s="231"/>
      <c r="AA45" s="231"/>
      <c r="AB45" s="231"/>
      <c r="AC45" s="231"/>
      <c r="AD45" s="231"/>
      <c r="AE45" s="231"/>
    </row>
    <row r="46" spans="1:31" s="203" customFormat="1">
      <c r="A46" s="46">
        <v>4</v>
      </c>
      <c r="B46" s="47" t="s">
        <v>70</v>
      </c>
      <c r="C46" s="47"/>
      <c r="D46" s="48"/>
      <c r="E46" s="49">
        <v>0</v>
      </c>
      <c r="F46" s="52">
        <v>0</v>
      </c>
      <c r="G46" s="45"/>
      <c r="H46" s="75">
        <v>0</v>
      </c>
      <c r="I46" s="43"/>
      <c r="J46" s="231"/>
      <c r="K46" s="231"/>
      <c r="L46" s="231"/>
      <c r="M46" s="231"/>
      <c r="N46" s="231"/>
      <c r="O46" s="231"/>
      <c r="P46" s="231"/>
      <c r="Q46" s="231"/>
      <c r="R46" s="231"/>
      <c r="S46" s="231"/>
      <c r="T46" s="231"/>
      <c r="U46" s="231"/>
      <c r="V46" s="231"/>
      <c r="W46" s="231"/>
      <c r="X46" s="231"/>
      <c r="Y46" s="231"/>
      <c r="Z46" s="231"/>
      <c r="AA46" s="231"/>
      <c r="AB46" s="231"/>
      <c r="AC46" s="231"/>
      <c r="AD46" s="231"/>
      <c r="AE46" s="231"/>
    </row>
    <row r="47" spans="1:31" s="203" customFormat="1">
      <c r="A47" s="46">
        <v>5</v>
      </c>
      <c r="B47" s="47" t="s">
        <v>69</v>
      </c>
      <c r="C47" s="47"/>
      <c r="D47" s="48"/>
      <c r="E47" s="49">
        <v>1820</v>
      </c>
      <c r="F47" s="52">
        <v>1580</v>
      </c>
      <c r="G47" s="45"/>
      <c r="H47" s="76">
        <v>3128</v>
      </c>
      <c r="I47" s="43"/>
      <c r="J47" s="231"/>
      <c r="K47" s="231"/>
      <c r="L47" s="231"/>
      <c r="M47" s="231"/>
      <c r="N47" s="231"/>
      <c r="O47" s="231"/>
      <c r="P47" s="231"/>
      <c r="Q47" s="231"/>
      <c r="R47" s="231"/>
      <c r="S47" s="231"/>
      <c r="T47" s="231"/>
      <c r="U47" s="231"/>
      <c r="V47" s="231"/>
      <c r="W47" s="231"/>
      <c r="X47" s="231"/>
      <c r="Y47" s="231"/>
      <c r="Z47" s="231"/>
      <c r="AA47" s="231"/>
      <c r="AB47" s="231"/>
      <c r="AC47" s="231"/>
      <c r="AD47" s="231"/>
      <c r="AE47" s="231"/>
    </row>
    <row r="48" spans="1:31" s="203" customFormat="1">
      <c r="A48" s="46">
        <v>6</v>
      </c>
      <c r="B48" s="90" t="s">
        <v>253</v>
      </c>
      <c r="C48" s="47"/>
      <c r="D48" s="195"/>
      <c r="E48" s="49">
        <v>10535</v>
      </c>
      <c r="F48" s="52">
        <v>10540</v>
      </c>
      <c r="G48" s="45"/>
      <c r="H48" s="52">
        <v>11022</v>
      </c>
      <c r="I48" s="43"/>
      <c r="J48" s="231"/>
      <c r="K48" s="231"/>
      <c r="L48" s="231"/>
      <c r="M48" s="231"/>
      <c r="N48" s="231"/>
      <c r="O48" s="231"/>
      <c r="P48" s="231"/>
      <c r="Q48" s="231"/>
      <c r="R48" s="231"/>
      <c r="S48" s="231"/>
      <c r="T48" s="231"/>
      <c r="U48" s="231"/>
      <c r="V48" s="231"/>
      <c r="W48" s="231"/>
      <c r="X48" s="231"/>
      <c r="Y48" s="231"/>
      <c r="Z48" s="231"/>
      <c r="AA48" s="231"/>
      <c r="AB48" s="231"/>
      <c r="AC48" s="231"/>
      <c r="AD48" s="231"/>
      <c r="AE48" s="231"/>
    </row>
    <row r="49" spans="1:31" s="203" customFormat="1">
      <c r="A49" s="77">
        <v>7</v>
      </c>
      <c r="B49" s="78" t="s">
        <v>71</v>
      </c>
      <c r="C49" s="58"/>
      <c r="D49" s="79"/>
      <c r="E49" s="80">
        <v>106251</v>
      </c>
      <c r="F49" s="81">
        <f>SUM(F43:F48)</f>
        <v>106337</v>
      </c>
      <c r="G49" s="82"/>
      <c r="H49" s="62">
        <f>SUM(H43:H48)</f>
        <v>107425</v>
      </c>
      <c r="I49" s="242"/>
      <c r="J49" s="231"/>
      <c r="K49" s="231"/>
      <c r="L49" s="231"/>
      <c r="M49" s="231"/>
      <c r="N49" s="231"/>
      <c r="O49" s="231"/>
      <c r="P49" s="231"/>
      <c r="Q49" s="231"/>
      <c r="R49" s="231"/>
      <c r="S49" s="231"/>
      <c r="T49" s="231"/>
      <c r="U49" s="231"/>
      <c r="V49" s="231"/>
      <c r="W49" s="231"/>
      <c r="X49" s="231"/>
      <c r="Y49" s="231"/>
      <c r="Z49" s="231"/>
      <c r="AA49" s="231"/>
      <c r="AB49" s="231"/>
      <c r="AC49" s="231"/>
      <c r="AD49" s="231"/>
      <c r="AE49" s="231"/>
    </row>
    <row r="50" spans="1:31" s="203" customFormat="1">
      <c r="A50" s="83"/>
      <c r="B50" s="244"/>
      <c r="C50" s="244"/>
      <c r="D50" s="244"/>
      <c r="E50" s="85"/>
      <c r="F50" s="244"/>
      <c r="G50" s="86"/>
      <c r="H50" s="86"/>
      <c r="I50" s="21"/>
      <c r="J50" s="231"/>
      <c r="K50" s="231"/>
      <c r="L50" s="231"/>
      <c r="M50" s="231"/>
      <c r="N50" s="231"/>
      <c r="O50" s="231"/>
      <c r="P50" s="231"/>
      <c r="Q50" s="231"/>
      <c r="R50" s="231"/>
      <c r="S50" s="231"/>
      <c r="T50" s="231"/>
      <c r="U50" s="231"/>
      <c r="V50" s="231"/>
      <c r="W50" s="231"/>
      <c r="X50" s="231"/>
      <c r="Y50" s="231"/>
      <c r="Z50" s="231"/>
      <c r="AA50" s="231"/>
      <c r="AB50" s="231"/>
      <c r="AC50" s="231"/>
      <c r="AD50" s="231"/>
      <c r="AE50" s="231"/>
    </row>
    <row r="51" spans="1:31" s="203" customFormat="1">
      <c r="A51" s="438" t="s">
        <v>72</v>
      </c>
      <c r="B51" s="196" t="s">
        <v>254</v>
      </c>
      <c r="C51" s="69"/>
      <c r="D51" s="70"/>
      <c r="E51" s="87"/>
      <c r="F51" s="88"/>
      <c r="G51" s="45"/>
      <c r="H51" s="89"/>
      <c r="I51" s="43"/>
      <c r="J51" s="231"/>
      <c r="K51" s="231"/>
      <c r="L51" s="231"/>
      <c r="M51" s="231"/>
      <c r="N51" s="231"/>
      <c r="O51" s="231"/>
      <c r="P51" s="231"/>
      <c r="Q51" s="231"/>
      <c r="R51" s="231"/>
      <c r="S51" s="231"/>
      <c r="T51" s="231"/>
      <c r="U51" s="231"/>
      <c r="V51" s="231"/>
      <c r="W51" s="231"/>
      <c r="X51" s="231"/>
      <c r="Y51" s="231"/>
      <c r="Z51" s="231"/>
      <c r="AA51" s="231"/>
      <c r="AB51" s="231"/>
      <c r="AC51" s="231"/>
      <c r="AD51" s="231"/>
      <c r="AE51" s="231"/>
    </row>
    <row r="52" spans="1:31" s="203" customFormat="1">
      <c r="A52" s="46">
        <v>8</v>
      </c>
      <c r="B52" s="90" t="s">
        <v>73</v>
      </c>
      <c r="C52" s="47"/>
      <c r="D52" s="48"/>
      <c r="E52" s="74">
        <v>109855</v>
      </c>
      <c r="F52" s="50">
        <f>F38</f>
        <v>109216</v>
      </c>
      <c r="G52" s="45"/>
      <c r="H52" s="91">
        <f>H38</f>
        <v>109824</v>
      </c>
      <c r="I52" s="43"/>
      <c r="J52" s="231"/>
      <c r="K52" s="231"/>
      <c r="L52" s="231"/>
      <c r="M52" s="231"/>
      <c r="N52" s="231"/>
      <c r="O52" s="231"/>
      <c r="P52" s="231"/>
      <c r="Q52" s="231"/>
      <c r="R52" s="231"/>
      <c r="S52" s="231"/>
      <c r="T52" s="231"/>
      <c r="U52" s="231"/>
      <c r="V52" s="231"/>
      <c r="W52" s="231"/>
      <c r="X52" s="231"/>
      <c r="Y52" s="231"/>
      <c r="Z52" s="231"/>
      <c r="AA52" s="231"/>
      <c r="AB52" s="231"/>
      <c r="AC52" s="231"/>
      <c r="AD52" s="231"/>
      <c r="AE52" s="231"/>
    </row>
    <row r="53" spans="1:31" s="203" customFormat="1">
      <c r="A53" s="46">
        <v>9</v>
      </c>
      <c r="B53" s="90" t="s">
        <v>74</v>
      </c>
      <c r="C53" s="47"/>
      <c r="D53" s="48"/>
      <c r="E53" s="49">
        <v>106251</v>
      </c>
      <c r="F53" s="92">
        <f>F49</f>
        <v>106337</v>
      </c>
      <c r="G53" s="45"/>
      <c r="H53" s="91">
        <f>H49</f>
        <v>107425</v>
      </c>
      <c r="I53" s="43"/>
      <c r="J53" s="231"/>
      <c r="K53" s="231"/>
      <c r="L53" s="231"/>
      <c r="M53" s="231"/>
      <c r="N53" s="231"/>
      <c r="O53" s="231"/>
      <c r="P53" s="231"/>
      <c r="Q53" s="231"/>
      <c r="R53" s="231"/>
      <c r="S53" s="231"/>
      <c r="T53" s="231"/>
      <c r="U53" s="231"/>
      <c r="V53" s="231"/>
      <c r="W53" s="231"/>
      <c r="X53" s="231"/>
      <c r="Y53" s="231"/>
      <c r="Z53" s="231"/>
      <c r="AA53" s="231"/>
      <c r="AB53" s="231"/>
      <c r="AC53" s="231"/>
      <c r="AD53" s="231"/>
      <c r="AE53" s="231"/>
    </row>
    <row r="54" spans="1:31" s="203" customFormat="1">
      <c r="A54" s="440">
        <v>10</v>
      </c>
      <c r="B54" s="93" t="s">
        <v>255</v>
      </c>
      <c r="C54" s="94"/>
      <c r="D54" s="55"/>
      <c r="E54" s="95">
        <v>-3604</v>
      </c>
      <c r="F54" s="96">
        <f>F53-F52</f>
        <v>-2879</v>
      </c>
      <c r="G54" s="45"/>
      <c r="H54" s="97">
        <f>H53-H52</f>
        <v>-2399</v>
      </c>
      <c r="I54" s="43"/>
      <c r="J54" s="231"/>
      <c r="K54" s="231"/>
      <c r="L54" s="231"/>
      <c r="M54" s="231"/>
      <c r="N54" s="231"/>
      <c r="O54" s="231"/>
      <c r="P54" s="231"/>
      <c r="Q54" s="231"/>
      <c r="R54" s="231"/>
      <c r="S54" s="231"/>
      <c r="T54" s="231"/>
      <c r="U54" s="231"/>
      <c r="V54" s="231"/>
      <c r="W54" s="231"/>
      <c r="X54" s="231"/>
      <c r="Y54" s="231"/>
      <c r="Z54" s="231"/>
      <c r="AA54" s="231"/>
      <c r="AB54" s="231"/>
      <c r="AC54" s="231"/>
      <c r="AD54" s="231"/>
      <c r="AE54" s="231"/>
    </row>
    <row r="55" spans="1:31" s="203" customFormat="1">
      <c r="A55" s="83"/>
      <c r="B55" s="244"/>
      <c r="C55" s="244"/>
      <c r="D55" s="244"/>
      <c r="E55" s="85"/>
      <c r="F55" s="244"/>
      <c r="G55" s="86"/>
      <c r="H55" s="86"/>
      <c r="I55" s="21"/>
      <c r="J55" s="231"/>
      <c r="K55" s="231"/>
      <c r="L55" s="231"/>
      <c r="M55" s="231"/>
      <c r="N55" s="231"/>
      <c r="O55" s="231"/>
      <c r="P55" s="231"/>
      <c r="Q55" s="231"/>
      <c r="R55" s="231"/>
      <c r="S55" s="231"/>
      <c r="T55" s="231"/>
      <c r="U55" s="231"/>
      <c r="V55" s="231"/>
      <c r="W55" s="231"/>
      <c r="X55" s="231"/>
      <c r="Y55" s="231"/>
      <c r="Z55" s="231"/>
      <c r="AA55" s="231"/>
      <c r="AB55" s="231"/>
      <c r="AC55" s="231"/>
      <c r="AD55" s="231"/>
      <c r="AE55" s="231"/>
    </row>
    <row r="56" spans="1:31" s="203" customFormat="1">
      <c r="A56" s="438" t="s">
        <v>75</v>
      </c>
      <c r="B56" s="69" t="s">
        <v>256</v>
      </c>
      <c r="C56" s="69"/>
      <c r="D56" s="70"/>
      <c r="E56" s="87"/>
      <c r="F56" s="88"/>
      <c r="G56" s="45"/>
      <c r="H56" s="89"/>
      <c r="I56" s="43"/>
      <c r="J56" s="231"/>
      <c r="K56" s="231"/>
      <c r="L56" s="231"/>
      <c r="M56" s="231"/>
      <c r="N56" s="231"/>
      <c r="O56" s="231"/>
      <c r="P56" s="231"/>
      <c r="Q56" s="231"/>
      <c r="R56" s="231"/>
      <c r="S56" s="231"/>
      <c r="T56" s="231"/>
      <c r="U56" s="231"/>
      <c r="V56" s="231"/>
      <c r="W56" s="231"/>
      <c r="X56" s="231"/>
      <c r="Y56" s="231"/>
      <c r="Z56" s="231"/>
      <c r="AA56" s="231"/>
      <c r="AB56" s="231"/>
      <c r="AC56" s="231"/>
      <c r="AD56" s="231"/>
      <c r="AE56" s="231"/>
    </row>
    <row r="57" spans="1:31" s="203" customFormat="1">
      <c r="A57" s="46">
        <v>11</v>
      </c>
      <c r="B57" s="47" t="s">
        <v>76</v>
      </c>
      <c r="C57" s="47"/>
      <c r="D57" s="48"/>
      <c r="E57" s="74">
        <v>19712</v>
      </c>
      <c r="F57" s="52">
        <v>21576</v>
      </c>
      <c r="G57" s="45"/>
      <c r="H57" s="91">
        <f>F61</f>
        <v>18697</v>
      </c>
      <c r="I57" s="43"/>
      <c r="J57" s="231"/>
      <c r="K57" s="231"/>
      <c r="L57" s="231"/>
      <c r="M57" s="231"/>
      <c r="N57" s="231"/>
      <c r="O57" s="231"/>
      <c r="P57" s="231"/>
      <c r="Q57" s="231"/>
      <c r="R57" s="231"/>
      <c r="S57" s="231"/>
      <c r="T57" s="231"/>
      <c r="U57" s="231"/>
      <c r="V57" s="231"/>
      <c r="W57" s="231"/>
      <c r="X57" s="231"/>
      <c r="Y57" s="231"/>
      <c r="Z57" s="231"/>
      <c r="AA57" s="231"/>
      <c r="AB57" s="231"/>
      <c r="AC57" s="231"/>
      <c r="AD57" s="231"/>
      <c r="AE57" s="231"/>
    </row>
    <row r="58" spans="1:31" s="203" customFormat="1">
      <c r="A58" s="46">
        <v>12</v>
      </c>
      <c r="B58" s="90" t="s">
        <v>257</v>
      </c>
      <c r="C58" s="47"/>
      <c r="D58" s="48"/>
      <c r="E58" s="49">
        <v>-3604</v>
      </c>
      <c r="F58" s="92">
        <f>F54</f>
        <v>-2879</v>
      </c>
      <c r="G58" s="45"/>
      <c r="H58" s="98">
        <f>H54</f>
        <v>-2399</v>
      </c>
      <c r="I58" s="43"/>
      <c r="J58" s="231"/>
      <c r="K58" s="231"/>
      <c r="L58" s="231"/>
      <c r="M58" s="231"/>
      <c r="N58" s="231"/>
      <c r="O58" s="231"/>
      <c r="P58" s="231"/>
      <c r="Q58" s="231"/>
      <c r="R58" s="231"/>
      <c r="S58" s="231"/>
      <c r="T58" s="231"/>
      <c r="U58" s="231"/>
      <c r="V58" s="231"/>
      <c r="W58" s="231"/>
      <c r="X58" s="231"/>
      <c r="Y58" s="231"/>
      <c r="Z58" s="231"/>
      <c r="AA58" s="231"/>
      <c r="AB58" s="231"/>
      <c r="AC58" s="231"/>
      <c r="AD58" s="231"/>
      <c r="AE58" s="231"/>
    </row>
    <row r="59" spans="1:31" s="203" customFormat="1">
      <c r="A59" s="46">
        <v>13</v>
      </c>
      <c r="B59" s="47" t="s">
        <v>77</v>
      </c>
      <c r="C59" s="47"/>
      <c r="D59" s="48"/>
      <c r="E59" s="49">
        <v>0</v>
      </c>
      <c r="F59" s="52">
        <v>0</v>
      </c>
      <c r="G59" s="45"/>
      <c r="H59" s="99">
        <v>0</v>
      </c>
      <c r="I59" s="43"/>
      <c r="J59" s="231"/>
      <c r="K59" s="231"/>
      <c r="L59" s="231"/>
      <c r="M59" s="231"/>
      <c r="N59" s="231"/>
      <c r="O59" s="231"/>
      <c r="P59" s="231"/>
      <c r="Q59" s="231"/>
      <c r="R59" s="231"/>
      <c r="S59" s="231"/>
      <c r="T59" s="231"/>
      <c r="U59" s="231"/>
      <c r="V59" s="231"/>
      <c r="W59" s="231"/>
      <c r="X59" s="231"/>
      <c r="Y59" s="231"/>
      <c r="Z59" s="231"/>
      <c r="AA59" s="231"/>
      <c r="AB59" s="231"/>
      <c r="AC59" s="231"/>
      <c r="AD59" s="231"/>
      <c r="AE59" s="231"/>
    </row>
    <row r="60" spans="1:31" s="203" customFormat="1">
      <c r="A60" s="46">
        <v>14</v>
      </c>
      <c r="B60" s="47" t="s">
        <v>78</v>
      </c>
      <c r="C60" s="47"/>
      <c r="D60" s="48"/>
      <c r="E60" s="49">
        <v>0</v>
      </c>
      <c r="F60" s="52">
        <v>0</v>
      </c>
      <c r="G60" s="45"/>
      <c r="H60" s="100">
        <v>0</v>
      </c>
      <c r="I60" s="43"/>
      <c r="J60" s="231"/>
      <c r="K60" s="231"/>
      <c r="L60" s="231"/>
      <c r="M60" s="231"/>
      <c r="N60" s="231"/>
      <c r="O60" s="231"/>
      <c r="P60" s="231"/>
      <c r="Q60" s="231"/>
      <c r="R60" s="231"/>
      <c r="S60" s="231"/>
      <c r="T60" s="231"/>
      <c r="U60" s="231"/>
      <c r="V60" s="231"/>
      <c r="W60" s="231"/>
      <c r="X60" s="231"/>
      <c r="Y60" s="231"/>
      <c r="Z60" s="231"/>
      <c r="AA60" s="231"/>
      <c r="AB60" s="231"/>
      <c r="AC60" s="231"/>
      <c r="AD60" s="231"/>
      <c r="AE60" s="231"/>
    </row>
    <row r="61" spans="1:31" s="203" customFormat="1">
      <c r="A61" s="53">
        <v>15</v>
      </c>
      <c r="B61" s="54" t="s">
        <v>79</v>
      </c>
      <c r="C61" s="54"/>
      <c r="D61" s="55"/>
      <c r="E61" s="56">
        <v>16108</v>
      </c>
      <c r="F61" s="96">
        <f>F57+F58+F59+F60</f>
        <v>18697</v>
      </c>
      <c r="G61" s="45"/>
      <c r="H61" s="101">
        <f>H57+H58+H59+H60</f>
        <v>16298</v>
      </c>
      <c r="I61" s="43"/>
      <c r="J61" s="231"/>
      <c r="K61" s="231"/>
      <c r="L61" s="231"/>
      <c r="M61" s="231"/>
      <c r="N61" s="231"/>
      <c r="O61" s="231"/>
      <c r="P61" s="231"/>
      <c r="Q61" s="231"/>
      <c r="R61" s="231"/>
      <c r="S61" s="231"/>
      <c r="T61" s="231"/>
      <c r="U61" s="231"/>
      <c r="V61" s="231"/>
      <c r="W61" s="231"/>
      <c r="X61" s="231"/>
      <c r="Y61" s="231"/>
      <c r="Z61" s="231"/>
      <c r="AA61" s="231"/>
      <c r="AB61" s="231"/>
      <c r="AC61" s="231"/>
      <c r="AD61" s="231"/>
      <c r="AE61" s="231"/>
    </row>
    <row r="62" spans="1:31" s="203" customFormat="1">
      <c r="A62" s="102"/>
      <c r="B62" s="207"/>
      <c r="C62" s="207"/>
      <c r="D62" s="207"/>
      <c r="E62" s="103"/>
      <c r="F62" s="21"/>
      <c r="G62" s="21"/>
      <c r="H62" s="21"/>
      <c r="I62" s="21"/>
      <c r="J62" s="231"/>
      <c r="K62" s="231"/>
      <c r="L62" s="231"/>
      <c r="M62" s="231"/>
      <c r="N62" s="231"/>
      <c r="O62" s="231"/>
      <c r="P62" s="231"/>
      <c r="Q62" s="231"/>
      <c r="R62" s="231"/>
      <c r="S62" s="231"/>
      <c r="T62" s="231"/>
      <c r="U62" s="231"/>
      <c r="V62" s="231"/>
      <c r="W62" s="231"/>
      <c r="X62" s="231"/>
      <c r="Y62" s="231"/>
      <c r="Z62" s="231"/>
      <c r="AA62" s="231"/>
      <c r="AB62" s="231"/>
      <c r="AC62" s="231"/>
      <c r="AD62" s="231"/>
      <c r="AE62" s="231"/>
    </row>
    <row r="63" spans="1:31" s="203" customFormat="1" ht="12.75" customHeight="1">
      <c r="A63" s="23"/>
      <c r="B63" s="207"/>
      <c r="C63" s="207"/>
      <c r="D63" s="207"/>
      <c r="E63" s="15"/>
      <c r="F63" s="207"/>
      <c r="G63" s="207"/>
      <c r="H63" s="21"/>
      <c r="I63" s="21"/>
      <c r="J63" s="231"/>
      <c r="K63" s="231"/>
      <c r="L63" s="231"/>
      <c r="M63" s="231"/>
      <c r="N63" s="231"/>
      <c r="O63" s="231"/>
      <c r="P63" s="231"/>
      <c r="Q63" s="231"/>
      <c r="R63" s="231"/>
      <c r="S63" s="231"/>
      <c r="T63" s="231"/>
      <c r="U63" s="231"/>
      <c r="V63" s="231"/>
      <c r="W63" s="231"/>
      <c r="X63" s="231"/>
      <c r="Y63" s="231"/>
      <c r="Z63" s="231"/>
      <c r="AA63" s="231"/>
      <c r="AB63" s="231"/>
      <c r="AC63" s="231"/>
      <c r="AD63" s="231"/>
      <c r="AE63" s="231"/>
    </row>
    <row r="64" spans="1:31" s="203" customFormat="1" ht="15">
      <c r="A64" s="104" t="s">
        <v>80</v>
      </c>
      <c r="B64" s="29"/>
      <c r="C64" s="29"/>
      <c r="D64" s="29"/>
      <c r="E64" s="15"/>
      <c r="F64" s="29"/>
      <c r="G64" s="29"/>
      <c r="H64" s="29"/>
      <c r="I64" s="29"/>
      <c r="J64" s="231"/>
      <c r="K64" s="231"/>
      <c r="L64" s="231"/>
      <c r="M64" s="231"/>
      <c r="N64" s="231"/>
      <c r="O64" s="231"/>
      <c r="P64" s="231"/>
      <c r="Q64" s="231"/>
      <c r="R64" s="231"/>
      <c r="S64" s="231"/>
      <c r="T64" s="231"/>
      <c r="U64" s="231"/>
      <c r="V64" s="231"/>
      <c r="W64" s="231"/>
      <c r="X64" s="231"/>
      <c r="Y64" s="231"/>
      <c r="Z64" s="231"/>
      <c r="AA64" s="231"/>
      <c r="AB64" s="231"/>
      <c r="AC64" s="231"/>
      <c r="AD64" s="231"/>
      <c r="AE64" s="231"/>
    </row>
    <row r="65" spans="1:31" s="203" customFormat="1">
      <c r="A65" s="32"/>
      <c r="B65" s="29"/>
      <c r="C65" s="29"/>
      <c r="D65" s="29"/>
      <c r="E65" s="105"/>
      <c r="F65" s="29"/>
      <c r="G65" s="29"/>
      <c r="H65" s="29"/>
      <c r="I65" s="131" t="s">
        <v>27</v>
      </c>
      <c r="J65" s="231"/>
      <c r="K65" s="231"/>
      <c r="L65" s="231"/>
      <c r="M65" s="231"/>
      <c r="N65" s="231"/>
      <c r="O65" s="231"/>
      <c r="P65" s="231"/>
      <c r="Q65" s="231"/>
      <c r="R65" s="231"/>
      <c r="S65" s="231"/>
      <c r="T65" s="231"/>
      <c r="U65" s="231"/>
      <c r="V65" s="231"/>
      <c r="W65" s="231"/>
      <c r="X65" s="231"/>
      <c r="Y65" s="231"/>
      <c r="Z65" s="231"/>
      <c r="AA65" s="231"/>
      <c r="AB65" s="231"/>
      <c r="AC65" s="231"/>
      <c r="AD65" s="231"/>
      <c r="AE65" s="231"/>
    </row>
    <row r="66" spans="1:31" s="203" customFormat="1">
      <c r="A66" s="106" t="s">
        <v>14</v>
      </c>
      <c r="B66" s="107"/>
      <c r="C66" s="107"/>
      <c r="D66" s="107"/>
      <c r="E66" s="856" t="s">
        <v>377</v>
      </c>
      <c r="F66" s="962" t="s">
        <v>402</v>
      </c>
      <c r="G66" s="867" t="s">
        <v>81</v>
      </c>
      <c r="H66" s="962" t="s">
        <v>403</v>
      </c>
      <c r="I66" s="867" t="s">
        <v>81</v>
      </c>
      <c r="J66" s="231"/>
      <c r="K66" s="231"/>
      <c r="L66" s="231"/>
      <c r="M66" s="231"/>
      <c r="N66" s="231"/>
      <c r="O66" s="231"/>
      <c r="P66" s="231"/>
      <c r="Q66" s="231"/>
      <c r="R66" s="231"/>
      <c r="S66" s="231"/>
      <c r="T66" s="231"/>
      <c r="U66" s="231"/>
      <c r="V66" s="231"/>
      <c r="W66" s="231"/>
      <c r="X66" s="231"/>
      <c r="Y66" s="231"/>
      <c r="Z66" s="231"/>
      <c r="AA66" s="231"/>
      <c r="AB66" s="231"/>
      <c r="AC66" s="231"/>
      <c r="AD66" s="231"/>
      <c r="AE66" s="231"/>
    </row>
    <row r="67" spans="1:31" s="203" customFormat="1" ht="21" customHeight="1">
      <c r="A67" s="108"/>
      <c r="B67" s="47"/>
      <c r="C67" s="47"/>
      <c r="D67" s="47"/>
      <c r="E67" s="859"/>
      <c r="F67" s="963"/>
      <c r="G67" s="868"/>
      <c r="H67" s="963"/>
      <c r="I67" s="868"/>
      <c r="J67" s="231"/>
      <c r="K67" s="231"/>
      <c r="L67" s="231"/>
      <c r="M67" s="231"/>
      <c r="N67" s="231"/>
      <c r="O67" s="231"/>
      <c r="P67" s="231"/>
      <c r="Q67" s="231"/>
      <c r="R67" s="231"/>
      <c r="S67" s="231"/>
      <c r="T67" s="231"/>
      <c r="U67" s="231"/>
      <c r="V67" s="231"/>
      <c r="W67" s="231"/>
      <c r="X67" s="231"/>
      <c r="Y67" s="231"/>
      <c r="Z67" s="231"/>
      <c r="AA67" s="231"/>
      <c r="AB67" s="231"/>
      <c r="AC67" s="231"/>
      <c r="AD67" s="231"/>
      <c r="AE67" s="231"/>
    </row>
    <row r="68" spans="1:31" s="203" customFormat="1">
      <c r="A68" s="109" t="s">
        <v>82</v>
      </c>
      <c r="B68" s="47"/>
      <c r="C68" s="47"/>
      <c r="D68" s="47"/>
      <c r="E68" s="859"/>
      <c r="F68" s="963"/>
      <c r="G68" s="868"/>
      <c r="H68" s="963"/>
      <c r="I68" s="868"/>
      <c r="J68" s="231"/>
      <c r="K68" s="231"/>
      <c r="L68" s="231"/>
      <c r="M68" s="231"/>
      <c r="N68" s="231"/>
      <c r="O68" s="231"/>
      <c r="P68" s="231"/>
      <c r="Q68" s="231"/>
      <c r="R68" s="231"/>
      <c r="S68" s="231"/>
      <c r="T68" s="231"/>
      <c r="U68" s="231"/>
      <c r="V68" s="231"/>
      <c r="W68" s="231"/>
      <c r="X68" s="231"/>
      <c r="Y68" s="231"/>
      <c r="Z68" s="231"/>
      <c r="AA68" s="231"/>
      <c r="AB68" s="231"/>
      <c r="AC68" s="231"/>
      <c r="AD68" s="231"/>
      <c r="AE68" s="231"/>
    </row>
    <row r="69" spans="1:31" s="203" customFormat="1">
      <c r="A69" s="109" t="s">
        <v>83</v>
      </c>
      <c r="B69" s="47"/>
      <c r="C69" s="47"/>
      <c r="D69" s="47"/>
      <c r="E69" s="859"/>
      <c r="F69" s="963"/>
      <c r="G69" s="868"/>
      <c r="H69" s="963"/>
      <c r="I69" s="868"/>
      <c r="J69" s="231"/>
      <c r="K69" s="231"/>
      <c r="L69" s="231"/>
      <c r="M69" s="231"/>
      <c r="N69" s="231"/>
      <c r="O69" s="231"/>
      <c r="P69" s="231"/>
      <c r="Q69" s="231"/>
      <c r="R69" s="231"/>
      <c r="S69" s="231"/>
      <c r="T69" s="231"/>
      <c r="U69" s="231"/>
      <c r="V69" s="231"/>
      <c r="W69" s="231"/>
      <c r="X69" s="231"/>
      <c r="Y69" s="231"/>
      <c r="Z69" s="231"/>
      <c r="AA69" s="231"/>
      <c r="AB69" s="231"/>
      <c r="AC69" s="231"/>
      <c r="AD69" s="231"/>
      <c r="AE69" s="231"/>
    </row>
    <row r="70" spans="1:31" s="203" customFormat="1">
      <c r="A70" s="110" t="s">
        <v>84</v>
      </c>
      <c r="B70" s="47"/>
      <c r="C70" s="47"/>
      <c r="D70" s="47"/>
      <c r="E70" s="860"/>
      <c r="F70" s="964"/>
      <c r="G70" s="869"/>
      <c r="H70" s="964"/>
      <c r="I70" s="869"/>
      <c r="J70" s="231"/>
      <c r="K70" s="231"/>
      <c r="L70" s="231"/>
      <c r="M70" s="231"/>
      <c r="N70" s="231"/>
      <c r="O70" s="231"/>
      <c r="P70" s="231"/>
      <c r="Q70" s="231"/>
      <c r="R70" s="231"/>
      <c r="S70" s="231"/>
      <c r="T70" s="231"/>
      <c r="U70" s="231"/>
      <c r="V70" s="231"/>
      <c r="W70" s="231"/>
      <c r="X70" s="231"/>
      <c r="Y70" s="231"/>
      <c r="Z70" s="231"/>
      <c r="AA70" s="231"/>
      <c r="AB70" s="231"/>
      <c r="AC70" s="231"/>
      <c r="AD70" s="231"/>
      <c r="AE70" s="231"/>
    </row>
    <row r="71" spans="1:31" s="203" customFormat="1">
      <c r="A71" s="111">
        <v>1</v>
      </c>
      <c r="B71" s="47" t="s">
        <v>85</v>
      </c>
      <c r="C71" s="47"/>
      <c r="D71" s="47"/>
      <c r="E71" s="41">
        <v>3216</v>
      </c>
      <c r="F71" s="247">
        <v>3178</v>
      </c>
      <c r="G71" s="112">
        <v>489</v>
      </c>
      <c r="H71" s="248">
        <v>4390</v>
      </c>
      <c r="I71" s="112">
        <v>345</v>
      </c>
      <c r="J71" s="231"/>
      <c r="K71" s="231"/>
      <c r="L71" s="231"/>
      <c r="M71" s="231"/>
      <c r="N71" s="231"/>
      <c r="O71" s="231"/>
      <c r="P71" s="231"/>
      <c r="Q71" s="231"/>
      <c r="R71" s="231"/>
      <c r="S71" s="231"/>
      <c r="T71" s="231"/>
      <c r="U71" s="231"/>
      <c r="V71" s="231"/>
      <c r="W71" s="231"/>
      <c r="X71" s="231"/>
      <c r="Y71" s="231"/>
      <c r="Z71" s="231"/>
      <c r="AA71" s="231"/>
      <c r="AB71" s="231"/>
      <c r="AC71" s="231"/>
      <c r="AD71" s="231"/>
      <c r="AE71" s="231"/>
    </row>
    <row r="72" spans="1:31" s="203" customFormat="1">
      <c r="A72" s="111">
        <v>2</v>
      </c>
      <c r="B72" s="47" t="s">
        <v>86</v>
      </c>
      <c r="C72" s="47"/>
      <c r="D72" s="47"/>
      <c r="E72" s="49">
        <v>17894</v>
      </c>
      <c r="F72" s="247">
        <v>17648</v>
      </c>
      <c r="G72" s="113">
        <v>11813</v>
      </c>
      <c r="H72" s="123">
        <v>17673</v>
      </c>
      <c r="I72" s="113">
        <v>11991</v>
      </c>
      <c r="J72" s="231"/>
      <c r="K72" s="231"/>
      <c r="L72" s="231"/>
      <c r="M72" s="231"/>
      <c r="N72" s="231"/>
      <c r="O72" s="231"/>
      <c r="P72" s="231"/>
      <c r="Q72" s="231"/>
      <c r="R72" s="231"/>
      <c r="S72" s="231"/>
      <c r="T72" s="231"/>
      <c r="U72" s="231"/>
      <c r="V72" s="231"/>
      <c r="W72" s="231"/>
      <c r="X72" s="231"/>
      <c r="Y72" s="231"/>
      <c r="Z72" s="231"/>
      <c r="AA72" s="231"/>
      <c r="AB72" s="231"/>
      <c r="AC72" s="231"/>
      <c r="AD72" s="231"/>
      <c r="AE72" s="231"/>
    </row>
    <row r="73" spans="1:31" s="203" customFormat="1">
      <c r="A73" s="111">
        <v>3</v>
      </c>
      <c r="B73" s="47" t="s">
        <v>87</v>
      </c>
      <c r="C73" s="47"/>
      <c r="D73" s="47"/>
      <c r="E73" s="114">
        <v>16077</v>
      </c>
      <c r="F73" s="247">
        <v>16317</v>
      </c>
      <c r="G73" s="113">
        <v>11780</v>
      </c>
      <c r="H73" s="123">
        <v>16706</v>
      </c>
      <c r="I73" s="113">
        <v>12015</v>
      </c>
      <c r="J73" s="231"/>
      <c r="K73" s="231"/>
      <c r="L73" s="231"/>
      <c r="M73" s="231"/>
      <c r="N73" s="231"/>
      <c r="O73" s="231"/>
      <c r="P73" s="231"/>
      <c r="Q73" s="231"/>
      <c r="R73" s="231"/>
      <c r="S73" s="231"/>
      <c r="T73" s="231"/>
      <c r="U73" s="231"/>
      <c r="V73" s="231"/>
      <c r="W73" s="231"/>
      <c r="X73" s="231"/>
      <c r="Y73" s="231"/>
      <c r="Z73" s="231"/>
      <c r="AA73" s="231"/>
      <c r="AB73" s="231"/>
      <c r="AC73" s="231"/>
      <c r="AD73" s="231"/>
      <c r="AE73" s="231"/>
    </row>
    <row r="74" spans="1:31" s="203" customFormat="1">
      <c r="A74" s="111">
        <v>4</v>
      </c>
      <c r="B74" s="47" t="s">
        <v>88</v>
      </c>
      <c r="C74" s="47"/>
      <c r="D74" s="47"/>
      <c r="E74" s="114">
        <v>4794</v>
      </c>
      <c r="F74" s="247">
        <v>4894</v>
      </c>
      <c r="G74" s="113">
        <v>0</v>
      </c>
      <c r="H74" s="123">
        <v>5069</v>
      </c>
      <c r="I74" s="113">
        <v>0</v>
      </c>
      <c r="J74" s="231"/>
      <c r="K74" s="231"/>
      <c r="L74" s="231"/>
      <c r="M74" s="231"/>
      <c r="N74" s="231"/>
      <c r="O74" s="231"/>
      <c r="P74" s="231"/>
      <c r="Q74" s="231"/>
      <c r="R74" s="231"/>
      <c r="S74" s="231"/>
      <c r="T74" s="231"/>
      <c r="U74" s="231"/>
      <c r="V74" s="231"/>
      <c r="W74" s="231"/>
      <c r="X74" s="231"/>
      <c r="Y74" s="231"/>
      <c r="Z74" s="231"/>
      <c r="AA74" s="231"/>
      <c r="AB74" s="231"/>
      <c r="AC74" s="231"/>
      <c r="AD74" s="231"/>
      <c r="AE74" s="231"/>
    </row>
    <row r="75" spans="1:31" s="203" customFormat="1">
      <c r="A75" s="111">
        <v>5</v>
      </c>
      <c r="B75" s="47" t="s">
        <v>89</v>
      </c>
      <c r="C75" s="47" t="s">
        <v>90</v>
      </c>
      <c r="D75" s="47"/>
      <c r="E75" s="114">
        <v>770</v>
      </c>
      <c r="F75" s="247">
        <v>779</v>
      </c>
      <c r="G75" s="113">
        <v>0</v>
      </c>
      <c r="H75" s="123">
        <v>702</v>
      </c>
      <c r="I75" s="113">
        <v>0</v>
      </c>
      <c r="J75" s="231"/>
      <c r="K75" s="231"/>
      <c r="L75" s="231"/>
      <c r="M75" s="231"/>
      <c r="N75" s="231"/>
      <c r="O75" s="231"/>
      <c r="P75" s="231"/>
      <c r="Q75" s="231"/>
      <c r="R75" s="231"/>
      <c r="S75" s="231"/>
      <c r="T75" s="231"/>
      <c r="U75" s="231"/>
      <c r="V75" s="231"/>
      <c r="W75" s="231"/>
      <c r="X75" s="231"/>
      <c r="Y75" s="231"/>
      <c r="Z75" s="231"/>
      <c r="AA75" s="231"/>
      <c r="AB75" s="231"/>
      <c r="AC75" s="231"/>
      <c r="AD75" s="231"/>
      <c r="AE75" s="231"/>
    </row>
    <row r="76" spans="1:31" s="203" customFormat="1">
      <c r="A76" s="439"/>
      <c r="B76" s="441"/>
      <c r="C76" s="47" t="s">
        <v>91</v>
      </c>
      <c r="D76" s="47"/>
      <c r="E76" s="114">
        <v>235</v>
      </c>
      <c r="F76" s="247">
        <v>108</v>
      </c>
      <c r="G76" s="115">
        <v>0</v>
      </c>
      <c r="H76" s="249">
        <v>96</v>
      </c>
      <c r="I76" s="115">
        <v>0</v>
      </c>
      <c r="J76" s="231"/>
      <c r="K76" s="231"/>
      <c r="L76" s="231"/>
      <c r="M76" s="231"/>
      <c r="N76" s="231"/>
      <c r="O76" s="231"/>
      <c r="P76" s="231"/>
      <c r="Q76" s="231"/>
      <c r="R76" s="231"/>
      <c r="S76" s="231"/>
      <c r="T76" s="231"/>
      <c r="U76" s="231"/>
      <c r="V76" s="231"/>
      <c r="W76" s="231"/>
      <c r="X76" s="231"/>
      <c r="Y76" s="231"/>
      <c r="Z76" s="231"/>
      <c r="AA76" s="231"/>
      <c r="AB76" s="231"/>
      <c r="AC76" s="231"/>
      <c r="AD76" s="231"/>
      <c r="AE76" s="231"/>
    </row>
    <row r="77" spans="1:31" s="203" customFormat="1">
      <c r="A77" s="111">
        <v>6</v>
      </c>
      <c r="B77" s="116" t="s">
        <v>92</v>
      </c>
      <c r="C77" s="116"/>
      <c r="D77" s="47"/>
      <c r="E77" s="80">
        <v>42986</v>
      </c>
      <c r="F77" s="250">
        <f>SUM(F71:F76)</f>
        <v>42924</v>
      </c>
      <c r="G77" s="251">
        <f>SUM(G71:G76)</f>
        <v>24082</v>
      </c>
      <c r="H77" s="252">
        <f>SUM(H71:H76)</f>
        <v>44636</v>
      </c>
      <c r="I77" s="251">
        <f>SUM(I71:I76)</f>
        <v>24351</v>
      </c>
      <c r="J77" s="231"/>
      <c r="K77" s="231"/>
      <c r="L77" s="231"/>
      <c r="M77" s="231"/>
      <c r="N77" s="231"/>
      <c r="O77" s="231"/>
      <c r="P77" s="231"/>
      <c r="Q77" s="231"/>
      <c r="R77" s="231"/>
      <c r="S77" s="231"/>
      <c r="T77" s="231"/>
      <c r="U77" s="231"/>
      <c r="V77" s="231"/>
      <c r="W77" s="231"/>
      <c r="X77" s="231"/>
      <c r="Y77" s="231"/>
      <c r="Z77" s="231"/>
      <c r="AA77" s="231"/>
      <c r="AB77" s="231"/>
      <c r="AC77" s="231"/>
      <c r="AD77" s="231"/>
      <c r="AE77" s="231"/>
    </row>
    <row r="78" spans="1:31" s="203" customFormat="1">
      <c r="A78" s="439"/>
      <c r="B78" s="47"/>
      <c r="C78" s="47"/>
      <c r="D78" s="47"/>
      <c r="E78" s="117"/>
      <c r="F78" s="118"/>
      <c r="G78" s="118"/>
      <c r="H78" s="118"/>
      <c r="I78" s="118"/>
      <c r="J78" s="231"/>
      <c r="K78" s="231"/>
      <c r="L78" s="231"/>
      <c r="M78" s="231"/>
      <c r="N78" s="231"/>
      <c r="O78" s="231"/>
      <c r="P78" s="231"/>
      <c r="Q78" s="231"/>
      <c r="R78" s="231"/>
      <c r="S78" s="231"/>
      <c r="T78" s="231"/>
      <c r="U78" s="231"/>
      <c r="V78" s="231"/>
      <c r="W78" s="231"/>
      <c r="X78" s="231"/>
      <c r="Y78" s="231"/>
      <c r="Z78" s="231"/>
      <c r="AA78" s="231"/>
      <c r="AB78" s="231"/>
      <c r="AC78" s="231"/>
      <c r="AD78" s="231"/>
      <c r="AE78" s="231"/>
    </row>
    <row r="79" spans="1:31" s="203" customFormat="1">
      <c r="A79" s="119" t="s">
        <v>93</v>
      </c>
      <c r="B79" s="116"/>
      <c r="C79" s="116"/>
      <c r="D79" s="116"/>
      <c r="E79" s="117"/>
      <c r="F79" s="118"/>
      <c r="G79" s="118"/>
      <c r="H79" s="118"/>
      <c r="I79" s="118"/>
      <c r="J79" s="231"/>
      <c r="K79" s="231"/>
      <c r="L79" s="231"/>
      <c r="M79" s="231"/>
      <c r="N79" s="231"/>
      <c r="O79" s="231"/>
      <c r="P79" s="231"/>
      <c r="Q79" s="231"/>
      <c r="R79" s="231"/>
      <c r="S79" s="231"/>
      <c r="T79" s="231"/>
      <c r="U79" s="231"/>
      <c r="V79" s="231"/>
      <c r="W79" s="231"/>
      <c r="X79" s="231"/>
      <c r="Y79" s="231"/>
      <c r="Z79" s="231"/>
      <c r="AA79" s="231"/>
      <c r="AB79" s="231"/>
      <c r="AC79" s="231"/>
      <c r="AD79" s="231"/>
      <c r="AE79" s="231"/>
    </row>
    <row r="80" spans="1:31" s="203" customFormat="1">
      <c r="A80" s="120">
        <v>7</v>
      </c>
      <c r="B80" s="47" t="s">
        <v>94</v>
      </c>
      <c r="C80" s="47"/>
      <c r="D80" s="47"/>
      <c r="E80" s="41">
        <v>186</v>
      </c>
      <c r="F80" s="253">
        <v>151</v>
      </c>
      <c r="G80" s="112">
        <v>51</v>
      </c>
      <c r="H80" s="248">
        <v>143</v>
      </c>
      <c r="I80" s="112">
        <v>55</v>
      </c>
      <c r="J80" s="231"/>
      <c r="K80" s="231"/>
      <c r="L80" s="231"/>
      <c r="M80" s="231"/>
      <c r="N80" s="231"/>
      <c r="O80" s="231"/>
      <c r="P80" s="231"/>
      <c r="Q80" s="231"/>
      <c r="R80" s="231"/>
      <c r="S80" s="231"/>
      <c r="T80" s="231"/>
      <c r="U80" s="231"/>
      <c r="V80" s="231"/>
      <c r="W80" s="231"/>
      <c r="X80" s="231"/>
      <c r="Y80" s="231"/>
      <c r="Z80" s="231"/>
      <c r="AA80" s="231"/>
      <c r="AB80" s="231"/>
      <c r="AC80" s="231"/>
      <c r="AD80" s="231"/>
      <c r="AE80" s="231"/>
    </row>
    <row r="81" spans="1:31" s="203" customFormat="1">
      <c r="A81" s="120">
        <v>8</v>
      </c>
      <c r="B81" s="47" t="s">
        <v>95</v>
      </c>
      <c r="C81" s="47"/>
      <c r="D81" s="47"/>
      <c r="E81" s="49">
        <v>9145</v>
      </c>
      <c r="F81" s="247">
        <v>8520</v>
      </c>
      <c r="G81" s="113">
        <v>8116</v>
      </c>
      <c r="H81" s="123">
        <v>8076</v>
      </c>
      <c r="I81" s="113">
        <v>7715</v>
      </c>
      <c r="J81" s="231"/>
      <c r="K81" s="231"/>
      <c r="L81" s="231"/>
      <c r="M81" s="231"/>
      <c r="N81" s="231"/>
      <c r="O81" s="231"/>
      <c r="P81" s="231"/>
      <c r="Q81" s="231"/>
      <c r="R81" s="231"/>
      <c r="S81" s="231"/>
      <c r="T81" s="231"/>
      <c r="U81" s="231"/>
      <c r="V81" s="231"/>
      <c r="W81" s="231"/>
      <c r="X81" s="231"/>
      <c r="Y81" s="231"/>
      <c r="Z81" s="231"/>
      <c r="AA81" s="231"/>
      <c r="AB81" s="231"/>
      <c r="AC81" s="231"/>
      <c r="AD81" s="231"/>
      <c r="AE81" s="231"/>
    </row>
    <row r="82" spans="1:31" s="203" customFormat="1">
      <c r="A82" s="120">
        <v>9</v>
      </c>
      <c r="B82" s="47" t="s">
        <v>96</v>
      </c>
      <c r="C82" s="47"/>
      <c r="D82" s="47"/>
      <c r="E82" s="49">
        <v>8971</v>
      </c>
      <c r="F82" s="247">
        <v>8979</v>
      </c>
      <c r="G82" s="113">
        <v>8494</v>
      </c>
      <c r="H82" s="123">
        <v>9089</v>
      </c>
      <c r="I82" s="113">
        <v>8619</v>
      </c>
      <c r="J82" s="231"/>
      <c r="K82" s="231"/>
      <c r="L82" s="231"/>
      <c r="M82" s="231"/>
      <c r="N82" s="231"/>
      <c r="O82" s="231"/>
      <c r="P82" s="231"/>
      <c r="Q82" s="231"/>
      <c r="R82" s="231"/>
      <c r="S82" s="231"/>
      <c r="T82" s="231"/>
      <c r="U82" s="231"/>
      <c r="V82" s="231"/>
      <c r="W82" s="231"/>
      <c r="X82" s="231"/>
      <c r="Y82" s="231"/>
      <c r="Z82" s="231"/>
      <c r="AA82" s="231"/>
      <c r="AB82" s="231"/>
      <c r="AC82" s="231"/>
      <c r="AD82" s="231"/>
      <c r="AE82" s="231"/>
    </row>
    <row r="83" spans="1:31" s="203" customFormat="1">
      <c r="A83" s="120">
        <v>10</v>
      </c>
      <c r="B83" s="90" t="s">
        <v>97</v>
      </c>
      <c r="C83" s="47"/>
      <c r="D83" s="47"/>
      <c r="E83" s="49">
        <v>4794</v>
      </c>
      <c r="F83" s="247">
        <v>4894</v>
      </c>
      <c r="G83" s="113">
        <v>0</v>
      </c>
      <c r="H83" s="123">
        <v>5069</v>
      </c>
      <c r="I83" s="113">
        <v>0</v>
      </c>
      <c r="J83" s="231"/>
      <c r="K83" s="231"/>
      <c r="L83" s="231"/>
      <c r="M83" s="231"/>
      <c r="N83" s="231"/>
      <c r="O83" s="231"/>
      <c r="P83" s="231"/>
      <c r="Q83" s="231"/>
      <c r="R83" s="231"/>
      <c r="S83" s="231"/>
      <c r="T83" s="231"/>
      <c r="U83" s="231"/>
      <c r="V83" s="231"/>
      <c r="W83" s="231"/>
      <c r="X83" s="231"/>
      <c r="Y83" s="231"/>
      <c r="Z83" s="231"/>
      <c r="AA83" s="231"/>
      <c r="AB83" s="231"/>
      <c r="AC83" s="231"/>
      <c r="AD83" s="231"/>
      <c r="AE83" s="231"/>
    </row>
    <row r="84" spans="1:31" s="203" customFormat="1">
      <c r="A84" s="120">
        <v>11</v>
      </c>
      <c r="B84" s="90" t="s">
        <v>98</v>
      </c>
      <c r="C84" s="47"/>
      <c r="D84" s="47"/>
      <c r="E84" s="49">
        <v>3122</v>
      </c>
      <c r="F84" s="247">
        <v>3121</v>
      </c>
      <c r="G84" s="113">
        <v>0</v>
      </c>
      <c r="H84" s="123">
        <v>3282</v>
      </c>
      <c r="I84" s="113">
        <v>0</v>
      </c>
      <c r="J84" s="231"/>
      <c r="K84" s="231"/>
      <c r="L84" s="231"/>
      <c r="M84" s="231"/>
      <c r="N84" s="231"/>
      <c r="O84" s="231"/>
      <c r="P84" s="231"/>
      <c r="Q84" s="231"/>
      <c r="R84" s="231"/>
      <c r="S84" s="231"/>
      <c r="T84" s="231"/>
      <c r="U84" s="231"/>
      <c r="V84" s="231"/>
      <c r="W84" s="231"/>
      <c r="X84" s="231"/>
      <c r="Y84" s="231"/>
      <c r="Z84" s="231"/>
      <c r="AA84" s="231"/>
      <c r="AB84" s="231"/>
      <c r="AC84" s="231"/>
      <c r="AD84" s="231"/>
      <c r="AE84" s="231"/>
    </row>
    <row r="85" spans="1:31" s="203" customFormat="1">
      <c r="A85" s="120">
        <v>12</v>
      </c>
      <c r="B85" s="47" t="s">
        <v>99</v>
      </c>
      <c r="C85" s="47"/>
      <c r="D85" s="47"/>
      <c r="E85" s="49">
        <v>1298</v>
      </c>
      <c r="F85" s="247">
        <v>1298</v>
      </c>
      <c r="G85" s="113">
        <v>0</v>
      </c>
      <c r="H85" s="123">
        <v>1332</v>
      </c>
      <c r="I85" s="113">
        <v>0</v>
      </c>
      <c r="J85" s="231"/>
      <c r="K85" s="231"/>
      <c r="L85" s="231"/>
      <c r="M85" s="231"/>
      <c r="N85" s="231"/>
      <c r="O85" s="231"/>
      <c r="P85" s="231"/>
      <c r="Q85" s="231"/>
      <c r="R85" s="231"/>
      <c r="S85" s="231"/>
      <c r="T85" s="231"/>
      <c r="U85" s="231"/>
      <c r="V85" s="231"/>
      <c r="W85" s="231"/>
      <c r="X85" s="231"/>
      <c r="Y85" s="231"/>
      <c r="Z85" s="231"/>
      <c r="AA85" s="231"/>
      <c r="AB85" s="231"/>
      <c r="AC85" s="231"/>
      <c r="AD85" s="231"/>
      <c r="AE85" s="231"/>
    </row>
    <row r="86" spans="1:31" s="203" customFormat="1">
      <c r="A86" s="120">
        <v>13</v>
      </c>
      <c r="B86" s="47" t="s">
        <v>100</v>
      </c>
      <c r="C86" s="47"/>
      <c r="D86" s="47"/>
      <c r="E86" s="49">
        <v>10387</v>
      </c>
      <c r="F86" s="247">
        <v>10821</v>
      </c>
      <c r="G86" s="113">
        <v>2069</v>
      </c>
      <c r="H86" s="123">
        <v>11547</v>
      </c>
      <c r="I86" s="113">
        <v>2053</v>
      </c>
      <c r="J86" s="231"/>
      <c r="K86" s="231"/>
      <c r="L86" s="231"/>
      <c r="M86" s="231"/>
      <c r="N86" s="231"/>
      <c r="O86" s="231"/>
      <c r="P86" s="231"/>
      <c r="Q86" s="231"/>
      <c r="R86" s="231"/>
      <c r="S86" s="231"/>
      <c r="T86" s="231"/>
      <c r="U86" s="231"/>
      <c r="V86" s="231"/>
      <c r="W86" s="231"/>
      <c r="X86" s="231"/>
      <c r="Y86" s="231"/>
      <c r="Z86" s="231"/>
      <c r="AA86" s="231"/>
      <c r="AB86" s="231"/>
      <c r="AC86" s="231"/>
      <c r="AD86" s="231"/>
      <c r="AE86" s="231"/>
    </row>
    <row r="87" spans="1:31" s="203" customFormat="1">
      <c r="A87" s="120">
        <v>14</v>
      </c>
      <c r="B87" s="47" t="s">
        <v>101</v>
      </c>
      <c r="C87" s="47"/>
      <c r="D87" s="47"/>
      <c r="E87" s="49">
        <v>0</v>
      </c>
      <c r="F87" s="247">
        <v>0</v>
      </c>
      <c r="G87" s="113">
        <v>0</v>
      </c>
      <c r="H87" s="123">
        <v>0</v>
      </c>
      <c r="I87" s="113">
        <v>0</v>
      </c>
      <c r="J87" s="231"/>
      <c r="K87" s="231"/>
      <c r="L87" s="231"/>
      <c r="M87" s="231"/>
      <c r="N87" s="231"/>
      <c r="O87" s="231"/>
      <c r="P87" s="231"/>
      <c r="Q87" s="231"/>
      <c r="R87" s="231"/>
      <c r="S87" s="231"/>
      <c r="T87" s="231"/>
      <c r="U87" s="231"/>
      <c r="V87" s="231"/>
      <c r="W87" s="231"/>
      <c r="X87" s="231"/>
      <c r="Y87" s="231"/>
      <c r="Z87" s="231"/>
      <c r="AA87" s="231"/>
      <c r="AB87" s="231"/>
      <c r="AC87" s="231"/>
      <c r="AD87" s="231"/>
      <c r="AE87" s="231"/>
    </row>
    <row r="88" spans="1:31" s="203" customFormat="1">
      <c r="A88" s="124">
        <v>15</v>
      </c>
      <c r="B88" s="125" t="s">
        <v>102</v>
      </c>
      <c r="C88" s="54"/>
      <c r="D88" s="54"/>
      <c r="E88" s="56">
        <v>1</v>
      </c>
      <c r="F88" s="254">
        <v>1</v>
      </c>
      <c r="G88" s="127">
        <v>0</v>
      </c>
      <c r="H88" s="255">
        <v>1</v>
      </c>
      <c r="I88" s="127">
        <v>0</v>
      </c>
      <c r="J88" s="231"/>
      <c r="K88" s="231"/>
      <c r="L88" s="231"/>
      <c r="M88" s="231"/>
      <c r="N88" s="231"/>
      <c r="O88" s="231"/>
      <c r="P88" s="231"/>
      <c r="Q88" s="231"/>
      <c r="R88" s="231"/>
      <c r="S88" s="231"/>
      <c r="T88" s="231"/>
      <c r="U88" s="231"/>
      <c r="V88" s="231"/>
      <c r="W88" s="231"/>
      <c r="X88" s="231"/>
      <c r="Y88" s="231"/>
      <c r="Z88" s="231"/>
      <c r="AA88" s="231"/>
      <c r="AB88" s="231"/>
      <c r="AC88" s="231"/>
      <c r="AD88" s="231"/>
      <c r="AE88" s="231"/>
    </row>
    <row r="89" spans="1:31" s="203" customFormat="1">
      <c r="A89" s="128"/>
      <c r="B89" s="129"/>
      <c r="C89" s="129"/>
      <c r="D89" s="129"/>
      <c r="E89" s="15"/>
      <c r="F89" s="130"/>
      <c r="G89" s="29"/>
      <c r="H89" s="207"/>
      <c r="I89" s="29"/>
      <c r="J89" s="231"/>
      <c r="K89" s="231"/>
      <c r="L89" s="231"/>
      <c r="M89" s="231"/>
      <c r="N89" s="231"/>
      <c r="O89" s="231"/>
      <c r="P89" s="231"/>
      <c r="Q89" s="231"/>
      <c r="R89" s="231"/>
      <c r="S89" s="231"/>
      <c r="T89" s="231"/>
      <c r="U89" s="231"/>
      <c r="V89" s="231"/>
      <c r="W89" s="231"/>
      <c r="X89" s="231"/>
      <c r="Y89" s="231"/>
      <c r="Z89" s="231"/>
      <c r="AA89" s="231"/>
      <c r="AB89" s="231"/>
      <c r="AC89" s="231"/>
      <c r="AD89" s="231"/>
      <c r="AE89" s="231"/>
    </row>
    <row r="90" spans="1:31" s="203" customFormat="1">
      <c r="A90" s="128"/>
      <c r="B90" s="129"/>
      <c r="C90" s="129"/>
      <c r="D90" s="129"/>
      <c r="E90" s="105"/>
      <c r="F90" s="130"/>
      <c r="G90" s="29"/>
      <c r="H90" s="131" t="s">
        <v>27</v>
      </c>
      <c r="I90" s="29"/>
      <c r="J90" s="231"/>
      <c r="K90" s="231"/>
      <c r="L90" s="231"/>
      <c r="M90" s="231"/>
      <c r="N90" s="231"/>
      <c r="O90" s="231"/>
      <c r="P90" s="231"/>
      <c r="Q90" s="231"/>
      <c r="R90" s="231"/>
      <c r="S90" s="231"/>
      <c r="T90" s="231"/>
      <c r="U90" s="231"/>
      <c r="V90" s="231"/>
      <c r="W90" s="231"/>
      <c r="X90" s="231"/>
      <c r="Y90" s="231"/>
      <c r="Z90" s="231"/>
      <c r="AA90" s="231"/>
      <c r="AB90" s="231"/>
      <c r="AC90" s="231"/>
      <c r="AD90" s="231"/>
      <c r="AE90" s="231"/>
    </row>
    <row r="91" spans="1:31" s="203" customFormat="1">
      <c r="A91" s="106" t="s">
        <v>17</v>
      </c>
      <c r="B91" s="107"/>
      <c r="C91" s="107"/>
      <c r="D91" s="107"/>
      <c r="E91" s="856" t="s">
        <v>421</v>
      </c>
      <c r="F91" s="856" t="s">
        <v>402</v>
      </c>
      <c r="G91" s="257"/>
      <c r="H91" s="856" t="s">
        <v>403</v>
      </c>
      <c r="I91" s="29"/>
      <c r="J91" s="231"/>
      <c r="K91" s="231"/>
      <c r="L91" s="231"/>
      <c r="M91" s="231"/>
      <c r="N91" s="231"/>
      <c r="O91" s="231"/>
      <c r="P91" s="231"/>
      <c r="Q91" s="231"/>
      <c r="R91" s="231"/>
      <c r="S91" s="231"/>
      <c r="T91" s="231"/>
      <c r="U91" s="231"/>
      <c r="V91" s="231"/>
      <c r="W91" s="231"/>
      <c r="X91" s="231"/>
      <c r="Y91" s="231"/>
      <c r="Z91" s="231"/>
      <c r="AA91" s="231"/>
      <c r="AB91" s="231"/>
      <c r="AC91" s="231"/>
      <c r="AD91" s="231"/>
      <c r="AE91" s="231"/>
    </row>
    <row r="92" spans="1:31" s="203" customFormat="1" ht="12.75" customHeight="1">
      <c r="A92" s="109"/>
      <c r="B92" s="132"/>
      <c r="C92" s="132"/>
      <c r="D92" s="132"/>
      <c r="E92" s="859"/>
      <c r="F92" s="859"/>
      <c r="G92" s="29"/>
      <c r="H92" s="859"/>
      <c r="I92" s="29"/>
      <c r="J92" s="231"/>
      <c r="K92" s="231"/>
      <c r="L92" s="231"/>
      <c r="M92" s="231"/>
      <c r="N92" s="231"/>
      <c r="O92" s="231"/>
      <c r="P92" s="231"/>
      <c r="Q92" s="231"/>
      <c r="R92" s="231"/>
      <c r="S92" s="231"/>
      <c r="T92" s="231"/>
      <c r="U92" s="231"/>
      <c r="V92" s="231"/>
      <c r="W92" s="231"/>
      <c r="X92" s="231"/>
      <c r="Y92" s="231"/>
      <c r="Z92" s="231"/>
      <c r="AA92" s="231"/>
      <c r="AB92" s="231"/>
      <c r="AC92" s="231"/>
      <c r="AD92" s="231"/>
      <c r="AE92" s="231"/>
    </row>
    <row r="93" spans="1:31" s="203" customFormat="1">
      <c r="A93" s="109" t="s">
        <v>103</v>
      </c>
      <c r="B93" s="132"/>
      <c r="C93" s="132"/>
      <c r="D93" s="132"/>
      <c r="E93" s="859"/>
      <c r="F93" s="859"/>
      <c r="G93" s="29"/>
      <c r="H93" s="859"/>
      <c r="I93" s="29"/>
      <c r="J93" s="231"/>
      <c r="K93" s="231"/>
      <c r="L93" s="231"/>
      <c r="M93" s="231"/>
      <c r="N93" s="231"/>
      <c r="O93" s="231"/>
      <c r="P93" s="231"/>
      <c r="Q93" s="231"/>
      <c r="R93" s="231"/>
      <c r="S93" s="231"/>
      <c r="T93" s="231"/>
      <c r="U93" s="231"/>
      <c r="V93" s="231"/>
      <c r="W93" s="231"/>
      <c r="X93" s="231"/>
      <c r="Y93" s="231"/>
      <c r="Z93" s="231"/>
      <c r="AA93" s="231"/>
      <c r="AB93" s="231"/>
      <c r="AC93" s="231"/>
      <c r="AD93" s="231"/>
      <c r="AE93" s="231"/>
    </row>
    <row r="94" spans="1:31" s="203" customFormat="1">
      <c r="A94" s="109" t="s">
        <v>83</v>
      </c>
      <c r="B94" s="132"/>
      <c r="C94" s="132"/>
      <c r="D94" s="132"/>
      <c r="E94" s="859"/>
      <c r="F94" s="859"/>
      <c r="G94" s="130"/>
      <c r="H94" s="859"/>
      <c r="I94" s="29"/>
      <c r="J94" s="231"/>
      <c r="K94" s="231"/>
      <c r="L94" s="231"/>
      <c r="M94" s="231"/>
      <c r="N94" s="231"/>
      <c r="O94" s="231"/>
      <c r="P94" s="231"/>
      <c r="Q94" s="231"/>
      <c r="R94" s="231"/>
      <c r="S94" s="231"/>
      <c r="T94" s="231"/>
      <c r="U94" s="231"/>
      <c r="V94" s="231"/>
      <c r="W94" s="231"/>
      <c r="X94" s="231"/>
      <c r="Y94" s="231"/>
      <c r="Z94" s="231"/>
      <c r="AA94" s="231"/>
      <c r="AB94" s="231"/>
      <c r="AC94" s="231"/>
      <c r="AD94" s="231"/>
      <c r="AE94" s="231"/>
    </row>
    <row r="95" spans="1:31" s="203" customFormat="1">
      <c r="A95" s="110" t="s">
        <v>84</v>
      </c>
      <c r="B95" s="132"/>
      <c r="C95" s="132"/>
      <c r="D95" s="132"/>
      <c r="E95" s="860"/>
      <c r="F95" s="860"/>
      <c r="G95" s="130"/>
      <c r="H95" s="860"/>
      <c r="I95" s="130"/>
      <c r="J95" s="231"/>
      <c r="K95" s="231"/>
      <c r="L95" s="231"/>
      <c r="M95" s="231"/>
      <c r="N95" s="231"/>
      <c r="O95" s="231"/>
      <c r="P95" s="231"/>
      <c r="Q95" s="231"/>
      <c r="R95" s="231"/>
      <c r="S95" s="231"/>
      <c r="T95" s="231"/>
      <c r="U95" s="231"/>
      <c r="V95" s="231"/>
      <c r="W95" s="231"/>
      <c r="X95" s="231"/>
      <c r="Y95" s="231"/>
      <c r="Z95" s="231"/>
      <c r="AA95" s="231"/>
      <c r="AB95" s="231"/>
      <c r="AC95" s="231"/>
      <c r="AD95" s="231"/>
      <c r="AE95" s="231"/>
    </row>
    <row r="96" spans="1:31" s="203" customFormat="1">
      <c r="A96" s="120">
        <v>1</v>
      </c>
      <c r="B96" s="47" t="s">
        <v>104</v>
      </c>
      <c r="C96" s="47"/>
      <c r="D96" s="47"/>
      <c r="E96" s="41">
        <v>595</v>
      </c>
      <c r="F96" s="52">
        <v>1041</v>
      </c>
      <c r="G96" s="118"/>
      <c r="H96" s="133">
        <v>641</v>
      </c>
      <c r="I96" s="139"/>
      <c r="J96" s="231"/>
      <c r="K96" s="231"/>
      <c r="L96" s="231"/>
      <c r="M96" s="231"/>
      <c r="N96" s="231"/>
      <c r="O96" s="231"/>
      <c r="P96" s="231"/>
      <c r="Q96" s="231"/>
      <c r="R96" s="231"/>
      <c r="S96" s="231"/>
      <c r="T96" s="231"/>
      <c r="U96" s="231"/>
      <c r="V96" s="231"/>
      <c r="W96" s="231"/>
      <c r="X96" s="231"/>
      <c r="Y96" s="231"/>
      <c r="Z96" s="231"/>
      <c r="AA96" s="231"/>
      <c r="AB96" s="231"/>
      <c r="AC96" s="231"/>
      <c r="AD96" s="231"/>
      <c r="AE96" s="231"/>
    </row>
    <row r="97" spans="1:31" s="203" customFormat="1">
      <c r="A97" s="120">
        <v>2</v>
      </c>
      <c r="B97" s="47" t="s">
        <v>105</v>
      </c>
      <c r="C97" s="47"/>
      <c r="D97" s="47"/>
      <c r="E97" s="49">
        <v>14</v>
      </c>
      <c r="F97" s="52">
        <v>14</v>
      </c>
      <c r="G97" s="118"/>
      <c r="H97" s="122">
        <v>7</v>
      </c>
      <c r="I97" s="139"/>
      <c r="J97" s="231"/>
      <c r="K97" s="231"/>
      <c r="L97" s="231"/>
      <c r="M97" s="231"/>
      <c r="N97" s="231"/>
      <c r="O97" s="231"/>
      <c r="P97" s="231"/>
      <c r="Q97" s="231"/>
      <c r="R97" s="231"/>
      <c r="S97" s="231"/>
      <c r="T97" s="231"/>
      <c r="U97" s="231"/>
      <c r="V97" s="231"/>
      <c r="W97" s="231"/>
      <c r="X97" s="231"/>
      <c r="Y97" s="231"/>
      <c r="Z97" s="231"/>
      <c r="AA97" s="231"/>
      <c r="AB97" s="231"/>
      <c r="AC97" s="231"/>
      <c r="AD97" s="231"/>
      <c r="AE97" s="231"/>
    </row>
    <row r="98" spans="1:31" s="203" customFormat="1">
      <c r="A98" s="120">
        <v>3</v>
      </c>
      <c r="B98" s="47" t="s">
        <v>106</v>
      </c>
      <c r="C98" s="47"/>
      <c r="D98" s="47"/>
      <c r="E98" s="114">
        <v>3402</v>
      </c>
      <c r="F98" s="50">
        <f>F115</f>
        <v>3468</v>
      </c>
      <c r="G98" s="118"/>
      <c r="H98" s="50">
        <f>H115</f>
        <v>3230</v>
      </c>
      <c r="I98" s="139"/>
      <c r="J98" s="231"/>
      <c r="K98" s="231"/>
      <c r="L98" s="231"/>
      <c r="M98" s="231"/>
      <c r="N98" s="231"/>
      <c r="O98" s="231"/>
      <c r="P98" s="231"/>
      <c r="Q98" s="231"/>
      <c r="R98" s="231"/>
      <c r="S98" s="231"/>
      <c r="T98" s="231"/>
      <c r="U98" s="231"/>
      <c r="V98" s="231"/>
      <c r="W98" s="231"/>
      <c r="X98" s="231"/>
      <c r="Y98" s="231"/>
      <c r="Z98" s="231"/>
      <c r="AA98" s="231"/>
      <c r="AB98" s="231"/>
      <c r="AC98" s="231"/>
      <c r="AD98" s="231"/>
      <c r="AE98" s="231"/>
    </row>
    <row r="99" spans="1:31" s="203" customFormat="1">
      <c r="A99" s="120">
        <v>4</v>
      </c>
      <c r="B99" s="47" t="s">
        <v>107</v>
      </c>
      <c r="C99" s="47"/>
      <c r="D99" s="47"/>
      <c r="E99" s="114">
        <v>14815</v>
      </c>
      <c r="F99" s="50">
        <f>F125</f>
        <v>13780</v>
      </c>
      <c r="G99" s="118"/>
      <c r="H99" s="50">
        <f>H125</f>
        <v>14347</v>
      </c>
      <c r="I99" s="139"/>
      <c r="J99" s="231"/>
      <c r="K99" s="231"/>
      <c r="L99" s="231"/>
      <c r="M99" s="231"/>
      <c r="N99" s="231"/>
      <c r="O99" s="231"/>
      <c r="P99" s="231"/>
      <c r="Q99" s="231"/>
      <c r="R99" s="231"/>
      <c r="S99" s="231"/>
      <c r="T99" s="231"/>
      <c r="U99" s="231"/>
      <c r="V99" s="231"/>
      <c r="W99" s="231"/>
      <c r="X99" s="231"/>
      <c r="Y99" s="231"/>
      <c r="Z99" s="231"/>
      <c r="AA99" s="231"/>
      <c r="AB99" s="231"/>
      <c r="AC99" s="231"/>
      <c r="AD99" s="231"/>
      <c r="AE99" s="231"/>
    </row>
    <row r="100" spans="1:31" s="203" customFormat="1">
      <c r="A100" s="120">
        <v>5</v>
      </c>
      <c r="B100" s="47" t="s">
        <v>108</v>
      </c>
      <c r="C100" s="47"/>
      <c r="D100" s="47"/>
      <c r="E100" s="114">
        <v>855</v>
      </c>
      <c r="F100" s="50">
        <f>F135</f>
        <v>776</v>
      </c>
      <c r="G100" s="118"/>
      <c r="H100" s="50">
        <f>H135</f>
        <v>768</v>
      </c>
      <c r="I100" s="139"/>
      <c r="J100" s="231"/>
      <c r="K100" s="231"/>
      <c r="L100" s="231"/>
      <c r="M100" s="231"/>
      <c r="N100" s="231"/>
      <c r="O100" s="231"/>
      <c r="P100" s="231"/>
      <c r="Q100" s="231"/>
      <c r="R100" s="231"/>
      <c r="S100" s="231"/>
      <c r="T100" s="231"/>
      <c r="U100" s="231"/>
      <c r="V100" s="231"/>
      <c r="W100" s="231"/>
      <c r="X100" s="231"/>
      <c r="Y100" s="231"/>
      <c r="Z100" s="231"/>
      <c r="AA100" s="231"/>
      <c r="AB100" s="231"/>
      <c r="AC100" s="231"/>
      <c r="AD100" s="231"/>
      <c r="AE100" s="231"/>
    </row>
    <row r="101" spans="1:31" s="203" customFormat="1">
      <c r="A101" s="120">
        <v>6</v>
      </c>
      <c r="B101" s="47" t="s">
        <v>109</v>
      </c>
      <c r="C101" s="47"/>
      <c r="D101" s="47"/>
      <c r="E101" s="114">
        <v>3788</v>
      </c>
      <c r="F101" s="50">
        <f>F143</f>
        <v>3756</v>
      </c>
      <c r="G101" s="118"/>
      <c r="H101" s="50">
        <f>H143</f>
        <v>5115</v>
      </c>
      <c r="I101" s="139"/>
      <c r="J101" s="231"/>
      <c r="K101" s="231"/>
      <c r="L101" s="231"/>
      <c r="M101" s="231"/>
      <c r="N101" s="231"/>
      <c r="O101" s="231"/>
      <c r="P101" s="231"/>
      <c r="Q101" s="231"/>
      <c r="R101" s="231"/>
      <c r="S101" s="231"/>
      <c r="T101" s="231"/>
      <c r="U101" s="231"/>
      <c r="V101" s="231"/>
      <c r="W101" s="231"/>
      <c r="X101" s="231"/>
      <c r="Y101" s="231"/>
      <c r="Z101" s="231"/>
      <c r="AA101" s="231"/>
      <c r="AB101" s="231"/>
      <c r="AC101" s="231"/>
      <c r="AD101" s="231"/>
      <c r="AE101" s="231"/>
    </row>
    <row r="102" spans="1:31" s="203" customFormat="1">
      <c r="A102" s="120">
        <v>7</v>
      </c>
      <c r="B102" s="47" t="s">
        <v>110</v>
      </c>
      <c r="C102" s="47"/>
      <c r="D102" s="47"/>
      <c r="E102" s="114">
        <v>276</v>
      </c>
      <c r="F102" s="50">
        <f>F150</f>
        <v>272</v>
      </c>
      <c r="G102" s="118"/>
      <c r="H102" s="50">
        <f>H150</f>
        <v>242</v>
      </c>
      <c r="I102" s="139"/>
      <c r="J102" s="231"/>
      <c r="K102" s="231"/>
      <c r="L102" s="231"/>
      <c r="M102" s="231"/>
      <c r="N102" s="231"/>
      <c r="O102" s="231"/>
      <c r="P102" s="231"/>
      <c r="Q102" s="231"/>
      <c r="R102" s="231"/>
      <c r="S102" s="231"/>
      <c r="T102" s="231"/>
      <c r="U102" s="231"/>
      <c r="V102" s="231"/>
      <c r="W102" s="231"/>
      <c r="X102" s="231"/>
      <c r="Y102" s="231"/>
      <c r="Z102" s="231"/>
      <c r="AA102" s="231"/>
      <c r="AB102" s="231"/>
      <c r="AC102" s="231"/>
      <c r="AD102" s="231"/>
      <c r="AE102" s="231"/>
    </row>
    <row r="103" spans="1:31" s="203" customFormat="1">
      <c r="A103" s="120">
        <v>8</v>
      </c>
      <c r="B103" s="47" t="s">
        <v>111</v>
      </c>
      <c r="C103" s="47"/>
      <c r="D103" s="47"/>
      <c r="E103" s="114">
        <v>115</v>
      </c>
      <c r="F103" s="52">
        <v>102</v>
      </c>
      <c r="G103" s="118"/>
      <c r="H103" s="122">
        <v>118</v>
      </c>
      <c r="I103" s="139"/>
      <c r="J103" s="231"/>
      <c r="K103" s="231"/>
      <c r="L103" s="231"/>
      <c r="M103" s="231"/>
      <c r="N103" s="231"/>
      <c r="O103" s="231"/>
      <c r="P103" s="231"/>
      <c r="Q103" s="231"/>
      <c r="R103" s="231"/>
      <c r="S103" s="231"/>
      <c r="T103" s="231"/>
      <c r="U103" s="231"/>
      <c r="V103" s="231"/>
      <c r="W103" s="231"/>
      <c r="X103" s="231"/>
      <c r="Y103" s="231"/>
      <c r="Z103" s="231"/>
      <c r="AA103" s="231"/>
      <c r="AB103" s="231"/>
      <c r="AC103" s="231"/>
      <c r="AD103" s="231"/>
      <c r="AE103" s="231"/>
    </row>
    <row r="104" spans="1:31" s="203" customFormat="1">
      <c r="A104" s="120">
        <v>9</v>
      </c>
      <c r="B104" s="47" t="s">
        <v>112</v>
      </c>
      <c r="C104" s="47"/>
      <c r="D104" s="47"/>
      <c r="E104" s="114">
        <v>415</v>
      </c>
      <c r="F104" s="52">
        <v>391</v>
      </c>
      <c r="G104" s="118"/>
      <c r="H104" s="122">
        <v>394</v>
      </c>
      <c r="I104" s="139"/>
      <c r="J104" s="231"/>
      <c r="K104" s="231"/>
      <c r="L104" s="231"/>
      <c r="M104" s="231"/>
      <c r="N104" s="231"/>
      <c r="O104" s="231"/>
      <c r="P104" s="231"/>
      <c r="Q104" s="231"/>
      <c r="R104" s="231"/>
      <c r="S104" s="231"/>
      <c r="T104" s="231"/>
      <c r="U104" s="231"/>
      <c r="V104" s="231"/>
      <c r="W104" s="231"/>
      <c r="X104" s="231"/>
      <c r="Y104" s="231"/>
      <c r="Z104" s="231"/>
      <c r="AA104" s="231"/>
      <c r="AB104" s="231"/>
      <c r="AC104" s="231"/>
      <c r="AD104" s="231"/>
      <c r="AE104" s="231"/>
    </row>
    <row r="105" spans="1:31" s="203" customFormat="1">
      <c r="A105" s="111" t="s">
        <v>113</v>
      </c>
      <c r="B105" s="116" t="s">
        <v>114</v>
      </c>
      <c r="C105" s="116"/>
      <c r="D105" s="47"/>
      <c r="E105" s="134">
        <v>24275</v>
      </c>
      <c r="F105" s="61">
        <f>SUM(F96:F104)</f>
        <v>23600</v>
      </c>
      <c r="G105" s="118"/>
      <c r="H105" s="61">
        <f>SUM(H96:H104)</f>
        <v>24862</v>
      </c>
      <c r="I105" s="139"/>
      <c r="J105" s="231"/>
      <c r="K105" s="231"/>
      <c r="L105" s="231"/>
      <c r="M105" s="231"/>
      <c r="N105" s="231"/>
      <c r="O105" s="231"/>
      <c r="P105" s="231"/>
      <c r="Q105" s="231"/>
      <c r="R105" s="231"/>
      <c r="S105" s="231"/>
      <c r="T105" s="231"/>
      <c r="U105" s="231"/>
      <c r="V105" s="231"/>
      <c r="W105" s="231"/>
      <c r="X105" s="231"/>
      <c r="Y105" s="231"/>
      <c r="Z105" s="231"/>
      <c r="AA105" s="231"/>
      <c r="AB105" s="231"/>
      <c r="AC105" s="231"/>
      <c r="AD105" s="231"/>
      <c r="AE105" s="231"/>
    </row>
    <row r="106" spans="1:31" s="203" customFormat="1">
      <c r="A106" s="120">
        <v>11</v>
      </c>
      <c r="B106" s="90" t="s">
        <v>115</v>
      </c>
      <c r="C106" s="47"/>
      <c r="D106" s="47"/>
      <c r="E106" s="135">
        <v>0</v>
      </c>
      <c r="F106" s="136"/>
      <c r="G106" s="118"/>
      <c r="H106" s="137"/>
      <c r="I106" s="139"/>
      <c r="J106" s="231"/>
      <c r="K106" s="231"/>
      <c r="L106" s="231"/>
      <c r="M106" s="231"/>
      <c r="N106" s="231"/>
      <c r="O106" s="231"/>
      <c r="P106" s="231"/>
      <c r="Q106" s="231"/>
      <c r="R106" s="231"/>
      <c r="S106" s="231"/>
      <c r="T106" s="231"/>
      <c r="U106" s="231"/>
      <c r="V106" s="231"/>
      <c r="W106" s="231"/>
      <c r="X106" s="231"/>
      <c r="Y106" s="231"/>
      <c r="Z106" s="231"/>
      <c r="AA106" s="231"/>
      <c r="AB106" s="231"/>
      <c r="AC106" s="231"/>
      <c r="AD106" s="231"/>
      <c r="AE106" s="231"/>
    </row>
    <row r="107" spans="1:31" s="203" customFormat="1">
      <c r="A107" s="111"/>
      <c r="B107" s="47"/>
      <c r="C107" s="47"/>
      <c r="D107" s="138"/>
      <c r="E107" s="117"/>
      <c r="F107" s="139"/>
      <c r="G107" s="139"/>
      <c r="H107" s="139"/>
      <c r="I107" s="139"/>
      <c r="J107" s="231"/>
      <c r="K107" s="231"/>
      <c r="L107" s="231"/>
      <c r="M107" s="231"/>
      <c r="N107" s="231"/>
      <c r="O107" s="231"/>
      <c r="P107" s="231"/>
      <c r="Q107" s="231"/>
      <c r="R107" s="231"/>
      <c r="S107" s="231"/>
      <c r="T107" s="231"/>
      <c r="U107" s="231"/>
      <c r="V107" s="231"/>
      <c r="W107" s="231"/>
      <c r="X107" s="231"/>
      <c r="Y107" s="231"/>
      <c r="Z107" s="231"/>
      <c r="AA107" s="231"/>
      <c r="AB107" s="231"/>
      <c r="AC107" s="231"/>
      <c r="AD107" s="231"/>
      <c r="AE107" s="231"/>
    </row>
    <row r="108" spans="1:31" s="203" customFormat="1">
      <c r="A108" s="119" t="s">
        <v>116</v>
      </c>
      <c r="B108" s="47"/>
      <c r="C108" s="47"/>
      <c r="D108" s="47"/>
      <c r="E108" s="117"/>
      <c r="F108" s="139"/>
      <c r="G108" s="139"/>
      <c r="H108" s="139"/>
      <c r="I108" s="139"/>
      <c r="J108" s="231"/>
      <c r="K108" s="231"/>
      <c r="L108" s="231"/>
      <c r="M108" s="231"/>
      <c r="N108" s="231"/>
      <c r="O108" s="231"/>
      <c r="P108" s="231"/>
      <c r="Q108" s="231"/>
      <c r="R108" s="231"/>
      <c r="S108" s="231"/>
      <c r="T108" s="231"/>
      <c r="U108" s="231"/>
      <c r="V108" s="231"/>
      <c r="W108" s="231"/>
      <c r="X108" s="231"/>
      <c r="Y108" s="231"/>
      <c r="Z108" s="231"/>
      <c r="AA108" s="231"/>
      <c r="AB108" s="231"/>
      <c r="AC108" s="231"/>
      <c r="AD108" s="231"/>
      <c r="AE108" s="231"/>
    </row>
    <row r="109" spans="1:31" s="203" customFormat="1">
      <c r="A109" s="119" t="s">
        <v>106</v>
      </c>
      <c r="B109" s="47"/>
      <c r="C109" s="47"/>
      <c r="D109" s="47"/>
      <c r="E109" s="140"/>
      <c r="F109" s="141"/>
      <c r="G109" s="139"/>
      <c r="H109" s="141"/>
      <c r="I109" s="139"/>
      <c r="J109" s="231"/>
      <c r="K109" s="231"/>
      <c r="L109" s="231"/>
      <c r="M109" s="231"/>
      <c r="N109" s="231"/>
      <c r="O109" s="231"/>
      <c r="P109" s="231"/>
      <c r="Q109" s="231"/>
      <c r="R109" s="231"/>
      <c r="S109" s="231"/>
      <c r="T109" s="231"/>
      <c r="U109" s="231"/>
      <c r="V109" s="231"/>
      <c r="W109" s="231"/>
      <c r="X109" s="231"/>
      <c r="Y109" s="231"/>
      <c r="Z109" s="231"/>
      <c r="AA109" s="231"/>
      <c r="AB109" s="231"/>
      <c r="AC109" s="231"/>
      <c r="AD109" s="231"/>
      <c r="AE109" s="231"/>
    </row>
    <row r="110" spans="1:31" s="203" customFormat="1">
      <c r="A110" s="120">
        <v>12</v>
      </c>
      <c r="B110" s="47" t="s">
        <v>117</v>
      </c>
      <c r="C110" s="47"/>
      <c r="D110" s="47"/>
      <c r="E110" s="49">
        <v>1514</v>
      </c>
      <c r="F110" s="52">
        <v>1403</v>
      </c>
      <c r="G110" s="118"/>
      <c r="H110" s="122">
        <v>1425</v>
      </c>
      <c r="I110" s="139"/>
      <c r="J110" s="231"/>
      <c r="K110" s="231"/>
      <c r="L110" s="231"/>
      <c r="M110" s="231"/>
      <c r="N110" s="231"/>
      <c r="O110" s="231"/>
      <c r="P110" s="231"/>
      <c r="Q110" s="231"/>
      <c r="R110" s="231"/>
      <c r="S110" s="231"/>
      <c r="T110" s="231"/>
      <c r="U110" s="231"/>
      <c r="V110" s="231"/>
      <c r="W110" s="231"/>
      <c r="X110" s="231"/>
      <c r="Y110" s="231"/>
      <c r="Z110" s="231"/>
      <c r="AA110" s="231"/>
      <c r="AB110" s="231"/>
      <c r="AC110" s="231"/>
      <c r="AD110" s="231"/>
      <c r="AE110" s="231"/>
    </row>
    <row r="111" spans="1:31" s="203" customFormat="1">
      <c r="A111" s="120">
        <v>13</v>
      </c>
      <c r="B111" s="47" t="s">
        <v>118</v>
      </c>
      <c r="C111" s="47"/>
      <c r="D111" s="47"/>
      <c r="E111" s="49">
        <v>695</v>
      </c>
      <c r="F111" s="52">
        <v>637</v>
      </c>
      <c r="G111" s="118"/>
      <c r="H111" s="122">
        <v>642</v>
      </c>
      <c r="I111" s="139"/>
      <c r="J111" s="231"/>
      <c r="K111" s="231"/>
      <c r="L111" s="231"/>
      <c r="M111" s="231"/>
      <c r="N111" s="231"/>
      <c r="O111" s="231"/>
      <c r="P111" s="231"/>
      <c r="Q111" s="231"/>
      <c r="R111" s="231"/>
      <c r="S111" s="231"/>
      <c r="T111" s="231"/>
      <c r="U111" s="231"/>
      <c r="V111" s="231"/>
      <c r="W111" s="231"/>
      <c r="X111" s="231"/>
      <c r="Y111" s="231"/>
      <c r="Z111" s="231"/>
      <c r="AA111" s="231"/>
      <c r="AB111" s="231"/>
      <c r="AC111" s="231"/>
      <c r="AD111" s="231"/>
      <c r="AE111" s="231"/>
    </row>
    <row r="112" spans="1:31" s="203" customFormat="1">
      <c r="A112" s="120">
        <v>14</v>
      </c>
      <c r="B112" s="47" t="s">
        <v>119</v>
      </c>
      <c r="C112" s="47"/>
      <c r="D112" s="47"/>
      <c r="E112" s="49">
        <v>1095</v>
      </c>
      <c r="F112" s="52">
        <v>1317</v>
      </c>
      <c r="G112" s="118"/>
      <c r="H112" s="122">
        <v>1090</v>
      </c>
      <c r="I112" s="139"/>
      <c r="J112" s="231"/>
      <c r="K112" s="231"/>
      <c r="L112" s="231"/>
      <c r="M112" s="231"/>
      <c r="N112" s="231"/>
      <c r="O112" s="231"/>
      <c r="P112" s="231"/>
      <c r="Q112" s="231"/>
      <c r="R112" s="231"/>
      <c r="S112" s="231"/>
      <c r="T112" s="231"/>
      <c r="U112" s="231"/>
      <c r="V112" s="231"/>
      <c r="W112" s="231"/>
      <c r="X112" s="231"/>
      <c r="Y112" s="231"/>
      <c r="Z112" s="231"/>
      <c r="AA112" s="231"/>
      <c r="AB112" s="231"/>
      <c r="AC112" s="231"/>
      <c r="AD112" s="231"/>
      <c r="AE112" s="231"/>
    </row>
    <row r="113" spans="1:31" s="203" customFormat="1">
      <c r="A113" s="120">
        <v>15</v>
      </c>
      <c r="B113" s="47" t="s">
        <v>120</v>
      </c>
      <c r="C113" s="47"/>
      <c r="D113" s="47"/>
      <c r="E113" s="49">
        <v>0</v>
      </c>
      <c r="F113" s="52">
        <v>0</v>
      </c>
      <c r="G113" s="118"/>
      <c r="H113" s="122">
        <v>0</v>
      </c>
      <c r="I113" s="139"/>
      <c r="J113" s="231"/>
      <c r="K113" s="231"/>
      <c r="L113" s="231"/>
      <c r="M113" s="231"/>
      <c r="N113" s="231"/>
      <c r="O113" s="231"/>
      <c r="P113" s="231"/>
      <c r="Q113" s="231"/>
      <c r="R113" s="231"/>
      <c r="S113" s="231"/>
      <c r="T113" s="231"/>
      <c r="U113" s="231"/>
      <c r="V113" s="231"/>
      <c r="W113" s="231"/>
      <c r="X113" s="231"/>
      <c r="Y113" s="231"/>
      <c r="Z113" s="231"/>
      <c r="AA113" s="231"/>
      <c r="AB113" s="231"/>
      <c r="AC113" s="231"/>
      <c r="AD113" s="231"/>
      <c r="AE113" s="231"/>
    </row>
    <row r="114" spans="1:31" s="203" customFormat="1">
      <c r="A114" s="120">
        <v>16</v>
      </c>
      <c r="B114" s="47" t="s">
        <v>121</v>
      </c>
      <c r="C114" s="47"/>
      <c r="D114" s="47"/>
      <c r="E114" s="49">
        <v>98</v>
      </c>
      <c r="F114" s="52">
        <f>17+12+42+40</f>
        <v>111</v>
      </c>
      <c r="G114" s="118"/>
      <c r="H114" s="100">
        <f>10+25+38</f>
        <v>73</v>
      </c>
      <c r="I114" s="139"/>
      <c r="J114" s="231"/>
      <c r="K114" s="231"/>
      <c r="L114" s="231"/>
      <c r="M114" s="231"/>
      <c r="N114" s="231"/>
      <c r="O114" s="231"/>
      <c r="P114" s="231"/>
      <c r="Q114" s="231"/>
      <c r="R114" s="231"/>
      <c r="S114" s="231"/>
      <c r="T114" s="231"/>
      <c r="U114" s="231"/>
      <c r="V114" s="231"/>
      <c r="W114" s="231"/>
      <c r="X114" s="231"/>
      <c r="Y114" s="231"/>
      <c r="Z114" s="231"/>
      <c r="AA114" s="231"/>
      <c r="AB114" s="231"/>
      <c r="AC114" s="231"/>
      <c r="AD114" s="231"/>
      <c r="AE114" s="231"/>
    </row>
    <row r="115" spans="1:31" s="203" customFormat="1">
      <c r="A115" s="120">
        <v>17</v>
      </c>
      <c r="B115" s="116" t="s">
        <v>122</v>
      </c>
      <c r="C115" s="116"/>
      <c r="D115" s="116"/>
      <c r="E115" s="80">
        <v>3402</v>
      </c>
      <c r="F115" s="142">
        <f>SUM(F110:F114)</f>
        <v>3468</v>
      </c>
      <c r="G115" s="118"/>
      <c r="H115" s="142">
        <f>SUM(H110:H114)</f>
        <v>3230</v>
      </c>
      <c r="I115" s="139"/>
      <c r="J115" s="231"/>
      <c r="K115" s="231"/>
      <c r="L115" s="231"/>
      <c r="M115" s="231"/>
      <c r="N115" s="231"/>
      <c r="O115" s="231"/>
      <c r="P115" s="231"/>
      <c r="Q115" s="231"/>
      <c r="R115" s="231"/>
      <c r="S115" s="231"/>
      <c r="T115" s="231"/>
      <c r="U115" s="231"/>
      <c r="V115" s="231"/>
      <c r="W115" s="231"/>
      <c r="X115" s="231"/>
      <c r="Y115" s="231"/>
      <c r="Z115" s="231"/>
      <c r="AA115" s="231"/>
      <c r="AB115" s="231"/>
      <c r="AC115" s="231"/>
      <c r="AD115" s="231"/>
      <c r="AE115" s="231"/>
    </row>
    <row r="116" spans="1:31" s="203" customFormat="1">
      <c r="A116" s="111"/>
      <c r="B116" s="116"/>
      <c r="C116" s="116"/>
      <c r="D116" s="116"/>
      <c r="E116" s="143"/>
      <c r="F116" s="118"/>
      <c r="G116" s="118"/>
      <c r="H116" s="118"/>
      <c r="I116" s="139"/>
      <c r="J116" s="231"/>
      <c r="K116" s="231"/>
      <c r="L116" s="231"/>
      <c r="M116" s="231"/>
      <c r="N116" s="231"/>
      <c r="O116" s="231"/>
      <c r="P116" s="231"/>
      <c r="Q116" s="231"/>
      <c r="R116" s="231"/>
      <c r="S116" s="231"/>
      <c r="T116" s="231"/>
      <c r="U116" s="231"/>
      <c r="V116" s="231"/>
      <c r="W116" s="231"/>
      <c r="X116" s="231"/>
      <c r="Y116" s="231"/>
      <c r="Z116" s="231"/>
      <c r="AA116" s="231"/>
      <c r="AB116" s="231"/>
      <c r="AC116" s="231"/>
      <c r="AD116" s="231"/>
      <c r="AE116" s="231"/>
    </row>
    <row r="117" spans="1:31" s="203" customFormat="1">
      <c r="A117" s="144" t="s">
        <v>107</v>
      </c>
      <c r="B117" s="116"/>
      <c r="C117" s="116"/>
      <c r="D117" s="116"/>
      <c r="E117" s="145"/>
      <c r="F117" s="146"/>
      <c r="G117" s="118"/>
      <c r="H117" s="146"/>
      <c r="I117" s="139"/>
      <c r="J117" s="231"/>
      <c r="K117" s="231"/>
      <c r="L117" s="231"/>
      <c r="M117" s="231"/>
      <c r="N117" s="231"/>
      <c r="O117" s="231"/>
      <c r="P117" s="231"/>
      <c r="Q117" s="231"/>
      <c r="R117" s="231"/>
      <c r="S117" s="231"/>
      <c r="T117" s="231"/>
      <c r="U117" s="231"/>
      <c r="V117" s="231"/>
      <c r="W117" s="231"/>
      <c r="X117" s="231"/>
      <c r="Y117" s="231"/>
      <c r="Z117" s="231"/>
      <c r="AA117" s="231"/>
      <c r="AB117" s="231"/>
      <c r="AC117" s="231"/>
      <c r="AD117" s="231"/>
      <c r="AE117" s="231"/>
    </row>
    <row r="118" spans="1:31" s="203" customFormat="1">
      <c r="A118" s="120">
        <v>18</v>
      </c>
      <c r="B118" s="47" t="s">
        <v>123</v>
      </c>
      <c r="C118" s="47"/>
      <c r="D118" s="47"/>
      <c r="E118" s="49">
        <v>929</v>
      </c>
      <c r="F118" s="52">
        <v>957</v>
      </c>
      <c r="G118" s="118"/>
      <c r="H118" s="122">
        <v>824</v>
      </c>
      <c r="I118" s="139"/>
      <c r="J118" s="231"/>
      <c r="K118" s="231"/>
      <c r="L118" s="231"/>
      <c r="M118" s="231"/>
      <c r="N118" s="231"/>
      <c r="O118" s="231"/>
      <c r="P118" s="231"/>
      <c r="Q118" s="231"/>
      <c r="R118" s="231"/>
      <c r="S118" s="231"/>
      <c r="T118" s="231"/>
      <c r="U118" s="231"/>
      <c r="V118" s="231"/>
      <c r="W118" s="231"/>
      <c r="X118" s="231"/>
      <c r="Y118" s="231"/>
      <c r="Z118" s="231"/>
      <c r="AA118" s="231"/>
      <c r="AB118" s="231"/>
      <c r="AC118" s="231"/>
      <c r="AD118" s="231"/>
      <c r="AE118" s="231"/>
    </row>
    <row r="119" spans="1:31" s="203" customFormat="1">
      <c r="A119" s="120">
        <v>19</v>
      </c>
      <c r="B119" s="47" t="s">
        <v>124</v>
      </c>
      <c r="C119" s="47"/>
      <c r="D119" s="47"/>
      <c r="E119" s="49">
        <v>5071</v>
      </c>
      <c r="F119" s="52">
        <v>4834</v>
      </c>
      <c r="G119" s="118"/>
      <c r="H119" s="122">
        <v>4994</v>
      </c>
      <c r="I119" s="139"/>
      <c r="J119" s="231"/>
      <c r="K119" s="231"/>
      <c r="L119" s="231"/>
      <c r="M119" s="231"/>
      <c r="N119" s="231"/>
      <c r="O119" s="231"/>
      <c r="P119" s="231"/>
      <c r="Q119" s="231"/>
      <c r="R119" s="231"/>
      <c r="S119" s="231"/>
      <c r="T119" s="231"/>
      <c r="U119" s="231"/>
      <c r="V119" s="231"/>
      <c r="W119" s="231"/>
      <c r="X119" s="231"/>
      <c r="Y119" s="231"/>
      <c r="Z119" s="231"/>
      <c r="AA119" s="231"/>
      <c r="AB119" s="231"/>
      <c r="AC119" s="231"/>
      <c r="AD119" s="231"/>
      <c r="AE119" s="231"/>
    </row>
    <row r="120" spans="1:31" s="203" customFormat="1">
      <c r="A120" s="120">
        <v>20</v>
      </c>
      <c r="B120" s="47" t="s">
        <v>119</v>
      </c>
      <c r="C120" s="47"/>
      <c r="D120" s="47"/>
      <c r="E120" s="49">
        <v>7153</v>
      </c>
      <c r="F120" s="52">
        <v>6390</v>
      </c>
      <c r="G120" s="118"/>
      <c r="H120" s="122">
        <f>6548+487</f>
        <v>7035</v>
      </c>
      <c r="I120" s="139"/>
      <c r="J120" s="231"/>
      <c r="K120" s="231"/>
      <c r="L120" s="231"/>
      <c r="M120" s="231"/>
      <c r="N120" s="231"/>
      <c r="O120" s="231"/>
      <c r="P120" s="231"/>
      <c r="Q120" s="231"/>
      <c r="R120" s="231"/>
      <c r="S120" s="231"/>
      <c r="T120" s="231"/>
      <c r="U120" s="231"/>
      <c r="V120" s="231"/>
      <c r="W120" s="231"/>
      <c r="X120" s="231"/>
      <c r="Y120" s="231"/>
      <c r="Z120" s="231"/>
      <c r="AA120" s="231"/>
      <c r="AB120" s="231"/>
      <c r="AC120" s="231"/>
      <c r="AD120" s="231"/>
      <c r="AE120" s="231"/>
    </row>
    <row r="121" spans="1:31" s="203" customFormat="1">
      <c r="A121" s="120">
        <v>21</v>
      </c>
      <c r="B121" s="47" t="s">
        <v>120</v>
      </c>
      <c r="C121" s="47"/>
      <c r="D121" s="47"/>
      <c r="E121" s="49">
        <v>382</v>
      </c>
      <c r="F121" s="52">
        <v>408</v>
      </c>
      <c r="G121" s="118"/>
      <c r="H121" s="122">
        <v>358</v>
      </c>
      <c r="I121" s="139"/>
      <c r="J121" s="231"/>
      <c r="K121" s="231"/>
      <c r="L121" s="231"/>
      <c r="M121" s="231"/>
      <c r="N121" s="231"/>
      <c r="O121" s="231"/>
      <c r="P121" s="231"/>
      <c r="Q121" s="231"/>
      <c r="R121" s="231"/>
      <c r="S121" s="231"/>
      <c r="T121" s="231"/>
      <c r="U121" s="231"/>
      <c r="V121" s="231"/>
      <c r="W121" s="231"/>
      <c r="X121" s="231"/>
      <c r="Y121" s="231"/>
      <c r="Z121" s="231"/>
      <c r="AA121" s="231"/>
      <c r="AB121" s="231"/>
      <c r="AC121" s="231"/>
      <c r="AD121" s="231"/>
      <c r="AE121" s="231"/>
    </row>
    <row r="122" spans="1:31" s="203" customFormat="1">
      <c r="A122" s="120">
        <v>22</v>
      </c>
      <c r="B122" s="47" t="s">
        <v>125</v>
      </c>
      <c r="C122" s="47"/>
      <c r="D122" s="47"/>
      <c r="E122" s="49">
        <v>444</v>
      </c>
      <c r="F122" s="52">
        <v>428</v>
      </c>
      <c r="G122" s="118"/>
      <c r="H122" s="122">
        <v>402</v>
      </c>
      <c r="I122" s="139"/>
      <c r="J122" s="231"/>
      <c r="K122" s="231"/>
      <c r="L122" s="231"/>
      <c r="M122" s="231"/>
      <c r="N122" s="231"/>
      <c r="O122" s="231"/>
      <c r="P122" s="231"/>
      <c r="Q122" s="231"/>
      <c r="R122" s="231"/>
      <c r="S122" s="231"/>
      <c r="T122" s="231"/>
      <c r="U122" s="231"/>
      <c r="V122" s="231"/>
      <c r="W122" s="231"/>
      <c r="X122" s="231"/>
      <c r="Y122" s="231"/>
      <c r="Z122" s="231"/>
      <c r="AA122" s="231"/>
      <c r="AB122" s="231"/>
      <c r="AC122" s="231"/>
      <c r="AD122" s="231"/>
      <c r="AE122" s="231"/>
    </row>
    <row r="123" spans="1:31" s="203" customFormat="1">
      <c r="A123" s="120">
        <v>23</v>
      </c>
      <c r="B123" s="90" t="s">
        <v>126</v>
      </c>
      <c r="C123" s="47"/>
      <c r="D123" s="47"/>
      <c r="E123" s="49">
        <v>442</v>
      </c>
      <c r="F123" s="52">
        <v>437</v>
      </c>
      <c r="G123" s="118"/>
      <c r="H123" s="99">
        <v>400</v>
      </c>
      <c r="I123" s="139"/>
      <c r="J123" s="231"/>
      <c r="K123" s="231"/>
      <c r="L123" s="231"/>
      <c r="M123" s="231"/>
      <c r="N123" s="231"/>
      <c r="O123" s="231"/>
      <c r="P123" s="231"/>
      <c r="Q123" s="231"/>
      <c r="R123" s="231"/>
      <c r="S123" s="231"/>
      <c r="T123" s="231"/>
      <c r="U123" s="231"/>
      <c r="V123" s="231"/>
      <c r="W123" s="231"/>
      <c r="X123" s="231"/>
      <c r="Y123" s="231"/>
      <c r="Z123" s="231"/>
      <c r="AA123" s="231"/>
      <c r="AB123" s="231"/>
      <c r="AC123" s="231"/>
      <c r="AD123" s="231"/>
      <c r="AE123" s="231"/>
    </row>
    <row r="124" spans="1:31" s="203" customFormat="1">
      <c r="A124" s="120">
        <v>24</v>
      </c>
      <c r="B124" s="47" t="s">
        <v>121</v>
      </c>
      <c r="C124" s="47"/>
      <c r="D124" s="47"/>
      <c r="E124" s="49">
        <v>394</v>
      </c>
      <c r="F124" s="52">
        <v>326</v>
      </c>
      <c r="G124" s="118"/>
      <c r="H124" s="100">
        <v>334</v>
      </c>
      <c r="I124" s="139"/>
      <c r="J124" s="231"/>
      <c r="K124" s="231"/>
      <c r="L124" s="231"/>
      <c r="M124" s="231"/>
      <c r="N124" s="231"/>
      <c r="O124" s="231"/>
      <c r="P124" s="231"/>
      <c r="Q124" s="231"/>
      <c r="R124" s="231"/>
      <c r="S124" s="231"/>
      <c r="T124" s="231"/>
      <c r="U124" s="231"/>
      <c r="V124" s="231"/>
      <c r="W124" s="231"/>
      <c r="X124" s="231"/>
      <c r="Y124" s="231"/>
      <c r="Z124" s="231"/>
      <c r="AA124" s="231"/>
      <c r="AB124" s="231"/>
      <c r="AC124" s="231"/>
      <c r="AD124" s="231"/>
      <c r="AE124" s="231"/>
    </row>
    <row r="125" spans="1:31" s="203" customFormat="1">
      <c r="A125" s="120">
        <v>25</v>
      </c>
      <c r="B125" s="147" t="s">
        <v>127</v>
      </c>
      <c r="C125" s="147"/>
      <c r="D125" s="147"/>
      <c r="E125" s="80">
        <v>14815</v>
      </c>
      <c r="F125" s="142">
        <f>SUM(F118:F124)</f>
        <v>13780</v>
      </c>
      <c r="G125" s="118"/>
      <c r="H125" s="142">
        <f>SUM(H118:H124)</f>
        <v>14347</v>
      </c>
      <c r="I125" s="139"/>
      <c r="J125" s="231"/>
      <c r="K125" s="231"/>
      <c r="L125" s="231"/>
      <c r="M125" s="231"/>
      <c r="N125" s="231"/>
      <c r="O125" s="231"/>
      <c r="P125" s="231"/>
      <c r="Q125" s="231"/>
      <c r="R125" s="231"/>
      <c r="S125" s="231"/>
      <c r="T125" s="231"/>
      <c r="U125" s="231"/>
      <c r="V125" s="231"/>
      <c r="W125" s="231"/>
      <c r="X125" s="231"/>
      <c r="Y125" s="231"/>
      <c r="Z125" s="231"/>
      <c r="AA125" s="231"/>
      <c r="AB125" s="231"/>
      <c r="AC125" s="231"/>
      <c r="AD125" s="231"/>
      <c r="AE125" s="231"/>
    </row>
    <row r="126" spans="1:31" s="203" customFormat="1">
      <c r="A126" s="111"/>
      <c r="B126" s="47"/>
      <c r="C126" s="47"/>
      <c r="D126" s="47"/>
      <c r="E126" s="117"/>
      <c r="F126" s="118"/>
      <c r="G126" s="118"/>
      <c r="H126" s="118"/>
      <c r="I126" s="139"/>
      <c r="J126" s="231"/>
      <c r="K126" s="231"/>
      <c r="L126" s="231"/>
      <c r="M126" s="231"/>
      <c r="N126" s="231"/>
      <c r="O126" s="231"/>
      <c r="P126" s="231"/>
      <c r="Q126" s="231"/>
      <c r="R126" s="231"/>
      <c r="S126" s="231"/>
      <c r="T126" s="231"/>
      <c r="U126" s="231"/>
      <c r="V126" s="231"/>
      <c r="W126" s="231"/>
      <c r="X126" s="231"/>
      <c r="Y126" s="231"/>
      <c r="Z126" s="231"/>
      <c r="AA126" s="231"/>
      <c r="AB126" s="231"/>
      <c r="AC126" s="231"/>
      <c r="AD126" s="231"/>
      <c r="AE126" s="231"/>
    </row>
    <row r="127" spans="1:31" s="203" customFormat="1">
      <c r="A127" s="119" t="s">
        <v>108</v>
      </c>
      <c r="B127" s="147"/>
      <c r="C127" s="147"/>
      <c r="D127" s="147"/>
      <c r="E127" s="140"/>
      <c r="F127" s="146"/>
      <c r="G127" s="118"/>
      <c r="H127" s="146"/>
      <c r="I127" s="139"/>
      <c r="J127" s="231"/>
      <c r="K127" s="231"/>
      <c r="L127" s="231"/>
      <c r="M127" s="231"/>
      <c r="N127" s="231"/>
      <c r="O127" s="231"/>
      <c r="P127" s="231"/>
      <c r="Q127" s="231"/>
      <c r="R127" s="231"/>
      <c r="S127" s="231"/>
      <c r="T127" s="231"/>
      <c r="U127" s="231"/>
      <c r="V127" s="231"/>
      <c r="W127" s="231"/>
      <c r="X127" s="231"/>
      <c r="Y127" s="231"/>
      <c r="Z127" s="231"/>
      <c r="AA127" s="231"/>
      <c r="AB127" s="231"/>
      <c r="AC127" s="231"/>
      <c r="AD127" s="231"/>
      <c r="AE127" s="231"/>
    </row>
    <row r="128" spans="1:31" s="203" customFormat="1">
      <c r="A128" s="120">
        <v>26</v>
      </c>
      <c r="B128" s="47" t="s">
        <v>123</v>
      </c>
      <c r="C128" s="47"/>
      <c r="D128" s="47"/>
      <c r="E128" s="74">
        <v>120</v>
      </c>
      <c r="F128" s="52">
        <v>123</v>
      </c>
      <c r="G128" s="118"/>
      <c r="H128" s="122">
        <v>114</v>
      </c>
      <c r="I128" s="139"/>
      <c r="J128" s="231"/>
      <c r="K128" s="231"/>
      <c r="L128" s="231"/>
      <c r="M128" s="231"/>
      <c r="N128" s="231"/>
      <c r="O128" s="231"/>
      <c r="P128" s="231"/>
      <c r="Q128" s="231"/>
      <c r="R128" s="231"/>
      <c r="S128" s="231"/>
      <c r="T128" s="231"/>
      <c r="U128" s="231"/>
      <c r="V128" s="231"/>
      <c r="W128" s="231"/>
      <c r="X128" s="231"/>
      <c r="Y128" s="231"/>
      <c r="Z128" s="231"/>
      <c r="AA128" s="231"/>
      <c r="AB128" s="231"/>
      <c r="AC128" s="231"/>
      <c r="AD128" s="231"/>
      <c r="AE128" s="231"/>
    </row>
    <row r="129" spans="1:31" s="203" customFormat="1">
      <c r="A129" s="120">
        <v>27</v>
      </c>
      <c r="B129" s="47" t="s">
        <v>124</v>
      </c>
      <c r="C129" s="47"/>
      <c r="D129" s="47"/>
      <c r="E129" s="49">
        <v>491</v>
      </c>
      <c r="F129" s="52">
        <v>413</v>
      </c>
      <c r="G129" s="118"/>
      <c r="H129" s="122">
        <v>439</v>
      </c>
      <c r="I129" s="139"/>
      <c r="J129" s="231"/>
      <c r="K129" s="231"/>
      <c r="L129" s="231"/>
      <c r="M129" s="231"/>
      <c r="N129" s="231"/>
      <c r="O129" s="231"/>
      <c r="P129" s="231"/>
      <c r="Q129" s="231"/>
      <c r="R129" s="231"/>
      <c r="S129" s="231"/>
      <c r="T129" s="231"/>
      <c r="U129" s="231"/>
      <c r="V129" s="231"/>
      <c r="W129" s="231"/>
      <c r="X129" s="231"/>
      <c r="Y129" s="231"/>
      <c r="Z129" s="231"/>
      <c r="AA129" s="231"/>
      <c r="AB129" s="231"/>
      <c r="AC129" s="231"/>
      <c r="AD129" s="231"/>
      <c r="AE129" s="231"/>
    </row>
    <row r="130" spans="1:31" s="203" customFormat="1">
      <c r="A130" s="120">
        <v>28</v>
      </c>
      <c r="B130" s="47" t="s">
        <v>119</v>
      </c>
      <c r="C130" s="47"/>
      <c r="D130" s="47"/>
      <c r="E130" s="49">
        <v>83</v>
      </c>
      <c r="F130" s="52">
        <v>81</v>
      </c>
      <c r="G130" s="118"/>
      <c r="H130" s="122">
        <v>73</v>
      </c>
      <c r="I130" s="139"/>
      <c r="J130" s="231"/>
      <c r="K130" s="231"/>
      <c r="L130" s="231"/>
      <c r="M130" s="231"/>
      <c r="N130" s="231"/>
      <c r="O130" s="231"/>
      <c r="P130" s="231"/>
      <c r="Q130" s="231"/>
      <c r="R130" s="231"/>
      <c r="S130" s="231"/>
      <c r="T130" s="231"/>
      <c r="U130" s="231"/>
      <c r="V130" s="231"/>
      <c r="W130" s="231"/>
      <c r="X130" s="231"/>
      <c r="Y130" s="231"/>
      <c r="Z130" s="231"/>
      <c r="AA130" s="231"/>
      <c r="AB130" s="231"/>
      <c r="AC130" s="231"/>
      <c r="AD130" s="231"/>
      <c r="AE130" s="231"/>
    </row>
    <row r="131" spans="1:31" s="203" customFormat="1">
      <c r="A131" s="120">
        <v>29</v>
      </c>
      <c r="B131" s="47" t="s">
        <v>120</v>
      </c>
      <c r="C131" s="47"/>
      <c r="D131" s="47"/>
      <c r="E131" s="49">
        <v>69</v>
      </c>
      <c r="F131" s="52">
        <v>70</v>
      </c>
      <c r="G131" s="118"/>
      <c r="H131" s="122">
        <v>60</v>
      </c>
      <c r="I131" s="139"/>
      <c r="J131" s="231"/>
      <c r="K131" s="231"/>
      <c r="L131" s="231"/>
      <c r="M131" s="231"/>
      <c r="N131" s="231"/>
      <c r="O131" s="231"/>
      <c r="P131" s="231"/>
      <c r="Q131" s="231"/>
      <c r="R131" s="231"/>
      <c r="S131" s="231"/>
      <c r="T131" s="231"/>
      <c r="U131" s="231"/>
      <c r="V131" s="231"/>
      <c r="W131" s="231"/>
      <c r="X131" s="231"/>
      <c r="Y131" s="231"/>
      <c r="Z131" s="231"/>
      <c r="AA131" s="231"/>
      <c r="AB131" s="231"/>
      <c r="AC131" s="231"/>
      <c r="AD131" s="231"/>
      <c r="AE131" s="231"/>
    </row>
    <row r="132" spans="1:31" s="203" customFormat="1">
      <c r="A132" s="120">
        <v>30</v>
      </c>
      <c r="B132" s="47" t="s">
        <v>125</v>
      </c>
      <c r="C132" s="47"/>
      <c r="D132" s="47"/>
      <c r="E132" s="49">
        <v>36</v>
      </c>
      <c r="F132" s="52">
        <v>40</v>
      </c>
      <c r="G132" s="118"/>
      <c r="H132" s="122">
        <v>38</v>
      </c>
      <c r="I132" s="139"/>
      <c r="J132" s="231"/>
      <c r="K132" s="231"/>
      <c r="L132" s="231"/>
      <c r="M132" s="231"/>
      <c r="N132" s="231"/>
      <c r="O132" s="231"/>
      <c r="P132" s="231"/>
      <c r="Q132" s="231"/>
      <c r="R132" s="231"/>
      <c r="S132" s="231"/>
      <c r="T132" s="231"/>
      <c r="U132" s="231"/>
      <c r="V132" s="231"/>
      <c r="W132" s="231"/>
      <c r="X132" s="231"/>
      <c r="Y132" s="231"/>
      <c r="Z132" s="231"/>
      <c r="AA132" s="231"/>
      <c r="AB132" s="231"/>
      <c r="AC132" s="231"/>
      <c r="AD132" s="231"/>
      <c r="AE132" s="231"/>
    </row>
    <row r="133" spans="1:31" s="203" customFormat="1">
      <c r="A133" s="120">
        <v>31</v>
      </c>
      <c r="B133" s="90" t="s">
        <v>126</v>
      </c>
      <c r="C133" s="47"/>
      <c r="D133" s="47"/>
      <c r="E133" s="49">
        <v>40</v>
      </c>
      <c r="F133" s="52">
        <v>40</v>
      </c>
      <c r="G133" s="118"/>
      <c r="H133" s="122">
        <v>36</v>
      </c>
      <c r="I133" s="139"/>
      <c r="J133" s="231"/>
      <c r="K133" s="231"/>
      <c r="L133" s="231"/>
      <c r="M133" s="231"/>
      <c r="N133" s="231"/>
      <c r="O133" s="231"/>
      <c r="P133" s="231"/>
      <c r="Q133" s="231"/>
      <c r="R133" s="231"/>
      <c r="S133" s="231"/>
      <c r="T133" s="231"/>
      <c r="U133" s="231"/>
      <c r="V133" s="231"/>
      <c r="W133" s="231"/>
      <c r="X133" s="231"/>
      <c r="Y133" s="231"/>
      <c r="Z133" s="231"/>
      <c r="AA133" s="231"/>
      <c r="AB133" s="231"/>
      <c r="AC133" s="231"/>
      <c r="AD133" s="231"/>
      <c r="AE133" s="231"/>
    </row>
    <row r="134" spans="1:31" s="203" customFormat="1">
      <c r="A134" s="120">
        <v>32</v>
      </c>
      <c r="B134" s="47" t="s">
        <v>121</v>
      </c>
      <c r="C134" s="47"/>
      <c r="D134" s="47"/>
      <c r="E134" s="49">
        <v>16</v>
      </c>
      <c r="F134" s="52">
        <f>8+1</f>
        <v>9</v>
      </c>
      <c r="G134" s="118"/>
      <c r="H134" s="100">
        <f>7+1</f>
        <v>8</v>
      </c>
      <c r="I134" s="139"/>
      <c r="J134" s="231"/>
      <c r="K134" s="231"/>
      <c r="L134" s="231"/>
      <c r="M134" s="231"/>
      <c r="N134" s="231"/>
      <c r="O134" s="231"/>
      <c r="P134" s="231"/>
      <c r="Q134" s="231"/>
      <c r="R134" s="231"/>
      <c r="S134" s="231"/>
      <c r="T134" s="231"/>
      <c r="U134" s="231"/>
      <c r="V134" s="231"/>
      <c r="W134" s="231"/>
      <c r="X134" s="231"/>
      <c r="Y134" s="231"/>
      <c r="Z134" s="231"/>
      <c r="AA134" s="231"/>
      <c r="AB134" s="231"/>
      <c r="AC134" s="231"/>
      <c r="AD134" s="231"/>
      <c r="AE134" s="231"/>
    </row>
    <row r="135" spans="1:31" s="203" customFormat="1">
      <c r="A135" s="120">
        <v>33</v>
      </c>
      <c r="B135" s="116" t="s">
        <v>128</v>
      </c>
      <c r="C135" s="116"/>
      <c r="D135" s="116"/>
      <c r="E135" s="80">
        <v>855</v>
      </c>
      <c r="F135" s="142">
        <f>SUM(F128:F134)</f>
        <v>776</v>
      </c>
      <c r="G135" s="118"/>
      <c r="H135" s="142">
        <f>SUM(H128:H134)</f>
        <v>768</v>
      </c>
      <c r="I135" s="139"/>
      <c r="J135" s="231"/>
      <c r="K135" s="231"/>
      <c r="L135" s="231"/>
      <c r="M135" s="231"/>
      <c r="N135" s="231"/>
      <c r="O135" s="231"/>
      <c r="P135" s="231"/>
      <c r="Q135" s="231"/>
      <c r="R135" s="231"/>
      <c r="S135" s="231"/>
      <c r="T135" s="231"/>
      <c r="U135" s="231"/>
      <c r="V135" s="231"/>
      <c r="W135" s="231"/>
      <c r="X135" s="231"/>
      <c r="Y135" s="231"/>
      <c r="Z135" s="231"/>
      <c r="AA135" s="231"/>
      <c r="AB135" s="231"/>
      <c r="AC135" s="231"/>
      <c r="AD135" s="231"/>
      <c r="AE135" s="231"/>
    </row>
    <row r="136" spans="1:31" s="203" customFormat="1">
      <c r="A136" s="111"/>
      <c r="B136" s="47"/>
      <c r="C136" s="47"/>
      <c r="D136" s="138"/>
      <c r="E136" s="117"/>
      <c r="F136" s="118"/>
      <c r="G136" s="118"/>
      <c r="H136" s="118"/>
      <c r="I136" s="139"/>
      <c r="J136" s="231"/>
      <c r="K136" s="231"/>
      <c r="L136" s="231"/>
      <c r="M136" s="231"/>
      <c r="N136" s="231"/>
      <c r="O136" s="231"/>
      <c r="P136" s="231"/>
      <c r="Q136" s="231"/>
      <c r="R136" s="231"/>
      <c r="S136" s="231"/>
      <c r="T136" s="231"/>
      <c r="U136" s="231"/>
      <c r="V136" s="231"/>
      <c r="W136" s="231"/>
      <c r="X136" s="231"/>
      <c r="Y136" s="231"/>
      <c r="Z136" s="231"/>
      <c r="AA136" s="231"/>
      <c r="AB136" s="231"/>
      <c r="AC136" s="231"/>
      <c r="AD136" s="231"/>
      <c r="AE136" s="231"/>
    </row>
    <row r="137" spans="1:31" s="203" customFormat="1">
      <c r="A137" s="119" t="s">
        <v>109</v>
      </c>
      <c r="B137" s="116"/>
      <c r="C137" s="116"/>
      <c r="D137" s="116"/>
      <c r="E137" s="140"/>
      <c r="F137" s="146"/>
      <c r="G137" s="118"/>
      <c r="H137" s="146"/>
      <c r="I137" s="139"/>
      <c r="J137" s="231"/>
      <c r="K137" s="231"/>
      <c r="L137" s="231"/>
      <c r="M137" s="231"/>
      <c r="N137" s="231"/>
      <c r="O137" s="231"/>
      <c r="P137" s="231"/>
      <c r="Q137" s="231"/>
      <c r="R137" s="231"/>
      <c r="S137" s="231"/>
      <c r="T137" s="231"/>
      <c r="U137" s="231"/>
      <c r="V137" s="231"/>
      <c r="W137" s="231"/>
      <c r="X137" s="231"/>
      <c r="Y137" s="231"/>
      <c r="Z137" s="231"/>
      <c r="AA137" s="231"/>
      <c r="AB137" s="231"/>
      <c r="AC137" s="231"/>
      <c r="AD137" s="231"/>
      <c r="AE137" s="231"/>
    </row>
    <row r="138" spans="1:31" s="203" customFormat="1">
      <c r="A138" s="120">
        <v>34</v>
      </c>
      <c r="B138" s="47" t="s">
        <v>123</v>
      </c>
      <c r="C138" s="47"/>
      <c r="D138" s="47"/>
      <c r="E138" s="49">
        <v>163</v>
      </c>
      <c r="F138" s="52">
        <v>168</v>
      </c>
      <c r="G138" s="118"/>
      <c r="H138" s="122">
        <v>141</v>
      </c>
      <c r="I138" s="139"/>
      <c r="J138" s="231"/>
      <c r="K138" s="231"/>
      <c r="L138" s="231"/>
      <c r="M138" s="231"/>
      <c r="N138" s="231"/>
      <c r="O138" s="231"/>
      <c r="P138" s="231"/>
      <c r="Q138" s="231"/>
      <c r="R138" s="231"/>
      <c r="S138" s="231"/>
      <c r="T138" s="231"/>
      <c r="U138" s="231"/>
      <c r="V138" s="231"/>
      <c r="W138" s="231"/>
      <c r="X138" s="231"/>
      <c r="Y138" s="231"/>
      <c r="Z138" s="231"/>
      <c r="AA138" s="231"/>
      <c r="AB138" s="231"/>
      <c r="AC138" s="231"/>
      <c r="AD138" s="231"/>
      <c r="AE138" s="231"/>
    </row>
    <row r="139" spans="1:31" s="203" customFormat="1">
      <c r="A139" s="120">
        <v>35</v>
      </c>
      <c r="B139" s="47" t="s">
        <v>119</v>
      </c>
      <c r="C139" s="47"/>
      <c r="D139" s="47"/>
      <c r="E139" s="49">
        <v>2101</v>
      </c>
      <c r="F139" s="52">
        <f>1526+518</f>
        <v>2044</v>
      </c>
      <c r="G139" s="118"/>
      <c r="H139" s="122">
        <f>2752+519</f>
        <v>3271</v>
      </c>
      <c r="I139" s="139"/>
      <c r="J139" s="231"/>
      <c r="K139" s="231"/>
      <c r="L139" s="231"/>
      <c r="M139" s="231"/>
      <c r="N139" s="231"/>
      <c r="O139" s="231"/>
      <c r="P139" s="231"/>
      <c r="Q139" s="231"/>
      <c r="R139" s="231"/>
      <c r="S139" s="231"/>
      <c r="T139" s="231"/>
      <c r="U139" s="231"/>
      <c r="V139" s="231"/>
      <c r="W139" s="231"/>
      <c r="X139" s="231"/>
      <c r="Y139" s="231"/>
      <c r="Z139" s="231"/>
      <c r="AA139" s="231"/>
      <c r="AB139" s="231"/>
      <c r="AC139" s="231"/>
      <c r="AD139" s="231"/>
      <c r="AE139" s="231"/>
    </row>
    <row r="140" spans="1:31" s="203" customFormat="1">
      <c r="A140" s="120">
        <v>36</v>
      </c>
      <c r="B140" s="47" t="s">
        <v>120</v>
      </c>
      <c r="C140" s="47"/>
      <c r="D140" s="47"/>
      <c r="E140" s="49">
        <v>1083</v>
      </c>
      <c r="F140" s="52">
        <v>1097</v>
      </c>
      <c r="G140" s="118"/>
      <c r="H140" s="122">
        <v>1185</v>
      </c>
      <c r="I140" s="139"/>
      <c r="J140" s="231"/>
      <c r="K140" s="231"/>
      <c r="L140" s="231"/>
      <c r="M140" s="231"/>
      <c r="N140" s="231"/>
      <c r="O140" s="231"/>
      <c r="P140" s="231"/>
      <c r="Q140" s="231"/>
      <c r="R140" s="231"/>
      <c r="S140" s="231"/>
      <c r="T140" s="231"/>
      <c r="U140" s="231"/>
      <c r="V140" s="231"/>
      <c r="W140" s="231"/>
      <c r="X140" s="231"/>
      <c r="Y140" s="231"/>
      <c r="Z140" s="231"/>
      <c r="AA140" s="231"/>
      <c r="AB140" s="231"/>
      <c r="AC140" s="231"/>
      <c r="AD140" s="231"/>
      <c r="AE140" s="231"/>
    </row>
    <row r="141" spans="1:31" s="203" customFormat="1">
      <c r="A141" s="120">
        <v>37</v>
      </c>
      <c r="B141" s="90" t="s">
        <v>126</v>
      </c>
      <c r="C141" s="47"/>
      <c r="D141" s="47"/>
      <c r="E141" s="49">
        <v>75</v>
      </c>
      <c r="F141" s="52">
        <v>74</v>
      </c>
      <c r="G141" s="118"/>
      <c r="H141" s="99">
        <v>68</v>
      </c>
      <c r="I141" s="139"/>
      <c r="J141" s="231"/>
      <c r="K141" s="231"/>
      <c r="L141" s="231"/>
      <c r="M141" s="231"/>
      <c r="N141" s="231"/>
      <c r="O141" s="231"/>
      <c r="P141" s="231"/>
      <c r="Q141" s="231"/>
      <c r="R141" s="231"/>
      <c r="S141" s="231"/>
      <c r="T141" s="231"/>
      <c r="U141" s="231"/>
      <c r="V141" s="231"/>
      <c r="W141" s="231"/>
      <c r="X141" s="231"/>
      <c r="Y141" s="231"/>
      <c r="Z141" s="231"/>
      <c r="AA141" s="231"/>
      <c r="AB141" s="231"/>
      <c r="AC141" s="231"/>
      <c r="AD141" s="231"/>
      <c r="AE141" s="231"/>
    </row>
    <row r="142" spans="1:31" s="203" customFormat="1">
      <c r="A142" s="120">
        <v>38</v>
      </c>
      <c r="B142" s="47" t="s">
        <v>121</v>
      </c>
      <c r="C142" s="47"/>
      <c r="D142" s="47"/>
      <c r="E142" s="49">
        <v>366</v>
      </c>
      <c r="F142" s="52">
        <f>338+30+5</f>
        <v>373</v>
      </c>
      <c r="G142" s="118"/>
      <c r="H142" s="100">
        <f>65+349+30+6</f>
        <v>450</v>
      </c>
      <c r="I142" s="139"/>
      <c r="J142" s="231"/>
      <c r="K142" s="231"/>
      <c r="L142" s="231"/>
      <c r="M142" s="231"/>
      <c r="N142" s="231"/>
      <c r="O142" s="231"/>
      <c r="P142" s="231"/>
      <c r="Q142" s="231"/>
      <c r="R142" s="231"/>
      <c r="S142" s="231"/>
      <c r="T142" s="231"/>
      <c r="U142" s="231"/>
      <c r="V142" s="231"/>
      <c r="W142" s="231"/>
      <c r="X142" s="231"/>
      <c r="Y142" s="231"/>
      <c r="Z142" s="231"/>
      <c r="AA142" s="231"/>
      <c r="AB142" s="231"/>
      <c r="AC142" s="231"/>
      <c r="AD142" s="231"/>
      <c r="AE142" s="231"/>
    </row>
    <row r="143" spans="1:31" s="203" customFormat="1">
      <c r="A143" s="120">
        <v>39</v>
      </c>
      <c r="B143" s="116" t="s">
        <v>129</v>
      </c>
      <c r="C143" s="116"/>
      <c r="D143" s="116"/>
      <c r="E143" s="80">
        <v>3788</v>
      </c>
      <c r="F143" s="142">
        <f>SUM(F138:F142)</f>
        <v>3756</v>
      </c>
      <c r="G143" s="118"/>
      <c r="H143" s="142">
        <f>SUM(H138:H142)</f>
        <v>5115</v>
      </c>
      <c r="I143" s="139"/>
      <c r="J143" s="231"/>
      <c r="K143" s="231"/>
      <c r="L143" s="231"/>
      <c r="M143" s="231"/>
      <c r="N143" s="231"/>
      <c r="O143" s="231"/>
      <c r="P143" s="231"/>
      <c r="Q143" s="231"/>
      <c r="R143" s="231"/>
      <c r="S143" s="231"/>
      <c r="T143" s="231"/>
      <c r="U143" s="231"/>
      <c r="V143" s="231"/>
      <c r="W143" s="231"/>
      <c r="X143" s="231"/>
      <c r="Y143" s="231"/>
      <c r="Z143" s="231"/>
      <c r="AA143" s="231"/>
      <c r="AB143" s="231"/>
      <c r="AC143" s="231"/>
      <c r="AD143" s="231"/>
      <c r="AE143" s="231"/>
    </row>
    <row r="144" spans="1:31" s="203" customFormat="1">
      <c r="A144" s="111"/>
      <c r="B144" s="47"/>
      <c r="C144" s="47"/>
      <c r="D144" s="47"/>
      <c r="E144" s="117"/>
      <c r="F144" s="118"/>
      <c r="G144" s="118"/>
      <c r="H144" s="118"/>
      <c r="I144" s="139"/>
      <c r="J144" s="231"/>
      <c r="K144" s="231"/>
      <c r="L144" s="231"/>
      <c r="M144" s="231"/>
      <c r="N144" s="231"/>
      <c r="O144" s="231"/>
      <c r="P144" s="231"/>
      <c r="Q144" s="231"/>
      <c r="R144" s="231"/>
      <c r="S144" s="231"/>
      <c r="T144" s="231"/>
      <c r="U144" s="231"/>
      <c r="V144" s="231"/>
      <c r="W144" s="231"/>
      <c r="X144" s="231"/>
      <c r="Y144" s="231"/>
      <c r="Z144" s="231"/>
      <c r="AA144" s="231"/>
      <c r="AB144" s="231"/>
      <c r="AC144" s="231"/>
      <c r="AD144" s="231"/>
      <c r="AE144" s="231"/>
    </row>
    <row r="145" spans="1:31" s="203" customFormat="1">
      <c r="A145" s="119" t="s">
        <v>110</v>
      </c>
      <c r="B145" s="116"/>
      <c r="C145" s="116"/>
      <c r="D145" s="116"/>
      <c r="E145" s="140"/>
      <c r="F145" s="146"/>
      <c r="G145" s="118"/>
      <c r="H145" s="146"/>
      <c r="I145" s="139"/>
      <c r="J145" s="231"/>
      <c r="K145" s="231"/>
      <c r="L145" s="231"/>
      <c r="M145" s="231"/>
      <c r="N145" s="231"/>
      <c r="O145" s="231"/>
      <c r="P145" s="231"/>
      <c r="Q145" s="231"/>
      <c r="R145" s="231"/>
      <c r="S145" s="231"/>
      <c r="T145" s="231"/>
      <c r="U145" s="231"/>
      <c r="V145" s="231"/>
      <c r="W145" s="231"/>
      <c r="X145" s="231"/>
      <c r="Y145" s="231"/>
      <c r="Z145" s="231"/>
      <c r="AA145" s="231"/>
      <c r="AB145" s="231"/>
      <c r="AC145" s="231"/>
      <c r="AD145" s="231"/>
      <c r="AE145" s="231"/>
    </row>
    <row r="146" spans="1:31" s="203" customFormat="1">
      <c r="A146" s="120">
        <v>40</v>
      </c>
      <c r="B146" s="47" t="s">
        <v>123</v>
      </c>
      <c r="C146" s="47"/>
      <c r="D146" s="47"/>
      <c r="E146" s="49">
        <v>48</v>
      </c>
      <c r="F146" s="52">
        <v>49</v>
      </c>
      <c r="G146" s="118"/>
      <c r="H146" s="122">
        <v>45</v>
      </c>
      <c r="I146" s="139"/>
      <c r="J146" s="231"/>
      <c r="K146" s="231"/>
      <c r="L146" s="231"/>
      <c r="M146" s="231"/>
      <c r="N146" s="231"/>
      <c r="O146" s="231"/>
      <c r="P146" s="231"/>
      <c r="Q146" s="231"/>
      <c r="R146" s="231"/>
      <c r="S146" s="231"/>
      <c r="T146" s="231"/>
      <c r="U146" s="231"/>
      <c r="V146" s="231"/>
      <c r="W146" s="231"/>
      <c r="X146" s="231"/>
      <c r="Y146" s="231"/>
      <c r="Z146" s="231"/>
      <c r="AA146" s="231"/>
      <c r="AB146" s="231"/>
      <c r="AC146" s="231"/>
      <c r="AD146" s="231"/>
      <c r="AE146" s="231"/>
    </row>
    <row r="147" spans="1:31" s="203" customFormat="1">
      <c r="A147" s="120">
        <v>41</v>
      </c>
      <c r="B147" s="47" t="s">
        <v>119</v>
      </c>
      <c r="C147" s="47"/>
      <c r="D147" s="47"/>
      <c r="E147" s="49">
        <v>56</v>
      </c>
      <c r="F147" s="52">
        <v>49</v>
      </c>
      <c r="G147" s="118"/>
      <c r="H147" s="122">
        <v>37</v>
      </c>
      <c r="I147" s="139"/>
      <c r="J147" s="231"/>
      <c r="K147" s="231"/>
      <c r="L147" s="231"/>
      <c r="M147" s="231"/>
      <c r="N147" s="231"/>
      <c r="O147" s="231"/>
      <c r="P147" s="231"/>
      <c r="Q147" s="231"/>
      <c r="R147" s="231"/>
      <c r="S147" s="231"/>
      <c r="T147" s="231"/>
      <c r="U147" s="231"/>
      <c r="V147" s="231"/>
      <c r="W147" s="231"/>
      <c r="X147" s="231"/>
      <c r="Y147" s="231"/>
      <c r="Z147" s="231"/>
      <c r="AA147" s="231"/>
      <c r="AB147" s="231"/>
      <c r="AC147" s="231"/>
      <c r="AD147" s="231"/>
      <c r="AE147" s="231"/>
    </row>
    <row r="148" spans="1:31" s="203" customFormat="1">
      <c r="A148" s="120">
        <v>42</v>
      </c>
      <c r="B148" s="47" t="s">
        <v>120</v>
      </c>
      <c r="C148" s="47"/>
      <c r="D148" s="47"/>
      <c r="E148" s="49">
        <v>25</v>
      </c>
      <c r="F148" s="52">
        <v>25</v>
      </c>
      <c r="G148" s="118"/>
      <c r="H148" s="122">
        <v>22</v>
      </c>
      <c r="I148" s="139"/>
      <c r="J148" s="231"/>
      <c r="K148" s="231"/>
      <c r="L148" s="231"/>
      <c r="M148" s="231"/>
      <c r="N148" s="231"/>
      <c r="O148" s="231"/>
      <c r="P148" s="231"/>
      <c r="Q148" s="231"/>
      <c r="R148" s="231"/>
      <c r="S148" s="231"/>
      <c r="T148" s="231"/>
      <c r="U148" s="231"/>
      <c r="V148" s="231"/>
      <c r="W148" s="231"/>
      <c r="X148" s="231"/>
      <c r="Y148" s="231"/>
      <c r="Z148" s="231"/>
      <c r="AA148" s="231"/>
      <c r="AB148" s="231"/>
      <c r="AC148" s="231"/>
      <c r="AD148" s="231"/>
      <c r="AE148" s="231"/>
    </row>
    <row r="149" spans="1:31" s="203" customFormat="1">
      <c r="A149" s="120">
        <v>43</v>
      </c>
      <c r="B149" s="47" t="s">
        <v>121</v>
      </c>
      <c r="C149" s="47"/>
      <c r="D149" s="47"/>
      <c r="E149" s="49">
        <v>147</v>
      </c>
      <c r="F149" s="52">
        <f>78+60+11</f>
        <v>149</v>
      </c>
      <c r="G149" s="118"/>
      <c r="H149" s="100">
        <f>70+58+10</f>
        <v>138</v>
      </c>
      <c r="I149" s="139"/>
      <c r="J149" s="231"/>
      <c r="K149" s="231"/>
      <c r="L149" s="231"/>
      <c r="M149" s="231"/>
      <c r="N149" s="231"/>
      <c r="O149" s="231"/>
      <c r="P149" s="231"/>
      <c r="Q149" s="231"/>
      <c r="R149" s="231"/>
      <c r="S149" s="231"/>
      <c r="T149" s="231"/>
      <c r="U149" s="231"/>
      <c r="V149" s="231"/>
      <c r="W149" s="231"/>
      <c r="X149" s="231"/>
      <c r="Y149" s="231"/>
      <c r="Z149" s="231"/>
      <c r="AA149" s="231"/>
      <c r="AB149" s="231"/>
      <c r="AC149" s="231"/>
      <c r="AD149" s="231"/>
      <c r="AE149" s="231"/>
    </row>
    <row r="150" spans="1:31" s="203" customFormat="1">
      <c r="A150" s="124">
        <v>44</v>
      </c>
      <c r="B150" s="94" t="s">
        <v>130</v>
      </c>
      <c r="C150" s="94"/>
      <c r="D150" s="94"/>
      <c r="E150" s="80">
        <v>276</v>
      </c>
      <c r="F150" s="142">
        <f>SUM(F146:F149)</f>
        <v>272</v>
      </c>
      <c r="G150" s="259"/>
      <c r="H150" s="142">
        <f>SUM(H146:H149)</f>
        <v>242</v>
      </c>
      <c r="I150" s="139"/>
      <c r="J150" s="231"/>
      <c r="K150" s="231"/>
      <c r="L150" s="231"/>
      <c r="M150" s="231"/>
      <c r="N150" s="231"/>
      <c r="O150" s="231"/>
      <c r="P150" s="231"/>
      <c r="Q150" s="231"/>
      <c r="R150" s="231"/>
      <c r="S150" s="231"/>
      <c r="T150" s="231"/>
      <c r="U150" s="231"/>
      <c r="V150" s="231"/>
      <c r="W150" s="231"/>
      <c r="X150" s="231"/>
      <c r="Y150" s="231"/>
      <c r="Z150" s="231"/>
      <c r="AA150" s="231"/>
      <c r="AB150" s="231"/>
      <c r="AC150" s="231"/>
      <c r="AD150" s="231"/>
      <c r="AE150" s="231"/>
    </row>
    <row r="151" spans="1:31" s="203" customFormat="1">
      <c r="A151" s="148"/>
      <c r="B151" s="129"/>
      <c r="C151" s="129"/>
      <c r="D151" s="149"/>
      <c r="E151" s="150"/>
      <c r="F151" s="29"/>
      <c r="G151" s="29"/>
      <c r="H151" s="207"/>
      <c r="I151" s="29"/>
      <c r="J151" s="231"/>
      <c r="K151" s="231"/>
      <c r="L151" s="231"/>
      <c r="M151" s="231"/>
      <c r="N151" s="231"/>
      <c r="O151" s="231"/>
      <c r="P151" s="231"/>
      <c r="Q151" s="231"/>
      <c r="R151" s="231"/>
      <c r="S151" s="231"/>
      <c r="T151" s="231"/>
      <c r="U151" s="231"/>
      <c r="V151" s="231"/>
      <c r="W151" s="231"/>
      <c r="X151" s="231"/>
      <c r="Y151" s="231"/>
      <c r="Z151" s="231"/>
      <c r="AA151" s="231"/>
      <c r="AB151" s="231"/>
      <c r="AC151" s="231"/>
      <c r="AD151" s="231"/>
      <c r="AE151" s="231"/>
    </row>
    <row r="152" spans="1:31" s="203" customFormat="1">
      <c r="A152" s="148"/>
      <c r="B152" s="129"/>
      <c r="C152" s="129"/>
      <c r="D152" s="151"/>
      <c r="E152" s="152"/>
      <c r="F152" s="29"/>
      <c r="G152" s="29"/>
      <c r="H152" s="131" t="s">
        <v>27</v>
      </c>
      <c r="I152" s="29"/>
      <c r="J152" s="231"/>
      <c r="K152" s="231"/>
      <c r="L152" s="231"/>
      <c r="M152" s="231"/>
      <c r="N152" s="231"/>
      <c r="O152" s="231"/>
      <c r="P152" s="231"/>
      <c r="Q152" s="231"/>
      <c r="R152" s="231"/>
      <c r="S152" s="231"/>
      <c r="T152" s="231"/>
      <c r="U152" s="231"/>
      <c r="V152" s="231"/>
      <c r="W152" s="231"/>
      <c r="X152" s="231"/>
      <c r="Y152" s="231"/>
      <c r="Z152" s="231"/>
      <c r="AA152" s="231"/>
      <c r="AB152" s="231"/>
      <c r="AC152" s="231"/>
      <c r="AD152" s="231"/>
      <c r="AE152" s="231"/>
    </row>
    <row r="153" spans="1:31" s="203" customFormat="1">
      <c r="A153" s="106" t="s">
        <v>20</v>
      </c>
      <c r="B153" s="107"/>
      <c r="C153" s="107"/>
      <c r="D153" s="107"/>
      <c r="E153" s="856" t="s">
        <v>377</v>
      </c>
      <c r="F153" s="856" t="s">
        <v>402</v>
      </c>
      <c r="G153" s="130"/>
      <c r="H153" s="856" t="s">
        <v>403</v>
      </c>
      <c r="I153" s="130"/>
      <c r="J153" s="231"/>
      <c r="K153" s="231"/>
      <c r="L153" s="231"/>
      <c r="M153" s="231"/>
      <c r="N153" s="231"/>
      <c r="O153" s="231"/>
      <c r="P153" s="231"/>
      <c r="Q153" s="231"/>
      <c r="R153" s="231"/>
      <c r="S153" s="231"/>
      <c r="T153" s="231"/>
      <c r="U153" s="231"/>
      <c r="V153" s="231"/>
      <c r="W153" s="231"/>
      <c r="X153" s="231"/>
      <c r="Y153" s="231"/>
      <c r="Z153" s="231"/>
      <c r="AA153" s="231"/>
      <c r="AB153" s="231"/>
      <c r="AC153" s="231"/>
      <c r="AD153" s="231"/>
      <c r="AE153" s="231"/>
    </row>
    <row r="154" spans="1:31" s="203" customFormat="1">
      <c r="A154" s="153"/>
      <c r="B154" s="132"/>
      <c r="C154" s="132"/>
      <c r="D154" s="132"/>
      <c r="E154" s="859"/>
      <c r="F154" s="859"/>
      <c r="G154" s="130"/>
      <c r="H154" s="859"/>
      <c r="I154" s="130"/>
      <c r="J154" s="231"/>
      <c r="K154" s="231"/>
      <c r="L154" s="231"/>
      <c r="M154" s="231"/>
      <c r="N154" s="231"/>
      <c r="O154" s="231"/>
      <c r="P154" s="231"/>
      <c r="Q154" s="231"/>
      <c r="R154" s="231"/>
      <c r="S154" s="231"/>
      <c r="T154" s="231"/>
      <c r="U154" s="231"/>
      <c r="V154" s="231"/>
      <c r="W154" s="231"/>
      <c r="X154" s="231"/>
      <c r="Y154" s="231"/>
      <c r="Z154" s="231"/>
      <c r="AA154" s="231"/>
      <c r="AB154" s="231"/>
      <c r="AC154" s="231"/>
      <c r="AD154" s="231"/>
      <c r="AE154" s="231"/>
    </row>
    <row r="155" spans="1:31" s="203" customFormat="1">
      <c r="A155" s="154" t="s">
        <v>131</v>
      </c>
      <c r="B155" s="116"/>
      <c r="C155" s="116"/>
      <c r="D155" s="116"/>
      <c r="E155" s="859"/>
      <c r="F155" s="859"/>
      <c r="G155" s="130"/>
      <c r="H155" s="859"/>
      <c r="I155" s="130"/>
      <c r="J155" s="231"/>
      <c r="K155" s="231"/>
      <c r="L155" s="231"/>
      <c r="M155" s="231"/>
      <c r="N155" s="231"/>
      <c r="O155" s="231"/>
      <c r="P155" s="231"/>
      <c r="Q155" s="231"/>
      <c r="R155" s="231"/>
      <c r="S155" s="231"/>
      <c r="T155" s="231"/>
      <c r="U155" s="231"/>
      <c r="V155" s="231"/>
      <c r="W155" s="231"/>
      <c r="X155" s="231"/>
      <c r="Y155" s="231"/>
      <c r="Z155" s="231"/>
      <c r="AA155" s="231"/>
      <c r="AB155" s="231"/>
      <c r="AC155" s="231"/>
      <c r="AD155" s="231"/>
      <c r="AE155" s="231"/>
    </row>
    <row r="156" spans="1:31" s="203" customFormat="1" ht="12.75" customHeight="1">
      <c r="A156" s="109" t="s">
        <v>83</v>
      </c>
      <c r="B156" s="47"/>
      <c r="C156" s="47"/>
      <c r="D156" s="47"/>
      <c r="E156" s="859"/>
      <c r="F156" s="859"/>
      <c r="G156" s="130"/>
      <c r="H156" s="859"/>
      <c r="I156" s="130"/>
      <c r="J156" s="231"/>
      <c r="K156" s="231"/>
      <c r="L156" s="231"/>
      <c r="M156" s="231"/>
      <c r="N156" s="231"/>
      <c r="O156" s="231"/>
      <c r="P156" s="231"/>
      <c r="Q156" s="231"/>
      <c r="R156" s="231"/>
      <c r="S156" s="231"/>
      <c r="T156" s="231"/>
      <c r="U156" s="231"/>
      <c r="V156" s="231"/>
      <c r="W156" s="231"/>
      <c r="X156" s="231"/>
      <c r="Y156" s="231"/>
      <c r="Z156" s="231"/>
      <c r="AA156" s="231"/>
      <c r="AB156" s="231"/>
      <c r="AC156" s="231"/>
      <c r="AD156" s="231"/>
      <c r="AE156" s="231"/>
    </row>
    <row r="157" spans="1:31" s="203" customFormat="1">
      <c r="A157" s="110" t="s">
        <v>84</v>
      </c>
      <c r="B157" s="132"/>
      <c r="C157" s="132"/>
      <c r="D157" s="132"/>
      <c r="E157" s="860"/>
      <c r="F157" s="860"/>
      <c r="G157" s="130"/>
      <c r="H157" s="860"/>
      <c r="I157" s="130"/>
      <c r="J157" s="231"/>
      <c r="K157" s="231"/>
      <c r="L157" s="231"/>
      <c r="M157" s="231"/>
      <c r="N157" s="231"/>
      <c r="O157" s="231"/>
      <c r="P157" s="231"/>
      <c r="Q157" s="231"/>
      <c r="R157" s="231"/>
      <c r="S157" s="231"/>
      <c r="T157" s="231"/>
      <c r="U157" s="231"/>
      <c r="V157" s="231"/>
      <c r="W157" s="231"/>
      <c r="X157" s="231"/>
      <c r="Y157" s="231"/>
      <c r="Z157" s="231"/>
      <c r="AA157" s="231"/>
      <c r="AB157" s="231"/>
      <c r="AC157" s="231"/>
      <c r="AD157" s="231"/>
      <c r="AE157" s="231"/>
    </row>
    <row r="158" spans="1:31" s="203" customFormat="1">
      <c r="A158" s="119" t="s">
        <v>132</v>
      </c>
      <c r="B158" s="47"/>
      <c r="C158" s="47"/>
      <c r="D158" s="47"/>
      <c r="E158" s="155"/>
      <c r="F158" s="146" t="s">
        <v>133</v>
      </c>
      <c r="G158" s="118"/>
      <c r="H158" s="146"/>
      <c r="I158" s="29"/>
      <c r="J158" s="231"/>
      <c r="K158" s="231"/>
      <c r="L158" s="231"/>
      <c r="M158" s="231"/>
      <c r="N158" s="231"/>
      <c r="O158" s="231"/>
      <c r="P158" s="231"/>
      <c r="Q158" s="231"/>
      <c r="R158" s="231"/>
      <c r="S158" s="231"/>
      <c r="T158" s="231"/>
      <c r="U158" s="231"/>
      <c r="V158" s="231"/>
      <c r="W158" s="231"/>
      <c r="X158" s="231"/>
      <c r="Y158" s="231"/>
      <c r="Z158" s="231"/>
      <c r="AA158" s="231"/>
      <c r="AB158" s="231"/>
      <c r="AC158" s="231"/>
      <c r="AD158" s="231"/>
      <c r="AE158" s="231"/>
    </row>
    <row r="159" spans="1:31" s="203" customFormat="1">
      <c r="A159" s="120">
        <v>1</v>
      </c>
      <c r="B159" s="47" t="s">
        <v>134</v>
      </c>
      <c r="C159" s="47"/>
      <c r="D159" s="47"/>
      <c r="E159" s="74">
        <v>0</v>
      </c>
      <c r="F159" s="52">
        <v>0</v>
      </c>
      <c r="G159" s="118"/>
      <c r="H159" s="122">
        <v>0</v>
      </c>
      <c r="I159" s="29"/>
      <c r="J159" s="231"/>
      <c r="K159" s="231"/>
      <c r="L159" s="231"/>
      <c r="M159" s="231"/>
      <c r="N159" s="231"/>
      <c r="O159" s="231"/>
      <c r="P159" s="231"/>
      <c r="Q159" s="231"/>
      <c r="R159" s="231"/>
      <c r="S159" s="231"/>
      <c r="T159" s="231"/>
      <c r="U159" s="231"/>
      <c r="V159" s="231"/>
      <c r="W159" s="231"/>
      <c r="X159" s="231"/>
      <c r="Y159" s="231"/>
      <c r="Z159" s="231"/>
      <c r="AA159" s="231"/>
      <c r="AB159" s="231"/>
      <c r="AC159" s="231"/>
      <c r="AD159" s="231"/>
      <c r="AE159" s="231"/>
    </row>
    <row r="160" spans="1:31" s="203" customFormat="1">
      <c r="A160" s="120">
        <v>2</v>
      </c>
      <c r="B160" s="47" t="s">
        <v>135</v>
      </c>
      <c r="C160" s="47"/>
      <c r="D160" s="47"/>
      <c r="E160" s="49">
        <v>1350</v>
      </c>
      <c r="F160" s="52">
        <v>1350</v>
      </c>
      <c r="G160" s="118"/>
      <c r="H160" s="122">
        <v>1379</v>
      </c>
      <c r="I160" s="29"/>
      <c r="J160" s="231"/>
      <c r="K160" s="231"/>
      <c r="L160" s="231"/>
      <c r="M160" s="231"/>
      <c r="N160" s="231"/>
      <c r="O160" s="231"/>
      <c r="P160" s="231"/>
      <c r="Q160" s="231"/>
      <c r="R160" s="231"/>
      <c r="S160" s="231"/>
      <c r="T160" s="231"/>
      <c r="U160" s="231"/>
      <c r="V160" s="231"/>
      <c r="W160" s="231"/>
      <c r="X160" s="231"/>
      <c r="Y160" s="231"/>
      <c r="Z160" s="231"/>
      <c r="AA160" s="231"/>
      <c r="AB160" s="231"/>
      <c r="AC160" s="231"/>
      <c r="AD160" s="231"/>
      <c r="AE160" s="231"/>
    </row>
    <row r="161" spans="1:31" s="203" customFormat="1">
      <c r="A161" s="120">
        <v>3</v>
      </c>
      <c r="B161" s="47" t="s">
        <v>136</v>
      </c>
      <c r="C161" s="47"/>
      <c r="D161" s="47"/>
      <c r="E161" s="114">
        <v>1946</v>
      </c>
      <c r="F161" s="52">
        <v>1991</v>
      </c>
      <c r="G161" s="118"/>
      <c r="H161" s="122">
        <v>2118</v>
      </c>
      <c r="I161" s="29"/>
      <c r="J161" s="231"/>
      <c r="K161" s="231"/>
      <c r="L161" s="231"/>
      <c r="M161" s="231"/>
      <c r="N161" s="231"/>
      <c r="O161" s="231"/>
      <c r="P161" s="231"/>
      <c r="Q161" s="231"/>
      <c r="R161" s="231"/>
      <c r="S161" s="231"/>
      <c r="T161" s="231"/>
      <c r="U161" s="231"/>
      <c r="V161" s="231"/>
      <c r="W161" s="231"/>
      <c r="X161" s="231"/>
      <c r="Y161" s="231"/>
      <c r="Z161" s="231"/>
      <c r="AA161" s="231"/>
      <c r="AB161" s="231"/>
      <c r="AC161" s="231"/>
      <c r="AD161" s="231"/>
      <c r="AE161" s="231"/>
    </row>
    <row r="162" spans="1:31" s="203" customFormat="1">
      <c r="A162" s="120">
        <v>4</v>
      </c>
      <c r="B162" s="47" t="s">
        <v>137</v>
      </c>
      <c r="C162" s="47"/>
      <c r="D162" s="47"/>
      <c r="E162" s="114">
        <v>277</v>
      </c>
      <c r="F162" s="52">
        <v>278</v>
      </c>
      <c r="G162" s="118"/>
      <c r="H162" s="100">
        <v>257</v>
      </c>
      <c r="I162" s="29"/>
      <c r="J162" s="231"/>
      <c r="K162" s="231"/>
      <c r="L162" s="231"/>
      <c r="M162" s="231"/>
      <c r="N162" s="231"/>
      <c r="O162" s="231"/>
      <c r="P162" s="231"/>
      <c r="Q162" s="231"/>
      <c r="R162" s="231"/>
      <c r="S162" s="231"/>
      <c r="T162" s="231"/>
      <c r="U162" s="231"/>
      <c r="V162" s="231"/>
      <c r="W162" s="231"/>
      <c r="X162" s="231"/>
      <c r="Y162" s="231"/>
      <c r="Z162" s="231"/>
      <c r="AA162" s="231"/>
      <c r="AB162" s="231"/>
      <c r="AC162" s="231"/>
      <c r="AD162" s="231"/>
      <c r="AE162" s="231"/>
    </row>
    <row r="163" spans="1:31" s="203" customFormat="1">
      <c r="A163" s="120">
        <v>5</v>
      </c>
      <c r="B163" s="116" t="s">
        <v>138</v>
      </c>
      <c r="C163" s="116"/>
      <c r="D163" s="116"/>
      <c r="E163" s="80">
        <v>3573</v>
      </c>
      <c r="F163" s="142">
        <f>SUM(F159:F162)</f>
        <v>3619</v>
      </c>
      <c r="G163" s="118"/>
      <c r="H163" s="142">
        <f>SUM(H159:H162)</f>
        <v>3754</v>
      </c>
      <c r="I163" s="29"/>
      <c r="J163" s="231"/>
      <c r="K163" s="231"/>
      <c r="L163" s="231"/>
      <c r="M163" s="231"/>
      <c r="N163" s="231"/>
      <c r="O163" s="231"/>
      <c r="P163" s="231"/>
      <c r="Q163" s="231"/>
      <c r="R163" s="231"/>
      <c r="S163" s="231"/>
      <c r="T163" s="231"/>
      <c r="U163" s="231"/>
      <c r="V163" s="231"/>
      <c r="W163" s="231"/>
      <c r="X163" s="231"/>
      <c r="Y163" s="231"/>
      <c r="Z163" s="231"/>
      <c r="AA163" s="231"/>
      <c r="AB163" s="231"/>
      <c r="AC163" s="231"/>
      <c r="AD163" s="231"/>
      <c r="AE163" s="231"/>
    </row>
    <row r="164" spans="1:31" s="203" customFormat="1">
      <c r="A164" s="46"/>
      <c r="B164" s="132"/>
      <c r="C164" s="132"/>
      <c r="D164" s="132"/>
      <c r="E164" s="156"/>
      <c r="F164" s="139"/>
      <c r="G164" s="139"/>
      <c r="H164" s="139"/>
      <c r="I164" s="29"/>
      <c r="J164" s="231"/>
      <c r="K164" s="231"/>
      <c r="L164" s="231"/>
      <c r="M164" s="231"/>
      <c r="N164" s="231"/>
      <c r="O164" s="231"/>
      <c r="P164" s="231"/>
      <c r="Q164" s="231"/>
      <c r="R164" s="231"/>
      <c r="S164" s="231"/>
      <c r="T164" s="231"/>
      <c r="U164" s="231"/>
      <c r="V164" s="231"/>
      <c r="W164" s="231"/>
      <c r="X164" s="231"/>
      <c r="Y164" s="231"/>
      <c r="Z164" s="231"/>
      <c r="AA164" s="231"/>
      <c r="AB164" s="231"/>
      <c r="AC164" s="231"/>
      <c r="AD164" s="231"/>
      <c r="AE164" s="231"/>
    </row>
    <row r="165" spans="1:31" s="203" customFormat="1">
      <c r="A165" s="119" t="s">
        <v>139</v>
      </c>
      <c r="B165" s="47"/>
      <c r="C165" s="47"/>
      <c r="D165" s="47"/>
      <c r="E165" s="140"/>
      <c r="F165" s="146"/>
      <c r="G165" s="118"/>
      <c r="H165" s="146"/>
      <c r="I165" s="29"/>
      <c r="J165" s="231"/>
      <c r="K165" s="231"/>
      <c r="L165" s="231"/>
      <c r="M165" s="231"/>
      <c r="N165" s="231"/>
      <c r="O165" s="231"/>
      <c r="P165" s="231"/>
      <c r="Q165" s="231"/>
      <c r="R165" s="231"/>
      <c r="S165" s="231"/>
      <c r="T165" s="231"/>
      <c r="U165" s="231"/>
      <c r="V165" s="231"/>
      <c r="W165" s="231"/>
      <c r="X165" s="231"/>
      <c r="Y165" s="231"/>
      <c r="Z165" s="231"/>
      <c r="AA165" s="231"/>
      <c r="AB165" s="231"/>
      <c r="AC165" s="231"/>
      <c r="AD165" s="231"/>
      <c r="AE165" s="231"/>
    </row>
    <row r="166" spans="1:31" s="203" customFormat="1">
      <c r="A166" s="120">
        <v>6</v>
      </c>
      <c r="B166" s="47" t="s">
        <v>140</v>
      </c>
      <c r="C166" s="47"/>
      <c r="D166" s="47"/>
      <c r="E166" s="74">
        <v>0</v>
      </c>
      <c r="F166" s="52">
        <v>0</v>
      </c>
      <c r="G166" s="118"/>
      <c r="H166" s="122">
        <v>0</v>
      </c>
      <c r="I166" s="29"/>
      <c r="J166" s="231"/>
      <c r="K166" s="231"/>
      <c r="L166" s="231"/>
      <c r="M166" s="231"/>
      <c r="N166" s="231"/>
      <c r="O166" s="231"/>
      <c r="P166" s="231"/>
      <c r="Q166" s="231"/>
      <c r="R166" s="231"/>
      <c r="S166" s="231"/>
      <c r="T166" s="231"/>
      <c r="U166" s="231"/>
      <c r="V166" s="231"/>
      <c r="W166" s="231"/>
      <c r="X166" s="231"/>
      <c r="Y166" s="231"/>
      <c r="Z166" s="231"/>
      <c r="AA166" s="231"/>
      <c r="AB166" s="231"/>
      <c r="AC166" s="231"/>
      <c r="AD166" s="231"/>
      <c r="AE166" s="231"/>
    </row>
    <row r="167" spans="1:31" s="203" customFormat="1">
      <c r="A167" s="120">
        <v>7</v>
      </c>
      <c r="B167" s="47" t="s">
        <v>141</v>
      </c>
      <c r="C167" s="47"/>
      <c r="D167" s="47"/>
      <c r="E167" s="49">
        <v>62</v>
      </c>
      <c r="F167" s="52">
        <v>67</v>
      </c>
      <c r="G167" s="118"/>
      <c r="H167" s="122">
        <v>54</v>
      </c>
      <c r="I167" s="29"/>
      <c r="J167" s="231"/>
      <c r="K167" s="231"/>
      <c r="L167" s="231"/>
      <c r="M167" s="231"/>
      <c r="N167" s="231"/>
      <c r="O167" s="231"/>
      <c r="P167" s="231"/>
      <c r="Q167" s="231"/>
      <c r="R167" s="231"/>
      <c r="S167" s="231"/>
      <c r="T167" s="231"/>
      <c r="U167" s="231"/>
      <c r="V167" s="231"/>
      <c r="W167" s="231"/>
      <c r="X167" s="231"/>
      <c r="Y167" s="231"/>
      <c r="Z167" s="231"/>
      <c r="AA167" s="231"/>
      <c r="AB167" s="231"/>
      <c r="AC167" s="231"/>
      <c r="AD167" s="231"/>
      <c r="AE167" s="231"/>
    </row>
    <row r="168" spans="1:31" s="203" customFormat="1">
      <c r="A168" s="120">
        <v>8</v>
      </c>
      <c r="B168" s="47" t="s">
        <v>121</v>
      </c>
      <c r="C168" s="47"/>
      <c r="D168" s="47"/>
      <c r="E168" s="49">
        <v>0</v>
      </c>
      <c r="F168" s="52">
        <v>0</v>
      </c>
      <c r="G168" s="118"/>
      <c r="H168" s="100">
        <v>0</v>
      </c>
      <c r="I168" s="29"/>
      <c r="J168" s="231"/>
      <c r="K168" s="231"/>
      <c r="L168" s="231"/>
      <c r="M168" s="231"/>
      <c r="N168" s="231"/>
      <c r="O168" s="231"/>
      <c r="P168" s="231"/>
      <c r="Q168" s="231"/>
      <c r="R168" s="231"/>
      <c r="S168" s="231"/>
      <c r="T168" s="231"/>
      <c r="U168" s="231"/>
      <c r="V168" s="231"/>
      <c r="W168" s="231"/>
      <c r="X168" s="231"/>
      <c r="Y168" s="231"/>
      <c r="Z168" s="231"/>
      <c r="AA168" s="231"/>
      <c r="AB168" s="231"/>
      <c r="AC168" s="231"/>
      <c r="AD168" s="231"/>
      <c r="AE168" s="231"/>
    </row>
    <row r="169" spans="1:31" s="203" customFormat="1">
      <c r="A169" s="120">
        <v>9</v>
      </c>
      <c r="B169" s="116" t="s">
        <v>142</v>
      </c>
      <c r="C169" s="116"/>
      <c r="D169" s="116"/>
      <c r="E169" s="80">
        <v>62</v>
      </c>
      <c r="F169" s="142">
        <f>SUM(F166:F168)</f>
        <v>67</v>
      </c>
      <c r="G169" s="118"/>
      <c r="H169" s="142">
        <f>SUM(H166:H168)</f>
        <v>54</v>
      </c>
      <c r="I169" s="29"/>
      <c r="J169" s="231"/>
      <c r="K169" s="231"/>
      <c r="L169" s="231"/>
      <c r="M169" s="231"/>
      <c r="N169" s="231"/>
      <c r="O169" s="231"/>
      <c r="P169" s="231"/>
      <c r="Q169" s="231"/>
      <c r="R169" s="231"/>
      <c r="S169" s="231"/>
      <c r="T169" s="231"/>
      <c r="U169" s="231"/>
      <c r="V169" s="231"/>
      <c r="W169" s="231"/>
      <c r="X169" s="231"/>
      <c r="Y169" s="231"/>
      <c r="Z169" s="231"/>
      <c r="AA169" s="231"/>
      <c r="AB169" s="231"/>
      <c r="AC169" s="231"/>
      <c r="AD169" s="231"/>
      <c r="AE169" s="231"/>
    </row>
    <row r="170" spans="1:31" s="203" customFormat="1">
      <c r="A170" s="46"/>
      <c r="B170" s="132"/>
      <c r="C170" s="132"/>
      <c r="D170" s="132"/>
      <c r="E170" s="156"/>
      <c r="F170" s="139"/>
      <c r="G170" s="139"/>
      <c r="H170" s="139"/>
      <c r="I170" s="29"/>
      <c r="J170" s="231"/>
      <c r="K170" s="231"/>
      <c r="L170" s="231"/>
      <c r="M170" s="231"/>
      <c r="N170" s="231"/>
      <c r="O170" s="231"/>
      <c r="P170" s="231"/>
      <c r="Q170" s="231"/>
      <c r="R170" s="231"/>
      <c r="S170" s="231"/>
      <c r="T170" s="231"/>
      <c r="U170" s="231"/>
      <c r="V170" s="231"/>
      <c r="W170" s="231"/>
      <c r="X170" s="231"/>
      <c r="Y170" s="231"/>
      <c r="Z170" s="231"/>
      <c r="AA170" s="231"/>
      <c r="AB170" s="231"/>
      <c r="AC170" s="231"/>
      <c r="AD170" s="231"/>
      <c r="AE170" s="231"/>
    </row>
    <row r="171" spans="1:31" s="203" customFormat="1">
      <c r="A171" s="120">
        <v>10</v>
      </c>
      <c r="B171" s="47" t="s">
        <v>143</v>
      </c>
      <c r="C171" s="47"/>
      <c r="D171" s="47"/>
      <c r="E171" s="41">
        <v>33</v>
      </c>
      <c r="F171" s="121">
        <v>33</v>
      </c>
      <c r="G171" s="118"/>
      <c r="H171" s="133">
        <v>31</v>
      </c>
      <c r="I171" s="29"/>
      <c r="J171" s="231"/>
      <c r="K171" s="231"/>
      <c r="L171" s="231"/>
      <c r="M171" s="231"/>
      <c r="N171" s="231"/>
      <c r="O171" s="231"/>
      <c r="P171" s="231"/>
      <c r="Q171" s="231"/>
      <c r="R171" s="231"/>
      <c r="S171" s="231"/>
      <c r="T171" s="231"/>
      <c r="U171" s="231"/>
      <c r="V171" s="231"/>
      <c r="W171" s="231"/>
      <c r="X171" s="231"/>
      <c r="Y171" s="231"/>
      <c r="Z171" s="231"/>
      <c r="AA171" s="231"/>
      <c r="AB171" s="231"/>
      <c r="AC171" s="231"/>
      <c r="AD171" s="231"/>
      <c r="AE171" s="231"/>
    </row>
    <row r="172" spans="1:31" s="203" customFormat="1">
      <c r="A172" s="120">
        <v>11</v>
      </c>
      <c r="B172" s="47" t="s">
        <v>144</v>
      </c>
      <c r="C172" s="47"/>
      <c r="D172" s="47"/>
      <c r="E172" s="56">
        <v>0</v>
      </c>
      <c r="F172" s="126">
        <v>0</v>
      </c>
      <c r="G172" s="118"/>
      <c r="H172" s="100">
        <v>0</v>
      </c>
      <c r="I172" s="29"/>
      <c r="J172" s="231"/>
      <c r="K172" s="231"/>
      <c r="L172" s="231"/>
      <c r="M172" s="231"/>
      <c r="N172" s="231"/>
      <c r="O172" s="231"/>
      <c r="P172" s="231"/>
      <c r="Q172" s="231"/>
      <c r="R172" s="231"/>
      <c r="S172" s="231"/>
      <c r="T172" s="231"/>
      <c r="U172" s="231"/>
      <c r="V172" s="231"/>
      <c r="W172" s="231"/>
      <c r="X172" s="231"/>
      <c r="Y172" s="231"/>
      <c r="Z172" s="231"/>
      <c r="AA172" s="231"/>
      <c r="AB172" s="231"/>
      <c r="AC172" s="231"/>
      <c r="AD172" s="231"/>
      <c r="AE172" s="231"/>
    </row>
    <row r="173" spans="1:31" s="203" customFormat="1">
      <c r="A173" s="46"/>
      <c r="B173" s="132"/>
      <c r="C173" s="132"/>
      <c r="D173" s="132"/>
      <c r="E173" s="156"/>
      <c r="F173" s="139"/>
      <c r="G173" s="139"/>
      <c r="H173" s="139"/>
      <c r="I173" s="29"/>
      <c r="J173" s="231"/>
      <c r="K173" s="231"/>
      <c r="L173" s="231"/>
      <c r="M173" s="231"/>
      <c r="N173" s="231"/>
      <c r="O173" s="231"/>
      <c r="P173" s="231"/>
      <c r="Q173" s="231"/>
      <c r="R173" s="231"/>
      <c r="S173" s="231"/>
      <c r="T173" s="231"/>
      <c r="U173" s="231"/>
      <c r="V173" s="231"/>
      <c r="W173" s="231"/>
      <c r="X173" s="231"/>
      <c r="Y173" s="231"/>
      <c r="Z173" s="231"/>
      <c r="AA173" s="231"/>
      <c r="AB173" s="231"/>
      <c r="AC173" s="231"/>
      <c r="AD173" s="231"/>
      <c r="AE173" s="231"/>
    </row>
    <row r="174" spans="1:31" s="203" customFormat="1">
      <c r="A174" s="119" t="s">
        <v>145</v>
      </c>
      <c r="B174" s="47"/>
      <c r="C174" s="47"/>
      <c r="D174" s="47"/>
      <c r="E174" s="157"/>
      <c r="F174" s="146"/>
      <c r="G174" s="118"/>
      <c r="H174" s="146"/>
      <c r="I174" s="29"/>
      <c r="J174" s="231"/>
      <c r="K174" s="231"/>
      <c r="L174" s="231"/>
      <c r="M174" s="231"/>
      <c r="N174" s="231"/>
      <c r="O174" s="231"/>
      <c r="P174" s="231"/>
      <c r="Q174" s="231"/>
      <c r="R174" s="231"/>
      <c r="S174" s="231"/>
      <c r="T174" s="231"/>
      <c r="U174" s="231"/>
      <c r="V174" s="231"/>
      <c r="W174" s="231"/>
      <c r="X174" s="231"/>
      <c r="Y174" s="231"/>
      <c r="Z174" s="231"/>
      <c r="AA174" s="231"/>
      <c r="AB174" s="231"/>
      <c r="AC174" s="231"/>
      <c r="AD174" s="231"/>
      <c r="AE174" s="231"/>
    </row>
    <row r="175" spans="1:31" s="203" customFormat="1">
      <c r="A175" s="120">
        <v>12</v>
      </c>
      <c r="B175" s="47" t="s">
        <v>146</v>
      </c>
      <c r="C175" s="47"/>
      <c r="D175" s="47"/>
      <c r="E175" s="74">
        <v>0</v>
      </c>
      <c r="F175" s="52">
        <v>0</v>
      </c>
      <c r="G175" s="118"/>
      <c r="H175" s="122">
        <v>0</v>
      </c>
      <c r="I175" s="29"/>
      <c r="J175" s="231"/>
      <c r="K175" s="231"/>
      <c r="L175" s="231"/>
      <c r="M175" s="231"/>
      <c r="N175" s="231"/>
      <c r="O175" s="231"/>
      <c r="P175" s="231"/>
      <c r="Q175" s="231"/>
      <c r="R175" s="231"/>
      <c r="S175" s="231"/>
      <c r="T175" s="231"/>
      <c r="U175" s="231"/>
      <c r="V175" s="231"/>
      <c r="W175" s="231"/>
      <c r="X175" s="231"/>
      <c r="Y175" s="231"/>
      <c r="Z175" s="231"/>
      <c r="AA175" s="231"/>
      <c r="AB175" s="231"/>
      <c r="AC175" s="231"/>
      <c r="AD175" s="231"/>
      <c r="AE175" s="231"/>
    </row>
    <row r="176" spans="1:31" s="203" customFormat="1">
      <c r="A176" s="120">
        <v>13</v>
      </c>
      <c r="B176" s="47" t="s">
        <v>147</v>
      </c>
      <c r="C176" s="47"/>
      <c r="D176" s="47"/>
      <c r="E176" s="49">
        <v>3342</v>
      </c>
      <c r="F176" s="52">
        <v>3345</v>
      </c>
      <c r="G176" s="118"/>
      <c r="H176" s="122">
        <v>2386</v>
      </c>
      <c r="I176" s="29"/>
      <c r="J176" s="231"/>
      <c r="K176" s="231"/>
      <c r="L176" s="231"/>
      <c r="M176" s="231"/>
      <c r="N176" s="231"/>
      <c r="O176" s="231"/>
      <c r="P176" s="231"/>
      <c r="Q176" s="231"/>
      <c r="R176" s="231"/>
      <c r="S176" s="231"/>
      <c r="T176" s="231"/>
      <c r="U176" s="231"/>
      <c r="V176" s="231"/>
      <c r="W176" s="231"/>
      <c r="X176" s="231"/>
      <c r="Y176" s="231"/>
      <c r="Z176" s="231"/>
      <c r="AA176" s="231"/>
      <c r="AB176" s="231"/>
      <c r="AC176" s="231"/>
      <c r="AD176" s="231"/>
      <c r="AE176" s="231"/>
    </row>
    <row r="177" spans="1:31" s="203" customFormat="1">
      <c r="A177" s="120">
        <v>14</v>
      </c>
      <c r="B177" s="47" t="s">
        <v>148</v>
      </c>
      <c r="C177" s="47"/>
      <c r="D177" s="47"/>
      <c r="E177" s="56">
        <v>364</v>
      </c>
      <c r="F177" s="52">
        <v>355</v>
      </c>
      <c r="G177" s="118"/>
      <c r="H177" s="100">
        <v>511</v>
      </c>
      <c r="I177" s="29"/>
      <c r="J177" s="231"/>
      <c r="K177" s="231"/>
      <c r="L177" s="231"/>
      <c r="M177" s="231"/>
      <c r="N177" s="231"/>
      <c r="O177" s="231"/>
      <c r="P177" s="231"/>
      <c r="Q177" s="231"/>
      <c r="R177" s="231"/>
      <c r="S177" s="231"/>
      <c r="T177" s="231"/>
      <c r="U177" s="231"/>
      <c r="V177" s="231"/>
      <c r="W177" s="231"/>
      <c r="X177" s="231"/>
      <c r="Y177" s="231"/>
      <c r="Z177" s="231"/>
      <c r="AA177" s="231"/>
      <c r="AB177" s="231"/>
      <c r="AC177" s="231"/>
      <c r="AD177" s="231"/>
      <c r="AE177" s="231"/>
    </row>
    <row r="178" spans="1:31" s="203" customFormat="1">
      <c r="A178" s="120">
        <v>15</v>
      </c>
      <c r="B178" s="116" t="s">
        <v>149</v>
      </c>
      <c r="C178" s="116"/>
      <c r="D178" s="116"/>
      <c r="E178" s="80">
        <v>3706</v>
      </c>
      <c r="F178" s="142">
        <f>SUM(F175:F177)</f>
        <v>3700</v>
      </c>
      <c r="G178" s="118"/>
      <c r="H178" s="142">
        <f>SUM(H175:H177)</f>
        <v>2897</v>
      </c>
      <c r="I178" s="29"/>
      <c r="J178" s="231"/>
      <c r="K178" s="231"/>
      <c r="L178" s="231"/>
      <c r="M178" s="231"/>
      <c r="N178" s="231"/>
      <c r="O178" s="231"/>
      <c r="P178" s="231"/>
      <c r="Q178" s="231"/>
      <c r="R178" s="231"/>
      <c r="S178" s="231"/>
      <c r="T178" s="231"/>
      <c r="U178" s="231"/>
      <c r="V178" s="231"/>
      <c r="W178" s="231"/>
      <c r="X178" s="231"/>
      <c r="Y178" s="231"/>
      <c r="Z178" s="231"/>
      <c r="AA178" s="231"/>
      <c r="AB178" s="231"/>
      <c r="AC178" s="231"/>
      <c r="AD178" s="231"/>
      <c r="AE178" s="231"/>
    </row>
    <row r="179" spans="1:31" s="203" customFormat="1">
      <c r="A179" s="120">
        <v>16</v>
      </c>
      <c r="B179" s="116" t="s">
        <v>150</v>
      </c>
      <c r="C179" s="116"/>
      <c r="D179" s="116"/>
      <c r="E179" s="80">
        <v>3706</v>
      </c>
      <c r="F179" s="158">
        <f>F172+F178</f>
        <v>3700</v>
      </c>
      <c r="G179" s="118"/>
      <c r="H179" s="158">
        <f>H172+H178</f>
        <v>2897</v>
      </c>
      <c r="I179" s="29"/>
      <c r="J179" s="231"/>
      <c r="K179" s="231"/>
      <c r="L179" s="231"/>
      <c r="M179" s="231"/>
      <c r="N179" s="231"/>
      <c r="O179" s="231"/>
      <c r="P179" s="231"/>
      <c r="Q179" s="231"/>
      <c r="R179" s="231"/>
      <c r="S179" s="231"/>
      <c r="T179" s="231"/>
      <c r="U179" s="231"/>
      <c r="V179" s="231"/>
      <c r="W179" s="231"/>
      <c r="X179" s="231"/>
      <c r="Y179" s="231"/>
      <c r="Z179" s="231"/>
      <c r="AA179" s="231"/>
      <c r="AB179" s="231"/>
      <c r="AC179" s="231"/>
      <c r="AD179" s="231"/>
      <c r="AE179" s="231"/>
    </row>
    <row r="180" spans="1:31" s="203" customFormat="1">
      <c r="A180" s="120">
        <v>17</v>
      </c>
      <c r="B180" s="116" t="s">
        <v>151</v>
      </c>
      <c r="C180" s="116"/>
      <c r="D180" s="116"/>
      <c r="E180" s="159">
        <v>7374</v>
      </c>
      <c r="F180" s="61">
        <f>SUM(F163+F169+F171+F179)</f>
        <v>7419</v>
      </c>
      <c r="G180" s="118"/>
      <c r="H180" s="61">
        <f>SUM(H163+H169+H171+H179)</f>
        <v>6736</v>
      </c>
      <c r="I180" s="29"/>
      <c r="J180" s="231"/>
      <c r="K180" s="231"/>
      <c r="L180" s="231"/>
      <c r="M180" s="231"/>
      <c r="N180" s="231"/>
      <c r="O180" s="231"/>
      <c r="P180" s="231"/>
      <c r="Q180" s="231"/>
      <c r="R180" s="231"/>
      <c r="S180" s="231"/>
      <c r="T180" s="231"/>
      <c r="U180" s="231"/>
      <c r="V180" s="231"/>
      <c r="W180" s="231"/>
      <c r="X180" s="231"/>
      <c r="Y180" s="231"/>
      <c r="Z180" s="231"/>
      <c r="AA180" s="231"/>
      <c r="AB180" s="231"/>
      <c r="AC180" s="231"/>
      <c r="AD180" s="231"/>
      <c r="AE180" s="231"/>
    </row>
    <row r="181" spans="1:31" s="203" customFormat="1">
      <c r="A181" s="46"/>
      <c r="B181" s="132"/>
      <c r="C181" s="132"/>
      <c r="D181" s="132"/>
      <c r="E181" s="156"/>
      <c r="F181" s="139"/>
      <c r="G181" s="139"/>
      <c r="H181" s="139"/>
      <c r="I181" s="29"/>
      <c r="J181" s="231"/>
      <c r="K181" s="231"/>
      <c r="L181" s="231"/>
      <c r="M181" s="231"/>
      <c r="N181" s="231"/>
      <c r="O181" s="231"/>
      <c r="P181" s="231"/>
      <c r="Q181" s="231"/>
      <c r="R181" s="231"/>
      <c r="S181" s="231"/>
      <c r="T181" s="231"/>
      <c r="U181" s="231"/>
      <c r="V181" s="231"/>
      <c r="W181" s="231"/>
      <c r="X181" s="231"/>
      <c r="Y181" s="231"/>
      <c r="Z181" s="231"/>
      <c r="AA181" s="231"/>
      <c r="AB181" s="231"/>
      <c r="AC181" s="231"/>
      <c r="AD181" s="231"/>
      <c r="AE181" s="231"/>
    </row>
    <row r="182" spans="1:31" s="203" customFormat="1">
      <c r="A182" s="119" t="s">
        <v>152</v>
      </c>
      <c r="B182" s="47"/>
      <c r="C182" s="47"/>
      <c r="D182" s="116"/>
      <c r="E182" s="117"/>
      <c r="F182" s="118"/>
      <c r="G182" s="118"/>
      <c r="H182" s="118"/>
      <c r="I182" s="29"/>
      <c r="J182" s="231"/>
      <c r="K182" s="231"/>
      <c r="L182" s="231"/>
      <c r="M182" s="231"/>
      <c r="N182" s="231"/>
      <c r="O182" s="231"/>
      <c r="P182" s="231"/>
      <c r="Q182" s="231"/>
      <c r="R182" s="231"/>
      <c r="S182" s="231"/>
      <c r="T182" s="231"/>
      <c r="U182" s="231"/>
      <c r="V182" s="231"/>
      <c r="W182" s="231"/>
      <c r="X182" s="231"/>
      <c r="Y182" s="231"/>
      <c r="Z182" s="231"/>
      <c r="AA182" s="231"/>
      <c r="AB182" s="231"/>
      <c r="AC182" s="231"/>
      <c r="AD182" s="231"/>
      <c r="AE182" s="231"/>
    </row>
    <row r="183" spans="1:31" s="203" customFormat="1">
      <c r="A183" s="120">
        <v>18</v>
      </c>
      <c r="B183" s="47" t="s">
        <v>153</v>
      </c>
      <c r="C183" s="47"/>
      <c r="D183" s="47"/>
      <c r="E183" s="41">
        <v>2733</v>
      </c>
      <c r="F183" s="121">
        <v>2733</v>
      </c>
      <c r="G183" s="118"/>
      <c r="H183" s="133">
        <v>1765</v>
      </c>
      <c r="I183" s="29"/>
      <c r="J183" s="231"/>
      <c r="K183" s="231"/>
      <c r="L183" s="231"/>
      <c r="M183" s="231"/>
      <c r="N183" s="231"/>
      <c r="O183" s="231"/>
      <c r="P183" s="231"/>
      <c r="Q183" s="231"/>
      <c r="R183" s="231"/>
      <c r="S183" s="231"/>
      <c r="T183" s="231"/>
      <c r="U183" s="231"/>
      <c r="V183" s="231"/>
      <c r="W183" s="231"/>
      <c r="X183" s="231"/>
      <c r="Y183" s="231"/>
      <c r="Z183" s="231"/>
      <c r="AA183" s="231"/>
      <c r="AB183" s="231"/>
      <c r="AC183" s="231"/>
      <c r="AD183" s="231"/>
      <c r="AE183" s="231"/>
    </row>
    <row r="184" spans="1:31" s="203" customFormat="1">
      <c r="A184" s="120">
        <v>19</v>
      </c>
      <c r="B184" s="47" t="s">
        <v>154</v>
      </c>
      <c r="C184" s="47"/>
      <c r="D184" s="47"/>
      <c r="E184" s="49">
        <v>368</v>
      </c>
      <c r="F184" s="52">
        <v>367</v>
      </c>
      <c r="G184" s="118"/>
      <c r="H184" s="122">
        <v>501</v>
      </c>
      <c r="I184" s="29"/>
      <c r="J184" s="231"/>
      <c r="K184" s="231"/>
      <c r="L184" s="231"/>
      <c r="M184" s="231"/>
      <c r="N184" s="231"/>
      <c r="O184" s="231"/>
      <c r="P184" s="231"/>
      <c r="Q184" s="231"/>
      <c r="R184" s="231"/>
      <c r="S184" s="231"/>
      <c r="T184" s="231"/>
      <c r="U184" s="231"/>
      <c r="V184" s="231"/>
      <c r="W184" s="231"/>
      <c r="X184" s="231"/>
      <c r="Y184" s="231"/>
      <c r="Z184" s="231"/>
      <c r="AA184" s="231"/>
      <c r="AB184" s="231"/>
      <c r="AC184" s="231"/>
      <c r="AD184" s="231"/>
      <c r="AE184" s="231"/>
    </row>
    <row r="185" spans="1:31" s="203" customFormat="1">
      <c r="A185" s="120">
        <v>20</v>
      </c>
      <c r="B185" s="47" t="s">
        <v>155</v>
      </c>
      <c r="C185" s="47"/>
      <c r="D185" s="47"/>
      <c r="E185" s="49">
        <v>0</v>
      </c>
      <c r="F185" s="52">
        <v>0</v>
      </c>
      <c r="G185" s="118"/>
      <c r="H185" s="122">
        <v>0</v>
      </c>
      <c r="I185" s="29"/>
      <c r="J185" s="231"/>
      <c r="K185" s="231"/>
      <c r="L185" s="231"/>
      <c r="M185" s="231"/>
      <c r="N185" s="231"/>
      <c r="O185" s="231"/>
      <c r="P185" s="231"/>
      <c r="Q185" s="231"/>
      <c r="R185" s="231"/>
      <c r="S185" s="231"/>
      <c r="T185" s="231"/>
      <c r="U185" s="231"/>
      <c r="V185" s="231"/>
      <c r="W185" s="231"/>
      <c r="X185" s="231"/>
      <c r="Y185" s="231"/>
      <c r="Z185" s="231"/>
      <c r="AA185" s="231"/>
      <c r="AB185" s="231"/>
      <c r="AC185" s="231"/>
      <c r="AD185" s="231"/>
      <c r="AE185" s="231"/>
    </row>
    <row r="186" spans="1:31" s="203" customFormat="1">
      <c r="A186" s="120">
        <v>21</v>
      </c>
      <c r="B186" s="47" t="s">
        <v>156</v>
      </c>
      <c r="C186" s="47"/>
      <c r="D186" s="47"/>
      <c r="E186" s="49">
        <v>0</v>
      </c>
      <c r="F186" s="52">
        <v>0</v>
      </c>
      <c r="G186" s="118"/>
      <c r="H186" s="122">
        <v>0</v>
      </c>
      <c r="I186" s="29"/>
      <c r="J186" s="231"/>
      <c r="K186" s="231"/>
      <c r="L186" s="231"/>
      <c r="M186" s="231"/>
      <c r="N186" s="231"/>
      <c r="O186" s="231"/>
      <c r="P186" s="231"/>
      <c r="Q186" s="231"/>
      <c r="R186" s="231"/>
      <c r="S186" s="231"/>
      <c r="T186" s="231"/>
      <c r="U186" s="231"/>
      <c r="V186" s="231"/>
      <c r="W186" s="231"/>
      <c r="X186" s="231"/>
      <c r="Y186" s="231"/>
      <c r="Z186" s="231"/>
      <c r="AA186" s="231"/>
      <c r="AB186" s="231"/>
      <c r="AC186" s="231"/>
      <c r="AD186" s="231"/>
      <c r="AE186" s="231"/>
    </row>
    <row r="187" spans="1:31" s="203" customFormat="1">
      <c r="A187" s="120">
        <v>22</v>
      </c>
      <c r="B187" s="47" t="s">
        <v>157</v>
      </c>
      <c r="C187" s="47"/>
      <c r="D187" s="47"/>
      <c r="E187" s="49">
        <v>0</v>
      </c>
      <c r="F187" s="52">
        <v>0</v>
      </c>
      <c r="G187" s="118"/>
      <c r="H187" s="122">
        <v>0</v>
      </c>
      <c r="I187" s="29"/>
      <c r="J187" s="231"/>
      <c r="K187" s="231"/>
      <c r="L187" s="231"/>
      <c r="M187" s="231"/>
      <c r="N187" s="231"/>
      <c r="O187" s="231"/>
      <c r="P187" s="231"/>
      <c r="Q187" s="231"/>
      <c r="R187" s="231"/>
      <c r="S187" s="231"/>
      <c r="T187" s="231"/>
      <c r="U187" s="231"/>
      <c r="V187" s="231"/>
      <c r="W187" s="231"/>
      <c r="X187" s="231"/>
      <c r="Y187" s="231"/>
      <c r="Z187" s="231"/>
      <c r="AA187" s="231"/>
      <c r="AB187" s="231"/>
      <c r="AC187" s="231"/>
      <c r="AD187" s="231"/>
      <c r="AE187" s="231"/>
    </row>
    <row r="188" spans="1:31" s="203" customFormat="1">
      <c r="A188" s="120">
        <v>23</v>
      </c>
      <c r="B188" s="47" t="s">
        <v>158</v>
      </c>
      <c r="C188" s="47"/>
      <c r="D188" s="47"/>
      <c r="E188" s="49">
        <v>358</v>
      </c>
      <c r="F188" s="52">
        <v>358</v>
      </c>
      <c r="G188" s="118"/>
      <c r="H188" s="122">
        <v>376</v>
      </c>
      <c r="I188" s="29"/>
      <c r="J188" s="231"/>
      <c r="K188" s="231"/>
      <c r="L188" s="231"/>
      <c r="M188" s="231"/>
      <c r="N188" s="231"/>
      <c r="O188" s="231"/>
      <c r="P188" s="231"/>
      <c r="Q188" s="231"/>
      <c r="R188" s="231"/>
      <c r="S188" s="231"/>
      <c r="T188" s="231"/>
      <c r="U188" s="231"/>
      <c r="V188" s="231"/>
      <c r="W188" s="231"/>
      <c r="X188" s="231"/>
      <c r="Y188" s="231"/>
      <c r="Z188" s="231"/>
      <c r="AA188" s="231"/>
      <c r="AB188" s="231"/>
      <c r="AC188" s="231"/>
      <c r="AD188" s="231"/>
      <c r="AE188" s="231"/>
    </row>
    <row r="189" spans="1:31" s="203" customFormat="1">
      <c r="A189" s="120">
        <v>24</v>
      </c>
      <c r="B189" s="47" t="s">
        <v>159</v>
      </c>
      <c r="C189" s="47"/>
      <c r="D189" s="47"/>
      <c r="E189" s="49">
        <v>0</v>
      </c>
      <c r="F189" s="52">
        <v>0</v>
      </c>
      <c r="G189" s="118"/>
      <c r="H189" s="122">
        <v>0</v>
      </c>
      <c r="I189" s="29"/>
      <c r="J189" s="231"/>
      <c r="K189" s="231"/>
      <c r="L189" s="231"/>
      <c r="M189" s="231"/>
      <c r="N189" s="231"/>
      <c r="O189" s="231"/>
      <c r="P189" s="231"/>
      <c r="Q189" s="231"/>
      <c r="R189" s="231"/>
      <c r="S189" s="231"/>
      <c r="T189" s="231"/>
      <c r="U189" s="231"/>
      <c r="V189" s="231"/>
      <c r="W189" s="231"/>
      <c r="X189" s="231"/>
      <c r="Y189" s="231"/>
      <c r="Z189" s="231"/>
      <c r="AA189" s="231"/>
      <c r="AB189" s="231"/>
      <c r="AC189" s="231"/>
      <c r="AD189" s="231"/>
      <c r="AE189" s="231"/>
    </row>
    <row r="190" spans="1:31" s="203" customFormat="1">
      <c r="A190" s="124">
        <v>25</v>
      </c>
      <c r="B190" s="54" t="s">
        <v>160</v>
      </c>
      <c r="C190" s="54"/>
      <c r="D190" s="54"/>
      <c r="E190" s="56">
        <v>0</v>
      </c>
      <c r="F190" s="126">
        <v>0</v>
      </c>
      <c r="G190" s="118"/>
      <c r="H190" s="100">
        <v>0</v>
      </c>
      <c r="I190" s="24"/>
      <c r="J190" s="231"/>
      <c r="K190" s="231"/>
      <c r="L190" s="231"/>
      <c r="M190" s="231"/>
      <c r="N190" s="231"/>
      <c r="O190" s="231"/>
      <c r="P190" s="231"/>
      <c r="Q190" s="231"/>
      <c r="R190" s="231"/>
      <c r="S190" s="231"/>
      <c r="T190" s="231"/>
      <c r="U190" s="231"/>
      <c r="V190" s="231"/>
      <c r="W190" s="231"/>
      <c r="X190" s="231"/>
      <c r="Y190" s="231"/>
      <c r="Z190" s="231"/>
      <c r="AA190" s="231"/>
      <c r="AB190" s="231"/>
      <c r="AC190" s="231"/>
      <c r="AD190" s="231"/>
      <c r="AE190" s="231"/>
    </row>
    <row r="191" spans="1:31" s="203" customFormat="1">
      <c r="A191" s="161"/>
      <c r="B191" s="129"/>
      <c r="C191" s="129"/>
      <c r="D191" s="149"/>
      <c r="E191" s="162"/>
      <c r="F191" s="29"/>
      <c r="G191" s="29"/>
      <c r="H191" s="207"/>
      <c r="I191" s="29"/>
      <c r="J191" s="231"/>
      <c r="K191" s="231"/>
      <c r="L191" s="231"/>
      <c r="M191" s="231"/>
      <c r="N191" s="231"/>
      <c r="O191" s="231"/>
      <c r="P191" s="231"/>
      <c r="Q191" s="231"/>
      <c r="R191" s="231"/>
      <c r="S191" s="231"/>
      <c r="T191" s="231"/>
      <c r="U191" s="231"/>
      <c r="V191" s="231"/>
      <c r="W191" s="231"/>
      <c r="X191" s="231"/>
      <c r="Y191" s="231"/>
      <c r="Z191" s="231"/>
      <c r="AA191" s="231"/>
      <c r="AB191" s="231"/>
      <c r="AC191" s="231"/>
      <c r="AD191" s="231"/>
      <c r="AE191" s="231"/>
    </row>
    <row r="192" spans="1:31" s="203" customFormat="1">
      <c r="A192" s="161"/>
      <c r="B192" s="129"/>
      <c r="C192" s="129"/>
      <c r="D192" s="151"/>
      <c r="E192" s="163"/>
      <c r="F192" s="29"/>
      <c r="G192" s="29"/>
      <c r="H192" s="131" t="s">
        <v>27</v>
      </c>
      <c r="I192" s="29"/>
      <c r="J192" s="231"/>
      <c r="K192" s="231"/>
      <c r="L192" s="231"/>
      <c r="M192" s="231"/>
      <c r="N192" s="231"/>
      <c r="O192" s="231"/>
      <c r="P192" s="231"/>
      <c r="Q192" s="231"/>
      <c r="R192" s="231"/>
      <c r="S192" s="231"/>
      <c r="T192" s="231"/>
      <c r="U192" s="231"/>
      <c r="V192" s="231"/>
      <c r="W192" s="231"/>
      <c r="X192" s="231"/>
      <c r="Y192" s="231"/>
      <c r="Z192" s="231"/>
      <c r="AA192" s="231"/>
      <c r="AB192" s="231"/>
      <c r="AC192" s="231"/>
      <c r="AD192" s="231"/>
      <c r="AE192" s="231"/>
    </row>
    <row r="193" spans="1:31" s="203" customFormat="1" ht="12.75" customHeight="1">
      <c r="A193" s="106" t="s">
        <v>23</v>
      </c>
      <c r="B193" s="164"/>
      <c r="C193" s="164"/>
      <c r="D193" s="164"/>
      <c r="E193" s="856" t="s">
        <v>377</v>
      </c>
      <c r="F193" s="856" t="s">
        <v>402</v>
      </c>
      <c r="G193" s="130"/>
      <c r="H193" s="856" t="s">
        <v>403</v>
      </c>
      <c r="I193" s="130"/>
      <c r="J193" s="231"/>
      <c r="K193" s="231"/>
      <c r="L193" s="231"/>
      <c r="M193" s="231"/>
      <c r="N193" s="231"/>
      <c r="O193" s="231"/>
      <c r="P193" s="231"/>
      <c r="Q193" s="231"/>
      <c r="R193" s="231"/>
      <c r="S193" s="231"/>
      <c r="T193" s="231"/>
      <c r="U193" s="231"/>
      <c r="V193" s="231"/>
      <c r="W193" s="231"/>
      <c r="X193" s="231"/>
      <c r="Y193" s="231"/>
      <c r="Z193" s="231"/>
      <c r="AA193" s="231"/>
      <c r="AB193" s="231"/>
      <c r="AC193" s="231"/>
      <c r="AD193" s="231"/>
      <c r="AE193" s="231"/>
    </row>
    <row r="194" spans="1:31" s="203" customFormat="1" ht="23.25" customHeight="1">
      <c r="A194" s="165"/>
      <c r="B194" s="132"/>
      <c r="C194" s="132"/>
      <c r="D194" s="132"/>
      <c r="E194" s="859"/>
      <c r="F194" s="859"/>
      <c r="G194" s="130"/>
      <c r="H194" s="859"/>
      <c r="I194" s="130"/>
      <c r="J194" s="231"/>
      <c r="K194" s="231"/>
      <c r="L194" s="231"/>
      <c r="M194" s="231"/>
      <c r="N194" s="231"/>
      <c r="O194" s="231"/>
      <c r="P194" s="231"/>
      <c r="Q194" s="231"/>
      <c r="R194" s="231"/>
      <c r="S194" s="231"/>
      <c r="T194" s="231"/>
      <c r="U194" s="231"/>
      <c r="V194" s="231"/>
      <c r="W194" s="231"/>
      <c r="X194" s="231"/>
      <c r="Y194" s="231"/>
      <c r="Z194" s="231"/>
      <c r="AA194" s="231"/>
      <c r="AB194" s="231"/>
      <c r="AC194" s="231"/>
      <c r="AD194" s="231"/>
      <c r="AE194" s="231"/>
    </row>
    <row r="195" spans="1:31" s="203" customFormat="1">
      <c r="A195" s="154" t="s">
        <v>161</v>
      </c>
      <c r="B195" s="116"/>
      <c r="C195" s="116"/>
      <c r="D195" s="116"/>
      <c r="E195" s="859"/>
      <c r="F195" s="859"/>
      <c r="G195" s="130"/>
      <c r="H195" s="859"/>
      <c r="I195" s="130"/>
      <c r="J195" s="231"/>
      <c r="K195" s="231"/>
      <c r="L195" s="231"/>
      <c r="M195" s="231"/>
      <c r="N195" s="231"/>
      <c r="O195" s="231"/>
      <c r="P195" s="231"/>
      <c r="Q195" s="231"/>
      <c r="R195" s="231"/>
      <c r="S195" s="231"/>
      <c r="T195" s="231"/>
      <c r="U195" s="231"/>
      <c r="V195" s="231"/>
      <c r="W195" s="231"/>
      <c r="X195" s="231"/>
      <c r="Y195" s="231"/>
      <c r="Z195" s="231"/>
      <c r="AA195" s="231"/>
      <c r="AB195" s="231"/>
      <c r="AC195" s="231"/>
      <c r="AD195" s="231"/>
      <c r="AE195" s="231"/>
    </row>
    <row r="196" spans="1:31" s="203" customFormat="1">
      <c r="A196" s="109" t="s">
        <v>83</v>
      </c>
      <c r="B196" s="47"/>
      <c r="C196" s="47"/>
      <c r="D196" s="47"/>
      <c r="E196" s="859"/>
      <c r="F196" s="859"/>
      <c r="G196" s="130"/>
      <c r="H196" s="859"/>
      <c r="I196" s="130"/>
      <c r="J196" s="231"/>
      <c r="K196" s="231"/>
      <c r="L196" s="231"/>
      <c r="M196" s="231"/>
      <c r="N196" s="231"/>
      <c r="O196" s="231"/>
      <c r="P196" s="231"/>
      <c r="Q196" s="231"/>
      <c r="R196" s="231"/>
      <c r="S196" s="231"/>
      <c r="T196" s="231"/>
      <c r="U196" s="231"/>
      <c r="V196" s="231"/>
      <c r="W196" s="231"/>
      <c r="X196" s="231"/>
      <c r="Y196" s="231"/>
      <c r="Z196" s="231"/>
      <c r="AA196" s="231"/>
      <c r="AB196" s="231"/>
      <c r="AC196" s="231"/>
      <c r="AD196" s="231"/>
      <c r="AE196" s="231"/>
    </row>
    <row r="197" spans="1:31" s="203" customFormat="1">
      <c r="A197" s="110" t="s">
        <v>84</v>
      </c>
      <c r="B197" s="132"/>
      <c r="C197" s="132"/>
      <c r="D197" s="132"/>
      <c r="E197" s="860"/>
      <c r="F197" s="860"/>
      <c r="G197" s="130"/>
      <c r="H197" s="860"/>
      <c r="I197" s="130"/>
      <c r="J197" s="231"/>
      <c r="K197" s="231"/>
      <c r="L197" s="231"/>
      <c r="M197" s="231"/>
      <c r="N197" s="231"/>
      <c r="O197" s="231"/>
      <c r="P197" s="231"/>
      <c r="Q197" s="231"/>
      <c r="R197" s="231"/>
      <c r="S197" s="231"/>
      <c r="T197" s="231"/>
      <c r="U197" s="231"/>
      <c r="V197" s="231"/>
      <c r="W197" s="231"/>
      <c r="X197" s="231"/>
      <c r="Y197" s="231"/>
      <c r="Z197" s="231"/>
      <c r="AA197" s="231"/>
      <c r="AB197" s="231"/>
      <c r="AC197" s="231"/>
      <c r="AD197" s="231"/>
      <c r="AE197" s="231"/>
    </row>
    <row r="198" spans="1:31" s="203" customFormat="1">
      <c r="A198" s="153" t="s">
        <v>162</v>
      </c>
      <c r="B198" s="166"/>
      <c r="C198" s="166"/>
      <c r="D198" s="166"/>
      <c r="E198" s="167"/>
      <c r="F198" s="146"/>
      <c r="G198" s="118"/>
      <c r="H198" s="146"/>
      <c r="I198" s="29"/>
      <c r="J198" s="231"/>
      <c r="K198" s="231"/>
      <c r="L198" s="231"/>
      <c r="M198" s="231"/>
      <c r="N198" s="231"/>
      <c r="O198" s="231"/>
      <c r="P198" s="231"/>
      <c r="Q198" s="231"/>
      <c r="R198" s="231"/>
      <c r="S198" s="231"/>
      <c r="T198" s="231"/>
      <c r="U198" s="231"/>
      <c r="V198" s="231"/>
      <c r="W198" s="231"/>
      <c r="X198" s="231"/>
      <c r="Y198" s="231"/>
      <c r="Z198" s="231"/>
      <c r="AA198" s="231"/>
      <c r="AB198" s="231"/>
      <c r="AC198" s="231"/>
      <c r="AD198" s="231"/>
      <c r="AE198" s="231"/>
    </row>
    <row r="199" spans="1:31" s="203" customFormat="1">
      <c r="A199" s="120">
        <v>1</v>
      </c>
      <c r="B199" s="47" t="s">
        <v>163</v>
      </c>
      <c r="C199" s="47"/>
      <c r="D199" s="47"/>
      <c r="E199" s="74">
        <v>263</v>
      </c>
      <c r="F199" s="52">
        <v>264</v>
      </c>
      <c r="G199" s="118"/>
      <c r="H199" s="122">
        <v>265</v>
      </c>
      <c r="I199" s="118"/>
      <c r="J199" s="231"/>
      <c r="K199" s="231"/>
      <c r="L199" s="231"/>
      <c r="M199" s="231"/>
      <c r="N199" s="231"/>
      <c r="O199" s="231"/>
      <c r="P199" s="231"/>
      <c r="Q199" s="231"/>
      <c r="R199" s="231"/>
      <c r="S199" s="231"/>
      <c r="T199" s="231"/>
      <c r="U199" s="231"/>
      <c r="V199" s="231"/>
      <c r="W199" s="231"/>
      <c r="X199" s="231"/>
      <c r="Y199" s="231"/>
      <c r="Z199" s="231"/>
      <c r="AA199" s="231"/>
      <c r="AB199" s="231"/>
      <c r="AC199" s="231"/>
      <c r="AD199" s="231"/>
      <c r="AE199" s="231"/>
    </row>
    <row r="200" spans="1:31" s="203" customFormat="1">
      <c r="A200" s="120">
        <v>2</v>
      </c>
      <c r="B200" s="47" t="s">
        <v>164</v>
      </c>
      <c r="C200" s="47"/>
      <c r="D200" s="47"/>
      <c r="E200" s="56">
        <v>164</v>
      </c>
      <c r="F200" s="52">
        <v>166</v>
      </c>
      <c r="G200" s="118"/>
      <c r="H200" s="100">
        <v>161</v>
      </c>
      <c r="I200" s="118"/>
      <c r="J200" s="231"/>
      <c r="K200" s="231"/>
      <c r="L200" s="231"/>
      <c r="M200" s="231"/>
      <c r="N200" s="231"/>
      <c r="O200" s="231"/>
      <c r="P200" s="231"/>
      <c r="Q200" s="231"/>
      <c r="R200" s="231"/>
      <c r="S200" s="231"/>
      <c r="T200" s="231"/>
      <c r="U200" s="231"/>
      <c r="V200" s="231"/>
      <c r="W200" s="231"/>
      <c r="X200" s="231"/>
      <c r="Y200" s="231"/>
      <c r="Z200" s="231"/>
      <c r="AA200" s="231"/>
      <c r="AB200" s="231"/>
      <c r="AC200" s="231"/>
      <c r="AD200" s="231"/>
      <c r="AE200" s="231"/>
    </row>
    <row r="201" spans="1:31" s="203" customFormat="1">
      <c r="A201" s="120">
        <v>3</v>
      </c>
      <c r="B201" s="116" t="s">
        <v>165</v>
      </c>
      <c r="C201" s="116"/>
      <c r="D201" s="116"/>
      <c r="E201" s="80">
        <v>427</v>
      </c>
      <c r="F201" s="142">
        <f>SUM(F199:F200)</f>
        <v>430</v>
      </c>
      <c r="G201" s="118"/>
      <c r="H201" s="142">
        <f>SUM(H199:H200)</f>
        <v>426</v>
      </c>
      <c r="I201" s="118"/>
      <c r="J201" s="231"/>
      <c r="K201" s="231"/>
      <c r="L201" s="231"/>
      <c r="M201" s="231"/>
      <c r="N201" s="231"/>
      <c r="O201" s="231"/>
      <c r="P201" s="231"/>
      <c r="Q201" s="231"/>
      <c r="R201" s="231"/>
      <c r="S201" s="231"/>
      <c r="T201" s="231"/>
      <c r="U201" s="231"/>
      <c r="V201" s="231"/>
      <c r="W201" s="231"/>
      <c r="X201" s="231"/>
      <c r="Y201" s="231"/>
      <c r="Z201" s="231"/>
      <c r="AA201" s="231"/>
      <c r="AB201" s="231"/>
      <c r="AC201" s="231"/>
      <c r="AD201" s="231"/>
      <c r="AE201" s="231"/>
    </row>
    <row r="202" spans="1:31" s="203" customFormat="1">
      <c r="A202" s="46"/>
      <c r="B202" s="132"/>
      <c r="C202" s="132"/>
      <c r="D202" s="132"/>
      <c r="E202" s="156"/>
      <c r="F202" s="139"/>
      <c r="G202" s="139"/>
      <c r="H202" s="139"/>
      <c r="I202" s="118"/>
      <c r="J202" s="231"/>
      <c r="K202" s="231"/>
      <c r="L202" s="231"/>
      <c r="M202" s="231"/>
      <c r="N202" s="231"/>
      <c r="O202" s="231"/>
      <c r="P202" s="231"/>
      <c r="Q202" s="231"/>
      <c r="R202" s="231"/>
      <c r="S202" s="231"/>
      <c r="T202" s="231"/>
      <c r="U202" s="231"/>
      <c r="V202" s="231"/>
      <c r="W202" s="231"/>
      <c r="X202" s="231"/>
      <c r="Y202" s="231"/>
      <c r="Z202" s="231"/>
      <c r="AA202" s="231"/>
      <c r="AB202" s="231"/>
      <c r="AC202" s="231"/>
      <c r="AD202" s="231"/>
      <c r="AE202" s="231"/>
    </row>
    <row r="203" spans="1:31" s="203" customFormat="1">
      <c r="A203" s="153" t="s">
        <v>166</v>
      </c>
      <c r="B203" s="116"/>
      <c r="C203" s="116"/>
      <c r="D203" s="116"/>
      <c r="E203" s="140"/>
      <c r="F203" s="146"/>
      <c r="G203" s="118"/>
      <c r="H203" s="146"/>
      <c r="I203" s="118"/>
      <c r="J203" s="231"/>
      <c r="K203" s="231"/>
      <c r="L203" s="231"/>
      <c r="M203" s="231"/>
      <c r="N203" s="231"/>
      <c r="O203" s="231"/>
      <c r="P203" s="231"/>
      <c r="Q203" s="231"/>
      <c r="R203" s="231"/>
      <c r="S203" s="231"/>
      <c r="T203" s="231"/>
      <c r="U203" s="231"/>
      <c r="V203" s="231"/>
      <c r="W203" s="231"/>
      <c r="X203" s="231"/>
      <c r="Y203" s="231"/>
      <c r="Z203" s="231"/>
      <c r="AA203" s="231"/>
      <c r="AB203" s="231"/>
      <c r="AC203" s="231"/>
      <c r="AD203" s="231"/>
      <c r="AE203" s="231"/>
    </row>
    <row r="204" spans="1:31" s="203" customFormat="1">
      <c r="A204" s="120">
        <v>4</v>
      </c>
      <c r="B204" s="47" t="s">
        <v>167</v>
      </c>
      <c r="C204" s="47"/>
      <c r="D204" s="47"/>
      <c r="E204" s="74">
        <v>1538</v>
      </c>
      <c r="F204" s="52">
        <v>1622</v>
      </c>
      <c r="G204" s="118"/>
      <c r="H204" s="122">
        <v>1063</v>
      </c>
      <c r="I204" s="118"/>
      <c r="J204" s="231"/>
      <c r="K204" s="231"/>
      <c r="L204" s="231"/>
      <c r="M204" s="231"/>
      <c r="N204" s="231"/>
      <c r="O204" s="231"/>
      <c r="P204" s="231"/>
      <c r="Q204" s="231"/>
      <c r="R204" s="231"/>
      <c r="S204" s="231"/>
      <c r="T204" s="231"/>
      <c r="U204" s="231"/>
      <c r="V204" s="231"/>
      <c r="W204" s="231"/>
      <c r="X204" s="231"/>
      <c r="Y204" s="231"/>
      <c r="Z204" s="231"/>
      <c r="AA204" s="231"/>
      <c r="AB204" s="231"/>
      <c r="AC204" s="231"/>
      <c r="AD204" s="231"/>
      <c r="AE204" s="231"/>
    </row>
    <row r="205" spans="1:31" s="203" customFormat="1">
      <c r="A205" s="120">
        <v>5</v>
      </c>
      <c r="B205" s="47" t="s">
        <v>168</v>
      </c>
      <c r="C205" s="47"/>
      <c r="D205" s="47"/>
      <c r="E205" s="49">
        <v>2964</v>
      </c>
      <c r="F205" s="52">
        <v>2982</v>
      </c>
      <c r="G205" s="118"/>
      <c r="H205" s="122">
        <v>2437</v>
      </c>
      <c r="I205" s="118"/>
      <c r="J205" s="231"/>
      <c r="K205" s="231"/>
      <c r="L205" s="231"/>
      <c r="M205" s="231"/>
      <c r="N205" s="231"/>
      <c r="O205" s="231"/>
      <c r="P205" s="231"/>
      <c r="Q205" s="231"/>
      <c r="R205" s="231"/>
      <c r="S205" s="231"/>
      <c r="T205" s="231"/>
      <c r="U205" s="231"/>
      <c r="V205" s="231"/>
      <c r="W205" s="231"/>
      <c r="X205" s="231"/>
      <c r="Y205" s="231"/>
      <c r="Z205" s="231"/>
      <c r="AA205" s="231"/>
      <c r="AB205" s="231"/>
      <c r="AC205" s="231"/>
      <c r="AD205" s="231"/>
      <c r="AE205" s="231"/>
    </row>
    <row r="206" spans="1:31" s="203" customFormat="1">
      <c r="A206" s="120">
        <v>6</v>
      </c>
      <c r="B206" s="47" t="s">
        <v>169</v>
      </c>
      <c r="C206" s="47"/>
      <c r="D206" s="47"/>
      <c r="E206" s="49">
        <v>453</v>
      </c>
      <c r="F206" s="52">
        <v>391</v>
      </c>
      <c r="G206" s="118"/>
      <c r="H206" s="100">
        <v>361</v>
      </c>
      <c r="I206" s="118"/>
      <c r="J206" s="231"/>
      <c r="K206" s="231"/>
      <c r="L206" s="231"/>
      <c r="M206" s="231"/>
      <c r="N206" s="231"/>
      <c r="O206" s="231"/>
      <c r="P206" s="231"/>
      <c r="Q206" s="231"/>
      <c r="R206" s="231"/>
      <c r="S206" s="231"/>
      <c r="T206" s="231"/>
      <c r="U206" s="231"/>
      <c r="V206" s="231"/>
      <c r="W206" s="231"/>
      <c r="X206" s="231"/>
      <c r="Y206" s="231"/>
      <c r="Z206" s="231"/>
      <c r="AA206" s="231"/>
      <c r="AB206" s="231"/>
      <c r="AC206" s="231"/>
      <c r="AD206" s="231"/>
      <c r="AE206" s="231"/>
    </row>
    <row r="207" spans="1:31" s="203" customFormat="1">
      <c r="A207" s="120">
        <v>7</v>
      </c>
      <c r="B207" s="116" t="s">
        <v>170</v>
      </c>
      <c r="C207" s="116"/>
      <c r="D207" s="116"/>
      <c r="E207" s="80">
        <v>4955</v>
      </c>
      <c r="F207" s="142">
        <f>SUM(F204:F206)</f>
        <v>4995</v>
      </c>
      <c r="G207" s="118"/>
      <c r="H207" s="142">
        <f>SUM(H204:H206)</f>
        <v>3861</v>
      </c>
      <c r="I207" s="118"/>
      <c r="J207" s="231"/>
      <c r="K207" s="231"/>
      <c r="L207" s="231"/>
      <c r="M207" s="231"/>
      <c r="N207" s="231"/>
      <c r="O207" s="231"/>
      <c r="P207" s="231"/>
      <c r="Q207" s="231"/>
      <c r="R207" s="231"/>
      <c r="S207" s="231"/>
      <c r="T207" s="231"/>
      <c r="U207" s="231"/>
      <c r="V207" s="231"/>
      <c r="W207" s="231"/>
      <c r="X207" s="231"/>
      <c r="Y207" s="231"/>
      <c r="Z207" s="231"/>
      <c r="AA207" s="231"/>
      <c r="AB207" s="231"/>
      <c r="AC207" s="231"/>
      <c r="AD207" s="231"/>
      <c r="AE207" s="231"/>
    </row>
    <row r="208" spans="1:31" s="203" customFormat="1">
      <c r="A208" s="46"/>
      <c r="B208" s="132"/>
      <c r="C208" s="132"/>
      <c r="D208" s="132"/>
      <c r="E208" s="156"/>
      <c r="F208" s="139"/>
      <c r="G208" s="139"/>
      <c r="H208" s="139"/>
      <c r="I208" s="118"/>
      <c r="J208" s="231"/>
      <c r="K208" s="231"/>
      <c r="L208" s="231"/>
      <c r="M208" s="231"/>
      <c r="N208" s="231"/>
      <c r="O208" s="231"/>
      <c r="P208" s="231"/>
      <c r="Q208" s="231"/>
      <c r="R208" s="231"/>
      <c r="S208" s="231"/>
      <c r="T208" s="231"/>
      <c r="U208" s="231"/>
      <c r="V208" s="231"/>
      <c r="W208" s="231"/>
      <c r="X208" s="231"/>
      <c r="Y208" s="231"/>
      <c r="Z208" s="231"/>
      <c r="AA208" s="231"/>
      <c r="AB208" s="231"/>
      <c r="AC208" s="231"/>
      <c r="AD208" s="231"/>
      <c r="AE208" s="231"/>
    </row>
    <row r="209" spans="1:31" s="203" customFormat="1">
      <c r="A209" s="153" t="s">
        <v>121</v>
      </c>
      <c r="B209" s="168"/>
      <c r="C209" s="168"/>
      <c r="D209" s="168"/>
      <c r="E209" s="140"/>
      <c r="F209" s="146"/>
      <c r="G209" s="118"/>
      <c r="H209" s="146"/>
      <c r="I209" s="118"/>
      <c r="J209" s="231"/>
      <c r="K209" s="231"/>
      <c r="L209" s="231"/>
      <c r="M209" s="231"/>
      <c r="N209" s="231"/>
      <c r="O209" s="231"/>
      <c r="P209" s="231"/>
      <c r="Q209" s="231"/>
      <c r="R209" s="231"/>
      <c r="S209" s="231"/>
      <c r="T209" s="231"/>
      <c r="U209" s="231"/>
      <c r="V209" s="231"/>
      <c r="W209" s="231"/>
      <c r="X209" s="231"/>
      <c r="Y209" s="231"/>
      <c r="Z209" s="231"/>
      <c r="AA209" s="231"/>
      <c r="AB209" s="231"/>
      <c r="AC209" s="231"/>
      <c r="AD209" s="231"/>
      <c r="AE209" s="231"/>
    </row>
    <row r="210" spans="1:31" s="203" customFormat="1">
      <c r="A210" s="120">
        <v>8</v>
      </c>
      <c r="B210" s="47" t="s">
        <v>171</v>
      </c>
      <c r="C210" s="47"/>
      <c r="D210" s="47"/>
      <c r="E210" s="74">
        <v>80</v>
      </c>
      <c r="F210" s="52">
        <v>53</v>
      </c>
      <c r="G210" s="118"/>
      <c r="H210" s="122">
        <v>63</v>
      </c>
      <c r="I210" s="118"/>
      <c r="J210" s="231"/>
      <c r="K210" s="231"/>
      <c r="L210" s="231"/>
      <c r="M210" s="231"/>
      <c r="N210" s="231"/>
      <c r="O210" s="231"/>
      <c r="P210" s="231"/>
      <c r="Q210" s="231"/>
      <c r="R210" s="231"/>
      <c r="S210" s="231"/>
      <c r="T210" s="231"/>
      <c r="U210" s="231"/>
      <c r="V210" s="231"/>
      <c r="W210" s="231"/>
      <c r="X210" s="231"/>
      <c r="Y210" s="231"/>
      <c r="Z210" s="231"/>
      <c r="AA210" s="231"/>
      <c r="AB210" s="231"/>
      <c r="AC210" s="231"/>
      <c r="AD210" s="231"/>
      <c r="AE210" s="231"/>
    </row>
    <row r="211" spans="1:31" s="203" customFormat="1">
      <c r="A211" s="120">
        <v>9</v>
      </c>
      <c r="B211" s="47" t="s">
        <v>172</v>
      </c>
      <c r="C211" s="47"/>
      <c r="D211" s="47"/>
      <c r="E211" s="49">
        <v>36</v>
      </c>
      <c r="F211" s="52">
        <v>56</v>
      </c>
      <c r="G211" s="118"/>
      <c r="H211" s="122">
        <v>41</v>
      </c>
      <c r="I211" s="118"/>
      <c r="J211" s="231"/>
      <c r="K211" s="231"/>
      <c r="L211" s="231"/>
      <c r="M211" s="231"/>
      <c r="N211" s="231"/>
      <c r="O211" s="231"/>
      <c r="P211" s="231"/>
      <c r="Q211" s="231"/>
      <c r="R211" s="231"/>
      <c r="S211" s="231"/>
      <c r="T211" s="231"/>
      <c r="U211" s="231"/>
      <c r="V211" s="231"/>
      <c r="W211" s="231"/>
      <c r="X211" s="231"/>
      <c r="Y211" s="231"/>
      <c r="Z211" s="231"/>
      <c r="AA211" s="231"/>
      <c r="AB211" s="231"/>
      <c r="AC211" s="231"/>
      <c r="AD211" s="231"/>
      <c r="AE211" s="231"/>
    </row>
    <row r="212" spans="1:31" s="203" customFormat="1">
      <c r="A212" s="120">
        <v>10</v>
      </c>
      <c r="B212" s="47" t="s">
        <v>173</v>
      </c>
      <c r="C212" s="47"/>
      <c r="D212" s="47"/>
      <c r="E212" s="49">
        <v>0</v>
      </c>
      <c r="F212" s="52">
        <v>0</v>
      </c>
      <c r="G212" s="118"/>
      <c r="H212" s="122">
        <v>0</v>
      </c>
      <c r="I212" s="118"/>
      <c r="J212" s="231"/>
      <c r="K212" s="231"/>
      <c r="L212" s="231"/>
      <c r="M212" s="231"/>
      <c r="N212" s="231"/>
      <c r="O212" s="231"/>
      <c r="P212" s="231"/>
      <c r="Q212" s="231"/>
      <c r="R212" s="231"/>
      <c r="S212" s="231"/>
      <c r="T212" s="231"/>
      <c r="U212" s="231"/>
      <c r="V212" s="231"/>
      <c r="W212" s="231"/>
      <c r="X212" s="231"/>
      <c r="Y212" s="231"/>
      <c r="Z212" s="231"/>
      <c r="AA212" s="231"/>
      <c r="AB212" s="231"/>
      <c r="AC212" s="231"/>
      <c r="AD212" s="231"/>
      <c r="AE212" s="231"/>
    </row>
    <row r="213" spans="1:31" s="203" customFormat="1">
      <c r="A213" s="120">
        <v>11</v>
      </c>
      <c r="B213" s="47" t="s">
        <v>174</v>
      </c>
      <c r="C213" s="47"/>
      <c r="D213" s="47"/>
      <c r="E213" s="49">
        <v>780</v>
      </c>
      <c r="F213" s="52">
        <v>744</v>
      </c>
      <c r="G213" s="118"/>
      <c r="H213" s="99">
        <v>748</v>
      </c>
      <c r="I213" s="118"/>
      <c r="J213" s="231"/>
      <c r="K213" s="231"/>
      <c r="L213" s="231"/>
      <c r="M213" s="231"/>
      <c r="N213" s="231"/>
      <c r="O213" s="231"/>
      <c r="P213" s="231"/>
      <c r="Q213" s="231"/>
      <c r="R213" s="231"/>
      <c r="S213" s="231"/>
      <c r="T213" s="231"/>
      <c r="U213" s="231"/>
      <c r="V213" s="231"/>
      <c r="W213" s="231"/>
      <c r="X213" s="231"/>
      <c r="Y213" s="231"/>
      <c r="Z213" s="231"/>
      <c r="AA213" s="231"/>
      <c r="AB213" s="231"/>
      <c r="AC213" s="231"/>
      <c r="AD213" s="231"/>
      <c r="AE213" s="231"/>
    </row>
    <row r="214" spans="1:31" s="203" customFormat="1">
      <c r="A214" s="120">
        <v>12</v>
      </c>
      <c r="B214" s="116" t="s">
        <v>175</v>
      </c>
      <c r="C214" s="116"/>
      <c r="D214" s="116"/>
      <c r="E214" s="159">
        <v>6278</v>
      </c>
      <c r="F214" s="61">
        <f>F201+F207+SUM(F210:F213)</f>
        <v>6278</v>
      </c>
      <c r="G214" s="118"/>
      <c r="H214" s="61">
        <f>H201+H207+SUM(H210:H213)</f>
        <v>5139</v>
      </c>
      <c r="I214" s="118"/>
      <c r="J214" s="231"/>
      <c r="K214" s="231"/>
      <c r="L214" s="231"/>
      <c r="M214" s="231"/>
      <c r="N214" s="231"/>
      <c r="O214" s="231"/>
      <c r="P214" s="231"/>
      <c r="Q214" s="231"/>
      <c r="R214" s="231"/>
      <c r="S214" s="231"/>
      <c r="T214" s="231"/>
      <c r="U214" s="231"/>
      <c r="V214" s="231"/>
      <c r="W214" s="231"/>
      <c r="X214" s="231"/>
      <c r="Y214" s="231"/>
      <c r="Z214" s="231"/>
      <c r="AA214" s="231"/>
      <c r="AB214" s="231"/>
      <c r="AC214" s="231"/>
      <c r="AD214" s="231"/>
      <c r="AE214" s="231"/>
    </row>
    <row r="215" spans="1:31" s="203" customFormat="1">
      <c r="A215" s="111"/>
      <c r="B215" s="47"/>
      <c r="C215" s="47"/>
      <c r="D215" s="47"/>
      <c r="E215" s="117"/>
      <c r="F215" s="118"/>
      <c r="G215" s="118"/>
      <c r="H215" s="118"/>
      <c r="I215" s="118"/>
      <c r="J215" s="231"/>
      <c r="K215" s="231"/>
      <c r="L215" s="231"/>
      <c r="M215" s="231"/>
      <c r="N215" s="231"/>
      <c r="O215" s="231"/>
      <c r="P215" s="231"/>
      <c r="Q215" s="231"/>
      <c r="R215" s="231"/>
      <c r="S215" s="231"/>
      <c r="T215" s="231"/>
      <c r="U215" s="231"/>
      <c r="V215" s="231"/>
      <c r="W215" s="231"/>
      <c r="X215" s="231"/>
      <c r="Y215" s="231"/>
      <c r="Z215" s="231"/>
      <c r="AA215" s="231"/>
      <c r="AB215" s="231"/>
      <c r="AC215" s="231"/>
      <c r="AD215" s="231"/>
      <c r="AE215" s="231"/>
    </row>
    <row r="216" spans="1:31" s="203" customFormat="1">
      <c r="A216" s="119" t="s">
        <v>176</v>
      </c>
      <c r="B216" s="116"/>
      <c r="C216" s="116"/>
      <c r="D216" s="116"/>
      <c r="E216" s="117"/>
      <c r="F216" s="160"/>
      <c r="G216" s="118"/>
      <c r="H216" s="160"/>
      <c r="I216" s="118"/>
      <c r="J216" s="231"/>
      <c r="K216" s="231"/>
      <c r="L216" s="231"/>
      <c r="M216" s="231"/>
      <c r="N216" s="231"/>
      <c r="O216" s="231"/>
      <c r="P216" s="231"/>
      <c r="Q216" s="231"/>
      <c r="R216" s="231"/>
      <c r="S216" s="231"/>
      <c r="T216" s="231"/>
      <c r="U216" s="231"/>
      <c r="V216" s="231"/>
      <c r="W216" s="231"/>
      <c r="X216" s="231"/>
      <c r="Y216" s="231"/>
      <c r="Z216" s="231"/>
      <c r="AA216" s="231"/>
      <c r="AB216" s="231"/>
      <c r="AC216" s="231"/>
      <c r="AD216" s="231"/>
      <c r="AE216" s="231"/>
    </row>
    <row r="217" spans="1:31" s="203" customFormat="1">
      <c r="A217" s="120">
        <v>13</v>
      </c>
      <c r="B217" s="47" t="s">
        <v>177</v>
      </c>
      <c r="C217" s="47"/>
      <c r="D217" s="47"/>
      <c r="E217" s="41">
        <v>100</v>
      </c>
      <c r="F217" s="121">
        <v>101</v>
      </c>
      <c r="G217" s="118"/>
      <c r="H217" s="169">
        <v>102</v>
      </c>
      <c r="I217" s="118"/>
      <c r="J217" s="231"/>
      <c r="K217" s="231"/>
      <c r="L217" s="231"/>
      <c r="M217" s="231"/>
      <c r="N217" s="231"/>
      <c r="O217" s="231"/>
      <c r="P217" s="231"/>
      <c r="Q217" s="231"/>
      <c r="R217" s="231"/>
      <c r="S217" s="231"/>
      <c r="T217" s="231"/>
      <c r="U217" s="231"/>
      <c r="V217" s="231"/>
      <c r="W217" s="231"/>
      <c r="X217" s="231"/>
      <c r="Y217" s="231"/>
      <c r="Z217" s="231"/>
      <c r="AA217" s="231"/>
      <c r="AB217" s="231"/>
      <c r="AC217" s="231"/>
      <c r="AD217" s="231"/>
      <c r="AE217" s="231"/>
    </row>
    <row r="218" spans="1:31" s="203" customFormat="1">
      <c r="A218" s="124">
        <v>14</v>
      </c>
      <c r="B218" s="54" t="s">
        <v>178</v>
      </c>
      <c r="C218" s="54"/>
      <c r="D218" s="54"/>
      <c r="E218" s="56">
        <v>456</v>
      </c>
      <c r="F218" s="126">
        <v>386</v>
      </c>
      <c r="G218" s="118"/>
      <c r="H218" s="100">
        <v>359</v>
      </c>
      <c r="I218" s="118"/>
      <c r="J218" s="231"/>
      <c r="K218" s="231"/>
      <c r="L218" s="231"/>
      <c r="M218" s="231"/>
      <c r="N218" s="231"/>
      <c r="O218" s="231"/>
      <c r="P218" s="231"/>
      <c r="Q218" s="231"/>
      <c r="R218" s="231"/>
      <c r="S218" s="231"/>
      <c r="T218" s="231"/>
      <c r="U218" s="231"/>
      <c r="V218" s="231"/>
      <c r="W218" s="231"/>
      <c r="X218" s="231"/>
      <c r="Y218" s="231"/>
      <c r="Z218" s="231"/>
      <c r="AA218" s="231"/>
      <c r="AB218" s="231"/>
      <c r="AC218" s="231"/>
      <c r="AD218" s="231"/>
      <c r="AE218" s="231"/>
    </row>
    <row r="219" spans="1:31" s="203" customFormat="1">
      <c r="A219" s="148"/>
      <c r="B219" s="29"/>
      <c r="C219" s="29"/>
      <c r="D219" s="170"/>
      <c r="E219" s="171"/>
      <c r="F219" s="29"/>
      <c r="G219" s="29"/>
      <c r="H219" s="207"/>
      <c r="I219" s="29"/>
      <c r="J219" s="231"/>
      <c r="K219" s="231"/>
      <c r="L219" s="231"/>
      <c r="M219" s="231"/>
      <c r="N219" s="231"/>
      <c r="O219" s="231"/>
      <c r="P219" s="231"/>
      <c r="Q219" s="231"/>
      <c r="R219" s="231"/>
      <c r="S219" s="231"/>
      <c r="T219" s="231"/>
      <c r="U219" s="231"/>
      <c r="V219" s="231"/>
      <c r="W219" s="231"/>
      <c r="X219" s="231"/>
      <c r="Y219" s="231"/>
      <c r="Z219" s="231"/>
      <c r="AA219" s="231"/>
      <c r="AB219" s="231"/>
      <c r="AC219" s="231"/>
      <c r="AD219" s="231"/>
      <c r="AE219" s="231"/>
    </row>
    <row r="220" spans="1:31" s="203" customFormat="1">
      <c r="A220" s="148"/>
      <c r="B220" s="29"/>
      <c r="C220" s="29"/>
      <c r="D220" s="172"/>
      <c r="E220" s="152"/>
      <c r="F220" s="29"/>
      <c r="G220" s="29"/>
      <c r="H220" s="131" t="s">
        <v>27</v>
      </c>
      <c r="I220" s="29"/>
      <c r="J220" s="231"/>
      <c r="K220" s="231"/>
      <c r="L220" s="231"/>
      <c r="M220" s="231"/>
      <c r="N220" s="231"/>
      <c r="O220" s="231"/>
      <c r="P220" s="231"/>
      <c r="Q220" s="231"/>
      <c r="R220" s="231"/>
      <c r="S220" s="231"/>
      <c r="T220" s="231"/>
      <c r="U220" s="231"/>
      <c r="V220" s="231"/>
      <c r="W220" s="231"/>
      <c r="X220" s="231"/>
      <c r="Y220" s="231"/>
      <c r="Z220" s="231"/>
      <c r="AA220" s="231"/>
      <c r="AB220" s="231"/>
      <c r="AC220" s="231"/>
      <c r="AD220" s="231"/>
      <c r="AE220" s="231"/>
    </row>
    <row r="221" spans="1:31" s="203" customFormat="1" ht="12.75" customHeight="1">
      <c r="A221" s="106" t="s">
        <v>10</v>
      </c>
      <c r="B221" s="164"/>
      <c r="C221" s="164"/>
      <c r="D221" s="164"/>
      <c r="E221" s="856" t="s">
        <v>377</v>
      </c>
      <c r="F221" s="856" t="s">
        <v>402</v>
      </c>
      <c r="G221" s="130"/>
      <c r="H221" s="856" t="s">
        <v>403</v>
      </c>
      <c r="I221" s="130"/>
      <c r="J221" s="231"/>
      <c r="K221" s="231"/>
      <c r="L221" s="231"/>
      <c r="M221" s="231"/>
      <c r="N221" s="231"/>
      <c r="O221" s="231"/>
      <c r="P221" s="231"/>
      <c r="Q221" s="231"/>
      <c r="R221" s="231"/>
      <c r="S221" s="231"/>
      <c r="T221" s="231"/>
      <c r="U221" s="231"/>
      <c r="V221" s="231"/>
      <c r="W221" s="231"/>
      <c r="X221" s="231"/>
      <c r="Y221" s="231"/>
      <c r="Z221" s="231"/>
      <c r="AA221" s="231"/>
      <c r="AB221" s="231"/>
      <c r="AC221" s="231"/>
      <c r="AD221" s="231"/>
      <c r="AE221" s="231"/>
    </row>
    <row r="222" spans="1:31" s="203" customFormat="1">
      <c r="A222" s="109"/>
      <c r="B222" s="132"/>
      <c r="C222" s="132"/>
      <c r="D222" s="132"/>
      <c r="E222" s="859"/>
      <c r="F222" s="859"/>
      <c r="G222" s="130"/>
      <c r="H222" s="859"/>
      <c r="I222" s="130"/>
      <c r="J222" s="231"/>
      <c r="K222" s="231"/>
      <c r="L222" s="231"/>
      <c r="M222" s="231"/>
      <c r="N222" s="231"/>
      <c r="O222" s="231"/>
      <c r="P222" s="231"/>
      <c r="Q222" s="231"/>
      <c r="R222" s="231"/>
      <c r="S222" s="231"/>
      <c r="T222" s="231"/>
      <c r="U222" s="231"/>
      <c r="V222" s="231"/>
      <c r="W222" s="231"/>
      <c r="X222" s="231"/>
      <c r="Y222" s="231"/>
      <c r="Z222" s="231"/>
      <c r="AA222" s="231"/>
      <c r="AB222" s="231"/>
      <c r="AC222" s="231"/>
      <c r="AD222" s="231"/>
      <c r="AE222" s="231"/>
    </row>
    <row r="223" spans="1:31" s="203" customFormat="1">
      <c r="A223" s="154" t="s">
        <v>179</v>
      </c>
      <c r="B223" s="116"/>
      <c r="C223" s="116"/>
      <c r="D223" s="116"/>
      <c r="E223" s="859"/>
      <c r="F223" s="859"/>
      <c r="G223" s="130"/>
      <c r="H223" s="859"/>
      <c r="I223" s="130"/>
      <c r="J223" s="231"/>
      <c r="K223" s="231"/>
      <c r="L223" s="231"/>
      <c r="M223" s="231"/>
      <c r="N223" s="231"/>
      <c r="O223" s="231"/>
      <c r="P223" s="231"/>
      <c r="Q223" s="231"/>
      <c r="R223" s="231"/>
      <c r="S223" s="231"/>
      <c r="T223" s="231"/>
      <c r="U223" s="231"/>
      <c r="V223" s="231"/>
      <c r="W223" s="231"/>
      <c r="X223" s="231"/>
      <c r="Y223" s="231"/>
      <c r="Z223" s="231"/>
      <c r="AA223" s="231"/>
      <c r="AB223" s="231"/>
      <c r="AC223" s="231"/>
      <c r="AD223" s="231"/>
      <c r="AE223" s="231"/>
    </row>
    <row r="224" spans="1:31" s="203" customFormat="1">
      <c r="A224" s="109" t="s">
        <v>83</v>
      </c>
      <c r="B224" s="47"/>
      <c r="C224" s="47"/>
      <c r="D224" s="47"/>
      <c r="E224" s="859"/>
      <c r="F224" s="859"/>
      <c r="G224" s="130"/>
      <c r="H224" s="859"/>
      <c r="I224" s="130"/>
      <c r="J224" s="231"/>
      <c r="K224" s="231"/>
      <c r="L224" s="231"/>
      <c r="M224" s="231"/>
      <c r="N224" s="231"/>
      <c r="O224" s="231"/>
      <c r="P224" s="231"/>
      <c r="Q224" s="231"/>
      <c r="R224" s="231"/>
      <c r="S224" s="231"/>
      <c r="T224" s="231"/>
      <c r="U224" s="231"/>
      <c r="V224" s="231"/>
      <c r="W224" s="231"/>
      <c r="X224" s="231"/>
      <c r="Y224" s="231"/>
      <c r="Z224" s="231"/>
      <c r="AA224" s="231"/>
      <c r="AB224" s="231"/>
      <c r="AC224" s="231"/>
      <c r="AD224" s="231"/>
      <c r="AE224" s="231"/>
    </row>
    <row r="225" spans="1:31" s="203" customFormat="1">
      <c r="A225" s="110" t="s">
        <v>84</v>
      </c>
      <c r="B225" s="132"/>
      <c r="C225" s="132"/>
      <c r="D225" s="132"/>
      <c r="E225" s="860"/>
      <c r="F225" s="860"/>
      <c r="G225" s="130"/>
      <c r="H225" s="860"/>
      <c r="I225" s="130"/>
      <c r="J225" s="231"/>
      <c r="K225" s="231"/>
      <c r="L225" s="231"/>
      <c r="M225" s="231"/>
      <c r="N225" s="231"/>
      <c r="O225" s="231"/>
      <c r="P225" s="231"/>
      <c r="Q225" s="231"/>
      <c r="R225" s="231"/>
      <c r="S225" s="231"/>
      <c r="T225" s="231"/>
      <c r="U225" s="231"/>
      <c r="V225" s="231"/>
      <c r="W225" s="231"/>
      <c r="X225" s="231"/>
      <c r="Y225" s="231"/>
      <c r="Z225" s="231"/>
      <c r="AA225" s="231"/>
      <c r="AB225" s="231"/>
      <c r="AC225" s="231"/>
      <c r="AD225" s="231"/>
      <c r="AE225" s="231"/>
    </row>
    <row r="226" spans="1:31" s="203" customFormat="1">
      <c r="A226" s="120">
        <v>1</v>
      </c>
      <c r="B226" s="47" t="s">
        <v>180</v>
      </c>
      <c r="C226" s="47"/>
      <c r="D226" s="47"/>
      <c r="E226" s="41">
        <v>275</v>
      </c>
      <c r="F226" s="52">
        <v>279</v>
      </c>
      <c r="G226" s="118"/>
      <c r="H226" s="133">
        <v>238</v>
      </c>
      <c r="I226" s="29"/>
      <c r="J226" s="231"/>
      <c r="K226" s="231"/>
      <c r="L226" s="231"/>
      <c r="M226" s="231"/>
      <c r="N226" s="231"/>
      <c r="O226" s="231"/>
      <c r="P226" s="231"/>
      <c r="Q226" s="231"/>
      <c r="R226" s="231"/>
      <c r="S226" s="231"/>
      <c r="T226" s="231"/>
      <c r="U226" s="231"/>
      <c r="V226" s="231"/>
      <c r="W226" s="231"/>
      <c r="X226" s="231"/>
      <c r="Y226" s="231"/>
      <c r="Z226" s="231"/>
      <c r="AA226" s="231"/>
      <c r="AB226" s="231"/>
      <c r="AC226" s="231"/>
      <c r="AD226" s="231"/>
      <c r="AE226" s="231"/>
    </row>
    <row r="227" spans="1:31" s="203" customFormat="1">
      <c r="A227" s="120">
        <v>2</v>
      </c>
      <c r="B227" s="47" t="s">
        <v>181</v>
      </c>
      <c r="C227" s="47"/>
      <c r="D227" s="47"/>
      <c r="E227" s="49">
        <v>292</v>
      </c>
      <c r="F227" s="52">
        <v>296</v>
      </c>
      <c r="G227" s="118"/>
      <c r="H227" s="122">
        <v>226</v>
      </c>
      <c r="I227" s="29"/>
      <c r="J227" s="231"/>
      <c r="K227" s="231"/>
      <c r="L227" s="231"/>
      <c r="M227" s="231"/>
      <c r="N227" s="231"/>
      <c r="O227" s="231"/>
      <c r="P227" s="231"/>
      <c r="Q227" s="231"/>
      <c r="R227" s="231"/>
      <c r="S227" s="231"/>
      <c r="T227" s="231"/>
      <c r="U227" s="231"/>
      <c r="V227" s="231"/>
      <c r="W227" s="231"/>
      <c r="X227" s="231"/>
      <c r="Y227" s="231"/>
      <c r="Z227" s="231"/>
      <c r="AA227" s="231"/>
      <c r="AB227" s="231"/>
      <c r="AC227" s="231"/>
      <c r="AD227" s="231"/>
      <c r="AE227" s="231"/>
    </row>
    <row r="228" spans="1:31" s="203" customFormat="1">
      <c r="A228" s="120">
        <v>3</v>
      </c>
      <c r="B228" s="47" t="s">
        <v>182</v>
      </c>
      <c r="C228" s="47"/>
      <c r="D228" s="47"/>
      <c r="E228" s="114">
        <v>322</v>
      </c>
      <c r="F228" s="52">
        <v>333</v>
      </c>
      <c r="G228" s="118"/>
      <c r="H228" s="122">
        <v>344</v>
      </c>
      <c r="I228" s="29"/>
      <c r="J228" s="231"/>
      <c r="K228" s="231"/>
      <c r="L228" s="231"/>
      <c r="M228" s="231"/>
      <c r="N228" s="231"/>
      <c r="O228" s="231"/>
      <c r="P228" s="231"/>
      <c r="Q228" s="231"/>
      <c r="R228" s="231"/>
      <c r="S228" s="231"/>
      <c r="T228" s="231"/>
      <c r="U228" s="231"/>
      <c r="V228" s="231"/>
      <c r="W228" s="231"/>
      <c r="X228" s="231"/>
      <c r="Y228" s="231"/>
      <c r="Z228" s="231"/>
      <c r="AA228" s="231"/>
      <c r="AB228" s="231"/>
      <c r="AC228" s="231"/>
      <c r="AD228" s="231"/>
      <c r="AE228" s="231"/>
    </row>
    <row r="229" spans="1:31" s="203" customFormat="1">
      <c r="A229" s="120">
        <v>4</v>
      </c>
      <c r="B229" s="47" t="s">
        <v>183</v>
      </c>
      <c r="C229" s="47"/>
      <c r="D229" s="47"/>
      <c r="E229" s="114">
        <v>-215</v>
      </c>
      <c r="F229" s="52">
        <v>-221</v>
      </c>
      <c r="G229" s="118"/>
      <c r="H229" s="122">
        <v>-219</v>
      </c>
      <c r="I229" s="29"/>
      <c r="J229" s="231"/>
      <c r="K229" s="231"/>
      <c r="L229" s="231"/>
      <c r="M229" s="231"/>
      <c r="N229" s="231"/>
      <c r="O229" s="231"/>
      <c r="P229" s="231"/>
      <c r="Q229" s="231"/>
      <c r="R229" s="231"/>
      <c r="S229" s="231"/>
      <c r="T229" s="231"/>
      <c r="U229" s="231"/>
      <c r="V229" s="231"/>
      <c r="W229" s="231"/>
      <c r="X229" s="231"/>
      <c r="Y229" s="231"/>
      <c r="Z229" s="231"/>
      <c r="AA229" s="231"/>
      <c r="AB229" s="231"/>
      <c r="AC229" s="231"/>
      <c r="AD229" s="231"/>
      <c r="AE229" s="231"/>
    </row>
    <row r="230" spans="1:31" s="203" customFormat="1">
      <c r="A230" s="120">
        <v>5</v>
      </c>
      <c r="B230" s="47" t="s">
        <v>184</v>
      </c>
      <c r="C230" s="47"/>
      <c r="D230" s="47"/>
      <c r="E230" s="114">
        <v>2162</v>
      </c>
      <c r="F230" s="52">
        <v>2551</v>
      </c>
      <c r="G230" s="118"/>
      <c r="H230" s="99">
        <v>2187</v>
      </c>
      <c r="I230" s="29"/>
      <c r="J230" s="231"/>
      <c r="K230" s="231"/>
      <c r="L230" s="231"/>
      <c r="M230" s="231"/>
      <c r="N230" s="231"/>
      <c r="O230" s="231"/>
      <c r="P230" s="231"/>
      <c r="Q230" s="231"/>
      <c r="R230" s="231"/>
      <c r="S230" s="231"/>
      <c r="T230" s="231"/>
      <c r="U230" s="231"/>
      <c r="V230" s="231"/>
      <c r="W230" s="231"/>
      <c r="X230" s="231"/>
      <c r="Y230" s="231"/>
      <c r="Z230" s="231"/>
      <c r="AA230" s="231"/>
      <c r="AB230" s="231"/>
      <c r="AC230" s="231"/>
      <c r="AD230" s="231"/>
      <c r="AE230" s="231"/>
    </row>
    <row r="231" spans="1:31" s="203" customFormat="1">
      <c r="A231" s="124">
        <v>6</v>
      </c>
      <c r="B231" s="173" t="s">
        <v>185</v>
      </c>
      <c r="C231" s="173"/>
      <c r="D231" s="173"/>
      <c r="E231" s="159">
        <v>2836</v>
      </c>
      <c r="F231" s="61">
        <f>SUM(F226:F230)</f>
        <v>3238</v>
      </c>
      <c r="G231" s="118"/>
      <c r="H231" s="61">
        <f>SUM(H226:H230)</f>
        <v>2776</v>
      </c>
      <c r="I231" s="29"/>
      <c r="J231" s="231"/>
      <c r="K231" s="231"/>
      <c r="L231" s="231"/>
      <c r="M231" s="231"/>
      <c r="N231" s="231"/>
      <c r="O231" s="231"/>
      <c r="P231" s="231"/>
      <c r="Q231" s="231"/>
      <c r="R231" s="231"/>
      <c r="S231" s="231"/>
      <c r="T231" s="231"/>
      <c r="U231" s="231"/>
      <c r="V231" s="231"/>
      <c r="W231" s="231"/>
      <c r="X231" s="231"/>
      <c r="Y231" s="231"/>
      <c r="Z231" s="231"/>
      <c r="AA231" s="231"/>
      <c r="AB231" s="231"/>
      <c r="AC231" s="231"/>
      <c r="AD231" s="231"/>
      <c r="AE231" s="231"/>
    </row>
    <row r="232" spans="1:31" s="203" customFormat="1">
      <c r="A232" s="148"/>
      <c r="B232" s="29"/>
      <c r="C232" s="29"/>
      <c r="D232" s="170"/>
      <c r="E232" s="150"/>
      <c r="F232" s="29"/>
      <c r="G232" s="29"/>
      <c r="H232" s="207"/>
      <c r="I232" s="29"/>
      <c r="J232" s="231"/>
      <c r="K232" s="231"/>
      <c r="L232" s="231"/>
      <c r="M232" s="231"/>
      <c r="N232" s="231"/>
      <c r="O232" s="231"/>
      <c r="P232" s="231"/>
      <c r="Q232" s="231"/>
      <c r="R232" s="231"/>
      <c r="S232" s="231"/>
      <c r="T232" s="231"/>
      <c r="U232" s="231"/>
      <c r="V232" s="231"/>
      <c r="W232" s="231"/>
      <c r="X232" s="231"/>
      <c r="Y232" s="231"/>
      <c r="Z232" s="231"/>
      <c r="AA232" s="231"/>
      <c r="AB232" s="231"/>
      <c r="AC232" s="231"/>
      <c r="AD232" s="231"/>
      <c r="AE232" s="231"/>
    </row>
    <row r="233" spans="1:31" s="203" customFormat="1">
      <c r="A233" s="148"/>
      <c r="B233" s="29"/>
      <c r="C233" s="29"/>
      <c r="D233" s="172"/>
      <c r="E233" s="152"/>
      <c r="F233" s="29"/>
      <c r="G233" s="29"/>
      <c r="H233" s="131" t="s">
        <v>27</v>
      </c>
      <c r="I233" s="29"/>
      <c r="J233" s="231"/>
      <c r="K233" s="231"/>
      <c r="L233" s="231"/>
      <c r="M233" s="231"/>
      <c r="N233" s="231"/>
      <c r="O233" s="231"/>
      <c r="P233" s="231"/>
      <c r="Q233" s="231"/>
      <c r="R233" s="231"/>
      <c r="S233" s="231"/>
      <c r="T233" s="231"/>
      <c r="U233" s="231"/>
      <c r="V233" s="231"/>
      <c r="W233" s="231"/>
      <c r="X233" s="231"/>
      <c r="Y233" s="231"/>
      <c r="Z233" s="231"/>
      <c r="AA233" s="231"/>
      <c r="AB233" s="231"/>
      <c r="AC233" s="231"/>
      <c r="AD233" s="231"/>
      <c r="AE233" s="231"/>
    </row>
    <row r="234" spans="1:31" s="203" customFormat="1" ht="12.75" customHeight="1">
      <c r="A234" s="106" t="s">
        <v>12</v>
      </c>
      <c r="B234" s="164"/>
      <c r="C234" s="164"/>
      <c r="D234" s="164"/>
      <c r="E234" s="856" t="s">
        <v>377</v>
      </c>
      <c r="F234" s="856" t="s">
        <v>402</v>
      </c>
      <c r="G234" s="130"/>
      <c r="H234" s="856" t="s">
        <v>403</v>
      </c>
      <c r="I234" s="130"/>
      <c r="J234" s="231"/>
      <c r="K234" s="231"/>
      <c r="L234" s="231"/>
      <c r="M234" s="231"/>
      <c r="N234" s="231"/>
      <c r="O234" s="231"/>
      <c r="P234" s="231"/>
      <c r="Q234" s="231"/>
      <c r="R234" s="231"/>
      <c r="S234" s="231"/>
      <c r="T234" s="231"/>
      <c r="U234" s="231"/>
      <c r="V234" s="231"/>
      <c r="W234" s="231"/>
      <c r="X234" s="231"/>
      <c r="Y234" s="231"/>
      <c r="Z234" s="231"/>
      <c r="AA234" s="231"/>
      <c r="AB234" s="231"/>
      <c r="AC234" s="231"/>
      <c r="AD234" s="231"/>
      <c r="AE234" s="231"/>
    </row>
    <row r="235" spans="1:31" s="203" customFormat="1">
      <c r="A235" s="165"/>
      <c r="B235" s="47"/>
      <c r="C235" s="47"/>
      <c r="D235" s="47"/>
      <c r="E235" s="859"/>
      <c r="F235" s="859"/>
      <c r="G235" s="130"/>
      <c r="H235" s="859"/>
      <c r="I235" s="130"/>
      <c r="J235" s="231"/>
      <c r="K235" s="231"/>
      <c r="L235" s="231"/>
      <c r="M235" s="231"/>
      <c r="N235" s="231"/>
      <c r="O235" s="231"/>
      <c r="P235" s="231"/>
      <c r="Q235" s="231"/>
      <c r="R235" s="231"/>
      <c r="S235" s="231"/>
      <c r="T235" s="231"/>
      <c r="U235" s="231"/>
      <c r="V235" s="231"/>
      <c r="W235" s="231"/>
      <c r="X235" s="231"/>
      <c r="Y235" s="231"/>
      <c r="Z235" s="231"/>
      <c r="AA235" s="231"/>
      <c r="AB235" s="231"/>
      <c r="AC235" s="231"/>
      <c r="AD235" s="231"/>
      <c r="AE235" s="231"/>
    </row>
    <row r="236" spans="1:31" s="203" customFormat="1">
      <c r="A236" s="154" t="s">
        <v>186</v>
      </c>
      <c r="B236" s="174"/>
      <c r="C236" s="174"/>
      <c r="D236" s="174"/>
      <c r="E236" s="859"/>
      <c r="F236" s="859"/>
      <c r="G236" s="130"/>
      <c r="H236" s="859"/>
      <c r="I236" s="130"/>
      <c r="J236" s="231"/>
      <c r="K236" s="231"/>
      <c r="L236" s="231"/>
      <c r="M236" s="231"/>
      <c r="N236" s="231"/>
      <c r="O236" s="231"/>
      <c r="P236" s="231"/>
      <c r="Q236" s="231"/>
      <c r="R236" s="231"/>
      <c r="S236" s="231"/>
      <c r="T236" s="231"/>
      <c r="U236" s="231"/>
      <c r="V236" s="231"/>
      <c r="W236" s="231"/>
      <c r="X236" s="231"/>
      <c r="Y236" s="231"/>
      <c r="Z236" s="231"/>
      <c r="AA236" s="231"/>
      <c r="AB236" s="231"/>
      <c r="AC236" s="231"/>
      <c r="AD236" s="231"/>
      <c r="AE236" s="231"/>
    </row>
    <row r="237" spans="1:31" s="203" customFormat="1">
      <c r="A237" s="109" t="s">
        <v>83</v>
      </c>
      <c r="B237" s="47"/>
      <c r="C237" s="47"/>
      <c r="D237" s="47"/>
      <c r="E237" s="859"/>
      <c r="F237" s="859"/>
      <c r="G237" s="130"/>
      <c r="H237" s="859"/>
      <c r="I237" s="130"/>
      <c r="J237" s="231"/>
      <c r="K237" s="231"/>
      <c r="L237" s="231"/>
      <c r="M237" s="231"/>
      <c r="N237" s="231"/>
      <c r="O237" s="231"/>
      <c r="P237" s="231"/>
      <c r="Q237" s="231"/>
      <c r="R237" s="231"/>
      <c r="S237" s="231"/>
      <c r="T237" s="231"/>
      <c r="U237" s="231"/>
      <c r="V237" s="231"/>
      <c r="W237" s="231"/>
      <c r="X237" s="231"/>
      <c r="Y237" s="231"/>
      <c r="Z237" s="231"/>
      <c r="AA237" s="231"/>
      <c r="AB237" s="231"/>
      <c r="AC237" s="231"/>
      <c r="AD237" s="231"/>
      <c r="AE237" s="231"/>
    </row>
    <row r="238" spans="1:31" s="203" customFormat="1">
      <c r="A238" s="110" t="s">
        <v>84</v>
      </c>
      <c r="B238" s="174"/>
      <c r="C238" s="174"/>
      <c r="D238" s="174"/>
      <c r="E238" s="860"/>
      <c r="F238" s="860"/>
      <c r="G238" s="130"/>
      <c r="H238" s="860"/>
      <c r="I238" s="130"/>
      <c r="J238" s="231"/>
      <c r="K238" s="231"/>
      <c r="L238" s="231"/>
      <c r="M238" s="231"/>
      <c r="N238" s="231"/>
      <c r="O238" s="231"/>
      <c r="P238" s="231"/>
      <c r="Q238" s="231"/>
      <c r="R238" s="231"/>
      <c r="S238" s="231"/>
      <c r="T238" s="231"/>
      <c r="U238" s="231"/>
      <c r="V238" s="231"/>
      <c r="W238" s="231"/>
      <c r="X238" s="231"/>
      <c r="Y238" s="231"/>
      <c r="Z238" s="231"/>
      <c r="AA238" s="231"/>
      <c r="AB238" s="231"/>
      <c r="AC238" s="231"/>
      <c r="AD238" s="231"/>
      <c r="AE238" s="231"/>
    </row>
    <row r="239" spans="1:31" s="203" customFormat="1">
      <c r="A239" s="153" t="s">
        <v>187</v>
      </c>
      <c r="B239" s="116"/>
      <c r="C239" s="116"/>
      <c r="D239" s="116"/>
      <c r="E239" s="167"/>
      <c r="F239" s="146"/>
      <c r="G239" s="118"/>
      <c r="H239" s="146"/>
      <c r="I239" s="29"/>
      <c r="J239" s="231"/>
      <c r="K239" s="231"/>
      <c r="L239" s="231"/>
      <c r="M239" s="231"/>
      <c r="N239" s="231"/>
      <c r="O239" s="231"/>
      <c r="P239" s="231"/>
      <c r="Q239" s="231"/>
      <c r="R239" s="231"/>
      <c r="S239" s="231"/>
      <c r="T239" s="231"/>
      <c r="U239" s="231"/>
      <c r="V239" s="231"/>
      <c r="W239" s="231"/>
      <c r="X239" s="231"/>
      <c r="Y239" s="231"/>
      <c r="Z239" s="231"/>
      <c r="AA239" s="231"/>
      <c r="AB239" s="231"/>
      <c r="AC239" s="231"/>
      <c r="AD239" s="231"/>
      <c r="AE239" s="231"/>
    </row>
    <row r="240" spans="1:31" s="203" customFormat="1">
      <c r="A240" s="120">
        <v>1</v>
      </c>
      <c r="B240" s="47" t="s">
        <v>188</v>
      </c>
      <c r="C240" s="47"/>
      <c r="D240" s="47"/>
      <c r="E240" s="74">
        <v>650</v>
      </c>
      <c r="F240" s="52">
        <v>607</v>
      </c>
      <c r="G240" s="118"/>
      <c r="H240" s="122">
        <v>685</v>
      </c>
      <c r="I240" s="29"/>
      <c r="J240" s="231"/>
      <c r="K240" s="231"/>
      <c r="L240" s="231"/>
      <c r="M240" s="231"/>
      <c r="N240" s="231"/>
      <c r="O240" s="231"/>
      <c r="P240" s="231"/>
      <c r="Q240" s="231"/>
      <c r="R240" s="231"/>
      <c r="S240" s="231"/>
      <c r="T240" s="231"/>
      <c r="U240" s="231"/>
      <c r="V240" s="231"/>
      <c r="W240" s="231"/>
      <c r="X240" s="231"/>
      <c r="Y240" s="231"/>
      <c r="Z240" s="231"/>
      <c r="AA240" s="231"/>
      <c r="AB240" s="231"/>
      <c r="AC240" s="231"/>
      <c r="AD240" s="231"/>
      <c r="AE240" s="231"/>
    </row>
    <row r="241" spans="1:31" s="203" customFormat="1">
      <c r="A241" s="439">
        <v>2</v>
      </c>
      <c r="B241" s="47" t="s">
        <v>189</v>
      </c>
      <c r="C241" s="47"/>
      <c r="D241" s="47"/>
      <c r="E241" s="114">
        <v>631</v>
      </c>
      <c r="F241" s="52">
        <v>593</v>
      </c>
      <c r="G241" s="118"/>
      <c r="H241" s="100">
        <v>571</v>
      </c>
      <c r="I241" s="29"/>
      <c r="J241" s="231"/>
      <c r="K241" s="231"/>
      <c r="L241" s="231"/>
      <c r="M241" s="231"/>
      <c r="N241" s="231"/>
      <c r="O241" s="231"/>
      <c r="P241" s="231"/>
      <c r="Q241" s="231"/>
      <c r="R241" s="231"/>
      <c r="S241" s="231"/>
      <c r="T241" s="231"/>
      <c r="U241" s="231"/>
      <c r="V241" s="231"/>
      <c r="W241" s="231"/>
      <c r="X241" s="231"/>
      <c r="Y241" s="231"/>
      <c r="Z241" s="231"/>
      <c r="AA241" s="231"/>
      <c r="AB241" s="231"/>
      <c r="AC241" s="231"/>
      <c r="AD241" s="231"/>
      <c r="AE241" s="231"/>
    </row>
    <row r="242" spans="1:31" s="203" customFormat="1">
      <c r="A242" s="439">
        <v>3</v>
      </c>
      <c r="B242" s="168" t="s">
        <v>190</v>
      </c>
      <c r="C242" s="168"/>
      <c r="D242" s="168"/>
      <c r="E242" s="80">
        <v>1281</v>
      </c>
      <c r="F242" s="142">
        <f>SUM(F240:F241)</f>
        <v>1200</v>
      </c>
      <c r="G242" s="118"/>
      <c r="H242" s="142">
        <f>SUM(H240:H241)</f>
        <v>1256</v>
      </c>
      <c r="I242" s="29"/>
      <c r="J242" s="231"/>
      <c r="K242" s="231"/>
      <c r="L242" s="231"/>
      <c r="M242" s="231"/>
      <c r="N242" s="231"/>
      <c r="O242" s="231"/>
      <c r="P242" s="231"/>
      <c r="Q242" s="231"/>
      <c r="R242" s="231"/>
      <c r="S242" s="231"/>
      <c r="T242" s="231"/>
      <c r="U242" s="231"/>
      <c r="V242" s="231"/>
      <c r="W242" s="231"/>
      <c r="X242" s="231"/>
      <c r="Y242" s="231"/>
      <c r="Z242" s="231"/>
      <c r="AA242" s="231"/>
      <c r="AB242" s="231"/>
      <c r="AC242" s="231"/>
      <c r="AD242" s="231"/>
      <c r="AE242" s="231"/>
    </row>
    <row r="243" spans="1:31" s="203" customFormat="1">
      <c r="A243" s="439"/>
      <c r="B243" s="116"/>
      <c r="C243" s="116"/>
      <c r="D243" s="116"/>
      <c r="E243" s="117"/>
      <c r="F243" s="118"/>
      <c r="G243" s="118"/>
      <c r="H243" s="118"/>
      <c r="I243" s="29"/>
      <c r="J243" s="231"/>
      <c r="K243" s="231"/>
      <c r="L243" s="231"/>
      <c r="M243" s="231"/>
      <c r="N243" s="231"/>
      <c r="O243" s="231"/>
      <c r="P243" s="231"/>
      <c r="Q243" s="231"/>
      <c r="R243" s="231"/>
      <c r="S243" s="231"/>
      <c r="T243" s="231"/>
      <c r="U243" s="231"/>
      <c r="V243" s="231"/>
      <c r="W243" s="231"/>
      <c r="X243" s="231"/>
      <c r="Y243" s="231"/>
      <c r="Z243" s="231"/>
      <c r="AA243" s="231"/>
      <c r="AB243" s="231"/>
      <c r="AC243" s="231"/>
      <c r="AD243" s="231"/>
      <c r="AE243" s="231"/>
    </row>
    <row r="244" spans="1:31" s="203" customFormat="1">
      <c r="A244" s="108" t="s">
        <v>191</v>
      </c>
      <c r="B244" s="47"/>
      <c r="C244" s="47"/>
      <c r="D244" s="47"/>
      <c r="E244" s="140"/>
      <c r="F244" s="146"/>
      <c r="G244" s="118"/>
      <c r="H244" s="146"/>
      <c r="I244" s="29"/>
      <c r="J244" s="231"/>
      <c r="K244" s="231"/>
      <c r="L244" s="231"/>
      <c r="M244" s="231"/>
      <c r="N244" s="231"/>
      <c r="O244" s="231"/>
      <c r="P244" s="231"/>
      <c r="Q244" s="231"/>
      <c r="R244" s="231"/>
      <c r="S244" s="231"/>
      <c r="T244" s="231"/>
      <c r="U244" s="231"/>
      <c r="V244" s="231"/>
      <c r="W244" s="231"/>
      <c r="X244" s="231"/>
      <c r="Y244" s="231"/>
      <c r="Z244" s="231"/>
      <c r="AA244" s="231"/>
      <c r="AB244" s="231"/>
      <c r="AC244" s="231"/>
      <c r="AD244" s="231"/>
      <c r="AE244" s="231"/>
    </row>
    <row r="245" spans="1:31" s="203" customFormat="1">
      <c r="A245" s="439">
        <v>4</v>
      </c>
      <c r="B245" s="47" t="s">
        <v>192</v>
      </c>
      <c r="C245" s="47"/>
      <c r="D245" s="47"/>
      <c r="E245" s="74">
        <v>0</v>
      </c>
      <c r="F245" s="52">
        <v>0</v>
      </c>
      <c r="G245" s="118"/>
      <c r="H245" s="122">
        <v>0</v>
      </c>
      <c r="I245" s="29"/>
      <c r="J245" s="231"/>
      <c r="K245" s="231"/>
      <c r="L245" s="231"/>
      <c r="M245" s="231"/>
      <c r="N245" s="231"/>
      <c r="O245" s="231"/>
      <c r="P245" s="231"/>
      <c r="Q245" s="231"/>
      <c r="R245" s="231"/>
      <c r="S245" s="231"/>
      <c r="T245" s="231"/>
      <c r="U245" s="231"/>
      <c r="V245" s="231"/>
      <c r="W245" s="231"/>
      <c r="X245" s="231"/>
      <c r="Y245" s="231"/>
      <c r="Z245" s="231"/>
      <c r="AA245" s="231"/>
      <c r="AB245" s="231"/>
      <c r="AC245" s="231"/>
      <c r="AD245" s="231"/>
      <c r="AE245" s="231"/>
    </row>
    <row r="246" spans="1:31" s="203" customFormat="1">
      <c r="A246" s="439">
        <v>5</v>
      </c>
      <c r="B246" s="47" t="s">
        <v>193</v>
      </c>
      <c r="C246" s="47"/>
      <c r="D246" s="47"/>
      <c r="E246" s="49">
        <v>85</v>
      </c>
      <c r="F246" s="52">
        <v>85</v>
      </c>
      <c r="G246" s="118"/>
      <c r="H246" s="100">
        <v>83</v>
      </c>
      <c r="I246" s="29"/>
      <c r="J246" s="231"/>
      <c r="K246" s="231"/>
      <c r="L246" s="231"/>
      <c r="M246" s="231"/>
      <c r="N246" s="231"/>
      <c r="O246" s="231"/>
      <c r="P246" s="231"/>
      <c r="Q246" s="231"/>
      <c r="R246" s="231"/>
      <c r="S246" s="231"/>
      <c r="T246" s="231"/>
      <c r="U246" s="231"/>
      <c r="V246" s="231"/>
      <c r="W246" s="231"/>
      <c r="X246" s="231"/>
      <c r="Y246" s="231"/>
      <c r="Z246" s="231"/>
      <c r="AA246" s="231"/>
      <c r="AB246" s="231"/>
      <c r="AC246" s="231"/>
      <c r="AD246" s="231"/>
      <c r="AE246" s="231"/>
    </row>
    <row r="247" spans="1:31" s="203" customFormat="1">
      <c r="A247" s="439">
        <v>6</v>
      </c>
      <c r="B247" s="116" t="s">
        <v>194</v>
      </c>
      <c r="C247" s="116"/>
      <c r="D247" s="116"/>
      <c r="E247" s="80">
        <v>85</v>
      </c>
      <c r="F247" s="142">
        <f>SUM(F245:F246)</f>
        <v>85</v>
      </c>
      <c r="G247" s="118"/>
      <c r="H247" s="142">
        <f>SUM(H245:H246)</f>
        <v>83</v>
      </c>
      <c r="I247" s="29"/>
      <c r="J247" s="231"/>
      <c r="K247" s="231"/>
      <c r="L247" s="231"/>
      <c r="M247" s="231"/>
      <c r="N247" s="231"/>
      <c r="O247" s="231"/>
      <c r="P247" s="231"/>
      <c r="Q247" s="231"/>
      <c r="R247" s="231"/>
      <c r="S247" s="231"/>
      <c r="T247" s="231"/>
      <c r="U247" s="231"/>
      <c r="V247" s="231"/>
      <c r="W247" s="231"/>
      <c r="X247" s="231"/>
      <c r="Y247" s="231"/>
      <c r="Z247" s="231"/>
      <c r="AA247" s="231"/>
      <c r="AB247" s="231"/>
      <c r="AC247" s="231"/>
      <c r="AD247" s="231"/>
      <c r="AE247" s="231"/>
    </row>
    <row r="248" spans="1:31" s="203" customFormat="1">
      <c r="A248" s="439"/>
      <c r="B248" s="116"/>
      <c r="C248" s="116"/>
      <c r="D248" s="116"/>
      <c r="E248" s="117"/>
      <c r="F248" s="118"/>
      <c r="G248" s="118"/>
      <c r="H248" s="118"/>
      <c r="I248" s="29"/>
      <c r="J248" s="231"/>
      <c r="K248" s="231"/>
      <c r="L248" s="231"/>
      <c r="M248" s="231"/>
      <c r="N248" s="231"/>
      <c r="O248" s="231"/>
      <c r="P248" s="231"/>
      <c r="Q248" s="231"/>
      <c r="R248" s="231"/>
      <c r="S248" s="231"/>
      <c r="T248" s="231"/>
      <c r="U248" s="231"/>
      <c r="V248" s="231"/>
      <c r="W248" s="231"/>
      <c r="X248" s="231"/>
      <c r="Y248" s="231"/>
      <c r="Z248" s="231"/>
      <c r="AA248" s="231"/>
      <c r="AB248" s="231"/>
      <c r="AC248" s="231"/>
      <c r="AD248" s="231"/>
      <c r="AE248" s="231"/>
    </row>
    <row r="249" spans="1:31" s="203" customFormat="1">
      <c r="A249" s="108" t="s">
        <v>195</v>
      </c>
      <c r="B249" s="116"/>
      <c r="C249" s="116"/>
      <c r="D249" s="116"/>
      <c r="E249" s="140"/>
      <c r="F249" s="146"/>
      <c r="G249" s="118"/>
      <c r="H249" s="146"/>
      <c r="I249" s="29"/>
      <c r="J249" s="231"/>
      <c r="K249" s="231"/>
      <c r="L249" s="231"/>
      <c r="M249" s="231"/>
      <c r="N249" s="231"/>
      <c r="O249" s="231"/>
      <c r="P249" s="231"/>
      <c r="Q249" s="231"/>
      <c r="R249" s="231"/>
      <c r="S249" s="231"/>
      <c r="T249" s="231"/>
      <c r="U249" s="231"/>
      <c r="V249" s="231"/>
      <c r="W249" s="231"/>
      <c r="X249" s="231"/>
      <c r="Y249" s="231"/>
      <c r="Z249" s="231"/>
      <c r="AA249" s="231"/>
      <c r="AB249" s="231"/>
      <c r="AC249" s="231"/>
      <c r="AD249" s="231"/>
      <c r="AE249" s="231"/>
    </row>
    <row r="250" spans="1:31" s="203" customFormat="1">
      <c r="A250" s="439">
        <v>7</v>
      </c>
      <c r="B250" s="47" t="s">
        <v>196</v>
      </c>
      <c r="C250" s="47"/>
      <c r="D250" s="47"/>
      <c r="E250" s="74">
        <v>26</v>
      </c>
      <c r="F250" s="52">
        <v>25</v>
      </c>
      <c r="G250" s="118"/>
      <c r="H250" s="52">
        <v>30</v>
      </c>
      <c r="I250" s="29"/>
      <c r="J250" s="231"/>
      <c r="K250" s="231"/>
      <c r="L250" s="231"/>
      <c r="M250" s="231"/>
      <c r="N250" s="231"/>
      <c r="O250" s="231"/>
      <c r="P250" s="231"/>
      <c r="Q250" s="231"/>
      <c r="R250" s="231"/>
      <c r="S250" s="231"/>
      <c r="T250" s="231"/>
      <c r="U250" s="231"/>
      <c r="V250" s="231"/>
      <c r="W250" s="231"/>
      <c r="X250" s="231"/>
      <c r="Y250" s="231"/>
      <c r="Z250" s="231"/>
      <c r="AA250" s="231"/>
      <c r="AB250" s="231"/>
      <c r="AC250" s="231"/>
      <c r="AD250" s="231"/>
      <c r="AE250" s="231"/>
    </row>
    <row r="251" spans="1:31" s="203" customFormat="1">
      <c r="A251" s="439">
        <v>8</v>
      </c>
      <c r="B251" s="47" t="s">
        <v>197</v>
      </c>
      <c r="C251" s="47"/>
      <c r="D251" s="47"/>
      <c r="E251" s="49">
        <v>1198</v>
      </c>
      <c r="F251" s="52">
        <v>1132</v>
      </c>
      <c r="G251" s="118"/>
      <c r="H251" s="122">
        <v>969</v>
      </c>
      <c r="I251" s="29"/>
      <c r="J251" s="231"/>
      <c r="K251" s="231"/>
      <c r="L251" s="231"/>
      <c r="M251" s="231"/>
      <c r="N251" s="231"/>
      <c r="O251" s="231"/>
      <c r="P251" s="231"/>
      <c r="Q251" s="231"/>
      <c r="R251" s="231"/>
      <c r="S251" s="231"/>
      <c r="T251" s="231"/>
      <c r="U251" s="231"/>
      <c r="V251" s="231"/>
      <c r="W251" s="231"/>
      <c r="X251" s="231"/>
      <c r="Y251" s="231"/>
      <c r="Z251" s="231"/>
      <c r="AA251" s="231"/>
      <c r="AB251" s="231"/>
      <c r="AC251" s="231"/>
      <c r="AD251" s="231"/>
      <c r="AE251" s="231"/>
    </row>
    <row r="252" spans="1:31" s="203" customFormat="1">
      <c r="A252" s="439">
        <v>9</v>
      </c>
      <c r="B252" s="47" t="s">
        <v>198</v>
      </c>
      <c r="C252" s="47"/>
      <c r="D252" s="47"/>
      <c r="E252" s="49">
        <v>56</v>
      </c>
      <c r="F252" s="52">
        <v>58</v>
      </c>
      <c r="G252" s="118"/>
      <c r="H252" s="122">
        <v>40</v>
      </c>
      <c r="I252" s="29"/>
      <c r="J252" s="231"/>
      <c r="K252" s="231"/>
      <c r="L252" s="231"/>
      <c r="M252" s="231"/>
      <c r="N252" s="231"/>
      <c r="O252" s="231"/>
      <c r="P252" s="231"/>
      <c r="Q252" s="231"/>
      <c r="R252" s="231"/>
      <c r="S252" s="231"/>
      <c r="T252" s="231"/>
      <c r="U252" s="231"/>
      <c r="V252" s="231"/>
      <c r="W252" s="231"/>
      <c r="X252" s="231"/>
      <c r="Y252" s="231"/>
      <c r="Z252" s="231"/>
      <c r="AA252" s="231"/>
      <c r="AB252" s="231"/>
      <c r="AC252" s="231"/>
      <c r="AD252" s="231"/>
      <c r="AE252" s="231"/>
    </row>
    <row r="253" spans="1:31" s="203" customFormat="1">
      <c r="A253" s="439">
        <v>10</v>
      </c>
      <c r="B253" s="47" t="s">
        <v>199</v>
      </c>
      <c r="C253" s="47"/>
      <c r="D253" s="47"/>
      <c r="E253" s="49">
        <v>322</v>
      </c>
      <c r="F253" s="52">
        <v>344</v>
      </c>
      <c r="G253" s="118"/>
      <c r="H253" s="100">
        <v>362</v>
      </c>
      <c r="I253" s="29"/>
      <c r="J253" s="231"/>
      <c r="K253" s="231"/>
      <c r="L253" s="231"/>
      <c r="M253" s="231"/>
      <c r="N253" s="231"/>
      <c r="O253" s="231"/>
      <c r="P253" s="231"/>
      <c r="Q253" s="231"/>
      <c r="R253" s="231"/>
      <c r="S253" s="231"/>
      <c r="T253" s="231"/>
      <c r="U253" s="231"/>
      <c r="V253" s="231"/>
      <c r="W253" s="231"/>
      <c r="X253" s="231"/>
      <c r="Y253" s="231"/>
      <c r="Z253" s="231"/>
      <c r="AA253" s="231"/>
      <c r="AB253" s="231"/>
      <c r="AC253" s="231"/>
      <c r="AD253" s="231"/>
      <c r="AE253" s="231"/>
    </row>
    <row r="254" spans="1:31" s="203" customFormat="1">
      <c r="A254" s="439">
        <v>11</v>
      </c>
      <c r="B254" s="116" t="s">
        <v>200</v>
      </c>
      <c r="C254" s="116"/>
      <c r="D254" s="116"/>
      <c r="E254" s="80">
        <v>1602</v>
      </c>
      <c r="F254" s="142">
        <f>SUM(F250:F253)</f>
        <v>1559</v>
      </c>
      <c r="G254" s="118"/>
      <c r="H254" s="142">
        <f>SUM(H250:H253)</f>
        <v>1401</v>
      </c>
      <c r="I254" s="260"/>
      <c r="J254" s="231"/>
      <c r="K254" s="231"/>
      <c r="L254" s="231"/>
      <c r="M254" s="231"/>
      <c r="N254" s="231"/>
      <c r="O254" s="231"/>
      <c r="P254" s="231"/>
      <c r="Q254" s="231"/>
      <c r="R254" s="231"/>
      <c r="S254" s="231"/>
      <c r="T254" s="231"/>
      <c r="U254" s="231"/>
      <c r="V254" s="231"/>
      <c r="W254" s="231"/>
      <c r="X254" s="231"/>
      <c r="Y254" s="231"/>
      <c r="Z254" s="231"/>
      <c r="AA254" s="231"/>
      <c r="AB254" s="231"/>
      <c r="AC254" s="231"/>
      <c r="AD254" s="231"/>
      <c r="AE254" s="231"/>
    </row>
    <row r="255" spans="1:31" s="203" customFormat="1">
      <c r="A255" s="439"/>
      <c r="B255" s="116"/>
      <c r="C255" s="116"/>
      <c r="D255" s="116"/>
      <c r="E255" s="117"/>
      <c r="F255" s="118"/>
      <c r="G255" s="118"/>
      <c r="H255" s="118"/>
      <c r="I255" s="29"/>
      <c r="J255" s="231"/>
      <c r="K255" s="231"/>
      <c r="L255" s="231"/>
      <c r="M255" s="231"/>
      <c r="N255" s="231"/>
      <c r="O255" s="231"/>
      <c r="P255" s="231"/>
      <c r="Q255" s="231"/>
      <c r="R255" s="231"/>
      <c r="S255" s="231"/>
      <c r="T255" s="231"/>
      <c r="U255" s="231"/>
      <c r="V255" s="231"/>
      <c r="W255" s="231"/>
      <c r="X255" s="231"/>
      <c r="Y255" s="231"/>
      <c r="Z255" s="231"/>
      <c r="AA255" s="231"/>
      <c r="AB255" s="231"/>
      <c r="AC255" s="231"/>
      <c r="AD255" s="231"/>
      <c r="AE255" s="231"/>
    </row>
    <row r="256" spans="1:31" s="203" customFormat="1">
      <c r="A256" s="439">
        <v>12</v>
      </c>
      <c r="B256" s="47" t="s">
        <v>201</v>
      </c>
      <c r="C256" s="47"/>
      <c r="D256" s="47"/>
      <c r="E256" s="176">
        <v>844</v>
      </c>
      <c r="F256" s="136">
        <v>847</v>
      </c>
      <c r="G256" s="118"/>
      <c r="H256" s="177">
        <v>856</v>
      </c>
      <c r="I256" s="260"/>
      <c r="J256" s="231"/>
      <c r="K256" s="231"/>
      <c r="L256" s="231"/>
      <c r="M256" s="231"/>
      <c r="N256" s="231"/>
      <c r="O256" s="231"/>
      <c r="P256" s="231"/>
      <c r="Q256" s="231"/>
      <c r="R256" s="231"/>
      <c r="S256" s="231"/>
      <c r="T256" s="231"/>
      <c r="U256" s="231"/>
      <c r="V256" s="231"/>
      <c r="W256" s="231"/>
      <c r="X256" s="231"/>
      <c r="Y256" s="231"/>
      <c r="Z256" s="231"/>
      <c r="AA256" s="231"/>
      <c r="AB256" s="231"/>
      <c r="AC256" s="231"/>
      <c r="AD256" s="231"/>
      <c r="AE256" s="231"/>
    </row>
    <row r="257" spans="1:31" s="203" customFormat="1">
      <c r="A257" s="124">
        <v>13</v>
      </c>
      <c r="B257" s="94" t="s">
        <v>202</v>
      </c>
      <c r="C257" s="94"/>
      <c r="D257" s="94"/>
      <c r="E257" s="159">
        <v>3812</v>
      </c>
      <c r="F257" s="61">
        <f>F242+F247+F254+F256</f>
        <v>3691</v>
      </c>
      <c r="G257" s="118"/>
      <c r="H257" s="61">
        <f>H242+H247+H254+H256</f>
        <v>3596</v>
      </c>
      <c r="I257" s="21"/>
      <c r="J257" s="231"/>
      <c r="K257" s="231"/>
      <c r="L257" s="231"/>
      <c r="M257" s="231"/>
      <c r="N257" s="231"/>
      <c r="O257" s="231"/>
      <c r="P257" s="231"/>
      <c r="Q257" s="231"/>
      <c r="R257" s="231"/>
      <c r="S257" s="231"/>
      <c r="T257" s="231"/>
      <c r="U257" s="231"/>
      <c r="V257" s="231"/>
      <c r="W257" s="231"/>
      <c r="X257" s="231"/>
      <c r="Y257" s="231"/>
      <c r="Z257" s="231"/>
      <c r="AA257" s="231"/>
      <c r="AB257" s="231"/>
      <c r="AC257" s="231"/>
      <c r="AD257" s="231"/>
      <c r="AE257" s="231"/>
    </row>
    <row r="258" spans="1:31" s="203" customFormat="1">
      <c r="A258" s="207"/>
      <c r="B258" s="207"/>
      <c r="C258" s="207"/>
      <c r="D258" s="208"/>
      <c r="E258" s="208"/>
      <c r="F258" s="207"/>
      <c r="G258" s="207"/>
      <c r="H258" s="207"/>
      <c r="I258" s="21"/>
      <c r="J258" s="231"/>
      <c r="K258" s="231"/>
      <c r="L258" s="231"/>
      <c r="M258" s="231"/>
      <c r="N258" s="231"/>
      <c r="O258" s="231"/>
      <c r="P258" s="231"/>
      <c r="Q258" s="231"/>
      <c r="R258" s="231"/>
      <c r="S258" s="231"/>
      <c r="T258" s="231"/>
      <c r="U258" s="231"/>
      <c r="V258" s="231"/>
      <c r="W258" s="231"/>
      <c r="X258" s="231"/>
      <c r="Y258" s="231"/>
      <c r="Z258" s="231"/>
      <c r="AA258" s="231"/>
      <c r="AB258" s="231"/>
      <c r="AC258" s="231"/>
      <c r="AD258" s="231"/>
      <c r="AE258" s="231"/>
    </row>
    <row r="259" spans="1:31" s="203" customFormat="1">
      <c r="A259" s="23"/>
      <c r="B259" s="207"/>
      <c r="C259" s="207"/>
      <c r="D259" s="207"/>
      <c r="E259" s="207"/>
      <c r="F259" s="207"/>
      <c r="G259" s="207"/>
      <c r="H259" s="21"/>
      <c r="I259" s="21"/>
      <c r="J259" s="231"/>
      <c r="K259" s="231"/>
      <c r="L259" s="231"/>
      <c r="M259" s="231"/>
      <c r="N259" s="231"/>
      <c r="O259" s="231"/>
      <c r="P259" s="231"/>
      <c r="Q259" s="231"/>
      <c r="R259" s="231"/>
      <c r="S259" s="231"/>
      <c r="T259" s="231"/>
      <c r="U259" s="231"/>
      <c r="V259" s="231"/>
      <c r="W259" s="231"/>
      <c r="X259" s="231"/>
      <c r="Y259" s="231"/>
      <c r="Z259" s="231"/>
      <c r="AA259" s="231"/>
      <c r="AB259" s="231"/>
      <c r="AC259" s="231"/>
      <c r="AD259" s="231"/>
      <c r="AE259" s="231"/>
    </row>
    <row r="260" spans="1:31" s="203" customFormat="1">
      <c r="A260" s="148"/>
      <c r="B260" s="29"/>
      <c r="C260" s="29"/>
      <c r="D260" s="172"/>
      <c r="E260" s="152"/>
      <c r="F260" s="29"/>
      <c r="G260" s="29"/>
      <c r="H260" s="131" t="s">
        <v>27</v>
      </c>
      <c r="I260" s="21"/>
      <c r="J260" s="231"/>
      <c r="K260" s="231"/>
      <c r="L260" s="231"/>
      <c r="M260" s="231"/>
      <c r="N260" s="231"/>
      <c r="O260" s="231"/>
      <c r="P260" s="231"/>
      <c r="Q260" s="231"/>
      <c r="R260" s="231"/>
      <c r="S260" s="231"/>
      <c r="T260" s="231"/>
      <c r="U260" s="231"/>
      <c r="V260" s="231"/>
      <c r="W260" s="231"/>
      <c r="X260" s="231"/>
      <c r="Y260" s="231"/>
      <c r="Z260" s="231"/>
      <c r="AA260" s="231"/>
      <c r="AB260" s="231"/>
      <c r="AC260" s="231"/>
      <c r="AD260" s="231"/>
      <c r="AE260" s="231"/>
    </row>
    <row r="261" spans="1:31" s="203" customFormat="1" ht="12.75" customHeight="1">
      <c r="A261" s="106" t="s">
        <v>15</v>
      </c>
      <c r="B261" s="164"/>
      <c r="C261" s="164"/>
      <c r="D261" s="164"/>
      <c r="E261" s="856" t="s">
        <v>377</v>
      </c>
      <c r="F261" s="856" t="s">
        <v>402</v>
      </c>
      <c r="G261" s="130"/>
      <c r="H261" s="856" t="s">
        <v>403</v>
      </c>
      <c r="I261" s="21"/>
      <c r="J261" s="231"/>
      <c r="K261" s="231"/>
      <c r="L261" s="231"/>
      <c r="M261" s="231"/>
      <c r="N261" s="231"/>
      <c r="O261" s="231"/>
      <c r="P261" s="231"/>
      <c r="Q261" s="231"/>
      <c r="R261" s="231"/>
      <c r="S261" s="231"/>
      <c r="T261" s="231"/>
      <c r="U261" s="231"/>
      <c r="V261" s="231"/>
      <c r="W261" s="231"/>
      <c r="X261" s="231"/>
      <c r="Y261" s="231"/>
      <c r="Z261" s="231"/>
      <c r="AA261" s="231"/>
      <c r="AB261" s="231"/>
      <c r="AC261" s="231"/>
      <c r="AD261" s="231"/>
      <c r="AE261" s="231"/>
    </row>
    <row r="262" spans="1:31" s="203" customFormat="1">
      <c r="A262" s="165"/>
      <c r="B262" s="47"/>
      <c r="C262" s="47"/>
      <c r="D262" s="47"/>
      <c r="E262" s="859"/>
      <c r="F262" s="859"/>
      <c r="G262" s="130"/>
      <c r="H262" s="859"/>
      <c r="I262" s="21"/>
      <c r="J262" s="231"/>
      <c r="K262" s="231"/>
      <c r="L262" s="231"/>
      <c r="M262" s="231"/>
      <c r="N262" s="231"/>
      <c r="O262" s="231"/>
      <c r="P262" s="231"/>
      <c r="Q262" s="231"/>
      <c r="R262" s="231"/>
      <c r="S262" s="231"/>
      <c r="T262" s="231"/>
      <c r="U262" s="231"/>
      <c r="V262" s="231"/>
      <c r="W262" s="231"/>
      <c r="X262" s="231"/>
      <c r="Y262" s="231"/>
      <c r="Z262" s="231"/>
      <c r="AA262" s="231"/>
      <c r="AB262" s="231"/>
      <c r="AC262" s="231"/>
      <c r="AD262" s="231"/>
      <c r="AE262" s="231"/>
    </row>
    <row r="263" spans="1:31" s="203" customFormat="1">
      <c r="A263" s="109"/>
      <c r="B263" s="174"/>
      <c r="C263" s="174"/>
      <c r="D263" s="174"/>
      <c r="E263" s="859"/>
      <c r="F263" s="859"/>
      <c r="G263" s="130"/>
      <c r="H263" s="859"/>
      <c r="I263" s="21"/>
      <c r="J263" s="231"/>
      <c r="K263" s="231"/>
      <c r="L263" s="231"/>
      <c r="M263" s="231"/>
      <c r="N263" s="231"/>
      <c r="O263" s="231"/>
      <c r="P263" s="231"/>
      <c r="Q263" s="231"/>
      <c r="R263" s="231"/>
      <c r="S263" s="231"/>
      <c r="T263" s="231"/>
      <c r="U263" s="231"/>
      <c r="V263" s="231"/>
      <c r="W263" s="231"/>
      <c r="X263" s="231"/>
      <c r="Y263" s="231"/>
      <c r="Z263" s="231"/>
      <c r="AA263" s="231"/>
      <c r="AB263" s="231"/>
      <c r="AC263" s="231"/>
      <c r="AD263" s="231"/>
      <c r="AE263" s="231"/>
    </row>
    <row r="264" spans="1:31" s="203" customFormat="1">
      <c r="A264" s="154" t="s">
        <v>203</v>
      </c>
      <c r="B264" s="47"/>
      <c r="C264" s="47"/>
      <c r="D264" s="47"/>
      <c r="E264" s="859"/>
      <c r="F264" s="859"/>
      <c r="G264" s="130"/>
      <c r="H264" s="859"/>
      <c r="I264" s="21"/>
      <c r="J264" s="231"/>
      <c r="K264" s="231"/>
      <c r="L264" s="231"/>
      <c r="M264" s="231"/>
      <c r="N264" s="231"/>
      <c r="O264" s="231"/>
      <c r="P264" s="231"/>
      <c r="Q264" s="231"/>
      <c r="R264" s="231"/>
      <c r="S264" s="231"/>
      <c r="T264" s="231"/>
      <c r="U264" s="231"/>
      <c r="V264" s="231"/>
      <c r="W264" s="231"/>
      <c r="X264" s="231"/>
      <c r="Y264" s="231"/>
      <c r="Z264" s="231"/>
      <c r="AA264" s="231"/>
      <c r="AB264" s="231"/>
      <c r="AC264" s="231"/>
      <c r="AD264" s="231"/>
      <c r="AE264" s="231"/>
    </row>
    <row r="265" spans="1:31" s="203" customFormat="1">
      <c r="A265" s="109" t="s">
        <v>83</v>
      </c>
      <c r="B265" s="174"/>
      <c r="C265" s="174"/>
      <c r="D265" s="174"/>
      <c r="E265" s="860"/>
      <c r="F265" s="860"/>
      <c r="G265" s="130"/>
      <c r="H265" s="860"/>
      <c r="I265" s="21"/>
      <c r="J265" s="231"/>
      <c r="K265" s="231"/>
      <c r="L265" s="231"/>
      <c r="M265" s="231"/>
      <c r="N265" s="231"/>
      <c r="O265" s="231"/>
      <c r="P265" s="231"/>
      <c r="Q265" s="231"/>
      <c r="R265" s="231"/>
      <c r="S265" s="231"/>
      <c r="T265" s="231"/>
      <c r="U265" s="231"/>
      <c r="V265" s="231"/>
      <c r="W265" s="231"/>
      <c r="X265" s="231"/>
      <c r="Y265" s="231"/>
      <c r="Z265" s="231"/>
      <c r="AA265" s="231"/>
      <c r="AB265" s="231"/>
      <c r="AC265" s="231"/>
      <c r="AD265" s="231"/>
      <c r="AE265" s="231"/>
    </row>
    <row r="266" spans="1:31" s="203" customFormat="1">
      <c r="A266" s="110" t="s">
        <v>84</v>
      </c>
      <c r="B266" s="116"/>
      <c r="C266" s="116"/>
      <c r="D266" s="116"/>
      <c r="E266" s="178"/>
      <c r="F266" s="146"/>
      <c r="G266" s="118"/>
      <c r="H266" s="146"/>
      <c r="I266" s="21"/>
      <c r="J266" s="231"/>
      <c r="K266" s="231"/>
      <c r="L266" s="231"/>
      <c r="M266" s="231"/>
      <c r="N266" s="231"/>
      <c r="O266" s="231"/>
      <c r="P266" s="231"/>
      <c r="Q266" s="231"/>
      <c r="R266" s="231"/>
      <c r="S266" s="231"/>
      <c r="T266" s="231"/>
      <c r="U266" s="231"/>
      <c r="V266" s="231"/>
      <c r="W266" s="231"/>
      <c r="X266" s="231"/>
      <c r="Y266" s="231"/>
      <c r="Z266" s="231"/>
      <c r="AA266" s="231"/>
      <c r="AB266" s="231"/>
      <c r="AC266" s="231"/>
      <c r="AD266" s="231"/>
      <c r="AE266" s="231"/>
    </row>
    <row r="267" spans="1:31" s="203" customFormat="1">
      <c r="A267" s="120">
        <v>1</v>
      </c>
      <c r="B267" s="47" t="s">
        <v>204</v>
      </c>
      <c r="C267" s="47"/>
      <c r="D267" s="47"/>
      <c r="E267" s="74">
        <v>1</v>
      </c>
      <c r="F267" s="52">
        <v>1</v>
      </c>
      <c r="G267" s="118"/>
      <c r="H267" s="122">
        <v>1</v>
      </c>
      <c r="I267" s="21"/>
      <c r="J267" s="231"/>
      <c r="K267" s="231"/>
      <c r="L267" s="231"/>
      <c r="M267" s="231"/>
      <c r="N267" s="231"/>
      <c r="O267" s="231"/>
      <c r="P267" s="231"/>
      <c r="Q267" s="231"/>
      <c r="R267" s="231"/>
      <c r="S267" s="231"/>
      <c r="T267" s="231"/>
      <c r="U267" s="231"/>
      <c r="V267" s="231"/>
      <c r="W267" s="231"/>
      <c r="X267" s="231"/>
      <c r="Y267" s="231"/>
      <c r="Z267" s="231"/>
      <c r="AA267" s="231"/>
      <c r="AB267" s="231"/>
      <c r="AC267" s="231"/>
      <c r="AD267" s="231"/>
      <c r="AE267" s="231"/>
    </row>
    <row r="268" spans="1:31" s="203" customFormat="1">
      <c r="A268" s="439">
        <v>2</v>
      </c>
      <c r="B268" s="166" t="s">
        <v>205</v>
      </c>
      <c r="C268" s="166"/>
      <c r="D268" s="47"/>
      <c r="E268" s="114">
        <v>0</v>
      </c>
      <c r="F268" s="52">
        <v>0</v>
      </c>
      <c r="G268" s="118"/>
      <c r="H268" s="122">
        <v>0</v>
      </c>
      <c r="I268" s="21"/>
      <c r="J268" s="231"/>
      <c r="K268" s="231"/>
      <c r="L268" s="231"/>
      <c r="M268" s="231"/>
      <c r="N268" s="231"/>
      <c r="O268" s="231"/>
      <c r="P268" s="231"/>
      <c r="Q268" s="231"/>
      <c r="R268" s="231"/>
      <c r="S268" s="231"/>
      <c r="T268" s="231"/>
      <c r="U268" s="231"/>
      <c r="V268" s="231"/>
      <c r="W268" s="231"/>
      <c r="X268" s="231"/>
      <c r="Y268" s="231"/>
      <c r="Z268" s="231"/>
      <c r="AA268" s="231"/>
      <c r="AB268" s="231"/>
      <c r="AC268" s="231"/>
      <c r="AD268" s="231"/>
      <c r="AE268" s="231"/>
    </row>
    <row r="269" spans="1:31" s="203" customFormat="1">
      <c r="A269" s="120">
        <v>3</v>
      </c>
      <c r="B269" s="47" t="s">
        <v>206</v>
      </c>
      <c r="C269" s="47"/>
      <c r="D269" s="168"/>
      <c r="E269" s="114">
        <v>478</v>
      </c>
      <c r="F269" s="52">
        <v>480</v>
      </c>
      <c r="G269" s="118"/>
      <c r="H269" s="122">
        <v>449</v>
      </c>
      <c r="I269" s="21"/>
      <c r="J269" s="231"/>
      <c r="K269" s="231"/>
      <c r="L269" s="231"/>
      <c r="M269" s="231"/>
      <c r="N269" s="231"/>
      <c r="O269" s="231"/>
      <c r="P269" s="231"/>
      <c r="Q269" s="231"/>
      <c r="R269" s="231"/>
      <c r="S269" s="231"/>
      <c r="T269" s="231"/>
      <c r="U269" s="231"/>
      <c r="V269" s="231"/>
      <c r="W269" s="231"/>
      <c r="X269" s="231"/>
      <c r="Y269" s="231"/>
      <c r="Z269" s="231"/>
      <c r="AA269" s="231"/>
      <c r="AB269" s="231"/>
      <c r="AC269" s="231"/>
      <c r="AD269" s="231"/>
      <c r="AE269" s="231"/>
    </row>
    <row r="270" spans="1:31" s="203" customFormat="1">
      <c r="A270" s="439">
        <v>4</v>
      </c>
      <c r="B270" s="47" t="s">
        <v>207</v>
      </c>
      <c r="C270" s="47"/>
      <c r="D270" s="116"/>
      <c r="E270" s="114">
        <v>0</v>
      </c>
      <c r="F270" s="52">
        <v>0</v>
      </c>
      <c r="G270" s="118"/>
      <c r="H270" s="122">
        <v>0</v>
      </c>
      <c r="I270" s="21"/>
      <c r="J270" s="231"/>
      <c r="K270" s="231"/>
      <c r="L270" s="231"/>
      <c r="M270" s="231"/>
      <c r="N270" s="231"/>
      <c r="O270" s="231"/>
      <c r="P270" s="231"/>
      <c r="Q270" s="231"/>
      <c r="R270" s="231"/>
      <c r="S270" s="231"/>
      <c r="T270" s="231"/>
      <c r="U270" s="231"/>
      <c r="V270" s="231"/>
      <c r="W270" s="231"/>
      <c r="X270" s="231"/>
      <c r="Y270" s="231"/>
      <c r="Z270" s="231"/>
      <c r="AA270" s="231"/>
      <c r="AB270" s="231"/>
      <c r="AC270" s="231"/>
      <c r="AD270" s="231"/>
      <c r="AE270" s="231"/>
    </row>
    <row r="271" spans="1:31" s="203" customFormat="1">
      <c r="A271" s="120">
        <v>5</v>
      </c>
      <c r="B271" s="47" t="s">
        <v>208</v>
      </c>
      <c r="C271" s="47"/>
      <c r="D271" s="47"/>
      <c r="E271" s="114">
        <v>24</v>
      </c>
      <c r="F271" s="52">
        <v>24</v>
      </c>
      <c r="G271" s="118"/>
      <c r="H271" s="122">
        <v>28</v>
      </c>
      <c r="I271" s="21"/>
      <c r="J271" s="231"/>
      <c r="K271" s="231"/>
      <c r="L271" s="231"/>
      <c r="M271" s="231"/>
      <c r="N271" s="231"/>
      <c r="O271" s="231"/>
      <c r="P271" s="231"/>
      <c r="Q271" s="231"/>
      <c r="R271" s="231"/>
      <c r="S271" s="231"/>
      <c r="T271" s="231"/>
      <c r="U271" s="231"/>
      <c r="V271" s="231"/>
      <c r="W271" s="231"/>
      <c r="X271" s="231"/>
      <c r="Y271" s="231"/>
      <c r="Z271" s="231"/>
      <c r="AA271" s="231"/>
      <c r="AB271" s="231"/>
      <c r="AC271" s="231"/>
      <c r="AD271" s="231"/>
      <c r="AE271" s="231"/>
    </row>
    <row r="272" spans="1:31" s="203" customFormat="1">
      <c r="A272" s="439">
        <v>6</v>
      </c>
      <c r="B272" s="47" t="s">
        <v>209</v>
      </c>
      <c r="C272" s="47"/>
      <c r="D272" s="47"/>
      <c r="E272" s="114">
        <v>0</v>
      </c>
      <c r="F272" s="52">
        <v>0</v>
      </c>
      <c r="G272" s="118"/>
      <c r="H272" s="122">
        <v>0</v>
      </c>
      <c r="I272" s="21"/>
      <c r="J272" s="231"/>
      <c r="K272" s="231"/>
      <c r="L272" s="231"/>
      <c r="M272" s="231"/>
      <c r="N272" s="231"/>
      <c r="O272" s="231"/>
      <c r="P272" s="231"/>
      <c r="Q272" s="231"/>
      <c r="R272" s="231"/>
      <c r="S272" s="231"/>
      <c r="T272" s="231"/>
      <c r="U272" s="231"/>
      <c r="V272" s="231"/>
      <c r="W272" s="231"/>
      <c r="X272" s="231"/>
      <c r="Y272" s="231"/>
      <c r="Z272" s="231"/>
      <c r="AA272" s="231"/>
      <c r="AB272" s="231"/>
      <c r="AC272" s="231"/>
      <c r="AD272" s="231"/>
      <c r="AE272" s="231"/>
    </row>
    <row r="273" spans="1:31" s="203" customFormat="1">
      <c r="A273" s="120">
        <v>7</v>
      </c>
      <c r="B273" s="47" t="s">
        <v>210</v>
      </c>
      <c r="C273" s="47"/>
      <c r="D273" s="47"/>
      <c r="E273" s="114">
        <v>446</v>
      </c>
      <c r="F273" s="52">
        <v>608</v>
      </c>
      <c r="G273" s="118"/>
      <c r="H273" s="122">
        <v>472</v>
      </c>
      <c r="I273" s="21"/>
      <c r="J273" s="231"/>
      <c r="K273" s="231"/>
      <c r="L273" s="231"/>
      <c r="M273" s="231"/>
      <c r="N273" s="231"/>
      <c r="O273" s="231"/>
      <c r="P273" s="231"/>
      <c r="Q273" s="231"/>
      <c r="R273" s="231"/>
      <c r="S273" s="231"/>
      <c r="T273" s="231"/>
      <c r="U273" s="231"/>
      <c r="V273" s="231"/>
      <c r="W273" s="231"/>
      <c r="X273" s="231"/>
      <c r="Y273" s="231"/>
      <c r="Z273" s="231"/>
      <c r="AA273" s="231"/>
      <c r="AB273" s="231"/>
      <c r="AC273" s="231"/>
      <c r="AD273" s="231"/>
      <c r="AE273" s="231"/>
    </row>
    <row r="274" spans="1:31" s="203" customFormat="1">
      <c r="A274" s="439">
        <v>8</v>
      </c>
      <c r="B274" s="47" t="s">
        <v>211</v>
      </c>
      <c r="C274" s="47"/>
      <c r="D274" s="47"/>
      <c r="E274" s="114">
        <v>828</v>
      </c>
      <c r="F274" s="52">
        <v>852</v>
      </c>
      <c r="G274" s="118"/>
      <c r="H274" s="122">
        <v>976</v>
      </c>
      <c r="I274" s="21"/>
      <c r="J274" s="231"/>
      <c r="K274" s="231"/>
      <c r="L274" s="231"/>
      <c r="M274" s="231"/>
      <c r="N274" s="231"/>
      <c r="O274" s="231"/>
      <c r="P274" s="231"/>
      <c r="Q274" s="231"/>
      <c r="R274" s="231"/>
      <c r="S274" s="231"/>
      <c r="T274" s="231"/>
      <c r="U274" s="231"/>
      <c r="V274" s="231"/>
      <c r="W274" s="231"/>
      <c r="X274" s="231"/>
      <c r="Y274" s="231"/>
      <c r="Z274" s="231"/>
      <c r="AA274" s="231"/>
      <c r="AB274" s="231"/>
      <c r="AC274" s="231"/>
      <c r="AD274" s="231"/>
      <c r="AE274" s="231"/>
    </row>
    <row r="275" spans="1:31" s="203" customFormat="1">
      <c r="A275" s="120">
        <v>9</v>
      </c>
      <c r="B275" s="47" t="s">
        <v>212</v>
      </c>
      <c r="C275" s="47"/>
      <c r="D275" s="47"/>
      <c r="E275" s="114">
        <v>0</v>
      </c>
      <c r="F275" s="52">
        <v>0</v>
      </c>
      <c r="G275" s="118"/>
      <c r="H275" s="122">
        <v>0</v>
      </c>
      <c r="I275" s="21"/>
      <c r="J275" s="231"/>
      <c r="K275" s="231"/>
      <c r="L275" s="231"/>
      <c r="M275" s="231"/>
      <c r="N275" s="231"/>
      <c r="O275" s="231"/>
      <c r="P275" s="231"/>
      <c r="Q275" s="231"/>
      <c r="R275" s="231"/>
      <c r="S275" s="231"/>
      <c r="T275" s="231"/>
      <c r="U275" s="231"/>
      <c r="V275" s="231"/>
      <c r="W275" s="231"/>
      <c r="X275" s="231"/>
      <c r="Y275" s="231"/>
      <c r="Z275" s="231"/>
      <c r="AA275" s="231"/>
      <c r="AB275" s="231"/>
      <c r="AC275" s="231"/>
      <c r="AD275" s="231"/>
      <c r="AE275" s="231"/>
    </row>
    <row r="276" spans="1:31" s="203" customFormat="1">
      <c r="A276" s="439">
        <v>10</v>
      </c>
      <c r="B276" s="47" t="s">
        <v>213</v>
      </c>
      <c r="C276" s="47"/>
      <c r="D276" s="47"/>
      <c r="E276" s="114">
        <v>676</v>
      </c>
      <c r="F276" s="52">
        <v>528</v>
      </c>
      <c r="G276" s="118"/>
      <c r="H276" s="99">
        <v>605</v>
      </c>
      <c r="I276" s="21"/>
      <c r="J276" s="231"/>
      <c r="K276" s="231"/>
      <c r="L276" s="231"/>
      <c r="M276" s="231"/>
      <c r="N276" s="231"/>
      <c r="O276" s="231"/>
      <c r="P276" s="231"/>
      <c r="Q276" s="231"/>
      <c r="R276" s="231"/>
      <c r="S276" s="231"/>
      <c r="T276" s="231"/>
      <c r="U276" s="231"/>
      <c r="V276" s="231"/>
      <c r="W276" s="231"/>
      <c r="X276" s="231"/>
      <c r="Y276" s="231"/>
      <c r="Z276" s="231"/>
      <c r="AA276" s="231"/>
      <c r="AB276" s="231"/>
      <c r="AC276" s="231"/>
      <c r="AD276" s="231"/>
      <c r="AE276" s="231"/>
    </row>
    <row r="277" spans="1:31" s="203" customFormat="1">
      <c r="A277" s="124">
        <v>11</v>
      </c>
      <c r="B277" s="94" t="s">
        <v>214</v>
      </c>
      <c r="C277" s="94"/>
      <c r="D277" s="94"/>
      <c r="E277" s="159">
        <v>2453</v>
      </c>
      <c r="F277" s="61">
        <f>SUM(F267:F276)</f>
        <v>2493</v>
      </c>
      <c r="G277" s="118"/>
      <c r="H277" s="61">
        <f>SUM(H267:H276)</f>
        <v>2531</v>
      </c>
      <c r="I277" s="21"/>
      <c r="J277" s="231"/>
      <c r="K277" s="231"/>
      <c r="L277" s="231"/>
      <c r="M277" s="231"/>
      <c r="N277" s="231"/>
      <c r="O277" s="231"/>
      <c r="P277" s="231"/>
      <c r="Q277" s="231"/>
      <c r="R277" s="231"/>
      <c r="S277" s="231"/>
      <c r="T277" s="231"/>
      <c r="U277" s="231"/>
      <c r="V277" s="231"/>
      <c r="W277" s="231"/>
      <c r="X277" s="231"/>
      <c r="Y277" s="231"/>
      <c r="Z277" s="231"/>
      <c r="AA277" s="231"/>
      <c r="AB277" s="231"/>
      <c r="AC277" s="231"/>
      <c r="AD277" s="231"/>
      <c r="AE277" s="231"/>
    </row>
    <row r="278" spans="1:31" s="203" customFormat="1">
      <c r="A278" s="207"/>
      <c r="B278" s="207"/>
      <c r="C278" s="207"/>
      <c r="D278" s="207"/>
      <c r="E278" s="207"/>
      <c r="F278" s="207"/>
      <c r="G278" s="207"/>
      <c r="H278" s="207"/>
      <c r="I278" s="21"/>
      <c r="J278" s="231"/>
      <c r="K278" s="231"/>
      <c r="L278" s="231"/>
      <c r="M278" s="231"/>
      <c r="N278" s="231"/>
      <c r="O278" s="231"/>
      <c r="P278" s="231"/>
      <c r="Q278" s="231"/>
      <c r="R278" s="231"/>
      <c r="S278" s="231"/>
      <c r="T278" s="231"/>
      <c r="U278" s="231"/>
      <c r="V278" s="231"/>
      <c r="W278" s="231"/>
      <c r="X278" s="231"/>
      <c r="Y278" s="231"/>
      <c r="Z278" s="231"/>
      <c r="AA278" s="231"/>
      <c r="AB278" s="231"/>
      <c r="AC278" s="231"/>
      <c r="AD278" s="231"/>
      <c r="AE278" s="231"/>
    </row>
    <row r="279" spans="1:31" s="203" customFormat="1">
      <c r="A279" s="207"/>
      <c r="B279" s="207"/>
      <c r="C279" s="207"/>
      <c r="D279" s="207"/>
      <c r="E279" s="207"/>
      <c r="F279" s="207"/>
      <c r="G279" s="207"/>
      <c r="H279" s="131" t="s">
        <v>27</v>
      </c>
      <c r="I279" s="21"/>
      <c r="J279" s="231"/>
      <c r="K279" s="231"/>
      <c r="L279" s="231"/>
      <c r="M279" s="231"/>
      <c r="N279" s="231"/>
      <c r="O279" s="231"/>
      <c r="P279" s="231"/>
      <c r="Q279" s="231"/>
      <c r="R279" s="231"/>
      <c r="S279" s="231"/>
      <c r="T279" s="231"/>
      <c r="U279" s="231"/>
      <c r="V279" s="231"/>
      <c r="W279" s="231"/>
      <c r="X279" s="231"/>
      <c r="Y279" s="231"/>
      <c r="Z279" s="231"/>
      <c r="AA279" s="231"/>
      <c r="AB279" s="231"/>
      <c r="AC279" s="231"/>
      <c r="AD279" s="231"/>
      <c r="AE279" s="231"/>
    </row>
    <row r="280" spans="1:31" s="203" customFormat="1" ht="12.75" customHeight="1">
      <c r="A280" s="106" t="s">
        <v>18</v>
      </c>
      <c r="B280" s="164"/>
      <c r="C280" s="164"/>
      <c r="D280" s="164"/>
      <c r="E280" s="856" t="s">
        <v>377</v>
      </c>
      <c r="F280" s="856" t="s">
        <v>402</v>
      </c>
      <c r="G280" s="130"/>
      <c r="H280" s="856" t="s">
        <v>403</v>
      </c>
      <c r="I280" s="21"/>
      <c r="J280" s="231"/>
      <c r="K280" s="231"/>
      <c r="L280" s="231"/>
      <c r="M280" s="231"/>
      <c r="N280" s="231"/>
      <c r="O280" s="231"/>
      <c r="P280" s="231"/>
      <c r="Q280" s="231"/>
      <c r="R280" s="231"/>
      <c r="S280" s="231"/>
      <c r="T280" s="231"/>
      <c r="U280" s="231"/>
      <c r="V280" s="231"/>
      <c r="W280" s="231"/>
      <c r="X280" s="231"/>
      <c r="Y280" s="231"/>
      <c r="Z280" s="231"/>
      <c r="AA280" s="231"/>
      <c r="AB280" s="231"/>
      <c r="AC280" s="231"/>
      <c r="AD280" s="231"/>
      <c r="AE280" s="231"/>
    </row>
    <row r="281" spans="1:31" s="203" customFormat="1">
      <c r="A281" s="165"/>
      <c r="B281" s="47"/>
      <c r="C281" s="47"/>
      <c r="D281" s="47"/>
      <c r="E281" s="859"/>
      <c r="F281" s="859"/>
      <c r="G281" s="130"/>
      <c r="H281" s="859"/>
      <c r="I281" s="21"/>
      <c r="J281" s="231"/>
      <c r="K281" s="231"/>
      <c r="L281" s="231"/>
      <c r="M281" s="231"/>
      <c r="N281" s="231"/>
      <c r="O281" s="231"/>
      <c r="P281" s="231"/>
      <c r="Q281" s="231"/>
      <c r="R281" s="231"/>
      <c r="S281" s="231"/>
      <c r="T281" s="231"/>
      <c r="U281" s="231"/>
      <c r="V281" s="231"/>
      <c r="W281" s="231"/>
      <c r="X281" s="231"/>
      <c r="Y281" s="231"/>
      <c r="Z281" s="231"/>
      <c r="AA281" s="231"/>
      <c r="AB281" s="231"/>
      <c r="AC281" s="231"/>
      <c r="AD281" s="231"/>
      <c r="AE281" s="231"/>
    </row>
    <row r="282" spans="1:31" s="203" customFormat="1" ht="21.75" customHeight="1">
      <c r="A282" s="109"/>
      <c r="B282" s="174"/>
      <c r="C282" s="174"/>
      <c r="D282" s="174"/>
      <c r="E282" s="859"/>
      <c r="F282" s="859"/>
      <c r="G282" s="130"/>
      <c r="H282" s="859"/>
      <c r="I282" s="21"/>
      <c r="J282" s="231"/>
      <c r="K282" s="231"/>
      <c r="L282" s="231"/>
      <c r="M282" s="231"/>
      <c r="N282" s="231"/>
      <c r="O282" s="231"/>
      <c r="P282" s="231"/>
      <c r="Q282" s="231"/>
      <c r="R282" s="231"/>
      <c r="S282" s="231"/>
      <c r="T282" s="231"/>
      <c r="U282" s="231"/>
      <c r="V282" s="231"/>
      <c r="W282" s="231"/>
      <c r="X282" s="231"/>
      <c r="Y282" s="231"/>
      <c r="Z282" s="231"/>
      <c r="AA282" s="231"/>
      <c r="AB282" s="231"/>
      <c r="AC282" s="231"/>
      <c r="AD282" s="231"/>
      <c r="AE282" s="231"/>
    </row>
    <row r="283" spans="1:31" s="203" customFormat="1">
      <c r="A283" s="154" t="s">
        <v>215</v>
      </c>
      <c r="B283" s="47"/>
      <c r="C283" s="47"/>
      <c r="D283" s="47"/>
      <c r="E283" s="859"/>
      <c r="F283" s="859"/>
      <c r="G283" s="130"/>
      <c r="H283" s="859"/>
      <c r="I283" s="21"/>
      <c r="J283" s="231"/>
      <c r="K283" s="231"/>
      <c r="L283" s="231"/>
      <c r="M283" s="231"/>
      <c r="N283" s="231"/>
      <c r="O283" s="231"/>
      <c r="P283" s="231"/>
      <c r="Q283" s="231"/>
      <c r="R283" s="231"/>
      <c r="S283" s="231"/>
      <c r="T283" s="231"/>
      <c r="U283" s="231"/>
      <c r="V283" s="231"/>
      <c r="W283" s="231"/>
      <c r="X283" s="231"/>
      <c r="Y283" s="231"/>
      <c r="Z283" s="231"/>
      <c r="AA283" s="231"/>
      <c r="AB283" s="231"/>
      <c r="AC283" s="231"/>
      <c r="AD283" s="231"/>
      <c r="AE283" s="231"/>
    </row>
    <row r="284" spans="1:31" s="203" customFormat="1">
      <c r="A284" s="109" t="s">
        <v>83</v>
      </c>
      <c r="B284" s="174"/>
      <c r="C284" s="174"/>
      <c r="D284" s="174"/>
      <c r="E284" s="860"/>
      <c r="F284" s="860"/>
      <c r="G284" s="130"/>
      <c r="H284" s="860"/>
      <c r="I284" s="21"/>
      <c r="J284" s="231"/>
      <c r="K284" s="231"/>
      <c r="L284" s="231"/>
      <c r="M284" s="231"/>
      <c r="N284" s="231"/>
      <c r="O284" s="231"/>
      <c r="P284" s="231"/>
      <c r="Q284" s="231"/>
      <c r="R284" s="231"/>
      <c r="S284" s="231"/>
      <c r="T284" s="231"/>
      <c r="U284" s="231"/>
      <c r="V284" s="231"/>
      <c r="W284" s="231"/>
      <c r="X284" s="231"/>
      <c r="Y284" s="231"/>
      <c r="Z284" s="231"/>
      <c r="AA284" s="231"/>
      <c r="AB284" s="231"/>
      <c r="AC284" s="231"/>
      <c r="AD284" s="231"/>
      <c r="AE284" s="231"/>
    </row>
    <row r="285" spans="1:31" s="203" customFormat="1">
      <c r="A285" s="110" t="s">
        <v>84</v>
      </c>
      <c r="B285" s="116"/>
      <c r="C285" s="116"/>
      <c r="D285" s="116"/>
      <c r="E285" s="178"/>
      <c r="F285" s="146"/>
      <c r="G285" s="118"/>
      <c r="H285" s="146"/>
      <c r="I285" s="21"/>
      <c r="J285" s="231"/>
      <c r="K285" s="231"/>
      <c r="L285" s="231"/>
      <c r="M285" s="231"/>
      <c r="N285" s="231"/>
      <c r="O285" s="231"/>
      <c r="P285" s="231"/>
      <c r="Q285" s="231"/>
      <c r="R285" s="231"/>
      <c r="S285" s="231"/>
      <c r="T285" s="231"/>
      <c r="U285" s="231"/>
      <c r="V285" s="231"/>
      <c r="W285" s="231"/>
      <c r="X285" s="231"/>
      <c r="Y285" s="231"/>
      <c r="Z285" s="231"/>
      <c r="AA285" s="231"/>
      <c r="AB285" s="231"/>
      <c r="AC285" s="231"/>
      <c r="AD285" s="231"/>
      <c r="AE285" s="231"/>
    </row>
    <row r="286" spans="1:31" s="203" customFormat="1">
      <c r="A286" s="120">
        <v>1</v>
      </c>
      <c r="B286" s="47" t="s">
        <v>216</v>
      </c>
      <c r="C286" s="47"/>
      <c r="D286" s="47"/>
      <c r="E286" s="74">
        <v>291</v>
      </c>
      <c r="F286" s="52">
        <v>291</v>
      </c>
      <c r="G286" s="118"/>
      <c r="H286" s="122">
        <v>162</v>
      </c>
      <c r="I286" s="21"/>
      <c r="J286" s="231"/>
      <c r="K286" s="231"/>
      <c r="L286" s="231"/>
      <c r="M286" s="231"/>
      <c r="N286" s="231"/>
      <c r="O286" s="231"/>
      <c r="P286" s="231"/>
      <c r="Q286" s="231"/>
      <c r="R286" s="231"/>
      <c r="S286" s="231"/>
      <c r="T286" s="231"/>
      <c r="U286" s="231"/>
      <c r="V286" s="231"/>
      <c r="W286" s="231"/>
      <c r="X286" s="231"/>
      <c r="Y286" s="231"/>
      <c r="Z286" s="231"/>
      <c r="AA286" s="231"/>
      <c r="AB286" s="231"/>
      <c r="AC286" s="231"/>
      <c r="AD286" s="231"/>
      <c r="AE286" s="231"/>
    </row>
    <row r="287" spans="1:31" s="203" customFormat="1">
      <c r="A287" s="439">
        <v>2</v>
      </c>
      <c r="B287" s="47" t="s">
        <v>217</v>
      </c>
      <c r="C287" s="47"/>
      <c r="D287" s="47"/>
      <c r="E287" s="114">
        <v>127</v>
      </c>
      <c r="F287" s="52">
        <v>128</v>
      </c>
      <c r="G287" s="118"/>
      <c r="H287" s="122">
        <v>142</v>
      </c>
      <c r="I287" s="21"/>
      <c r="J287" s="231"/>
      <c r="K287" s="231"/>
      <c r="L287" s="231"/>
      <c r="M287" s="231"/>
      <c r="N287" s="231"/>
      <c r="O287" s="231"/>
      <c r="P287" s="231"/>
      <c r="Q287" s="231"/>
      <c r="R287" s="231"/>
      <c r="S287" s="231"/>
      <c r="T287" s="231"/>
      <c r="U287" s="231"/>
      <c r="V287" s="231"/>
      <c r="W287" s="231"/>
      <c r="X287" s="231"/>
      <c r="Y287" s="231"/>
      <c r="Z287" s="231"/>
      <c r="AA287" s="231"/>
      <c r="AB287" s="231"/>
      <c r="AC287" s="231"/>
      <c r="AD287" s="231"/>
      <c r="AE287" s="231"/>
    </row>
    <row r="288" spans="1:31" s="203" customFormat="1">
      <c r="A288" s="120">
        <v>3</v>
      </c>
      <c r="B288" s="90" t="s">
        <v>218</v>
      </c>
      <c r="C288" s="166"/>
      <c r="D288" s="168"/>
      <c r="E288" s="114">
        <v>138</v>
      </c>
      <c r="F288" s="52">
        <v>138</v>
      </c>
      <c r="G288" s="118"/>
      <c r="H288" s="122">
        <v>207</v>
      </c>
      <c r="I288" s="21"/>
      <c r="J288" s="231"/>
      <c r="K288" s="231"/>
      <c r="L288" s="231"/>
      <c r="M288" s="231"/>
      <c r="N288" s="231"/>
      <c r="O288" s="231"/>
      <c r="P288" s="231"/>
      <c r="Q288" s="231"/>
      <c r="R288" s="231"/>
      <c r="S288" s="231"/>
      <c r="T288" s="231"/>
      <c r="U288" s="231"/>
      <c r="V288" s="231"/>
      <c r="W288" s="231"/>
      <c r="X288" s="231"/>
      <c r="Y288" s="231"/>
      <c r="Z288" s="231"/>
      <c r="AA288" s="231"/>
      <c r="AB288" s="231"/>
      <c r="AC288" s="231"/>
      <c r="AD288" s="231"/>
      <c r="AE288" s="231"/>
    </row>
    <row r="289" spans="1:31" s="203" customFormat="1">
      <c r="A289" s="439">
        <v>4</v>
      </c>
      <c r="B289" s="47" t="s">
        <v>219</v>
      </c>
      <c r="C289" s="47"/>
      <c r="D289" s="116"/>
      <c r="E289" s="114">
        <v>44</v>
      </c>
      <c r="F289" s="52">
        <v>44</v>
      </c>
      <c r="G289" s="118"/>
      <c r="H289" s="122">
        <v>69</v>
      </c>
      <c r="I289" s="21"/>
      <c r="J289" s="231"/>
      <c r="K289" s="231"/>
      <c r="L289" s="231"/>
      <c r="M289" s="231"/>
      <c r="N289" s="231"/>
      <c r="O289" s="231"/>
      <c r="P289" s="231"/>
      <c r="Q289" s="231"/>
      <c r="R289" s="231"/>
      <c r="S289" s="231"/>
      <c r="T289" s="231"/>
      <c r="U289" s="231"/>
      <c r="V289" s="231"/>
      <c r="W289" s="231"/>
      <c r="X289" s="231"/>
      <c r="Y289" s="231"/>
      <c r="Z289" s="231"/>
      <c r="AA289" s="231"/>
      <c r="AB289" s="231"/>
      <c r="AC289" s="231"/>
      <c r="AD289" s="231"/>
      <c r="AE289" s="231"/>
    </row>
    <row r="290" spans="1:31" s="203" customFormat="1">
      <c r="A290" s="439">
        <v>5</v>
      </c>
      <c r="B290" s="47" t="s">
        <v>220</v>
      </c>
      <c r="C290" s="47"/>
      <c r="D290" s="47"/>
      <c r="E290" s="114">
        <v>14</v>
      </c>
      <c r="F290" s="52">
        <v>15</v>
      </c>
      <c r="G290" s="118"/>
      <c r="H290" s="122">
        <v>12</v>
      </c>
      <c r="I290" s="21"/>
      <c r="J290" s="231"/>
      <c r="K290" s="231"/>
      <c r="L290" s="231"/>
      <c r="M290" s="231"/>
      <c r="N290" s="231"/>
      <c r="O290" s="231"/>
      <c r="P290" s="231"/>
      <c r="Q290" s="231"/>
      <c r="R290" s="231"/>
      <c r="S290" s="231"/>
      <c r="T290" s="231"/>
      <c r="U290" s="231"/>
      <c r="V290" s="231"/>
      <c r="W290" s="231"/>
      <c r="X290" s="231"/>
      <c r="Y290" s="231"/>
      <c r="Z290" s="231"/>
      <c r="AA290" s="231"/>
      <c r="AB290" s="231"/>
      <c r="AC290" s="231"/>
      <c r="AD290" s="231"/>
      <c r="AE290" s="231"/>
    </row>
    <row r="291" spans="1:31" s="203" customFormat="1">
      <c r="A291" s="120">
        <v>6</v>
      </c>
      <c r="B291" s="47" t="s">
        <v>221</v>
      </c>
      <c r="C291" s="47"/>
      <c r="D291" s="47"/>
      <c r="E291" s="114">
        <v>6</v>
      </c>
      <c r="F291" s="52">
        <v>6</v>
      </c>
      <c r="G291" s="118"/>
      <c r="H291" s="122">
        <v>0</v>
      </c>
      <c r="I291" s="21"/>
      <c r="J291" s="231"/>
      <c r="K291" s="231"/>
      <c r="L291" s="231"/>
      <c r="M291" s="231"/>
      <c r="N291" s="231"/>
      <c r="O291" s="231"/>
      <c r="P291" s="231"/>
      <c r="Q291" s="231"/>
      <c r="R291" s="231"/>
      <c r="S291" s="231"/>
      <c r="T291" s="231"/>
      <c r="U291" s="231"/>
      <c r="V291" s="231"/>
      <c r="W291" s="231"/>
      <c r="X291" s="231"/>
      <c r="Y291" s="231"/>
      <c r="Z291" s="231"/>
      <c r="AA291" s="231"/>
      <c r="AB291" s="231"/>
      <c r="AC291" s="231"/>
      <c r="AD291" s="231"/>
      <c r="AE291" s="231"/>
    </row>
    <row r="292" spans="1:31" s="203" customFormat="1">
      <c r="A292" s="439">
        <v>7</v>
      </c>
      <c r="B292" s="47" t="s">
        <v>222</v>
      </c>
      <c r="C292" s="47"/>
      <c r="D292" s="116"/>
      <c r="E292" s="114">
        <v>79</v>
      </c>
      <c r="F292" s="52">
        <v>58</v>
      </c>
      <c r="G292" s="118"/>
      <c r="H292" s="122">
        <v>59</v>
      </c>
      <c r="I292" s="21"/>
      <c r="J292" s="231"/>
      <c r="K292" s="231"/>
      <c r="L292" s="231"/>
      <c r="M292" s="231"/>
      <c r="N292" s="231"/>
      <c r="O292" s="231"/>
      <c r="P292" s="231"/>
      <c r="Q292" s="231"/>
      <c r="R292" s="231"/>
      <c r="S292" s="231"/>
      <c r="T292" s="231"/>
      <c r="U292" s="231"/>
      <c r="V292" s="231"/>
      <c r="W292" s="231"/>
      <c r="X292" s="231"/>
      <c r="Y292" s="231"/>
      <c r="Z292" s="231"/>
      <c r="AA292" s="231"/>
      <c r="AB292" s="231"/>
      <c r="AC292" s="231"/>
      <c r="AD292" s="231"/>
      <c r="AE292" s="231"/>
    </row>
    <row r="293" spans="1:31" s="203" customFormat="1">
      <c r="A293" s="120">
        <v>8</v>
      </c>
      <c r="B293" s="47" t="s">
        <v>223</v>
      </c>
      <c r="C293" s="47"/>
      <c r="D293" s="116"/>
      <c r="E293" s="114">
        <v>170</v>
      </c>
      <c r="F293" s="52">
        <v>186</v>
      </c>
      <c r="G293" s="118"/>
      <c r="H293" s="122">
        <v>190</v>
      </c>
      <c r="I293" s="21"/>
      <c r="J293" s="231"/>
      <c r="K293" s="231"/>
      <c r="L293" s="231"/>
      <c r="M293" s="231"/>
      <c r="N293" s="231"/>
      <c r="O293" s="231"/>
      <c r="P293" s="231"/>
      <c r="Q293" s="231"/>
      <c r="R293" s="231"/>
      <c r="S293" s="231"/>
      <c r="T293" s="231"/>
      <c r="U293" s="231"/>
      <c r="V293" s="231"/>
      <c r="W293" s="231"/>
      <c r="X293" s="231"/>
      <c r="Y293" s="231"/>
      <c r="Z293" s="231"/>
      <c r="AA293" s="231"/>
      <c r="AB293" s="231"/>
      <c r="AC293" s="231"/>
      <c r="AD293" s="231"/>
      <c r="AE293" s="231"/>
    </row>
    <row r="294" spans="1:31" s="203" customFormat="1">
      <c r="A294" s="439">
        <v>9</v>
      </c>
      <c r="B294" s="47" t="s">
        <v>224</v>
      </c>
      <c r="C294" s="47"/>
      <c r="D294" s="116"/>
      <c r="E294" s="114">
        <v>57</v>
      </c>
      <c r="F294" s="52">
        <v>61</v>
      </c>
      <c r="G294" s="118"/>
      <c r="H294" s="122">
        <v>62</v>
      </c>
      <c r="I294" s="21"/>
      <c r="J294" s="231"/>
      <c r="K294" s="231"/>
      <c r="L294" s="231"/>
      <c r="M294" s="231"/>
      <c r="N294" s="231"/>
      <c r="O294" s="231"/>
      <c r="P294" s="231"/>
      <c r="Q294" s="231"/>
      <c r="R294" s="231"/>
      <c r="S294" s="231"/>
      <c r="T294" s="231"/>
      <c r="U294" s="231"/>
      <c r="V294" s="231"/>
      <c r="W294" s="231"/>
      <c r="X294" s="231"/>
      <c r="Y294" s="231"/>
      <c r="Z294" s="231"/>
      <c r="AA294" s="231"/>
      <c r="AB294" s="231"/>
      <c r="AC294" s="231"/>
      <c r="AD294" s="231"/>
      <c r="AE294" s="231"/>
    </row>
    <row r="295" spans="1:31" s="203" customFormat="1">
      <c r="A295" s="120">
        <v>10</v>
      </c>
      <c r="B295" s="47" t="s">
        <v>225</v>
      </c>
      <c r="C295" s="47"/>
      <c r="D295" s="47"/>
      <c r="E295" s="114">
        <v>23</v>
      </c>
      <c r="F295" s="52">
        <v>23</v>
      </c>
      <c r="G295" s="118"/>
      <c r="H295" s="122">
        <v>23</v>
      </c>
      <c r="I295" s="21"/>
      <c r="J295" s="231"/>
      <c r="K295" s="231"/>
      <c r="L295" s="231"/>
      <c r="M295" s="231"/>
      <c r="N295" s="231"/>
      <c r="O295" s="231"/>
      <c r="P295" s="231"/>
      <c r="Q295" s="231"/>
      <c r="R295" s="231"/>
      <c r="S295" s="231"/>
      <c r="T295" s="231"/>
      <c r="U295" s="231"/>
      <c r="V295" s="231"/>
      <c r="W295" s="231"/>
      <c r="X295" s="231"/>
      <c r="Y295" s="231"/>
      <c r="Z295" s="231"/>
      <c r="AA295" s="231"/>
      <c r="AB295" s="231"/>
      <c r="AC295" s="231"/>
      <c r="AD295" s="231"/>
      <c r="AE295" s="231"/>
    </row>
    <row r="296" spans="1:31" s="203" customFormat="1">
      <c r="A296" s="439">
        <v>11</v>
      </c>
      <c r="B296" s="47" t="s">
        <v>226</v>
      </c>
      <c r="C296" s="47"/>
      <c r="D296" s="47"/>
      <c r="E296" s="114">
        <v>144</v>
      </c>
      <c r="F296" s="52">
        <v>144</v>
      </c>
      <c r="G296" s="118"/>
      <c r="H296" s="122">
        <v>146</v>
      </c>
      <c r="I296" s="21"/>
      <c r="J296" s="231"/>
      <c r="K296" s="231"/>
      <c r="L296" s="231"/>
      <c r="M296" s="231"/>
      <c r="N296" s="231"/>
      <c r="O296" s="231"/>
      <c r="P296" s="231"/>
      <c r="Q296" s="231"/>
      <c r="R296" s="231"/>
      <c r="S296" s="231"/>
      <c r="T296" s="231"/>
      <c r="U296" s="231"/>
      <c r="V296" s="231"/>
      <c r="W296" s="231"/>
      <c r="X296" s="231"/>
      <c r="Y296" s="231"/>
      <c r="Z296" s="231"/>
      <c r="AA296" s="231"/>
      <c r="AB296" s="231"/>
      <c r="AC296" s="231"/>
      <c r="AD296" s="231"/>
      <c r="AE296" s="231"/>
    </row>
    <row r="297" spans="1:31" s="203" customFormat="1">
      <c r="A297" s="120">
        <v>12</v>
      </c>
      <c r="B297" s="47" t="s">
        <v>227</v>
      </c>
      <c r="C297" s="47"/>
      <c r="D297" s="47"/>
      <c r="E297" s="114">
        <v>25</v>
      </c>
      <c r="F297" s="52">
        <v>25</v>
      </c>
      <c r="G297" s="118"/>
      <c r="H297" s="122">
        <v>30</v>
      </c>
      <c r="I297" s="21"/>
      <c r="J297" s="231"/>
      <c r="K297" s="231"/>
      <c r="L297" s="231"/>
      <c r="M297" s="231"/>
      <c r="N297" s="231"/>
      <c r="O297" s="231"/>
      <c r="P297" s="231"/>
      <c r="Q297" s="231"/>
      <c r="R297" s="231"/>
      <c r="S297" s="231"/>
      <c r="T297" s="231"/>
      <c r="U297" s="231"/>
      <c r="V297" s="231"/>
      <c r="W297" s="231"/>
      <c r="X297" s="231"/>
      <c r="Y297" s="231"/>
      <c r="Z297" s="231"/>
      <c r="AA297" s="231"/>
      <c r="AB297" s="231"/>
      <c r="AC297" s="231"/>
      <c r="AD297" s="231"/>
      <c r="AE297" s="231"/>
    </row>
    <row r="298" spans="1:31" s="203" customFormat="1">
      <c r="A298" s="439">
        <v>13</v>
      </c>
      <c r="B298" s="47" t="s">
        <v>228</v>
      </c>
      <c r="C298" s="47"/>
      <c r="D298" s="47"/>
      <c r="E298" s="114">
        <v>2388</v>
      </c>
      <c r="F298" s="52">
        <v>2415</v>
      </c>
      <c r="G298" s="118"/>
      <c r="H298" s="122">
        <v>2281</v>
      </c>
      <c r="I298" s="21"/>
      <c r="J298" s="231"/>
      <c r="K298" s="231"/>
      <c r="L298" s="231"/>
      <c r="M298" s="231"/>
      <c r="N298" s="231"/>
      <c r="O298" s="231"/>
      <c r="P298" s="231"/>
      <c r="Q298" s="231"/>
      <c r="R298" s="231"/>
      <c r="S298" s="231"/>
      <c r="T298" s="231"/>
      <c r="U298" s="231"/>
      <c r="V298" s="231"/>
      <c r="W298" s="231"/>
      <c r="X298" s="231"/>
      <c r="Y298" s="231"/>
      <c r="Z298" s="231"/>
      <c r="AA298" s="231"/>
      <c r="AB298" s="231"/>
      <c r="AC298" s="231"/>
      <c r="AD298" s="231"/>
      <c r="AE298" s="231"/>
    </row>
    <row r="299" spans="1:31" s="203" customFormat="1">
      <c r="A299" s="120">
        <v>14</v>
      </c>
      <c r="B299" s="47" t="s">
        <v>229</v>
      </c>
      <c r="C299" s="47"/>
      <c r="D299" s="116"/>
      <c r="E299" s="114">
        <v>0</v>
      </c>
      <c r="F299" s="52">
        <v>0</v>
      </c>
      <c r="G299" s="118"/>
      <c r="H299" s="122">
        <v>0</v>
      </c>
      <c r="I299" s="21"/>
      <c r="J299" s="231"/>
      <c r="K299" s="231"/>
      <c r="L299" s="231"/>
      <c r="M299" s="231"/>
      <c r="N299" s="231"/>
      <c r="O299" s="231"/>
      <c r="P299" s="231"/>
      <c r="Q299" s="231"/>
      <c r="R299" s="231"/>
      <c r="S299" s="231"/>
      <c r="T299" s="231"/>
      <c r="U299" s="231"/>
      <c r="V299" s="231"/>
      <c r="W299" s="231"/>
      <c r="X299" s="231"/>
      <c r="Y299" s="231"/>
      <c r="Z299" s="231"/>
      <c r="AA299" s="231"/>
      <c r="AB299" s="231"/>
      <c r="AC299" s="231"/>
      <c r="AD299" s="231"/>
      <c r="AE299" s="231"/>
    </row>
    <row r="300" spans="1:31" s="203" customFormat="1">
      <c r="A300" s="439">
        <v>15</v>
      </c>
      <c r="B300" s="47" t="s">
        <v>230</v>
      </c>
      <c r="C300" s="47"/>
      <c r="D300" s="116"/>
      <c r="E300" s="114">
        <v>737</v>
      </c>
      <c r="F300" s="52">
        <v>843</v>
      </c>
      <c r="G300" s="118"/>
      <c r="H300" s="122">
        <v>793</v>
      </c>
      <c r="I300" s="21"/>
      <c r="J300" s="231"/>
      <c r="K300" s="231"/>
      <c r="L300" s="231"/>
      <c r="M300" s="231"/>
      <c r="N300" s="231"/>
      <c r="O300" s="231"/>
      <c r="P300" s="231"/>
      <c r="Q300" s="231"/>
      <c r="R300" s="231"/>
      <c r="S300" s="231"/>
      <c r="T300" s="231"/>
      <c r="U300" s="231"/>
      <c r="V300" s="231"/>
      <c r="W300" s="231"/>
      <c r="X300" s="231"/>
      <c r="Y300" s="231"/>
      <c r="Z300" s="231"/>
      <c r="AA300" s="231"/>
      <c r="AB300" s="231"/>
      <c r="AC300" s="231"/>
      <c r="AD300" s="231"/>
      <c r="AE300" s="231"/>
    </row>
    <row r="301" spans="1:31" s="203" customFormat="1">
      <c r="A301" s="120">
        <v>17</v>
      </c>
      <c r="B301" s="47" t="s">
        <v>231</v>
      </c>
      <c r="C301" s="47"/>
      <c r="D301" s="47"/>
      <c r="E301" s="114">
        <v>0</v>
      </c>
      <c r="F301" s="52">
        <v>0</v>
      </c>
      <c r="G301" s="118"/>
      <c r="H301" s="99">
        <v>0</v>
      </c>
      <c r="I301" s="21"/>
      <c r="J301" s="231"/>
      <c r="K301" s="231"/>
      <c r="L301" s="231"/>
      <c r="M301" s="231"/>
      <c r="N301" s="231"/>
      <c r="O301" s="231"/>
      <c r="P301" s="231"/>
      <c r="Q301" s="231"/>
      <c r="R301" s="231"/>
      <c r="S301" s="231"/>
      <c r="T301" s="231"/>
      <c r="U301" s="231"/>
      <c r="V301" s="231"/>
      <c r="W301" s="231"/>
      <c r="X301" s="231"/>
      <c r="Y301" s="231"/>
      <c r="Z301" s="231"/>
      <c r="AA301" s="231"/>
      <c r="AB301" s="231"/>
      <c r="AC301" s="231"/>
      <c r="AD301" s="231"/>
      <c r="AE301" s="231"/>
    </row>
    <row r="302" spans="1:31" s="203" customFormat="1">
      <c r="A302" s="440">
        <v>18</v>
      </c>
      <c r="B302" s="94" t="s">
        <v>232</v>
      </c>
      <c r="C302" s="94"/>
      <c r="D302" s="94"/>
      <c r="E302" s="159">
        <v>4243</v>
      </c>
      <c r="F302" s="61">
        <f>SUM(F286:F301)</f>
        <v>4377</v>
      </c>
      <c r="G302" s="118"/>
      <c r="H302" s="61">
        <f>SUM(H286:H301)</f>
        <v>4176</v>
      </c>
      <c r="I302" s="21"/>
      <c r="J302" s="231"/>
      <c r="K302" s="231"/>
      <c r="L302" s="231"/>
      <c r="M302" s="231"/>
      <c r="N302" s="231"/>
      <c r="O302" s="231"/>
      <c r="P302" s="231"/>
      <c r="Q302" s="231"/>
      <c r="R302" s="231"/>
      <c r="S302" s="231"/>
      <c r="T302" s="231"/>
      <c r="U302" s="231"/>
      <c r="V302" s="231"/>
      <c r="W302" s="231"/>
      <c r="X302" s="231"/>
      <c r="Y302" s="231"/>
      <c r="Z302" s="231"/>
      <c r="AA302" s="231"/>
      <c r="AB302" s="231"/>
      <c r="AC302" s="231"/>
      <c r="AD302" s="231"/>
      <c r="AE302" s="231"/>
    </row>
    <row r="303" spans="1:31" s="203" customFormat="1">
      <c r="A303" s="179"/>
      <c r="B303" s="180"/>
      <c r="C303" s="180"/>
      <c r="D303" s="181"/>
      <c r="E303" s="182"/>
      <c r="F303" s="183"/>
      <c r="G303" s="21"/>
      <c r="H303" s="183"/>
      <c r="I303" s="21"/>
      <c r="J303" s="231"/>
      <c r="K303" s="231"/>
      <c r="L303" s="231"/>
      <c r="M303" s="231"/>
      <c r="N303" s="231"/>
      <c r="O303" s="231"/>
      <c r="P303" s="231"/>
      <c r="Q303" s="231"/>
      <c r="R303" s="231"/>
      <c r="S303" s="231"/>
      <c r="T303" s="231"/>
      <c r="U303" s="231"/>
      <c r="V303" s="231"/>
      <c r="W303" s="231"/>
      <c r="X303" s="231"/>
      <c r="Y303" s="231"/>
      <c r="Z303" s="231"/>
      <c r="AA303" s="231"/>
      <c r="AB303" s="231"/>
      <c r="AC303" s="231"/>
      <c r="AD303" s="231"/>
      <c r="AE303" s="231"/>
    </row>
    <row r="304" spans="1:31" s="203" customFormat="1">
      <c r="A304" s="184"/>
      <c r="B304" s="207"/>
      <c r="C304" s="207"/>
      <c r="D304" s="209"/>
      <c r="E304" s="185"/>
      <c r="F304" s="207"/>
      <c r="G304" s="207"/>
      <c r="H304" s="131" t="s">
        <v>27</v>
      </c>
      <c r="I304" s="21"/>
      <c r="J304" s="231"/>
      <c r="K304" s="231"/>
      <c r="L304" s="231"/>
      <c r="M304" s="231"/>
      <c r="N304" s="231"/>
      <c r="O304" s="231"/>
      <c r="P304" s="231"/>
      <c r="Q304" s="231"/>
      <c r="R304" s="231"/>
      <c r="S304" s="231"/>
      <c r="T304" s="231"/>
      <c r="U304" s="231"/>
      <c r="V304" s="231"/>
      <c r="W304" s="231"/>
      <c r="X304" s="231"/>
      <c r="Y304" s="231"/>
      <c r="Z304" s="231"/>
      <c r="AA304" s="231"/>
      <c r="AB304" s="231"/>
      <c r="AC304" s="231"/>
      <c r="AD304" s="231"/>
      <c r="AE304" s="231"/>
    </row>
    <row r="305" spans="1:31" s="203" customFormat="1" ht="12.75" customHeight="1">
      <c r="A305" s="106" t="s">
        <v>21</v>
      </c>
      <c r="B305" s="164"/>
      <c r="C305" s="164"/>
      <c r="D305" s="164"/>
      <c r="E305" s="856" t="s">
        <v>377</v>
      </c>
      <c r="F305" s="856" t="s">
        <v>402</v>
      </c>
      <c r="G305" s="130"/>
      <c r="H305" s="856" t="s">
        <v>403</v>
      </c>
      <c r="I305" s="21"/>
      <c r="J305" s="231"/>
      <c r="K305" s="231"/>
      <c r="L305" s="231"/>
      <c r="M305" s="231"/>
      <c r="N305" s="231"/>
      <c r="O305" s="231"/>
      <c r="P305" s="231"/>
      <c r="Q305" s="231"/>
      <c r="R305" s="231"/>
      <c r="S305" s="231"/>
      <c r="T305" s="231"/>
      <c r="U305" s="231"/>
      <c r="V305" s="231"/>
      <c r="W305" s="231"/>
      <c r="X305" s="231"/>
      <c r="Y305" s="231"/>
      <c r="Z305" s="231"/>
      <c r="AA305" s="231"/>
      <c r="AB305" s="231"/>
      <c r="AC305" s="231"/>
      <c r="AD305" s="231"/>
      <c r="AE305" s="231"/>
    </row>
    <row r="306" spans="1:31" s="203" customFormat="1">
      <c r="A306" s="165"/>
      <c r="B306" s="47"/>
      <c r="C306" s="47"/>
      <c r="D306" s="47"/>
      <c r="E306" s="859"/>
      <c r="F306" s="859"/>
      <c r="G306" s="130"/>
      <c r="H306" s="859"/>
      <c r="I306" s="21"/>
      <c r="J306" s="231"/>
      <c r="K306" s="231"/>
      <c r="L306" s="231"/>
      <c r="M306" s="231"/>
      <c r="N306" s="231"/>
      <c r="O306" s="231"/>
      <c r="P306" s="231"/>
      <c r="Q306" s="231"/>
      <c r="R306" s="231"/>
      <c r="S306" s="231"/>
      <c r="T306" s="231"/>
      <c r="U306" s="231"/>
      <c r="V306" s="231"/>
      <c r="W306" s="231"/>
      <c r="X306" s="231"/>
      <c r="Y306" s="231"/>
      <c r="Z306" s="231"/>
      <c r="AA306" s="231"/>
      <c r="AB306" s="231"/>
      <c r="AC306" s="231"/>
      <c r="AD306" s="231"/>
      <c r="AE306" s="231"/>
    </row>
    <row r="307" spans="1:31" s="203" customFormat="1" ht="12.75" customHeight="1">
      <c r="A307" s="109"/>
      <c r="B307" s="174"/>
      <c r="C307" s="174"/>
      <c r="D307" s="174"/>
      <c r="E307" s="859"/>
      <c r="F307" s="859"/>
      <c r="G307" s="130"/>
      <c r="H307" s="859"/>
      <c r="I307" s="21"/>
      <c r="J307" s="231"/>
      <c r="K307" s="231"/>
      <c r="L307" s="231"/>
      <c r="M307" s="231"/>
      <c r="N307" s="231"/>
      <c r="O307" s="231"/>
      <c r="P307" s="231"/>
      <c r="Q307" s="231"/>
      <c r="R307" s="231"/>
      <c r="S307" s="231"/>
      <c r="T307" s="231"/>
      <c r="U307" s="231"/>
      <c r="V307" s="231"/>
      <c r="W307" s="231"/>
      <c r="X307" s="231"/>
      <c r="Y307" s="231"/>
      <c r="Z307" s="231"/>
      <c r="AA307" s="231"/>
      <c r="AB307" s="231"/>
      <c r="AC307" s="231"/>
      <c r="AD307" s="231"/>
      <c r="AE307" s="231"/>
    </row>
    <row r="308" spans="1:31" s="203" customFormat="1">
      <c r="A308" s="154" t="s">
        <v>233</v>
      </c>
      <c r="B308" s="47"/>
      <c r="C308" s="47"/>
      <c r="D308" s="47"/>
      <c r="E308" s="859"/>
      <c r="F308" s="859"/>
      <c r="G308" s="130"/>
      <c r="H308" s="859"/>
      <c r="I308" s="21"/>
      <c r="J308" s="231"/>
      <c r="K308" s="231"/>
      <c r="L308" s="231"/>
      <c r="M308" s="231"/>
      <c r="N308" s="231"/>
      <c r="O308" s="231"/>
      <c r="P308" s="231"/>
      <c r="Q308" s="231"/>
      <c r="R308" s="231"/>
      <c r="S308" s="231"/>
      <c r="T308" s="231"/>
      <c r="U308" s="231"/>
      <c r="V308" s="231"/>
      <c r="W308" s="231"/>
      <c r="X308" s="231"/>
      <c r="Y308" s="231"/>
      <c r="Z308" s="231"/>
      <c r="AA308" s="231"/>
      <c r="AB308" s="231"/>
      <c r="AC308" s="231"/>
      <c r="AD308" s="231"/>
      <c r="AE308" s="231"/>
    </row>
    <row r="309" spans="1:31" s="203" customFormat="1">
      <c r="A309" s="109" t="s">
        <v>83</v>
      </c>
      <c r="B309" s="174"/>
      <c r="C309" s="174"/>
      <c r="D309" s="174"/>
      <c r="E309" s="860"/>
      <c r="F309" s="860"/>
      <c r="G309" s="130"/>
      <c r="H309" s="860"/>
      <c r="I309" s="21"/>
      <c r="J309" s="231"/>
      <c r="K309" s="231"/>
      <c r="L309" s="231"/>
      <c r="M309" s="231"/>
      <c r="N309" s="231"/>
      <c r="O309" s="231"/>
      <c r="P309" s="231"/>
      <c r="Q309" s="231"/>
      <c r="R309" s="231"/>
      <c r="S309" s="231"/>
      <c r="T309" s="231"/>
      <c r="U309" s="231"/>
      <c r="V309" s="231"/>
      <c r="W309" s="231"/>
      <c r="X309" s="231"/>
      <c r="Y309" s="231"/>
      <c r="Z309" s="231"/>
      <c r="AA309" s="231"/>
      <c r="AB309" s="231"/>
      <c r="AC309" s="231"/>
      <c r="AD309" s="231"/>
      <c r="AE309" s="231"/>
    </row>
    <row r="310" spans="1:31" s="203" customFormat="1">
      <c r="A310" s="110" t="s">
        <v>84</v>
      </c>
      <c r="B310" s="116"/>
      <c r="C310" s="116"/>
      <c r="D310" s="116"/>
      <c r="E310" s="262"/>
      <c r="F310" s="146"/>
      <c r="G310" s="118"/>
      <c r="H310" s="146"/>
      <c r="I310" s="21"/>
      <c r="J310" s="231"/>
      <c r="K310" s="231"/>
      <c r="L310" s="231"/>
      <c r="M310" s="231"/>
      <c r="N310" s="231"/>
      <c r="O310" s="231"/>
      <c r="P310" s="231"/>
      <c r="Q310" s="231"/>
      <c r="R310" s="231"/>
      <c r="S310" s="231"/>
      <c r="T310" s="231"/>
      <c r="U310" s="231"/>
      <c r="V310" s="231"/>
      <c r="W310" s="231"/>
      <c r="X310" s="231"/>
      <c r="Y310" s="231"/>
      <c r="Z310" s="231"/>
      <c r="AA310" s="231"/>
      <c r="AB310" s="231"/>
      <c r="AC310" s="231"/>
      <c r="AD310" s="231"/>
      <c r="AE310" s="231"/>
    </row>
    <row r="311" spans="1:31" s="203" customFormat="1">
      <c r="A311" s="120">
        <v>1</v>
      </c>
      <c r="B311" s="47" t="s">
        <v>258</v>
      </c>
      <c r="C311" s="47"/>
      <c r="D311" s="186"/>
      <c r="E311" s="74">
        <v>-25</v>
      </c>
      <c r="F311" s="52">
        <v>129</v>
      </c>
      <c r="G311" s="43"/>
      <c r="H311" s="52">
        <v>94</v>
      </c>
      <c r="I311" s="21"/>
      <c r="J311" s="231"/>
      <c r="K311" s="231"/>
      <c r="L311" s="231"/>
      <c r="M311" s="231"/>
      <c r="N311" s="231"/>
      <c r="O311" s="231"/>
      <c r="P311" s="231"/>
      <c r="Q311" s="231"/>
      <c r="R311" s="231"/>
      <c r="S311" s="231"/>
      <c r="T311" s="231"/>
      <c r="U311" s="231"/>
      <c r="V311" s="231"/>
      <c r="W311" s="231"/>
      <c r="X311" s="231"/>
      <c r="Y311" s="231"/>
      <c r="Z311" s="231"/>
      <c r="AA311" s="231"/>
      <c r="AB311" s="231"/>
      <c r="AC311" s="231"/>
      <c r="AD311" s="231"/>
      <c r="AE311" s="231"/>
    </row>
    <row r="312" spans="1:31" s="203" customFormat="1">
      <c r="A312" s="120">
        <v>2</v>
      </c>
      <c r="B312" s="47" t="s">
        <v>234</v>
      </c>
      <c r="C312" s="47"/>
      <c r="D312" s="186"/>
      <c r="E312" s="114">
        <v>522</v>
      </c>
      <c r="F312" s="52">
        <v>0</v>
      </c>
      <c r="G312" s="43"/>
      <c r="H312" s="52">
        <v>467</v>
      </c>
      <c r="I312" s="21"/>
      <c r="J312" s="231"/>
      <c r="K312" s="231"/>
      <c r="L312" s="231"/>
      <c r="M312" s="231"/>
      <c r="N312" s="231"/>
      <c r="O312" s="231"/>
      <c r="P312" s="231"/>
      <c r="Q312" s="231"/>
      <c r="R312" s="231"/>
      <c r="S312" s="231"/>
      <c r="T312" s="231"/>
      <c r="U312" s="231"/>
      <c r="V312" s="231"/>
      <c r="W312" s="231"/>
      <c r="X312" s="231"/>
      <c r="Y312" s="231"/>
      <c r="Z312" s="231"/>
      <c r="AA312" s="231"/>
      <c r="AB312" s="231"/>
      <c r="AC312" s="231"/>
      <c r="AD312" s="231"/>
      <c r="AE312" s="231"/>
    </row>
    <row r="313" spans="1:31" s="203" customFormat="1">
      <c r="A313" s="120">
        <v>3</v>
      </c>
      <c r="B313" s="47" t="s">
        <v>259</v>
      </c>
      <c r="C313" s="47"/>
      <c r="D313" s="186"/>
      <c r="E313" s="114">
        <v>-100</v>
      </c>
      <c r="F313" s="52">
        <v>-100</v>
      </c>
      <c r="G313" s="43"/>
      <c r="H313" s="52">
        <v>-100</v>
      </c>
      <c r="I313" s="21"/>
      <c r="J313" s="231"/>
      <c r="K313" s="231"/>
      <c r="L313" s="231"/>
      <c r="M313" s="231"/>
      <c r="N313" s="231"/>
      <c r="O313" s="231"/>
      <c r="P313" s="231"/>
      <c r="Q313" s="231"/>
      <c r="R313" s="231"/>
      <c r="S313" s="231"/>
      <c r="T313" s="231"/>
      <c r="U313" s="231"/>
      <c r="V313" s="231"/>
      <c r="W313" s="231"/>
      <c r="X313" s="231"/>
      <c r="Y313" s="231"/>
      <c r="Z313" s="231"/>
      <c r="AA313" s="231"/>
      <c r="AB313" s="231"/>
      <c r="AC313" s="231"/>
      <c r="AD313" s="231"/>
      <c r="AE313" s="231"/>
    </row>
    <row r="314" spans="1:31" s="203" customFormat="1">
      <c r="A314" s="120">
        <v>4</v>
      </c>
      <c r="B314" s="47" t="s">
        <v>235</v>
      </c>
      <c r="C314" s="47"/>
      <c r="D314" s="186"/>
      <c r="E314" s="114">
        <v>6077</v>
      </c>
      <c r="F314" s="52">
        <v>5945</v>
      </c>
      <c r="G314" s="43"/>
      <c r="H314" s="52">
        <v>6109</v>
      </c>
      <c r="I314" s="21"/>
      <c r="J314" s="231"/>
      <c r="K314" s="231"/>
      <c r="L314" s="231"/>
      <c r="M314" s="231"/>
      <c r="N314" s="231"/>
      <c r="O314" s="231"/>
      <c r="P314" s="231"/>
      <c r="Q314" s="231"/>
      <c r="R314" s="231"/>
      <c r="S314" s="231"/>
      <c r="T314" s="231"/>
      <c r="U314" s="231"/>
      <c r="V314" s="231"/>
      <c r="W314" s="231"/>
      <c r="X314" s="231"/>
      <c r="Y314" s="231"/>
      <c r="Z314" s="231"/>
      <c r="AA314" s="231"/>
      <c r="AB314" s="231"/>
      <c r="AC314" s="231"/>
      <c r="AD314" s="231"/>
      <c r="AE314" s="231"/>
    </row>
    <row r="315" spans="1:31" s="203" customFormat="1">
      <c r="A315" s="120">
        <v>5</v>
      </c>
      <c r="B315" s="47" t="s">
        <v>236</v>
      </c>
      <c r="C315" s="47"/>
      <c r="D315" s="186"/>
      <c r="E315" s="114">
        <v>0</v>
      </c>
      <c r="F315" s="52">
        <v>0</v>
      </c>
      <c r="G315" s="187"/>
      <c r="H315" s="52">
        <v>0</v>
      </c>
      <c r="I315" s="21"/>
      <c r="J315" s="231"/>
      <c r="K315" s="231"/>
      <c r="L315" s="231"/>
      <c r="M315" s="231"/>
      <c r="N315" s="231"/>
      <c r="O315" s="231"/>
      <c r="P315" s="231"/>
      <c r="Q315" s="231"/>
      <c r="R315" s="231"/>
      <c r="S315" s="231"/>
      <c r="T315" s="231"/>
      <c r="U315" s="231"/>
      <c r="V315" s="231"/>
      <c r="W315" s="231"/>
      <c r="X315" s="231"/>
      <c r="Y315" s="231"/>
      <c r="Z315" s="231"/>
      <c r="AA315" s="231"/>
      <c r="AB315" s="231"/>
      <c r="AC315" s="231"/>
      <c r="AD315" s="231"/>
      <c r="AE315" s="231"/>
    </row>
    <row r="316" spans="1:31" s="203" customFormat="1">
      <c r="A316" s="120">
        <v>6</v>
      </c>
      <c r="B316" s="47" t="s">
        <v>237</v>
      </c>
      <c r="C316" s="47"/>
      <c r="D316" s="186"/>
      <c r="E316" s="114">
        <v>8421</v>
      </c>
      <c r="F316" s="52">
        <v>8684</v>
      </c>
      <c r="G316" s="43"/>
      <c r="H316" s="52">
        <v>8086</v>
      </c>
      <c r="I316" s="21"/>
      <c r="J316" s="231"/>
      <c r="K316" s="231"/>
      <c r="L316" s="231"/>
      <c r="M316" s="231"/>
      <c r="N316" s="231"/>
      <c r="O316" s="231"/>
      <c r="P316" s="231"/>
      <c r="Q316" s="231"/>
      <c r="R316" s="231"/>
      <c r="S316" s="231"/>
      <c r="T316" s="231"/>
      <c r="U316" s="231"/>
      <c r="V316" s="231"/>
      <c r="W316" s="231"/>
      <c r="X316" s="231"/>
      <c r="Y316" s="231"/>
      <c r="Z316" s="231"/>
      <c r="AA316" s="231"/>
      <c r="AB316" s="231"/>
      <c r="AC316" s="231"/>
      <c r="AD316" s="231"/>
      <c r="AE316" s="231"/>
    </row>
    <row r="317" spans="1:31" s="203" customFormat="1">
      <c r="A317" s="120">
        <v>7</v>
      </c>
      <c r="B317" s="47" t="s">
        <v>238</v>
      </c>
      <c r="C317" s="47"/>
      <c r="D317" s="186"/>
      <c r="E317" s="114">
        <v>154</v>
      </c>
      <c r="F317" s="52">
        <v>154</v>
      </c>
      <c r="G317" s="43"/>
      <c r="H317" s="52">
        <v>154</v>
      </c>
      <c r="I317" s="21"/>
      <c r="J317" s="231"/>
      <c r="K317" s="231"/>
      <c r="L317" s="231"/>
      <c r="M317" s="231"/>
      <c r="N317" s="231"/>
      <c r="O317" s="231"/>
      <c r="P317" s="231"/>
      <c r="Q317" s="231"/>
      <c r="R317" s="231"/>
      <c r="S317" s="231"/>
      <c r="T317" s="231"/>
      <c r="U317" s="231"/>
      <c r="V317" s="231"/>
      <c r="W317" s="231"/>
      <c r="X317" s="231"/>
      <c r="Y317" s="231"/>
      <c r="Z317" s="231"/>
      <c r="AA317" s="231"/>
      <c r="AB317" s="231"/>
      <c r="AC317" s="231"/>
      <c r="AD317" s="231"/>
      <c r="AE317" s="231"/>
    </row>
    <row r="318" spans="1:31" s="203" customFormat="1">
      <c r="A318" s="120">
        <v>8</v>
      </c>
      <c r="B318" s="47" t="s">
        <v>239</v>
      </c>
      <c r="C318" s="47"/>
      <c r="D318" s="186"/>
      <c r="E318" s="114">
        <v>86</v>
      </c>
      <c r="F318" s="52">
        <v>86</v>
      </c>
      <c r="G318" s="43"/>
      <c r="H318" s="52">
        <v>76</v>
      </c>
      <c r="I318" s="21"/>
      <c r="J318" s="231"/>
      <c r="K318" s="231"/>
      <c r="L318" s="231"/>
      <c r="M318" s="231"/>
      <c r="N318" s="231"/>
      <c r="O318" s="231"/>
      <c r="P318" s="231"/>
      <c r="Q318" s="231"/>
      <c r="R318" s="231"/>
      <c r="S318" s="231"/>
      <c r="T318" s="231"/>
      <c r="U318" s="231"/>
      <c r="V318" s="231"/>
      <c r="W318" s="231"/>
      <c r="X318" s="231"/>
      <c r="Y318" s="231"/>
      <c r="Z318" s="231"/>
      <c r="AA318" s="231"/>
      <c r="AB318" s="231"/>
      <c r="AC318" s="231"/>
      <c r="AD318" s="231"/>
      <c r="AE318" s="231"/>
    </row>
    <row r="319" spans="1:31" s="203" customFormat="1">
      <c r="A319" s="439">
        <v>9</v>
      </c>
      <c r="B319" s="90" t="s">
        <v>260</v>
      </c>
      <c r="C319" s="47"/>
      <c r="D319" s="47"/>
      <c r="E319" s="114">
        <v>200</v>
      </c>
      <c r="F319" s="188"/>
      <c r="G319" s="43"/>
      <c r="H319" s="189">
        <v>200</v>
      </c>
      <c r="I319" s="21"/>
      <c r="J319" s="231"/>
      <c r="K319" s="231"/>
      <c r="L319" s="231"/>
      <c r="M319" s="231"/>
      <c r="N319" s="231"/>
      <c r="O319" s="231"/>
      <c r="P319" s="231"/>
      <c r="Q319" s="231"/>
      <c r="R319" s="231"/>
      <c r="S319" s="231"/>
      <c r="T319" s="231"/>
      <c r="U319" s="231"/>
      <c r="V319" s="231"/>
      <c r="W319" s="231"/>
      <c r="X319" s="231"/>
      <c r="Y319" s="231"/>
      <c r="Z319" s="231"/>
      <c r="AA319" s="231"/>
      <c r="AB319" s="231"/>
      <c r="AC319" s="231"/>
      <c r="AD319" s="231"/>
      <c r="AE319" s="231"/>
    </row>
    <row r="320" spans="1:31" s="203" customFormat="1">
      <c r="A320" s="124">
        <v>10</v>
      </c>
      <c r="B320" s="94" t="s">
        <v>62</v>
      </c>
      <c r="C320" s="94"/>
      <c r="D320" s="94"/>
      <c r="E320" s="159">
        <v>15335</v>
      </c>
      <c r="F320" s="61">
        <f>F311+F312+F313+F314+F315+F316+F317+F318</f>
        <v>14898</v>
      </c>
      <c r="G320" s="118"/>
      <c r="H320" s="61">
        <f>H311+H312+H313+H314+H315+H316+H317+H318+H319</f>
        <v>15086</v>
      </c>
      <c r="I320" s="183"/>
      <c r="J320" s="231"/>
      <c r="K320" s="231"/>
      <c r="L320" s="231"/>
      <c r="M320" s="231"/>
      <c r="N320" s="231"/>
      <c r="O320" s="231"/>
      <c r="P320" s="231"/>
      <c r="Q320" s="231"/>
      <c r="R320" s="231"/>
      <c r="S320" s="231"/>
      <c r="T320" s="231"/>
      <c r="U320" s="231"/>
      <c r="V320" s="231"/>
      <c r="W320" s="231"/>
      <c r="X320" s="231"/>
      <c r="Y320" s="231"/>
      <c r="Z320" s="231"/>
      <c r="AA320" s="231"/>
      <c r="AB320" s="231"/>
      <c r="AC320" s="231"/>
      <c r="AD320" s="231"/>
      <c r="AE320" s="231"/>
    </row>
    <row r="321" spans="1:31" s="203" customFormat="1">
      <c r="A321" s="179"/>
      <c r="B321" s="180"/>
      <c r="C321" s="180"/>
      <c r="D321" s="180"/>
      <c r="E321" s="180"/>
      <c r="F321" s="183"/>
      <c r="G321" s="21"/>
      <c r="H321" s="183"/>
      <c r="I321" s="183"/>
      <c r="J321" s="231"/>
      <c r="K321" s="231"/>
      <c r="L321" s="231"/>
      <c r="M321" s="231"/>
      <c r="N321" s="231"/>
      <c r="O321" s="231"/>
      <c r="P321" s="231"/>
      <c r="Q321" s="231"/>
      <c r="R321" s="231"/>
      <c r="S321" s="231"/>
      <c r="T321" s="231"/>
      <c r="U321" s="231"/>
      <c r="V321" s="231"/>
      <c r="W321" s="231"/>
      <c r="X321" s="231"/>
      <c r="Y321" s="231"/>
      <c r="Z321" s="231"/>
      <c r="AA321" s="231"/>
      <c r="AB321" s="231"/>
      <c r="AC321" s="231"/>
      <c r="AD321" s="231"/>
      <c r="AE321" s="231"/>
    </row>
    <row r="322" spans="1:31" s="203" customFormat="1">
      <c r="A322" s="148"/>
      <c r="B322" s="207"/>
      <c r="C322" s="207"/>
      <c r="D322" s="29"/>
      <c r="E322" s="29"/>
      <c r="F322" s="29"/>
      <c r="G322" s="29"/>
      <c r="H322" s="31" t="s">
        <v>27</v>
      </c>
      <c r="I322" s="2"/>
      <c r="J322" s="231"/>
      <c r="K322" s="231"/>
      <c r="L322" s="231"/>
      <c r="M322" s="231"/>
      <c r="N322" s="231"/>
      <c r="O322" s="231"/>
      <c r="P322" s="231"/>
      <c r="Q322" s="231"/>
      <c r="R322" s="231"/>
      <c r="S322" s="231"/>
      <c r="T322" s="231"/>
      <c r="U322" s="231"/>
      <c r="V322" s="231"/>
      <c r="W322" s="231"/>
      <c r="X322" s="231"/>
      <c r="Y322" s="231"/>
      <c r="Z322" s="231"/>
      <c r="AA322" s="231"/>
      <c r="AB322" s="231"/>
      <c r="AC322" s="231"/>
      <c r="AD322" s="231"/>
      <c r="AE322" s="231"/>
    </row>
    <row r="323" spans="1:31" s="203" customFormat="1">
      <c r="A323" s="190" t="s">
        <v>240</v>
      </c>
      <c r="B323" s="263"/>
      <c r="C323" s="861" t="s">
        <v>405</v>
      </c>
      <c r="D323" s="862"/>
      <c r="E323" s="862"/>
      <c r="F323" s="862"/>
      <c r="G323" s="862"/>
      <c r="H323" s="863"/>
      <c r="I323" s="210"/>
      <c r="J323" s="231"/>
      <c r="K323" s="231"/>
      <c r="L323" s="231"/>
      <c r="M323" s="231"/>
      <c r="N323" s="231"/>
      <c r="O323" s="231"/>
      <c r="P323" s="231"/>
      <c r="Q323" s="231"/>
      <c r="R323" s="231"/>
      <c r="S323" s="231"/>
      <c r="T323" s="231"/>
      <c r="U323" s="231"/>
      <c r="V323" s="231"/>
      <c r="W323" s="231"/>
      <c r="X323" s="231"/>
      <c r="Y323" s="231"/>
      <c r="Z323" s="231"/>
      <c r="AA323" s="231"/>
      <c r="AB323" s="231"/>
      <c r="AC323" s="231"/>
      <c r="AD323" s="231"/>
      <c r="AE323" s="231"/>
    </row>
    <row r="324" spans="1:31" s="203" customFormat="1" ht="39" thickBot="1">
      <c r="A324" s="110" t="s">
        <v>84</v>
      </c>
      <c r="B324" s="116"/>
      <c r="C324" s="35" t="s">
        <v>52</v>
      </c>
      <c r="D324" s="35" t="s">
        <v>53</v>
      </c>
      <c r="E324" s="37" t="s">
        <v>54</v>
      </c>
      <c r="F324" s="37" t="s">
        <v>55</v>
      </c>
      <c r="G324" s="37" t="s">
        <v>241</v>
      </c>
      <c r="H324" s="35" t="s">
        <v>121</v>
      </c>
      <c r="I324" s="29"/>
      <c r="J324" s="231"/>
      <c r="K324" s="231"/>
      <c r="L324" s="231"/>
      <c r="M324" s="231"/>
      <c r="N324" s="231"/>
      <c r="O324" s="231"/>
      <c r="P324" s="231"/>
      <c r="Q324" s="231"/>
      <c r="R324" s="231"/>
      <c r="S324" s="231"/>
      <c r="T324" s="231"/>
      <c r="U324" s="231"/>
      <c r="V324" s="231"/>
      <c r="W324" s="231"/>
      <c r="X324" s="231"/>
      <c r="Y324" s="231"/>
      <c r="Z324" s="231"/>
      <c r="AA324" s="231"/>
      <c r="AB324" s="231"/>
      <c r="AC324" s="231"/>
      <c r="AD324" s="231"/>
      <c r="AE324" s="231"/>
    </row>
    <row r="325" spans="1:31" s="203" customFormat="1" ht="13.5" thickBot="1">
      <c r="A325" s="439">
        <v>1</v>
      </c>
      <c r="B325" s="116" t="s">
        <v>242</v>
      </c>
      <c r="C325" s="193">
        <f t="shared" ref="C325:H325" si="0">SUM(C326:C329)</f>
        <v>0</v>
      </c>
      <c r="D325" s="193">
        <f t="shared" si="0"/>
        <v>0</v>
      </c>
      <c r="E325" s="193">
        <v>0</v>
      </c>
      <c r="F325" s="193">
        <f t="shared" si="0"/>
        <v>0</v>
      </c>
      <c r="G325" s="193">
        <f>SUM(G326:G329)</f>
        <v>0</v>
      </c>
      <c r="H325" s="193">
        <f t="shared" si="0"/>
        <v>0</v>
      </c>
      <c r="I325" s="207"/>
      <c r="J325" s="231"/>
      <c r="K325" s="231"/>
      <c r="L325" s="231"/>
      <c r="M325" s="231"/>
      <c r="N325" s="231"/>
      <c r="O325" s="231"/>
      <c r="P325" s="231"/>
      <c r="Q325" s="231"/>
      <c r="R325" s="231"/>
      <c r="S325" s="231"/>
      <c r="T325" s="231"/>
      <c r="U325" s="231"/>
      <c r="V325" s="231"/>
      <c r="W325" s="231"/>
      <c r="X325" s="231"/>
      <c r="Y325" s="231"/>
      <c r="Z325" s="231"/>
      <c r="AA325" s="231"/>
      <c r="AB325" s="231"/>
      <c r="AC325" s="231"/>
      <c r="AD325" s="231"/>
      <c r="AE325" s="231"/>
    </row>
    <row r="326" spans="1:31" s="203" customFormat="1">
      <c r="A326" s="439">
        <v>2</v>
      </c>
      <c r="B326" s="47" t="s">
        <v>243</v>
      </c>
      <c r="C326" s="169">
        <v>0</v>
      </c>
      <c r="D326" s="169">
        <v>0</v>
      </c>
      <c r="E326" s="169">
        <v>0</v>
      </c>
      <c r="F326" s="169">
        <v>0</v>
      </c>
      <c r="G326" s="169">
        <v>0</v>
      </c>
      <c r="H326" s="169">
        <v>0</v>
      </c>
      <c r="I326" s="207"/>
      <c r="J326" s="231"/>
      <c r="K326" s="231"/>
      <c r="L326" s="231"/>
      <c r="M326" s="231"/>
      <c r="N326" s="231"/>
      <c r="O326" s="231"/>
      <c r="P326" s="231"/>
      <c r="Q326" s="231"/>
      <c r="R326" s="231"/>
      <c r="S326" s="231"/>
      <c r="T326" s="231"/>
      <c r="U326" s="231"/>
      <c r="V326" s="231"/>
      <c r="W326" s="231"/>
      <c r="X326" s="231"/>
      <c r="Y326" s="231"/>
      <c r="Z326" s="231"/>
      <c r="AA326" s="231"/>
      <c r="AB326" s="231"/>
      <c r="AC326" s="231"/>
      <c r="AD326" s="231"/>
      <c r="AE326" s="231"/>
    </row>
    <row r="327" spans="1:31" s="203" customFormat="1">
      <c r="A327" s="439">
        <v>3</v>
      </c>
      <c r="B327" s="47" t="s">
        <v>244</v>
      </c>
      <c r="C327" s="169">
        <v>0</v>
      </c>
      <c r="D327" s="169">
        <v>0</v>
      </c>
      <c r="E327" s="169">
        <v>0</v>
      </c>
      <c r="F327" s="169">
        <v>0</v>
      </c>
      <c r="G327" s="169">
        <v>0</v>
      </c>
      <c r="H327" s="169">
        <v>0</v>
      </c>
      <c r="I327" s="207"/>
      <c r="J327" s="231"/>
      <c r="K327" s="231"/>
      <c r="L327" s="231"/>
      <c r="M327" s="231"/>
      <c r="N327" s="231"/>
      <c r="O327" s="231"/>
      <c r="P327" s="231"/>
      <c r="Q327" s="231"/>
      <c r="R327" s="231"/>
      <c r="S327" s="231"/>
      <c r="T327" s="231"/>
      <c r="U327" s="231"/>
      <c r="V327" s="231"/>
      <c r="W327" s="231"/>
      <c r="X327" s="231"/>
      <c r="Y327" s="231"/>
      <c r="Z327" s="231"/>
      <c r="AA327" s="231"/>
      <c r="AB327" s="231"/>
      <c r="AC327" s="231"/>
      <c r="AD327" s="231"/>
      <c r="AE327" s="231"/>
    </row>
    <row r="328" spans="1:31" s="203" customFormat="1">
      <c r="A328" s="439">
        <v>4</v>
      </c>
      <c r="B328" s="47" t="s">
        <v>245</v>
      </c>
      <c r="C328" s="169">
        <v>0</v>
      </c>
      <c r="D328" s="169">
        <v>0</v>
      </c>
      <c r="E328" s="169">
        <v>0</v>
      </c>
      <c r="F328" s="169">
        <v>0</v>
      </c>
      <c r="G328" s="169">
        <v>0</v>
      </c>
      <c r="H328" s="169">
        <v>0</v>
      </c>
      <c r="I328" s="207"/>
      <c r="J328" s="231"/>
      <c r="K328" s="231"/>
      <c r="L328" s="231"/>
      <c r="M328" s="231"/>
      <c r="N328" s="231"/>
      <c r="O328" s="231"/>
      <c r="P328" s="231"/>
      <c r="Q328" s="231"/>
      <c r="R328" s="231"/>
      <c r="S328" s="231"/>
      <c r="T328" s="231"/>
      <c r="U328" s="231"/>
      <c r="V328" s="231"/>
      <c r="W328" s="231"/>
      <c r="X328" s="231"/>
      <c r="Y328" s="231"/>
      <c r="Z328" s="231"/>
      <c r="AA328" s="231"/>
      <c r="AB328" s="231"/>
      <c r="AC328" s="231"/>
      <c r="AD328" s="231"/>
      <c r="AE328" s="231"/>
    </row>
    <row r="329" spans="1:31" s="203" customFormat="1">
      <c r="A329" s="440">
        <v>5</v>
      </c>
      <c r="B329" s="54" t="s">
        <v>246</v>
      </c>
      <c r="C329" s="169">
        <v>0</v>
      </c>
      <c r="D329" s="169">
        <v>0</v>
      </c>
      <c r="E329" s="169">
        <v>0</v>
      </c>
      <c r="F329" s="169">
        <v>0</v>
      </c>
      <c r="G329" s="169">
        <v>0</v>
      </c>
      <c r="H329" s="169">
        <v>0</v>
      </c>
      <c r="I329" s="207"/>
      <c r="J329" s="231"/>
      <c r="K329" s="231"/>
      <c r="L329" s="231"/>
      <c r="M329" s="231"/>
      <c r="N329" s="231"/>
      <c r="O329" s="231"/>
      <c r="P329" s="231"/>
      <c r="Q329" s="231"/>
      <c r="R329" s="231"/>
      <c r="S329" s="231"/>
      <c r="T329" s="231"/>
      <c r="U329" s="231"/>
      <c r="V329" s="231"/>
      <c r="W329" s="231"/>
      <c r="X329" s="231"/>
      <c r="Y329" s="231"/>
      <c r="Z329" s="231"/>
      <c r="AA329" s="231"/>
      <c r="AB329" s="231"/>
      <c r="AC329" s="231"/>
      <c r="AD329" s="231"/>
      <c r="AE329" s="231"/>
    </row>
    <row r="330" spans="1:31" s="203" customFormat="1">
      <c r="A330" s="439"/>
      <c r="B330" s="47"/>
      <c r="C330" s="864" t="s">
        <v>404</v>
      </c>
      <c r="D330" s="865"/>
      <c r="E330" s="865"/>
      <c r="F330" s="865"/>
      <c r="G330" s="865"/>
      <c r="H330" s="866"/>
      <c r="I330" s="207"/>
      <c r="J330" s="231"/>
      <c r="K330" s="231"/>
      <c r="L330" s="231"/>
      <c r="M330" s="231"/>
      <c r="N330" s="231"/>
      <c r="O330" s="231"/>
      <c r="P330" s="231"/>
      <c r="Q330" s="231"/>
      <c r="R330" s="231"/>
      <c r="S330" s="231"/>
      <c r="T330" s="231"/>
      <c r="U330" s="231"/>
      <c r="V330" s="231"/>
      <c r="W330" s="231"/>
      <c r="X330" s="231"/>
      <c r="Y330" s="231"/>
      <c r="Z330" s="231"/>
      <c r="AA330" s="231"/>
      <c r="AB330" s="231"/>
      <c r="AC330" s="231"/>
      <c r="AD330" s="231"/>
      <c r="AE330" s="231"/>
    </row>
    <row r="331" spans="1:31" s="203" customFormat="1" ht="39" thickBot="1">
      <c r="A331" s="110" t="s">
        <v>84</v>
      </c>
      <c r="B331" s="116"/>
      <c r="C331" s="35" t="s">
        <v>52</v>
      </c>
      <c r="D331" s="35" t="s">
        <v>53</v>
      </c>
      <c r="E331" s="37" t="s">
        <v>54</v>
      </c>
      <c r="F331" s="37" t="s">
        <v>55</v>
      </c>
      <c r="G331" s="37" t="s">
        <v>241</v>
      </c>
      <c r="H331" s="35" t="s">
        <v>121</v>
      </c>
      <c r="I331" s="207"/>
      <c r="J331" s="231"/>
      <c r="K331" s="231"/>
      <c r="L331" s="231"/>
      <c r="M331" s="231"/>
      <c r="N331" s="231"/>
      <c r="O331" s="231"/>
      <c r="P331" s="231"/>
      <c r="Q331" s="231"/>
      <c r="R331" s="231"/>
      <c r="S331" s="231"/>
      <c r="T331" s="231"/>
      <c r="U331" s="231"/>
      <c r="V331" s="231"/>
      <c r="W331" s="231"/>
      <c r="X331" s="231"/>
      <c r="Y331" s="231"/>
      <c r="Z331" s="231"/>
      <c r="AA331" s="231"/>
      <c r="AB331" s="231"/>
      <c r="AC331" s="231"/>
      <c r="AD331" s="231"/>
      <c r="AE331" s="231"/>
    </row>
    <row r="332" spans="1:31" s="203" customFormat="1" ht="13.5" thickBot="1">
      <c r="A332" s="439">
        <v>1</v>
      </c>
      <c r="B332" s="116" t="s">
        <v>242</v>
      </c>
      <c r="C332" s="193">
        <f t="shared" ref="C332:H332" si="1">SUM(C333:C336)</f>
        <v>0</v>
      </c>
      <c r="D332" s="193">
        <f t="shared" si="1"/>
        <v>0</v>
      </c>
      <c r="E332" s="193">
        <v>0</v>
      </c>
      <c r="F332" s="193">
        <f t="shared" si="1"/>
        <v>0</v>
      </c>
      <c r="G332" s="193">
        <f>SUM(G333:G336)</f>
        <v>0</v>
      </c>
      <c r="H332" s="193">
        <f t="shared" si="1"/>
        <v>0</v>
      </c>
      <c r="I332" s="207"/>
      <c r="J332" s="231"/>
      <c r="K332" s="231"/>
      <c r="L332" s="231"/>
      <c r="M332" s="231"/>
      <c r="N332" s="231"/>
      <c r="O332" s="231"/>
      <c r="P332" s="231"/>
      <c r="Q332" s="231"/>
      <c r="R332" s="231"/>
      <c r="S332" s="231"/>
      <c r="T332" s="231"/>
      <c r="U332" s="231"/>
      <c r="V332" s="231"/>
      <c r="W332" s="231"/>
      <c r="X332" s="231"/>
      <c r="Y332" s="231"/>
      <c r="Z332" s="231"/>
      <c r="AA332" s="231"/>
      <c r="AB332" s="231"/>
      <c r="AC332" s="231"/>
      <c r="AD332" s="231"/>
      <c r="AE332" s="231"/>
    </row>
    <row r="333" spans="1:31" s="203" customFormat="1">
      <c r="A333" s="439">
        <v>2</v>
      </c>
      <c r="B333" s="47" t="s">
        <v>243</v>
      </c>
      <c r="C333" s="169">
        <v>0</v>
      </c>
      <c r="D333" s="169">
        <v>0</v>
      </c>
      <c r="E333" s="169">
        <v>0</v>
      </c>
      <c r="F333" s="169">
        <v>0</v>
      </c>
      <c r="G333" s="169">
        <v>0</v>
      </c>
      <c r="H333" s="169">
        <v>0</v>
      </c>
      <c r="I333" s="207"/>
      <c r="J333" s="231"/>
      <c r="K333" s="231"/>
      <c r="L333" s="231"/>
      <c r="M333" s="231"/>
      <c r="N333" s="231"/>
      <c r="O333" s="231"/>
      <c r="P333" s="231"/>
      <c r="Q333" s="231"/>
      <c r="R333" s="231"/>
      <c r="S333" s="231"/>
      <c r="T333" s="231"/>
      <c r="U333" s="231"/>
      <c r="V333" s="231"/>
      <c r="W333" s="231"/>
      <c r="X333" s="231"/>
      <c r="Y333" s="231"/>
      <c r="Z333" s="231"/>
      <c r="AA333" s="231"/>
      <c r="AB333" s="231"/>
      <c r="AC333" s="231"/>
      <c r="AD333" s="231"/>
      <c r="AE333" s="231"/>
    </row>
    <row r="334" spans="1:31" s="203" customFormat="1">
      <c r="A334" s="439">
        <v>3</v>
      </c>
      <c r="B334" s="47" t="s">
        <v>244</v>
      </c>
      <c r="C334" s="169">
        <v>0</v>
      </c>
      <c r="D334" s="169">
        <v>0</v>
      </c>
      <c r="E334" s="169">
        <v>0</v>
      </c>
      <c r="F334" s="169">
        <v>0</v>
      </c>
      <c r="G334" s="169">
        <v>0</v>
      </c>
      <c r="H334" s="169">
        <v>0</v>
      </c>
      <c r="I334" s="207"/>
      <c r="J334" s="231"/>
      <c r="K334" s="231"/>
      <c r="L334" s="231"/>
      <c r="M334" s="231"/>
      <c r="N334" s="231"/>
      <c r="O334" s="231"/>
      <c r="P334" s="231"/>
      <c r="Q334" s="231"/>
      <c r="R334" s="231"/>
      <c r="S334" s="231"/>
      <c r="T334" s="231"/>
      <c r="U334" s="231"/>
      <c r="V334" s="231"/>
      <c r="W334" s="231"/>
      <c r="X334" s="231"/>
      <c r="Y334" s="231"/>
      <c r="Z334" s="231"/>
      <c r="AA334" s="231"/>
      <c r="AB334" s="231"/>
      <c r="AC334" s="231"/>
      <c r="AD334" s="231"/>
      <c r="AE334" s="231"/>
    </row>
    <row r="335" spans="1:31" s="203" customFormat="1">
      <c r="A335" s="439">
        <v>4</v>
      </c>
      <c r="B335" s="47" t="s">
        <v>245</v>
      </c>
      <c r="C335" s="169">
        <v>0</v>
      </c>
      <c r="D335" s="169">
        <v>0</v>
      </c>
      <c r="E335" s="169">
        <v>0</v>
      </c>
      <c r="F335" s="169">
        <v>0</v>
      </c>
      <c r="G335" s="169">
        <v>0</v>
      </c>
      <c r="H335" s="169">
        <v>0</v>
      </c>
      <c r="I335" s="207"/>
      <c r="J335" s="231"/>
      <c r="K335" s="231"/>
      <c r="L335" s="231"/>
      <c r="M335" s="231"/>
      <c r="N335" s="231"/>
      <c r="O335" s="231"/>
      <c r="P335" s="231"/>
      <c r="Q335" s="231"/>
      <c r="R335" s="231"/>
      <c r="S335" s="231"/>
      <c r="T335" s="231"/>
      <c r="U335" s="231"/>
      <c r="V335" s="231"/>
      <c r="W335" s="231"/>
      <c r="X335" s="231"/>
      <c r="Y335" s="231"/>
      <c r="Z335" s="231"/>
      <c r="AA335" s="231"/>
      <c r="AB335" s="231"/>
      <c r="AC335" s="231"/>
      <c r="AD335" s="231"/>
      <c r="AE335" s="231"/>
    </row>
    <row r="336" spans="1:31" s="203" customFormat="1">
      <c r="A336" s="440">
        <v>5</v>
      </c>
      <c r="B336" s="54" t="s">
        <v>246</v>
      </c>
      <c r="C336" s="169">
        <v>0</v>
      </c>
      <c r="D336" s="169">
        <v>0</v>
      </c>
      <c r="E336" s="169">
        <v>0</v>
      </c>
      <c r="F336" s="169">
        <v>0</v>
      </c>
      <c r="G336" s="169">
        <v>0</v>
      </c>
      <c r="H336" s="169">
        <v>0</v>
      </c>
      <c r="I336" s="207"/>
      <c r="J336" s="231"/>
      <c r="K336" s="231"/>
      <c r="L336" s="231"/>
      <c r="M336" s="231"/>
      <c r="N336" s="231"/>
      <c r="O336" s="231"/>
      <c r="P336" s="231"/>
      <c r="Q336" s="231"/>
      <c r="R336" s="231"/>
      <c r="S336" s="231"/>
      <c r="T336" s="231"/>
      <c r="U336" s="231"/>
      <c r="V336" s="231"/>
      <c r="W336" s="231"/>
      <c r="X336" s="231"/>
      <c r="Y336" s="231"/>
      <c r="Z336" s="231"/>
      <c r="AA336" s="231"/>
      <c r="AB336" s="231"/>
      <c r="AC336" s="231"/>
      <c r="AD336" s="231"/>
      <c r="AE336" s="231"/>
    </row>
    <row r="337" spans="1:31" s="203" customFormat="1">
      <c r="A337" s="23"/>
      <c r="B337" s="207"/>
      <c r="C337" s="207"/>
      <c r="D337" s="207"/>
      <c r="E337" s="207"/>
      <c r="F337" s="207"/>
      <c r="G337" s="207"/>
      <c r="H337" s="21"/>
      <c r="I337" s="21"/>
      <c r="J337" s="231"/>
      <c r="K337" s="231"/>
      <c r="L337" s="231"/>
      <c r="M337" s="231"/>
      <c r="N337" s="231"/>
      <c r="O337" s="231"/>
      <c r="P337" s="231"/>
      <c r="Q337" s="231"/>
      <c r="R337" s="231"/>
      <c r="S337" s="231"/>
      <c r="T337" s="231"/>
      <c r="U337" s="231"/>
      <c r="V337" s="231"/>
      <c r="W337" s="231"/>
      <c r="X337" s="231"/>
      <c r="Y337" s="231"/>
      <c r="Z337" s="231"/>
      <c r="AA337" s="231"/>
      <c r="AB337" s="231"/>
      <c r="AC337" s="231"/>
      <c r="AD337" s="231"/>
      <c r="AE337" s="231"/>
    </row>
    <row r="338" spans="1:31" s="203" customFormat="1" ht="12.75" customHeight="1">
      <c r="A338" s="23"/>
      <c r="B338" s="207"/>
      <c r="C338" s="207"/>
      <c r="D338" s="207"/>
      <c r="E338" s="207"/>
      <c r="F338" s="207"/>
      <c r="G338" s="207"/>
      <c r="H338" s="21"/>
      <c r="I338" s="21"/>
      <c r="J338" s="231"/>
      <c r="K338" s="231"/>
      <c r="L338" s="231"/>
      <c r="M338" s="231"/>
      <c r="N338" s="231"/>
      <c r="O338" s="231"/>
      <c r="P338" s="231"/>
      <c r="Q338" s="231"/>
      <c r="R338" s="231"/>
      <c r="S338" s="231"/>
      <c r="T338" s="231"/>
      <c r="U338" s="231"/>
      <c r="V338" s="231"/>
      <c r="W338" s="231"/>
      <c r="X338" s="231"/>
      <c r="Y338" s="231"/>
      <c r="Z338" s="231"/>
      <c r="AA338" s="231"/>
      <c r="AB338" s="231"/>
      <c r="AC338" s="231"/>
      <c r="AD338" s="231"/>
      <c r="AE338" s="231"/>
    </row>
    <row r="339" spans="1:31" s="203" customFormat="1">
      <c r="A339" s="23"/>
      <c r="B339" s="207"/>
      <c r="C339" s="207"/>
      <c r="D339" s="207"/>
      <c r="E339" s="207"/>
      <c r="F339" s="207"/>
      <c r="G339" s="207"/>
      <c r="H339" s="21"/>
      <c r="I339" s="21"/>
      <c r="J339" s="231"/>
      <c r="K339" s="231"/>
      <c r="L339" s="231"/>
      <c r="M339" s="231"/>
      <c r="N339" s="231"/>
      <c r="O339" s="231"/>
      <c r="P339" s="231"/>
      <c r="Q339" s="231"/>
      <c r="R339" s="231"/>
      <c r="S339" s="231"/>
      <c r="T339" s="231"/>
      <c r="U339" s="231"/>
      <c r="V339" s="231"/>
      <c r="W339" s="231"/>
      <c r="X339" s="231"/>
      <c r="Y339" s="231"/>
      <c r="Z339" s="231"/>
      <c r="AA339" s="231"/>
      <c r="AB339" s="231"/>
      <c r="AC339" s="231"/>
      <c r="AD339" s="231"/>
      <c r="AE339" s="231"/>
    </row>
    <row r="340" spans="1:31" s="203" customFormat="1">
      <c r="A340" s="23"/>
      <c r="B340" s="207"/>
      <c r="C340" s="207"/>
      <c r="D340" s="207"/>
      <c r="E340" s="207"/>
      <c r="F340" s="207"/>
      <c r="G340" s="207"/>
      <c r="H340" s="131" t="s">
        <v>27</v>
      </c>
      <c r="I340" s="21"/>
      <c r="J340" s="231"/>
      <c r="K340" s="231"/>
      <c r="L340" s="231"/>
      <c r="M340" s="231"/>
      <c r="N340" s="231"/>
      <c r="O340" s="231"/>
      <c r="P340" s="231"/>
      <c r="Q340" s="231"/>
      <c r="R340" s="231"/>
      <c r="S340" s="231"/>
      <c r="T340" s="231"/>
      <c r="U340" s="231"/>
      <c r="V340" s="231"/>
      <c r="W340" s="231"/>
      <c r="X340" s="231"/>
      <c r="Y340" s="231"/>
      <c r="Z340" s="231"/>
      <c r="AA340" s="231"/>
      <c r="AB340" s="231"/>
      <c r="AC340" s="231"/>
      <c r="AD340" s="231"/>
      <c r="AE340" s="231"/>
    </row>
    <row r="341" spans="1:31" s="203" customFormat="1">
      <c r="A341" s="197"/>
      <c r="B341" s="69"/>
      <c r="C341" s="69"/>
      <c r="D341" s="69"/>
      <c r="E341" s="856" t="s">
        <v>377</v>
      </c>
      <c r="F341" s="853" t="s">
        <v>402</v>
      </c>
      <c r="G341" s="207"/>
      <c r="H341" s="856" t="s">
        <v>403</v>
      </c>
      <c r="I341" s="21"/>
      <c r="J341" s="231"/>
      <c r="K341" s="231"/>
      <c r="L341" s="231"/>
      <c r="M341" s="231"/>
      <c r="N341" s="231"/>
      <c r="O341" s="231"/>
      <c r="P341" s="231"/>
      <c r="Q341" s="231"/>
      <c r="R341" s="231"/>
      <c r="S341" s="231"/>
      <c r="T341" s="231"/>
      <c r="U341" s="231"/>
      <c r="V341" s="231"/>
      <c r="W341" s="231"/>
      <c r="X341" s="231"/>
      <c r="Y341" s="231"/>
      <c r="Z341" s="231"/>
      <c r="AA341" s="231"/>
      <c r="AB341" s="231"/>
      <c r="AC341" s="231"/>
      <c r="AD341" s="231"/>
      <c r="AE341" s="231"/>
    </row>
    <row r="342" spans="1:31" s="203" customFormat="1">
      <c r="A342" s="144" t="s">
        <v>261</v>
      </c>
      <c r="B342" s="116"/>
      <c r="C342" s="116"/>
      <c r="D342" s="116"/>
      <c r="E342" s="859"/>
      <c r="F342" s="854"/>
      <c r="G342" s="207"/>
      <c r="H342" s="857"/>
      <c r="I342" s="21"/>
      <c r="J342" s="231"/>
      <c r="K342" s="231"/>
      <c r="L342" s="231"/>
      <c r="M342" s="231"/>
      <c r="N342" s="231"/>
      <c r="O342" s="231"/>
      <c r="P342" s="231"/>
      <c r="Q342" s="231"/>
      <c r="R342" s="231"/>
      <c r="S342" s="231"/>
      <c r="T342" s="231"/>
      <c r="U342" s="231"/>
      <c r="V342" s="231"/>
      <c r="W342" s="231"/>
      <c r="X342" s="231"/>
      <c r="Y342" s="231"/>
      <c r="Z342" s="231"/>
      <c r="AA342" s="231"/>
      <c r="AB342" s="231"/>
      <c r="AC342" s="231"/>
      <c r="AD342" s="231"/>
      <c r="AE342" s="231"/>
    </row>
    <row r="343" spans="1:31" s="203" customFormat="1">
      <c r="A343" s="119"/>
      <c r="B343" s="116"/>
      <c r="C343" s="116"/>
      <c r="D343" s="116"/>
      <c r="E343" s="859"/>
      <c r="F343" s="854"/>
      <c r="G343" s="207"/>
      <c r="H343" s="857"/>
      <c r="I343" s="21"/>
      <c r="J343" s="231"/>
      <c r="K343" s="231"/>
      <c r="L343" s="231"/>
      <c r="M343" s="231"/>
      <c r="N343" s="231"/>
      <c r="O343" s="231"/>
      <c r="P343" s="231"/>
      <c r="Q343" s="231"/>
      <c r="R343" s="231"/>
      <c r="S343" s="231"/>
      <c r="T343" s="231"/>
      <c r="U343" s="231"/>
      <c r="V343" s="231"/>
      <c r="W343" s="231"/>
      <c r="X343" s="231"/>
      <c r="Y343" s="231"/>
      <c r="Z343" s="231"/>
      <c r="AA343" s="231"/>
      <c r="AB343" s="231"/>
      <c r="AC343" s="231"/>
      <c r="AD343" s="231"/>
      <c r="AE343" s="231"/>
    </row>
    <row r="344" spans="1:31" s="203" customFormat="1">
      <c r="A344" s="198" t="s">
        <v>262</v>
      </c>
      <c r="B344" s="116"/>
      <c r="C344" s="116"/>
      <c r="D344" s="116"/>
      <c r="E344" s="859"/>
      <c r="F344" s="854"/>
      <c r="G344" s="207"/>
      <c r="H344" s="857"/>
      <c r="I344" s="21"/>
      <c r="J344" s="231"/>
      <c r="K344" s="231"/>
      <c r="L344" s="231"/>
      <c r="M344" s="231"/>
      <c r="N344" s="231"/>
      <c r="O344" s="231"/>
      <c r="P344" s="231"/>
      <c r="Q344" s="231"/>
      <c r="R344" s="231"/>
      <c r="S344" s="231"/>
      <c r="T344" s="231"/>
      <c r="U344" s="231"/>
      <c r="V344" s="231"/>
      <c r="W344" s="231"/>
      <c r="X344" s="231"/>
      <c r="Y344" s="231"/>
      <c r="Z344" s="231"/>
      <c r="AA344" s="231"/>
      <c r="AB344" s="231"/>
      <c r="AC344" s="231"/>
      <c r="AD344" s="231"/>
      <c r="AE344" s="231"/>
    </row>
    <row r="345" spans="1:31" s="203" customFormat="1">
      <c r="A345" s="198" t="s">
        <v>330</v>
      </c>
      <c r="B345" s="116"/>
      <c r="C345" s="116"/>
      <c r="D345" s="116"/>
      <c r="E345" s="860"/>
      <c r="F345" s="855"/>
      <c r="G345" s="207"/>
      <c r="H345" s="858"/>
      <c r="I345" s="21"/>
      <c r="J345" s="231"/>
      <c r="K345" s="231"/>
      <c r="L345" s="231"/>
      <c r="M345" s="231"/>
      <c r="N345" s="231"/>
      <c r="O345" s="231"/>
      <c r="P345" s="231"/>
      <c r="Q345" s="231"/>
      <c r="R345" s="231"/>
      <c r="S345" s="231"/>
      <c r="T345" s="231"/>
      <c r="U345" s="231"/>
      <c r="V345" s="231"/>
      <c r="W345" s="231"/>
      <c r="X345" s="231"/>
      <c r="Y345" s="231"/>
      <c r="Z345" s="231"/>
      <c r="AA345" s="231"/>
      <c r="AB345" s="231"/>
      <c r="AC345" s="231"/>
      <c r="AD345" s="231"/>
      <c r="AE345" s="231"/>
    </row>
    <row r="346" spans="1:31" s="203" customFormat="1">
      <c r="A346" s="119"/>
      <c r="B346" s="47"/>
      <c r="C346" s="116"/>
      <c r="D346" s="116"/>
      <c r="E346" s="178"/>
      <c r="F346" s="146"/>
      <c r="G346" s="23"/>
      <c r="H346" s="264"/>
      <c r="I346" s="21"/>
      <c r="J346" s="231"/>
      <c r="K346" s="231"/>
      <c r="L346" s="231"/>
      <c r="M346" s="231"/>
      <c r="N346" s="231"/>
      <c r="O346" s="231"/>
      <c r="P346" s="231"/>
      <c r="Q346" s="231"/>
      <c r="R346" s="231"/>
      <c r="S346" s="231"/>
      <c r="T346" s="231"/>
      <c r="U346" s="231"/>
      <c r="V346" s="231"/>
      <c r="W346" s="231"/>
      <c r="X346" s="231"/>
      <c r="Y346" s="231"/>
      <c r="Z346" s="231"/>
      <c r="AA346" s="231"/>
      <c r="AB346" s="231"/>
      <c r="AC346" s="231"/>
      <c r="AD346" s="231"/>
      <c r="AE346" s="231"/>
    </row>
    <row r="347" spans="1:31" s="203" customFormat="1">
      <c r="A347" s="439">
        <v>1</v>
      </c>
      <c r="B347" s="47" t="s">
        <v>263</v>
      </c>
      <c r="C347" s="116"/>
      <c r="D347" s="116"/>
      <c r="E347" s="354">
        <v>1348</v>
      </c>
      <c r="F347" s="265">
        <v>1333</v>
      </c>
      <c r="G347" s="43"/>
      <c r="H347" s="126">
        <v>1379</v>
      </c>
      <c r="I347" s="86"/>
      <c r="J347" s="231"/>
      <c r="K347" s="231"/>
      <c r="L347" s="231"/>
      <c r="M347" s="231"/>
      <c r="N347" s="231"/>
      <c r="O347" s="231"/>
      <c r="P347" s="231"/>
      <c r="Q347" s="231"/>
      <c r="R347" s="231"/>
      <c r="S347" s="231"/>
      <c r="T347" s="231"/>
      <c r="U347" s="231"/>
      <c r="V347" s="231"/>
      <c r="W347" s="231"/>
      <c r="X347" s="231"/>
      <c r="Y347" s="231"/>
      <c r="Z347" s="231"/>
      <c r="AA347" s="231"/>
      <c r="AB347" s="231"/>
      <c r="AC347" s="231"/>
      <c r="AD347" s="231"/>
      <c r="AE347" s="231"/>
    </row>
    <row r="348" spans="1:31" s="203" customFormat="1">
      <c r="A348" s="439"/>
      <c r="B348" s="47"/>
      <c r="C348" s="116"/>
      <c r="D348" s="116"/>
      <c r="E348" s="355"/>
      <c r="F348" s="188"/>
      <c r="G348" s="43"/>
      <c r="H348" s="188"/>
      <c r="I348" s="86"/>
      <c r="J348" s="231"/>
      <c r="K348" s="231"/>
      <c r="L348" s="231"/>
      <c r="M348" s="231"/>
      <c r="N348" s="231"/>
      <c r="O348" s="231"/>
      <c r="P348" s="231"/>
      <c r="Q348" s="231"/>
      <c r="R348" s="231"/>
      <c r="S348" s="231"/>
      <c r="T348" s="231"/>
      <c r="U348" s="231"/>
      <c r="V348" s="231"/>
      <c r="W348" s="231"/>
      <c r="X348" s="231"/>
      <c r="Y348" s="231"/>
      <c r="Z348" s="231"/>
      <c r="AA348" s="231"/>
      <c r="AB348" s="231"/>
      <c r="AC348" s="231"/>
      <c r="AD348" s="231"/>
      <c r="AE348" s="231"/>
    </row>
    <row r="349" spans="1:31" s="203" customFormat="1">
      <c r="A349" s="108" t="s">
        <v>378</v>
      </c>
      <c r="B349" s="47"/>
      <c r="C349" s="116"/>
      <c r="D349" s="116"/>
      <c r="E349" s="355"/>
      <c r="F349" s="188"/>
      <c r="G349" s="43"/>
      <c r="H349" s="188"/>
      <c r="I349" s="86"/>
      <c r="J349" s="231"/>
      <c r="K349" s="231"/>
      <c r="L349" s="231"/>
      <c r="M349" s="231"/>
      <c r="N349" s="231"/>
      <c r="O349" s="231"/>
      <c r="P349" s="231"/>
      <c r="Q349" s="231"/>
      <c r="R349" s="231"/>
      <c r="S349" s="231"/>
      <c r="T349" s="231"/>
      <c r="U349" s="231"/>
      <c r="V349" s="231"/>
      <c r="W349" s="231"/>
      <c r="X349" s="231"/>
      <c r="Y349" s="231"/>
      <c r="Z349" s="231"/>
      <c r="AA349" s="231"/>
      <c r="AB349" s="231"/>
      <c r="AC349" s="231"/>
      <c r="AD349" s="231"/>
      <c r="AE349" s="231"/>
    </row>
    <row r="350" spans="1:31" s="203" customFormat="1">
      <c r="A350" s="439"/>
      <c r="B350" s="47"/>
      <c r="C350" s="116"/>
      <c r="D350" s="116"/>
      <c r="E350" s="355"/>
      <c r="F350" s="188"/>
      <c r="G350" s="43"/>
      <c r="H350" s="188"/>
      <c r="I350" s="86"/>
      <c r="J350" s="231"/>
      <c r="K350" s="231"/>
      <c r="L350" s="231"/>
      <c r="M350" s="231"/>
      <c r="N350" s="231"/>
      <c r="O350" s="231"/>
      <c r="P350" s="231"/>
      <c r="Q350" s="231"/>
      <c r="R350" s="231"/>
      <c r="S350" s="231"/>
      <c r="T350" s="231"/>
      <c r="U350" s="231"/>
      <c r="V350" s="231"/>
      <c r="W350" s="231"/>
      <c r="X350" s="231"/>
      <c r="Y350" s="231"/>
      <c r="Z350" s="231"/>
      <c r="AA350" s="231"/>
      <c r="AB350" s="231"/>
      <c r="AC350" s="231"/>
      <c r="AD350" s="231"/>
      <c r="AE350" s="231"/>
    </row>
    <row r="351" spans="1:31" s="203" customFormat="1">
      <c r="A351" s="198" t="s">
        <v>379</v>
      </c>
      <c r="B351" s="47"/>
      <c r="C351" s="116"/>
      <c r="D351" s="116"/>
      <c r="E351" s="355"/>
      <c r="F351" s="188"/>
      <c r="G351" s="43"/>
      <c r="H351" s="188"/>
      <c r="I351" s="86"/>
      <c r="J351" s="231"/>
      <c r="K351" s="231"/>
      <c r="L351" s="231"/>
      <c r="M351" s="231"/>
      <c r="N351" s="231"/>
      <c r="O351" s="231"/>
      <c r="P351" s="231"/>
      <c r="Q351" s="231"/>
      <c r="R351" s="231"/>
      <c r="S351" s="231"/>
      <c r="T351" s="231"/>
      <c r="U351" s="231"/>
      <c r="V351" s="231"/>
      <c r="W351" s="231"/>
      <c r="X351" s="231"/>
      <c r="Y351" s="231"/>
      <c r="Z351" s="231"/>
      <c r="AA351" s="231"/>
      <c r="AB351" s="231"/>
      <c r="AC351" s="231"/>
      <c r="AD351" s="231"/>
      <c r="AE351" s="231"/>
    </row>
    <row r="352" spans="1:31" s="203" customFormat="1">
      <c r="A352" s="439"/>
      <c r="B352" s="47"/>
      <c r="C352" s="116"/>
      <c r="D352" s="116"/>
      <c r="E352" s="355"/>
      <c r="F352" s="188"/>
      <c r="G352" s="43"/>
      <c r="H352" s="188"/>
      <c r="I352" s="86"/>
      <c r="J352" s="231"/>
      <c r="K352" s="231"/>
      <c r="L352" s="231"/>
      <c r="M352" s="231"/>
      <c r="N352" s="231"/>
      <c r="O352" s="231"/>
      <c r="P352" s="231"/>
      <c r="Q352" s="231"/>
      <c r="R352" s="231"/>
      <c r="S352" s="231"/>
      <c r="T352" s="231"/>
      <c r="U352" s="231"/>
      <c r="V352" s="231"/>
      <c r="W352" s="231"/>
      <c r="X352" s="231"/>
      <c r="Y352" s="231"/>
      <c r="Z352" s="231"/>
      <c r="AA352" s="231"/>
      <c r="AB352" s="231"/>
      <c r="AC352" s="231"/>
      <c r="AD352" s="231"/>
      <c r="AE352" s="231"/>
    </row>
    <row r="353" spans="1:31" s="203" customFormat="1">
      <c r="A353" s="439">
        <v>2</v>
      </c>
      <c r="B353" s="47" t="s">
        <v>52</v>
      </c>
      <c r="C353" s="116"/>
      <c r="D353" s="116"/>
      <c r="E353" s="74">
        <v>0</v>
      </c>
      <c r="F353" s="265">
        <v>0</v>
      </c>
      <c r="G353" s="43"/>
      <c r="H353" s="126">
        <v>0</v>
      </c>
      <c r="I353" s="86"/>
      <c r="J353" s="231"/>
      <c r="K353" s="231"/>
      <c r="L353" s="231"/>
      <c r="M353" s="231"/>
      <c r="N353" s="231"/>
      <c r="O353" s="231"/>
      <c r="P353" s="231"/>
      <c r="Q353" s="231"/>
      <c r="R353" s="231"/>
      <c r="S353" s="231"/>
      <c r="T353" s="231"/>
      <c r="U353" s="231"/>
      <c r="V353" s="231"/>
      <c r="W353" s="231"/>
      <c r="X353" s="231"/>
      <c r="Y353" s="231"/>
      <c r="Z353" s="231"/>
      <c r="AA353" s="231"/>
      <c r="AB353" s="231"/>
      <c r="AC353" s="231"/>
      <c r="AD353" s="231"/>
      <c r="AE353" s="231"/>
    </row>
    <row r="354" spans="1:31" s="203" customFormat="1">
      <c r="A354" s="439">
        <v>3</v>
      </c>
      <c r="B354" s="47" t="s">
        <v>53</v>
      </c>
      <c r="C354" s="116"/>
      <c r="D354" s="116"/>
      <c r="E354" s="49">
        <v>126</v>
      </c>
      <c r="F354" s="265">
        <v>35</v>
      </c>
      <c r="G354" s="43"/>
      <c r="H354" s="126">
        <v>81</v>
      </c>
      <c r="I354" s="86"/>
      <c r="J354" s="231"/>
      <c r="K354" s="231"/>
      <c r="L354" s="231"/>
      <c r="M354" s="231"/>
      <c r="N354" s="231"/>
      <c r="O354" s="231"/>
      <c r="P354" s="231"/>
      <c r="Q354" s="231"/>
      <c r="R354" s="231"/>
      <c r="S354" s="231"/>
      <c r="T354" s="231"/>
      <c r="U354" s="231"/>
      <c r="V354" s="231"/>
      <c r="W354" s="231"/>
      <c r="X354" s="231"/>
      <c r="Y354" s="231"/>
      <c r="Z354" s="231"/>
      <c r="AA354" s="231"/>
      <c r="AB354" s="231"/>
      <c r="AC354" s="231"/>
      <c r="AD354" s="231"/>
      <c r="AE354" s="231"/>
    </row>
    <row r="355" spans="1:31" s="203" customFormat="1">
      <c r="A355" s="439">
        <v>4</v>
      </c>
      <c r="B355" s="47" t="s">
        <v>54</v>
      </c>
      <c r="C355" s="116"/>
      <c r="D355" s="116"/>
      <c r="E355" s="49">
        <v>0</v>
      </c>
      <c r="F355" s="265">
        <v>100</v>
      </c>
      <c r="G355" s="43"/>
      <c r="H355" s="126">
        <v>0</v>
      </c>
      <c r="I355" s="86"/>
      <c r="J355" s="231"/>
      <c r="K355" s="231"/>
      <c r="L355" s="231"/>
      <c r="M355" s="231"/>
      <c r="N355" s="231"/>
      <c r="O355" s="231"/>
      <c r="P355" s="231"/>
      <c r="Q355" s="231"/>
      <c r="R355" s="231"/>
      <c r="S355" s="231"/>
      <c r="T355" s="231"/>
      <c r="U355" s="231"/>
      <c r="V355" s="231"/>
      <c r="W355" s="231"/>
      <c r="X355" s="231"/>
      <c r="Y355" s="231"/>
      <c r="Z355" s="231"/>
      <c r="AA355" s="231"/>
      <c r="AB355" s="231"/>
      <c r="AC355" s="231"/>
      <c r="AD355" s="231"/>
      <c r="AE355" s="231"/>
    </row>
    <row r="356" spans="1:31" s="203" customFormat="1">
      <c r="A356" s="439">
        <v>5</v>
      </c>
      <c r="B356" s="47" t="s">
        <v>55</v>
      </c>
      <c r="C356" s="116"/>
      <c r="D356" s="116"/>
      <c r="E356" s="49">
        <v>0</v>
      </c>
      <c r="F356" s="265">
        <v>0</v>
      </c>
      <c r="G356" s="43"/>
      <c r="H356" s="126">
        <v>0</v>
      </c>
      <c r="I356" s="86"/>
      <c r="J356" s="231"/>
      <c r="K356" s="231"/>
      <c r="L356" s="231"/>
      <c r="M356" s="231"/>
      <c r="N356" s="231"/>
      <c r="O356" s="231"/>
      <c r="P356" s="231"/>
      <c r="Q356" s="231"/>
      <c r="R356" s="231"/>
      <c r="S356" s="231"/>
      <c r="T356" s="231"/>
      <c r="U356" s="231"/>
      <c r="V356" s="231"/>
      <c r="W356" s="231"/>
      <c r="X356" s="231"/>
      <c r="Y356" s="231"/>
      <c r="Z356" s="231"/>
      <c r="AA356" s="231"/>
      <c r="AB356" s="231"/>
      <c r="AC356" s="231"/>
      <c r="AD356" s="231"/>
      <c r="AE356" s="231"/>
    </row>
    <row r="357" spans="1:31" s="203" customFormat="1">
      <c r="A357" s="439">
        <v>6</v>
      </c>
      <c r="B357" s="47" t="s">
        <v>56</v>
      </c>
      <c r="C357" s="116"/>
      <c r="D357" s="116"/>
      <c r="E357" s="49">
        <v>0</v>
      </c>
      <c r="F357" s="265">
        <v>0</v>
      </c>
      <c r="G357" s="43"/>
      <c r="H357" s="126">
        <v>0</v>
      </c>
      <c r="I357" s="86"/>
      <c r="J357" s="231"/>
      <c r="K357" s="231"/>
      <c r="L357" s="231"/>
      <c r="M357" s="231"/>
      <c r="N357" s="231"/>
      <c r="O357" s="231"/>
      <c r="P357" s="231"/>
      <c r="Q357" s="231"/>
      <c r="R357" s="231"/>
      <c r="S357" s="231"/>
      <c r="T357" s="231"/>
      <c r="U357" s="231"/>
      <c r="V357" s="231"/>
      <c r="W357" s="231"/>
      <c r="X357" s="231"/>
      <c r="Y357" s="231"/>
      <c r="Z357" s="231"/>
      <c r="AA357" s="231"/>
      <c r="AB357" s="231"/>
      <c r="AC357" s="231"/>
      <c r="AD357" s="231"/>
      <c r="AE357" s="231"/>
    </row>
    <row r="358" spans="1:31" s="203" customFormat="1">
      <c r="A358" s="439">
        <v>7</v>
      </c>
      <c r="B358" s="47" t="s">
        <v>57</v>
      </c>
      <c r="C358" s="116"/>
      <c r="D358" s="116"/>
      <c r="E358" s="49">
        <v>0</v>
      </c>
      <c r="F358" s="265">
        <v>110</v>
      </c>
      <c r="G358" s="43"/>
      <c r="H358" s="126">
        <v>0</v>
      </c>
      <c r="I358" s="86"/>
      <c r="J358" s="231"/>
      <c r="K358" s="231"/>
      <c r="L358" s="231"/>
      <c r="M358" s="231"/>
      <c r="N358" s="231"/>
      <c r="O358" s="231"/>
      <c r="P358" s="231"/>
      <c r="Q358" s="231"/>
      <c r="R358" s="231"/>
      <c r="S358" s="231"/>
      <c r="T358" s="231"/>
      <c r="U358" s="231"/>
      <c r="V358" s="231"/>
      <c r="W358" s="231"/>
      <c r="X358" s="231"/>
      <c r="Y358" s="231"/>
      <c r="Z358" s="231"/>
      <c r="AA358" s="231"/>
      <c r="AB358" s="231"/>
      <c r="AC358" s="231"/>
      <c r="AD358" s="231"/>
      <c r="AE358" s="231"/>
    </row>
    <row r="359" spans="1:31" s="203" customFormat="1">
      <c r="A359" s="439">
        <v>8</v>
      </c>
      <c r="B359" s="47" t="s">
        <v>58</v>
      </c>
      <c r="C359" s="116"/>
      <c r="D359" s="116"/>
      <c r="E359" s="49">
        <v>0</v>
      </c>
      <c r="F359" s="265">
        <v>3</v>
      </c>
      <c r="G359" s="43"/>
      <c r="H359" s="126">
        <v>0</v>
      </c>
      <c r="I359" s="86"/>
      <c r="J359" s="231"/>
      <c r="K359" s="231"/>
      <c r="L359" s="231"/>
      <c r="M359" s="231"/>
      <c r="N359" s="231"/>
      <c r="O359" s="231"/>
      <c r="P359" s="231"/>
      <c r="Q359" s="231"/>
      <c r="R359" s="231"/>
      <c r="S359" s="231"/>
      <c r="T359" s="231"/>
      <c r="U359" s="231"/>
      <c r="V359" s="231"/>
      <c r="W359" s="231"/>
      <c r="X359" s="231"/>
      <c r="Y359" s="231"/>
      <c r="Z359" s="231"/>
      <c r="AA359" s="231"/>
      <c r="AB359" s="231"/>
      <c r="AC359" s="231"/>
      <c r="AD359" s="231"/>
      <c r="AE359" s="231"/>
    </row>
    <row r="360" spans="1:31" s="203" customFormat="1">
      <c r="A360" s="439">
        <v>9</v>
      </c>
      <c r="B360" s="47" t="s">
        <v>59</v>
      </c>
      <c r="C360" s="116"/>
      <c r="D360" s="116"/>
      <c r="E360" s="49">
        <v>0</v>
      </c>
      <c r="F360" s="265">
        <v>12</v>
      </c>
      <c r="G360" s="43"/>
      <c r="H360" s="126">
        <v>0</v>
      </c>
      <c r="I360" s="86"/>
      <c r="J360" s="231"/>
      <c r="K360" s="231"/>
      <c r="L360" s="231"/>
      <c r="M360" s="231"/>
      <c r="N360" s="231"/>
      <c r="O360" s="231"/>
      <c r="P360" s="231"/>
      <c r="Q360" s="231"/>
      <c r="R360" s="231"/>
      <c r="S360" s="231"/>
      <c r="T360" s="231"/>
      <c r="U360" s="231"/>
      <c r="V360" s="231"/>
      <c r="W360" s="231"/>
      <c r="X360" s="231"/>
      <c r="Y360" s="231"/>
      <c r="Z360" s="231"/>
      <c r="AA360" s="231"/>
      <c r="AB360" s="231"/>
      <c r="AC360" s="231"/>
      <c r="AD360" s="231"/>
      <c r="AE360" s="231"/>
    </row>
    <row r="361" spans="1:31" s="203" customFormat="1">
      <c r="A361" s="439">
        <v>10</v>
      </c>
      <c r="B361" s="47" t="s">
        <v>60</v>
      </c>
      <c r="C361" s="116"/>
      <c r="D361" s="116"/>
      <c r="E361" s="49">
        <v>0</v>
      </c>
      <c r="F361" s="265">
        <v>0</v>
      </c>
      <c r="G361" s="43"/>
      <c r="H361" s="126">
        <v>0</v>
      </c>
      <c r="I361" s="86"/>
      <c r="J361" s="231"/>
      <c r="K361" s="231"/>
      <c r="L361" s="231"/>
      <c r="M361" s="231"/>
      <c r="N361" s="231"/>
      <c r="O361" s="231"/>
      <c r="P361" s="231"/>
      <c r="Q361" s="231"/>
      <c r="R361" s="231"/>
      <c r="S361" s="231"/>
      <c r="T361" s="231"/>
      <c r="U361" s="231"/>
      <c r="V361" s="231"/>
      <c r="W361" s="231"/>
      <c r="X361" s="231"/>
      <c r="Y361" s="231"/>
      <c r="Z361" s="231"/>
      <c r="AA361" s="231"/>
      <c r="AB361" s="231"/>
      <c r="AC361" s="231"/>
      <c r="AD361" s="231"/>
      <c r="AE361" s="231"/>
    </row>
    <row r="362" spans="1:31" s="203" customFormat="1">
      <c r="A362" s="439">
        <v>11</v>
      </c>
      <c r="B362" s="47" t="s">
        <v>61</v>
      </c>
      <c r="C362" s="116"/>
      <c r="D362" s="116"/>
      <c r="E362" s="49">
        <v>0</v>
      </c>
      <c r="F362" s="265">
        <v>0</v>
      </c>
      <c r="G362" s="43"/>
      <c r="H362" s="126">
        <v>0</v>
      </c>
      <c r="I362" s="86"/>
      <c r="J362" s="231"/>
      <c r="K362" s="231"/>
      <c r="L362" s="231"/>
      <c r="M362" s="231"/>
      <c r="N362" s="231"/>
      <c r="O362" s="231"/>
      <c r="P362" s="231"/>
      <c r="Q362" s="231"/>
      <c r="R362" s="231"/>
      <c r="S362" s="231"/>
      <c r="T362" s="231"/>
      <c r="U362" s="231"/>
      <c r="V362" s="231"/>
      <c r="W362" s="231"/>
      <c r="X362" s="231"/>
      <c r="Y362" s="231"/>
      <c r="Z362" s="231"/>
      <c r="AA362" s="231"/>
      <c r="AB362" s="231"/>
      <c r="AC362" s="231"/>
      <c r="AD362" s="231"/>
      <c r="AE362" s="231"/>
    </row>
    <row r="363" spans="1:31" s="203" customFormat="1">
      <c r="A363" s="440">
        <v>12</v>
      </c>
      <c r="B363" s="54" t="s">
        <v>380</v>
      </c>
      <c r="C363" s="94"/>
      <c r="D363" s="94"/>
      <c r="E363" s="135">
        <v>126</v>
      </c>
      <c r="F363" s="61">
        <f>SUM(F353:F362)</f>
        <v>260</v>
      </c>
      <c r="G363" s="43"/>
      <c r="H363" s="61">
        <f>SUM(H353:H362)</f>
        <v>81</v>
      </c>
      <c r="I363" s="86"/>
      <c r="J363" s="231"/>
      <c r="K363" s="231"/>
      <c r="L363" s="231"/>
      <c r="M363" s="231"/>
      <c r="N363" s="231"/>
      <c r="O363" s="231"/>
      <c r="P363" s="231"/>
      <c r="Q363" s="231"/>
      <c r="R363" s="231"/>
      <c r="S363" s="231"/>
      <c r="T363" s="231"/>
      <c r="U363" s="231"/>
      <c r="V363" s="231"/>
      <c r="W363" s="231"/>
      <c r="X363" s="231"/>
      <c r="Y363" s="231"/>
      <c r="Z363" s="231"/>
      <c r="AA363" s="231"/>
      <c r="AB363" s="231"/>
      <c r="AC363" s="231"/>
      <c r="AD363" s="231"/>
      <c r="AE363" s="231"/>
    </row>
    <row r="364" spans="1:31" s="203" customFormat="1">
      <c r="A364" s="199"/>
      <c r="B364" s="15"/>
      <c r="C364" s="15"/>
      <c r="D364" s="15"/>
      <c r="E364" s="15"/>
      <c r="F364" s="15"/>
      <c r="G364" s="15"/>
      <c r="H364" s="15"/>
      <c r="I364" s="86"/>
      <c r="J364" s="231"/>
      <c r="K364" s="231"/>
      <c r="L364" s="231"/>
      <c r="M364" s="231"/>
      <c r="N364" s="231"/>
      <c r="O364" s="231"/>
      <c r="P364" s="231"/>
      <c r="Q364" s="231"/>
      <c r="R364" s="231"/>
      <c r="S364" s="231"/>
      <c r="T364" s="231"/>
      <c r="U364" s="231"/>
      <c r="V364" s="231"/>
      <c r="W364" s="231"/>
      <c r="X364" s="231"/>
      <c r="Y364" s="231"/>
      <c r="Z364" s="231"/>
      <c r="AA364" s="231"/>
      <c r="AB364" s="231"/>
      <c r="AC364" s="231"/>
      <c r="AD364" s="231"/>
      <c r="AE364" s="231"/>
    </row>
    <row r="365" spans="1:31" s="203" customFormat="1">
      <c r="A365" s="199"/>
      <c r="B365" s="15"/>
      <c r="C365" s="15"/>
      <c r="D365" s="15"/>
      <c r="E365" s="15"/>
      <c r="F365" s="15"/>
      <c r="G365" s="15"/>
      <c r="H365" s="86"/>
      <c r="I365" s="86"/>
      <c r="J365" s="231"/>
      <c r="K365" s="231"/>
      <c r="L365" s="231"/>
      <c r="M365" s="231"/>
      <c r="N365" s="231"/>
      <c r="O365" s="231"/>
      <c r="P365" s="231"/>
      <c r="Q365" s="231"/>
      <c r="R365" s="231"/>
      <c r="S365" s="231"/>
      <c r="T365" s="231"/>
      <c r="U365" s="231"/>
      <c r="V365" s="231"/>
      <c r="W365" s="231"/>
      <c r="X365" s="231"/>
      <c r="Y365" s="231"/>
      <c r="Z365" s="231"/>
      <c r="AA365" s="231"/>
      <c r="AB365" s="231"/>
      <c r="AC365" s="231"/>
      <c r="AD365" s="231"/>
      <c r="AE365" s="231"/>
    </row>
    <row r="366" spans="1:31" s="203" customFormat="1">
      <c r="A366" s="199"/>
      <c r="B366" s="15"/>
      <c r="C366" s="15"/>
      <c r="D366" s="15"/>
      <c r="E366" s="15"/>
      <c r="F366" s="15"/>
      <c r="G366" s="15"/>
      <c r="H366" s="86"/>
      <c r="I366" s="86"/>
      <c r="J366" s="231"/>
      <c r="K366" s="231"/>
      <c r="L366" s="231"/>
      <c r="M366" s="231"/>
      <c r="N366" s="231"/>
      <c r="O366" s="231"/>
      <c r="P366" s="231"/>
      <c r="Q366" s="231"/>
      <c r="R366" s="231"/>
      <c r="S366" s="231"/>
      <c r="T366" s="231"/>
      <c r="U366" s="231"/>
      <c r="V366" s="231"/>
      <c r="W366" s="231"/>
      <c r="X366" s="231"/>
      <c r="Y366" s="231"/>
      <c r="Z366" s="231"/>
      <c r="AA366" s="231"/>
      <c r="AB366" s="231"/>
      <c r="AC366" s="231"/>
      <c r="AD366" s="231"/>
      <c r="AE366" s="231"/>
    </row>
    <row r="367" spans="1:31" s="8" customFormat="1"/>
    <row r="368" spans="1:31" s="8" customFormat="1"/>
    <row r="369" s="8" customFormat="1"/>
    <row r="370" s="8" customFormat="1"/>
    <row r="371" s="8" customFormat="1"/>
    <row r="372" s="8" customFormat="1"/>
    <row r="373" s="8" customFormat="1"/>
    <row r="374" s="8" customFormat="1"/>
    <row r="375" s="8" customFormat="1"/>
    <row r="376" s="8" customFormat="1"/>
    <row r="377" s="8" customFormat="1"/>
    <row r="378" s="8" customFormat="1"/>
    <row r="379" s="8" customFormat="1"/>
    <row r="380" s="8" customFormat="1"/>
    <row r="381" s="8" customFormat="1"/>
    <row r="382" s="8" customFormat="1"/>
    <row r="383" s="8" customFormat="1"/>
    <row r="384" s="8" customFormat="1"/>
    <row r="385" spans="1:9" s="8" customFormat="1"/>
    <row r="386" spans="1:9" s="8" customFormat="1"/>
    <row r="387" spans="1:9" s="8" customFormat="1"/>
    <row r="388" spans="1:9" s="8" customFormat="1"/>
    <row r="389" spans="1:9" s="8" customFormat="1"/>
    <row r="390" spans="1:9" s="8" customFormat="1"/>
    <row r="391" spans="1:9" s="8" customFormat="1"/>
    <row r="392" spans="1:9" s="8" customFormat="1"/>
    <row r="393" spans="1:9" s="8" customFormat="1"/>
    <row r="394" spans="1:9" s="8" customFormat="1"/>
    <row r="395" spans="1:9" s="8" customFormat="1"/>
    <row r="396" spans="1:9" s="8" customFormat="1"/>
    <row r="397" spans="1:9" s="8" customFormat="1"/>
    <row r="398" spans="1:9">
      <c r="A398" s="8"/>
      <c r="B398" s="8"/>
      <c r="C398" s="8"/>
      <c r="D398" s="8"/>
      <c r="E398" s="8"/>
      <c r="F398" s="8"/>
      <c r="G398" s="8"/>
      <c r="H398" s="8"/>
      <c r="I398" s="8"/>
    </row>
    <row r="399" spans="1:9">
      <c r="A399" s="8"/>
      <c r="B399" s="8"/>
      <c r="C399" s="8"/>
      <c r="D399" s="8"/>
      <c r="E399" s="8"/>
      <c r="F399" s="8"/>
      <c r="G399" s="8"/>
      <c r="H399" s="8"/>
      <c r="I399" s="8"/>
    </row>
    <row r="400" spans="1:9">
      <c r="A400" s="8"/>
      <c r="B400" s="8"/>
      <c r="C400" s="8"/>
      <c r="D400" s="8"/>
      <c r="E400" s="8"/>
      <c r="F400" s="8"/>
      <c r="G400" s="8"/>
      <c r="H400" s="8"/>
      <c r="I400" s="8"/>
    </row>
    <row r="401" spans="1:9">
      <c r="A401" s="8"/>
      <c r="B401" s="8"/>
      <c r="C401" s="8"/>
      <c r="D401" s="8"/>
      <c r="E401" s="8"/>
      <c r="F401" s="8"/>
      <c r="G401" s="8"/>
      <c r="H401" s="8"/>
      <c r="I401" s="8"/>
    </row>
    <row r="402" spans="1:9">
      <c r="A402" s="8"/>
      <c r="B402" s="8"/>
      <c r="C402" s="8"/>
      <c r="D402" s="8"/>
      <c r="E402" s="8"/>
      <c r="F402" s="8"/>
      <c r="G402" s="8"/>
      <c r="H402" s="8"/>
      <c r="I402" s="8"/>
    </row>
    <row r="403" spans="1:9">
      <c r="A403" s="8"/>
      <c r="B403" s="8"/>
      <c r="C403" s="8"/>
      <c r="D403" s="8"/>
      <c r="E403" s="8"/>
      <c r="F403" s="8"/>
      <c r="G403" s="8"/>
      <c r="H403" s="8"/>
      <c r="I403" s="8"/>
    </row>
    <row r="404" spans="1:9">
      <c r="A404" s="8"/>
      <c r="B404" s="8"/>
      <c r="C404" s="8"/>
      <c r="D404" s="8"/>
      <c r="E404" s="8"/>
      <c r="F404" s="8"/>
      <c r="G404" s="8"/>
      <c r="H404" s="8"/>
      <c r="I404" s="8"/>
    </row>
    <row r="405" spans="1:9">
      <c r="A405" s="8"/>
      <c r="B405" s="8"/>
      <c r="C405" s="8"/>
      <c r="D405" s="8"/>
      <c r="E405" s="8"/>
      <c r="F405" s="8"/>
      <c r="G405" s="8"/>
      <c r="H405" s="8"/>
      <c r="I405" s="8"/>
    </row>
    <row r="406" spans="1:9">
      <c r="A406" s="8"/>
      <c r="B406" s="8"/>
      <c r="C406" s="8"/>
      <c r="D406" s="8"/>
      <c r="E406" s="8"/>
      <c r="F406" s="8"/>
      <c r="G406" s="8"/>
      <c r="H406" s="8"/>
      <c r="I406" s="8"/>
    </row>
    <row r="407" spans="1:9">
      <c r="A407" s="8"/>
      <c r="B407" s="8"/>
      <c r="C407" s="8"/>
      <c r="D407" s="8"/>
      <c r="E407" s="8"/>
      <c r="F407" s="8"/>
      <c r="G407" s="8"/>
      <c r="H407" s="8"/>
      <c r="I407" s="8"/>
    </row>
    <row r="408" spans="1:9">
      <c r="A408" s="8"/>
      <c r="B408" s="8"/>
      <c r="C408" s="8"/>
      <c r="D408" s="8"/>
      <c r="E408" s="8"/>
      <c r="F408" s="8"/>
      <c r="G408" s="8"/>
      <c r="H408" s="8"/>
      <c r="I408" s="8"/>
    </row>
    <row r="409" spans="1:9">
      <c r="A409" s="8"/>
      <c r="B409" s="8"/>
      <c r="C409" s="8"/>
      <c r="D409" s="8"/>
      <c r="E409" s="8"/>
      <c r="F409" s="8"/>
      <c r="G409" s="8"/>
      <c r="H409" s="8"/>
      <c r="I409" s="8"/>
    </row>
    <row r="410" spans="1:9">
      <c r="A410" s="8"/>
      <c r="B410" s="8"/>
      <c r="C410" s="8"/>
      <c r="D410" s="8"/>
      <c r="E410" s="8"/>
      <c r="F410" s="8"/>
      <c r="G410" s="8"/>
      <c r="H410" s="8"/>
      <c r="I410" s="8"/>
    </row>
    <row r="411" spans="1:9">
      <c r="A411" s="8"/>
      <c r="B411" s="8"/>
      <c r="C411" s="8"/>
      <c r="D411" s="8"/>
      <c r="E411" s="8"/>
      <c r="F411" s="8"/>
      <c r="G411" s="8"/>
      <c r="H411" s="8"/>
      <c r="I411" s="8"/>
    </row>
    <row r="412" spans="1:9">
      <c r="A412" s="8"/>
      <c r="B412" s="8"/>
      <c r="C412" s="8"/>
      <c r="D412" s="8"/>
      <c r="E412" s="8"/>
      <c r="F412" s="8"/>
      <c r="G412" s="8"/>
      <c r="H412" s="8"/>
      <c r="I412" s="8"/>
    </row>
  </sheetData>
  <mergeCells count="59">
    <mergeCell ref="C19:F19"/>
    <mergeCell ref="B3:B4"/>
    <mergeCell ref="C3:D4"/>
    <mergeCell ref="A5:B5"/>
    <mergeCell ref="D6:H6"/>
    <mergeCell ref="A9:I9"/>
    <mergeCell ref="D10:F10"/>
    <mergeCell ref="C14:F14"/>
    <mergeCell ref="C15:F15"/>
    <mergeCell ref="C16:F16"/>
    <mergeCell ref="C17:F17"/>
    <mergeCell ref="C18:F18"/>
    <mergeCell ref="A23:D24"/>
    <mergeCell ref="E23:E24"/>
    <mergeCell ref="F23:F24"/>
    <mergeCell ref="H23:H24"/>
    <mergeCell ref="A25:A27"/>
    <mergeCell ref="B25:D27"/>
    <mergeCell ref="E25:E27"/>
    <mergeCell ref="F25:F27"/>
    <mergeCell ref="H25:H27"/>
    <mergeCell ref="A40:D41"/>
    <mergeCell ref="E40:E41"/>
    <mergeCell ref="F40:F41"/>
    <mergeCell ref="H40:H41"/>
    <mergeCell ref="E66:E70"/>
    <mergeCell ref="F66:F70"/>
    <mergeCell ref="G66:G70"/>
    <mergeCell ref="H66:H70"/>
    <mergeCell ref="I66:I70"/>
    <mergeCell ref="F91:F95"/>
    <mergeCell ref="H91:H95"/>
    <mergeCell ref="E193:E197"/>
    <mergeCell ref="F193:F197"/>
    <mergeCell ref="H193:H197"/>
    <mergeCell ref="E153:E157"/>
    <mergeCell ref="F153:F157"/>
    <mergeCell ref="H153:H157"/>
    <mergeCell ref="E91:E95"/>
    <mergeCell ref="E221:E225"/>
    <mergeCell ref="F221:F225"/>
    <mergeCell ref="H221:H225"/>
    <mergeCell ref="E234:E238"/>
    <mergeCell ref="F234:F238"/>
    <mergeCell ref="H234:H238"/>
    <mergeCell ref="E261:E265"/>
    <mergeCell ref="F261:F265"/>
    <mergeCell ref="H261:H265"/>
    <mergeCell ref="E280:E284"/>
    <mergeCell ref="F280:F284"/>
    <mergeCell ref="H280:H284"/>
    <mergeCell ref="E341:E345"/>
    <mergeCell ref="F341:F345"/>
    <mergeCell ref="H341:H345"/>
    <mergeCell ref="E305:E309"/>
    <mergeCell ref="F305:F309"/>
    <mergeCell ref="H305:H309"/>
    <mergeCell ref="C323:H323"/>
    <mergeCell ref="C330:H330"/>
  </mergeCells>
  <phoneticPr fontId="10" type="noConversion"/>
  <conditionalFormatting sqref="F71:F76 F286:F301 F311:F318 F80:F88 F96:F97 F103:F104 F106 F110:F114 F118:F124 F128:F134 F138:F142 F146:F149 F159:F162 F166:F168 F171:F172 F175:F177 F183:F190 F199:F200 F204:F206 F210:F213 F217:F218 F226:F230 F240:F241 F245:F246 F250:F253 F256 F267:F276 H250">
    <cfRule type="expression" dxfId="40" priority="269" stopIfTrue="1">
      <formula>ISBLANK(F71)</formula>
    </cfRule>
    <cfRule type="expression" dxfId="39" priority="270" stopIfTrue="1">
      <formula>IF(AND(OR(F71-E71&gt;500,F71-E71&lt;-500),OR(#REF!&gt;0.1,#REF!&lt;-0.1)),TRUE,FALSE)</formula>
    </cfRule>
  </conditionalFormatting>
  <dataValidations count="1">
    <dataValidation type="list" errorStyle="information" allowBlank="1" showInputMessage="1" showErrorMessage="1" errorTitle="POBE 2006" error="Please select from the drop-down menu..." prompt="Please select your Authority from the drop-down menu..." sqref="C3:D4">
      <formula1>#REF!</formula1>
    </dataValidation>
  </dataValidations>
  <hyperlinks>
    <hyperlink ref="F7" r:id="rId1" display="lgfstats@scotland.gsi.gov.uk"/>
    <hyperlink ref="D6" r:id="rId2"/>
    <hyperlink ref="D10" r:id="rId3" display="^lgfstats@gov.scot"/>
    <hyperlink ref="B14" location="'POBE 2017'!A28" display="PART 1 - Expenditure"/>
    <hyperlink ref="C19:F19" location="'POBE 2017'!A323" display="Sheet 10. - PUBLIC PRIVATE PARTNERSHIPS/PRIVATE FINANCE INITIATIVES"/>
    <hyperlink ref="B15" location="'POBE 2017'!A40" display="PART 2 - Income and Balances"/>
    <hyperlink ref="B16" location="'POBE 2017'!A66" display="Sheet 1. EDUCATION"/>
    <hyperlink ref="B17" location="'POBE 2017'!A91" display="Sheet 2. SOCIAL WORK"/>
    <hyperlink ref="B18" location="'POBE 2017'!A153" display="Sheet 3. ROADS AND TRANSPORT"/>
    <hyperlink ref="B19" location="'POBE 2017'!A193" display="Sheet 4. ENVIRONMENTAL SERVICES"/>
    <hyperlink ref="C14:F14" location="'POBE 2017'!A221" display="Sheet 5. PLANNING AND DEVELOPMENT SERVICES"/>
    <hyperlink ref="C15:F15" location="'POBE 2017'!A234" display="Sheet 6. CULTURAL AND RELATED SERVICES"/>
    <hyperlink ref="C16:F16" location="'POBE 2017'!A261" display="Sheet 7. HOUSING"/>
    <hyperlink ref="C17:F17" location="'POBE 2017'!A280" display="Sheet 8. CENTRAL SERVICES"/>
    <hyperlink ref="C18:F18" location="'POBE 2017'!A305" display="Sheet 9. OTHER EXPENDITURE"/>
  </hyperlinks>
  <pageMargins left="0.75" right="0.75" top="1" bottom="1" header="0.5" footer="0.5"/>
  <pageSetup paperSize="9" orientation="portrait" r:id="rId4"/>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AF413"/>
  <sheetViews>
    <sheetView topLeftCell="A190" zoomScale="80" zoomScaleNormal="80" workbookViewId="0">
      <selection activeCell="E240" sqref="E240"/>
    </sheetView>
  </sheetViews>
  <sheetFormatPr defaultColWidth="9.140625" defaultRowHeight="12.75"/>
  <cols>
    <col min="1" max="1" width="10.5703125" style="1" customWidth="1"/>
    <col min="2" max="2" width="43" style="1" customWidth="1"/>
    <col min="3" max="3" width="24.5703125" style="1" customWidth="1"/>
    <col min="4" max="4" width="14.7109375" style="1" customWidth="1"/>
    <col min="5" max="5" width="21.5703125" style="1" customWidth="1"/>
    <col min="6" max="6" width="19.140625" style="1" customWidth="1"/>
    <col min="7" max="7" width="17.42578125" style="1" customWidth="1"/>
    <col min="8" max="8" width="19.28515625" style="1" customWidth="1"/>
    <col min="9" max="9" width="17.85546875" style="1" customWidth="1"/>
    <col min="10" max="14" width="9.140625" style="8" customWidth="1"/>
    <col min="15" max="25" width="9.140625" style="8"/>
    <col min="26" max="26" width="0" style="8" hidden="1" customWidth="1"/>
    <col min="27" max="32" width="9.140625" style="8"/>
    <col min="33" max="16384" width="9.140625" style="1"/>
  </cols>
  <sheetData>
    <row r="1" spans="1:32" s="203" customFormat="1" ht="51" customHeight="1">
      <c r="A1" s="3" t="s">
        <v>410</v>
      </c>
      <c r="B1" s="4"/>
      <c r="C1" s="224"/>
      <c r="D1" s="224"/>
      <c r="E1" s="224"/>
      <c r="F1" s="224"/>
      <c r="G1" s="225"/>
      <c r="H1" s="226"/>
      <c r="I1" s="227"/>
      <c r="J1" s="231"/>
      <c r="K1" s="231"/>
      <c r="L1" s="231"/>
      <c r="M1" s="231"/>
      <c r="N1" s="231"/>
      <c r="O1" s="231"/>
      <c r="P1" s="231"/>
      <c r="Q1" s="231"/>
      <c r="R1" s="231"/>
      <c r="S1" s="231"/>
      <c r="T1" s="231"/>
      <c r="U1" s="231"/>
      <c r="V1" s="231"/>
      <c r="W1" s="231"/>
      <c r="X1" s="231"/>
      <c r="Y1" s="231"/>
      <c r="Z1" s="231"/>
      <c r="AA1" s="231"/>
      <c r="AB1" s="231"/>
      <c r="AC1" s="231"/>
      <c r="AD1" s="231"/>
      <c r="AE1" s="231"/>
      <c r="AF1" s="231"/>
    </row>
    <row r="2" spans="1:32" s="203" customFormat="1" ht="35.25">
      <c r="A2" s="9"/>
      <c r="B2" s="10"/>
      <c r="C2" s="232"/>
      <c r="D2" s="232"/>
      <c r="E2" s="232"/>
      <c r="F2" s="11"/>
      <c r="G2" s="11"/>
      <c r="H2" s="11"/>
      <c r="I2" s="11"/>
      <c r="J2" s="231"/>
      <c r="K2" s="231"/>
      <c r="L2" s="231"/>
      <c r="M2" s="231"/>
      <c r="N2" s="231"/>
      <c r="O2" s="231"/>
      <c r="P2" s="231"/>
      <c r="Q2" s="231"/>
      <c r="R2" s="231"/>
      <c r="S2" s="231"/>
      <c r="T2" s="231"/>
      <c r="U2" s="231"/>
      <c r="V2" s="231"/>
      <c r="W2" s="231"/>
      <c r="X2" s="231"/>
      <c r="Y2" s="231"/>
      <c r="Z2" s="231"/>
      <c r="AA2" s="231"/>
      <c r="AB2" s="231"/>
      <c r="AC2" s="231"/>
      <c r="AD2" s="231"/>
      <c r="AE2" s="231"/>
      <c r="AF2" s="231"/>
    </row>
    <row r="3" spans="1:32" s="203" customFormat="1" ht="15">
      <c r="A3" s="12"/>
      <c r="B3" s="882" t="s">
        <v>0</v>
      </c>
      <c r="C3" s="884" t="s">
        <v>28</v>
      </c>
      <c r="D3" s="885"/>
      <c r="E3" s="13"/>
      <c r="F3" s="14"/>
      <c r="G3" s="14"/>
      <c r="H3" s="15"/>
      <c r="I3" s="14"/>
      <c r="J3" s="231"/>
      <c r="K3" s="231"/>
      <c r="L3" s="231"/>
      <c r="M3" s="231"/>
      <c r="N3" s="231"/>
      <c r="O3" s="231"/>
      <c r="P3" s="231"/>
      <c r="Q3" s="231"/>
      <c r="R3" s="231"/>
      <c r="S3" s="231"/>
      <c r="T3" s="231"/>
      <c r="U3" s="231"/>
      <c r="V3" s="231"/>
      <c r="W3" s="231"/>
      <c r="X3" s="231"/>
      <c r="Y3" s="231"/>
      <c r="Z3" s="231"/>
      <c r="AA3" s="231"/>
      <c r="AB3" s="231"/>
      <c r="AC3" s="231"/>
      <c r="AD3" s="231"/>
      <c r="AE3" s="231"/>
      <c r="AF3" s="231"/>
    </row>
    <row r="4" spans="1:32" s="203" customFormat="1" ht="15">
      <c r="A4" s="17"/>
      <c r="B4" s="883"/>
      <c r="C4" s="886"/>
      <c r="D4" s="887"/>
      <c r="E4" s="13"/>
      <c r="F4" s="14"/>
      <c r="G4" s="14"/>
      <c r="H4" s="15"/>
      <c r="I4" s="14"/>
      <c r="J4" s="231"/>
      <c r="K4" s="231"/>
      <c r="L4" s="231"/>
      <c r="M4" s="231"/>
      <c r="N4" s="231"/>
      <c r="O4" s="231"/>
      <c r="P4" s="231"/>
      <c r="Q4" s="231"/>
      <c r="R4" s="231"/>
      <c r="S4" s="231"/>
      <c r="T4" s="231"/>
      <c r="U4" s="231"/>
      <c r="V4" s="231"/>
      <c r="W4" s="231"/>
      <c r="X4" s="231"/>
      <c r="Y4" s="231"/>
      <c r="Z4" s="231"/>
      <c r="AA4" s="231"/>
      <c r="AB4" s="231"/>
      <c r="AC4" s="231"/>
      <c r="AD4" s="231"/>
      <c r="AE4" s="231"/>
      <c r="AF4" s="231"/>
    </row>
    <row r="5" spans="1:32" s="203" customFormat="1" ht="15">
      <c r="A5" s="888"/>
      <c r="B5" s="889"/>
      <c r="C5" s="18"/>
      <c r="D5" s="206"/>
      <c r="E5" s="206"/>
      <c r="F5" s="14"/>
      <c r="G5" s="14"/>
      <c r="H5" s="14"/>
      <c r="I5" s="234"/>
      <c r="J5" s="231"/>
      <c r="K5" s="231"/>
      <c r="L5" s="231"/>
      <c r="M5" s="231"/>
      <c r="N5" s="231"/>
      <c r="O5" s="231"/>
      <c r="P5" s="231"/>
      <c r="Q5" s="231"/>
      <c r="R5" s="231"/>
      <c r="S5" s="231"/>
      <c r="T5" s="231"/>
      <c r="U5" s="231"/>
      <c r="V5" s="231"/>
      <c r="W5" s="231"/>
      <c r="X5" s="231"/>
      <c r="Y5" s="231"/>
      <c r="Z5" s="231"/>
      <c r="AA5" s="231"/>
      <c r="AB5" s="231"/>
      <c r="AC5" s="231"/>
      <c r="AD5" s="231"/>
      <c r="AE5" s="231"/>
      <c r="AF5" s="231"/>
    </row>
    <row r="6" spans="1:32" s="203" customFormat="1" ht="23.25" customHeight="1">
      <c r="A6" s="19" t="s">
        <v>1</v>
      </c>
      <c r="B6" s="207"/>
      <c r="C6" s="20"/>
      <c r="D6" s="890" t="s">
        <v>249</v>
      </c>
      <c r="E6" s="890"/>
      <c r="F6" s="890"/>
      <c r="G6" s="890"/>
      <c r="H6" s="890"/>
      <c r="I6" s="29"/>
      <c r="J6" s="231"/>
      <c r="K6" s="231"/>
      <c r="L6" s="231"/>
      <c r="M6" s="231"/>
      <c r="N6" s="231"/>
      <c r="O6" s="231"/>
      <c r="P6" s="231"/>
      <c r="Q6" s="231"/>
      <c r="R6" s="231"/>
      <c r="S6" s="231"/>
      <c r="T6" s="231"/>
      <c r="U6" s="231"/>
      <c r="V6" s="231"/>
      <c r="W6" s="231"/>
      <c r="X6" s="231"/>
      <c r="Y6" s="231"/>
      <c r="Z6" s="231"/>
      <c r="AA6" s="231"/>
      <c r="AB6" s="231"/>
      <c r="AC6" s="231"/>
      <c r="AD6" s="231"/>
      <c r="AE6" s="231"/>
      <c r="AF6" s="231"/>
    </row>
    <row r="7" spans="1:32" s="203" customFormat="1" ht="18.75" customHeight="1">
      <c r="A7" s="19" t="s">
        <v>419</v>
      </c>
      <c r="B7" s="207"/>
      <c r="C7" s="207"/>
      <c r="D7" s="207"/>
      <c r="E7" s="207"/>
      <c r="F7" s="362" t="s">
        <v>250</v>
      </c>
      <c r="G7" s="1"/>
      <c r="H7" s="21"/>
      <c r="I7" s="29"/>
      <c r="J7" s="231"/>
      <c r="K7" s="231"/>
      <c r="L7" s="231"/>
      <c r="M7" s="231"/>
      <c r="N7" s="231"/>
      <c r="O7" s="231"/>
      <c r="P7" s="231"/>
      <c r="Q7" s="231"/>
      <c r="R7" s="231"/>
      <c r="S7" s="231"/>
      <c r="T7" s="231"/>
      <c r="U7" s="231"/>
      <c r="V7" s="231"/>
      <c r="W7" s="231"/>
      <c r="X7" s="231"/>
      <c r="Y7" s="231"/>
      <c r="Z7" s="231"/>
      <c r="AA7" s="231"/>
      <c r="AB7" s="231"/>
      <c r="AC7" s="231"/>
      <c r="AD7" s="231"/>
      <c r="AE7" s="231"/>
      <c r="AF7" s="231"/>
    </row>
    <row r="8" spans="1:32" s="203" customFormat="1" ht="24" customHeight="1">
      <c r="A8" s="22" t="s">
        <v>408</v>
      </c>
      <c r="B8" s="207"/>
      <c r="C8" s="207"/>
      <c r="D8" s="207"/>
      <c r="E8" s="207"/>
      <c r="F8" s="207"/>
      <c r="G8" s="737"/>
      <c r="H8" s="21"/>
      <c r="I8" s="29"/>
      <c r="J8" s="231"/>
      <c r="K8" s="231"/>
      <c r="L8" s="231"/>
      <c r="M8" s="231"/>
      <c r="N8" s="231"/>
      <c r="O8" s="231"/>
      <c r="P8" s="231"/>
      <c r="Q8" s="231"/>
      <c r="R8" s="231"/>
      <c r="S8" s="231"/>
      <c r="T8" s="231"/>
      <c r="U8" s="231"/>
      <c r="V8" s="231"/>
      <c r="W8" s="231"/>
      <c r="X8" s="231"/>
      <c r="Y8" s="231"/>
      <c r="Z8" s="231"/>
      <c r="AA8" s="231"/>
      <c r="AB8" s="231"/>
      <c r="AC8" s="231"/>
      <c r="AD8" s="231"/>
      <c r="AE8" s="231"/>
      <c r="AF8" s="231"/>
    </row>
    <row r="9" spans="1:32" s="203" customFormat="1" ht="30.75" customHeight="1">
      <c r="A9" s="891" t="s">
        <v>420</v>
      </c>
      <c r="B9" s="892"/>
      <c r="C9" s="892"/>
      <c r="D9" s="892"/>
      <c r="E9" s="892"/>
      <c r="F9" s="892"/>
      <c r="G9" s="892"/>
      <c r="H9" s="892"/>
      <c r="I9" s="892"/>
      <c r="J9" s="231"/>
      <c r="K9" s="231"/>
      <c r="L9" s="231"/>
      <c r="M9" s="231"/>
      <c r="N9" s="231"/>
      <c r="O9" s="231"/>
      <c r="P9" s="231"/>
      <c r="Q9" s="231"/>
      <c r="R9" s="231"/>
      <c r="S9" s="231"/>
      <c r="T9" s="231"/>
      <c r="U9" s="231"/>
      <c r="V9" s="231"/>
      <c r="W9" s="231"/>
      <c r="X9" s="231"/>
      <c r="Y9" s="231"/>
      <c r="Z9" s="231"/>
      <c r="AA9" s="231"/>
      <c r="AB9" s="231"/>
      <c r="AC9" s="231"/>
      <c r="AD9" s="231"/>
      <c r="AE9" s="231"/>
      <c r="AF9" s="231"/>
    </row>
    <row r="10" spans="1:32" s="203" customFormat="1" ht="12.75" customHeight="1">
      <c r="A10" s="22" t="s">
        <v>409</v>
      </c>
      <c r="B10" s="19"/>
      <c r="C10" s="1"/>
      <c r="D10" s="880" t="s">
        <v>250</v>
      </c>
      <c r="E10" s="881"/>
      <c r="F10" s="881"/>
      <c r="G10" s="207"/>
      <c r="H10" s="207"/>
      <c r="I10" s="29"/>
      <c r="J10" s="231"/>
      <c r="K10" s="231"/>
      <c r="L10" s="231"/>
      <c r="M10" s="231"/>
      <c r="N10" s="231"/>
      <c r="O10" s="231"/>
      <c r="P10" s="231"/>
      <c r="Q10" s="231"/>
      <c r="R10" s="231"/>
      <c r="S10" s="231"/>
      <c r="T10" s="231"/>
      <c r="U10" s="231"/>
      <c r="V10" s="231"/>
      <c r="W10" s="231"/>
      <c r="X10" s="231"/>
      <c r="Y10" s="231"/>
      <c r="Z10" s="231"/>
      <c r="AA10" s="231"/>
      <c r="AB10" s="231"/>
      <c r="AC10" s="231"/>
      <c r="AD10" s="231"/>
      <c r="AE10" s="231"/>
      <c r="AF10" s="231"/>
    </row>
    <row r="11" spans="1:32" s="203" customFormat="1">
      <c r="A11" s="23"/>
      <c r="B11" s="207"/>
      <c r="C11" s="207"/>
      <c r="D11" s="207"/>
      <c r="E11" s="207"/>
      <c r="F11" s="207"/>
      <c r="G11" s="21"/>
      <c r="H11" s="21"/>
      <c r="I11" s="29"/>
      <c r="J11" s="231"/>
      <c r="K11" s="231"/>
      <c r="L11" s="231"/>
      <c r="M11" s="231"/>
      <c r="N11" s="231"/>
      <c r="O11" s="231"/>
      <c r="P11" s="231"/>
      <c r="Q11" s="231"/>
      <c r="R11" s="231"/>
      <c r="S11" s="231"/>
      <c r="T11" s="231"/>
      <c r="U11" s="231"/>
      <c r="V11" s="231"/>
      <c r="W11" s="231"/>
      <c r="X11" s="231"/>
      <c r="Y11" s="231"/>
      <c r="Z11" s="231"/>
      <c r="AA11" s="231"/>
      <c r="AB11" s="231"/>
      <c r="AC11" s="231"/>
      <c r="AD11" s="231"/>
      <c r="AE11" s="231"/>
      <c r="AF11" s="231"/>
    </row>
    <row r="12" spans="1:32" s="203" customFormat="1">
      <c r="A12" s="24"/>
      <c r="B12" s="25" t="s">
        <v>7</v>
      </c>
      <c r="C12" s="26"/>
      <c r="D12" s="356"/>
      <c r="E12" s="356"/>
      <c r="F12" s="357"/>
      <c r="G12" s="21"/>
      <c r="H12" s="21"/>
      <c r="I12" s="29"/>
      <c r="J12" s="231"/>
      <c r="K12" s="231"/>
      <c r="L12" s="231"/>
      <c r="M12" s="231"/>
      <c r="N12" s="231"/>
      <c r="O12" s="231"/>
      <c r="P12" s="231"/>
      <c r="Q12" s="231"/>
      <c r="R12" s="231"/>
      <c r="S12" s="231"/>
      <c r="T12" s="231"/>
      <c r="U12" s="231"/>
      <c r="V12" s="231"/>
      <c r="W12" s="231"/>
      <c r="X12" s="231"/>
      <c r="Y12" s="231"/>
      <c r="Z12" s="231"/>
      <c r="AA12" s="231"/>
      <c r="AB12" s="231"/>
      <c r="AC12" s="231"/>
      <c r="AD12" s="231"/>
      <c r="AE12" s="231"/>
      <c r="AF12" s="231"/>
    </row>
    <row r="13" spans="1:32" s="203" customFormat="1">
      <c r="A13" s="23"/>
      <c r="B13" s="27"/>
      <c r="C13" s="358"/>
      <c r="D13" s="15"/>
      <c r="E13" s="15"/>
      <c r="F13" s="359"/>
      <c r="G13" s="207"/>
      <c r="H13" s="21"/>
      <c r="I13" s="29"/>
      <c r="J13" s="231"/>
      <c r="K13" s="231"/>
      <c r="L13" s="231"/>
      <c r="M13" s="231"/>
      <c r="N13" s="231"/>
      <c r="O13" s="231"/>
      <c r="P13" s="231"/>
      <c r="Q13" s="231"/>
      <c r="R13" s="231"/>
      <c r="S13" s="231"/>
      <c r="T13" s="231"/>
      <c r="U13" s="231"/>
      <c r="V13" s="231"/>
      <c r="W13" s="231"/>
      <c r="X13" s="231"/>
      <c r="Y13" s="231"/>
      <c r="Z13" s="231"/>
      <c r="AA13" s="231"/>
      <c r="AB13" s="231"/>
      <c r="AC13" s="231"/>
      <c r="AD13" s="231"/>
      <c r="AE13" s="231"/>
      <c r="AF13" s="231"/>
    </row>
    <row r="14" spans="1:32" s="203" customFormat="1">
      <c r="A14" s="23"/>
      <c r="B14" s="363" t="s">
        <v>328</v>
      </c>
      <c r="C14" s="870" t="s">
        <v>10</v>
      </c>
      <c r="D14" s="870"/>
      <c r="E14" s="870"/>
      <c r="F14" s="871"/>
      <c r="G14" s="207"/>
      <c r="H14" s="21"/>
      <c r="I14" s="29"/>
      <c r="J14" s="231"/>
      <c r="K14" s="231"/>
      <c r="L14" s="231"/>
      <c r="M14" s="231"/>
      <c r="N14" s="231"/>
      <c r="O14" s="231"/>
      <c r="P14" s="231"/>
      <c r="Q14" s="231"/>
      <c r="R14" s="231"/>
      <c r="S14" s="231"/>
      <c r="T14" s="231"/>
      <c r="U14" s="231"/>
      <c r="V14" s="231"/>
      <c r="W14" s="231"/>
      <c r="X14" s="231"/>
      <c r="Y14" s="231"/>
      <c r="Z14" s="231"/>
      <c r="AA14" s="231"/>
      <c r="AB14" s="231"/>
      <c r="AC14" s="231"/>
      <c r="AD14" s="231"/>
      <c r="AE14" s="231"/>
      <c r="AF14" s="231"/>
    </row>
    <row r="15" spans="1:32" s="203" customFormat="1">
      <c r="A15" s="23"/>
      <c r="B15" s="363" t="s">
        <v>329</v>
      </c>
      <c r="C15" s="870" t="s">
        <v>12</v>
      </c>
      <c r="D15" s="870"/>
      <c r="E15" s="870"/>
      <c r="F15" s="871"/>
      <c r="G15" s="207"/>
      <c r="H15" s="21"/>
      <c r="I15" s="29"/>
      <c r="J15" s="231"/>
      <c r="K15" s="231"/>
      <c r="L15" s="231"/>
      <c r="M15" s="231"/>
      <c r="N15" s="231"/>
      <c r="O15" s="231"/>
      <c r="P15" s="231"/>
      <c r="Q15" s="231"/>
      <c r="R15" s="231"/>
      <c r="S15" s="231"/>
      <c r="T15" s="231"/>
      <c r="U15" s="231"/>
      <c r="V15" s="231"/>
      <c r="W15" s="231"/>
      <c r="X15" s="231"/>
      <c r="Y15" s="231"/>
      <c r="Z15" s="231"/>
      <c r="AA15" s="231"/>
      <c r="AB15" s="231"/>
      <c r="AC15" s="231"/>
      <c r="AD15" s="231"/>
      <c r="AE15" s="231"/>
      <c r="AF15" s="231"/>
    </row>
    <row r="16" spans="1:32" s="203" customFormat="1">
      <c r="A16" s="23"/>
      <c r="B16" s="360" t="s">
        <v>14</v>
      </c>
      <c r="C16" s="870" t="s">
        <v>15</v>
      </c>
      <c r="D16" s="870"/>
      <c r="E16" s="870"/>
      <c r="F16" s="871"/>
      <c r="G16" s="207"/>
      <c r="H16" s="21"/>
      <c r="I16" s="29"/>
      <c r="J16" s="231"/>
      <c r="K16" s="231"/>
      <c r="L16" s="231"/>
      <c r="M16" s="231"/>
      <c r="N16" s="231"/>
      <c r="O16" s="231"/>
      <c r="P16" s="231"/>
      <c r="Q16" s="231"/>
      <c r="R16" s="231"/>
      <c r="S16" s="231"/>
      <c r="T16" s="231"/>
      <c r="U16" s="231"/>
      <c r="V16" s="231"/>
      <c r="W16" s="231"/>
      <c r="X16" s="231"/>
      <c r="Y16" s="231"/>
      <c r="Z16" s="231"/>
      <c r="AA16" s="231"/>
      <c r="AB16" s="231"/>
      <c r="AC16" s="231"/>
      <c r="AD16" s="231"/>
      <c r="AE16" s="231"/>
      <c r="AF16" s="231"/>
    </row>
    <row r="17" spans="1:32" s="203" customFormat="1">
      <c r="A17" s="23"/>
      <c r="B17" s="360" t="s">
        <v>17</v>
      </c>
      <c r="C17" s="870" t="s">
        <v>18</v>
      </c>
      <c r="D17" s="870"/>
      <c r="E17" s="870"/>
      <c r="F17" s="871"/>
      <c r="G17" s="207"/>
      <c r="H17" s="21"/>
      <c r="I17" s="29"/>
      <c r="J17" s="231"/>
      <c r="K17" s="231"/>
      <c r="L17" s="231"/>
      <c r="M17" s="231"/>
      <c r="N17" s="231"/>
      <c r="O17" s="231"/>
      <c r="P17" s="231"/>
      <c r="Q17" s="231"/>
      <c r="R17" s="231"/>
      <c r="S17" s="231"/>
      <c r="T17" s="231"/>
      <c r="U17" s="231"/>
      <c r="V17" s="231"/>
      <c r="W17" s="231"/>
      <c r="X17" s="231"/>
      <c r="Y17" s="231"/>
      <c r="Z17" s="231"/>
      <c r="AA17" s="231"/>
      <c r="AB17" s="231"/>
      <c r="AC17" s="231"/>
      <c r="AD17" s="231"/>
      <c r="AE17" s="231"/>
      <c r="AF17" s="231"/>
    </row>
    <row r="18" spans="1:32" s="203" customFormat="1">
      <c r="A18" s="23"/>
      <c r="B18" s="360" t="s">
        <v>20</v>
      </c>
      <c r="C18" s="870" t="s">
        <v>21</v>
      </c>
      <c r="D18" s="870"/>
      <c r="E18" s="870"/>
      <c r="F18" s="871"/>
      <c r="G18" s="207"/>
      <c r="H18" s="21"/>
      <c r="I18" s="29"/>
      <c r="J18" s="231"/>
      <c r="K18" s="231"/>
      <c r="L18" s="231"/>
      <c r="M18" s="231"/>
      <c r="N18" s="231"/>
      <c r="O18" s="231"/>
      <c r="P18" s="231"/>
      <c r="Q18" s="231"/>
      <c r="R18" s="231"/>
      <c r="S18" s="231"/>
      <c r="T18" s="231"/>
      <c r="U18" s="231"/>
      <c r="V18" s="231"/>
      <c r="W18" s="231"/>
      <c r="X18" s="231"/>
      <c r="Y18" s="231"/>
      <c r="Z18" s="231"/>
      <c r="AA18" s="231"/>
      <c r="AB18" s="231"/>
      <c r="AC18" s="231"/>
      <c r="AD18" s="231"/>
      <c r="AE18" s="231"/>
      <c r="AF18" s="231"/>
    </row>
    <row r="19" spans="1:32" s="203" customFormat="1">
      <c r="A19" s="23"/>
      <c r="B19" s="361" t="s">
        <v>23</v>
      </c>
      <c r="C19" s="872" t="s">
        <v>24</v>
      </c>
      <c r="D19" s="872"/>
      <c r="E19" s="872"/>
      <c r="F19" s="873"/>
      <c r="G19" s="21"/>
      <c r="H19" s="21"/>
      <c r="I19" s="29"/>
      <c r="J19" s="231"/>
      <c r="K19" s="231"/>
      <c r="L19" s="231"/>
      <c r="M19" s="231"/>
      <c r="N19" s="231"/>
      <c r="O19" s="231"/>
      <c r="P19" s="231"/>
      <c r="Q19" s="231"/>
      <c r="R19" s="231"/>
      <c r="S19" s="231"/>
      <c r="T19" s="231"/>
      <c r="U19" s="231"/>
      <c r="V19" s="231"/>
      <c r="W19" s="231"/>
      <c r="X19" s="231"/>
      <c r="Y19" s="231"/>
      <c r="Z19" s="231"/>
      <c r="AA19" s="231"/>
      <c r="AB19" s="231"/>
      <c r="AC19" s="231"/>
      <c r="AD19" s="231"/>
      <c r="AE19" s="231"/>
      <c r="AF19" s="231"/>
    </row>
    <row r="20" spans="1:32" s="203" customFormat="1">
      <c r="A20" s="236"/>
      <c r="B20" s="206"/>
      <c r="C20" s="206"/>
      <c r="D20" s="206"/>
      <c r="E20" s="206"/>
      <c r="F20" s="206"/>
      <c r="G20" s="206"/>
      <c r="H20" s="206"/>
      <c r="I20" s="206"/>
      <c r="J20" s="231"/>
      <c r="K20" s="231"/>
      <c r="L20" s="231"/>
      <c r="M20" s="231"/>
      <c r="N20" s="231"/>
      <c r="O20" s="231"/>
      <c r="P20" s="231"/>
      <c r="Q20" s="231"/>
      <c r="R20" s="231"/>
      <c r="S20" s="231"/>
      <c r="T20" s="231"/>
      <c r="U20" s="231"/>
      <c r="V20" s="231"/>
      <c r="W20" s="231"/>
      <c r="X20" s="231"/>
      <c r="Y20" s="231"/>
      <c r="Z20" s="231"/>
      <c r="AA20" s="231"/>
      <c r="AB20" s="231"/>
      <c r="AC20" s="231"/>
      <c r="AD20" s="231"/>
      <c r="AE20" s="231"/>
      <c r="AF20" s="231"/>
    </row>
    <row r="21" spans="1:32" s="203" customFormat="1" ht="19.5">
      <c r="A21" s="30"/>
      <c r="B21" s="13"/>
      <c r="C21" s="13"/>
      <c r="D21" s="13"/>
      <c r="E21" s="13"/>
      <c r="F21" s="13"/>
      <c r="G21" s="13"/>
      <c r="H21" s="31" t="s">
        <v>27</v>
      </c>
      <c r="I21" s="237"/>
      <c r="J21" s="231"/>
      <c r="K21" s="231"/>
      <c r="L21" s="231"/>
      <c r="M21" s="231"/>
      <c r="N21" s="231"/>
      <c r="O21" s="231"/>
      <c r="P21" s="231"/>
      <c r="Q21" s="231"/>
      <c r="R21" s="231"/>
      <c r="S21" s="231"/>
      <c r="T21" s="231"/>
      <c r="U21" s="231"/>
      <c r="V21" s="231"/>
      <c r="W21" s="231"/>
      <c r="X21" s="231"/>
      <c r="Y21" s="231"/>
      <c r="Z21" s="231"/>
      <c r="AA21" s="231"/>
      <c r="AB21" s="231"/>
      <c r="AC21" s="231"/>
      <c r="AD21" s="231"/>
      <c r="AE21" s="231"/>
      <c r="AF21" s="231"/>
    </row>
    <row r="22" spans="1:32" s="203" customFormat="1" ht="18.75" customHeight="1">
      <c r="A22" s="32"/>
      <c r="B22" s="29"/>
      <c r="C22" s="29"/>
      <c r="D22" s="29"/>
      <c r="E22" s="29"/>
      <c r="F22" s="33">
        <v>1</v>
      </c>
      <c r="G22" s="34"/>
      <c r="H22" s="33">
        <v>2</v>
      </c>
      <c r="I22" s="34"/>
      <c r="J22" s="231"/>
      <c r="K22" s="231"/>
      <c r="L22" s="231"/>
      <c r="M22" s="231"/>
      <c r="N22" s="231"/>
      <c r="O22" s="231"/>
      <c r="P22" s="231"/>
      <c r="Q22" s="231"/>
      <c r="R22" s="231"/>
      <c r="S22" s="231"/>
      <c r="T22" s="231"/>
      <c r="U22" s="231"/>
      <c r="V22" s="231"/>
      <c r="W22" s="231"/>
      <c r="X22" s="231"/>
      <c r="Y22" s="231"/>
      <c r="Z22" s="231"/>
      <c r="AA22" s="231"/>
      <c r="AB22" s="231"/>
      <c r="AC22" s="231"/>
      <c r="AD22" s="231"/>
      <c r="AE22" s="231"/>
      <c r="AF22" s="231"/>
    </row>
    <row r="23" spans="1:32" s="203" customFormat="1" ht="21.95" customHeight="1">
      <c r="A23" s="874" t="s">
        <v>30</v>
      </c>
      <c r="B23" s="875"/>
      <c r="C23" s="875"/>
      <c r="D23" s="875"/>
      <c r="E23" s="878" t="s">
        <v>376</v>
      </c>
      <c r="F23" s="856" t="s">
        <v>407</v>
      </c>
      <c r="G23" s="36"/>
      <c r="H23" s="878" t="s">
        <v>406</v>
      </c>
      <c r="I23" s="36"/>
      <c r="J23" s="231"/>
      <c r="K23" s="231"/>
      <c r="L23" s="231"/>
      <c r="M23" s="231"/>
      <c r="N23" s="231"/>
      <c r="O23" s="231"/>
      <c r="P23" s="231"/>
      <c r="Q23" s="231"/>
      <c r="R23" s="231"/>
      <c r="S23" s="231"/>
      <c r="T23" s="231"/>
      <c r="U23" s="231"/>
      <c r="V23" s="231"/>
      <c r="W23" s="231"/>
      <c r="X23" s="231"/>
      <c r="Y23" s="231"/>
      <c r="Z23" s="231"/>
      <c r="AA23" s="231"/>
      <c r="AB23" s="231"/>
      <c r="AC23" s="231"/>
      <c r="AD23" s="231"/>
      <c r="AE23" s="231"/>
      <c r="AF23" s="231"/>
    </row>
    <row r="24" spans="1:32" s="203" customFormat="1" ht="21.95" customHeight="1">
      <c r="A24" s="876"/>
      <c r="B24" s="877"/>
      <c r="C24" s="877"/>
      <c r="D24" s="877"/>
      <c r="E24" s="879"/>
      <c r="F24" s="860"/>
      <c r="G24" s="23"/>
      <c r="H24" s="879"/>
      <c r="I24" s="36"/>
      <c r="J24" s="231"/>
      <c r="K24" s="231"/>
      <c r="L24" s="231"/>
      <c r="M24" s="231"/>
      <c r="N24" s="231"/>
      <c r="O24" s="231"/>
      <c r="P24" s="231"/>
      <c r="Q24" s="231"/>
      <c r="R24" s="231"/>
      <c r="S24" s="231"/>
      <c r="T24" s="231"/>
      <c r="U24" s="231"/>
      <c r="V24" s="231"/>
      <c r="W24" s="231"/>
      <c r="X24" s="231"/>
      <c r="Y24" s="231"/>
      <c r="Z24" s="231"/>
      <c r="AA24" s="231"/>
      <c r="AB24" s="231"/>
      <c r="AC24" s="231"/>
      <c r="AD24" s="231"/>
      <c r="AE24" s="231"/>
      <c r="AF24" s="231"/>
    </row>
    <row r="25" spans="1:32" s="203" customFormat="1" ht="21.95" customHeight="1">
      <c r="A25" s="898" t="s">
        <v>48</v>
      </c>
      <c r="B25" s="901" t="s">
        <v>49</v>
      </c>
      <c r="C25" s="901"/>
      <c r="D25" s="902"/>
      <c r="E25" s="907" t="s">
        <v>50</v>
      </c>
      <c r="F25" s="909" t="s">
        <v>51</v>
      </c>
      <c r="G25" s="34"/>
      <c r="H25" s="907" t="s">
        <v>50</v>
      </c>
      <c r="I25" s="36"/>
      <c r="J25" s="231"/>
      <c r="K25" s="231"/>
      <c r="L25" s="231"/>
      <c r="M25" s="231"/>
      <c r="N25" s="231"/>
      <c r="O25" s="231"/>
      <c r="P25" s="231"/>
      <c r="Q25" s="231"/>
      <c r="R25" s="231"/>
      <c r="S25" s="231"/>
      <c r="T25" s="231"/>
      <c r="U25" s="231"/>
      <c r="V25" s="231"/>
      <c r="W25" s="231"/>
      <c r="X25" s="231"/>
      <c r="Y25" s="231"/>
      <c r="Z25" s="231"/>
      <c r="AA25" s="231"/>
      <c r="AB25" s="231"/>
      <c r="AC25" s="231"/>
      <c r="AD25" s="231"/>
      <c r="AE25" s="231"/>
      <c r="AF25" s="231"/>
    </row>
    <row r="26" spans="1:32" s="203" customFormat="1" ht="21.95" customHeight="1">
      <c r="A26" s="899"/>
      <c r="B26" s="903"/>
      <c r="C26" s="903"/>
      <c r="D26" s="904"/>
      <c r="E26" s="908"/>
      <c r="F26" s="859"/>
      <c r="G26" s="34"/>
      <c r="H26" s="908"/>
      <c r="I26" s="36"/>
      <c r="J26" s="231"/>
      <c r="K26" s="231"/>
      <c r="L26" s="231"/>
      <c r="M26" s="231"/>
      <c r="N26" s="231"/>
      <c r="O26" s="231"/>
      <c r="P26" s="231"/>
      <c r="Q26" s="231"/>
      <c r="R26" s="231"/>
      <c r="S26" s="231"/>
      <c r="T26" s="231"/>
      <c r="U26" s="231"/>
      <c r="V26" s="231"/>
      <c r="W26" s="231"/>
      <c r="X26" s="231"/>
      <c r="Y26" s="231"/>
      <c r="Z26" s="231"/>
      <c r="AA26" s="231"/>
      <c r="AB26" s="231"/>
      <c r="AC26" s="231"/>
      <c r="AD26" s="231"/>
      <c r="AE26" s="231"/>
      <c r="AF26" s="231"/>
    </row>
    <row r="27" spans="1:32" s="203" customFormat="1" ht="21.95" customHeight="1">
      <c r="A27" s="900"/>
      <c r="B27" s="905"/>
      <c r="C27" s="905"/>
      <c r="D27" s="906"/>
      <c r="E27" s="879"/>
      <c r="F27" s="860"/>
      <c r="G27" s="34"/>
      <c r="H27" s="879"/>
      <c r="I27" s="36"/>
      <c r="J27" s="231"/>
      <c r="K27" s="231"/>
      <c r="L27" s="231"/>
      <c r="M27" s="231"/>
      <c r="N27" s="231"/>
      <c r="O27" s="231"/>
      <c r="P27" s="231"/>
      <c r="Q27" s="231"/>
      <c r="R27" s="231"/>
      <c r="S27" s="231"/>
      <c r="T27" s="231"/>
      <c r="U27" s="231"/>
      <c r="V27" s="231"/>
      <c r="W27" s="231"/>
      <c r="X27" s="231"/>
      <c r="Y27" s="231"/>
      <c r="Z27" s="231"/>
      <c r="AA27" s="231"/>
      <c r="AB27" s="231"/>
      <c r="AC27" s="231"/>
      <c r="AD27" s="231"/>
      <c r="AE27" s="231"/>
      <c r="AF27" s="231"/>
    </row>
    <row r="28" spans="1:32" s="203" customFormat="1">
      <c r="A28" s="38">
        <v>1</v>
      </c>
      <c r="B28" s="39" t="s">
        <v>52</v>
      </c>
      <c r="C28" s="39"/>
      <c r="D28" s="40"/>
      <c r="E28" s="41">
        <v>157504</v>
      </c>
      <c r="F28" s="42">
        <f>F77</f>
        <v>157459</v>
      </c>
      <c r="G28" s="43"/>
      <c r="H28" s="44">
        <f>H77</f>
        <v>167202</v>
      </c>
      <c r="I28" s="43"/>
      <c r="J28" s="231"/>
      <c r="K28" s="231"/>
      <c r="L28" s="231"/>
      <c r="M28" s="231"/>
      <c r="N28" s="231"/>
      <c r="O28" s="231"/>
      <c r="P28" s="231"/>
      <c r="Q28" s="231"/>
      <c r="R28" s="231"/>
      <c r="S28" s="231"/>
      <c r="T28" s="231"/>
      <c r="U28" s="231"/>
      <c r="V28" s="231"/>
      <c r="W28" s="231"/>
      <c r="X28" s="231"/>
      <c r="Y28" s="231"/>
      <c r="Z28" s="231"/>
      <c r="AA28" s="231"/>
      <c r="AB28" s="231"/>
      <c r="AC28" s="231"/>
      <c r="AD28" s="231"/>
      <c r="AE28" s="231"/>
      <c r="AF28" s="231"/>
    </row>
    <row r="29" spans="1:32" s="203" customFormat="1">
      <c r="A29" s="46">
        <v>2</v>
      </c>
      <c r="B29" s="47" t="s">
        <v>53</v>
      </c>
      <c r="C29" s="47"/>
      <c r="D29" s="48"/>
      <c r="E29" s="49">
        <v>91940</v>
      </c>
      <c r="F29" s="50">
        <f>F105</f>
        <v>96893</v>
      </c>
      <c r="G29" s="43"/>
      <c r="H29" s="51">
        <f>H105</f>
        <v>97559</v>
      </c>
      <c r="I29" s="43"/>
      <c r="J29" s="231"/>
      <c r="K29" s="231"/>
      <c r="L29" s="231"/>
      <c r="M29" s="231"/>
      <c r="N29" s="231"/>
      <c r="O29" s="231"/>
      <c r="P29" s="231"/>
      <c r="Q29" s="231"/>
      <c r="R29" s="231"/>
      <c r="S29" s="231"/>
      <c r="T29" s="231"/>
      <c r="U29" s="231"/>
      <c r="V29" s="231"/>
      <c r="W29" s="231"/>
      <c r="X29" s="231"/>
      <c r="Y29" s="231"/>
      <c r="Z29" s="231"/>
      <c r="AA29" s="231"/>
      <c r="AB29" s="231"/>
      <c r="AC29" s="231"/>
      <c r="AD29" s="231"/>
      <c r="AE29" s="231"/>
      <c r="AF29" s="231"/>
    </row>
    <row r="30" spans="1:32" s="203" customFormat="1">
      <c r="A30" s="46">
        <v>3</v>
      </c>
      <c r="B30" s="47" t="s">
        <v>54</v>
      </c>
      <c r="C30" s="47"/>
      <c r="D30" s="48"/>
      <c r="E30" s="49">
        <v>10261</v>
      </c>
      <c r="F30" s="50">
        <f>F180</f>
        <v>10324</v>
      </c>
      <c r="G30" s="43"/>
      <c r="H30" s="51">
        <f>H180</f>
        <v>10339</v>
      </c>
      <c r="I30" s="43"/>
      <c r="J30" s="231"/>
      <c r="K30" s="231"/>
      <c r="L30" s="231"/>
      <c r="M30" s="231"/>
      <c r="N30" s="231"/>
      <c r="O30" s="231"/>
      <c r="P30" s="231"/>
      <c r="Q30" s="231"/>
      <c r="R30" s="231"/>
      <c r="S30" s="231"/>
      <c r="T30" s="231"/>
      <c r="U30" s="231"/>
      <c r="V30" s="231"/>
      <c r="W30" s="231"/>
      <c r="X30" s="231"/>
      <c r="Y30" s="231"/>
      <c r="Z30" s="231"/>
      <c r="AA30" s="231"/>
      <c r="AB30" s="231"/>
      <c r="AC30" s="231"/>
      <c r="AD30" s="231"/>
      <c r="AE30" s="231"/>
      <c r="AF30" s="231"/>
    </row>
    <row r="31" spans="1:32" s="203" customFormat="1">
      <c r="A31" s="46">
        <v>4</v>
      </c>
      <c r="B31" s="47" t="s">
        <v>55</v>
      </c>
      <c r="C31" s="47"/>
      <c r="D31" s="48"/>
      <c r="E31" s="49">
        <v>16031</v>
      </c>
      <c r="F31" s="50">
        <f>F214</f>
        <v>16735</v>
      </c>
      <c r="G31" s="43"/>
      <c r="H31" s="51">
        <f>H214</f>
        <v>15780</v>
      </c>
      <c r="I31" s="43"/>
      <c r="J31" s="231"/>
      <c r="K31" s="231"/>
      <c r="L31" s="231"/>
      <c r="M31" s="231"/>
      <c r="N31" s="231"/>
      <c r="O31" s="231"/>
      <c r="P31" s="231"/>
      <c r="Q31" s="231"/>
      <c r="R31" s="231"/>
      <c r="S31" s="231"/>
      <c r="T31" s="231"/>
      <c r="U31" s="231"/>
      <c r="V31" s="231"/>
      <c r="W31" s="231"/>
      <c r="X31" s="231"/>
      <c r="Y31" s="231"/>
      <c r="Z31" s="231"/>
      <c r="AA31" s="231"/>
      <c r="AB31" s="231"/>
      <c r="AC31" s="231"/>
      <c r="AD31" s="231"/>
      <c r="AE31" s="231"/>
      <c r="AF31" s="231"/>
    </row>
    <row r="32" spans="1:32" s="203" customFormat="1">
      <c r="A32" s="46">
        <v>5</v>
      </c>
      <c r="B32" s="47" t="s">
        <v>56</v>
      </c>
      <c r="C32" s="47"/>
      <c r="D32" s="48"/>
      <c r="E32" s="49">
        <v>4151</v>
      </c>
      <c r="F32" s="50">
        <f>F231</f>
        <v>3258</v>
      </c>
      <c r="G32" s="43"/>
      <c r="H32" s="51">
        <f>H231</f>
        <v>3543</v>
      </c>
      <c r="I32" s="43"/>
      <c r="J32" s="231"/>
      <c r="K32" s="231"/>
      <c r="L32" s="231"/>
      <c r="M32" s="231"/>
      <c r="N32" s="231"/>
      <c r="O32" s="231"/>
      <c r="P32" s="231"/>
      <c r="Q32" s="231"/>
      <c r="R32" s="231"/>
      <c r="S32" s="231"/>
      <c r="T32" s="231"/>
      <c r="U32" s="231"/>
      <c r="V32" s="231"/>
      <c r="W32" s="231"/>
      <c r="X32" s="231"/>
      <c r="Y32" s="231"/>
      <c r="Z32" s="231"/>
      <c r="AA32" s="231"/>
      <c r="AB32" s="231"/>
      <c r="AC32" s="231"/>
      <c r="AD32" s="231"/>
      <c r="AE32" s="231"/>
      <c r="AF32" s="231"/>
    </row>
    <row r="33" spans="1:32" s="203" customFormat="1">
      <c r="A33" s="46">
        <v>6</v>
      </c>
      <c r="B33" s="47" t="s">
        <v>57</v>
      </c>
      <c r="C33" s="47"/>
      <c r="D33" s="48"/>
      <c r="E33" s="49">
        <v>13719</v>
      </c>
      <c r="F33" s="50">
        <f>F257</f>
        <v>14057</v>
      </c>
      <c r="G33" s="43"/>
      <c r="H33" s="51">
        <f>H257</f>
        <v>13439</v>
      </c>
      <c r="I33" s="43"/>
      <c r="J33" s="231"/>
      <c r="K33" s="231"/>
      <c r="L33" s="231"/>
      <c r="M33" s="231"/>
      <c r="N33" s="231"/>
      <c r="O33" s="231"/>
      <c r="P33" s="231"/>
      <c r="Q33" s="231"/>
      <c r="R33" s="231"/>
      <c r="S33" s="231"/>
      <c r="T33" s="231"/>
      <c r="U33" s="231"/>
      <c r="V33" s="231"/>
      <c r="W33" s="231"/>
      <c r="X33" s="231"/>
      <c r="Y33" s="231"/>
      <c r="Z33" s="231"/>
      <c r="AA33" s="231"/>
      <c r="AB33" s="231"/>
      <c r="AC33" s="231"/>
      <c r="AD33" s="231"/>
      <c r="AE33" s="231"/>
      <c r="AF33" s="231"/>
    </row>
    <row r="34" spans="1:32" s="203" customFormat="1">
      <c r="A34" s="46">
        <v>7</v>
      </c>
      <c r="B34" s="47" t="s">
        <v>58</v>
      </c>
      <c r="C34" s="47"/>
      <c r="D34" s="48"/>
      <c r="E34" s="49">
        <v>3453</v>
      </c>
      <c r="F34" s="50">
        <f>F277</f>
        <v>4948</v>
      </c>
      <c r="G34" s="43"/>
      <c r="H34" s="50">
        <f>H277</f>
        <v>3090</v>
      </c>
      <c r="I34" s="43"/>
      <c r="J34" s="231"/>
      <c r="K34" s="231"/>
      <c r="L34" s="231"/>
      <c r="M34" s="231"/>
      <c r="N34" s="231"/>
      <c r="O34" s="231"/>
      <c r="P34" s="231"/>
      <c r="Q34" s="231"/>
      <c r="R34" s="231"/>
      <c r="S34" s="231"/>
      <c r="T34" s="231"/>
      <c r="U34" s="231"/>
      <c r="V34" s="231"/>
      <c r="W34" s="231"/>
      <c r="X34" s="231"/>
      <c r="Y34" s="231"/>
      <c r="Z34" s="231"/>
      <c r="AA34" s="231"/>
      <c r="AB34" s="231"/>
      <c r="AC34" s="231"/>
      <c r="AD34" s="231"/>
      <c r="AE34" s="231"/>
      <c r="AF34" s="231"/>
    </row>
    <row r="35" spans="1:32" s="203" customFormat="1">
      <c r="A35" s="46">
        <v>8</v>
      </c>
      <c r="B35" s="47" t="s">
        <v>59</v>
      </c>
      <c r="C35" s="47"/>
      <c r="D35" s="48"/>
      <c r="E35" s="49">
        <v>13416</v>
      </c>
      <c r="F35" s="50">
        <f>F302</f>
        <v>12037</v>
      </c>
      <c r="G35" s="43"/>
      <c r="H35" s="50">
        <f>H302</f>
        <v>12106</v>
      </c>
      <c r="I35" s="21"/>
      <c r="J35" s="231"/>
      <c r="K35" s="231"/>
      <c r="L35" s="231"/>
      <c r="M35" s="231"/>
      <c r="N35" s="231"/>
      <c r="O35" s="231"/>
      <c r="P35" s="231"/>
      <c r="Q35" s="231"/>
      <c r="R35" s="231"/>
      <c r="S35" s="231"/>
      <c r="T35" s="231"/>
      <c r="U35" s="231"/>
      <c r="V35" s="231"/>
      <c r="W35" s="231"/>
      <c r="X35" s="231"/>
      <c r="Y35" s="231"/>
      <c r="Z35" s="231"/>
      <c r="AA35" s="231"/>
      <c r="AB35" s="231"/>
      <c r="AC35" s="231"/>
      <c r="AD35" s="231"/>
      <c r="AE35" s="231"/>
      <c r="AF35" s="231"/>
    </row>
    <row r="36" spans="1:32" s="203" customFormat="1">
      <c r="A36" s="46">
        <v>9</v>
      </c>
      <c r="B36" s="47" t="s">
        <v>60</v>
      </c>
      <c r="C36" s="47"/>
      <c r="D36" s="48"/>
      <c r="E36" s="49">
        <v>0</v>
      </c>
      <c r="F36" s="52"/>
      <c r="G36" s="43"/>
      <c r="H36" s="52"/>
      <c r="I36" s="21"/>
      <c r="J36" s="231"/>
      <c r="K36" s="231"/>
      <c r="L36" s="231"/>
      <c r="M36" s="231"/>
      <c r="N36" s="231"/>
      <c r="O36" s="231"/>
      <c r="P36" s="231"/>
      <c r="Q36" s="231"/>
      <c r="R36" s="231"/>
      <c r="S36" s="231"/>
      <c r="T36" s="231"/>
      <c r="U36" s="231"/>
      <c r="V36" s="231"/>
      <c r="W36" s="231"/>
      <c r="X36" s="231"/>
      <c r="Y36" s="231"/>
      <c r="Z36" s="231"/>
      <c r="AA36" s="231"/>
      <c r="AB36" s="231"/>
      <c r="AC36" s="231"/>
      <c r="AD36" s="231"/>
      <c r="AE36" s="231"/>
      <c r="AF36" s="231"/>
    </row>
    <row r="37" spans="1:32" s="203" customFormat="1">
      <c r="A37" s="53">
        <v>10</v>
      </c>
      <c r="B37" s="54" t="s">
        <v>61</v>
      </c>
      <c r="C37" s="54"/>
      <c r="D37" s="55"/>
      <c r="E37" s="56">
        <v>33486</v>
      </c>
      <c r="F37" s="57">
        <f>F320</f>
        <v>33077</v>
      </c>
      <c r="G37" s="43"/>
      <c r="H37" s="57">
        <f>H320</f>
        <v>32931</v>
      </c>
      <c r="I37" s="21"/>
      <c r="J37" s="231"/>
      <c r="K37" s="231"/>
      <c r="L37" s="231"/>
      <c r="M37" s="231"/>
      <c r="N37" s="231"/>
      <c r="O37" s="231"/>
      <c r="P37" s="231"/>
      <c r="Q37" s="231"/>
      <c r="R37" s="231"/>
      <c r="S37" s="231"/>
      <c r="T37" s="231"/>
      <c r="U37" s="231"/>
      <c r="V37" s="231"/>
      <c r="W37" s="231"/>
      <c r="X37" s="231"/>
      <c r="Y37" s="231"/>
      <c r="Z37" s="231"/>
      <c r="AA37" s="231"/>
      <c r="AB37" s="231"/>
      <c r="AC37" s="231"/>
      <c r="AD37" s="231"/>
      <c r="AE37" s="231"/>
      <c r="AF37" s="231"/>
    </row>
    <row r="38" spans="1:32" s="203" customFormat="1">
      <c r="A38" s="33">
        <v>11</v>
      </c>
      <c r="B38" s="58" t="s">
        <v>62</v>
      </c>
      <c r="C38" s="58"/>
      <c r="D38" s="59"/>
      <c r="E38" s="60">
        <v>343961</v>
      </c>
      <c r="F38" s="61">
        <f>SUM(F28:F37)</f>
        <v>348788</v>
      </c>
      <c r="G38" s="43"/>
      <c r="H38" s="61">
        <f>SUM(H28:H37)</f>
        <v>355989</v>
      </c>
      <c r="I38" s="68"/>
      <c r="J38" s="231"/>
      <c r="K38" s="231"/>
      <c r="L38" s="231"/>
      <c r="M38" s="231"/>
      <c r="N38" s="231"/>
      <c r="O38" s="231"/>
      <c r="P38" s="231"/>
      <c r="Q38" s="231"/>
      <c r="R38" s="231"/>
      <c r="S38" s="231"/>
      <c r="T38" s="231"/>
      <c r="U38" s="231"/>
      <c r="V38" s="231"/>
      <c r="W38" s="231"/>
      <c r="X38" s="231"/>
      <c r="Y38" s="231"/>
      <c r="Z38" s="231"/>
      <c r="AA38" s="231"/>
      <c r="AB38" s="231"/>
      <c r="AC38" s="231"/>
      <c r="AD38" s="231"/>
      <c r="AE38" s="231"/>
      <c r="AF38" s="231"/>
    </row>
    <row r="39" spans="1:32" s="203" customFormat="1" ht="12.75" customHeight="1">
      <c r="A39" s="63"/>
      <c r="B39" s="64"/>
      <c r="C39" s="64"/>
      <c r="D39" s="65"/>
      <c r="E39" s="66"/>
      <c r="F39" s="67"/>
      <c r="G39" s="21"/>
      <c r="H39" s="67"/>
      <c r="I39" s="68"/>
      <c r="J39" s="231"/>
      <c r="K39" s="231"/>
      <c r="L39" s="231"/>
      <c r="M39" s="231"/>
      <c r="N39" s="231"/>
      <c r="O39" s="231"/>
      <c r="P39" s="231"/>
      <c r="Q39" s="231"/>
      <c r="R39" s="231"/>
      <c r="S39" s="231"/>
      <c r="T39" s="231"/>
      <c r="U39" s="231"/>
      <c r="V39" s="231"/>
      <c r="W39" s="231"/>
      <c r="X39" s="231"/>
      <c r="Y39" s="231"/>
      <c r="Z39" s="231"/>
      <c r="AA39" s="231"/>
      <c r="AB39" s="231"/>
      <c r="AC39" s="231"/>
      <c r="AD39" s="231"/>
      <c r="AE39" s="231"/>
      <c r="AF39" s="231"/>
    </row>
    <row r="40" spans="1:32" s="203" customFormat="1" ht="12.75" customHeight="1">
      <c r="A40" s="893" t="s">
        <v>63</v>
      </c>
      <c r="B40" s="894"/>
      <c r="C40" s="894"/>
      <c r="D40" s="895"/>
      <c r="E40" s="878" t="s">
        <v>376</v>
      </c>
      <c r="F40" s="856" t="s">
        <v>407</v>
      </c>
      <c r="G40" s="36"/>
      <c r="H40" s="878" t="s">
        <v>406</v>
      </c>
      <c r="I40" s="43"/>
      <c r="J40" s="231"/>
      <c r="K40" s="231"/>
      <c r="L40" s="231"/>
      <c r="M40" s="231"/>
      <c r="N40" s="231"/>
      <c r="O40" s="231"/>
      <c r="P40" s="231"/>
      <c r="Q40" s="231"/>
      <c r="R40" s="231"/>
      <c r="S40" s="231"/>
      <c r="T40" s="231"/>
      <c r="U40" s="231"/>
      <c r="V40" s="231"/>
      <c r="W40" s="231"/>
      <c r="X40" s="231"/>
      <c r="Y40" s="231"/>
      <c r="Z40" s="231"/>
      <c r="AA40" s="231"/>
      <c r="AB40" s="231"/>
      <c r="AC40" s="231"/>
      <c r="AD40" s="231"/>
      <c r="AE40" s="231"/>
      <c r="AF40" s="231"/>
    </row>
    <row r="41" spans="1:32" s="203" customFormat="1" ht="27.75" customHeight="1">
      <c r="A41" s="876"/>
      <c r="B41" s="877"/>
      <c r="C41" s="877"/>
      <c r="D41" s="896"/>
      <c r="E41" s="879"/>
      <c r="F41" s="860"/>
      <c r="G41" s="23"/>
      <c r="H41" s="879"/>
      <c r="I41" s="43"/>
      <c r="J41" s="231"/>
      <c r="K41" s="231"/>
      <c r="L41" s="231"/>
      <c r="M41" s="231"/>
      <c r="N41" s="231"/>
      <c r="O41" s="231"/>
      <c r="P41" s="231"/>
      <c r="Q41" s="231"/>
      <c r="R41" s="231"/>
      <c r="S41" s="231"/>
      <c r="T41" s="231"/>
      <c r="U41" s="231"/>
      <c r="V41" s="231"/>
      <c r="W41" s="231"/>
      <c r="X41" s="231"/>
      <c r="Y41" s="231"/>
      <c r="Z41" s="231"/>
      <c r="AA41" s="231"/>
      <c r="AB41" s="231"/>
      <c r="AC41" s="231"/>
      <c r="AD41" s="231"/>
      <c r="AE41" s="231"/>
      <c r="AF41" s="231"/>
    </row>
    <row r="42" spans="1:32" s="203" customFormat="1">
      <c r="A42" s="738" t="s">
        <v>64</v>
      </c>
      <c r="B42" s="69" t="s">
        <v>65</v>
      </c>
      <c r="C42" s="69"/>
      <c r="D42" s="70"/>
      <c r="E42" s="71"/>
      <c r="F42" s="72" t="str">
        <f>IF(OR(F43&lt;0,F44&lt;0,F47&lt;0,F48&lt;0,H43&lt;0,H44&lt;0,H47&lt;0,H48&lt;0),"Funding should be recorded as positive figures",".")</f>
        <v>.</v>
      </c>
      <c r="G42" s="45"/>
      <c r="H42" s="73"/>
      <c r="I42" s="43"/>
      <c r="J42" s="231"/>
      <c r="K42" s="231"/>
      <c r="L42" s="231"/>
      <c r="M42" s="231"/>
      <c r="N42" s="231"/>
      <c r="O42" s="231"/>
      <c r="P42" s="231"/>
      <c r="Q42" s="231"/>
      <c r="R42" s="231"/>
      <c r="S42" s="231"/>
      <c r="T42" s="231"/>
      <c r="U42" s="231"/>
      <c r="V42" s="231"/>
      <c r="W42" s="231"/>
      <c r="X42" s="231"/>
      <c r="Y42" s="231"/>
      <c r="Z42" s="231"/>
      <c r="AA42" s="231"/>
      <c r="AB42" s="231"/>
      <c r="AC42" s="231"/>
      <c r="AD42" s="231"/>
      <c r="AE42" s="231"/>
      <c r="AF42" s="231"/>
    </row>
    <row r="43" spans="1:32" s="203" customFormat="1">
      <c r="A43" s="46">
        <v>1</v>
      </c>
      <c r="B43" s="47" t="s">
        <v>66</v>
      </c>
      <c r="C43" s="47"/>
      <c r="D43" s="48"/>
      <c r="E43" s="74">
        <v>204643</v>
      </c>
      <c r="F43" s="241">
        <v>207093.99999999994</v>
      </c>
      <c r="G43" s="45"/>
      <c r="H43" s="75">
        <v>202700</v>
      </c>
      <c r="I43" s="43"/>
      <c r="J43" s="231"/>
      <c r="K43" s="231"/>
      <c r="L43" s="231"/>
      <c r="M43" s="231"/>
      <c r="N43" s="231"/>
      <c r="O43" s="231"/>
      <c r="P43" s="231"/>
      <c r="Q43" s="231"/>
      <c r="R43" s="231"/>
      <c r="S43" s="231"/>
      <c r="T43" s="231"/>
      <c r="U43" s="231"/>
      <c r="V43" s="231"/>
      <c r="W43" s="231"/>
      <c r="X43" s="231"/>
      <c r="Y43" s="231"/>
      <c r="Z43" s="231"/>
      <c r="AA43" s="231"/>
      <c r="AB43" s="231"/>
      <c r="AC43" s="231"/>
      <c r="AD43" s="231"/>
      <c r="AE43" s="231"/>
      <c r="AF43" s="231"/>
    </row>
    <row r="44" spans="1:32" s="203" customFormat="1">
      <c r="A44" s="46">
        <v>2</v>
      </c>
      <c r="B44" s="47" t="s">
        <v>67</v>
      </c>
      <c r="C44" s="47"/>
      <c r="D44" s="48"/>
      <c r="E44" s="49">
        <v>65958</v>
      </c>
      <c r="F44" s="241">
        <v>65958</v>
      </c>
      <c r="G44" s="45"/>
      <c r="H44" s="75">
        <v>69739</v>
      </c>
      <c r="I44" s="43"/>
      <c r="J44" s="231"/>
      <c r="K44" s="231"/>
      <c r="L44" s="231"/>
      <c r="M44" s="231"/>
      <c r="N44" s="231"/>
      <c r="O44" s="231"/>
      <c r="P44" s="231"/>
      <c r="Q44" s="231"/>
      <c r="R44" s="231"/>
      <c r="S44" s="231"/>
      <c r="T44" s="231"/>
      <c r="U44" s="231"/>
      <c r="V44" s="231"/>
      <c r="W44" s="231"/>
      <c r="X44" s="231"/>
      <c r="Y44" s="231"/>
      <c r="Z44" s="231"/>
      <c r="AA44" s="231"/>
      <c r="AB44" s="231"/>
      <c r="AC44" s="231"/>
      <c r="AD44" s="231"/>
      <c r="AE44" s="231"/>
      <c r="AF44" s="231"/>
    </row>
    <row r="45" spans="1:32" s="203" customFormat="1">
      <c r="A45" s="46">
        <v>3</v>
      </c>
      <c r="B45" s="47" t="s">
        <v>68</v>
      </c>
      <c r="C45" s="47"/>
      <c r="D45" s="48"/>
      <c r="E45" s="49">
        <v>0</v>
      </c>
      <c r="F45" s="52"/>
      <c r="G45" s="45"/>
      <c r="H45" s="75"/>
      <c r="I45" s="43"/>
      <c r="J45" s="231"/>
      <c r="K45" s="231"/>
      <c r="L45" s="231"/>
      <c r="M45" s="231"/>
      <c r="N45" s="231"/>
      <c r="O45" s="231"/>
      <c r="P45" s="231"/>
      <c r="Q45" s="231"/>
      <c r="R45" s="231"/>
      <c r="S45" s="231"/>
      <c r="T45" s="231"/>
      <c r="U45" s="231"/>
      <c r="V45" s="231"/>
      <c r="W45" s="231"/>
      <c r="X45" s="231"/>
      <c r="Y45" s="231"/>
      <c r="Z45" s="231"/>
      <c r="AA45" s="231"/>
      <c r="AB45" s="231"/>
      <c r="AC45" s="231"/>
      <c r="AD45" s="231"/>
      <c r="AE45" s="231"/>
      <c r="AF45" s="231"/>
    </row>
    <row r="46" spans="1:32" s="203" customFormat="1">
      <c r="A46" s="46">
        <v>4</v>
      </c>
      <c r="B46" s="47" t="s">
        <v>70</v>
      </c>
      <c r="C46" s="47"/>
      <c r="D46" s="48"/>
      <c r="E46" s="49">
        <v>0</v>
      </c>
      <c r="F46" s="52"/>
      <c r="G46" s="45"/>
      <c r="H46" s="75"/>
      <c r="I46" s="43"/>
      <c r="J46" s="231"/>
      <c r="K46" s="231"/>
      <c r="L46" s="231"/>
      <c r="M46" s="231"/>
      <c r="N46" s="231"/>
      <c r="O46" s="231"/>
      <c r="P46" s="231"/>
      <c r="Q46" s="231"/>
      <c r="R46" s="231"/>
      <c r="S46" s="231"/>
      <c r="T46" s="231"/>
      <c r="U46" s="231"/>
      <c r="V46" s="231"/>
      <c r="W46" s="231"/>
      <c r="X46" s="231"/>
      <c r="Y46" s="231"/>
      <c r="Z46" s="231"/>
      <c r="AA46" s="231"/>
      <c r="AB46" s="231"/>
      <c r="AC46" s="231"/>
      <c r="AD46" s="231"/>
      <c r="AE46" s="231"/>
      <c r="AF46" s="231"/>
    </row>
    <row r="47" spans="1:32" s="203" customFormat="1">
      <c r="A47" s="46">
        <v>5</v>
      </c>
      <c r="B47" s="47" t="s">
        <v>69</v>
      </c>
      <c r="C47" s="47"/>
      <c r="D47" s="48"/>
      <c r="E47" s="49">
        <v>7356</v>
      </c>
      <c r="F47" s="52">
        <v>7356</v>
      </c>
      <c r="G47" s="45"/>
      <c r="H47" s="76">
        <v>15996</v>
      </c>
      <c r="I47" s="43"/>
      <c r="J47" s="231"/>
      <c r="K47" s="231"/>
      <c r="L47" s="231"/>
      <c r="M47" s="231"/>
      <c r="N47" s="231"/>
      <c r="O47" s="231"/>
      <c r="P47" s="231"/>
      <c r="Q47" s="231"/>
      <c r="R47" s="231"/>
      <c r="S47" s="231"/>
      <c r="T47" s="231"/>
      <c r="U47" s="231"/>
      <c r="V47" s="231"/>
      <c r="W47" s="231"/>
      <c r="X47" s="231"/>
      <c r="Y47" s="231"/>
      <c r="Z47" s="231"/>
      <c r="AA47" s="231"/>
      <c r="AB47" s="231"/>
      <c r="AC47" s="231"/>
      <c r="AD47" s="231"/>
      <c r="AE47" s="231"/>
      <c r="AF47" s="231"/>
    </row>
    <row r="48" spans="1:32" s="203" customFormat="1">
      <c r="A48" s="46">
        <v>6</v>
      </c>
      <c r="B48" s="90" t="s">
        <v>253</v>
      </c>
      <c r="C48" s="47"/>
      <c r="D48" s="195"/>
      <c r="E48" s="49">
        <v>63704</v>
      </c>
      <c r="F48" s="52">
        <v>63704</v>
      </c>
      <c r="G48" s="45"/>
      <c r="H48" s="52">
        <v>66604</v>
      </c>
      <c r="I48" s="43"/>
      <c r="J48" s="231"/>
      <c r="K48" s="231"/>
      <c r="L48" s="231"/>
      <c r="M48" s="231"/>
      <c r="N48" s="231"/>
      <c r="O48" s="231"/>
      <c r="P48" s="231"/>
      <c r="Q48" s="231"/>
      <c r="R48" s="231"/>
      <c r="S48" s="231"/>
      <c r="T48" s="231"/>
      <c r="U48" s="231"/>
      <c r="V48" s="231"/>
      <c r="W48" s="231"/>
      <c r="X48" s="231"/>
      <c r="Y48" s="231"/>
      <c r="Z48" s="231"/>
      <c r="AA48" s="231"/>
      <c r="AB48" s="231"/>
      <c r="AC48" s="231"/>
      <c r="AD48" s="231"/>
      <c r="AE48" s="231"/>
      <c r="AF48" s="231"/>
    </row>
    <row r="49" spans="1:32" s="203" customFormat="1">
      <c r="A49" s="77">
        <v>7</v>
      </c>
      <c r="B49" s="78" t="s">
        <v>71</v>
      </c>
      <c r="C49" s="58"/>
      <c r="D49" s="79"/>
      <c r="E49" s="80">
        <v>341661</v>
      </c>
      <c r="F49" s="81">
        <f>SUM(F43:F48)</f>
        <v>344111.99999999994</v>
      </c>
      <c r="G49" s="82"/>
      <c r="H49" s="62">
        <f>SUM(H43:H48)</f>
        <v>355039</v>
      </c>
      <c r="I49" s="242"/>
      <c r="J49" s="231"/>
      <c r="K49" s="231"/>
      <c r="L49" s="231"/>
      <c r="M49" s="231"/>
      <c r="N49" s="231"/>
      <c r="O49" s="231"/>
      <c r="P49" s="231"/>
      <c r="Q49" s="231"/>
      <c r="R49" s="231"/>
      <c r="S49" s="231"/>
      <c r="T49" s="231"/>
      <c r="U49" s="231"/>
      <c r="V49" s="231"/>
      <c r="W49" s="231"/>
      <c r="X49" s="231"/>
      <c r="Y49" s="231"/>
      <c r="Z49" s="231"/>
      <c r="AA49" s="231"/>
      <c r="AB49" s="231"/>
      <c r="AC49" s="231"/>
      <c r="AD49" s="231"/>
      <c r="AE49" s="231"/>
      <c r="AF49" s="231"/>
    </row>
    <row r="50" spans="1:32" s="203" customFormat="1">
      <c r="A50" s="83"/>
      <c r="B50" s="244"/>
      <c r="C50" s="244"/>
      <c r="D50" s="244"/>
      <c r="E50" s="85"/>
      <c r="F50" s="244"/>
      <c r="G50" s="86"/>
      <c r="H50" s="86"/>
      <c r="I50" s="21"/>
      <c r="J50" s="231"/>
      <c r="K50" s="231"/>
      <c r="L50" s="231"/>
      <c r="M50" s="231"/>
      <c r="N50" s="231"/>
      <c r="O50" s="231"/>
      <c r="P50" s="231"/>
      <c r="Q50" s="231"/>
      <c r="R50" s="231"/>
      <c r="S50" s="231"/>
      <c r="T50" s="231"/>
      <c r="U50" s="231"/>
      <c r="V50" s="231"/>
      <c r="W50" s="231"/>
      <c r="X50" s="231"/>
      <c r="Y50" s="231"/>
      <c r="Z50" s="231"/>
      <c r="AA50" s="231"/>
      <c r="AB50" s="231"/>
      <c r="AC50" s="231"/>
      <c r="AD50" s="231"/>
      <c r="AE50" s="231"/>
      <c r="AF50" s="231"/>
    </row>
    <row r="51" spans="1:32" s="203" customFormat="1">
      <c r="A51" s="738" t="s">
        <v>72</v>
      </c>
      <c r="B51" s="196" t="s">
        <v>254</v>
      </c>
      <c r="C51" s="69"/>
      <c r="D51" s="70"/>
      <c r="E51" s="87"/>
      <c r="F51" s="88"/>
      <c r="G51" s="45"/>
      <c r="H51" s="89"/>
      <c r="I51" s="43"/>
      <c r="J51" s="231"/>
      <c r="K51" s="231"/>
      <c r="L51" s="231"/>
      <c r="M51" s="231"/>
      <c r="N51" s="231"/>
      <c r="O51" s="231"/>
      <c r="P51" s="231"/>
      <c r="Q51" s="231"/>
      <c r="R51" s="231"/>
      <c r="S51" s="231"/>
      <c r="T51" s="231"/>
      <c r="U51" s="231"/>
      <c r="V51" s="231"/>
      <c r="W51" s="231"/>
      <c r="X51" s="231"/>
      <c r="Y51" s="231"/>
      <c r="Z51" s="231"/>
      <c r="AA51" s="231"/>
      <c r="AB51" s="231"/>
      <c r="AC51" s="231"/>
      <c r="AD51" s="231"/>
      <c r="AE51" s="231"/>
      <c r="AF51" s="231"/>
    </row>
    <row r="52" spans="1:32" s="203" customFormat="1">
      <c r="A52" s="46">
        <v>8</v>
      </c>
      <c r="B52" s="90" t="s">
        <v>73</v>
      </c>
      <c r="C52" s="47"/>
      <c r="D52" s="48"/>
      <c r="E52" s="74">
        <v>343961</v>
      </c>
      <c r="F52" s="50">
        <f>F38</f>
        <v>348788</v>
      </c>
      <c r="G52" s="45"/>
      <c r="H52" s="91">
        <f>H38</f>
        <v>355989</v>
      </c>
      <c r="I52" s="43"/>
      <c r="J52" s="231"/>
      <c r="K52" s="231"/>
      <c r="L52" s="231"/>
      <c r="M52" s="231"/>
      <c r="N52" s="231"/>
      <c r="O52" s="231"/>
      <c r="P52" s="231"/>
      <c r="Q52" s="231"/>
      <c r="R52" s="231"/>
      <c r="S52" s="231"/>
      <c r="T52" s="231"/>
      <c r="U52" s="231"/>
      <c r="V52" s="231"/>
      <c r="W52" s="231"/>
      <c r="X52" s="231"/>
      <c r="Y52" s="231"/>
      <c r="Z52" s="231"/>
      <c r="AA52" s="231"/>
      <c r="AB52" s="231"/>
      <c r="AC52" s="231"/>
      <c r="AD52" s="231"/>
      <c r="AE52" s="231"/>
      <c r="AF52" s="231"/>
    </row>
    <row r="53" spans="1:32" s="203" customFormat="1">
      <c r="A53" s="46">
        <v>9</v>
      </c>
      <c r="B53" s="90" t="s">
        <v>74</v>
      </c>
      <c r="C53" s="47"/>
      <c r="D53" s="48"/>
      <c r="E53" s="49">
        <v>341661</v>
      </c>
      <c r="F53" s="92">
        <f>F49</f>
        <v>344111.99999999994</v>
      </c>
      <c r="G53" s="45"/>
      <c r="H53" s="91">
        <f>H49</f>
        <v>355039</v>
      </c>
      <c r="I53" s="43"/>
      <c r="J53" s="231"/>
      <c r="K53" s="231"/>
      <c r="L53" s="231"/>
      <c r="M53" s="231"/>
      <c r="N53" s="231"/>
      <c r="O53" s="231"/>
      <c r="P53" s="231"/>
      <c r="Q53" s="231"/>
      <c r="R53" s="231"/>
      <c r="S53" s="231"/>
      <c r="T53" s="231"/>
      <c r="U53" s="231"/>
      <c r="V53" s="231"/>
      <c r="W53" s="231"/>
      <c r="X53" s="231"/>
      <c r="Y53" s="231"/>
      <c r="Z53" s="231"/>
      <c r="AA53" s="231"/>
      <c r="AB53" s="231"/>
      <c r="AC53" s="231"/>
      <c r="AD53" s="231"/>
      <c r="AE53" s="231"/>
      <c r="AF53" s="231"/>
    </row>
    <row r="54" spans="1:32" s="203" customFormat="1">
      <c r="A54" s="740">
        <v>10</v>
      </c>
      <c r="B54" s="93" t="s">
        <v>255</v>
      </c>
      <c r="C54" s="94"/>
      <c r="D54" s="55"/>
      <c r="E54" s="95">
        <v>-2300</v>
      </c>
      <c r="F54" s="96">
        <f>F53-F52</f>
        <v>-4676.0000000000582</v>
      </c>
      <c r="G54" s="45"/>
      <c r="H54" s="97">
        <f>H53-H52</f>
        <v>-950</v>
      </c>
      <c r="I54" s="43"/>
      <c r="J54" s="231"/>
      <c r="K54" s="231"/>
      <c r="L54" s="231"/>
      <c r="M54" s="231"/>
      <c r="N54" s="231"/>
      <c r="O54" s="231"/>
      <c r="P54" s="231"/>
      <c r="Q54" s="231"/>
      <c r="R54" s="231"/>
      <c r="S54" s="231"/>
      <c r="T54" s="231"/>
      <c r="U54" s="231"/>
      <c r="V54" s="231"/>
      <c r="W54" s="231"/>
      <c r="X54" s="231"/>
      <c r="Y54" s="231"/>
      <c r="Z54" s="231"/>
      <c r="AA54" s="231"/>
      <c r="AB54" s="231"/>
      <c r="AC54" s="231"/>
      <c r="AD54" s="231"/>
      <c r="AE54" s="231"/>
      <c r="AF54" s="231"/>
    </row>
    <row r="55" spans="1:32" s="203" customFormat="1">
      <c r="A55" s="83"/>
      <c r="B55" s="244"/>
      <c r="C55" s="244"/>
      <c r="D55" s="244"/>
      <c r="E55" s="85"/>
      <c r="F55" s="244"/>
      <c r="G55" s="86"/>
      <c r="H55" s="86"/>
      <c r="I55" s="21"/>
      <c r="J55" s="231"/>
      <c r="K55" s="231"/>
      <c r="L55" s="231"/>
      <c r="M55" s="231"/>
      <c r="N55" s="231"/>
      <c r="O55" s="231"/>
      <c r="P55" s="231"/>
      <c r="Q55" s="231"/>
      <c r="R55" s="231"/>
      <c r="S55" s="231"/>
      <c r="T55" s="231"/>
      <c r="U55" s="231"/>
      <c r="V55" s="231"/>
      <c r="W55" s="231"/>
      <c r="X55" s="231"/>
      <c r="Y55" s="231"/>
      <c r="Z55" s="231"/>
      <c r="AA55" s="231"/>
      <c r="AB55" s="231"/>
      <c r="AC55" s="231"/>
      <c r="AD55" s="231"/>
      <c r="AE55" s="231"/>
      <c r="AF55" s="231"/>
    </row>
    <row r="56" spans="1:32" s="203" customFormat="1">
      <c r="A56" s="738" t="s">
        <v>75</v>
      </c>
      <c r="B56" s="69" t="s">
        <v>256</v>
      </c>
      <c r="C56" s="69"/>
      <c r="D56" s="70"/>
      <c r="E56" s="87"/>
      <c r="F56" s="88"/>
      <c r="G56" s="45"/>
      <c r="H56" s="89"/>
      <c r="I56" s="43"/>
      <c r="J56" s="231"/>
      <c r="K56" s="231"/>
      <c r="L56" s="231"/>
      <c r="M56" s="231"/>
      <c r="N56" s="231"/>
      <c r="O56" s="231"/>
      <c r="P56" s="231"/>
      <c r="Q56" s="231"/>
      <c r="R56" s="231"/>
      <c r="S56" s="231"/>
      <c r="T56" s="231"/>
      <c r="U56" s="231"/>
      <c r="V56" s="231"/>
      <c r="W56" s="231"/>
      <c r="X56" s="231"/>
      <c r="Y56" s="231"/>
      <c r="Z56" s="231"/>
      <c r="AA56" s="231"/>
      <c r="AB56" s="231"/>
      <c r="AC56" s="231"/>
      <c r="AD56" s="231"/>
      <c r="AE56" s="231"/>
      <c r="AF56" s="231"/>
    </row>
    <row r="57" spans="1:32" s="203" customFormat="1">
      <c r="A57" s="46">
        <v>11</v>
      </c>
      <c r="B57" s="47" t="s">
        <v>76</v>
      </c>
      <c r="C57" s="47"/>
      <c r="D57" s="48"/>
      <c r="E57" s="74">
        <v>12355</v>
      </c>
      <c r="F57" s="52">
        <f>12165+912</f>
        <v>13077</v>
      </c>
      <c r="G57" s="45"/>
      <c r="H57" s="91">
        <f>F61</f>
        <v>9450.9999999999418</v>
      </c>
      <c r="I57" s="43"/>
      <c r="J57" s="231"/>
      <c r="K57" s="231"/>
      <c r="L57" s="231"/>
      <c r="M57" s="231"/>
      <c r="N57" s="231"/>
      <c r="O57" s="231"/>
      <c r="P57" s="231"/>
      <c r="Q57" s="231"/>
      <c r="R57" s="231"/>
      <c r="S57" s="231"/>
      <c r="T57" s="231"/>
      <c r="U57" s="231"/>
      <c r="V57" s="231"/>
      <c r="W57" s="231"/>
      <c r="X57" s="231"/>
      <c r="Y57" s="231"/>
      <c r="Z57" s="231"/>
      <c r="AA57" s="231"/>
      <c r="AB57" s="231"/>
      <c r="AC57" s="231"/>
      <c r="AD57" s="231"/>
      <c r="AE57" s="231"/>
      <c r="AF57" s="231"/>
    </row>
    <row r="58" spans="1:32" s="203" customFormat="1">
      <c r="A58" s="46">
        <v>12</v>
      </c>
      <c r="B58" s="90" t="s">
        <v>257</v>
      </c>
      <c r="C58" s="47"/>
      <c r="D58" s="48"/>
      <c r="E58" s="49">
        <v>-2300</v>
      </c>
      <c r="F58" s="92">
        <f>F54</f>
        <v>-4676.0000000000582</v>
      </c>
      <c r="G58" s="45"/>
      <c r="H58" s="98">
        <f>H54</f>
        <v>-950</v>
      </c>
      <c r="I58" s="43"/>
      <c r="J58" s="231"/>
      <c r="K58" s="231"/>
      <c r="L58" s="231"/>
      <c r="M58" s="231"/>
      <c r="N58" s="231"/>
      <c r="O58" s="231"/>
      <c r="P58" s="231"/>
      <c r="Q58" s="231"/>
      <c r="R58" s="231"/>
      <c r="S58" s="231"/>
      <c r="T58" s="231"/>
      <c r="U58" s="231"/>
      <c r="V58" s="231"/>
      <c r="W58" s="231"/>
      <c r="X58" s="231"/>
      <c r="Y58" s="231"/>
      <c r="Z58" s="231"/>
      <c r="AA58" s="231"/>
      <c r="AB58" s="231"/>
      <c r="AC58" s="231"/>
      <c r="AD58" s="231"/>
      <c r="AE58" s="231"/>
      <c r="AF58" s="231"/>
    </row>
    <row r="59" spans="1:32" s="203" customFormat="1">
      <c r="A59" s="46">
        <v>13</v>
      </c>
      <c r="B59" s="47" t="s">
        <v>77</v>
      </c>
      <c r="C59" s="47"/>
      <c r="D59" s="48"/>
      <c r="E59" s="49">
        <v>0</v>
      </c>
      <c r="F59" s="52"/>
      <c r="G59" s="45"/>
      <c r="H59" s="99"/>
      <c r="I59" s="43"/>
      <c r="J59" s="231"/>
      <c r="K59" s="231"/>
      <c r="L59" s="231"/>
      <c r="M59" s="231"/>
      <c r="N59" s="231"/>
      <c r="O59" s="231"/>
      <c r="P59" s="231"/>
      <c r="Q59" s="231"/>
      <c r="R59" s="231"/>
      <c r="S59" s="231"/>
      <c r="T59" s="231"/>
      <c r="U59" s="231"/>
      <c r="V59" s="231"/>
      <c r="W59" s="231"/>
      <c r="X59" s="231"/>
      <c r="Y59" s="231"/>
      <c r="Z59" s="231"/>
      <c r="AA59" s="231"/>
      <c r="AB59" s="231"/>
      <c r="AC59" s="231"/>
      <c r="AD59" s="231"/>
      <c r="AE59" s="231"/>
      <c r="AF59" s="231"/>
    </row>
    <row r="60" spans="1:32" s="203" customFormat="1">
      <c r="A60" s="46">
        <v>14</v>
      </c>
      <c r="B60" s="47" t="s">
        <v>78</v>
      </c>
      <c r="C60" s="47"/>
      <c r="D60" s="48"/>
      <c r="E60" s="49">
        <v>0</v>
      </c>
      <c r="F60" s="52">
        <v>1050</v>
      </c>
      <c r="G60" s="45"/>
      <c r="H60" s="100">
        <v>950</v>
      </c>
      <c r="I60" s="43"/>
      <c r="J60" s="231"/>
      <c r="K60" s="231"/>
      <c r="L60" s="231"/>
      <c r="M60" s="231"/>
      <c r="N60" s="231"/>
      <c r="O60" s="231"/>
      <c r="P60" s="231"/>
      <c r="Q60" s="231"/>
      <c r="R60" s="231"/>
      <c r="S60" s="231"/>
      <c r="T60" s="231"/>
      <c r="U60" s="231"/>
      <c r="V60" s="231"/>
      <c r="W60" s="231"/>
      <c r="X60" s="231"/>
      <c r="Y60" s="231"/>
      <c r="Z60" s="231"/>
      <c r="AA60" s="231"/>
      <c r="AB60" s="231"/>
      <c r="AC60" s="231"/>
      <c r="AD60" s="231"/>
      <c r="AE60" s="231"/>
      <c r="AF60" s="231"/>
    </row>
    <row r="61" spans="1:32" s="203" customFormat="1">
      <c r="A61" s="53">
        <v>15</v>
      </c>
      <c r="B61" s="54" t="s">
        <v>79</v>
      </c>
      <c r="C61" s="54"/>
      <c r="D61" s="55"/>
      <c r="E61" s="56">
        <v>10055</v>
      </c>
      <c r="F61" s="96">
        <f>F57+F58+F59+F60</f>
        <v>9450.9999999999418</v>
      </c>
      <c r="G61" s="45"/>
      <c r="H61" s="101">
        <f>H57+H58+H59+H60</f>
        <v>9450.9999999999418</v>
      </c>
      <c r="I61" s="43"/>
      <c r="J61" s="231"/>
      <c r="K61" s="231"/>
      <c r="L61" s="231"/>
      <c r="M61" s="231"/>
      <c r="N61" s="231"/>
      <c r="O61" s="231"/>
      <c r="P61" s="231"/>
      <c r="Q61" s="231"/>
      <c r="R61" s="231"/>
      <c r="S61" s="231"/>
      <c r="T61" s="231"/>
      <c r="U61" s="231"/>
      <c r="V61" s="231"/>
      <c r="W61" s="231"/>
      <c r="X61" s="231"/>
      <c r="Y61" s="231"/>
      <c r="Z61" s="231"/>
      <c r="AA61" s="231"/>
      <c r="AB61" s="231"/>
      <c r="AC61" s="231"/>
      <c r="AD61" s="231"/>
      <c r="AE61" s="231"/>
      <c r="AF61" s="231"/>
    </row>
    <row r="62" spans="1:32" s="203" customFormat="1">
      <c r="A62" s="102"/>
      <c r="B62" s="207"/>
      <c r="C62" s="207"/>
      <c r="D62" s="207"/>
      <c r="E62" s="103"/>
      <c r="F62" s="21"/>
      <c r="G62" s="21"/>
      <c r="H62" s="21"/>
      <c r="I62" s="21"/>
      <c r="J62" s="231"/>
      <c r="K62" s="231"/>
      <c r="L62" s="231"/>
      <c r="M62" s="231"/>
      <c r="N62" s="231"/>
      <c r="O62" s="231"/>
      <c r="P62" s="231"/>
      <c r="Q62" s="231"/>
      <c r="R62" s="231"/>
      <c r="S62" s="231"/>
      <c r="T62" s="231"/>
      <c r="U62" s="231"/>
      <c r="V62" s="231"/>
      <c r="W62" s="231"/>
      <c r="X62" s="231"/>
      <c r="Y62" s="231"/>
      <c r="Z62" s="231"/>
      <c r="AA62" s="231"/>
      <c r="AB62" s="231"/>
      <c r="AC62" s="231"/>
      <c r="AD62" s="231"/>
      <c r="AE62" s="231"/>
      <c r="AF62" s="231"/>
    </row>
    <row r="63" spans="1:32" s="203" customFormat="1" ht="12.75" customHeight="1">
      <c r="A63" s="23"/>
      <c r="B63" s="207"/>
      <c r="C63" s="207"/>
      <c r="D63" s="207"/>
      <c r="E63" s="15"/>
      <c r="F63" s="207"/>
      <c r="G63" s="207"/>
      <c r="H63" s="21"/>
      <c r="I63" s="21"/>
      <c r="J63" s="231"/>
      <c r="K63" s="231"/>
      <c r="L63" s="231"/>
      <c r="M63" s="231"/>
      <c r="N63" s="231"/>
      <c r="O63" s="231"/>
      <c r="P63" s="231"/>
      <c r="Q63" s="231"/>
      <c r="R63" s="231"/>
      <c r="S63" s="231"/>
      <c r="T63" s="231"/>
      <c r="U63" s="231"/>
      <c r="V63" s="231"/>
      <c r="W63" s="231"/>
      <c r="X63" s="231"/>
      <c r="Y63" s="231"/>
      <c r="Z63" s="231"/>
      <c r="AA63" s="231"/>
      <c r="AB63" s="231"/>
      <c r="AC63" s="231"/>
      <c r="AD63" s="231"/>
      <c r="AE63" s="231"/>
      <c r="AF63" s="231"/>
    </row>
    <row r="64" spans="1:32" s="203" customFormat="1" ht="15">
      <c r="A64" s="104" t="s">
        <v>80</v>
      </c>
      <c r="B64" s="29"/>
      <c r="C64" s="29"/>
      <c r="D64" s="29"/>
      <c r="E64" s="15"/>
      <c r="F64" s="29"/>
      <c r="G64" s="29"/>
      <c r="H64" s="29"/>
      <c r="I64" s="29"/>
      <c r="J64" s="231"/>
      <c r="K64" s="231"/>
      <c r="L64" s="231"/>
      <c r="M64" s="231"/>
      <c r="N64" s="231"/>
      <c r="O64" s="231"/>
      <c r="P64" s="231"/>
      <c r="Q64" s="231"/>
      <c r="R64" s="231"/>
      <c r="S64" s="231"/>
      <c r="T64" s="231"/>
      <c r="U64" s="231"/>
      <c r="V64" s="231"/>
      <c r="W64" s="231"/>
      <c r="X64" s="231"/>
      <c r="Y64" s="231"/>
      <c r="Z64" s="231"/>
      <c r="AA64" s="231"/>
      <c r="AB64" s="231"/>
      <c r="AC64" s="231"/>
      <c r="AD64" s="231"/>
      <c r="AE64" s="231"/>
      <c r="AF64" s="231"/>
    </row>
    <row r="65" spans="1:32" s="203" customFormat="1">
      <c r="A65" s="32"/>
      <c r="B65" s="29"/>
      <c r="C65" s="29"/>
      <c r="D65" s="29"/>
      <c r="E65" s="105"/>
      <c r="F65" s="29"/>
      <c r="G65" s="29"/>
      <c r="H65" s="29"/>
      <c r="I65" s="131" t="s">
        <v>27</v>
      </c>
      <c r="J65" s="231"/>
      <c r="K65" s="231"/>
      <c r="L65" s="231"/>
      <c r="M65" s="231"/>
      <c r="N65" s="231"/>
      <c r="O65" s="231"/>
      <c r="P65" s="231"/>
      <c r="Q65" s="231"/>
      <c r="R65" s="231"/>
      <c r="S65" s="231"/>
      <c r="T65" s="231"/>
      <c r="U65" s="231"/>
      <c r="V65" s="231"/>
      <c r="W65" s="231"/>
      <c r="X65" s="231"/>
      <c r="Y65" s="231"/>
      <c r="Z65" s="231"/>
      <c r="AA65" s="231"/>
      <c r="AB65" s="231"/>
      <c r="AC65" s="231"/>
      <c r="AD65" s="231"/>
      <c r="AE65" s="231"/>
      <c r="AF65" s="231"/>
    </row>
    <row r="66" spans="1:32" s="203" customFormat="1">
      <c r="A66" s="106" t="s">
        <v>14</v>
      </c>
      <c r="B66" s="107"/>
      <c r="C66" s="107"/>
      <c r="D66" s="107"/>
      <c r="E66" s="856" t="s">
        <v>377</v>
      </c>
      <c r="F66" s="962" t="s">
        <v>402</v>
      </c>
      <c r="G66" s="867" t="s">
        <v>81</v>
      </c>
      <c r="H66" s="962" t="s">
        <v>403</v>
      </c>
      <c r="I66" s="867" t="s">
        <v>81</v>
      </c>
      <c r="J66" s="231"/>
      <c r="K66" s="231"/>
      <c r="L66" s="231"/>
      <c r="M66" s="231"/>
      <c r="N66" s="231"/>
      <c r="O66" s="231"/>
      <c r="P66" s="231"/>
      <c r="Q66" s="231"/>
      <c r="R66" s="231"/>
      <c r="S66" s="231"/>
      <c r="T66" s="231"/>
      <c r="U66" s="231"/>
      <c r="V66" s="231"/>
      <c r="W66" s="231"/>
      <c r="X66" s="231"/>
      <c r="Y66" s="231"/>
      <c r="Z66" s="231"/>
      <c r="AA66" s="231"/>
      <c r="AB66" s="231"/>
      <c r="AC66" s="231"/>
      <c r="AD66" s="231"/>
      <c r="AE66" s="231"/>
      <c r="AF66" s="231"/>
    </row>
    <row r="67" spans="1:32" s="203" customFormat="1" ht="21" customHeight="1">
      <c r="A67" s="108"/>
      <c r="B67" s="47"/>
      <c r="C67" s="47"/>
      <c r="D67" s="47"/>
      <c r="E67" s="859"/>
      <c r="F67" s="963"/>
      <c r="G67" s="868"/>
      <c r="H67" s="963"/>
      <c r="I67" s="868"/>
      <c r="J67" s="231"/>
      <c r="K67" s="231"/>
      <c r="L67" s="231"/>
      <c r="M67" s="231"/>
      <c r="N67" s="231"/>
      <c r="O67" s="231"/>
      <c r="P67" s="231"/>
      <c r="Q67" s="231"/>
      <c r="R67" s="231"/>
      <c r="S67" s="231"/>
      <c r="T67" s="231"/>
      <c r="U67" s="231"/>
      <c r="V67" s="231"/>
      <c r="W67" s="231"/>
      <c r="X67" s="231"/>
      <c r="Y67" s="231"/>
      <c r="Z67" s="231"/>
      <c r="AA67" s="231"/>
      <c r="AB67" s="231"/>
      <c r="AC67" s="231"/>
      <c r="AD67" s="231"/>
      <c r="AE67" s="231"/>
      <c r="AF67" s="231"/>
    </row>
    <row r="68" spans="1:32" s="203" customFormat="1">
      <c r="A68" s="109" t="s">
        <v>82</v>
      </c>
      <c r="B68" s="47"/>
      <c r="C68" s="47"/>
      <c r="D68" s="47"/>
      <c r="E68" s="859"/>
      <c r="F68" s="963"/>
      <c r="G68" s="868"/>
      <c r="H68" s="963"/>
      <c r="I68" s="868"/>
      <c r="J68" s="231"/>
      <c r="K68" s="231"/>
      <c r="L68" s="231"/>
      <c r="M68" s="231"/>
      <c r="N68" s="231"/>
      <c r="O68" s="231"/>
      <c r="P68" s="231"/>
      <c r="Q68" s="231"/>
      <c r="R68" s="231"/>
      <c r="S68" s="231"/>
      <c r="T68" s="231"/>
      <c r="U68" s="231"/>
      <c r="V68" s="231"/>
      <c r="W68" s="231"/>
      <c r="X68" s="231"/>
      <c r="Y68" s="231"/>
      <c r="Z68" s="231"/>
      <c r="AA68" s="231"/>
      <c r="AB68" s="231"/>
      <c r="AC68" s="231"/>
      <c r="AD68" s="231"/>
      <c r="AE68" s="231"/>
      <c r="AF68" s="231"/>
    </row>
    <row r="69" spans="1:32" s="203" customFormat="1">
      <c r="A69" s="109" t="s">
        <v>83</v>
      </c>
      <c r="B69" s="47"/>
      <c r="C69" s="47"/>
      <c r="D69" s="47"/>
      <c r="E69" s="859"/>
      <c r="F69" s="963"/>
      <c r="G69" s="868"/>
      <c r="H69" s="963"/>
      <c r="I69" s="868"/>
      <c r="J69" s="231"/>
      <c r="K69" s="231"/>
      <c r="L69" s="231"/>
      <c r="M69" s="231"/>
      <c r="N69" s="231"/>
      <c r="O69" s="231"/>
      <c r="P69" s="231"/>
      <c r="Q69" s="231"/>
      <c r="R69" s="231"/>
      <c r="S69" s="231"/>
      <c r="T69" s="231"/>
      <c r="U69" s="231"/>
      <c r="V69" s="231"/>
      <c r="W69" s="231"/>
      <c r="X69" s="231"/>
      <c r="Y69" s="231"/>
      <c r="Z69" s="231"/>
      <c r="AA69" s="231"/>
      <c r="AB69" s="231"/>
      <c r="AC69" s="231"/>
      <c r="AD69" s="231"/>
      <c r="AE69" s="231"/>
      <c r="AF69" s="231"/>
    </row>
    <row r="70" spans="1:32" s="203" customFormat="1">
      <c r="A70" s="110" t="s">
        <v>84</v>
      </c>
      <c r="B70" s="47"/>
      <c r="C70" s="47"/>
      <c r="D70" s="47"/>
      <c r="E70" s="860"/>
      <c r="F70" s="964"/>
      <c r="G70" s="869"/>
      <c r="H70" s="964"/>
      <c r="I70" s="869"/>
      <c r="J70" s="231"/>
      <c r="K70" s="231"/>
      <c r="L70" s="231"/>
      <c r="M70" s="231"/>
      <c r="N70" s="231"/>
      <c r="O70" s="231"/>
      <c r="P70" s="231"/>
      <c r="Q70" s="231"/>
      <c r="R70" s="231"/>
      <c r="S70" s="231"/>
      <c r="T70" s="231"/>
      <c r="U70" s="231"/>
      <c r="V70" s="231"/>
      <c r="W70" s="231"/>
      <c r="X70" s="231"/>
      <c r="Y70" s="231"/>
      <c r="Z70" s="231"/>
      <c r="AA70" s="231"/>
      <c r="AB70" s="231"/>
      <c r="AC70" s="231"/>
      <c r="AD70" s="231"/>
      <c r="AE70" s="231"/>
      <c r="AF70" s="231"/>
    </row>
    <row r="71" spans="1:32" s="203" customFormat="1">
      <c r="A71" s="111">
        <v>1</v>
      </c>
      <c r="B71" s="47" t="s">
        <v>85</v>
      </c>
      <c r="C71" s="47"/>
      <c r="D71" s="47"/>
      <c r="E71" s="41">
        <v>15101</v>
      </c>
      <c r="F71" s="247">
        <v>14551</v>
      </c>
      <c r="G71" s="112">
        <v>10477</v>
      </c>
      <c r="H71" s="248">
        <v>22659</v>
      </c>
      <c r="I71" s="112">
        <v>16315</v>
      </c>
      <c r="J71" s="231"/>
      <c r="K71" s="231"/>
      <c r="L71" s="231"/>
      <c r="M71" s="231"/>
      <c r="N71" s="231"/>
      <c r="O71" s="231"/>
      <c r="P71" s="231"/>
      <c r="Q71" s="231"/>
      <c r="R71" s="231"/>
      <c r="S71" s="231"/>
      <c r="T71" s="231"/>
      <c r="U71" s="231"/>
      <c r="V71" s="231"/>
      <c r="W71" s="231"/>
      <c r="X71" s="231"/>
      <c r="Y71" s="231"/>
      <c r="Z71" s="231"/>
      <c r="AA71" s="231"/>
      <c r="AB71" s="231"/>
      <c r="AC71" s="231"/>
      <c r="AD71" s="231"/>
      <c r="AE71" s="231"/>
      <c r="AF71" s="231"/>
    </row>
    <row r="72" spans="1:32" s="203" customFormat="1">
      <c r="A72" s="111">
        <v>2</v>
      </c>
      <c r="B72" s="47" t="s">
        <v>86</v>
      </c>
      <c r="C72" s="47"/>
      <c r="D72" s="47"/>
      <c r="E72" s="49">
        <v>57232</v>
      </c>
      <c r="F72" s="247">
        <v>58952</v>
      </c>
      <c r="G72" s="113">
        <v>42445</v>
      </c>
      <c r="H72" s="123">
        <v>61128</v>
      </c>
      <c r="I72" s="113">
        <v>44012</v>
      </c>
      <c r="J72" s="231"/>
      <c r="K72" s="231"/>
      <c r="L72" s="231"/>
      <c r="M72" s="231"/>
      <c r="N72" s="231"/>
      <c r="O72" s="231"/>
      <c r="P72" s="231"/>
      <c r="Q72" s="231"/>
      <c r="R72" s="231"/>
      <c r="S72" s="231"/>
      <c r="T72" s="231"/>
      <c r="U72" s="231"/>
      <c r="V72" s="231"/>
      <c r="W72" s="231"/>
      <c r="X72" s="231"/>
      <c r="Y72" s="231"/>
      <c r="Z72" s="231"/>
      <c r="AA72" s="231"/>
      <c r="AB72" s="231"/>
      <c r="AC72" s="231"/>
      <c r="AD72" s="231"/>
      <c r="AE72" s="231"/>
      <c r="AF72" s="231"/>
    </row>
    <row r="73" spans="1:32" s="203" customFormat="1">
      <c r="A73" s="111">
        <v>3</v>
      </c>
      <c r="B73" s="47" t="s">
        <v>87</v>
      </c>
      <c r="C73" s="47"/>
      <c r="D73" s="47"/>
      <c r="E73" s="114">
        <v>63056</v>
      </c>
      <c r="F73" s="247">
        <v>60999</v>
      </c>
      <c r="G73" s="113">
        <v>43919</v>
      </c>
      <c r="H73" s="123">
        <v>60208</v>
      </c>
      <c r="I73" s="113">
        <v>43350</v>
      </c>
      <c r="J73" s="231"/>
      <c r="K73" s="231"/>
      <c r="L73" s="231"/>
      <c r="M73" s="231"/>
      <c r="N73" s="231"/>
      <c r="O73" s="231"/>
      <c r="P73" s="231"/>
      <c r="Q73" s="231"/>
      <c r="R73" s="231"/>
      <c r="S73" s="231"/>
      <c r="T73" s="231"/>
      <c r="U73" s="231"/>
      <c r="V73" s="231"/>
      <c r="W73" s="231"/>
      <c r="X73" s="231"/>
      <c r="Y73" s="231"/>
      <c r="Z73" s="231"/>
      <c r="AA73" s="231"/>
      <c r="AB73" s="231"/>
      <c r="AC73" s="231"/>
      <c r="AD73" s="231"/>
      <c r="AE73" s="231"/>
      <c r="AF73" s="231"/>
    </row>
    <row r="74" spans="1:32" s="203" customFormat="1">
      <c r="A74" s="111">
        <v>4</v>
      </c>
      <c r="B74" s="47" t="s">
        <v>88</v>
      </c>
      <c r="C74" s="47"/>
      <c r="D74" s="47"/>
      <c r="E74" s="114">
        <v>18858</v>
      </c>
      <c r="F74" s="247">
        <v>19682</v>
      </c>
      <c r="G74" s="113">
        <v>15739</v>
      </c>
      <c r="H74" s="123">
        <v>20051</v>
      </c>
      <c r="I74" s="113">
        <v>16023</v>
      </c>
      <c r="J74" s="231"/>
      <c r="K74" s="231"/>
      <c r="L74" s="231"/>
      <c r="M74" s="231"/>
      <c r="N74" s="231"/>
      <c r="O74" s="231"/>
      <c r="P74" s="231"/>
      <c r="Q74" s="231"/>
      <c r="R74" s="231"/>
      <c r="S74" s="231"/>
      <c r="T74" s="231"/>
      <c r="U74" s="231"/>
      <c r="V74" s="231"/>
      <c r="W74" s="231"/>
      <c r="X74" s="231"/>
      <c r="Y74" s="231"/>
      <c r="Z74" s="231"/>
      <c r="AA74" s="231"/>
      <c r="AB74" s="231"/>
      <c r="AC74" s="231"/>
      <c r="AD74" s="231"/>
      <c r="AE74" s="231"/>
      <c r="AF74" s="231"/>
    </row>
    <row r="75" spans="1:32" s="203" customFormat="1">
      <c r="A75" s="111">
        <v>5</v>
      </c>
      <c r="B75" s="47" t="s">
        <v>89</v>
      </c>
      <c r="C75" s="47" t="s">
        <v>90</v>
      </c>
      <c r="D75" s="47"/>
      <c r="E75" s="114">
        <v>3257</v>
      </c>
      <c r="F75" s="247">
        <v>3275</v>
      </c>
      <c r="G75" s="113"/>
      <c r="H75" s="123">
        <v>3156</v>
      </c>
      <c r="I75" s="113"/>
      <c r="J75" s="231"/>
      <c r="K75" s="231"/>
      <c r="L75" s="231"/>
      <c r="M75" s="231"/>
      <c r="N75" s="231"/>
      <c r="O75" s="231"/>
      <c r="P75" s="231"/>
      <c r="Q75" s="231"/>
      <c r="R75" s="231"/>
      <c r="S75" s="231"/>
      <c r="T75" s="231"/>
      <c r="U75" s="231"/>
      <c r="V75" s="231"/>
      <c r="W75" s="231"/>
      <c r="X75" s="231"/>
      <c r="Y75" s="231"/>
      <c r="Z75" s="231"/>
      <c r="AA75" s="231"/>
      <c r="AB75" s="231"/>
      <c r="AC75" s="231"/>
      <c r="AD75" s="231"/>
      <c r="AE75" s="231"/>
      <c r="AF75" s="231"/>
    </row>
    <row r="76" spans="1:32" s="203" customFormat="1">
      <c r="A76" s="739"/>
      <c r="B76" s="741"/>
      <c r="C76" s="47" t="s">
        <v>91</v>
      </c>
      <c r="D76" s="47"/>
      <c r="E76" s="114">
        <v>0</v>
      </c>
      <c r="F76" s="247"/>
      <c r="G76" s="115"/>
      <c r="H76" s="249"/>
      <c r="I76" s="115"/>
      <c r="J76" s="231"/>
      <c r="K76" s="231"/>
      <c r="L76" s="231"/>
      <c r="M76" s="231"/>
      <c r="N76" s="231"/>
      <c r="O76" s="231"/>
      <c r="P76" s="231"/>
      <c r="Q76" s="231"/>
      <c r="R76" s="231"/>
      <c r="S76" s="231"/>
      <c r="T76" s="231"/>
      <c r="U76" s="231"/>
      <c r="V76" s="231"/>
      <c r="W76" s="231"/>
      <c r="X76" s="231"/>
      <c r="Y76" s="231"/>
      <c r="Z76" s="231"/>
      <c r="AA76" s="231"/>
      <c r="AB76" s="231"/>
      <c r="AC76" s="231"/>
      <c r="AD76" s="231"/>
      <c r="AE76" s="231"/>
      <c r="AF76" s="231"/>
    </row>
    <row r="77" spans="1:32" s="203" customFormat="1">
      <c r="A77" s="111">
        <v>6</v>
      </c>
      <c r="B77" s="116" t="s">
        <v>92</v>
      </c>
      <c r="C77" s="116"/>
      <c r="D77" s="47"/>
      <c r="E77" s="80">
        <v>157504</v>
      </c>
      <c r="F77" s="250">
        <f>SUM(F71:F76)</f>
        <v>157459</v>
      </c>
      <c r="G77" s="251">
        <f>SUM(G71:G76)</f>
        <v>112580</v>
      </c>
      <c r="H77" s="252">
        <f>SUM(H71:H76)</f>
        <v>167202</v>
      </c>
      <c r="I77" s="251">
        <f>SUM(I71:I76)</f>
        <v>119700</v>
      </c>
      <c r="J77" s="231"/>
      <c r="K77" s="231"/>
      <c r="L77" s="231"/>
      <c r="M77" s="231"/>
      <c r="N77" s="231"/>
      <c r="O77" s="231"/>
      <c r="P77" s="231"/>
      <c r="Q77" s="231"/>
      <c r="R77" s="231"/>
      <c r="S77" s="231"/>
      <c r="T77" s="231"/>
      <c r="U77" s="231"/>
      <c r="V77" s="231"/>
      <c r="W77" s="231"/>
      <c r="X77" s="231"/>
      <c r="Y77" s="231"/>
      <c r="Z77" s="231"/>
      <c r="AA77" s="231"/>
      <c r="AB77" s="231"/>
      <c r="AC77" s="231"/>
      <c r="AD77" s="231"/>
      <c r="AE77" s="231"/>
      <c r="AF77" s="231"/>
    </row>
    <row r="78" spans="1:32" s="203" customFormat="1">
      <c r="A78" s="739"/>
      <c r="B78" s="47"/>
      <c r="C78" s="47"/>
      <c r="D78" s="47"/>
      <c r="E78" s="117"/>
      <c r="F78" s="118"/>
      <c r="G78" s="118"/>
      <c r="H78" s="118"/>
      <c r="I78" s="118"/>
      <c r="J78" s="231"/>
      <c r="K78" s="231"/>
      <c r="L78" s="231"/>
      <c r="M78" s="231"/>
      <c r="N78" s="231"/>
      <c r="O78" s="231"/>
      <c r="P78" s="231"/>
      <c r="Q78" s="231"/>
      <c r="R78" s="231"/>
      <c r="S78" s="231"/>
      <c r="T78" s="231"/>
      <c r="U78" s="231"/>
      <c r="V78" s="231"/>
      <c r="W78" s="231"/>
      <c r="X78" s="231"/>
      <c r="Y78" s="231"/>
      <c r="Z78" s="231"/>
      <c r="AA78" s="231"/>
      <c r="AB78" s="231"/>
      <c r="AC78" s="231"/>
      <c r="AD78" s="231"/>
      <c r="AE78" s="231"/>
      <c r="AF78" s="231"/>
    </row>
    <row r="79" spans="1:32" s="203" customFormat="1">
      <c r="A79" s="119" t="s">
        <v>93</v>
      </c>
      <c r="B79" s="116"/>
      <c r="C79" s="116"/>
      <c r="D79" s="116"/>
      <c r="E79" s="117"/>
      <c r="F79" s="118"/>
      <c r="G79" s="118"/>
      <c r="H79" s="118"/>
      <c r="I79" s="118"/>
      <c r="J79" s="231"/>
      <c r="K79" s="231"/>
      <c r="L79" s="231"/>
      <c r="M79" s="231"/>
      <c r="N79" s="231"/>
      <c r="O79" s="231"/>
      <c r="P79" s="231"/>
      <c r="Q79" s="231"/>
      <c r="R79" s="231"/>
      <c r="S79" s="231"/>
      <c r="T79" s="231"/>
      <c r="U79" s="231"/>
      <c r="V79" s="231"/>
      <c r="W79" s="231"/>
      <c r="X79" s="231"/>
      <c r="Y79" s="231"/>
      <c r="Z79" s="231"/>
      <c r="AA79" s="231"/>
      <c r="AB79" s="231"/>
      <c r="AC79" s="231"/>
      <c r="AD79" s="231"/>
      <c r="AE79" s="231"/>
      <c r="AF79" s="231"/>
    </row>
    <row r="80" spans="1:32" s="203" customFormat="1">
      <c r="A80" s="120">
        <v>7</v>
      </c>
      <c r="B80" s="47" t="s">
        <v>94</v>
      </c>
      <c r="C80" s="47"/>
      <c r="D80" s="47"/>
      <c r="E80" s="41">
        <v>1190</v>
      </c>
      <c r="F80" s="253">
        <v>1108</v>
      </c>
      <c r="G80" s="112">
        <v>956</v>
      </c>
      <c r="H80" s="248">
        <v>1251</v>
      </c>
      <c r="I80" s="112">
        <v>1025</v>
      </c>
      <c r="J80" s="231"/>
      <c r="K80" s="231"/>
      <c r="L80" s="231"/>
      <c r="M80" s="231"/>
      <c r="N80" s="231"/>
      <c r="O80" s="231"/>
      <c r="P80" s="231"/>
      <c r="Q80" s="231"/>
      <c r="R80" s="231"/>
      <c r="S80" s="231"/>
      <c r="T80" s="231"/>
      <c r="U80" s="231"/>
      <c r="V80" s="231"/>
      <c r="W80" s="231"/>
      <c r="X80" s="231"/>
      <c r="Y80" s="231"/>
      <c r="Z80" s="231"/>
      <c r="AA80" s="231"/>
      <c r="AB80" s="231"/>
      <c r="AC80" s="231"/>
      <c r="AD80" s="231"/>
      <c r="AE80" s="231"/>
      <c r="AF80" s="231"/>
    </row>
    <row r="81" spans="1:32" s="203" customFormat="1">
      <c r="A81" s="120">
        <v>8</v>
      </c>
      <c r="B81" s="47" t="s">
        <v>95</v>
      </c>
      <c r="C81" s="47"/>
      <c r="D81" s="47"/>
      <c r="E81" s="49">
        <v>33807</v>
      </c>
      <c r="F81" s="247">
        <v>34909</v>
      </c>
      <c r="G81" s="113">
        <v>34566</v>
      </c>
      <c r="H81" s="123">
        <v>37879</v>
      </c>
      <c r="I81" s="113">
        <v>37609</v>
      </c>
      <c r="J81" s="231"/>
      <c r="K81" s="231"/>
      <c r="L81" s="231"/>
      <c r="M81" s="231"/>
      <c r="N81" s="231"/>
      <c r="O81" s="231"/>
      <c r="P81" s="231"/>
      <c r="Q81" s="231"/>
      <c r="R81" s="231"/>
      <c r="S81" s="231"/>
      <c r="T81" s="231"/>
      <c r="U81" s="231"/>
      <c r="V81" s="231"/>
      <c r="W81" s="231"/>
      <c r="X81" s="231"/>
      <c r="Y81" s="231"/>
      <c r="Z81" s="231"/>
      <c r="AA81" s="231"/>
      <c r="AB81" s="231"/>
      <c r="AC81" s="231"/>
      <c r="AD81" s="231"/>
      <c r="AE81" s="231"/>
      <c r="AF81" s="231"/>
    </row>
    <row r="82" spans="1:32" s="203" customFormat="1">
      <c r="A82" s="120">
        <v>9</v>
      </c>
      <c r="B82" s="47" t="s">
        <v>96</v>
      </c>
      <c r="C82" s="47"/>
      <c r="D82" s="47"/>
      <c r="E82" s="49">
        <v>37133</v>
      </c>
      <c r="F82" s="247">
        <v>34929</v>
      </c>
      <c r="G82" s="113">
        <v>34152</v>
      </c>
      <c r="H82" s="123">
        <v>35540</v>
      </c>
      <c r="I82" s="113">
        <v>34817</v>
      </c>
      <c r="J82" s="231"/>
      <c r="K82" s="231"/>
      <c r="L82" s="231"/>
      <c r="M82" s="231"/>
      <c r="N82" s="231"/>
      <c r="O82" s="231"/>
      <c r="P82" s="231"/>
      <c r="Q82" s="231"/>
      <c r="R82" s="231"/>
      <c r="S82" s="231"/>
      <c r="T82" s="231"/>
      <c r="U82" s="231"/>
      <c r="V82" s="231"/>
      <c r="W82" s="231"/>
      <c r="X82" s="231"/>
      <c r="Y82" s="231"/>
      <c r="Z82" s="231"/>
      <c r="AA82" s="231"/>
      <c r="AB82" s="231"/>
      <c r="AC82" s="231"/>
      <c r="AD82" s="231"/>
      <c r="AE82" s="231"/>
      <c r="AF82" s="231"/>
    </row>
    <row r="83" spans="1:32" s="203" customFormat="1">
      <c r="A83" s="120">
        <v>10</v>
      </c>
      <c r="B83" s="90" t="s">
        <v>97</v>
      </c>
      <c r="C83" s="47"/>
      <c r="D83" s="47"/>
      <c r="E83" s="49">
        <v>17668</v>
      </c>
      <c r="F83" s="247">
        <v>18436</v>
      </c>
      <c r="G83" s="113">
        <v>15739</v>
      </c>
      <c r="H83" s="123">
        <v>18787</v>
      </c>
      <c r="I83" s="113">
        <v>16023</v>
      </c>
      <c r="J83" s="231"/>
      <c r="K83" s="231"/>
      <c r="L83" s="231"/>
      <c r="M83" s="231"/>
      <c r="N83" s="231"/>
      <c r="O83" s="231"/>
      <c r="P83" s="231"/>
      <c r="Q83" s="231"/>
      <c r="R83" s="231"/>
      <c r="S83" s="231"/>
      <c r="T83" s="231"/>
      <c r="U83" s="231"/>
      <c r="V83" s="231"/>
      <c r="W83" s="231"/>
      <c r="X83" s="231"/>
      <c r="Y83" s="231"/>
      <c r="Z83" s="231"/>
      <c r="AA83" s="231"/>
      <c r="AB83" s="231"/>
      <c r="AC83" s="231"/>
      <c r="AD83" s="231"/>
      <c r="AE83" s="231"/>
      <c r="AF83" s="231"/>
    </row>
    <row r="84" spans="1:32" s="203" customFormat="1">
      <c r="A84" s="120">
        <v>11</v>
      </c>
      <c r="B84" s="90" t="s">
        <v>98</v>
      </c>
      <c r="C84" s="47"/>
      <c r="D84" s="47"/>
      <c r="E84" s="49">
        <v>3438</v>
      </c>
      <c r="F84" s="247">
        <v>3438</v>
      </c>
      <c r="G84" s="113">
        <v>0</v>
      </c>
      <c r="H84" s="123">
        <v>3491</v>
      </c>
      <c r="I84" s="113">
        <v>0</v>
      </c>
      <c r="J84" s="231"/>
      <c r="K84" s="231"/>
      <c r="L84" s="231"/>
      <c r="M84" s="231"/>
      <c r="N84" s="231"/>
      <c r="O84" s="231"/>
      <c r="P84" s="231"/>
      <c r="Q84" s="231"/>
      <c r="R84" s="231"/>
      <c r="S84" s="231"/>
      <c r="T84" s="231"/>
      <c r="U84" s="231"/>
      <c r="V84" s="231"/>
      <c r="W84" s="231"/>
      <c r="X84" s="231"/>
      <c r="Y84" s="231"/>
      <c r="Z84" s="231"/>
      <c r="AA84" s="231"/>
      <c r="AB84" s="231"/>
      <c r="AC84" s="231"/>
      <c r="AD84" s="231"/>
      <c r="AE84" s="231"/>
      <c r="AF84" s="231"/>
    </row>
    <row r="85" spans="1:32" s="203" customFormat="1">
      <c r="A85" s="120">
        <v>12</v>
      </c>
      <c r="B85" s="47" t="s">
        <v>99</v>
      </c>
      <c r="C85" s="47"/>
      <c r="D85" s="47"/>
      <c r="E85" s="49">
        <v>3715</v>
      </c>
      <c r="F85" s="247">
        <v>3881</v>
      </c>
      <c r="G85" s="113">
        <v>0</v>
      </c>
      <c r="H85" s="123">
        <v>3871</v>
      </c>
      <c r="I85" s="113">
        <v>0</v>
      </c>
      <c r="J85" s="231"/>
      <c r="K85" s="231"/>
      <c r="L85" s="231"/>
      <c r="M85" s="231"/>
      <c r="N85" s="231"/>
      <c r="O85" s="231"/>
      <c r="P85" s="231"/>
      <c r="Q85" s="231"/>
      <c r="R85" s="231"/>
      <c r="S85" s="231"/>
      <c r="T85" s="231"/>
      <c r="U85" s="231"/>
      <c r="V85" s="231"/>
      <c r="W85" s="231"/>
      <c r="X85" s="231"/>
      <c r="Y85" s="231"/>
      <c r="Z85" s="231"/>
      <c r="AA85" s="231"/>
      <c r="AB85" s="231"/>
      <c r="AC85" s="231"/>
      <c r="AD85" s="231"/>
      <c r="AE85" s="231"/>
      <c r="AF85" s="231"/>
    </row>
    <row r="86" spans="1:32" s="203" customFormat="1">
      <c r="A86" s="120">
        <v>13</v>
      </c>
      <c r="B86" s="47" t="s">
        <v>100</v>
      </c>
      <c r="C86" s="47"/>
      <c r="D86" s="47"/>
      <c r="E86" s="49">
        <v>22344</v>
      </c>
      <c r="F86" s="247">
        <v>21412</v>
      </c>
      <c r="G86" s="113">
        <v>21412</v>
      </c>
      <c r="H86" s="123">
        <v>23014</v>
      </c>
      <c r="I86" s="113">
        <v>23014</v>
      </c>
      <c r="J86" s="231"/>
      <c r="K86" s="231"/>
      <c r="L86" s="231"/>
      <c r="M86" s="231"/>
      <c r="N86" s="231"/>
      <c r="O86" s="231"/>
      <c r="P86" s="231"/>
      <c r="Q86" s="231"/>
      <c r="R86" s="231"/>
      <c r="S86" s="231"/>
      <c r="T86" s="231"/>
      <c r="U86" s="231"/>
      <c r="V86" s="231"/>
      <c r="W86" s="231"/>
      <c r="X86" s="231"/>
      <c r="Y86" s="231"/>
      <c r="Z86" s="231"/>
      <c r="AA86" s="231"/>
      <c r="AB86" s="231"/>
      <c r="AC86" s="231"/>
      <c r="AD86" s="231"/>
      <c r="AE86" s="231"/>
      <c r="AF86" s="231"/>
    </row>
    <row r="87" spans="1:32" s="203" customFormat="1">
      <c r="A87" s="120">
        <v>14</v>
      </c>
      <c r="B87" s="47" t="s">
        <v>101</v>
      </c>
      <c r="C87" s="47"/>
      <c r="D87" s="47"/>
      <c r="E87" s="49">
        <v>0</v>
      </c>
      <c r="F87" s="247"/>
      <c r="G87" s="113"/>
      <c r="H87" s="123"/>
      <c r="I87" s="113"/>
      <c r="J87" s="231"/>
      <c r="K87" s="231"/>
      <c r="L87" s="231"/>
      <c r="M87" s="231"/>
      <c r="N87" s="231"/>
      <c r="O87" s="231"/>
      <c r="P87" s="231"/>
      <c r="Q87" s="231"/>
      <c r="R87" s="231"/>
      <c r="S87" s="231"/>
      <c r="T87" s="231"/>
      <c r="U87" s="231"/>
      <c r="V87" s="231"/>
      <c r="W87" s="231"/>
      <c r="X87" s="231"/>
      <c r="Y87" s="231"/>
      <c r="Z87" s="231"/>
      <c r="AA87" s="231"/>
      <c r="AB87" s="231"/>
      <c r="AC87" s="231"/>
      <c r="AD87" s="231"/>
      <c r="AE87" s="231"/>
      <c r="AF87" s="231"/>
    </row>
    <row r="88" spans="1:32" s="203" customFormat="1">
      <c r="A88" s="124">
        <v>15</v>
      </c>
      <c r="B88" s="125" t="s">
        <v>102</v>
      </c>
      <c r="C88" s="54"/>
      <c r="D88" s="54"/>
      <c r="E88" s="56">
        <v>0</v>
      </c>
      <c r="F88" s="254"/>
      <c r="G88" s="127"/>
      <c r="H88" s="255"/>
      <c r="I88" s="127"/>
      <c r="J88" s="231"/>
      <c r="K88" s="231"/>
      <c r="L88" s="231"/>
      <c r="M88" s="231"/>
      <c r="N88" s="231"/>
      <c r="O88" s="231"/>
      <c r="P88" s="231"/>
      <c r="Q88" s="231"/>
      <c r="R88" s="231"/>
      <c r="S88" s="231"/>
      <c r="T88" s="231"/>
      <c r="U88" s="231"/>
      <c r="V88" s="231"/>
      <c r="W88" s="231"/>
      <c r="X88" s="231"/>
      <c r="Y88" s="231"/>
      <c r="Z88" s="231"/>
      <c r="AA88" s="231"/>
      <c r="AB88" s="231"/>
      <c r="AC88" s="231"/>
      <c r="AD88" s="231"/>
      <c r="AE88" s="231"/>
      <c r="AF88" s="231"/>
    </row>
    <row r="89" spans="1:32" s="203" customFormat="1">
      <c r="A89" s="128"/>
      <c r="B89" s="129"/>
      <c r="C89" s="129"/>
      <c r="D89" s="129"/>
      <c r="E89" s="15"/>
      <c r="F89" s="130"/>
      <c r="G89" s="29"/>
      <c r="H89" s="207"/>
      <c r="I89" s="29"/>
      <c r="J89" s="231"/>
      <c r="K89" s="231"/>
      <c r="L89" s="231"/>
      <c r="M89" s="231"/>
      <c r="N89" s="231"/>
      <c r="O89" s="231"/>
      <c r="P89" s="231"/>
      <c r="Q89" s="231"/>
      <c r="R89" s="231"/>
      <c r="S89" s="231"/>
      <c r="T89" s="231"/>
      <c r="U89" s="231"/>
      <c r="V89" s="231"/>
      <c r="W89" s="231"/>
      <c r="X89" s="231"/>
      <c r="Y89" s="231"/>
      <c r="Z89" s="231"/>
      <c r="AA89" s="231"/>
      <c r="AB89" s="231"/>
      <c r="AC89" s="231"/>
      <c r="AD89" s="231"/>
      <c r="AE89" s="231"/>
      <c r="AF89" s="231"/>
    </row>
    <row r="90" spans="1:32" s="203" customFormat="1">
      <c r="A90" s="128"/>
      <c r="B90" s="129"/>
      <c r="C90" s="129"/>
      <c r="D90" s="129"/>
      <c r="E90" s="105"/>
      <c r="F90" s="130"/>
      <c r="G90" s="29"/>
      <c r="H90" s="131" t="s">
        <v>27</v>
      </c>
      <c r="I90" s="29"/>
      <c r="J90" s="231"/>
      <c r="K90" s="231"/>
      <c r="L90" s="231"/>
      <c r="M90" s="231"/>
      <c r="N90" s="231"/>
      <c r="O90" s="231"/>
      <c r="P90" s="231"/>
      <c r="Q90" s="231"/>
      <c r="R90" s="231"/>
      <c r="S90" s="231"/>
      <c r="T90" s="231"/>
      <c r="U90" s="231"/>
      <c r="V90" s="231"/>
      <c r="W90" s="231"/>
      <c r="X90" s="231"/>
      <c r="Y90" s="231"/>
      <c r="Z90" s="231"/>
      <c r="AA90" s="231"/>
      <c r="AB90" s="231"/>
      <c r="AC90" s="231"/>
      <c r="AD90" s="231"/>
      <c r="AE90" s="231"/>
      <c r="AF90" s="231"/>
    </row>
    <row r="91" spans="1:32" s="203" customFormat="1">
      <c r="A91" s="106" t="s">
        <v>17</v>
      </c>
      <c r="B91" s="107"/>
      <c r="C91" s="107"/>
      <c r="D91" s="107"/>
      <c r="E91" s="856" t="s">
        <v>421</v>
      </c>
      <c r="F91" s="856" t="s">
        <v>402</v>
      </c>
      <c r="G91" s="257"/>
      <c r="H91" s="856" t="s">
        <v>403</v>
      </c>
      <c r="I91" s="29"/>
      <c r="J91" s="231"/>
      <c r="K91" s="231"/>
      <c r="L91" s="231"/>
      <c r="M91" s="231"/>
      <c r="N91" s="231"/>
      <c r="O91" s="231"/>
      <c r="P91" s="231"/>
      <c r="Q91" s="231"/>
      <c r="R91" s="231"/>
      <c r="S91" s="231"/>
      <c r="T91" s="231"/>
      <c r="U91" s="231"/>
      <c r="V91" s="231"/>
      <c r="W91" s="231"/>
      <c r="X91" s="231"/>
      <c r="Y91" s="231"/>
      <c r="Z91" s="231"/>
      <c r="AA91" s="231"/>
      <c r="AB91" s="231"/>
      <c r="AC91" s="231"/>
      <c r="AD91" s="231"/>
      <c r="AE91" s="231"/>
      <c r="AF91" s="231"/>
    </row>
    <row r="92" spans="1:32" s="203" customFormat="1" ht="12.75" customHeight="1">
      <c r="A92" s="109"/>
      <c r="B92" s="132"/>
      <c r="C92" s="132"/>
      <c r="D92" s="132"/>
      <c r="E92" s="859"/>
      <c r="F92" s="859"/>
      <c r="G92" s="29"/>
      <c r="H92" s="859"/>
      <c r="I92" s="29"/>
      <c r="J92" s="231"/>
      <c r="K92" s="231"/>
      <c r="L92" s="231"/>
      <c r="M92" s="231"/>
      <c r="N92" s="231"/>
      <c r="O92" s="231"/>
      <c r="P92" s="231"/>
      <c r="Q92" s="231"/>
      <c r="R92" s="231"/>
      <c r="S92" s="231"/>
      <c r="T92" s="231"/>
      <c r="U92" s="231"/>
      <c r="V92" s="231"/>
      <c r="W92" s="231"/>
      <c r="X92" s="231"/>
      <c r="Y92" s="231"/>
      <c r="Z92" s="231"/>
      <c r="AA92" s="231"/>
      <c r="AB92" s="231"/>
      <c r="AC92" s="231"/>
      <c r="AD92" s="231"/>
      <c r="AE92" s="231"/>
      <c r="AF92" s="231"/>
    </row>
    <row r="93" spans="1:32" s="203" customFormat="1">
      <c r="A93" s="109" t="s">
        <v>103</v>
      </c>
      <c r="B93" s="132"/>
      <c r="C93" s="132"/>
      <c r="D93" s="132"/>
      <c r="E93" s="859"/>
      <c r="F93" s="859"/>
      <c r="G93" s="29"/>
      <c r="H93" s="859"/>
      <c r="I93" s="29"/>
      <c r="J93" s="231"/>
      <c r="K93" s="231"/>
      <c r="L93" s="231"/>
      <c r="M93" s="231"/>
      <c r="N93" s="231"/>
      <c r="O93" s="231"/>
      <c r="P93" s="231"/>
      <c r="Q93" s="231"/>
      <c r="R93" s="231"/>
      <c r="S93" s="231"/>
      <c r="T93" s="231"/>
      <c r="U93" s="231"/>
      <c r="V93" s="231"/>
      <c r="W93" s="231"/>
      <c r="X93" s="231"/>
      <c r="Y93" s="231"/>
      <c r="Z93" s="231"/>
      <c r="AA93" s="231"/>
      <c r="AB93" s="231"/>
      <c r="AC93" s="231"/>
      <c r="AD93" s="231"/>
      <c r="AE93" s="231"/>
      <c r="AF93" s="231"/>
    </row>
    <row r="94" spans="1:32" s="203" customFormat="1">
      <c r="A94" s="109" t="s">
        <v>83</v>
      </c>
      <c r="B94" s="132"/>
      <c r="C94" s="132"/>
      <c r="D94" s="132"/>
      <c r="E94" s="859"/>
      <c r="F94" s="859"/>
      <c r="G94" s="130"/>
      <c r="H94" s="859"/>
      <c r="I94" s="29"/>
      <c r="J94" s="231"/>
      <c r="K94" s="231"/>
      <c r="L94" s="231"/>
      <c r="M94" s="231"/>
      <c r="N94" s="231"/>
      <c r="O94" s="231"/>
      <c r="P94" s="231"/>
      <c r="Q94" s="231"/>
      <c r="R94" s="231"/>
      <c r="S94" s="231"/>
      <c r="T94" s="231"/>
      <c r="U94" s="231"/>
      <c r="V94" s="231"/>
      <c r="W94" s="231"/>
      <c r="X94" s="231"/>
      <c r="Y94" s="231"/>
      <c r="Z94" s="231"/>
      <c r="AA94" s="231"/>
      <c r="AB94" s="231"/>
      <c r="AC94" s="231"/>
      <c r="AD94" s="231"/>
      <c r="AE94" s="231"/>
      <c r="AF94" s="231"/>
    </row>
    <row r="95" spans="1:32" s="203" customFormat="1">
      <c r="A95" s="110" t="s">
        <v>84</v>
      </c>
      <c r="B95" s="132"/>
      <c r="C95" s="132"/>
      <c r="D95" s="132"/>
      <c r="E95" s="860"/>
      <c r="F95" s="860"/>
      <c r="G95" s="130"/>
      <c r="H95" s="860"/>
      <c r="I95" s="130"/>
      <c r="J95" s="231"/>
      <c r="K95" s="231"/>
      <c r="L95" s="231"/>
      <c r="M95" s="231"/>
      <c r="N95" s="231"/>
      <c r="O95" s="231"/>
      <c r="P95" s="231"/>
      <c r="Q95" s="231"/>
      <c r="R95" s="231"/>
      <c r="S95" s="231"/>
      <c r="T95" s="231"/>
      <c r="U95" s="231"/>
      <c r="V95" s="231"/>
      <c r="W95" s="231"/>
      <c r="X95" s="231"/>
      <c r="Y95" s="231"/>
      <c r="Z95" s="231"/>
      <c r="AA95" s="231"/>
      <c r="AB95" s="231"/>
      <c r="AC95" s="231"/>
      <c r="AD95" s="231"/>
      <c r="AE95" s="231"/>
      <c r="AF95" s="231"/>
    </row>
    <row r="96" spans="1:32" s="203" customFormat="1">
      <c r="A96" s="120">
        <v>1</v>
      </c>
      <c r="B96" s="47" t="s">
        <v>104</v>
      </c>
      <c r="C96" s="47"/>
      <c r="D96" s="47"/>
      <c r="E96" s="41">
        <v>640</v>
      </c>
      <c r="F96" s="52">
        <v>643</v>
      </c>
      <c r="G96" s="118"/>
      <c r="H96" s="133">
        <v>655</v>
      </c>
      <c r="I96" s="139"/>
      <c r="J96" s="231"/>
      <c r="K96" s="231"/>
      <c r="L96" s="231"/>
      <c r="M96" s="231"/>
      <c r="N96" s="231"/>
      <c r="O96" s="231"/>
      <c r="P96" s="231"/>
      <c r="Q96" s="231"/>
      <c r="R96" s="231"/>
      <c r="S96" s="231"/>
      <c r="T96" s="231"/>
      <c r="U96" s="231"/>
      <c r="V96" s="231"/>
      <c r="W96" s="231"/>
      <c r="X96" s="231"/>
      <c r="Y96" s="231"/>
      <c r="Z96" s="231"/>
      <c r="AA96" s="231"/>
      <c r="AB96" s="231"/>
      <c r="AC96" s="231"/>
      <c r="AD96" s="231"/>
      <c r="AE96" s="231"/>
      <c r="AF96" s="231"/>
    </row>
    <row r="97" spans="1:32" s="203" customFormat="1">
      <c r="A97" s="120">
        <v>2</v>
      </c>
      <c r="B97" s="47" t="s">
        <v>105</v>
      </c>
      <c r="C97" s="47"/>
      <c r="D97" s="47"/>
      <c r="E97" s="49">
        <v>84</v>
      </c>
      <c r="F97" s="52">
        <v>34</v>
      </c>
      <c r="G97" s="118"/>
      <c r="H97" s="122">
        <v>34</v>
      </c>
      <c r="I97" s="139"/>
      <c r="J97" s="231"/>
      <c r="K97" s="231"/>
      <c r="L97" s="231"/>
      <c r="M97" s="231"/>
      <c r="N97" s="231"/>
      <c r="O97" s="231"/>
      <c r="P97" s="231"/>
      <c r="Q97" s="231"/>
      <c r="R97" s="231"/>
      <c r="S97" s="231"/>
      <c r="T97" s="231"/>
      <c r="U97" s="231"/>
      <c r="V97" s="231"/>
      <c r="W97" s="231"/>
      <c r="X97" s="231"/>
      <c r="Y97" s="231"/>
      <c r="Z97" s="231"/>
      <c r="AA97" s="231"/>
      <c r="AB97" s="231"/>
      <c r="AC97" s="231"/>
      <c r="AD97" s="231"/>
      <c r="AE97" s="231"/>
      <c r="AF97" s="231"/>
    </row>
    <row r="98" spans="1:32" s="203" customFormat="1">
      <c r="A98" s="120">
        <v>3</v>
      </c>
      <c r="B98" s="47" t="s">
        <v>106</v>
      </c>
      <c r="C98" s="47"/>
      <c r="D98" s="47"/>
      <c r="E98" s="114">
        <v>21291</v>
      </c>
      <c r="F98" s="50">
        <f>F115</f>
        <v>25565</v>
      </c>
      <c r="G98" s="118"/>
      <c r="H98" s="50">
        <f>H115</f>
        <v>23423</v>
      </c>
      <c r="I98" s="139"/>
      <c r="J98" s="231"/>
      <c r="K98" s="231"/>
      <c r="L98" s="231"/>
      <c r="M98" s="231"/>
      <c r="N98" s="231"/>
      <c r="O98" s="231"/>
      <c r="P98" s="231"/>
      <c r="Q98" s="231"/>
      <c r="R98" s="231"/>
      <c r="S98" s="231"/>
      <c r="T98" s="231"/>
      <c r="U98" s="231"/>
      <c r="V98" s="231"/>
      <c r="W98" s="231"/>
      <c r="X98" s="231"/>
      <c r="Y98" s="231"/>
      <c r="Z98" s="231"/>
      <c r="AA98" s="231"/>
      <c r="AB98" s="231"/>
      <c r="AC98" s="231"/>
      <c r="AD98" s="231"/>
      <c r="AE98" s="231"/>
      <c r="AF98" s="231"/>
    </row>
    <row r="99" spans="1:32" s="203" customFormat="1">
      <c r="A99" s="120">
        <v>4</v>
      </c>
      <c r="B99" s="47" t="s">
        <v>107</v>
      </c>
      <c r="C99" s="47"/>
      <c r="D99" s="47"/>
      <c r="E99" s="114">
        <v>35226</v>
      </c>
      <c r="F99" s="50">
        <f>F125</f>
        <v>35091</v>
      </c>
      <c r="G99" s="118"/>
      <c r="H99" s="50">
        <f>H125</f>
        <v>37226</v>
      </c>
      <c r="I99" s="139"/>
      <c r="J99" s="231"/>
      <c r="K99" s="231"/>
      <c r="L99" s="231"/>
      <c r="M99" s="231"/>
      <c r="N99" s="231"/>
      <c r="O99" s="231"/>
      <c r="P99" s="231"/>
      <c r="Q99" s="231"/>
      <c r="R99" s="231"/>
      <c r="S99" s="231"/>
      <c r="T99" s="231"/>
      <c r="U99" s="231"/>
      <c r="V99" s="231"/>
      <c r="W99" s="231"/>
      <c r="X99" s="231"/>
      <c r="Y99" s="231"/>
      <c r="Z99" s="231"/>
      <c r="AA99" s="231"/>
      <c r="AB99" s="231"/>
      <c r="AC99" s="231"/>
      <c r="AD99" s="231"/>
      <c r="AE99" s="231"/>
      <c r="AF99" s="231"/>
    </row>
    <row r="100" spans="1:32" s="203" customFormat="1">
      <c r="A100" s="120">
        <v>5</v>
      </c>
      <c r="B100" s="47" t="s">
        <v>108</v>
      </c>
      <c r="C100" s="47"/>
      <c r="D100" s="47"/>
      <c r="E100" s="114">
        <v>8622</v>
      </c>
      <c r="F100" s="50">
        <f>F135</f>
        <v>8806</v>
      </c>
      <c r="G100" s="118"/>
      <c r="H100" s="50">
        <f>H135</f>
        <v>9279</v>
      </c>
      <c r="I100" s="139"/>
      <c r="J100" s="231"/>
      <c r="K100" s="231"/>
      <c r="L100" s="231"/>
      <c r="M100" s="231"/>
      <c r="N100" s="231"/>
      <c r="O100" s="231"/>
      <c r="P100" s="231"/>
      <c r="Q100" s="231"/>
      <c r="R100" s="231"/>
      <c r="S100" s="231"/>
      <c r="T100" s="231"/>
      <c r="U100" s="231"/>
      <c r="V100" s="231"/>
      <c r="W100" s="231"/>
      <c r="X100" s="231"/>
      <c r="Y100" s="231"/>
      <c r="Z100" s="231"/>
      <c r="AA100" s="231"/>
      <c r="AB100" s="231"/>
      <c r="AC100" s="231"/>
      <c r="AD100" s="231"/>
      <c r="AE100" s="231"/>
      <c r="AF100" s="231"/>
    </row>
    <row r="101" spans="1:32" s="203" customFormat="1">
      <c r="A101" s="120">
        <v>6</v>
      </c>
      <c r="B101" s="47" t="s">
        <v>109</v>
      </c>
      <c r="C101" s="47"/>
      <c r="D101" s="47"/>
      <c r="E101" s="114">
        <v>18003</v>
      </c>
      <c r="F101" s="50">
        <f>F143</f>
        <v>16772</v>
      </c>
      <c r="G101" s="118"/>
      <c r="H101" s="50">
        <f>H143</f>
        <v>16620</v>
      </c>
      <c r="I101" s="139"/>
      <c r="J101" s="231"/>
      <c r="K101" s="231"/>
      <c r="L101" s="231"/>
      <c r="M101" s="231"/>
      <c r="N101" s="231"/>
      <c r="O101" s="231"/>
      <c r="P101" s="231"/>
      <c r="Q101" s="231"/>
      <c r="R101" s="231"/>
      <c r="S101" s="231"/>
      <c r="T101" s="231"/>
      <c r="U101" s="231"/>
      <c r="V101" s="231"/>
      <c r="W101" s="231"/>
      <c r="X101" s="231"/>
      <c r="Y101" s="231"/>
      <c r="Z101" s="231"/>
      <c r="AA101" s="231"/>
      <c r="AB101" s="231"/>
      <c r="AC101" s="231"/>
      <c r="AD101" s="231"/>
      <c r="AE101" s="231"/>
      <c r="AF101" s="231"/>
    </row>
    <row r="102" spans="1:32" s="203" customFormat="1">
      <c r="A102" s="120">
        <v>7</v>
      </c>
      <c r="B102" s="47" t="s">
        <v>110</v>
      </c>
      <c r="C102" s="47"/>
      <c r="D102" s="47"/>
      <c r="E102" s="114">
        <v>4305</v>
      </c>
      <c r="F102" s="50">
        <f>F150</f>
        <v>6491</v>
      </c>
      <c r="G102" s="118"/>
      <c r="H102" s="50">
        <f>H150</f>
        <v>6717</v>
      </c>
      <c r="I102" s="139"/>
      <c r="J102" s="231"/>
      <c r="K102" s="231"/>
      <c r="L102" s="231"/>
      <c r="M102" s="231"/>
      <c r="N102" s="231"/>
      <c r="O102" s="231"/>
      <c r="P102" s="231"/>
      <c r="Q102" s="231"/>
      <c r="R102" s="231"/>
      <c r="S102" s="231"/>
      <c r="T102" s="231"/>
      <c r="U102" s="231"/>
      <c r="V102" s="231"/>
      <c r="W102" s="231"/>
      <c r="X102" s="231"/>
      <c r="Y102" s="231"/>
      <c r="Z102" s="231"/>
      <c r="AA102" s="231"/>
      <c r="AB102" s="231"/>
      <c r="AC102" s="231"/>
      <c r="AD102" s="231"/>
      <c r="AE102" s="231"/>
      <c r="AF102" s="231"/>
    </row>
    <row r="103" spans="1:32" s="203" customFormat="1">
      <c r="A103" s="120">
        <v>8</v>
      </c>
      <c r="B103" s="47" t="s">
        <v>111</v>
      </c>
      <c r="C103" s="47"/>
      <c r="D103" s="47"/>
      <c r="E103" s="114">
        <v>990</v>
      </c>
      <c r="F103" s="52">
        <v>773</v>
      </c>
      <c r="G103" s="118"/>
      <c r="H103" s="122">
        <v>807</v>
      </c>
      <c r="I103" s="139"/>
      <c r="J103" s="231"/>
      <c r="K103" s="231"/>
      <c r="L103" s="231"/>
      <c r="M103" s="231"/>
      <c r="N103" s="231"/>
      <c r="O103" s="231"/>
      <c r="P103" s="231"/>
      <c r="Q103" s="231"/>
      <c r="R103" s="231"/>
      <c r="S103" s="231"/>
      <c r="T103" s="231"/>
      <c r="U103" s="231"/>
      <c r="V103" s="231"/>
      <c r="W103" s="231"/>
      <c r="X103" s="231"/>
      <c r="Y103" s="231"/>
      <c r="Z103" s="231"/>
      <c r="AA103" s="231"/>
      <c r="AB103" s="231"/>
      <c r="AC103" s="231"/>
      <c r="AD103" s="231"/>
      <c r="AE103" s="231"/>
      <c r="AF103" s="231"/>
    </row>
    <row r="104" spans="1:32" s="203" customFormat="1">
      <c r="A104" s="120">
        <v>9</v>
      </c>
      <c r="B104" s="47" t="s">
        <v>112</v>
      </c>
      <c r="C104" s="47"/>
      <c r="D104" s="47"/>
      <c r="E104" s="114">
        <v>2779</v>
      </c>
      <c r="F104" s="52">
        <v>2718</v>
      </c>
      <c r="G104" s="118"/>
      <c r="H104" s="122">
        <v>2798</v>
      </c>
      <c r="I104" s="139"/>
      <c r="J104" s="231"/>
      <c r="K104" s="231"/>
      <c r="L104" s="231"/>
      <c r="M104" s="231"/>
      <c r="N104" s="231"/>
      <c r="O104" s="231"/>
      <c r="P104" s="231"/>
      <c r="Q104" s="231"/>
      <c r="R104" s="231"/>
      <c r="S104" s="231"/>
      <c r="T104" s="231"/>
      <c r="U104" s="231"/>
      <c r="V104" s="231"/>
      <c r="W104" s="231"/>
      <c r="X104" s="231"/>
      <c r="Y104" s="231"/>
      <c r="Z104" s="231"/>
      <c r="AA104" s="231"/>
      <c r="AB104" s="231"/>
      <c r="AC104" s="231"/>
      <c r="AD104" s="231"/>
      <c r="AE104" s="231"/>
      <c r="AF104" s="231"/>
    </row>
    <row r="105" spans="1:32" s="203" customFormat="1">
      <c r="A105" s="111" t="s">
        <v>113</v>
      </c>
      <c r="B105" s="116" t="s">
        <v>114</v>
      </c>
      <c r="C105" s="116"/>
      <c r="D105" s="47"/>
      <c r="E105" s="134">
        <v>91940</v>
      </c>
      <c r="F105" s="61">
        <f>SUM(F96:F104)</f>
        <v>96893</v>
      </c>
      <c r="G105" s="118"/>
      <c r="H105" s="61">
        <f>SUM(H96:H104)</f>
        <v>97559</v>
      </c>
      <c r="I105" s="139"/>
      <c r="J105" s="231"/>
      <c r="K105" s="231"/>
      <c r="L105" s="231"/>
      <c r="M105" s="231"/>
      <c r="N105" s="231"/>
      <c r="O105" s="231"/>
      <c r="P105" s="231"/>
      <c r="Q105" s="231"/>
      <c r="R105" s="231"/>
      <c r="S105" s="231"/>
      <c r="T105" s="231"/>
      <c r="U105" s="231"/>
      <c r="V105" s="231"/>
      <c r="W105" s="231"/>
      <c r="X105" s="231"/>
      <c r="Y105" s="231"/>
      <c r="Z105" s="231"/>
      <c r="AA105" s="231"/>
      <c r="AB105" s="231"/>
      <c r="AC105" s="231"/>
      <c r="AD105" s="231"/>
      <c r="AE105" s="231"/>
      <c r="AF105" s="231"/>
    </row>
    <row r="106" spans="1:32" s="203" customFormat="1">
      <c r="A106" s="120">
        <v>11</v>
      </c>
      <c r="B106" s="90" t="s">
        <v>115</v>
      </c>
      <c r="C106" s="47"/>
      <c r="D106" s="47"/>
      <c r="E106" s="135">
        <v>0</v>
      </c>
      <c r="F106" s="136"/>
      <c r="G106" s="118"/>
      <c r="H106" s="137"/>
      <c r="I106" s="139"/>
      <c r="J106" s="231"/>
      <c r="K106" s="231"/>
      <c r="L106" s="231"/>
      <c r="M106" s="231"/>
      <c r="N106" s="231"/>
      <c r="O106" s="231"/>
      <c r="P106" s="231"/>
      <c r="Q106" s="231"/>
      <c r="R106" s="231"/>
      <c r="S106" s="231"/>
      <c r="T106" s="231"/>
      <c r="U106" s="231"/>
      <c r="V106" s="231"/>
      <c r="W106" s="231"/>
      <c r="X106" s="231"/>
      <c r="Y106" s="231"/>
      <c r="Z106" s="231"/>
      <c r="AA106" s="231"/>
      <c r="AB106" s="231"/>
      <c r="AC106" s="231"/>
      <c r="AD106" s="231"/>
      <c r="AE106" s="231"/>
      <c r="AF106" s="231"/>
    </row>
    <row r="107" spans="1:32" s="203" customFormat="1">
      <c r="A107" s="111"/>
      <c r="B107" s="47"/>
      <c r="C107" s="47"/>
      <c r="D107" s="138"/>
      <c r="E107" s="117"/>
      <c r="F107" s="139"/>
      <c r="G107" s="139"/>
      <c r="H107" s="139"/>
      <c r="I107" s="139"/>
      <c r="J107" s="231"/>
      <c r="K107" s="231"/>
      <c r="L107" s="231"/>
      <c r="M107" s="231"/>
      <c r="N107" s="231"/>
      <c r="O107" s="231"/>
      <c r="P107" s="231"/>
      <c r="Q107" s="231"/>
      <c r="R107" s="231"/>
      <c r="S107" s="231"/>
      <c r="T107" s="231"/>
      <c r="U107" s="231"/>
      <c r="V107" s="231"/>
      <c r="W107" s="231"/>
      <c r="X107" s="231"/>
      <c r="Y107" s="231"/>
      <c r="Z107" s="231"/>
      <c r="AA107" s="231"/>
      <c r="AB107" s="231"/>
      <c r="AC107" s="231"/>
      <c r="AD107" s="231"/>
      <c r="AE107" s="231"/>
      <c r="AF107" s="231"/>
    </row>
    <row r="108" spans="1:32" s="203" customFormat="1">
      <c r="A108" s="119" t="s">
        <v>116</v>
      </c>
      <c r="B108" s="47"/>
      <c r="C108" s="47"/>
      <c r="D108" s="47"/>
      <c r="E108" s="117"/>
      <c r="F108" s="139"/>
      <c r="G108" s="139"/>
      <c r="H108" s="139"/>
      <c r="I108" s="139"/>
      <c r="J108" s="231"/>
      <c r="K108" s="231"/>
      <c r="L108" s="231"/>
      <c r="M108" s="231"/>
      <c r="N108" s="231"/>
      <c r="O108" s="231"/>
      <c r="P108" s="231"/>
      <c r="Q108" s="231"/>
      <c r="R108" s="231"/>
      <c r="S108" s="231"/>
      <c r="T108" s="231"/>
      <c r="U108" s="231"/>
      <c r="V108" s="231"/>
      <c r="W108" s="231"/>
      <c r="X108" s="231"/>
      <c r="Y108" s="231"/>
      <c r="Z108" s="231"/>
      <c r="AA108" s="231"/>
      <c r="AB108" s="231"/>
      <c r="AC108" s="231"/>
      <c r="AD108" s="231"/>
      <c r="AE108" s="231"/>
      <c r="AF108" s="231"/>
    </row>
    <row r="109" spans="1:32" s="203" customFormat="1">
      <c r="A109" s="119" t="s">
        <v>106</v>
      </c>
      <c r="B109" s="47"/>
      <c r="C109" s="47"/>
      <c r="D109" s="47"/>
      <c r="E109" s="140"/>
      <c r="F109" s="141"/>
      <c r="G109" s="139"/>
      <c r="H109" s="141"/>
      <c r="I109" s="139"/>
      <c r="J109" s="231"/>
      <c r="K109" s="231"/>
      <c r="L109" s="231"/>
      <c r="M109" s="231"/>
      <c r="N109" s="231"/>
      <c r="O109" s="231"/>
      <c r="P109" s="231"/>
      <c r="Q109" s="231"/>
      <c r="R109" s="231"/>
      <c r="S109" s="231"/>
      <c r="T109" s="231"/>
      <c r="U109" s="231"/>
      <c r="V109" s="231"/>
      <c r="W109" s="231"/>
      <c r="X109" s="231"/>
      <c r="Y109" s="231"/>
      <c r="Z109" s="231"/>
      <c r="AA109" s="231"/>
      <c r="AB109" s="231"/>
      <c r="AC109" s="231"/>
      <c r="AD109" s="231"/>
      <c r="AE109" s="231"/>
      <c r="AF109" s="231"/>
    </row>
    <row r="110" spans="1:32" s="203" customFormat="1">
      <c r="A110" s="120">
        <v>12</v>
      </c>
      <c r="B110" s="47" t="s">
        <v>117</v>
      </c>
      <c r="C110" s="47"/>
      <c r="D110" s="47"/>
      <c r="E110" s="49">
        <v>5085</v>
      </c>
      <c r="F110" s="52">
        <v>4588</v>
      </c>
      <c r="G110" s="118"/>
      <c r="H110" s="122">
        <v>4995</v>
      </c>
      <c r="I110" s="139"/>
      <c r="J110" s="231"/>
      <c r="K110" s="231"/>
      <c r="L110" s="231"/>
      <c r="M110" s="231"/>
      <c r="N110" s="231"/>
      <c r="O110" s="231"/>
      <c r="P110" s="231"/>
      <c r="Q110" s="231"/>
      <c r="R110" s="231"/>
      <c r="S110" s="231"/>
      <c r="T110" s="231"/>
      <c r="U110" s="231"/>
      <c r="V110" s="231"/>
      <c r="W110" s="231"/>
      <c r="X110" s="231"/>
      <c r="Y110" s="231"/>
      <c r="Z110" s="231"/>
      <c r="AA110" s="231"/>
      <c r="AB110" s="231"/>
      <c r="AC110" s="231"/>
      <c r="AD110" s="231"/>
      <c r="AE110" s="231"/>
      <c r="AF110" s="231"/>
    </row>
    <row r="111" spans="1:32" s="203" customFormat="1">
      <c r="A111" s="120">
        <v>13</v>
      </c>
      <c r="B111" s="47" t="s">
        <v>118</v>
      </c>
      <c r="C111" s="47"/>
      <c r="D111" s="47"/>
      <c r="E111" s="49">
        <v>5235</v>
      </c>
      <c r="F111" s="52">
        <v>5445</v>
      </c>
      <c r="G111" s="118"/>
      <c r="H111" s="122">
        <v>5801</v>
      </c>
      <c r="I111" s="139"/>
      <c r="J111" s="231"/>
      <c r="K111" s="231"/>
      <c r="L111" s="231"/>
      <c r="M111" s="231"/>
      <c r="N111" s="231"/>
      <c r="O111" s="231"/>
      <c r="P111" s="231"/>
      <c r="Q111" s="231"/>
      <c r="R111" s="231"/>
      <c r="S111" s="231"/>
      <c r="T111" s="231"/>
      <c r="U111" s="231"/>
      <c r="V111" s="231"/>
      <c r="W111" s="231"/>
      <c r="X111" s="231"/>
      <c r="Y111" s="231"/>
      <c r="Z111" s="231"/>
      <c r="AA111" s="231"/>
      <c r="AB111" s="231"/>
      <c r="AC111" s="231"/>
      <c r="AD111" s="231"/>
      <c r="AE111" s="231"/>
      <c r="AF111" s="231"/>
    </row>
    <row r="112" spans="1:32" s="203" customFormat="1">
      <c r="A112" s="120">
        <v>14</v>
      </c>
      <c r="B112" s="47" t="s">
        <v>119</v>
      </c>
      <c r="C112" s="47"/>
      <c r="D112" s="47"/>
      <c r="E112" s="49">
        <v>8137</v>
      </c>
      <c r="F112" s="52">
        <v>11630</v>
      </c>
      <c r="G112" s="118"/>
      <c r="H112" s="122">
        <v>8793</v>
      </c>
      <c r="I112" s="139"/>
      <c r="J112" s="231"/>
      <c r="K112" s="231"/>
      <c r="L112" s="231"/>
      <c r="M112" s="231"/>
      <c r="N112" s="231"/>
      <c r="O112" s="231"/>
      <c r="P112" s="231"/>
      <c r="Q112" s="231"/>
      <c r="R112" s="231"/>
      <c r="S112" s="231"/>
      <c r="T112" s="231"/>
      <c r="U112" s="231"/>
      <c r="V112" s="231"/>
      <c r="W112" s="231"/>
      <c r="X112" s="231"/>
      <c r="Y112" s="231"/>
      <c r="Z112" s="231"/>
      <c r="AA112" s="231"/>
      <c r="AB112" s="231"/>
      <c r="AC112" s="231"/>
      <c r="AD112" s="231"/>
      <c r="AE112" s="231"/>
      <c r="AF112" s="231"/>
    </row>
    <row r="113" spans="1:32" s="203" customFormat="1">
      <c r="A113" s="120">
        <v>15</v>
      </c>
      <c r="B113" s="47" t="s">
        <v>120</v>
      </c>
      <c r="C113" s="47"/>
      <c r="D113" s="47"/>
      <c r="E113" s="49">
        <v>167</v>
      </c>
      <c r="F113" s="52">
        <v>487</v>
      </c>
      <c r="G113" s="118"/>
      <c r="H113" s="122">
        <v>167</v>
      </c>
      <c r="I113" s="139"/>
      <c r="J113" s="231"/>
      <c r="K113" s="231"/>
      <c r="L113" s="231"/>
      <c r="M113" s="231"/>
      <c r="N113" s="231"/>
      <c r="O113" s="231"/>
      <c r="P113" s="231"/>
      <c r="Q113" s="231"/>
      <c r="R113" s="231"/>
      <c r="S113" s="231"/>
      <c r="T113" s="231"/>
      <c r="U113" s="231"/>
      <c r="V113" s="231"/>
      <c r="W113" s="231"/>
      <c r="X113" s="231"/>
      <c r="Y113" s="231"/>
      <c r="Z113" s="231"/>
      <c r="AA113" s="231"/>
      <c r="AB113" s="231"/>
      <c r="AC113" s="231"/>
      <c r="AD113" s="231"/>
      <c r="AE113" s="231"/>
      <c r="AF113" s="231"/>
    </row>
    <row r="114" spans="1:32" s="203" customFormat="1">
      <c r="A114" s="120">
        <v>16</v>
      </c>
      <c r="B114" s="47" t="s">
        <v>121</v>
      </c>
      <c r="C114" s="47"/>
      <c r="D114" s="47"/>
      <c r="E114" s="49">
        <v>2667</v>
      </c>
      <c r="F114" s="52">
        <f>3340+75</f>
        <v>3415</v>
      </c>
      <c r="G114" s="118"/>
      <c r="H114" s="100">
        <f>3628+39</f>
        <v>3667</v>
      </c>
      <c r="I114" s="139"/>
      <c r="J114" s="231"/>
      <c r="K114" s="231"/>
      <c r="L114" s="231"/>
      <c r="M114" s="231"/>
      <c r="N114" s="231"/>
      <c r="O114" s="231"/>
      <c r="P114" s="231"/>
      <c r="Q114" s="231"/>
      <c r="R114" s="231"/>
      <c r="S114" s="231"/>
      <c r="T114" s="231"/>
      <c r="U114" s="231"/>
      <c r="V114" s="231"/>
      <c r="W114" s="231"/>
      <c r="X114" s="231"/>
      <c r="Y114" s="231"/>
      <c r="Z114" s="231"/>
      <c r="AA114" s="231"/>
      <c r="AB114" s="231"/>
      <c r="AC114" s="231"/>
      <c r="AD114" s="231"/>
      <c r="AE114" s="231"/>
      <c r="AF114" s="231"/>
    </row>
    <row r="115" spans="1:32" s="203" customFormat="1">
      <c r="A115" s="120">
        <v>17</v>
      </c>
      <c r="B115" s="116" t="s">
        <v>122</v>
      </c>
      <c r="C115" s="116"/>
      <c r="D115" s="116"/>
      <c r="E115" s="80">
        <v>21291</v>
      </c>
      <c r="F115" s="142">
        <f>SUM(F110:F114)</f>
        <v>25565</v>
      </c>
      <c r="G115" s="118"/>
      <c r="H115" s="142">
        <f>SUM(H110:H114)</f>
        <v>23423</v>
      </c>
      <c r="I115" s="139"/>
      <c r="J115" s="231"/>
      <c r="K115" s="231"/>
      <c r="L115" s="231"/>
      <c r="M115" s="231"/>
      <c r="N115" s="231"/>
      <c r="O115" s="231"/>
      <c r="P115" s="231"/>
      <c r="Q115" s="231"/>
      <c r="R115" s="231"/>
      <c r="S115" s="231"/>
      <c r="T115" s="231"/>
      <c r="U115" s="231"/>
      <c r="V115" s="231"/>
      <c r="W115" s="231"/>
      <c r="X115" s="231"/>
      <c r="Y115" s="231"/>
      <c r="Z115" s="231"/>
      <c r="AA115" s="231"/>
      <c r="AB115" s="231"/>
      <c r="AC115" s="231"/>
      <c r="AD115" s="231"/>
      <c r="AE115" s="231"/>
      <c r="AF115" s="231"/>
    </row>
    <row r="116" spans="1:32" s="203" customFormat="1">
      <c r="A116" s="111"/>
      <c r="B116" s="116"/>
      <c r="C116" s="116"/>
      <c r="D116" s="116"/>
      <c r="E116" s="143"/>
      <c r="F116" s="118"/>
      <c r="G116" s="118"/>
      <c r="H116" s="118"/>
      <c r="I116" s="139"/>
      <c r="J116" s="231"/>
      <c r="K116" s="231"/>
      <c r="L116" s="231"/>
      <c r="M116" s="231"/>
      <c r="N116" s="231"/>
      <c r="O116" s="231"/>
      <c r="P116" s="231"/>
      <c r="Q116" s="231"/>
      <c r="R116" s="231"/>
      <c r="S116" s="231"/>
      <c r="T116" s="231"/>
      <c r="U116" s="231"/>
      <c r="V116" s="231"/>
      <c r="W116" s="231"/>
      <c r="X116" s="231"/>
      <c r="Y116" s="231"/>
      <c r="Z116" s="231"/>
      <c r="AA116" s="231"/>
      <c r="AB116" s="231"/>
      <c r="AC116" s="231"/>
      <c r="AD116" s="231"/>
      <c r="AE116" s="231"/>
      <c r="AF116" s="231"/>
    </row>
    <row r="117" spans="1:32" s="203" customFormat="1">
      <c r="A117" s="144" t="s">
        <v>107</v>
      </c>
      <c r="B117" s="116"/>
      <c r="C117" s="116"/>
      <c r="D117" s="116"/>
      <c r="E117" s="145"/>
      <c r="F117" s="146"/>
      <c r="G117" s="118"/>
      <c r="H117" s="146"/>
      <c r="I117" s="139"/>
      <c r="J117" s="231"/>
      <c r="K117" s="231"/>
      <c r="L117" s="231"/>
      <c r="M117" s="231"/>
      <c r="N117" s="231"/>
      <c r="O117" s="231"/>
      <c r="P117" s="231"/>
      <c r="Q117" s="231"/>
      <c r="R117" s="231"/>
      <c r="S117" s="231"/>
      <c r="T117" s="231"/>
      <c r="U117" s="231"/>
      <c r="V117" s="231"/>
      <c r="W117" s="231"/>
      <c r="X117" s="231"/>
      <c r="Y117" s="231"/>
      <c r="Z117" s="231"/>
      <c r="AA117" s="231"/>
      <c r="AB117" s="231"/>
      <c r="AC117" s="231"/>
      <c r="AD117" s="231"/>
      <c r="AE117" s="231"/>
      <c r="AF117" s="231"/>
    </row>
    <row r="118" spans="1:32" s="203" customFormat="1">
      <c r="A118" s="120">
        <v>18</v>
      </c>
      <c r="B118" s="47" t="s">
        <v>123</v>
      </c>
      <c r="C118" s="47"/>
      <c r="D118" s="47"/>
      <c r="E118" s="49">
        <v>3494</v>
      </c>
      <c r="F118" s="52">
        <v>3441</v>
      </c>
      <c r="G118" s="118"/>
      <c r="H118" s="122">
        <v>3820</v>
      </c>
      <c r="I118" s="139"/>
      <c r="J118" s="231"/>
      <c r="K118" s="231"/>
      <c r="L118" s="231"/>
      <c r="M118" s="231"/>
      <c r="N118" s="231"/>
      <c r="O118" s="231"/>
      <c r="P118" s="231"/>
      <c r="Q118" s="231"/>
      <c r="R118" s="231"/>
      <c r="S118" s="231"/>
      <c r="T118" s="231"/>
      <c r="U118" s="231"/>
      <c r="V118" s="231"/>
      <c r="W118" s="231"/>
      <c r="X118" s="231"/>
      <c r="Y118" s="231"/>
      <c r="Z118" s="231"/>
      <c r="AA118" s="231"/>
      <c r="AB118" s="231"/>
      <c r="AC118" s="231"/>
      <c r="AD118" s="231"/>
      <c r="AE118" s="231"/>
      <c r="AF118" s="231"/>
    </row>
    <row r="119" spans="1:32" s="203" customFormat="1">
      <c r="A119" s="120">
        <v>19</v>
      </c>
      <c r="B119" s="47" t="s">
        <v>124</v>
      </c>
      <c r="C119" s="47"/>
      <c r="D119" s="47"/>
      <c r="E119" s="49">
        <v>12395</v>
      </c>
      <c r="F119" s="52">
        <v>13028</v>
      </c>
      <c r="G119" s="118"/>
      <c r="H119" s="122">
        <v>13282</v>
      </c>
      <c r="I119" s="139"/>
      <c r="J119" s="231"/>
      <c r="K119" s="231"/>
      <c r="L119" s="231"/>
      <c r="M119" s="231"/>
      <c r="N119" s="231"/>
      <c r="O119" s="231"/>
      <c r="P119" s="231"/>
      <c r="Q119" s="231"/>
      <c r="R119" s="231"/>
      <c r="S119" s="231"/>
      <c r="T119" s="231"/>
      <c r="U119" s="231"/>
      <c r="V119" s="231"/>
      <c r="W119" s="231"/>
      <c r="X119" s="231"/>
      <c r="Y119" s="231"/>
      <c r="Z119" s="231"/>
      <c r="AA119" s="231"/>
      <c r="AB119" s="231"/>
      <c r="AC119" s="231"/>
      <c r="AD119" s="231"/>
      <c r="AE119" s="231"/>
      <c r="AF119" s="231"/>
    </row>
    <row r="120" spans="1:32" s="203" customFormat="1">
      <c r="A120" s="120">
        <v>20</v>
      </c>
      <c r="B120" s="47" t="s">
        <v>119</v>
      </c>
      <c r="C120" s="47"/>
      <c r="D120" s="47"/>
      <c r="E120" s="49">
        <v>16677</v>
      </c>
      <c r="F120" s="52">
        <v>16055</v>
      </c>
      <c r="G120" s="118"/>
      <c r="H120" s="122">
        <v>17203</v>
      </c>
      <c r="I120" s="139"/>
      <c r="J120" s="231"/>
      <c r="K120" s="231"/>
      <c r="L120" s="231"/>
      <c r="M120" s="231"/>
      <c r="N120" s="231"/>
      <c r="O120" s="231"/>
      <c r="P120" s="231"/>
      <c r="Q120" s="231"/>
      <c r="R120" s="231"/>
      <c r="S120" s="231"/>
      <c r="T120" s="231"/>
      <c r="U120" s="231"/>
      <c r="V120" s="231"/>
      <c r="W120" s="231"/>
      <c r="X120" s="231"/>
      <c r="Y120" s="231"/>
      <c r="Z120" s="231"/>
      <c r="AA120" s="231"/>
      <c r="AB120" s="231"/>
      <c r="AC120" s="231"/>
      <c r="AD120" s="231"/>
      <c r="AE120" s="231"/>
      <c r="AF120" s="231"/>
    </row>
    <row r="121" spans="1:32" s="203" customFormat="1">
      <c r="A121" s="120">
        <v>21</v>
      </c>
      <c r="B121" s="47" t="s">
        <v>120</v>
      </c>
      <c r="C121" s="47"/>
      <c r="D121" s="47"/>
      <c r="E121" s="49">
        <v>832</v>
      </c>
      <c r="F121" s="52">
        <v>933</v>
      </c>
      <c r="G121" s="118"/>
      <c r="H121" s="122">
        <v>901</v>
      </c>
      <c r="I121" s="139"/>
      <c r="J121" s="231"/>
      <c r="K121" s="231"/>
      <c r="L121" s="231"/>
      <c r="M121" s="231"/>
      <c r="N121" s="231"/>
      <c r="O121" s="231"/>
      <c r="P121" s="231"/>
      <c r="Q121" s="231"/>
      <c r="R121" s="231"/>
      <c r="S121" s="231"/>
      <c r="T121" s="231"/>
      <c r="U121" s="231"/>
      <c r="V121" s="231"/>
      <c r="W121" s="231"/>
      <c r="X121" s="231"/>
      <c r="Y121" s="231"/>
      <c r="Z121" s="231"/>
      <c r="AA121" s="231"/>
      <c r="AB121" s="231"/>
      <c r="AC121" s="231"/>
      <c r="AD121" s="231"/>
      <c r="AE121" s="231"/>
      <c r="AF121" s="231"/>
    </row>
    <row r="122" spans="1:32" s="203" customFormat="1">
      <c r="A122" s="120">
        <v>22</v>
      </c>
      <c r="B122" s="47" t="s">
        <v>125</v>
      </c>
      <c r="C122" s="47"/>
      <c r="D122" s="47"/>
      <c r="E122" s="49">
        <v>294</v>
      </c>
      <c r="F122" s="52">
        <v>246</v>
      </c>
      <c r="G122" s="118"/>
      <c r="H122" s="122">
        <v>309</v>
      </c>
      <c r="I122" s="139"/>
      <c r="J122" s="231"/>
      <c r="K122" s="231"/>
      <c r="L122" s="231"/>
      <c r="M122" s="231"/>
      <c r="N122" s="231"/>
      <c r="O122" s="231"/>
      <c r="P122" s="231"/>
      <c r="Q122" s="231"/>
      <c r="R122" s="231"/>
      <c r="S122" s="231"/>
      <c r="T122" s="231"/>
      <c r="U122" s="231"/>
      <c r="V122" s="231"/>
      <c r="W122" s="231"/>
      <c r="X122" s="231"/>
      <c r="Y122" s="231"/>
      <c r="Z122" s="231"/>
      <c r="AA122" s="231"/>
      <c r="AB122" s="231"/>
      <c r="AC122" s="231"/>
      <c r="AD122" s="231"/>
      <c r="AE122" s="231"/>
      <c r="AF122" s="231"/>
    </row>
    <row r="123" spans="1:32" s="203" customFormat="1">
      <c r="A123" s="120">
        <v>23</v>
      </c>
      <c r="B123" s="90" t="s">
        <v>126</v>
      </c>
      <c r="C123" s="47"/>
      <c r="D123" s="47"/>
      <c r="E123" s="49">
        <v>264</v>
      </c>
      <c r="F123" s="52">
        <v>261</v>
      </c>
      <c r="G123" s="118"/>
      <c r="H123" s="99">
        <v>322</v>
      </c>
      <c r="I123" s="139"/>
      <c r="J123" s="231"/>
      <c r="K123" s="231"/>
      <c r="L123" s="231"/>
      <c r="M123" s="231"/>
      <c r="N123" s="231"/>
      <c r="O123" s="231"/>
      <c r="P123" s="231"/>
      <c r="Q123" s="231"/>
      <c r="R123" s="231"/>
      <c r="S123" s="231"/>
      <c r="T123" s="231"/>
      <c r="U123" s="231"/>
      <c r="V123" s="231"/>
      <c r="W123" s="231"/>
      <c r="X123" s="231"/>
      <c r="Y123" s="231"/>
      <c r="Z123" s="231"/>
      <c r="AA123" s="231"/>
      <c r="AB123" s="231"/>
      <c r="AC123" s="231"/>
      <c r="AD123" s="231"/>
      <c r="AE123" s="231"/>
      <c r="AF123" s="231"/>
    </row>
    <row r="124" spans="1:32" s="203" customFormat="1">
      <c r="A124" s="120">
        <v>24</v>
      </c>
      <c r="B124" s="47" t="s">
        <v>121</v>
      </c>
      <c r="C124" s="47"/>
      <c r="D124" s="47"/>
      <c r="E124" s="49">
        <v>1270</v>
      </c>
      <c r="F124" s="52">
        <v>1127</v>
      </c>
      <c r="G124" s="118"/>
      <c r="H124" s="100">
        <v>1389</v>
      </c>
      <c r="I124" s="139"/>
      <c r="J124" s="231"/>
      <c r="K124" s="231"/>
      <c r="L124" s="231"/>
      <c r="M124" s="231"/>
      <c r="N124" s="231"/>
      <c r="O124" s="231"/>
      <c r="P124" s="231"/>
      <c r="Q124" s="231"/>
      <c r="R124" s="231"/>
      <c r="S124" s="231"/>
      <c r="T124" s="231"/>
      <c r="U124" s="231"/>
      <c r="V124" s="231"/>
      <c r="W124" s="231"/>
      <c r="X124" s="231"/>
      <c r="Y124" s="231"/>
      <c r="Z124" s="231"/>
      <c r="AA124" s="231"/>
      <c r="AB124" s="231"/>
      <c r="AC124" s="231"/>
      <c r="AD124" s="231"/>
      <c r="AE124" s="231"/>
      <c r="AF124" s="231"/>
    </row>
    <row r="125" spans="1:32" s="203" customFormat="1">
      <c r="A125" s="120">
        <v>25</v>
      </c>
      <c r="B125" s="147" t="s">
        <v>127</v>
      </c>
      <c r="C125" s="147"/>
      <c r="D125" s="147"/>
      <c r="E125" s="80">
        <v>35226</v>
      </c>
      <c r="F125" s="142">
        <f>SUM(F118:F124)</f>
        <v>35091</v>
      </c>
      <c r="G125" s="118"/>
      <c r="H125" s="142">
        <f>SUM(H118:H124)</f>
        <v>37226</v>
      </c>
      <c r="I125" s="139"/>
      <c r="J125" s="231"/>
      <c r="K125" s="231"/>
      <c r="L125" s="231"/>
      <c r="M125" s="231"/>
      <c r="N125" s="231"/>
      <c r="O125" s="231"/>
      <c r="P125" s="231"/>
      <c r="Q125" s="231"/>
      <c r="R125" s="231"/>
      <c r="S125" s="231"/>
      <c r="T125" s="231"/>
      <c r="U125" s="231"/>
      <c r="V125" s="231"/>
      <c r="W125" s="231"/>
      <c r="X125" s="231"/>
      <c r="Y125" s="231"/>
      <c r="Z125" s="231"/>
      <c r="AA125" s="231"/>
      <c r="AB125" s="231"/>
      <c r="AC125" s="231"/>
      <c r="AD125" s="231"/>
      <c r="AE125" s="231"/>
      <c r="AF125" s="231"/>
    </row>
    <row r="126" spans="1:32" s="203" customFormat="1">
      <c r="A126" s="111"/>
      <c r="B126" s="47"/>
      <c r="C126" s="47"/>
      <c r="D126" s="47"/>
      <c r="E126" s="117"/>
      <c r="F126" s="118"/>
      <c r="G126" s="118"/>
      <c r="H126" s="118"/>
      <c r="I126" s="139"/>
      <c r="J126" s="231"/>
      <c r="K126" s="231"/>
      <c r="L126" s="231"/>
      <c r="M126" s="231"/>
      <c r="N126" s="231"/>
      <c r="O126" s="231"/>
      <c r="P126" s="231"/>
      <c r="Q126" s="231"/>
      <c r="R126" s="231"/>
      <c r="S126" s="231"/>
      <c r="T126" s="231"/>
      <c r="U126" s="231"/>
      <c r="V126" s="231"/>
      <c r="W126" s="231"/>
      <c r="X126" s="231"/>
      <c r="Y126" s="231"/>
      <c r="Z126" s="231"/>
      <c r="AA126" s="231"/>
      <c r="AB126" s="231"/>
      <c r="AC126" s="231"/>
      <c r="AD126" s="231"/>
      <c r="AE126" s="231"/>
      <c r="AF126" s="231"/>
    </row>
    <row r="127" spans="1:32" s="203" customFormat="1">
      <c r="A127" s="119" t="s">
        <v>108</v>
      </c>
      <c r="B127" s="147"/>
      <c r="C127" s="147"/>
      <c r="D127" s="147"/>
      <c r="E127" s="140"/>
      <c r="F127" s="146"/>
      <c r="G127" s="118"/>
      <c r="H127" s="146"/>
      <c r="I127" s="139"/>
      <c r="J127" s="231"/>
      <c r="K127" s="231"/>
      <c r="L127" s="231"/>
      <c r="M127" s="231"/>
      <c r="N127" s="231"/>
      <c r="O127" s="231"/>
      <c r="P127" s="231"/>
      <c r="Q127" s="231"/>
      <c r="R127" s="231"/>
      <c r="S127" s="231"/>
      <c r="T127" s="231"/>
      <c r="U127" s="231"/>
      <c r="V127" s="231"/>
      <c r="W127" s="231"/>
      <c r="X127" s="231"/>
      <c r="Y127" s="231"/>
      <c r="Z127" s="231"/>
      <c r="AA127" s="231"/>
      <c r="AB127" s="231"/>
      <c r="AC127" s="231"/>
      <c r="AD127" s="231"/>
      <c r="AE127" s="231"/>
      <c r="AF127" s="231"/>
    </row>
    <row r="128" spans="1:32" s="203" customFormat="1">
      <c r="A128" s="120">
        <v>26</v>
      </c>
      <c r="B128" s="47" t="s">
        <v>123</v>
      </c>
      <c r="C128" s="47"/>
      <c r="D128" s="47"/>
      <c r="E128" s="74">
        <v>1386</v>
      </c>
      <c r="F128" s="52">
        <v>1367</v>
      </c>
      <c r="G128" s="118"/>
      <c r="H128" s="122">
        <v>1486</v>
      </c>
      <c r="I128" s="139"/>
      <c r="J128" s="231"/>
      <c r="K128" s="231"/>
      <c r="L128" s="231"/>
      <c r="M128" s="231"/>
      <c r="N128" s="231"/>
      <c r="O128" s="231"/>
      <c r="P128" s="231"/>
      <c r="Q128" s="231"/>
      <c r="R128" s="231"/>
      <c r="S128" s="231"/>
      <c r="T128" s="231"/>
      <c r="U128" s="231"/>
      <c r="V128" s="231"/>
      <c r="W128" s="231"/>
      <c r="X128" s="231"/>
      <c r="Y128" s="231"/>
      <c r="Z128" s="231"/>
      <c r="AA128" s="231"/>
      <c r="AB128" s="231"/>
      <c r="AC128" s="231"/>
      <c r="AD128" s="231"/>
      <c r="AE128" s="231"/>
      <c r="AF128" s="231"/>
    </row>
    <row r="129" spans="1:32" s="203" customFormat="1">
      <c r="A129" s="120">
        <v>27</v>
      </c>
      <c r="B129" s="47" t="s">
        <v>124</v>
      </c>
      <c r="C129" s="47"/>
      <c r="D129" s="47"/>
      <c r="E129" s="49">
        <v>3705</v>
      </c>
      <c r="F129" s="52">
        <v>3777</v>
      </c>
      <c r="G129" s="118"/>
      <c r="H129" s="122">
        <v>3711</v>
      </c>
      <c r="I129" s="139"/>
      <c r="J129" s="231"/>
      <c r="K129" s="231"/>
      <c r="L129" s="231"/>
      <c r="M129" s="231"/>
      <c r="N129" s="231"/>
      <c r="O129" s="231"/>
      <c r="P129" s="231"/>
      <c r="Q129" s="231"/>
      <c r="R129" s="231"/>
      <c r="S129" s="231"/>
      <c r="T129" s="231"/>
      <c r="U129" s="231"/>
      <c r="V129" s="231"/>
      <c r="W129" s="231"/>
      <c r="X129" s="231"/>
      <c r="Y129" s="231"/>
      <c r="Z129" s="231"/>
      <c r="AA129" s="231"/>
      <c r="AB129" s="231"/>
      <c r="AC129" s="231"/>
      <c r="AD129" s="231"/>
      <c r="AE129" s="231"/>
      <c r="AF129" s="231"/>
    </row>
    <row r="130" spans="1:32" s="203" customFormat="1">
      <c r="A130" s="120">
        <v>28</v>
      </c>
      <c r="B130" s="47" t="s">
        <v>119</v>
      </c>
      <c r="C130" s="47"/>
      <c r="D130" s="47"/>
      <c r="E130" s="49">
        <v>1339</v>
      </c>
      <c r="F130" s="52">
        <v>1435</v>
      </c>
      <c r="G130" s="118"/>
      <c r="H130" s="122">
        <v>1620</v>
      </c>
      <c r="I130" s="139"/>
      <c r="J130" s="231"/>
      <c r="K130" s="231"/>
      <c r="L130" s="231"/>
      <c r="M130" s="231"/>
      <c r="N130" s="231"/>
      <c r="O130" s="231"/>
      <c r="P130" s="231"/>
      <c r="Q130" s="231"/>
      <c r="R130" s="231"/>
      <c r="S130" s="231"/>
      <c r="T130" s="231"/>
      <c r="U130" s="231"/>
      <c r="V130" s="231"/>
      <c r="W130" s="231"/>
      <c r="X130" s="231"/>
      <c r="Y130" s="231"/>
      <c r="Z130" s="231"/>
      <c r="AA130" s="231"/>
      <c r="AB130" s="231"/>
      <c r="AC130" s="231"/>
      <c r="AD130" s="231"/>
      <c r="AE130" s="231"/>
      <c r="AF130" s="231"/>
    </row>
    <row r="131" spans="1:32" s="203" customFormat="1">
      <c r="A131" s="120">
        <v>29</v>
      </c>
      <c r="B131" s="47" t="s">
        <v>120</v>
      </c>
      <c r="C131" s="47"/>
      <c r="D131" s="47"/>
      <c r="E131" s="49">
        <v>787</v>
      </c>
      <c r="F131" s="52">
        <v>1023</v>
      </c>
      <c r="G131" s="118"/>
      <c r="H131" s="122">
        <v>1013</v>
      </c>
      <c r="I131" s="139"/>
      <c r="J131" s="231"/>
      <c r="K131" s="231"/>
      <c r="L131" s="231"/>
      <c r="M131" s="231"/>
      <c r="N131" s="231"/>
      <c r="O131" s="231"/>
      <c r="P131" s="231"/>
      <c r="Q131" s="231"/>
      <c r="R131" s="231"/>
      <c r="S131" s="231"/>
      <c r="T131" s="231"/>
      <c r="U131" s="231"/>
      <c r="V131" s="231"/>
      <c r="W131" s="231"/>
      <c r="X131" s="231"/>
      <c r="Y131" s="231"/>
      <c r="Z131" s="231"/>
      <c r="AA131" s="231"/>
      <c r="AB131" s="231"/>
      <c r="AC131" s="231"/>
      <c r="AD131" s="231"/>
      <c r="AE131" s="231"/>
      <c r="AF131" s="231"/>
    </row>
    <row r="132" spans="1:32" s="203" customFormat="1">
      <c r="A132" s="120">
        <v>30</v>
      </c>
      <c r="B132" s="47" t="s">
        <v>125</v>
      </c>
      <c r="C132" s="47"/>
      <c r="D132" s="47"/>
      <c r="E132" s="49">
        <v>146</v>
      </c>
      <c r="F132" s="52">
        <v>121</v>
      </c>
      <c r="G132" s="118"/>
      <c r="H132" s="122">
        <v>150</v>
      </c>
      <c r="I132" s="139"/>
      <c r="J132" s="231"/>
      <c r="K132" s="231"/>
      <c r="L132" s="231"/>
      <c r="M132" s="231"/>
      <c r="N132" s="231"/>
      <c r="O132" s="231"/>
      <c r="P132" s="231"/>
      <c r="Q132" s="231"/>
      <c r="R132" s="231"/>
      <c r="S132" s="231"/>
      <c r="T132" s="231"/>
      <c r="U132" s="231"/>
      <c r="V132" s="231"/>
      <c r="W132" s="231"/>
      <c r="X132" s="231"/>
      <c r="Y132" s="231"/>
      <c r="Z132" s="231"/>
      <c r="AA132" s="231"/>
      <c r="AB132" s="231"/>
      <c r="AC132" s="231"/>
      <c r="AD132" s="231"/>
      <c r="AE132" s="231"/>
      <c r="AF132" s="231"/>
    </row>
    <row r="133" spans="1:32" s="203" customFormat="1">
      <c r="A133" s="120">
        <v>31</v>
      </c>
      <c r="B133" s="90" t="s">
        <v>126</v>
      </c>
      <c r="C133" s="47"/>
      <c r="D133" s="47"/>
      <c r="E133" s="49">
        <v>801</v>
      </c>
      <c r="F133" s="52">
        <v>627</v>
      </c>
      <c r="G133" s="118"/>
      <c r="H133" s="122">
        <v>768</v>
      </c>
      <c r="I133" s="139"/>
      <c r="J133" s="231"/>
      <c r="K133" s="231"/>
      <c r="L133" s="231"/>
      <c r="M133" s="231"/>
      <c r="N133" s="231"/>
      <c r="O133" s="231"/>
      <c r="P133" s="231"/>
      <c r="Q133" s="231"/>
      <c r="R133" s="231"/>
      <c r="S133" s="231"/>
      <c r="T133" s="231"/>
      <c r="U133" s="231"/>
      <c r="V133" s="231"/>
      <c r="W133" s="231"/>
      <c r="X133" s="231"/>
      <c r="Y133" s="231"/>
      <c r="Z133" s="231"/>
      <c r="AA133" s="231"/>
      <c r="AB133" s="231"/>
      <c r="AC133" s="231"/>
      <c r="AD133" s="231"/>
      <c r="AE133" s="231"/>
      <c r="AF133" s="231"/>
    </row>
    <row r="134" spans="1:32" s="203" customFormat="1">
      <c r="A134" s="120">
        <v>32</v>
      </c>
      <c r="B134" s="47" t="s">
        <v>121</v>
      </c>
      <c r="C134" s="47"/>
      <c r="D134" s="47"/>
      <c r="E134" s="49">
        <v>458</v>
      </c>
      <c r="F134" s="52">
        <v>456</v>
      </c>
      <c r="G134" s="118"/>
      <c r="H134" s="100">
        <v>531</v>
      </c>
      <c r="I134" s="139"/>
      <c r="J134" s="231"/>
      <c r="K134" s="231"/>
      <c r="L134" s="231"/>
      <c r="M134" s="231"/>
      <c r="N134" s="231"/>
      <c r="O134" s="231"/>
      <c r="P134" s="231"/>
      <c r="Q134" s="231"/>
      <c r="R134" s="231"/>
      <c r="S134" s="231"/>
      <c r="T134" s="231"/>
      <c r="U134" s="231"/>
      <c r="V134" s="231"/>
      <c r="W134" s="231"/>
      <c r="X134" s="231"/>
      <c r="Y134" s="231"/>
      <c r="Z134" s="231"/>
      <c r="AA134" s="231"/>
      <c r="AB134" s="231"/>
      <c r="AC134" s="231"/>
      <c r="AD134" s="231"/>
      <c r="AE134" s="231"/>
      <c r="AF134" s="231"/>
    </row>
    <row r="135" spans="1:32" s="203" customFormat="1">
      <c r="A135" s="120">
        <v>33</v>
      </c>
      <c r="B135" s="116" t="s">
        <v>128</v>
      </c>
      <c r="C135" s="116"/>
      <c r="D135" s="116"/>
      <c r="E135" s="80">
        <v>8622</v>
      </c>
      <c r="F135" s="142">
        <f>SUM(F128:F134)</f>
        <v>8806</v>
      </c>
      <c r="G135" s="118"/>
      <c r="H135" s="142">
        <f>SUM(H128:H134)</f>
        <v>9279</v>
      </c>
      <c r="I135" s="139"/>
      <c r="J135" s="231"/>
      <c r="K135" s="231"/>
      <c r="L135" s="231"/>
      <c r="M135" s="231"/>
      <c r="N135" s="231"/>
      <c r="O135" s="231"/>
      <c r="P135" s="231"/>
      <c r="Q135" s="231"/>
      <c r="R135" s="231"/>
      <c r="S135" s="231"/>
      <c r="T135" s="231"/>
      <c r="U135" s="231"/>
      <c r="V135" s="231"/>
      <c r="W135" s="231"/>
      <c r="X135" s="231"/>
      <c r="Y135" s="231"/>
      <c r="Z135" s="231"/>
      <c r="AA135" s="231"/>
      <c r="AB135" s="231"/>
      <c r="AC135" s="231"/>
      <c r="AD135" s="231"/>
      <c r="AE135" s="231"/>
      <c r="AF135" s="231"/>
    </row>
    <row r="136" spans="1:32" s="203" customFormat="1">
      <c r="A136" s="111"/>
      <c r="B136" s="47"/>
      <c r="C136" s="47"/>
      <c r="D136" s="138"/>
      <c r="E136" s="117"/>
      <c r="F136" s="118"/>
      <c r="G136" s="118"/>
      <c r="H136" s="118"/>
      <c r="I136" s="139"/>
      <c r="J136" s="231"/>
      <c r="K136" s="231"/>
      <c r="L136" s="231"/>
      <c r="M136" s="231"/>
      <c r="N136" s="231"/>
      <c r="O136" s="231"/>
      <c r="P136" s="231"/>
      <c r="Q136" s="231"/>
      <c r="R136" s="231"/>
      <c r="S136" s="231"/>
      <c r="T136" s="231"/>
      <c r="U136" s="231"/>
      <c r="V136" s="231"/>
      <c r="W136" s="231"/>
      <c r="X136" s="231"/>
      <c r="Y136" s="231"/>
      <c r="Z136" s="231"/>
      <c r="AA136" s="231"/>
      <c r="AB136" s="231"/>
      <c r="AC136" s="231"/>
      <c r="AD136" s="231"/>
      <c r="AE136" s="231"/>
      <c r="AF136" s="231"/>
    </row>
    <row r="137" spans="1:32" s="203" customFormat="1">
      <c r="A137" s="119" t="s">
        <v>109</v>
      </c>
      <c r="B137" s="116"/>
      <c r="C137" s="116"/>
      <c r="D137" s="116"/>
      <c r="E137" s="140"/>
      <c r="F137" s="146"/>
      <c r="G137" s="118"/>
      <c r="H137" s="146"/>
      <c r="I137" s="139"/>
      <c r="J137" s="231"/>
      <c r="K137" s="231"/>
      <c r="L137" s="231"/>
      <c r="M137" s="231"/>
      <c r="N137" s="231"/>
      <c r="O137" s="231"/>
      <c r="P137" s="231"/>
      <c r="Q137" s="231"/>
      <c r="R137" s="231"/>
      <c r="S137" s="231"/>
      <c r="T137" s="231"/>
      <c r="U137" s="231"/>
      <c r="V137" s="231"/>
      <c r="W137" s="231"/>
      <c r="X137" s="231"/>
      <c r="Y137" s="231"/>
      <c r="Z137" s="231"/>
      <c r="AA137" s="231"/>
      <c r="AB137" s="231"/>
      <c r="AC137" s="231"/>
      <c r="AD137" s="231"/>
      <c r="AE137" s="231"/>
      <c r="AF137" s="231"/>
    </row>
    <row r="138" spans="1:32" s="203" customFormat="1">
      <c r="A138" s="120">
        <v>34</v>
      </c>
      <c r="B138" s="47" t="s">
        <v>123</v>
      </c>
      <c r="C138" s="47"/>
      <c r="D138" s="47"/>
      <c r="E138" s="49">
        <v>759</v>
      </c>
      <c r="F138" s="52">
        <v>778</v>
      </c>
      <c r="G138" s="118"/>
      <c r="H138" s="122">
        <v>868</v>
      </c>
      <c r="I138" s="139"/>
      <c r="J138" s="231"/>
      <c r="K138" s="231"/>
      <c r="L138" s="231"/>
      <c r="M138" s="231"/>
      <c r="N138" s="231"/>
      <c r="O138" s="231"/>
      <c r="P138" s="231"/>
      <c r="Q138" s="231"/>
      <c r="R138" s="231"/>
      <c r="S138" s="231"/>
      <c r="T138" s="231"/>
      <c r="U138" s="231"/>
      <c r="V138" s="231"/>
      <c r="W138" s="231"/>
      <c r="X138" s="231"/>
      <c r="Y138" s="231"/>
      <c r="Z138" s="231"/>
      <c r="AA138" s="231"/>
      <c r="AB138" s="231"/>
      <c r="AC138" s="231"/>
      <c r="AD138" s="231"/>
      <c r="AE138" s="231"/>
      <c r="AF138" s="231"/>
    </row>
    <row r="139" spans="1:32" s="203" customFormat="1">
      <c r="A139" s="120">
        <v>35</v>
      </c>
      <c r="B139" s="47" t="s">
        <v>119</v>
      </c>
      <c r="C139" s="47"/>
      <c r="D139" s="47"/>
      <c r="E139" s="49">
        <v>3200</v>
      </c>
      <c r="F139" s="52">
        <v>3526</v>
      </c>
      <c r="G139" s="118"/>
      <c r="H139" s="122">
        <v>3646</v>
      </c>
      <c r="I139" s="139"/>
      <c r="J139" s="231"/>
      <c r="K139" s="231"/>
      <c r="L139" s="231"/>
      <c r="M139" s="231"/>
      <c r="N139" s="231"/>
      <c r="O139" s="231"/>
      <c r="P139" s="231"/>
      <c r="Q139" s="231"/>
      <c r="R139" s="231"/>
      <c r="S139" s="231"/>
      <c r="T139" s="231"/>
      <c r="U139" s="231"/>
      <c r="V139" s="231"/>
      <c r="W139" s="231"/>
      <c r="X139" s="231"/>
      <c r="Y139" s="231"/>
      <c r="Z139" s="231"/>
      <c r="AA139" s="231"/>
      <c r="AB139" s="231"/>
      <c r="AC139" s="231"/>
      <c r="AD139" s="231"/>
      <c r="AE139" s="231"/>
      <c r="AF139" s="231"/>
    </row>
    <row r="140" spans="1:32" s="203" customFormat="1">
      <c r="A140" s="120">
        <v>36</v>
      </c>
      <c r="B140" s="47" t="s">
        <v>120</v>
      </c>
      <c r="C140" s="47"/>
      <c r="D140" s="47"/>
      <c r="E140" s="49">
        <v>2066</v>
      </c>
      <c r="F140" s="52">
        <v>1633</v>
      </c>
      <c r="G140" s="118"/>
      <c r="H140" s="122">
        <v>1740</v>
      </c>
      <c r="I140" s="139"/>
      <c r="J140" s="231"/>
      <c r="K140" s="231"/>
      <c r="L140" s="231"/>
      <c r="M140" s="231"/>
      <c r="N140" s="231"/>
      <c r="O140" s="231"/>
      <c r="P140" s="231"/>
      <c r="Q140" s="231"/>
      <c r="R140" s="231"/>
      <c r="S140" s="231"/>
      <c r="T140" s="231"/>
      <c r="U140" s="231"/>
      <c r="V140" s="231"/>
      <c r="W140" s="231"/>
      <c r="X140" s="231"/>
      <c r="Y140" s="231"/>
      <c r="Z140" s="231"/>
      <c r="AA140" s="231"/>
      <c r="AB140" s="231"/>
      <c r="AC140" s="231"/>
      <c r="AD140" s="231"/>
      <c r="AE140" s="231"/>
      <c r="AF140" s="231"/>
    </row>
    <row r="141" spans="1:32" s="203" customFormat="1">
      <c r="A141" s="120">
        <v>37</v>
      </c>
      <c r="B141" s="90" t="s">
        <v>126</v>
      </c>
      <c r="C141" s="47"/>
      <c r="D141" s="47"/>
      <c r="E141" s="49">
        <v>76</v>
      </c>
      <c r="F141" s="52">
        <v>121</v>
      </c>
      <c r="G141" s="118"/>
      <c r="H141" s="99">
        <v>139</v>
      </c>
      <c r="I141" s="139"/>
      <c r="J141" s="231"/>
      <c r="K141" s="231"/>
      <c r="L141" s="231"/>
      <c r="M141" s="231"/>
      <c r="N141" s="231"/>
      <c r="O141" s="231"/>
      <c r="P141" s="231"/>
      <c r="Q141" s="231"/>
      <c r="R141" s="231"/>
      <c r="S141" s="231"/>
      <c r="T141" s="231"/>
      <c r="U141" s="231"/>
      <c r="V141" s="231"/>
      <c r="W141" s="231"/>
      <c r="X141" s="231"/>
      <c r="Y141" s="231"/>
      <c r="Z141" s="231"/>
      <c r="AA141" s="231"/>
      <c r="AB141" s="231"/>
      <c r="AC141" s="231"/>
      <c r="AD141" s="231"/>
      <c r="AE141" s="231"/>
      <c r="AF141" s="231"/>
    </row>
    <row r="142" spans="1:32" s="203" customFormat="1">
      <c r="A142" s="120">
        <v>38</v>
      </c>
      <c r="B142" s="47" t="s">
        <v>121</v>
      </c>
      <c r="C142" s="47"/>
      <c r="D142" s="47"/>
      <c r="E142" s="49">
        <v>11902</v>
      </c>
      <c r="F142" s="52">
        <f>261+10377+76</f>
        <v>10714</v>
      </c>
      <c r="G142" s="118"/>
      <c r="H142" s="100">
        <f>257+9886+84</f>
        <v>10227</v>
      </c>
      <c r="I142" s="139"/>
      <c r="J142" s="231"/>
      <c r="K142" s="231"/>
      <c r="L142" s="231"/>
      <c r="M142" s="231"/>
      <c r="N142" s="231"/>
      <c r="O142" s="231"/>
      <c r="P142" s="231"/>
      <c r="Q142" s="231"/>
      <c r="R142" s="231"/>
      <c r="S142" s="231"/>
      <c r="T142" s="231"/>
      <c r="U142" s="231"/>
      <c r="V142" s="231"/>
      <c r="W142" s="231"/>
      <c r="X142" s="231"/>
      <c r="Y142" s="231"/>
      <c r="Z142" s="231"/>
      <c r="AA142" s="231"/>
      <c r="AB142" s="231"/>
      <c r="AC142" s="231"/>
      <c r="AD142" s="231"/>
      <c r="AE142" s="231"/>
      <c r="AF142" s="231"/>
    </row>
    <row r="143" spans="1:32" s="203" customFormat="1">
      <c r="A143" s="120">
        <v>39</v>
      </c>
      <c r="B143" s="116" t="s">
        <v>129</v>
      </c>
      <c r="C143" s="116"/>
      <c r="D143" s="116"/>
      <c r="E143" s="80">
        <v>18003</v>
      </c>
      <c r="F143" s="142">
        <f>SUM(F138:F142)</f>
        <v>16772</v>
      </c>
      <c r="G143" s="118"/>
      <c r="H143" s="142">
        <f>SUM(H138:H142)</f>
        <v>16620</v>
      </c>
      <c r="I143" s="139"/>
      <c r="J143" s="231"/>
      <c r="K143" s="231"/>
      <c r="L143" s="231"/>
      <c r="M143" s="231"/>
      <c r="N143" s="231"/>
      <c r="O143" s="231"/>
      <c r="P143" s="231"/>
      <c r="Q143" s="231"/>
      <c r="R143" s="231"/>
      <c r="S143" s="231"/>
      <c r="T143" s="231"/>
      <c r="U143" s="231"/>
      <c r="V143" s="231"/>
      <c r="W143" s="231"/>
      <c r="X143" s="231"/>
      <c r="Y143" s="231"/>
      <c r="Z143" s="231"/>
      <c r="AA143" s="231"/>
      <c r="AB143" s="231"/>
      <c r="AC143" s="231"/>
      <c r="AD143" s="231"/>
      <c r="AE143" s="231"/>
      <c r="AF143" s="231"/>
    </row>
    <row r="144" spans="1:32" s="203" customFormat="1">
      <c r="A144" s="111"/>
      <c r="B144" s="47"/>
      <c r="C144" s="47"/>
      <c r="D144" s="47"/>
      <c r="E144" s="117"/>
      <c r="F144" s="118"/>
      <c r="G144" s="118"/>
      <c r="H144" s="118"/>
      <c r="I144" s="139"/>
      <c r="J144" s="231"/>
      <c r="K144" s="231"/>
      <c r="L144" s="231"/>
      <c r="M144" s="231"/>
      <c r="N144" s="231"/>
      <c r="O144" s="231"/>
      <c r="P144" s="231"/>
      <c r="Q144" s="231"/>
      <c r="R144" s="231"/>
      <c r="S144" s="231"/>
      <c r="T144" s="231"/>
      <c r="U144" s="231"/>
      <c r="V144" s="231"/>
      <c r="W144" s="231"/>
      <c r="X144" s="231"/>
      <c r="Y144" s="231"/>
      <c r="Z144" s="231"/>
      <c r="AA144" s="231"/>
      <c r="AB144" s="231"/>
      <c r="AC144" s="231"/>
      <c r="AD144" s="231"/>
      <c r="AE144" s="231"/>
      <c r="AF144" s="231"/>
    </row>
    <row r="145" spans="1:32" s="203" customFormat="1">
      <c r="A145" s="119" t="s">
        <v>110</v>
      </c>
      <c r="B145" s="116"/>
      <c r="C145" s="116"/>
      <c r="D145" s="116"/>
      <c r="E145" s="140"/>
      <c r="F145" s="146"/>
      <c r="G145" s="118"/>
      <c r="H145" s="146"/>
      <c r="I145" s="139"/>
      <c r="J145" s="231"/>
      <c r="K145" s="231"/>
      <c r="L145" s="231"/>
      <c r="M145" s="231"/>
      <c r="N145" s="231"/>
      <c r="O145" s="231"/>
      <c r="P145" s="231"/>
      <c r="Q145" s="231"/>
      <c r="R145" s="231"/>
      <c r="S145" s="231"/>
      <c r="T145" s="231"/>
      <c r="U145" s="231"/>
      <c r="V145" s="231"/>
      <c r="W145" s="231"/>
      <c r="X145" s="231"/>
      <c r="Y145" s="231"/>
      <c r="Z145" s="231"/>
      <c r="AA145" s="231"/>
      <c r="AB145" s="231"/>
      <c r="AC145" s="231"/>
      <c r="AD145" s="231"/>
      <c r="AE145" s="231"/>
      <c r="AF145" s="231"/>
    </row>
    <row r="146" spans="1:32" s="203" customFormat="1">
      <c r="A146" s="120">
        <v>40</v>
      </c>
      <c r="B146" s="47" t="s">
        <v>123</v>
      </c>
      <c r="C146" s="47"/>
      <c r="D146" s="47"/>
      <c r="E146" s="49">
        <v>993</v>
      </c>
      <c r="F146" s="52">
        <v>992</v>
      </c>
      <c r="G146" s="118"/>
      <c r="H146" s="122">
        <v>1037</v>
      </c>
      <c r="I146" s="139"/>
      <c r="J146" s="231"/>
      <c r="K146" s="231"/>
      <c r="L146" s="231"/>
      <c r="M146" s="231"/>
      <c r="N146" s="231"/>
      <c r="O146" s="231"/>
      <c r="P146" s="231"/>
      <c r="Q146" s="231"/>
      <c r="R146" s="231"/>
      <c r="S146" s="231"/>
      <c r="T146" s="231"/>
      <c r="U146" s="231"/>
      <c r="V146" s="231"/>
      <c r="W146" s="231"/>
      <c r="X146" s="231"/>
      <c r="Y146" s="231"/>
      <c r="Z146" s="231"/>
      <c r="AA146" s="231"/>
      <c r="AB146" s="231"/>
      <c r="AC146" s="231"/>
      <c r="AD146" s="231"/>
      <c r="AE146" s="231"/>
      <c r="AF146" s="231"/>
    </row>
    <row r="147" spans="1:32" s="203" customFormat="1">
      <c r="A147" s="120">
        <v>41</v>
      </c>
      <c r="B147" s="47" t="s">
        <v>119</v>
      </c>
      <c r="C147" s="47"/>
      <c r="D147" s="47"/>
      <c r="E147" s="49">
        <v>808</v>
      </c>
      <c r="F147" s="52">
        <v>975</v>
      </c>
      <c r="G147" s="118"/>
      <c r="H147" s="122">
        <v>1056</v>
      </c>
      <c r="I147" s="139"/>
      <c r="J147" s="231"/>
      <c r="K147" s="231"/>
      <c r="L147" s="231"/>
      <c r="M147" s="231"/>
      <c r="N147" s="231"/>
      <c r="O147" s="231"/>
      <c r="P147" s="231"/>
      <c r="Q147" s="231"/>
      <c r="R147" s="231"/>
      <c r="S147" s="231"/>
      <c r="T147" s="231"/>
      <c r="U147" s="231"/>
      <c r="V147" s="231"/>
      <c r="W147" s="231"/>
      <c r="X147" s="231"/>
      <c r="Y147" s="231"/>
      <c r="Z147" s="231"/>
      <c r="AA147" s="231"/>
      <c r="AB147" s="231"/>
      <c r="AC147" s="231"/>
      <c r="AD147" s="231"/>
      <c r="AE147" s="231"/>
      <c r="AF147" s="231"/>
    </row>
    <row r="148" spans="1:32" s="203" customFormat="1">
      <c r="A148" s="120">
        <v>42</v>
      </c>
      <c r="B148" s="47" t="s">
        <v>120</v>
      </c>
      <c r="C148" s="47"/>
      <c r="D148" s="47"/>
      <c r="E148" s="49">
        <v>515</v>
      </c>
      <c r="F148" s="52">
        <v>579</v>
      </c>
      <c r="G148" s="118"/>
      <c r="H148" s="122">
        <v>597</v>
      </c>
      <c r="I148" s="139"/>
      <c r="J148" s="231"/>
      <c r="K148" s="231"/>
      <c r="L148" s="231"/>
      <c r="M148" s="231"/>
      <c r="N148" s="231"/>
      <c r="O148" s="231"/>
      <c r="P148" s="231"/>
      <c r="Q148" s="231"/>
      <c r="R148" s="231"/>
      <c r="S148" s="231"/>
      <c r="T148" s="231"/>
      <c r="U148" s="231"/>
      <c r="V148" s="231"/>
      <c r="W148" s="231"/>
      <c r="X148" s="231"/>
      <c r="Y148" s="231"/>
      <c r="Z148" s="231"/>
      <c r="AA148" s="231"/>
      <c r="AB148" s="231"/>
      <c r="AC148" s="231"/>
      <c r="AD148" s="231"/>
      <c r="AE148" s="231"/>
      <c r="AF148" s="231"/>
    </row>
    <row r="149" spans="1:32" s="203" customFormat="1">
      <c r="A149" s="120">
        <v>43</v>
      </c>
      <c r="B149" s="47" t="s">
        <v>121</v>
      </c>
      <c r="C149" s="47"/>
      <c r="D149" s="47"/>
      <c r="E149" s="49">
        <v>1989</v>
      </c>
      <c r="F149" s="52">
        <f>6491-2546</f>
        <v>3945</v>
      </c>
      <c r="G149" s="118"/>
      <c r="H149" s="100">
        <f>6717-2690</f>
        <v>4027</v>
      </c>
      <c r="I149" s="139"/>
      <c r="J149" s="231"/>
      <c r="K149" s="231"/>
      <c r="L149" s="231"/>
      <c r="M149" s="231"/>
      <c r="N149" s="231"/>
      <c r="O149" s="231"/>
      <c r="P149" s="231"/>
      <c r="Q149" s="231"/>
      <c r="R149" s="231"/>
      <c r="S149" s="231"/>
      <c r="T149" s="231"/>
      <c r="U149" s="231"/>
      <c r="V149" s="231"/>
      <c r="W149" s="231"/>
      <c r="X149" s="231"/>
      <c r="Y149" s="231"/>
      <c r="Z149" s="231"/>
      <c r="AA149" s="231"/>
      <c r="AB149" s="231"/>
      <c r="AC149" s="231"/>
      <c r="AD149" s="231"/>
      <c r="AE149" s="231"/>
      <c r="AF149" s="231"/>
    </row>
    <row r="150" spans="1:32" s="203" customFormat="1">
      <c r="A150" s="124">
        <v>44</v>
      </c>
      <c r="B150" s="94" t="s">
        <v>130</v>
      </c>
      <c r="C150" s="94"/>
      <c r="D150" s="94"/>
      <c r="E150" s="80">
        <v>4305</v>
      </c>
      <c r="F150" s="142">
        <f>SUM(F146:F149)</f>
        <v>6491</v>
      </c>
      <c r="G150" s="259"/>
      <c r="H150" s="142">
        <f>SUM(H146:H149)</f>
        <v>6717</v>
      </c>
      <c r="I150" s="139"/>
      <c r="J150" s="231"/>
      <c r="K150" s="231"/>
      <c r="L150" s="231"/>
      <c r="M150" s="231"/>
      <c r="N150" s="231"/>
      <c r="O150" s="231"/>
      <c r="P150" s="231"/>
      <c r="Q150" s="231"/>
      <c r="R150" s="231"/>
      <c r="S150" s="231"/>
      <c r="T150" s="231"/>
      <c r="U150" s="231"/>
      <c r="V150" s="231"/>
      <c r="W150" s="231"/>
      <c r="X150" s="231"/>
      <c r="Y150" s="231"/>
      <c r="Z150" s="231"/>
      <c r="AA150" s="231"/>
      <c r="AB150" s="231"/>
      <c r="AC150" s="231"/>
      <c r="AD150" s="231"/>
      <c r="AE150" s="231"/>
      <c r="AF150" s="231"/>
    </row>
    <row r="151" spans="1:32" s="203" customFormat="1">
      <c r="A151" s="148"/>
      <c r="B151" s="129"/>
      <c r="C151" s="129"/>
      <c r="D151" s="149"/>
      <c r="E151" s="150"/>
      <c r="F151" s="29"/>
      <c r="G151" s="29"/>
      <c r="H151" s="207"/>
      <c r="I151" s="29"/>
      <c r="J151" s="231"/>
      <c r="K151" s="231"/>
      <c r="L151" s="231"/>
      <c r="M151" s="231"/>
      <c r="N151" s="231"/>
      <c r="O151" s="231"/>
      <c r="P151" s="231"/>
      <c r="Q151" s="231"/>
      <c r="R151" s="231"/>
      <c r="S151" s="231"/>
      <c r="T151" s="231"/>
      <c r="U151" s="231"/>
      <c r="V151" s="231"/>
      <c r="W151" s="231"/>
      <c r="X151" s="231"/>
      <c r="Y151" s="231"/>
      <c r="Z151" s="231"/>
      <c r="AA151" s="231"/>
      <c r="AB151" s="231"/>
      <c r="AC151" s="231"/>
      <c r="AD151" s="231"/>
      <c r="AE151" s="231"/>
      <c r="AF151" s="231"/>
    </row>
    <row r="152" spans="1:32" s="203" customFormat="1">
      <c r="A152" s="148"/>
      <c r="B152" s="129"/>
      <c r="C152" s="129"/>
      <c r="D152" s="151"/>
      <c r="E152" s="152"/>
      <c r="F152" s="29"/>
      <c r="G152" s="29"/>
      <c r="H152" s="131" t="s">
        <v>27</v>
      </c>
      <c r="I152" s="29"/>
      <c r="J152" s="231"/>
      <c r="K152" s="231"/>
      <c r="L152" s="231"/>
      <c r="M152" s="231"/>
      <c r="N152" s="231"/>
      <c r="O152" s="231"/>
      <c r="P152" s="231"/>
      <c r="Q152" s="231"/>
      <c r="R152" s="231"/>
      <c r="S152" s="231"/>
      <c r="T152" s="231"/>
      <c r="U152" s="231"/>
      <c r="V152" s="231"/>
      <c r="W152" s="231"/>
      <c r="X152" s="231"/>
      <c r="Y152" s="231"/>
      <c r="Z152" s="231"/>
      <c r="AA152" s="231"/>
      <c r="AB152" s="231"/>
      <c r="AC152" s="231"/>
      <c r="AD152" s="231"/>
      <c r="AE152" s="231"/>
      <c r="AF152" s="231"/>
    </row>
    <row r="153" spans="1:32" s="203" customFormat="1">
      <c r="A153" s="106" t="s">
        <v>20</v>
      </c>
      <c r="B153" s="107"/>
      <c r="C153" s="107"/>
      <c r="D153" s="107"/>
      <c r="E153" s="856" t="s">
        <v>377</v>
      </c>
      <c r="F153" s="856" t="s">
        <v>402</v>
      </c>
      <c r="G153" s="130"/>
      <c r="H153" s="856" t="s">
        <v>403</v>
      </c>
      <c r="I153" s="130"/>
      <c r="J153" s="231"/>
      <c r="K153" s="231"/>
      <c r="L153" s="231"/>
      <c r="M153" s="231"/>
      <c r="N153" s="231"/>
      <c r="O153" s="231"/>
      <c r="P153" s="231"/>
      <c r="Q153" s="231"/>
      <c r="R153" s="231"/>
      <c r="S153" s="231"/>
      <c r="T153" s="231"/>
      <c r="U153" s="231"/>
      <c r="V153" s="231"/>
      <c r="W153" s="231"/>
      <c r="X153" s="231"/>
      <c r="Y153" s="231"/>
      <c r="Z153" s="231"/>
      <c r="AA153" s="231"/>
      <c r="AB153" s="231"/>
      <c r="AC153" s="231"/>
      <c r="AD153" s="231"/>
      <c r="AE153" s="231"/>
      <c r="AF153" s="231"/>
    </row>
    <row r="154" spans="1:32" s="203" customFormat="1">
      <c r="A154" s="153"/>
      <c r="B154" s="132"/>
      <c r="C154" s="132"/>
      <c r="D154" s="132"/>
      <c r="E154" s="859"/>
      <c r="F154" s="859"/>
      <c r="G154" s="130"/>
      <c r="H154" s="859"/>
      <c r="I154" s="130"/>
      <c r="J154" s="231"/>
      <c r="K154" s="231"/>
      <c r="L154" s="231"/>
      <c r="M154" s="231"/>
      <c r="N154" s="231"/>
      <c r="O154" s="231"/>
      <c r="P154" s="231"/>
      <c r="Q154" s="231"/>
      <c r="R154" s="231"/>
      <c r="S154" s="231"/>
      <c r="T154" s="231"/>
      <c r="U154" s="231"/>
      <c r="V154" s="231"/>
      <c r="W154" s="231"/>
      <c r="X154" s="231"/>
      <c r="Y154" s="231"/>
      <c r="Z154" s="231"/>
      <c r="AA154" s="231"/>
      <c r="AB154" s="231"/>
      <c r="AC154" s="231"/>
      <c r="AD154" s="231"/>
      <c r="AE154" s="231"/>
      <c r="AF154" s="231"/>
    </row>
    <row r="155" spans="1:32" s="203" customFormat="1">
      <c r="A155" s="154" t="s">
        <v>131</v>
      </c>
      <c r="B155" s="116"/>
      <c r="C155" s="116"/>
      <c r="D155" s="116"/>
      <c r="E155" s="859"/>
      <c r="F155" s="859"/>
      <c r="G155" s="130"/>
      <c r="H155" s="859"/>
      <c r="I155" s="130"/>
      <c r="J155" s="231"/>
      <c r="K155" s="231"/>
      <c r="L155" s="231"/>
      <c r="M155" s="231"/>
      <c r="N155" s="231"/>
      <c r="O155" s="231"/>
      <c r="P155" s="231"/>
      <c r="Q155" s="231"/>
      <c r="R155" s="231"/>
      <c r="S155" s="231"/>
      <c r="T155" s="231"/>
      <c r="U155" s="231"/>
      <c r="V155" s="231"/>
      <c r="W155" s="231"/>
      <c r="X155" s="231"/>
      <c r="Y155" s="231"/>
      <c r="Z155" s="231"/>
      <c r="AA155" s="231"/>
      <c r="AB155" s="231"/>
      <c r="AC155" s="231"/>
      <c r="AD155" s="231"/>
      <c r="AE155" s="231"/>
      <c r="AF155" s="231"/>
    </row>
    <row r="156" spans="1:32" s="203" customFormat="1" ht="12.75" customHeight="1">
      <c r="A156" s="109" t="s">
        <v>83</v>
      </c>
      <c r="B156" s="47"/>
      <c r="C156" s="47"/>
      <c r="D156" s="47"/>
      <c r="E156" s="859"/>
      <c r="F156" s="859"/>
      <c r="G156" s="130"/>
      <c r="H156" s="859"/>
      <c r="I156" s="130"/>
      <c r="J156" s="231"/>
      <c r="K156" s="231"/>
      <c r="L156" s="231"/>
      <c r="M156" s="231"/>
      <c r="N156" s="231"/>
      <c r="O156" s="231"/>
      <c r="P156" s="231"/>
      <c r="Q156" s="231"/>
      <c r="R156" s="231"/>
      <c r="S156" s="231"/>
      <c r="T156" s="231"/>
      <c r="U156" s="231"/>
      <c r="V156" s="231"/>
      <c r="W156" s="231"/>
      <c r="X156" s="231"/>
      <c r="Y156" s="231"/>
      <c r="Z156" s="231"/>
      <c r="AA156" s="231"/>
      <c r="AB156" s="231"/>
      <c r="AC156" s="231"/>
      <c r="AD156" s="231"/>
      <c r="AE156" s="231"/>
      <c r="AF156" s="231"/>
    </row>
    <row r="157" spans="1:32" s="203" customFormat="1">
      <c r="A157" s="110" t="s">
        <v>84</v>
      </c>
      <c r="B157" s="132"/>
      <c r="C157" s="132"/>
      <c r="D157" s="132"/>
      <c r="E157" s="860"/>
      <c r="F157" s="860"/>
      <c r="G157" s="130"/>
      <c r="H157" s="860"/>
      <c r="I157" s="130"/>
      <c r="J157" s="231"/>
      <c r="K157" s="231"/>
      <c r="L157" s="231"/>
      <c r="M157" s="231"/>
      <c r="N157" s="231"/>
      <c r="O157" s="231"/>
      <c r="P157" s="231"/>
      <c r="Q157" s="231"/>
      <c r="R157" s="231"/>
      <c r="S157" s="231"/>
      <c r="T157" s="231"/>
      <c r="U157" s="231"/>
      <c r="V157" s="231"/>
      <c r="W157" s="231"/>
      <c r="X157" s="231"/>
      <c r="Y157" s="231"/>
      <c r="Z157" s="231"/>
      <c r="AA157" s="231"/>
      <c r="AB157" s="231"/>
      <c r="AC157" s="231"/>
      <c r="AD157" s="231"/>
      <c r="AE157" s="231"/>
      <c r="AF157" s="231"/>
    </row>
    <row r="158" spans="1:32" s="203" customFormat="1">
      <c r="A158" s="119" t="s">
        <v>132</v>
      </c>
      <c r="B158" s="47"/>
      <c r="C158" s="47"/>
      <c r="D158" s="47"/>
      <c r="E158" s="155"/>
      <c r="F158" s="146" t="s">
        <v>133</v>
      </c>
      <c r="G158" s="118"/>
      <c r="H158" s="146"/>
      <c r="I158" s="29"/>
      <c r="J158" s="231"/>
      <c r="K158" s="231"/>
      <c r="L158" s="231"/>
      <c r="M158" s="231"/>
      <c r="N158" s="231"/>
      <c r="O158" s="231"/>
      <c r="P158" s="231"/>
      <c r="Q158" s="231"/>
      <c r="R158" s="231"/>
      <c r="S158" s="231"/>
      <c r="T158" s="231"/>
      <c r="U158" s="231"/>
      <c r="V158" s="231"/>
      <c r="W158" s="231"/>
      <c r="X158" s="231"/>
      <c r="Y158" s="231"/>
      <c r="Z158" s="231"/>
      <c r="AA158" s="231"/>
      <c r="AB158" s="231"/>
      <c r="AC158" s="231"/>
      <c r="AD158" s="231"/>
      <c r="AE158" s="231"/>
      <c r="AF158" s="231"/>
    </row>
    <row r="159" spans="1:32" s="203" customFormat="1">
      <c r="A159" s="120">
        <v>1</v>
      </c>
      <c r="B159" s="47" t="s">
        <v>134</v>
      </c>
      <c r="C159" s="47"/>
      <c r="D159" s="47"/>
      <c r="E159" s="74">
        <v>86</v>
      </c>
      <c r="F159" s="52">
        <f>15</f>
        <v>15</v>
      </c>
      <c r="G159" s="118"/>
      <c r="H159" s="122">
        <v>-110</v>
      </c>
      <c r="I159" s="29"/>
      <c r="J159" s="231"/>
      <c r="K159" s="231"/>
      <c r="L159" s="231"/>
      <c r="M159" s="231"/>
      <c r="N159" s="231"/>
      <c r="O159" s="231"/>
      <c r="P159" s="231"/>
      <c r="Q159" s="231"/>
      <c r="R159" s="231"/>
      <c r="S159" s="231"/>
      <c r="T159" s="231"/>
      <c r="U159" s="231"/>
      <c r="V159" s="231"/>
      <c r="W159" s="231"/>
      <c r="X159" s="231"/>
      <c r="Y159" s="231"/>
      <c r="Z159" s="231"/>
      <c r="AA159" s="231"/>
      <c r="AB159" s="231"/>
      <c r="AC159" s="231"/>
      <c r="AD159" s="231"/>
      <c r="AE159" s="231"/>
      <c r="AF159" s="231"/>
    </row>
    <row r="160" spans="1:32" s="203" customFormat="1">
      <c r="A160" s="120">
        <v>2</v>
      </c>
      <c r="B160" s="47" t="s">
        <v>135</v>
      </c>
      <c r="C160" s="47"/>
      <c r="D160" s="47"/>
      <c r="E160" s="49">
        <v>524</v>
      </c>
      <c r="F160" s="52">
        <v>1224</v>
      </c>
      <c r="G160" s="118"/>
      <c r="H160" s="122">
        <v>1236</v>
      </c>
      <c r="I160" s="29"/>
      <c r="J160" s="231"/>
      <c r="K160" s="231"/>
      <c r="L160" s="231"/>
      <c r="M160" s="231"/>
      <c r="N160" s="231"/>
      <c r="O160" s="231"/>
      <c r="P160" s="231"/>
      <c r="Q160" s="231"/>
      <c r="R160" s="231"/>
      <c r="S160" s="231"/>
      <c r="T160" s="231"/>
      <c r="U160" s="231"/>
      <c r="V160" s="231"/>
      <c r="W160" s="231"/>
      <c r="X160" s="231"/>
      <c r="Y160" s="231"/>
      <c r="Z160" s="231"/>
      <c r="AA160" s="231"/>
      <c r="AB160" s="231"/>
      <c r="AC160" s="231"/>
      <c r="AD160" s="231"/>
      <c r="AE160" s="231"/>
      <c r="AF160" s="231"/>
    </row>
    <row r="161" spans="1:32" s="203" customFormat="1">
      <c r="A161" s="120">
        <v>3</v>
      </c>
      <c r="B161" s="47" t="s">
        <v>136</v>
      </c>
      <c r="C161" s="47"/>
      <c r="D161" s="47"/>
      <c r="E161" s="114">
        <v>3960</v>
      </c>
      <c r="F161" s="52">
        <v>4026</v>
      </c>
      <c r="G161" s="118"/>
      <c r="H161" s="122">
        <v>3863</v>
      </c>
      <c r="I161" s="29"/>
      <c r="J161" s="231"/>
      <c r="K161" s="231"/>
      <c r="L161" s="231"/>
      <c r="M161" s="231"/>
      <c r="N161" s="231"/>
      <c r="O161" s="231"/>
      <c r="P161" s="231"/>
      <c r="Q161" s="231"/>
      <c r="R161" s="231"/>
      <c r="S161" s="231"/>
      <c r="T161" s="231"/>
      <c r="U161" s="231"/>
      <c r="V161" s="231"/>
      <c r="W161" s="231"/>
      <c r="X161" s="231"/>
      <c r="Y161" s="231"/>
      <c r="Z161" s="231"/>
      <c r="AA161" s="231"/>
      <c r="AB161" s="231"/>
      <c r="AC161" s="231"/>
      <c r="AD161" s="231"/>
      <c r="AE161" s="231"/>
      <c r="AF161" s="231"/>
    </row>
    <row r="162" spans="1:32" s="203" customFormat="1">
      <c r="A162" s="120">
        <v>4</v>
      </c>
      <c r="B162" s="47" t="s">
        <v>137</v>
      </c>
      <c r="C162" s="47"/>
      <c r="D162" s="47"/>
      <c r="E162" s="114">
        <v>1259</v>
      </c>
      <c r="F162" s="52">
        <v>1085</v>
      </c>
      <c r="G162" s="118"/>
      <c r="H162" s="100">
        <v>1120</v>
      </c>
      <c r="I162" s="29"/>
      <c r="J162" s="231"/>
      <c r="K162" s="231"/>
      <c r="L162" s="231"/>
      <c r="M162" s="231"/>
      <c r="N162" s="231"/>
      <c r="O162" s="231"/>
      <c r="P162" s="231"/>
      <c r="Q162" s="231"/>
      <c r="R162" s="231"/>
      <c r="S162" s="231"/>
      <c r="T162" s="231"/>
      <c r="U162" s="231"/>
      <c r="V162" s="231"/>
      <c r="W162" s="231"/>
      <c r="X162" s="231"/>
      <c r="Y162" s="231"/>
      <c r="Z162" s="231"/>
      <c r="AA162" s="231"/>
      <c r="AB162" s="231"/>
      <c r="AC162" s="231"/>
      <c r="AD162" s="231"/>
      <c r="AE162" s="231"/>
      <c r="AF162" s="231"/>
    </row>
    <row r="163" spans="1:32" s="203" customFormat="1">
      <c r="A163" s="120">
        <v>5</v>
      </c>
      <c r="B163" s="116" t="s">
        <v>138</v>
      </c>
      <c r="C163" s="116"/>
      <c r="D163" s="116"/>
      <c r="E163" s="80">
        <v>5829</v>
      </c>
      <c r="F163" s="142">
        <f>SUM(F159:F162)</f>
        <v>6350</v>
      </c>
      <c r="G163" s="118"/>
      <c r="H163" s="142">
        <f>SUM(H159:H162)</f>
        <v>6109</v>
      </c>
      <c r="I163" s="29"/>
      <c r="J163" s="231"/>
      <c r="K163" s="231"/>
      <c r="L163" s="231"/>
      <c r="M163" s="231"/>
      <c r="N163" s="231"/>
      <c r="O163" s="231"/>
      <c r="P163" s="231"/>
      <c r="Q163" s="231"/>
      <c r="R163" s="231"/>
      <c r="S163" s="231"/>
      <c r="T163" s="231"/>
      <c r="U163" s="231"/>
      <c r="V163" s="231"/>
      <c r="W163" s="231"/>
      <c r="X163" s="231"/>
      <c r="Y163" s="231"/>
      <c r="Z163" s="231"/>
      <c r="AA163" s="231"/>
      <c r="AB163" s="231"/>
      <c r="AC163" s="231"/>
      <c r="AD163" s="231"/>
      <c r="AE163" s="231"/>
      <c r="AF163" s="231"/>
    </row>
    <row r="164" spans="1:32" s="203" customFormat="1">
      <c r="A164" s="46"/>
      <c r="B164" s="132"/>
      <c r="C164" s="132"/>
      <c r="D164" s="132"/>
      <c r="E164" s="156"/>
      <c r="F164" s="139"/>
      <c r="G164" s="139"/>
      <c r="H164" s="139"/>
      <c r="I164" s="29"/>
      <c r="J164" s="231"/>
      <c r="K164" s="231"/>
      <c r="L164" s="231"/>
      <c r="M164" s="231"/>
      <c r="N164" s="231"/>
      <c r="O164" s="231"/>
      <c r="P164" s="231"/>
      <c r="Q164" s="231"/>
      <c r="R164" s="231"/>
      <c r="S164" s="231"/>
      <c r="T164" s="231"/>
      <c r="U164" s="231"/>
      <c r="V164" s="231"/>
      <c r="W164" s="231"/>
      <c r="X164" s="231"/>
      <c r="Y164" s="231"/>
      <c r="Z164" s="231"/>
      <c r="AA164" s="231"/>
      <c r="AB164" s="231"/>
      <c r="AC164" s="231"/>
      <c r="AD164" s="231"/>
      <c r="AE164" s="231"/>
      <c r="AF164" s="231"/>
    </row>
    <row r="165" spans="1:32" s="203" customFormat="1">
      <c r="A165" s="119" t="s">
        <v>139</v>
      </c>
      <c r="B165" s="47"/>
      <c r="C165" s="47"/>
      <c r="D165" s="47"/>
      <c r="E165" s="140"/>
      <c r="F165" s="146"/>
      <c r="G165" s="118"/>
      <c r="H165" s="146"/>
      <c r="I165" s="29"/>
      <c r="J165" s="231"/>
      <c r="K165" s="231"/>
      <c r="L165" s="231"/>
      <c r="M165" s="231"/>
      <c r="N165" s="231"/>
      <c r="O165" s="231"/>
      <c r="P165" s="231"/>
      <c r="Q165" s="231"/>
      <c r="R165" s="231"/>
      <c r="S165" s="231"/>
      <c r="T165" s="231"/>
      <c r="U165" s="231"/>
      <c r="V165" s="231"/>
      <c r="W165" s="231"/>
      <c r="X165" s="231"/>
      <c r="Y165" s="231"/>
      <c r="Z165" s="231"/>
      <c r="AA165" s="231"/>
      <c r="AB165" s="231"/>
      <c r="AC165" s="231"/>
      <c r="AD165" s="231"/>
      <c r="AE165" s="231"/>
      <c r="AF165" s="231"/>
    </row>
    <row r="166" spans="1:32" s="203" customFormat="1">
      <c r="A166" s="120">
        <v>6</v>
      </c>
      <c r="B166" s="47" t="s">
        <v>140</v>
      </c>
      <c r="C166" s="47"/>
      <c r="D166" s="47"/>
      <c r="E166" s="74">
        <v>443</v>
      </c>
      <c r="F166" s="52">
        <v>427</v>
      </c>
      <c r="G166" s="118"/>
      <c r="H166" s="122">
        <v>454</v>
      </c>
      <c r="I166" s="29"/>
      <c r="J166" s="231"/>
      <c r="K166" s="231"/>
      <c r="L166" s="231"/>
      <c r="M166" s="231"/>
      <c r="N166" s="231"/>
      <c r="O166" s="231"/>
      <c r="P166" s="231"/>
      <c r="Q166" s="231"/>
      <c r="R166" s="231"/>
      <c r="S166" s="231"/>
      <c r="T166" s="231"/>
      <c r="U166" s="231"/>
      <c r="V166" s="231"/>
      <c r="W166" s="231"/>
      <c r="X166" s="231"/>
      <c r="Y166" s="231"/>
      <c r="Z166" s="231"/>
      <c r="AA166" s="231"/>
      <c r="AB166" s="231"/>
      <c r="AC166" s="231"/>
      <c r="AD166" s="231"/>
      <c r="AE166" s="231"/>
      <c r="AF166" s="231"/>
    </row>
    <row r="167" spans="1:32" s="203" customFormat="1">
      <c r="A167" s="120">
        <v>7</v>
      </c>
      <c r="B167" s="47" t="s">
        <v>141</v>
      </c>
      <c r="C167" s="47"/>
      <c r="D167" s="47"/>
      <c r="E167" s="49">
        <v>159</v>
      </c>
      <c r="F167" s="52">
        <v>162</v>
      </c>
      <c r="G167" s="118"/>
      <c r="H167" s="122">
        <v>153</v>
      </c>
      <c r="I167" s="29"/>
      <c r="J167" s="231"/>
      <c r="K167" s="231"/>
      <c r="L167" s="231"/>
      <c r="M167" s="231"/>
      <c r="N167" s="231"/>
      <c r="O167" s="231"/>
      <c r="P167" s="231"/>
      <c r="Q167" s="231"/>
      <c r="R167" s="231"/>
      <c r="S167" s="231"/>
      <c r="T167" s="231"/>
      <c r="U167" s="231"/>
      <c r="V167" s="231"/>
      <c r="W167" s="231"/>
      <c r="X167" s="231"/>
      <c r="Y167" s="231"/>
      <c r="Z167" s="231"/>
      <c r="AA167" s="231"/>
      <c r="AB167" s="231"/>
      <c r="AC167" s="231"/>
      <c r="AD167" s="231"/>
      <c r="AE167" s="231"/>
      <c r="AF167" s="231"/>
    </row>
    <row r="168" spans="1:32" s="203" customFormat="1">
      <c r="A168" s="120">
        <v>8</v>
      </c>
      <c r="B168" s="47" t="s">
        <v>121</v>
      </c>
      <c r="C168" s="47"/>
      <c r="D168" s="47"/>
      <c r="E168" s="49">
        <v>1715</v>
      </c>
      <c r="F168" s="52">
        <v>1373</v>
      </c>
      <c r="G168" s="118"/>
      <c r="H168" s="100">
        <v>1593</v>
      </c>
      <c r="I168" s="29"/>
      <c r="J168" s="231"/>
      <c r="K168" s="231"/>
      <c r="L168" s="231"/>
      <c r="M168" s="231"/>
      <c r="N168" s="231"/>
      <c r="O168" s="231"/>
      <c r="P168" s="231"/>
      <c r="Q168" s="231"/>
      <c r="R168" s="231"/>
      <c r="S168" s="231"/>
      <c r="T168" s="231"/>
      <c r="U168" s="231"/>
      <c r="V168" s="231"/>
      <c r="W168" s="231"/>
      <c r="X168" s="231"/>
      <c r="Y168" s="231"/>
      <c r="Z168" s="231"/>
      <c r="AA168" s="231"/>
      <c r="AB168" s="231"/>
      <c r="AC168" s="231"/>
      <c r="AD168" s="231"/>
      <c r="AE168" s="231"/>
      <c r="AF168" s="231"/>
    </row>
    <row r="169" spans="1:32" s="203" customFormat="1">
      <c r="A169" s="120">
        <v>9</v>
      </c>
      <c r="B169" s="116" t="s">
        <v>142</v>
      </c>
      <c r="C169" s="116"/>
      <c r="D169" s="116"/>
      <c r="E169" s="80">
        <v>2317</v>
      </c>
      <c r="F169" s="142">
        <f>SUM(F166:F168)</f>
        <v>1962</v>
      </c>
      <c r="G169" s="118"/>
      <c r="H169" s="142">
        <f>SUM(H166:H168)</f>
        <v>2200</v>
      </c>
      <c r="I169" s="29"/>
      <c r="J169" s="231"/>
      <c r="K169" s="231"/>
      <c r="L169" s="231"/>
      <c r="M169" s="231"/>
      <c r="N169" s="231"/>
      <c r="O169" s="231"/>
      <c r="P169" s="231"/>
      <c r="Q169" s="231"/>
      <c r="R169" s="231"/>
      <c r="S169" s="231"/>
      <c r="T169" s="231"/>
      <c r="U169" s="231"/>
      <c r="V169" s="231"/>
      <c r="W169" s="231"/>
      <c r="X169" s="231"/>
      <c r="Y169" s="231"/>
      <c r="Z169" s="231"/>
      <c r="AA169" s="231"/>
      <c r="AB169" s="231"/>
      <c r="AC169" s="231"/>
      <c r="AD169" s="231"/>
      <c r="AE169" s="231"/>
      <c r="AF169" s="231"/>
    </row>
    <row r="170" spans="1:32" s="203" customFormat="1">
      <c r="A170" s="46"/>
      <c r="B170" s="132"/>
      <c r="C170" s="132"/>
      <c r="D170" s="132"/>
      <c r="E170" s="156"/>
      <c r="F170" s="139"/>
      <c r="G170" s="139"/>
      <c r="H170" s="139"/>
      <c r="I170" s="29"/>
      <c r="J170" s="231"/>
      <c r="K170" s="231"/>
      <c r="L170" s="231"/>
      <c r="M170" s="231"/>
      <c r="N170" s="231"/>
      <c r="O170" s="231"/>
      <c r="P170" s="231"/>
      <c r="Q170" s="231"/>
      <c r="R170" s="231"/>
      <c r="S170" s="231"/>
      <c r="T170" s="231"/>
      <c r="U170" s="231"/>
      <c r="V170" s="231"/>
      <c r="W170" s="231"/>
      <c r="X170" s="231"/>
      <c r="Y170" s="231"/>
      <c r="Z170" s="231"/>
      <c r="AA170" s="231"/>
      <c r="AB170" s="231"/>
      <c r="AC170" s="231"/>
      <c r="AD170" s="231"/>
      <c r="AE170" s="231"/>
      <c r="AF170" s="231"/>
    </row>
    <row r="171" spans="1:32" s="203" customFormat="1">
      <c r="A171" s="120">
        <v>10</v>
      </c>
      <c r="B171" s="47" t="s">
        <v>143</v>
      </c>
      <c r="C171" s="47"/>
      <c r="D171" s="47"/>
      <c r="E171" s="41">
        <v>-289</v>
      </c>
      <c r="F171" s="121">
        <v>-193</v>
      </c>
      <c r="G171" s="118"/>
      <c r="H171" s="133">
        <v>-134</v>
      </c>
      <c r="I171" s="29"/>
      <c r="J171" s="231"/>
      <c r="K171" s="231"/>
      <c r="L171" s="231"/>
      <c r="M171" s="231"/>
      <c r="N171" s="231"/>
      <c r="O171" s="231"/>
      <c r="P171" s="231"/>
      <c r="Q171" s="231"/>
      <c r="R171" s="231"/>
      <c r="S171" s="231"/>
      <c r="T171" s="231"/>
      <c r="U171" s="231"/>
      <c r="V171" s="231"/>
      <c r="W171" s="231"/>
      <c r="X171" s="231"/>
      <c r="Y171" s="231"/>
      <c r="Z171" s="231"/>
      <c r="AA171" s="231"/>
      <c r="AB171" s="231"/>
      <c r="AC171" s="231"/>
      <c r="AD171" s="231"/>
      <c r="AE171" s="231"/>
      <c r="AF171" s="231"/>
    </row>
    <row r="172" spans="1:32" s="203" customFormat="1">
      <c r="A172" s="120">
        <v>11</v>
      </c>
      <c r="B172" s="47" t="s">
        <v>144</v>
      </c>
      <c r="C172" s="47"/>
      <c r="D172" s="47"/>
      <c r="E172" s="56">
        <v>0</v>
      </c>
      <c r="F172" s="126"/>
      <c r="G172" s="118"/>
      <c r="H172" s="100"/>
      <c r="I172" s="29"/>
      <c r="J172" s="231"/>
      <c r="K172" s="231"/>
      <c r="L172" s="231"/>
      <c r="M172" s="231"/>
      <c r="N172" s="231"/>
      <c r="O172" s="231"/>
      <c r="P172" s="231"/>
      <c r="Q172" s="231"/>
      <c r="R172" s="231"/>
      <c r="S172" s="231"/>
      <c r="T172" s="231"/>
      <c r="U172" s="231"/>
      <c r="V172" s="231"/>
      <c r="W172" s="231"/>
      <c r="X172" s="231"/>
      <c r="Y172" s="231"/>
      <c r="Z172" s="231"/>
      <c r="AA172" s="231"/>
      <c r="AB172" s="231"/>
      <c r="AC172" s="231"/>
      <c r="AD172" s="231"/>
      <c r="AE172" s="231"/>
      <c r="AF172" s="231"/>
    </row>
    <row r="173" spans="1:32" s="203" customFormat="1">
      <c r="A173" s="46"/>
      <c r="B173" s="132"/>
      <c r="C173" s="132"/>
      <c r="D173" s="132"/>
      <c r="E173" s="156"/>
      <c r="F173" s="139"/>
      <c r="G173" s="139"/>
      <c r="H173" s="139"/>
      <c r="I173" s="29"/>
      <c r="J173" s="231"/>
      <c r="K173" s="231"/>
      <c r="L173" s="231"/>
      <c r="M173" s="231"/>
      <c r="N173" s="231"/>
      <c r="O173" s="231"/>
      <c r="P173" s="231"/>
      <c r="Q173" s="231"/>
      <c r="R173" s="231"/>
      <c r="S173" s="231"/>
      <c r="T173" s="231"/>
      <c r="U173" s="231"/>
      <c r="V173" s="231"/>
      <c r="W173" s="231"/>
      <c r="X173" s="231"/>
      <c r="Y173" s="231"/>
      <c r="Z173" s="231"/>
      <c r="AA173" s="231"/>
      <c r="AB173" s="231"/>
      <c r="AC173" s="231"/>
      <c r="AD173" s="231"/>
      <c r="AE173" s="231"/>
      <c r="AF173" s="231"/>
    </row>
    <row r="174" spans="1:32" s="203" customFormat="1">
      <c r="A174" s="119" t="s">
        <v>145</v>
      </c>
      <c r="B174" s="47"/>
      <c r="C174" s="47"/>
      <c r="D174" s="47"/>
      <c r="E174" s="157"/>
      <c r="F174" s="146"/>
      <c r="G174" s="118"/>
      <c r="H174" s="146"/>
      <c r="I174" s="29"/>
      <c r="J174" s="231"/>
      <c r="K174" s="231"/>
      <c r="L174" s="231"/>
      <c r="M174" s="231"/>
      <c r="N174" s="231"/>
      <c r="O174" s="231"/>
      <c r="P174" s="231"/>
      <c r="Q174" s="231"/>
      <c r="R174" s="231"/>
      <c r="S174" s="231"/>
      <c r="T174" s="231"/>
      <c r="U174" s="231"/>
      <c r="V174" s="231"/>
      <c r="W174" s="231"/>
      <c r="X174" s="231"/>
      <c r="Y174" s="231"/>
      <c r="Z174" s="231"/>
      <c r="AA174" s="231"/>
      <c r="AB174" s="231"/>
      <c r="AC174" s="231"/>
      <c r="AD174" s="231"/>
      <c r="AE174" s="231"/>
      <c r="AF174" s="231"/>
    </row>
    <row r="175" spans="1:32" s="203" customFormat="1">
      <c r="A175" s="120">
        <v>12</v>
      </c>
      <c r="B175" s="47" t="s">
        <v>146</v>
      </c>
      <c r="C175" s="47"/>
      <c r="D175" s="47"/>
      <c r="E175" s="74">
        <v>212</v>
      </c>
      <c r="F175" s="52">
        <v>138</v>
      </c>
      <c r="G175" s="118"/>
      <c r="H175" s="122">
        <v>154</v>
      </c>
      <c r="I175" s="29"/>
      <c r="J175" s="231"/>
      <c r="K175" s="231"/>
      <c r="L175" s="231"/>
      <c r="M175" s="231"/>
      <c r="N175" s="231"/>
      <c r="O175" s="231"/>
      <c r="P175" s="231"/>
      <c r="Q175" s="231"/>
      <c r="R175" s="231"/>
      <c r="S175" s="231"/>
      <c r="T175" s="231"/>
      <c r="U175" s="231"/>
      <c r="V175" s="231"/>
      <c r="W175" s="231"/>
      <c r="X175" s="231"/>
      <c r="Y175" s="231"/>
      <c r="Z175" s="231"/>
      <c r="AA175" s="231"/>
      <c r="AB175" s="231"/>
      <c r="AC175" s="231"/>
      <c r="AD175" s="231"/>
      <c r="AE175" s="231"/>
      <c r="AF175" s="231"/>
    </row>
    <row r="176" spans="1:32" s="203" customFormat="1">
      <c r="A176" s="120">
        <v>13</v>
      </c>
      <c r="B176" s="47" t="s">
        <v>147</v>
      </c>
      <c r="C176" s="47"/>
      <c r="D176" s="47"/>
      <c r="E176" s="49">
        <v>1581</v>
      </c>
      <c r="F176" s="52">
        <v>1446</v>
      </c>
      <c r="G176" s="118"/>
      <c r="H176" s="122">
        <v>1368</v>
      </c>
      <c r="I176" s="29"/>
      <c r="J176" s="231"/>
      <c r="K176" s="231"/>
      <c r="L176" s="231"/>
      <c r="M176" s="231"/>
      <c r="N176" s="231"/>
      <c r="O176" s="231"/>
      <c r="P176" s="231"/>
      <c r="Q176" s="231"/>
      <c r="R176" s="231"/>
      <c r="S176" s="231"/>
      <c r="T176" s="231"/>
      <c r="U176" s="231"/>
      <c r="V176" s="231"/>
      <c r="W176" s="231"/>
      <c r="X176" s="231"/>
      <c r="Y176" s="231"/>
      <c r="Z176" s="231"/>
      <c r="AA176" s="231"/>
      <c r="AB176" s="231"/>
      <c r="AC176" s="231"/>
      <c r="AD176" s="231"/>
      <c r="AE176" s="231"/>
      <c r="AF176" s="231"/>
    </row>
    <row r="177" spans="1:32" s="203" customFormat="1">
      <c r="A177" s="120">
        <v>14</v>
      </c>
      <c r="B177" s="47" t="s">
        <v>148</v>
      </c>
      <c r="C177" s="47"/>
      <c r="D177" s="47"/>
      <c r="E177" s="56">
        <v>611</v>
      </c>
      <c r="F177" s="52">
        <v>621</v>
      </c>
      <c r="G177" s="118"/>
      <c r="H177" s="100">
        <v>642</v>
      </c>
      <c r="I177" s="29"/>
      <c r="J177" s="231"/>
      <c r="K177" s="231"/>
      <c r="L177" s="231"/>
      <c r="M177" s="231"/>
      <c r="N177" s="231"/>
      <c r="O177" s="231"/>
      <c r="P177" s="231"/>
      <c r="Q177" s="231"/>
      <c r="R177" s="231"/>
      <c r="S177" s="231"/>
      <c r="T177" s="231"/>
      <c r="U177" s="231"/>
      <c r="V177" s="231"/>
      <c r="W177" s="231"/>
      <c r="X177" s="231"/>
      <c r="Y177" s="231"/>
      <c r="Z177" s="231"/>
      <c r="AA177" s="231"/>
      <c r="AB177" s="231"/>
      <c r="AC177" s="231"/>
      <c r="AD177" s="231"/>
      <c r="AE177" s="231"/>
      <c r="AF177" s="231"/>
    </row>
    <row r="178" spans="1:32" s="203" customFormat="1">
      <c r="A178" s="120">
        <v>15</v>
      </c>
      <c r="B178" s="116" t="s">
        <v>149</v>
      </c>
      <c r="C178" s="116"/>
      <c r="D178" s="116"/>
      <c r="E178" s="80">
        <v>2404</v>
      </c>
      <c r="F178" s="142">
        <f>SUM(F175:F177)</f>
        <v>2205</v>
      </c>
      <c r="G178" s="118"/>
      <c r="H178" s="142">
        <f>SUM(H175:H177)</f>
        <v>2164</v>
      </c>
      <c r="I178" s="29"/>
      <c r="J178" s="231"/>
      <c r="K178" s="231"/>
      <c r="L178" s="231"/>
      <c r="M178" s="231"/>
      <c r="N178" s="231"/>
      <c r="O178" s="231"/>
      <c r="P178" s="231"/>
      <c r="Q178" s="231"/>
      <c r="R178" s="231"/>
      <c r="S178" s="231"/>
      <c r="T178" s="231"/>
      <c r="U178" s="231"/>
      <c r="V178" s="231"/>
      <c r="W178" s="231"/>
      <c r="X178" s="231"/>
      <c r="Y178" s="231"/>
      <c r="Z178" s="231"/>
      <c r="AA178" s="231"/>
      <c r="AB178" s="231"/>
      <c r="AC178" s="231"/>
      <c r="AD178" s="231"/>
      <c r="AE178" s="231"/>
      <c r="AF178" s="231"/>
    </row>
    <row r="179" spans="1:32" s="203" customFormat="1">
      <c r="A179" s="120">
        <v>16</v>
      </c>
      <c r="B179" s="116" t="s">
        <v>150</v>
      </c>
      <c r="C179" s="116"/>
      <c r="D179" s="116"/>
      <c r="E179" s="80">
        <v>2404</v>
      </c>
      <c r="F179" s="158">
        <f>F172+F178</f>
        <v>2205</v>
      </c>
      <c r="G179" s="118"/>
      <c r="H179" s="158">
        <f>H172+H178</f>
        <v>2164</v>
      </c>
      <c r="I179" s="29"/>
      <c r="J179" s="231"/>
      <c r="K179" s="231"/>
      <c r="L179" s="231"/>
      <c r="M179" s="231"/>
      <c r="N179" s="231"/>
      <c r="O179" s="231"/>
      <c r="P179" s="231"/>
      <c r="Q179" s="231"/>
      <c r="R179" s="231"/>
      <c r="S179" s="231"/>
      <c r="T179" s="231"/>
      <c r="U179" s="231"/>
      <c r="V179" s="231"/>
      <c r="W179" s="231"/>
      <c r="X179" s="231"/>
      <c r="Y179" s="231"/>
      <c r="Z179" s="231"/>
      <c r="AA179" s="231"/>
      <c r="AB179" s="231"/>
      <c r="AC179" s="231"/>
      <c r="AD179" s="231"/>
      <c r="AE179" s="231"/>
      <c r="AF179" s="231"/>
    </row>
    <row r="180" spans="1:32" s="203" customFormat="1">
      <c r="A180" s="120">
        <v>17</v>
      </c>
      <c r="B180" s="116" t="s">
        <v>151</v>
      </c>
      <c r="C180" s="116"/>
      <c r="D180" s="116"/>
      <c r="E180" s="159">
        <v>10261</v>
      </c>
      <c r="F180" s="61">
        <f>SUM(F163+F169+F171+F179)</f>
        <v>10324</v>
      </c>
      <c r="G180" s="118"/>
      <c r="H180" s="61">
        <f>SUM(H163+H169+H171+H179)</f>
        <v>10339</v>
      </c>
      <c r="I180" s="29"/>
      <c r="J180" s="231"/>
      <c r="K180" s="231"/>
      <c r="L180" s="231"/>
      <c r="M180" s="231"/>
      <c r="N180" s="231"/>
      <c r="O180" s="231"/>
      <c r="P180" s="231"/>
      <c r="Q180" s="231"/>
      <c r="R180" s="231"/>
      <c r="S180" s="231"/>
      <c r="T180" s="231"/>
      <c r="U180" s="231"/>
      <c r="V180" s="231"/>
      <c r="W180" s="231"/>
      <c r="X180" s="231"/>
      <c r="Y180" s="231"/>
      <c r="Z180" s="231"/>
      <c r="AA180" s="231"/>
      <c r="AB180" s="231"/>
      <c r="AC180" s="231"/>
      <c r="AD180" s="231"/>
      <c r="AE180" s="231"/>
      <c r="AF180" s="231"/>
    </row>
    <row r="181" spans="1:32" s="203" customFormat="1">
      <c r="A181" s="46"/>
      <c r="B181" s="132"/>
      <c r="C181" s="132"/>
      <c r="D181" s="132"/>
      <c r="E181" s="156"/>
      <c r="F181" s="139"/>
      <c r="G181" s="139"/>
      <c r="H181" s="139"/>
      <c r="I181" s="29"/>
      <c r="J181" s="231"/>
      <c r="K181" s="231"/>
      <c r="L181" s="231"/>
      <c r="M181" s="231"/>
      <c r="N181" s="231"/>
      <c r="O181" s="231"/>
      <c r="P181" s="231"/>
      <c r="Q181" s="231"/>
      <c r="R181" s="231"/>
      <c r="S181" s="231"/>
      <c r="T181" s="231"/>
      <c r="U181" s="231"/>
      <c r="V181" s="231"/>
      <c r="W181" s="231"/>
      <c r="X181" s="231"/>
      <c r="Y181" s="231"/>
      <c r="Z181" s="231"/>
      <c r="AA181" s="231"/>
      <c r="AB181" s="231"/>
      <c r="AC181" s="231"/>
      <c r="AD181" s="231"/>
      <c r="AE181" s="231"/>
      <c r="AF181" s="231"/>
    </row>
    <row r="182" spans="1:32" s="203" customFormat="1">
      <c r="A182" s="119" t="s">
        <v>152</v>
      </c>
      <c r="B182" s="47"/>
      <c r="C182" s="47"/>
      <c r="D182" s="116"/>
      <c r="E182" s="117"/>
      <c r="F182" s="118"/>
      <c r="G182" s="118"/>
      <c r="H182" s="118"/>
      <c r="I182" s="29"/>
      <c r="J182" s="231"/>
      <c r="K182" s="231"/>
      <c r="L182" s="231"/>
      <c r="M182" s="231"/>
      <c r="N182" s="231"/>
      <c r="O182" s="231"/>
      <c r="P182" s="231"/>
      <c r="Q182" s="231"/>
      <c r="R182" s="231"/>
      <c r="S182" s="231"/>
      <c r="T182" s="231"/>
      <c r="U182" s="231"/>
      <c r="V182" s="231"/>
      <c r="W182" s="231"/>
      <c r="X182" s="231"/>
      <c r="Y182" s="231"/>
      <c r="Z182" s="231"/>
      <c r="AA182" s="231"/>
      <c r="AB182" s="231"/>
      <c r="AC182" s="231"/>
      <c r="AD182" s="231"/>
      <c r="AE182" s="231"/>
      <c r="AF182" s="231"/>
    </row>
    <row r="183" spans="1:32" s="203" customFormat="1">
      <c r="A183" s="120">
        <v>18</v>
      </c>
      <c r="B183" s="47" t="s">
        <v>153</v>
      </c>
      <c r="C183" s="47"/>
      <c r="D183" s="47"/>
      <c r="E183" s="41">
        <v>1594</v>
      </c>
      <c r="F183" s="121">
        <v>1427</v>
      </c>
      <c r="G183" s="118"/>
      <c r="H183" s="133">
        <v>1427</v>
      </c>
      <c r="I183" s="29"/>
      <c r="J183" s="231"/>
      <c r="K183" s="231"/>
      <c r="L183" s="231"/>
      <c r="M183" s="231"/>
      <c r="N183" s="231"/>
      <c r="O183" s="231"/>
      <c r="P183" s="231"/>
      <c r="Q183" s="231"/>
      <c r="R183" s="231"/>
      <c r="S183" s="231"/>
      <c r="T183" s="231"/>
      <c r="U183" s="231"/>
      <c r="V183" s="231"/>
      <c r="W183" s="231"/>
      <c r="X183" s="231"/>
      <c r="Y183" s="231"/>
      <c r="Z183" s="231"/>
      <c r="AA183" s="231"/>
      <c r="AB183" s="231"/>
      <c r="AC183" s="231"/>
      <c r="AD183" s="231"/>
      <c r="AE183" s="231"/>
      <c r="AF183" s="231"/>
    </row>
    <row r="184" spans="1:32" s="203" customFormat="1">
      <c r="A184" s="120">
        <v>19</v>
      </c>
      <c r="B184" s="47" t="s">
        <v>154</v>
      </c>
      <c r="C184" s="47"/>
      <c r="D184" s="47"/>
      <c r="E184" s="49">
        <v>182</v>
      </c>
      <c r="F184" s="52">
        <v>182</v>
      </c>
      <c r="G184" s="118"/>
      <c r="H184" s="122">
        <v>182</v>
      </c>
      <c r="I184" s="29"/>
      <c r="J184" s="231"/>
      <c r="K184" s="231"/>
      <c r="L184" s="231"/>
      <c r="M184" s="231"/>
      <c r="N184" s="231"/>
      <c r="O184" s="231"/>
      <c r="P184" s="231"/>
      <c r="Q184" s="231"/>
      <c r="R184" s="231"/>
      <c r="S184" s="231"/>
      <c r="T184" s="231"/>
      <c r="U184" s="231"/>
      <c r="V184" s="231"/>
      <c r="W184" s="231"/>
      <c r="X184" s="231"/>
      <c r="Y184" s="231"/>
      <c r="Z184" s="231"/>
      <c r="AA184" s="231"/>
      <c r="AB184" s="231"/>
      <c r="AC184" s="231"/>
      <c r="AD184" s="231"/>
      <c r="AE184" s="231"/>
      <c r="AF184" s="231"/>
    </row>
    <row r="185" spans="1:32" s="203" customFormat="1">
      <c r="A185" s="120">
        <v>20</v>
      </c>
      <c r="B185" s="47" t="s">
        <v>155</v>
      </c>
      <c r="C185" s="47"/>
      <c r="D185" s="47"/>
      <c r="E185" s="49">
        <v>3</v>
      </c>
      <c r="F185" s="52">
        <v>3</v>
      </c>
      <c r="G185" s="118"/>
      <c r="H185" s="122">
        <v>3</v>
      </c>
      <c r="I185" s="29"/>
      <c r="J185" s="231"/>
      <c r="K185" s="231"/>
      <c r="L185" s="231"/>
      <c r="M185" s="231"/>
      <c r="N185" s="231"/>
      <c r="O185" s="231"/>
      <c r="P185" s="231"/>
      <c r="Q185" s="231"/>
      <c r="R185" s="231"/>
      <c r="S185" s="231"/>
      <c r="T185" s="231"/>
      <c r="U185" s="231"/>
      <c r="V185" s="231"/>
      <c r="W185" s="231"/>
      <c r="X185" s="231"/>
      <c r="Y185" s="231"/>
      <c r="Z185" s="231"/>
      <c r="AA185" s="231"/>
      <c r="AB185" s="231"/>
      <c r="AC185" s="231"/>
      <c r="AD185" s="231"/>
      <c r="AE185" s="231"/>
      <c r="AF185" s="231"/>
    </row>
    <row r="186" spans="1:32" s="203" customFormat="1">
      <c r="A186" s="120">
        <v>21</v>
      </c>
      <c r="B186" s="47" t="s">
        <v>156</v>
      </c>
      <c r="C186" s="47"/>
      <c r="D186" s="47"/>
      <c r="E186" s="49">
        <v>0</v>
      </c>
      <c r="F186" s="52">
        <v>0</v>
      </c>
      <c r="G186" s="118"/>
      <c r="H186" s="122">
        <v>0</v>
      </c>
      <c r="I186" s="29"/>
      <c r="J186" s="231"/>
      <c r="K186" s="231"/>
      <c r="L186" s="231"/>
      <c r="M186" s="231"/>
      <c r="N186" s="231"/>
      <c r="O186" s="231"/>
      <c r="P186" s="231"/>
      <c r="Q186" s="231"/>
      <c r="R186" s="231"/>
      <c r="S186" s="231"/>
      <c r="T186" s="231"/>
      <c r="U186" s="231"/>
      <c r="V186" s="231"/>
      <c r="W186" s="231"/>
      <c r="X186" s="231"/>
      <c r="Y186" s="231"/>
      <c r="Z186" s="231"/>
      <c r="AA186" s="231"/>
      <c r="AB186" s="231"/>
      <c r="AC186" s="231"/>
      <c r="AD186" s="231"/>
      <c r="AE186" s="231"/>
      <c r="AF186" s="231"/>
    </row>
    <row r="187" spans="1:32" s="203" customFormat="1">
      <c r="A187" s="120">
        <v>22</v>
      </c>
      <c r="B187" s="47" t="s">
        <v>157</v>
      </c>
      <c r="C187" s="47"/>
      <c r="D187" s="47"/>
      <c r="E187" s="49">
        <v>0</v>
      </c>
      <c r="F187" s="52">
        <v>0</v>
      </c>
      <c r="G187" s="118"/>
      <c r="H187" s="122">
        <v>0</v>
      </c>
      <c r="I187" s="29"/>
      <c r="J187" s="231"/>
      <c r="K187" s="231"/>
      <c r="L187" s="231"/>
      <c r="M187" s="231"/>
      <c r="N187" s="231"/>
      <c r="O187" s="231"/>
      <c r="P187" s="231"/>
      <c r="Q187" s="231"/>
      <c r="R187" s="231"/>
      <c r="S187" s="231"/>
      <c r="T187" s="231"/>
      <c r="U187" s="231"/>
      <c r="V187" s="231"/>
      <c r="W187" s="231"/>
      <c r="X187" s="231"/>
      <c r="Y187" s="231"/>
      <c r="Z187" s="231"/>
      <c r="AA187" s="231"/>
      <c r="AB187" s="231"/>
      <c r="AC187" s="231"/>
      <c r="AD187" s="231"/>
      <c r="AE187" s="231"/>
      <c r="AF187" s="231"/>
    </row>
    <row r="188" spans="1:32" s="203" customFormat="1">
      <c r="A188" s="120">
        <v>23</v>
      </c>
      <c r="B188" s="47" t="s">
        <v>158</v>
      </c>
      <c r="C188" s="47"/>
      <c r="D188" s="47"/>
      <c r="E188" s="49">
        <v>0</v>
      </c>
      <c r="F188" s="52">
        <v>0</v>
      </c>
      <c r="G188" s="118"/>
      <c r="H188" s="122">
        <v>0</v>
      </c>
      <c r="I188" s="29"/>
      <c r="J188" s="231"/>
      <c r="K188" s="231"/>
      <c r="L188" s="231"/>
      <c r="M188" s="231"/>
      <c r="N188" s="231"/>
      <c r="O188" s="231"/>
      <c r="P188" s="231"/>
      <c r="Q188" s="231"/>
      <c r="R188" s="231"/>
      <c r="S188" s="231"/>
      <c r="T188" s="231"/>
      <c r="U188" s="231"/>
      <c r="V188" s="231"/>
      <c r="W188" s="231"/>
      <c r="X188" s="231"/>
      <c r="Y188" s="231"/>
      <c r="Z188" s="231"/>
      <c r="AA188" s="231"/>
      <c r="AB188" s="231"/>
      <c r="AC188" s="231"/>
      <c r="AD188" s="231"/>
      <c r="AE188" s="231"/>
      <c r="AF188" s="231"/>
    </row>
    <row r="189" spans="1:32" s="203" customFormat="1">
      <c r="A189" s="120">
        <v>24</v>
      </c>
      <c r="B189" s="47" t="s">
        <v>159</v>
      </c>
      <c r="C189" s="47"/>
      <c r="D189" s="47"/>
      <c r="E189" s="49">
        <v>0</v>
      </c>
      <c r="F189" s="52">
        <v>0</v>
      </c>
      <c r="G189" s="118"/>
      <c r="H189" s="122">
        <v>0</v>
      </c>
      <c r="I189" s="29"/>
      <c r="J189" s="231"/>
      <c r="K189" s="231"/>
      <c r="L189" s="231"/>
      <c r="M189" s="231"/>
      <c r="N189" s="231"/>
      <c r="O189" s="231"/>
      <c r="P189" s="231"/>
      <c r="Q189" s="231"/>
      <c r="R189" s="231"/>
      <c r="S189" s="231"/>
      <c r="T189" s="231"/>
      <c r="U189" s="231"/>
      <c r="V189" s="231"/>
      <c r="W189" s="231"/>
      <c r="X189" s="231"/>
      <c r="Y189" s="231"/>
      <c r="Z189" s="231"/>
      <c r="AA189" s="231"/>
      <c r="AB189" s="231"/>
      <c r="AC189" s="231"/>
      <c r="AD189" s="231"/>
      <c r="AE189" s="231"/>
      <c r="AF189" s="231"/>
    </row>
    <row r="190" spans="1:32" s="203" customFormat="1">
      <c r="A190" s="124">
        <v>25</v>
      </c>
      <c r="B190" s="54" t="s">
        <v>160</v>
      </c>
      <c r="C190" s="54"/>
      <c r="D190" s="54"/>
      <c r="E190" s="56">
        <v>0</v>
      </c>
      <c r="F190" s="126">
        <v>0</v>
      </c>
      <c r="G190" s="118"/>
      <c r="H190" s="100">
        <v>0</v>
      </c>
      <c r="I190" s="24"/>
      <c r="J190" s="231"/>
      <c r="K190" s="231"/>
      <c r="L190" s="231"/>
      <c r="M190" s="231"/>
      <c r="N190" s="231"/>
      <c r="O190" s="231"/>
      <c r="P190" s="231"/>
      <c r="Q190" s="231"/>
      <c r="R190" s="231"/>
      <c r="S190" s="231"/>
      <c r="T190" s="231"/>
      <c r="U190" s="231"/>
      <c r="V190" s="231"/>
      <c r="W190" s="231"/>
      <c r="X190" s="231"/>
      <c r="Y190" s="231"/>
      <c r="Z190" s="231"/>
      <c r="AA190" s="231"/>
      <c r="AB190" s="231"/>
      <c r="AC190" s="231"/>
      <c r="AD190" s="231"/>
      <c r="AE190" s="231"/>
      <c r="AF190" s="231"/>
    </row>
    <row r="191" spans="1:32" s="203" customFormat="1">
      <c r="A191" s="161"/>
      <c r="B191" s="129"/>
      <c r="C191" s="129"/>
      <c r="D191" s="149"/>
      <c r="E191" s="162"/>
      <c r="F191" s="29"/>
      <c r="G191" s="29"/>
      <c r="H191" s="207"/>
      <c r="I191" s="29"/>
      <c r="J191" s="231"/>
      <c r="K191" s="231"/>
      <c r="L191" s="231"/>
      <c r="M191" s="231"/>
      <c r="N191" s="231"/>
      <c r="O191" s="231"/>
      <c r="P191" s="231"/>
      <c r="Q191" s="231"/>
      <c r="R191" s="231"/>
      <c r="S191" s="231"/>
      <c r="T191" s="231"/>
      <c r="U191" s="231"/>
      <c r="V191" s="231"/>
      <c r="W191" s="231"/>
      <c r="X191" s="231"/>
      <c r="Y191" s="231"/>
      <c r="Z191" s="231"/>
      <c r="AA191" s="231"/>
      <c r="AB191" s="231"/>
      <c r="AC191" s="231"/>
      <c r="AD191" s="231"/>
      <c r="AE191" s="231"/>
      <c r="AF191" s="231"/>
    </row>
    <row r="192" spans="1:32" s="203" customFormat="1">
      <c r="A192" s="161"/>
      <c r="B192" s="129"/>
      <c r="C192" s="129"/>
      <c r="D192" s="151"/>
      <c r="E192" s="163"/>
      <c r="F192" s="29"/>
      <c r="G192" s="29"/>
      <c r="H192" s="131" t="s">
        <v>27</v>
      </c>
      <c r="I192" s="29"/>
      <c r="J192" s="231"/>
      <c r="K192" s="231"/>
      <c r="L192" s="231"/>
      <c r="M192" s="231"/>
      <c r="N192" s="231"/>
      <c r="O192" s="231"/>
      <c r="P192" s="231"/>
      <c r="Q192" s="231"/>
      <c r="R192" s="231"/>
      <c r="S192" s="231"/>
      <c r="T192" s="231"/>
      <c r="U192" s="231"/>
      <c r="V192" s="231"/>
      <c r="W192" s="231"/>
      <c r="X192" s="231"/>
      <c r="Y192" s="231"/>
      <c r="Z192" s="231"/>
      <c r="AA192" s="231"/>
      <c r="AB192" s="231"/>
      <c r="AC192" s="231"/>
      <c r="AD192" s="231"/>
      <c r="AE192" s="231"/>
      <c r="AF192" s="231"/>
    </row>
    <row r="193" spans="1:32" s="203" customFormat="1" ht="12.75" customHeight="1">
      <c r="A193" s="106" t="s">
        <v>23</v>
      </c>
      <c r="B193" s="164"/>
      <c r="C193" s="164"/>
      <c r="D193" s="164"/>
      <c r="E193" s="856" t="s">
        <v>377</v>
      </c>
      <c r="F193" s="856" t="s">
        <v>402</v>
      </c>
      <c r="G193" s="130"/>
      <c r="H193" s="856" t="s">
        <v>403</v>
      </c>
      <c r="I193" s="130"/>
      <c r="J193" s="231"/>
      <c r="K193" s="231"/>
      <c r="L193" s="231"/>
      <c r="M193" s="231"/>
      <c r="N193" s="231"/>
      <c r="O193" s="231"/>
      <c r="P193" s="231"/>
      <c r="Q193" s="231"/>
      <c r="R193" s="231"/>
      <c r="S193" s="231"/>
      <c r="T193" s="231"/>
      <c r="U193" s="231"/>
      <c r="V193" s="231"/>
      <c r="W193" s="231"/>
      <c r="X193" s="231"/>
      <c r="Y193" s="231"/>
      <c r="Z193" s="231"/>
      <c r="AA193" s="231"/>
      <c r="AB193" s="231"/>
      <c r="AC193" s="231"/>
      <c r="AD193" s="231"/>
      <c r="AE193" s="231"/>
      <c r="AF193" s="231"/>
    </row>
    <row r="194" spans="1:32" s="203" customFormat="1" ht="23.25" customHeight="1">
      <c r="A194" s="165"/>
      <c r="B194" s="132"/>
      <c r="C194" s="132"/>
      <c r="D194" s="132"/>
      <c r="E194" s="859"/>
      <c r="F194" s="859"/>
      <c r="G194" s="130"/>
      <c r="H194" s="859"/>
      <c r="I194" s="130"/>
      <c r="J194" s="231"/>
      <c r="K194" s="231"/>
      <c r="L194" s="231"/>
      <c r="M194" s="231"/>
      <c r="N194" s="231"/>
      <c r="O194" s="231"/>
      <c r="P194" s="231"/>
      <c r="Q194" s="231"/>
      <c r="R194" s="231"/>
      <c r="S194" s="231"/>
      <c r="T194" s="231"/>
      <c r="U194" s="231"/>
      <c r="V194" s="231"/>
      <c r="W194" s="231"/>
      <c r="X194" s="231"/>
      <c r="Y194" s="231"/>
      <c r="Z194" s="231"/>
      <c r="AA194" s="231"/>
      <c r="AB194" s="231"/>
      <c r="AC194" s="231"/>
      <c r="AD194" s="231"/>
      <c r="AE194" s="231"/>
      <c r="AF194" s="231"/>
    </row>
    <row r="195" spans="1:32" s="203" customFormat="1">
      <c r="A195" s="154" t="s">
        <v>161</v>
      </c>
      <c r="B195" s="116"/>
      <c r="C195" s="116"/>
      <c r="D195" s="116"/>
      <c r="E195" s="859"/>
      <c r="F195" s="859"/>
      <c r="G195" s="130"/>
      <c r="H195" s="859"/>
      <c r="I195" s="130"/>
      <c r="J195" s="231"/>
      <c r="K195" s="231"/>
      <c r="L195" s="231"/>
      <c r="M195" s="231"/>
      <c r="N195" s="231"/>
      <c r="O195" s="231"/>
      <c r="P195" s="231"/>
      <c r="Q195" s="231"/>
      <c r="R195" s="231"/>
      <c r="S195" s="231"/>
      <c r="T195" s="231"/>
      <c r="U195" s="231"/>
      <c r="V195" s="231"/>
      <c r="W195" s="231"/>
      <c r="X195" s="231"/>
      <c r="Y195" s="231"/>
      <c r="Z195" s="231"/>
      <c r="AA195" s="231"/>
      <c r="AB195" s="231"/>
      <c r="AC195" s="231"/>
      <c r="AD195" s="231"/>
      <c r="AE195" s="231"/>
      <c r="AF195" s="231"/>
    </row>
    <row r="196" spans="1:32" s="203" customFormat="1">
      <c r="A196" s="109" t="s">
        <v>83</v>
      </c>
      <c r="B196" s="47"/>
      <c r="C196" s="47"/>
      <c r="D196" s="47"/>
      <c r="E196" s="859"/>
      <c r="F196" s="859"/>
      <c r="G196" s="130"/>
      <c r="H196" s="859"/>
      <c r="I196" s="130"/>
      <c r="J196" s="231"/>
      <c r="K196" s="231"/>
      <c r="L196" s="231"/>
      <c r="M196" s="231"/>
      <c r="N196" s="231"/>
      <c r="O196" s="231"/>
      <c r="P196" s="231"/>
      <c r="Q196" s="231"/>
      <c r="R196" s="231"/>
      <c r="S196" s="231"/>
      <c r="T196" s="231"/>
      <c r="U196" s="231"/>
      <c r="V196" s="231"/>
      <c r="W196" s="231"/>
      <c r="X196" s="231"/>
      <c r="Y196" s="231"/>
      <c r="Z196" s="231"/>
      <c r="AA196" s="231"/>
      <c r="AB196" s="231"/>
      <c r="AC196" s="231"/>
      <c r="AD196" s="231"/>
      <c r="AE196" s="231"/>
      <c r="AF196" s="231"/>
    </row>
    <row r="197" spans="1:32" s="203" customFormat="1">
      <c r="A197" s="110" t="s">
        <v>84</v>
      </c>
      <c r="B197" s="132"/>
      <c r="C197" s="132"/>
      <c r="D197" s="132"/>
      <c r="E197" s="860"/>
      <c r="F197" s="860"/>
      <c r="G197" s="130"/>
      <c r="H197" s="860"/>
      <c r="I197" s="130"/>
      <c r="J197" s="231"/>
      <c r="K197" s="231"/>
      <c r="L197" s="231"/>
      <c r="M197" s="231"/>
      <c r="N197" s="231"/>
      <c r="O197" s="231"/>
      <c r="P197" s="231"/>
      <c r="Q197" s="231"/>
      <c r="R197" s="231"/>
      <c r="S197" s="231"/>
      <c r="T197" s="231"/>
      <c r="U197" s="231"/>
      <c r="V197" s="231"/>
      <c r="W197" s="231"/>
      <c r="X197" s="231"/>
      <c r="Y197" s="231"/>
      <c r="Z197" s="231"/>
      <c r="AA197" s="231"/>
      <c r="AB197" s="231"/>
      <c r="AC197" s="231"/>
      <c r="AD197" s="231"/>
      <c r="AE197" s="231"/>
      <c r="AF197" s="231"/>
    </row>
    <row r="198" spans="1:32" s="203" customFormat="1">
      <c r="A198" s="153" t="s">
        <v>162</v>
      </c>
      <c r="B198" s="166"/>
      <c r="C198" s="166"/>
      <c r="D198" s="166"/>
      <c r="E198" s="167"/>
      <c r="F198" s="146"/>
      <c r="G198" s="118"/>
      <c r="H198" s="146"/>
      <c r="I198" s="29"/>
      <c r="J198" s="231"/>
      <c r="K198" s="231"/>
      <c r="L198" s="231"/>
      <c r="M198" s="231"/>
      <c r="N198" s="231"/>
      <c r="O198" s="231"/>
      <c r="P198" s="231"/>
      <c r="Q198" s="231"/>
      <c r="R198" s="231"/>
      <c r="S198" s="231"/>
      <c r="T198" s="231"/>
      <c r="U198" s="231"/>
      <c r="V198" s="231"/>
      <c r="W198" s="231"/>
      <c r="X198" s="231"/>
      <c r="Y198" s="231"/>
      <c r="Z198" s="231"/>
      <c r="AA198" s="231"/>
      <c r="AB198" s="231"/>
      <c r="AC198" s="231"/>
      <c r="AD198" s="231"/>
      <c r="AE198" s="231"/>
      <c r="AF198" s="231"/>
    </row>
    <row r="199" spans="1:32" s="203" customFormat="1">
      <c r="A199" s="120">
        <v>1</v>
      </c>
      <c r="B199" s="47" t="s">
        <v>163</v>
      </c>
      <c r="C199" s="47"/>
      <c r="D199" s="47"/>
      <c r="E199" s="74">
        <v>596</v>
      </c>
      <c r="F199" s="52">
        <v>593</v>
      </c>
      <c r="G199" s="118"/>
      <c r="H199" s="122">
        <v>611</v>
      </c>
      <c r="I199" s="29"/>
      <c r="J199" s="231"/>
      <c r="K199" s="231"/>
      <c r="L199" s="231"/>
      <c r="M199" s="231"/>
      <c r="N199" s="231"/>
      <c r="O199" s="231"/>
      <c r="P199" s="231"/>
      <c r="Q199" s="231"/>
      <c r="R199" s="231"/>
      <c r="S199" s="231"/>
      <c r="T199" s="231"/>
      <c r="U199" s="231"/>
      <c r="V199" s="231"/>
      <c r="W199" s="231"/>
      <c r="X199" s="231"/>
      <c r="Y199" s="231"/>
      <c r="Z199" s="231"/>
      <c r="AA199" s="231"/>
      <c r="AB199" s="231"/>
      <c r="AC199" s="231"/>
      <c r="AD199" s="231"/>
      <c r="AE199" s="231"/>
      <c r="AF199" s="231"/>
    </row>
    <row r="200" spans="1:32" s="203" customFormat="1">
      <c r="A200" s="120">
        <v>2</v>
      </c>
      <c r="B200" s="47" t="s">
        <v>164</v>
      </c>
      <c r="C200" s="47"/>
      <c r="D200" s="47"/>
      <c r="E200" s="56">
        <v>374</v>
      </c>
      <c r="F200" s="52">
        <v>186</v>
      </c>
      <c r="G200" s="118"/>
      <c r="H200" s="100">
        <v>413</v>
      </c>
      <c r="I200" s="29"/>
      <c r="J200" s="231"/>
      <c r="K200" s="231"/>
      <c r="L200" s="231"/>
      <c r="M200" s="231"/>
      <c r="N200" s="231"/>
      <c r="O200" s="231"/>
      <c r="P200" s="231"/>
      <c r="Q200" s="231"/>
      <c r="R200" s="231"/>
      <c r="S200" s="231"/>
      <c r="T200" s="231"/>
      <c r="U200" s="231"/>
      <c r="V200" s="231"/>
      <c r="W200" s="231"/>
      <c r="X200" s="231"/>
      <c r="Y200" s="231"/>
      <c r="Z200" s="231"/>
      <c r="AA200" s="231"/>
      <c r="AB200" s="231"/>
      <c r="AC200" s="231"/>
      <c r="AD200" s="231"/>
      <c r="AE200" s="231"/>
      <c r="AF200" s="231"/>
    </row>
    <row r="201" spans="1:32" s="203" customFormat="1">
      <c r="A201" s="120">
        <v>3</v>
      </c>
      <c r="B201" s="116" t="s">
        <v>165</v>
      </c>
      <c r="C201" s="116"/>
      <c r="D201" s="116"/>
      <c r="E201" s="80">
        <v>970</v>
      </c>
      <c r="F201" s="142">
        <f>SUM(F199:F200)</f>
        <v>779</v>
      </c>
      <c r="G201" s="118"/>
      <c r="H201" s="142">
        <f>SUM(H199:H200)</f>
        <v>1024</v>
      </c>
      <c r="I201" s="29"/>
      <c r="J201" s="231"/>
      <c r="K201" s="231"/>
      <c r="L201" s="231"/>
      <c r="M201" s="231"/>
      <c r="N201" s="231"/>
      <c r="O201" s="231"/>
      <c r="P201" s="231"/>
      <c r="Q201" s="231"/>
      <c r="R201" s="231"/>
      <c r="S201" s="231"/>
      <c r="T201" s="231"/>
      <c r="U201" s="231"/>
      <c r="V201" s="231"/>
      <c r="W201" s="231"/>
      <c r="X201" s="231"/>
      <c r="Y201" s="231"/>
      <c r="Z201" s="231"/>
      <c r="AA201" s="231"/>
      <c r="AB201" s="231"/>
      <c r="AC201" s="231"/>
      <c r="AD201" s="231"/>
      <c r="AE201" s="231"/>
      <c r="AF201" s="231"/>
    </row>
    <row r="202" spans="1:32" s="203" customFormat="1">
      <c r="A202" s="46"/>
      <c r="B202" s="132"/>
      <c r="C202" s="132"/>
      <c r="D202" s="132"/>
      <c r="E202" s="156"/>
      <c r="F202" s="139"/>
      <c r="G202" s="139"/>
      <c r="H202" s="139"/>
      <c r="I202" s="29"/>
      <c r="J202" s="231"/>
      <c r="K202" s="231"/>
      <c r="L202" s="231"/>
      <c r="M202" s="231"/>
      <c r="N202" s="231"/>
      <c r="O202" s="231"/>
      <c r="P202" s="231"/>
      <c r="Q202" s="231"/>
      <c r="R202" s="231"/>
      <c r="S202" s="231"/>
      <c r="T202" s="231"/>
      <c r="U202" s="231"/>
      <c r="V202" s="231"/>
      <c r="W202" s="231"/>
      <c r="X202" s="231"/>
      <c r="Y202" s="231"/>
      <c r="Z202" s="231"/>
      <c r="AA202" s="231"/>
      <c r="AB202" s="231"/>
      <c r="AC202" s="231"/>
      <c r="AD202" s="231"/>
      <c r="AE202" s="231"/>
      <c r="AF202" s="231"/>
    </row>
    <row r="203" spans="1:32" s="203" customFormat="1">
      <c r="A203" s="153" t="s">
        <v>166</v>
      </c>
      <c r="B203" s="116"/>
      <c r="C203" s="116"/>
      <c r="D203" s="116"/>
      <c r="E203" s="140"/>
      <c r="F203" s="146"/>
      <c r="G203" s="118"/>
      <c r="H203" s="146"/>
      <c r="I203" s="29"/>
      <c r="J203" s="231"/>
      <c r="K203" s="231"/>
      <c r="L203" s="231"/>
      <c r="M203" s="231"/>
      <c r="N203" s="231"/>
      <c r="O203" s="231"/>
      <c r="P203" s="231"/>
      <c r="Q203" s="231"/>
      <c r="R203" s="231"/>
      <c r="S203" s="231"/>
      <c r="T203" s="231"/>
      <c r="U203" s="231"/>
      <c r="V203" s="231"/>
      <c r="W203" s="231"/>
      <c r="X203" s="231"/>
      <c r="Y203" s="231"/>
      <c r="Z203" s="231"/>
      <c r="AA203" s="231"/>
      <c r="AB203" s="231"/>
      <c r="AC203" s="231"/>
      <c r="AD203" s="231"/>
      <c r="AE203" s="231"/>
      <c r="AF203" s="231"/>
    </row>
    <row r="204" spans="1:32" s="203" customFormat="1">
      <c r="A204" s="120">
        <v>4</v>
      </c>
      <c r="B204" s="47" t="s">
        <v>167</v>
      </c>
      <c r="C204" s="47"/>
      <c r="D204" s="47"/>
      <c r="E204" s="74">
        <v>4594</v>
      </c>
      <c r="F204" s="52">
        <v>4813</v>
      </c>
      <c r="G204" s="118"/>
      <c r="H204" s="122">
        <v>4323</v>
      </c>
      <c r="I204" s="29"/>
      <c r="J204" s="231"/>
      <c r="K204" s="231"/>
      <c r="L204" s="231"/>
      <c r="M204" s="231"/>
      <c r="N204" s="231"/>
      <c r="O204" s="231"/>
      <c r="P204" s="231"/>
      <c r="Q204" s="231"/>
      <c r="R204" s="231"/>
      <c r="S204" s="231"/>
      <c r="T204" s="231"/>
      <c r="U204" s="231"/>
      <c r="V204" s="231"/>
      <c r="W204" s="231"/>
      <c r="X204" s="231"/>
      <c r="Y204" s="231"/>
      <c r="Z204" s="231"/>
      <c r="AA204" s="231"/>
      <c r="AB204" s="231"/>
      <c r="AC204" s="231"/>
      <c r="AD204" s="231"/>
      <c r="AE204" s="231"/>
      <c r="AF204" s="231"/>
    </row>
    <row r="205" spans="1:32" s="203" customFormat="1">
      <c r="A205" s="120">
        <v>5</v>
      </c>
      <c r="B205" s="47" t="s">
        <v>168</v>
      </c>
      <c r="C205" s="47"/>
      <c r="D205" s="47"/>
      <c r="E205" s="49">
        <v>4191</v>
      </c>
      <c r="F205" s="52">
        <v>5583</v>
      </c>
      <c r="G205" s="118"/>
      <c r="H205" s="122">
        <v>3965</v>
      </c>
      <c r="I205" s="29"/>
      <c r="J205" s="231"/>
      <c r="K205" s="231"/>
      <c r="L205" s="231"/>
      <c r="M205" s="231"/>
      <c r="N205" s="231"/>
      <c r="O205" s="231"/>
      <c r="P205" s="231"/>
      <c r="Q205" s="231"/>
      <c r="R205" s="231"/>
      <c r="S205" s="231"/>
      <c r="T205" s="231"/>
      <c r="U205" s="231"/>
      <c r="V205" s="231"/>
      <c r="W205" s="231"/>
      <c r="X205" s="231"/>
      <c r="Y205" s="231"/>
      <c r="Z205" s="231"/>
      <c r="AA205" s="231"/>
      <c r="AB205" s="231"/>
      <c r="AC205" s="231"/>
      <c r="AD205" s="231"/>
      <c r="AE205" s="231"/>
      <c r="AF205" s="231"/>
    </row>
    <row r="206" spans="1:32" s="203" customFormat="1">
      <c r="A206" s="120">
        <v>6</v>
      </c>
      <c r="B206" s="47" t="s">
        <v>169</v>
      </c>
      <c r="C206" s="47"/>
      <c r="D206" s="47"/>
      <c r="E206" s="49">
        <v>4148</v>
      </c>
      <c r="F206" s="52">
        <v>3912</v>
      </c>
      <c r="G206" s="118"/>
      <c r="H206" s="100">
        <v>3863</v>
      </c>
      <c r="I206" s="29"/>
      <c r="J206" s="231"/>
      <c r="K206" s="231"/>
      <c r="L206" s="231"/>
      <c r="M206" s="231"/>
      <c r="N206" s="231"/>
      <c r="O206" s="231"/>
      <c r="P206" s="231"/>
      <c r="Q206" s="231"/>
      <c r="R206" s="231"/>
      <c r="S206" s="231"/>
      <c r="T206" s="231"/>
      <c r="U206" s="231"/>
      <c r="V206" s="231"/>
      <c r="W206" s="231"/>
      <c r="X206" s="231"/>
      <c r="Y206" s="231"/>
      <c r="Z206" s="231"/>
      <c r="AA206" s="231"/>
      <c r="AB206" s="231"/>
      <c r="AC206" s="231"/>
      <c r="AD206" s="231"/>
      <c r="AE206" s="231"/>
      <c r="AF206" s="231"/>
    </row>
    <row r="207" spans="1:32" s="203" customFormat="1">
      <c r="A207" s="120">
        <v>7</v>
      </c>
      <c r="B207" s="116" t="s">
        <v>170</v>
      </c>
      <c r="C207" s="116"/>
      <c r="D207" s="116"/>
      <c r="E207" s="80">
        <v>12933</v>
      </c>
      <c r="F207" s="142">
        <f>SUM(F204:F206)</f>
        <v>14308</v>
      </c>
      <c r="G207" s="118"/>
      <c r="H207" s="142">
        <f>SUM(H204:H206)</f>
        <v>12151</v>
      </c>
      <c r="I207" s="29"/>
      <c r="J207" s="231"/>
      <c r="K207" s="231"/>
      <c r="L207" s="231"/>
      <c r="M207" s="231"/>
      <c r="N207" s="231"/>
      <c r="O207" s="231"/>
      <c r="P207" s="231"/>
      <c r="Q207" s="231"/>
      <c r="R207" s="231"/>
      <c r="S207" s="231"/>
      <c r="T207" s="231"/>
      <c r="U207" s="231"/>
      <c r="V207" s="231"/>
      <c r="W207" s="231"/>
      <c r="X207" s="231"/>
      <c r="Y207" s="231"/>
      <c r="Z207" s="231"/>
      <c r="AA207" s="231"/>
      <c r="AB207" s="231"/>
      <c r="AC207" s="231"/>
      <c r="AD207" s="231"/>
      <c r="AE207" s="231"/>
      <c r="AF207" s="231"/>
    </row>
    <row r="208" spans="1:32" s="203" customFormat="1">
      <c r="A208" s="46"/>
      <c r="B208" s="132"/>
      <c r="C208" s="132"/>
      <c r="D208" s="132"/>
      <c r="E208" s="156"/>
      <c r="F208" s="139"/>
      <c r="G208" s="139"/>
      <c r="H208" s="139"/>
      <c r="I208" s="29"/>
      <c r="J208" s="231"/>
      <c r="K208" s="231"/>
      <c r="L208" s="231"/>
      <c r="M208" s="231"/>
      <c r="N208" s="231"/>
      <c r="O208" s="231"/>
      <c r="P208" s="231"/>
      <c r="Q208" s="231"/>
      <c r="R208" s="231"/>
      <c r="S208" s="231"/>
      <c r="T208" s="231"/>
      <c r="U208" s="231"/>
      <c r="V208" s="231"/>
      <c r="W208" s="231"/>
      <c r="X208" s="231"/>
      <c r="Y208" s="231"/>
      <c r="Z208" s="231"/>
      <c r="AA208" s="231"/>
      <c r="AB208" s="231"/>
      <c r="AC208" s="231"/>
      <c r="AD208" s="231"/>
      <c r="AE208" s="231"/>
      <c r="AF208" s="231"/>
    </row>
    <row r="209" spans="1:32" s="203" customFormat="1">
      <c r="A209" s="153" t="s">
        <v>121</v>
      </c>
      <c r="B209" s="168"/>
      <c r="C209" s="168"/>
      <c r="D209" s="168"/>
      <c r="E209" s="140"/>
      <c r="F209" s="146"/>
      <c r="G209" s="118"/>
      <c r="H209" s="146"/>
      <c r="I209" s="29"/>
      <c r="J209" s="231"/>
      <c r="K209" s="231"/>
      <c r="L209" s="231"/>
      <c r="M209" s="231"/>
      <c r="N209" s="231"/>
      <c r="O209" s="231"/>
      <c r="P209" s="231"/>
      <c r="Q209" s="231"/>
      <c r="R209" s="231"/>
      <c r="S209" s="231"/>
      <c r="T209" s="231"/>
      <c r="U209" s="231"/>
      <c r="V209" s="231"/>
      <c r="W209" s="231"/>
      <c r="X209" s="231"/>
      <c r="Y209" s="231"/>
      <c r="Z209" s="231"/>
      <c r="AA209" s="231"/>
      <c r="AB209" s="231"/>
      <c r="AC209" s="231"/>
      <c r="AD209" s="231"/>
      <c r="AE209" s="231"/>
      <c r="AF209" s="231"/>
    </row>
    <row r="210" spans="1:32" s="203" customFormat="1">
      <c r="A210" s="120">
        <v>8</v>
      </c>
      <c r="B210" s="47" t="s">
        <v>171</v>
      </c>
      <c r="C210" s="47"/>
      <c r="D210" s="47"/>
      <c r="E210" s="74">
        <v>-825</v>
      </c>
      <c r="F210" s="52">
        <v>-950</v>
      </c>
      <c r="G210" s="118"/>
      <c r="H210" s="122">
        <v>-341</v>
      </c>
      <c r="I210" s="29"/>
      <c r="J210" s="231"/>
      <c r="K210" s="231"/>
      <c r="L210" s="231"/>
      <c r="M210" s="231"/>
      <c r="N210" s="231"/>
      <c r="O210" s="231"/>
      <c r="P210" s="231"/>
      <c r="Q210" s="231"/>
      <c r="R210" s="231"/>
      <c r="S210" s="231"/>
      <c r="T210" s="231"/>
      <c r="U210" s="231"/>
      <c r="V210" s="231"/>
      <c r="W210" s="231"/>
      <c r="X210" s="231"/>
      <c r="Y210" s="231"/>
      <c r="Z210" s="231"/>
      <c r="AA210" s="231"/>
      <c r="AB210" s="231"/>
      <c r="AC210" s="231"/>
      <c r="AD210" s="231"/>
      <c r="AE210" s="231"/>
      <c r="AF210" s="231"/>
    </row>
    <row r="211" spans="1:32" s="203" customFormat="1">
      <c r="A211" s="120">
        <v>9</v>
      </c>
      <c r="B211" s="47" t="s">
        <v>172</v>
      </c>
      <c r="C211" s="47"/>
      <c r="D211" s="47"/>
      <c r="E211" s="49">
        <v>0</v>
      </c>
      <c r="F211" s="52">
        <v>0</v>
      </c>
      <c r="G211" s="118"/>
      <c r="H211" s="122">
        <v>0</v>
      </c>
      <c r="I211" s="29"/>
      <c r="J211" s="231"/>
      <c r="K211" s="231"/>
      <c r="L211" s="231"/>
      <c r="M211" s="231"/>
      <c r="N211" s="231"/>
      <c r="O211" s="231"/>
      <c r="P211" s="231"/>
      <c r="Q211" s="231"/>
      <c r="R211" s="231"/>
      <c r="S211" s="231"/>
      <c r="T211" s="231"/>
      <c r="U211" s="231"/>
      <c r="V211" s="231"/>
      <c r="W211" s="231"/>
      <c r="X211" s="231"/>
      <c r="Y211" s="231"/>
      <c r="Z211" s="231"/>
      <c r="AA211" s="231"/>
      <c r="AB211" s="231"/>
      <c r="AC211" s="231"/>
      <c r="AD211" s="231"/>
      <c r="AE211" s="231"/>
      <c r="AF211" s="231"/>
    </row>
    <row r="212" spans="1:32" s="203" customFormat="1">
      <c r="A212" s="120">
        <v>10</v>
      </c>
      <c r="B212" s="47" t="s">
        <v>173</v>
      </c>
      <c r="C212" s="47"/>
      <c r="D212" s="47"/>
      <c r="E212" s="49">
        <v>514</v>
      </c>
      <c r="F212" s="52">
        <v>514</v>
      </c>
      <c r="G212" s="118"/>
      <c r="H212" s="122">
        <v>524</v>
      </c>
      <c r="I212" s="29"/>
      <c r="J212" s="231"/>
      <c r="K212" s="231"/>
      <c r="L212" s="231"/>
      <c r="M212" s="231"/>
      <c r="N212" s="231"/>
      <c r="O212" s="231"/>
      <c r="P212" s="231"/>
      <c r="Q212" s="231"/>
      <c r="R212" s="231"/>
      <c r="S212" s="231"/>
      <c r="T212" s="231"/>
      <c r="U212" s="231"/>
      <c r="V212" s="231"/>
      <c r="W212" s="231"/>
      <c r="X212" s="231"/>
      <c r="Y212" s="231"/>
      <c r="Z212" s="231"/>
      <c r="AA212" s="231"/>
      <c r="AB212" s="231"/>
      <c r="AC212" s="231"/>
      <c r="AD212" s="231"/>
      <c r="AE212" s="231"/>
      <c r="AF212" s="231"/>
    </row>
    <row r="213" spans="1:32" s="203" customFormat="1">
      <c r="A213" s="120">
        <v>11</v>
      </c>
      <c r="B213" s="47" t="s">
        <v>174</v>
      </c>
      <c r="C213" s="47"/>
      <c r="D213" s="47"/>
      <c r="E213" s="49">
        <v>2439</v>
      </c>
      <c r="F213" s="52">
        <v>2084</v>
      </c>
      <c r="G213" s="118"/>
      <c r="H213" s="99">
        <v>2422</v>
      </c>
      <c r="I213" s="29"/>
      <c r="J213" s="231"/>
      <c r="K213" s="231"/>
      <c r="L213" s="231"/>
      <c r="M213" s="231"/>
      <c r="N213" s="231"/>
      <c r="O213" s="231"/>
      <c r="P213" s="231"/>
      <c r="Q213" s="231"/>
      <c r="R213" s="231"/>
      <c r="S213" s="231"/>
      <c r="T213" s="231"/>
      <c r="U213" s="231"/>
      <c r="V213" s="231"/>
      <c r="W213" s="231"/>
      <c r="X213" s="231"/>
      <c r="Y213" s="231"/>
      <c r="Z213" s="231"/>
      <c r="AA213" s="231"/>
      <c r="AB213" s="231"/>
      <c r="AC213" s="231"/>
      <c r="AD213" s="231"/>
      <c r="AE213" s="231"/>
      <c r="AF213" s="231"/>
    </row>
    <row r="214" spans="1:32" s="203" customFormat="1">
      <c r="A214" s="120">
        <v>12</v>
      </c>
      <c r="B214" s="116" t="s">
        <v>175</v>
      </c>
      <c r="C214" s="116"/>
      <c r="D214" s="116"/>
      <c r="E214" s="159">
        <v>16031</v>
      </c>
      <c r="F214" s="61">
        <f>F201+F207+SUM(F210:F213)</f>
        <v>16735</v>
      </c>
      <c r="G214" s="118"/>
      <c r="H214" s="61">
        <f>H201+H207+SUM(H210:H213)</f>
        <v>15780</v>
      </c>
      <c r="I214" s="29"/>
      <c r="J214" s="231"/>
      <c r="K214" s="231"/>
      <c r="L214" s="231"/>
      <c r="M214" s="231"/>
      <c r="N214" s="231"/>
      <c r="O214" s="231"/>
      <c r="P214" s="231"/>
      <c r="Q214" s="231"/>
      <c r="R214" s="231"/>
      <c r="S214" s="231"/>
      <c r="T214" s="231"/>
      <c r="U214" s="231"/>
      <c r="V214" s="231"/>
      <c r="W214" s="231"/>
      <c r="X214" s="231"/>
      <c r="Y214" s="231"/>
      <c r="Z214" s="231"/>
      <c r="AA214" s="231"/>
      <c r="AB214" s="231"/>
      <c r="AC214" s="231"/>
      <c r="AD214" s="231"/>
      <c r="AE214" s="231"/>
      <c r="AF214" s="231"/>
    </row>
    <row r="215" spans="1:32" s="203" customFormat="1">
      <c r="A215" s="111"/>
      <c r="B215" s="47"/>
      <c r="C215" s="47"/>
      <c r="D215" s="47"/>
      <c r="E215" s="117"/>
      <c r="F215" s="118"/>
      <c r="G215" s="118"/>
      <c r="H215" s="118"/>
      <c r="I215" s="29"/>
      <c r="J215" s="231"/>
      <c r="K215" s="231"/>
      <c r="L215" s="231"/>
      <c r="M215" s="231"/>
      <c r="N215" s="231"/>
      <c r="O215" s="231"/>
      <c r="P215" s="231"/>
      <c r="Q215" s="231"/>
      <c r="R215" s="231"/>
      <c r="S215" s="231"/>
      <c r="T215" s="231"/>
      <c r="U215" s="231"/>
      <c r="V215" s="231"/>
      <c r="W215" s="231"/>
      <c r="X215" s="231"/>
      <c r="Y215" s="231"/>
      <c r="Z215" s="231"/>
      <c r="AA215" s="231"/>
      <c r="AB215" s="231"/>
      <c r="AC215" s="231"/>
      <c r="AD215" s="231"/>
      <c r="AE215" s="231"/>
      <c r="AF215" s="231"/>
    </row>
    <row r="216" spans="1:32" s="203" customFormat="1">
      <c r="A216" s="119" t="s">
        <v>176</v>
      </c>
      <c r="B216" s="116"/>
      <c r="C216" s="116"/>
      <c r="D216" s="116"/>
      <c r="E216" s="117"/>
      <c r="F216" s="160"/>
      <c r="G216" s="118"/>
      <c r="H216" s="160"/>
      <c r="I216" s="29"/>
      <c r="J216" s="231"/>
      <c r="K216" s="231"/>
      <c r="L216" s="231"/>
      <c r="M216" s="231"/>
      <c r="N216" s="231"/>
      <c r="O216" s="231"/>
      <c r="P216" s="231"/>
      <c r="Q216" s="231"/>
      <c r="R216" s="231"/>
      <c r="S216" s="231"/>
      <c r="T216" s="231"/>
      <c r="U216" s="231"/>
      <c r="V216" s="231"/>
      <c r="W216" s="231"/>
      <c r="X216" s="231"/>
      <c r="Y216" s="231"/>
      <c r="Z216" s="231"/>
      <c r="AA216" s="231"/>
      <c r="AB216" s="231"/>
      <c r="AC216" s="231"/>
      <c r="AD216" s="231"/>
      <c r="AE216" s="231"/>
      <c r="AF216" s="231"/>
    </row>
    <row r="217" spans="1:32" s="203" customFormat="1">
      <c r="A217" s="120">
        <v>13</v>
      </c>
      <c r="B217" s="47" t="s">
        <v>177</v>
      </c>
      <c r="C217" s="47"/>
      <c r="D217" s="47"/>
      <c r="E217" s="41">
        <v>185</v>
      </c>
      <c r="F217" s="121">
        <v>170</v>
      </c>
      <c r="G217" s="118"/>
      <c r="H217" s="169">
        <v>174</v>
      </c>
      <c r="I217" s="29"/>
      <c r="J217" s="231"/>
      <c r="K217" s="231"/>
      <c r="L217" s="231"/>
      <c r="M217" s="231"/>
      <c r="N217" s="231"/>
      <c r="O217" s="231"/>
      <c r="P217" s="231"/>
      <c r="Q217" s="231"/>
      <c r="R217" s="231"/>
      <c r="S217" s="231"/>
      <c r="T217" s="231"/>
      <c r="U217" s="231"/>
      <c r="V217" s="231"/>
      <c r="W217" s="231"/>
      <c r="X217" s="231"/>
      <c r="Y217" s="231"/>
      <c r="Z217" s="231"/>
      <c r="AA217" s="231"/>
      <c r="AB217" s="231"/>
      <c r="AC217" s="231"/>
      <c r="AD217" s="231"/>
      <c r="AE217" s="231"/>
      <c r="AF217" s="231"/>
    </row>
    <row r="218" spans="1:32" s="203" customFormat="1">
      <c r="A218" s="124">
        <v>14</v>
      </c>
      <c r="B218" s="54" t="s">
        <v>178</v>
      </c>
      <c r="C218" s="54"/>
      <c r="D218" s="54"/>
      <c r="E218" s="56">
        <v>2276</v>
      </c>
      <c r="F218" s="126">
        <v>2157</v>
      </c>
      <c r="G218" s="118"/>
      <c r="H218" s="100">
        <v>2165</v>
      </c>
      <c r="I218" s="29"/>
      <c r="J218" s="231"/>
      <c r="K218" s="231"/>
      <c r="L218" s="231"/>
      <c r="M218" s="231"/>
      <c r="N218" s="231"/>
      <c r="O218" s="231"/>
      <c r="P218" s="231"/>
      <c r="Q218" s="231"/>
      <c r="R218" s="231"/>
      <c r="S218" s="231"/>
      <c r="T218" s="231"/>
      <c r="U218" s="231"/>
      <c r="V218" s="231"/>
      <c r="W218" s="231"/>
      <c r="X218" s="231"/>
      <c r="Y218" s="231"/>
      <c r="Z218" s="231"/>
      <c r="AA218" s="231"/>
      <c r="AB218" s="231"/>
      <c r="AC218" s="231"/>
      <c r="AD218" s="231"/>
      <c r="AE218" s="231"/>
      <c r="AF218" s="231"/>
    </row>
    <row r="219" spans="1:32" s="203" customFormat="1">
      <c r="A219" s="148"/>
      <c r="B219" s="29"/>
      <c r="C219" s="29"/>
      <c r="D219" s="170"/>
      <c r="E219" s="171"/>
      <c r="F219" s="29"/>
      <c r="G219" s="29"/>
      <c r="H219" s="207"/>
      <c r="I219" s="29"/>
      <c r="J219" s="231"/>
      <c r="K219" s="231"/>
      <c r="L219" s="231"/>
      <c r="M219" s="231"/>
      <c r="N219" s="231"/>
      <c r="O219" s="231"/>
      <c r="P219" s="231"/>
      <c r="Q219" s="231"/>
      <c r="R219" s="231"/>
      <c r="S219" s="231"/>
      <c r="T219" s="231"/>
      <c r="U219" s="231"/>
      <c r="V219" s="231"/>
      <c r="W219" s="231"/>
      <c r="X219" s="231"/>
      <c r="Y219" s="231"/>
      <c r="Z219" s="231"/>
      <c r="AA219" s="231"/>
      <c r="AB219" s="231"/>
      <c r="AC219" s="231"/>
      <c r="AD219" s="231"/>
      <c r="AE219" s="231"/>
      <c r="AF219" s="231"/>
    </row>
    <row r="220" spans="1:32" s="203" customFormat="1">
      <c r="A220" s="148"/>
      <c r="B220" s="29"/>
      <c r="C220" s="29"/>
      <c r="D220" s="172"/>
      <c r="E220" s="152"/>
      <c r="F220" s="29"/>
      <c r="G220" s="29"/>
      <c r="H220" s="131" t="s">
        <v>27</v>
      </c>
      <c r="I220" s="29"/>
      <c r="J220" s="231"/>
      <c r="K220" s="231"/>
      <c r="L220" s="231"/>
      <c r="M220" s="231"/>
      <c r="N220" s="231"/>
      <c r="O220" s="231"/>
      <c r="P220" s="231"/>
      <c r="Q220" s="231"/>
      <c r="R220" s="231"/>
      <c r="S220" s="231"/>
      <c r="T220" s="231"/>
      <c r="U220" s="231"/>
      <c r="V220" s="231"/>
      <c r="W220" s="231"/>
      <c r="X220" s="231"/>
      <c r="Y220" s="231"/>
      <c r="Z220" s="231"/>
      <c r="AA220" s="231"/>
      <c r="AB220" s="231"/>
      <c r="AC220" s="231"/>
      <c r="AD220" s="231"/>
      <c r="AE220" s="231"/>
      <c r="AF220" s="231"/>
    </row>
    <row r="221" spans="1:32" s="203" customFormat="1" ht="12.75" customHeight="1">
      <c r="A221" s="106" t="s">
        <v>10</v>
      </c>
      <c r="B221" s="164"/>
      <c r="C221" s="164"/>
      <c r="D221" s="164"/>
      <c r="E221" s="856" t="s">
        <v>377</v>
      </c>
      <c r="F221" s="856" t="s">
        <v>402</v>
      </c>
      <c r="G221" s="130"/>
      <c r="H221" s="856" t="s">
        <v>403</v>
      </c>
      <c r="I221" s="130"/>
      <c r="J221" s="231"/>
      <c r="K221" s="231"/>
      <c r="L221" s="231"/>
      <c r="M221" s="231"/>
      <c r="N221" s="231"/>
      <c r="O221" s="231"/>
      <c r="P221" s="231"/>
      <c r="Q221" s="231"/>
      <c r="R221" s="231"/>
      <c r="S221" s="231"/>
      <c r="T221" s="231"/>
      <c r="U221" s="231"/>
      <c r="V221" s="231"/>
      <c r="W221" s="231"/>
      <c r="X221" s="231"/>
      <c r="Y221" s="231"/>
      <c r="Z221" s="231"/>
      <c r="AA221" s="231"/>
      <c r="AB221" s="231"/>
      <c r="AC221" s="231"/>
      <c r="AD221" s="231"/>
      <c r="AE221" s="231"/>
      <c r="AF221" s="231"/>
    </row>
    <row r="222" spans="1:32" s="203" customFormat="1">
      <c r="A222" s="109"/>
      <c r="B222" s="132"/>
      <c r="C222" s="132"/>
      <c r="D222" s="132"/>
      <c r="E222" s="859"/>
      <c r="F222" s="859"/>
      <c r="G222" s="130"/>
      <c r="H222" s="859"/>
      <c r="I222" s="130"/>
      <c r="J222" s="231"/>
      <c r="K222" s="231"/>
      <c r="L222" s="231"/>
      <c r="M222" s="231"/>
      <c r="N222" s="231"/>
      <c r="O222" s="231"/>
      <c r="P222" s="231"/>
      <c r="Q222" s="231"/>
      <c r="R222" s="231"/>
      <c r="S222" s="231"/>
      <c r="T222" s="231"/>
      <c r="U222" s="231"/>
      <c r="V222" s="231"/>
      <c r="W222" s="231"/>
      <c r="X222" s="231"/>
      <c r="Y222" s="231"/>
      <c r="Z222" s="231"/>
      <c r="AA222" s="231"/>
      <c r="AB222" s="231"/>
      <c r="AC222" s="231"/>
      <c r="AD222" s="231"/>
      <c r="AE222" s="231"/>
      <c r="AF222" s="231"/>
    </row>
    <row r="223" spans="1:32" s="203" customFormat="1">
      <c r="A223" s="154" t="s">
        <v>179</v>
      </c>
      <c r="B223" s="116"/>
      <c r="C223" s="116"/>
      <c r="D223" s="116"/>
      <c r="E223" s="859"/>
      <c r="F223" s="859"/>
      <c r="G223" s="130"/>
      <c r="H223" s="859"/>
      <c r="I223" s="130"/>
      <c r="J223" s="231"/>
      <c r="K223" s="231"/>
      <c r="L223" s="231"/>
      <c r="M223" s="231"/>
      <c r="N223" s="231"/>
      <c r="O223" s="231"/>
      <c r="P223" s="231"/>
      <c r="Q223" s="231"/>
      <c r="R223" s="231"/>
      <c r="S223" s="231"/>
      <c r="T223" s="231"/>
      <c r="U223" s="231"/>
      <c r="V223" s="231"/>
      <c r="W223" s="231"/>
      <c r="X223" s="231"/>
      <c r="Y223" s="231"/>
      <c r="Z223" s="231"/>
      <c r="AA223" s="231"/>
      <c r="AB223" s="231"/>
      <c r="AC223" s="231"/>
      <c r="AD223" s="231"/>
      <c r="AE223" s="231"/>
      <c r="AF223" s="231"/>
    </row>
    <row r="224" spans="1:32" s="203" customFormat="1">
      <c r="A224" s="109" t="s">
        <v>83</v>
      </c>
      <c r="B224" s="47"/>
      <c r="C224" s="47"/>
      <c r="D224" s="47"/>
      <c r="E224" s="859"/>
      <c r="F224" s="859"/>
      <c r="G224" s="130"/>
      <c r="H224" s="859"/>
      <c r="I224" s="130"/>
      <c r="J224" s="231"/>
      <c r="K224" s="231"/>
      <c r="L224" s="231"/>
      <c r="M224" s="231"/>
      <c r="N224" s="231"/>
      <c r="O224" s="231"/>
      <c r="P224" s="231"/>
      <c r="Q224" s="231"/>
      <c r="R224" s="231"/>
      <c r="S224" s="231"/>
      <c r="T224" s="231"/>
      <c r="U224" s="231"/>
      <c r="V224" s="231"/>
      <c r="W224" s="231"/>
      <c r="X224" s="231"/>
      <c r="Y224" s="231"/>
      <c r="Z224" s="231"/>
      <c r="AA224" s="231"/>
      <c r="AB224" s="231"/>
      <c r="AC224" s="231"/>
      <c r="AD224" s="231"/>
      <c r="AE224" s="231"/>
      <c r="AF224" s="231"/>
    </row>
    <row r="225" spans="1:32" s="203" customFormat="1">
      <c r="A225" s="110" t="s">
        <v>84</v>
      </c>
      <c r="B225" s="132"/>
      <c r="C225" s="132"/>
      <c r="D225" s="132"/>
      <c r="E225" s="860"/>
      <c r="F225" s="860"/>
      <c r="G225" s="130"/>
      <c r="H225" s="860"/>
      <c r="I225" s="130"/>
      <c r="J225" s="231"/>
      <c r="K225" s="231"/>
      <c r="L225" s="231"/>
      <c r="M225" s="231"/>
      <c r="N225" s="231"/>
      <c r="O225" s="231"/>
      <c r="P225" s="231"/>
      <c r="Q225" s="231"/>
      <c r="R225" s="231"/>
      <c r="S225" s="231"/>
      <c r="T225" s="231"/>
      <c r="U225" s="231"/>
      <c r="V225" s="231"/>
      <c r="W225" s="231"/>
      <c r="X225" s="231"/>
      <c r="Y225" s="231"/>
      <c r="Z225" s="231"/>
      <c r="AA225" s="231"/>
      <c r="AB225" s="231"/>
      <c r="AC225" s="231"/>
      <c r="AD225" s="231"/>
      <c r="AE225" s="231"/>
      <c r="AF225" s="231"/>
    </row>
    <row r="226" spans="1:32" s="203" customFormat="1">
      <c r="A226" s="120">
        <v>1</v>
      </c>
      <c r="B226" s="47" t="s">
        <v>180</v>
      </c>
      <c r="C226" s="47"/>
      <c r="D226" s="47"/>
      <c r="E226" s="41">
        <v>520</v>
      </c>
      <c r="F226" s="52">
        <v>268</v>
      </c>
      <c r="G226" s="118"/>
      <c r="H226" s="133">
        <v>510</v>
      </c>
      <c r="I226" s="29"/>
      <c r="J226" s="231"/>
      <c r="K226" s="231"/>
      <c r="L226" s="231"/>
      <c r="M226" s="231"/>
      <c r="N226" s="231"/>
      <c r="O226" s="231"/>
      <c r="P226" s="231"/>
      <c r="Q226" s="231"/>
      <c r="R226" s="231"/>
      <c r="S226" s="231"/>
      <c r="T226" s="231"/>
      <c r="U226" s="231"/>
      <c r="V226" s="231"/>
      <c r="W226" s="231"/>
      <c r="X226" s="231"/>
      <c r="Y226" s="231"/>
      <c r="Z226" s="231"/>
      <c r="AA226" s="231"/>
      <c r="AB226" s="231"/>
      <c r="AC226" s="231"/>
      <c r="AD226" s="231"/>
      <c r="AE226" s="231"/>
      <c r="AF226" s="231"/>
    </row>
    <row r="227" spans="1:32" s="203" customFormat="1">
      <c r="A227" s="120">
        <v>2</v>
      </c>
      <c r="B227" s="47" t="s">
        <v>181</v>
      </c>
      <c r="C227" s="47"/>
      <c r="D227" s="47"/>
      <c r="E227" s="49">
        <v>903</v>
      </c>
      <c r="F227" s="52">
        <v>704</v>
      </c>
      <c r="G227" s="118"/>
      <c r="H227" s="122">
        <v>820</v>
      </c>
      <c r="I227" s="29"/>
      <c r="J227" s="231"/>
      <c r="K227" s="231"/>
      <c r="L227" s="231"/>
      <c r="M227" s="231"/>
      <c r="N227" s="231"/>
      <c r="O227" s="231"/>
      <c r="P227" s="231"/>
      <c r="Q227" s="231"/>
      <c r="R227" s="231"/>
      <c r="S227" s="231"/>
      <c r="T227" s="231"/>
      <c r="U227" s="231"/>
      <c r="V227" s="231"/>
      <c r="W227" s="231"/>
      <c r="X227" s="231"/>
      <c r="Y227" s="231"/>
      <c r="Z227" s="231"/>
      <c r="AA227" s="231"/>
      <c r="AB227" s="231"/>
      <c r="AC227" s="231"/>
      <c r="AD227" s="231"/>
      <c r="AE227" s="231"/>
      <c r="AF227" s="231"/>
    </row>
    <row r="228" spans="1:32" s="203" customFormat="1">
      <c r="A228" s="120">
        <v>3</v>
      </c>
      <c r="B228" s="47" t="s">
        <v>182</v>
      </c>
      <c r="C228" s="47"/>
      <c r="D228" s="47"/>
      <c r="E228" s="114">
        <v>525</v>
      </c>
      <c r="F228" s="52">
        <v>472</v>
      </c>
      <c r="G228" s="118"/>
      <c r="H228" s="122">
        <v>419</v>
      </c>
      <c r="I228" s="29"/>
      <c r="J228" s="231"/>
      <c r="K228" s="231"/>
      <c r="L228" s="231"/>
      <c r="M228" s="231"/>
      <c r="N228" s="231"/>
      <c r="O228" s="231"/>
      <c r="P228" s="231"/>
      <c r="Q228" s="231"/>
      <c r="R228" s="231"/>
      <c r="S228" s="231"/>
      <c r="T228" s="231"/>
      <c r="U228" s="231"/>
      <c r="V228" s="231"/>
      <c r="W228" s="231"/>
      <c r="X228" s="231"/>
      <c r="Y228" s="231"/>
      <c r="Z228" s="231"/>
      <c r="AA228" s="231"/>
      <c r="AB228" s="231"/>
      <c r="AC228" s="231"/>
      <c r="AD228" s="231"/>
      <c r="AE228" s="231"/>
      <c r="AF228" s="231"/>
    </row>
    <row r="229" spans="1:32" s="203" customFormat="1">
      <c r="A229" s="120">
        <v>4</v>
      </c>
      <c r="B229" s="47" t="s">
        <v>183</v>
      </c>
      <c r="C229" s="47"/>
      <c r="D229" s="47"/>
      <c r="E229" s="114">
        <v>315</v>
      </c>
      <c r="F229" s="52">
        <v>92</v>
      </c>
      <c r="G229" s="118"/>
      <c r="H229" s="122">
        <v>81</v>
      </c>
      <c r="I229" s="29"/>
      <c r="J229" s="231"/>
      <c r="K229" s="231"/>
      <c r="L229" s="231"/>
      <c r="M229" s="231"/>
      <c r="N229" s="231"/>
      <c r="O229" s="231"/>
      <c r="P229" s="231"/>
      <c r="Q229" s="231"/>
      <c r="R229" s="231"/>
      <c r="S229" s="231"/>
      <c r="T229" s="231"/>
      <c r="U229" s="231"/>
      <c r="V229" s="231"/>
      <c r="W229" s="231"/>
      <c r="X229" s="231"/>
      <c r="Y229" s="231"/>
      <c r="Z229" s="231"/>
      <c r="AA229" s="231"/>
      <c r="AB229" s="231"/>
      <c r="AC229" s="231"/>
      <c r="AD229" s="231"/>
      <c r="AE229" s="231"/>
      <c r="AF229" s="231"/>
    </row>
    <row r="230" spans="1:32" s="203" customFormat="1">
      <c r="A230" s="120">
        <v>5</v>
      </c>
      <c r="B230" s="47" t="s">
        <v>184</v>
      </c>
      <c r="C230" s="47"/>
      <c r="D230" s="47"/>
      <c r="E230" s="114">
        <v>1888</v>
      </c>
      <c r="F230" s="52">
        <v>1722</v>
      </c>
      <c r="G230" s="118"/>
      <c r="H230" s="99">
        <f>1710+3</f>
        <v>1713</v>
      </c>
      <c r="I230" s="29"/>
      <c r="J230" s="231"/>
      <c r="K230" s="231"/>
      <c r="L230" s="231"/>
      <c r="M230" s="231"/>
      <c r="N230" s="231"/>
      <c r="O230" s="231"/>
      <c r="P230" s="231"/>
      <c r="Q230" s="231"/>
      <c r="R230" s="231"/>
      <c r="S230" s="231"/>
      <c r="T230" s="231"/>
      <c r="U230" s="231"/>
      <c r="V230" s="231"/>
      <c r="W230" s="231"/>
      <c r="X230" s="231"/>
      <c r="Y230" s="231"/>
      <c r="Z230" s="231"/>
      <c r="AA230" s="231"/>
      <c r="AB230" s="231"/>
      <c r="AC230" s="231"/>
      <c r="AD230" s="231"/>
      <c r="AE230" s="231"/>
      <c r="AF230" s="231"/>
    </row>
    <row r="231" spans="1:32" s="203" customFormat="1">
      <c r="A231" s="124">
        <v>6</v>
      </c>
      <c r="B231" s="173" t="s">
        <v>185</v>
      </c>
      <c r="C231" s="173"/>
      <c r="D231" s="173"/>
      <c r="E231" s="159">
        <v>4151</v>
      </c>
      <c r="F231" s="61">
        <f>SUM(F226:F230)</f>
        <v>3258</v>
      </c>
      <c r="G231" s="118"/>
      <c r="H231" s="61">
        <f>SUM(H226:H230)</f>
        <v>3543</v>
      </c>
      <c r="I231" s="29"/>
      <c r="J231" s="231"/>
      <c r="K231" s="231"/>
      <c r="L231" s="231"/>
      <c r="M231" s="231"/>
      <c r="N231" s="231"/>
      <c r="O231" s="231"/>
      <c r="P231" s="231"/>
      <c r="Q231" s="231"/>
      <c r="R231" s="231"/>
      <c r="S231" s="231"/>
      <c r="T231" s="231"/>
      <c r="U231" s="231"/>
      <c r="V231" s="231"/>
      <c r="W231" s="231"/>
      <c r="X231" s="231"/>
      <c r="Y231" s="231"/>
      <c r="Z231" s="231"/>
      <c r="AA231" s="231"/>
      <c r="AB231" s="231"/>
      <c r="AC231" s="231"/>
      <c r="AD231" s="231"/>
      <c r="AE231" s="231"/>
      <c r="AF231" s="231"/>
    </row>
    <row r="232" spans="1:32" s="203" customFormat="1">
      <c r="A232" s="148"/>
      <c r="B232" s="29"/>
      <c r="C232" s="29"/>
      <c r="D232" s="170"/>
      <c r="E232" s="150"/>
      <c r="F232" s="29"/>
      <c r="G232" s="29"/>
      <c r="H232" s="207"/>
      <c r="I232" s="29"/>
      <c r="J232" s="231"/>
      <c r="K232" s="231"/>
      <c r="L232" s="231"/>
      <c r="M232" s="231"/>
      <c r="N232" s="231"/>
      <c r="O232" s="231"/>
      <c r="P232" s="231"/>
      <c r="Q232" s="231"/>
      <c r="R232" s="231"/>
      <c r="S232" s="231"/>
      <c r="T232" s="231"/>
      <c r="U232" s="231"/>
      <c r="V232" s="231"/>
      <c r="W232" s="231"/>
      <c r="X232" s="231"/>
      <c r="Y232" s="231"/>
      <c r="Z232" s="231"/>
      <c r="AA232" s="231"/>
      <c r="AB232" s="231"/>
      <c r="AC232" s="231"/>
      <c r="AD232" s="231"/>
      <c r="AE232" s="231"/>
      <c r="AF232" s="231"/>
    </row>
    <row r="233" spans="1:32" s="203" customFormat="1">
      <c r="A233" s="148"/>
      <c r="B233" s="29"/>
      <c r="C233" s="29"/>
      <c r="D233" s="172"/>
      <c r="E233" s="152"/>
      <c r="F233" s="29"/>
      <c r="G233" s="29"/>
      <c r="H233" s="131" t="s">
        <v>27</v>
      </c>
      <c r="I233" s="29"/>
      <c r="J233" s="231"/>
      <c r="K233" s="231"/>
      <c r="L233" s="231"/>
      <c r="M233" s="231"/>
      <c r="N233" s="231"/>
      <c r="O233" s="231"/>
      <c r="P233" s="231"/>
      <c r="Q233" s="231"/>
      <c r="R233" s="231"/>
      <c r="S233" s="231"/>
      <c r="T233" s="231"/>
      <c r="U233" s="231"/>
      <c r="V233" s="231"/>
      <c r="W233" s="231"/>
      <c r="X233" s="231"/>
      <c r="Y233" s="231"/>
      <c r="Z233" s="231"/>
      <c r="AA233" s="231"/>
      <c r="AB233" s="231"/>
      <c r="AC233" s="231"/>
      <c r="AD233" s="231"/>
      <c r="AE233" s="231"/>
      <c r="AF233" s="231"/>
    </row>
    <row r="234" spans="1:32" s="203" customFormat="1" ht="12.75" customHeight="1">
      <c r="A234" s="106" t="s">
        <v>12</v>
      </c>
      <c r="B234" s="164"/>
      <c r="C234" s="164"/>
      <c r="D234" s="164"/>
      <c r="E234" s="856" t="s">
        <v>377</v>
      </c>
      <c r="F234" s="856" t="s">
        <v>402</v>
      </c>
      <c r="G234" s="130"/>
      <c r="H234" s="856" t="s">
        <v>403</v>
      </c>
      <c r="I234" s="130"/>
      <c r="J234" s="231"/>
      <c r="K234" s="231"/>
      <c r="L234" s="231"/>
      <c r="M234" s="231"/>
      <c r="N234" s="231"/>
      <c r="O234" s="231"/>
      <c r="P234" s="231"/>
      <c r="Q234" s="231"/>
      <c r="R234" s="231"/>
      <c r="S234" s="231"/>
      <c r="T234" s="231"/>
      <c r="U234" s="231"/>
      <c r="V234" s="231"/>
      <c r="W234" s="231"/>
      <c r="X234" s="231"/>
      <c r="Y234" s="231"/>
      <c r="Z234" s="231"/>
      <c r="AA234" s="231"/>
      <c r="AB234" s="231"/>
      <c r="AC234" s="231"/>
      <c r="AD234" s="231"/>
      <c r="AE234" s="231"/>
      <c r="AF234" s="231"/>
    </row>
    <row r="235" spans="1:32" s="203" customFormat="1">
      <c r="A235" s="165"/>
      <c r="B235" s="47"/>
      <c r="C235" s="47"/>
      <c r="D235" s="47"/>
      <c r="E235" s="859"/>
      <c r="F235" s="859"/>
      <c r="G235" s="130"/>
      <c r="H235" s="859"/>
      <c r="I235" s="130"/>
      <c r="J235" s="231"/>
      <c r="K235" s="231"/>
      <c r="L235" s="231"/>
      <c r="M235" s="231"/>
      <c r="N235" s="231"/>
      <c r="O235" s="231"/>
      <c r="P235" s="231"/>
      <c r="Q235" s="231"/>
      <c r="R235" s="231"/>
      <c r="S235" s="231"/>
      <c r="T235" s="231"/>
      <c r="U235" s="231"/>
      <c r="V235" s="231"/>
      <c r="W235" s="231"/>
      <c r="X235" s="231"/>
      <c r="Y235" s="231"/>
      <c r="Z235" s="231"/>
      <c r="AA235" s="231"/>
      <c r="AB235" s="231"/>
      <c r="AC235" s="231"/>
      <c r="AD235" s="231"/>
      <c r="AE235" s="231"/>
      <c r="AF235" s="231"/>
    </row>
    <row r="236" spans="1:32" s="203" customFormat="1">
      <c r="A236" s="154" t="s">
        <v>186</v>
      </c>
      <c r="B236" s="174"/>
      <c r="C236" s="174"/>
      <c r="D236" s="174"/>
      <c r="E236" s="859"/>
      <c r="F236" s="859"/>
      <c r="G236" s="130"/>
      <c r="H236" s="859"/>
      <c r="I236" s="130"/>
      <c r="J236" s="231"/>
      <c r="K236" s="231"/>
      <c r="L236" s="231"/>
      <c r="M236" s="231"/>
      <c r="N236" s="231"/>
      <c r="O236" s="231"/>
      <c r="P236" s="231"/>
      <c r="Q236" s="231"/>
      <c r="R236" s="231"/>
      <c r="S236" s="231"/>
      <c r="T236" s="231"/>
      <c r="U236" s="231"/>
      <c r="V236" s="231"/>
      <c r="W236" s="231"/>
      <c r="X236" s="231"/>
      <c r="Y236" s="231"/>
      <c r="Z236" s="231"/>
      <c r="AA236" s="231"/>
      <c r="AB236" s="231"/>
      <c r="AC236" s="231"/>
      <c r="AD236" s="231"/>
      <c r="AE236" s="231"/>
      <c r="AF236" s="231"/>
    </row>
    <row r="237" spans="1:32" s="203" customFormat="1">
      <c r="A237" s="109" t="s">
        <v>83</v>
      </c>
      <c r="B237" s="47"/>
      <c r="C237" s="47"/>
      <c r="D237" s="47"/>
      <c r="E237" s="859"/>
      <c r="F237" s="859"/>
      <c r="G237" s="130"/>
      <c r="H237" s="859"/>
      <c r="I237" s="130"/>
      <c r="J237" s="231"/>
      <c r="K237" s="231"/>
      <c r="L237" s="231"/>
      <c r="M237" s="231"/>
      <c r="N237" s="231"/>
      <c r="O237" s="231"/>
      <c r="P237" s="231"/>
      <c r="Q237" s="231"/>
      <c r="R237" s="231"/>
      <c r="S237" s="231"/>
      <c r="T237" s="231"/>
      <c r="U237" s="231"/>
      <c r="V237" s="231"/>
      <c r="W237" s="231"/>
      <c r="X237" s="231"/>
      <c r="Y237" s="231"/>
      <c r="Z237" s="231"/>
      <c r="AA237" s="231"/>
      <c r="AB237" s="231"/>
      <c r="AC237" s="231"/>
      <c r="AD237" s="231"/>
      <c r="AE237" s="231"/>
      <c r="AF237" s="231"/>
    </row>
    <row r="238" spans="1:32" s="203" customFormat="1">
      <c r="A238" s="110" t="s">
        <v>84</v>
      </c>
      <c r="B238" s="174"/>
      <c r="C238" s="174"/>
      <c r="D238" s="174"/>
      <c r="E238" s="860"/>
      <c r="F238" s="860"/>
      <c r="G238" s="130"/>
      <c r="H238" s="860"/>
      <c r="I238" s="130"/>
      <c r="J238" s="231"/>
      <c r="K238" s="231"/>
      <c r="L238" s="231"/>
      <c r="M238" s="231"/>
      <c r="N238" s="231"/>
      <c r="O238" s="231"/>
      <c r="P238" s="231"/>
      <c r="Q238" s="231"/>
      <c r="R238" s="231"/>
      <c r="S238" s="231"/>
      <c r="T238" s="231"/>
      <c r="U238" s="231"/>
      <c r="V238" s="231"/>
      <c r="W238" s="231"/>
      <c r="X238" s="231"/>
      <c r="Y238" s="231"/>
      <c r="Z238" s="231"/>
      <c r="AA238" s="231"/>
      <c r="AB238" s="231"/>
      <c r="AC238" s="231"/>
      <c r="AD238" s="231"/>
      <c r="AE238" s="231"/>
      <c r="AF238" s="231"/>
    </row>
    <row r="239" spans="1:32" s="203" customFormat="1">
      <c r="A239" s="153" t="s">
        <v>187</v>
      </c>
      <c r="B239" s="116"/>
      <c r="C239" s="116"/>
      <c r="D239" s="116"/>
      <c r="E239" s="167"/>
      <c r="F239" s="146"/>
      <c r="G239" s="118"/>
      <c r="H239" s="146"/>
      <c r="I239" s="29"/>
      <c r="J239" s="231"/>
      <c r="K239" s="231"/>
      <c r="L239" s="231"/>
      <c r="M239" s="231"/>
      <c r="N239" s="231"/>
      <c r="O239" s="231"/>
      <c r="P239" s="231"/>
      <c r="Q239" s="231"/>
      <c r="R239" s="231"/>
      <c r="S239" s="231"/>
      <c r="T239" s="231"/>
      <c r="U239" s="231"/>
      <c r="V239" s="231"/>
      <c r="W239" s="231"/>
      <c r="X239" s="231"/>
      <c r="Y239" s="231"/>
      <c r="Z239" s="231"/>
      <c r="AA239" s="231"/>
      <c r="AB239" s="231"/>
      <c r="AC239" s="231"/>
      <c r="AD239" s="231"/>
      <c r="AE239" s="231"/>
      <c r="AF239" s="231"/>
    </row>
    <row r="240" spans="1:32" s="203" customFormat="1">
      <c r="A240" s="120">
        <v>1</v>
      </c>
      <c r="B240" s="47" t="s">
        <v>188</v>
      </c>
      <c r="C240" s="47"/>
      <c r="D240" s="47"/>
      <c r="E240" s="74">
        <v>540</v>
      </c>
      <c r="F240" s="52">
        <v>624</v>
      </c>
      <c r="G240" s="118"/>
      <c r="H240" s="122">
        <v>584</v>
      </c>
      <c r="I240" s="29"/>
      <c r="J240" s="231"/>
      <c r="K240" s="231"/>
      <c r="L240" s="231"/>
      <c r="M240" s="231"/>
      <c r="N240" s="231"/>
      <c r="O240" s="231"/>
      <c r="P240" s="231"/>
      <c r="Q240" s="231"/>
      <c r="R240" s="231"/>
      <c r="S240" s="231"/>
      <c r="T240" s="231"/>
      <c r="U240" s="231"/>
      <c r="V240" s="231"/>
      <c r="W240" s="231"/>
      <c r="X240" s="231"/>
      <c r="Y240" s="231"/>
      <c r="Z240" s="231"/>
      <c r="AA240" s="231"/>
      <c r="AB240" s="231"/>
      <c r="AC240" s="231"/>
      <c r="AD240" s="231"/>
      <c r="AE240" s="231"/>
      <c r="AF240" s="231"/>
    </row>
    <row r="241" spans="1:32" s="203" customFormat="1">
      <c r="A241" s="739">
        <v>2</v>
      </c>
      <c r="B241" s="47" t="s">
        <v>189</v>
      </c>
      <c r="C241" s="47"/>
      <c r="D241" s="47"/>
      <c r="E241" s="114">
        <v>1443</v>
      </c>
      <c r="F241" s="52">
        <v>1485</v>
      </c>
      <c r="G241" s="118"/>
      <c r="H241" s="100">
        <v>1434</v>
      </c>
      <c r="I241" s="29"/>
      <c r="J241" s="231"/>
      <c r="K241" s="231"/>
      <c r="L241" s="231"/>
      <c r="M241" s="231"/>
      <c r="N241" s="231"/>
      <c r="O241" s="231"/>
      <c r="P241" s="231"/>
      <c r="Q241" s="231"/>
      <c r="R241" s="231"/>
      <c r="S241" s="231"/>
      <c r="T241" s="231"/>
      <c r="U241" s="231"/>
      <c r="V241" s="231"/>
      <c r="W241" s="231"/>
      <c r="X241" s="231"/>
      <c r="Y241" s="231"/>
      <c r="Z241" s="231"/>
      <c r="AA241" s="231"/>
      <c r="AB241" s="231"/>
      <c r="AC241" s="231"/>
      <c r="AD241" s="231"/>
      <c r="AE241" s="231"/>
      <c r="AF241" s="231"/>
    </row>
    <row r="242" spans="1:32" s="203" customFormat="1">
      <c r="A242" s="739">
        <v>3</v>
      </c>
      <c r="B242" s="168" t="s">
        <v>190</v>
      </c>
      <c r="C242" s="168"/>
      <c r="D242" s="168"/>
      <c r="E242" s="80">
        <v>1983</v>
      </c>
      <c r="F242" s="142">
        <f>SUM(F240:F241)</f>
        <v>2109</v>
      </c>
      <c r="G242" s="118"/>
      <c r="H242" s="142">
        <f>SUM(H240:H241)</f>
        <v>2018</v>
      </c>
      <c r="I242" s="29"/>
      <c r="J242" s="231"/>
      <c r="K242" s="231"/>
      <c r="L242" s="231"/>
      <c r="M242" s="231"/>
      <c r="N242" s="231"/>
      <c r="O242" s="231"/>
      <c r="P242" s="231"/>
      <c r="Q242" s="231"/>
      <c r="R242" s="231"/>
      <c r="S242" s="231"/>
      <c r="T242" s="231"/>
      <c r="U242" s="231"/>
      <c r="V242" s="231"/>
      <c r="W242" s="231"/>
      <c r="X242" s="231"/>
      <c r="Y242" s="231"/>
      <c r="Z242" s="231"/>
      <c r="AA242" s="231"/>
      <c r="AB242" s="231"/>
      <c r="AC242" s="231"/>
      <c r="AD242" s="231"/>
      <c r="AE242" s="231"/>
      <c r="AF242" s="231"/>
    </row>
    <row r="243" spans="1:32" s="203" customFormat="1">
      <c r="A243" s="739"/>
      <c r="B243" s="116"/>
      <c r="C243" s="116"/>
      <c r="D243" s="116"/>
      <c r="E243" s="117"/>
      <c r="F243" s="118"/>
      <c r="G243" s="118"/>
      <c r="H243" s="118"/>
      <c r="I243" s="29"/>
      <c r="J243" s="231"/>
      <c r="K243" s="231"/>
      <c r="L243" s="231"/>
      <c r="M243" s="231"/>
      <c r="N243" s="231"/>
      <c r="O243" s="231"/>
      <c r="P243" s="231"/>
      <c r="Q243" s="231"/>
      <c r="R243" s="231"/>
      <c r="S243" s="231"/>
      <c r="T243" s="231"/>
      <c r="U243" s="231"/>
      <c r="V243" s="231"/>
      <c r="W243" s="231"/>
      <c r="X243" s="231"/>
      <c r="Y243" s="231"/>
      <c r="Z243" s="231"/>
      <c r="AA243" s="231"/>
      <c r="AB243" s="231"/>
      <c r="AC243" s="231"/>
      <c r="AD243" s="231"/>
      <c r="AE243" s="231"/>
      <c r="AF243" s="231"/>
    </row>
    <row r="244" spans="1:32" s="203" customFormat="1">
      <c r="A244" s="108" t="s">
        <v>191</v>
      </c>
      <c r="B244" s="47"/>
      <c r="C244" s="47"/>
      <c r="D244" s="47"/>
      <c r="E244" s="140"/>
      <c r="F244" s="146"/>
      <c r="G244" s="118"/>
      <c r="H244" s="146"/>
      <c r="I244" s="29"/>
      <c r="J244" s="231"/>
      <c r="K244" s="231"/>
      <c r="L244" s="231"/>
      <c r="M244" s="231"/>
      <c r="N244" s="231"/>
      <c r="O244" s="231"/>
      <c r="P244" s="231"/>
      <c r="Q244" s="231"/>
      <c r="R244" s="231"/>
      <c r="S244" s="231"/>
      <c r="T244" s="231"/>
      <c r="U244" s="231"/>
      <c r="V244" s="231"/>
      <c r="W244" s="231"/>
      <c r="X244" s="231"/>
      <c r="Y244" s="231"/>
      <c r="Z244" s="231"/>
      <c r="AA244" s="231"/>
      <c r="AB244" s="231"/>
      <c r="AC244" s="231"/>
      <c r="AD244" s="231"/>
      <c r="AE244" s="231"/>
      <c r="AF244" s="231"/>
    </row>
    <row r="245" spans="1:32" s="203" customFormat="1">
      <c r="A245" s="739">
        <v>4</v>
      </c>
      <c r="B245" s="47" t="s">
        <v>192</v>
      </c>
      <c r="C245" s="47"/>
      <c r="D245" s="47"/>
      <c r="E245" s="74">
        <v>0</v>
      </c>
      <c r="F245" s="52">
        <v>0</v>
      </c>
      <c r="G245" s="118"/>
      <c r="H245" s="122">
        <v>0</v>
      </c>
      <c r="I245" s="29"/>
      <c r="J245" s="231"/>
      <c r="K245" s="231"/>
      <c r="L245" s="231"/>
      <c r="M245" s="231"/>
      <c r="N245" s="231"/>
      <c r="O245" s="231"/>
      <c r="P245" s="231"/>
      <c r="Q245" s="231"/>
      <c r="R245" s="231"/>
      <c r="S245" s="231"/>
      <c r="T245" s="231"/>
      <c r="U245" s="231"/>
      <c r="V245" s="231"/>
      <c r="W245" s="231"/>
      <c r="X245" s="231"/>
      <c r="Y245" s="231"/>
      <c r="Z245" s="231"/>
      <c r="AA245" s="231"/>
      <c r="AB245" s="231"/>
      <c r="AC245" s="231"/>
      <c r="AD245" s="231"/>
      <c r="AE245" s="231"/>
      <c r="AF245" s="231"/>
    </row>
    <row r="246" spans="1:32" s="203" customFormat="1">
      <c r="A246" s="739">
        <v>5</v>
      </c>
      <c r="B246" s="47" t="s">
        <v>193</v>
      </c>
      <c r="C246" s="47"/>
      <c r="D246" s="47"/>
      <c r="E246" s="49">
        <v>52</v>
      </c>
      <c r="F246" s="52">
        <v>54</v>
      </c>
      <c r="G246" s="118"/>
      <c r="H246" s="100">
        <v>55</v>
      </c>
      <c r="I246" s="29"/>
      <c r="J246" s="231"/>
      <c r="K246" s="231"/>
      <c r="L246" s="231"/>
      <c r="M246" s="231"/>
      <c r="N246" s="231"/>
      <c r="O246" s="231"/>
      <c r="P246" s="231"/>
      <c r="Q246" s="231"/>
      <c r="R246" s="231"/>
      <c r="S246" s="231"/>
      <c r="T246" s="231"/>
      <c r="U246" s="231"/>
      <c r="V246" s="231"/>
      <c r="W246" s="231"/>
      <c r="X246" s="231"/>
      <c r="Y246" s="231"/>
      <c r="Z246" s="231"/>
      <c r="AA246" s="231"/>
      <c r="AB246" s="231"/>
      <c r="AC246" s="231"/>
      <c r="AD246" s="231"/>
      <c r="AE246" s="231"/>
      <c r="AF246" s="231"/>
    </row>
    <row r="247" spans="1:32" s="203" customFormat="1">
      <c r="A247" s="739">
        <v>6</v>
      </c>
      <c r="B247" s="116" t="s">
        <v>194</v>
      </c>
      <c r="C247" s="116"/>
      <c r="D247" s="116"/>
      <c r="E247" s="80">
        <v>52</v>
      </c>
      <c r="F247" s="142">
        <f>SUM(F245:F246)</f>
        <v>54</v>
      </c>
      <c r="G247" s="118"/>
      <c r="H247" s="142">
        <f>SUM(H245:H246)</f>
        <v>55</v>
      </c>
      <c r="I247" s="29"/>
      <c r="J247" s="231"/>
      <c r="K247" s="231"/>
      <c r="L247" s="231"/>
      <c r="M247" s="231"/>
      <c r="N247" s="231"/>
      <c r="O247" s="231"/>
      <c r="P247" s="231"/>
      <c r="Q247" s="231"/>
      <c r="R247" s="231"/>
      <c r="S247" s="231"/>
      <c r="T247" s="231"/>
      <c r="U247" s="231"/>
      <c r="V247" s="231"/>
      <c r="W247" s="231"/>
      <c r="X247" s="231"/>
      <c r="Y247" s="231"/>
      <c r="Z247" s="231"/>
      <c r="AA247" s="231"/>
      <c r="AB247" s="231"/>
      <c r="AC247" s="231"/>
      <c r="AD247" s="231"/>
      <c r="AE247" s="231"/>
      <c r="AF247" s="231"/>
    </row>
    <row r="248" spans="1:32" s="203" customFormat="1">
      <c r="A248" s="739"/>
      <c r="B248" s="116"/>
      <c r="C248" s="116"/>
      <c r="D248" s="116"/>
      <c r="E248" s="117"/>
      <c r="F248" s="118"/>
      <c r="G248" s="118"/>
      <c r="H248" s="118"/>
      <c r="I248" s="29"/>
      <c r="J248" s="231"/>
      <c r="K248" s="231"/>
      <c r="L248" s="231"/>
      <c r="M248" s="231"/>
      <c r="N248" s="231"/>
      <c r="O248" s="231"/>
      <c r="P248" s="231"/>
      <c r="Q248" s="231"/>
      <c r="R248" s="231"/>
      <c r="S248" s="231"/>
      <c r="T248" s="231"/>
      <c r="U248" s="231"/>
      <c r="V248" s="231"/>
      <c r="W248" s="231"/>
      <c r="X248" s="231"/>
      <c r="Y248" s="231"/>
      <c r="Z248" s="231"/>
      <c r="AA248" s="231"/>
      <c r="AB248" s="231"/>
      <c r="AC248" s="231"/>
      <c r="AD248" s="231"/>
      <c r="AE248" s="231"/>
      <c r="AF248" s="231"/>
    </row>
    <row r="249" spans="1:32" s="203" customFormat="1">
      <c r="A249" s="108" t="s">
        <v>195</v>
      </c>
      <c r="B249" s="116"/>
      <c r="C249" s="116"/>
      <c r="D249" s="116"/>
      <c r="E249" s="140"/>
      <c r="F249" s="146"/>
      <c r="G249" s="118"/>
      <c r="H249" s="146"/>
      <c r="I249" s="29"/>
      <c r="J249" s="231"/>
      <c r="K249" s="231"/>
      <c r="L249" s="231"/>
      <c r="M249" s="231"/>
      <c r="N249" s="231"/>
      <c r="O249" s="231"/>
      <c r="P249" s="231"/>
      <c r="Q249" s="231"/>
      <c r="R249" s="231"/>
      <c r="S249" s="231"/>
      <c r="T249" s="231"/>
      <c r="U249" s="231"/>
      <c r="V249" s="231"/>
      <c r="W249" s="231"/>
      <c r="X249" s="231"/>
      <c r="Y249" s="231"/>
      <c r="Z249" s="231"/>
      <c r="AA249" s="231"/>
      <c r="AB249" s="231"/>
      <c r="AC249" s="231"/>
      <c r="AD249" s="231"/>
      <c r="AE249" s="231"/>
      <c r="AF249" s="231"/>
    </row>
    <row r="250" spans="1:32" s="203" customFormat="1">
      <c r="A250" s="739">
        <v>7</v>
      </c>
      <c r="B250" s="47" t="s">
        <v>196</v>
      </c>
      <c r="C250" s="47"/>
      <c r="D250" s="47"/>
      <c r="E250" s="74">
        <v>563</v>
      </c>
      <c r="F250" s="52">
        <f>377+273</f>
        <v>650</v>
      </c>
      <c r="G250" s="118"/>
      <c r="H250" s="52">
        <f>386+235</f>
        <v>621</v>
      </c>
      <c r="I250" s="29"/>
      <c r="J250" s="231"/>
      <c r="K250" s="231"/>
      <c r="L250" s="231"/>
      <c r="M250" s="231"/>
      <c r="N250" s="231"/>
      <c r="O250" s="231"/>
      <c r="P250" s="231"/>
      <c r="Q250" s="231"/>
      <c r="R250" s="231"/>
      <c r="S250" s="231"/>
      <c r="T250" s="231"/>
      <c r="U250" s="231"/>
      <c r="V250" s="231"/>
      <c r="W250" s="231"/>
      <c r="X250" s="231"/>
      <c r="Y250" s="231"/>
      <c r="Z250" s="231"/>
      <c r="AA250" s="231"/>
      <c r="AB250" s="231"/>
      <c r="AC250" s="231"/>
      <c r="AD250" s="231"/>
      <c r="AE250" s="231"/>
      <c r="AF250" s="231"/>
    </row>
    <row r="251" spans="1:32" s="203" customFormat="1">
      <c r="A251" s="739">
        <v>8</v>
      </c>
      <c r="B251" s="47" t="s">
        <v>197</v>
      </c>
      <c r="C251" s="47"/>
      <c r="D251" s="47"/>
      <c r="E251" s="49">
        <v>4849</v>
      </c>
      <c r="F251" s="52">
        <f>4715+2</f>
        <v>4717</v>
      </c>
      <c r="G251" s="118"/>
      <c r="H251" s="122">
        <v>4481</v>
      </c>
      <c r="I251" s="29"/>
      <c r="J251" s="231"/>
      <c r="K251" s="231"/>
      <c r="L251" s="231"/>
      <c r="M251" s="231"/>
      <c r="N251" s="231"/>
      <c r="O251" s="231"/>
      <c r="P251" s="231"/>
      <c r="Q251" s="231"/>
      <c r="R251" s="231"/>
      <c r="S251" s="231"/>
      <c r="T251" s="231"/>
      <c r="U251" s="231"/>
      <c r="V251" s="231"/>
      <c r="W251" s="231"/>
      <c r="X251" s="231"/>
      <c r="Y251" s="231"/>
      <c r="Z251" s="231"/>
      <c r="AA251" s="231"/>
      <c r="AB251" s="231"/>
      <c r="AC251" s="231"/>
      <c r="AD251" s="231"/>
      <c r="AE251" s="231"/>
      <c r="AF251" s="231"/>
    </row>
    <row r="252" spans="1:32" s="203" customFormat="1">
      <c r="A252" s="739">
        <v>9</v>
      </c>
      <c r="B252" s="47" t="s">
        <v>198</v>
      </c>
      <c r="C252" s="47"/>
      <c r="D252" s="47"/>
      <c r="E252" s="49">
        <v>2933</v>
      </c>
      <c r="F252" s="52">
        <f>2925+88</f>
        <v>3013</v>
      </c>
      <c r="G252" s="118"/>
      <c r="H252" s="122">
        <f>2566+76</f>
        <v>2642</v>
      </c>
      <c r="I252" s="29"/>
      <c r="J252" s="231"/>
      <c r="K252" s="231"/>
      <c r="L252" s="231"/>
      <c r="M252" s="231"/>
      <c r="N252" s="231"/>
      <c r="O252" s="231"/>
      <c r="P252" s="231"/>
      <c r="Q252" s="231"/>
      <c r="R252" s="231"/>
      <c r="S252" s="231"/>
      <c r="T252" s="231"/>
      <c r="U252" s="231"/>
      <c r="V252" s="231"/>
      <c r="W252" s="231"/>
      <c r="X252" s="231"/>
      <c r="Y252" s="231"/>
      <c r="Z252" s="231"/>
      <c r="AA252" s="231"/>
      <c r="AB252" s="231"/>
      <c r="AC252" s="231"/>
      <c r="AD252" s="231"/>
      <c r="AE252" s="231"/>
      <c r="AF252" s="231"/>
    </row>
    <row r="253" spans="1:32" s="203" customFormat="1">
      <c r="A253" s="739">
        <v>10</v>
      </c>
      <c r="B253" s="47" t="s">
        <v>199</v>
      </c>
      <c r="C253" s="47"/>
      <c r="D253" s="47"/>
      <c r="E253" s="49">
        <v>491</v>
      </c>
      <c r="F253" s="52">
        <v>527</v>
      </c>
      <c r="G253" s="118"/>
      <c r="H253" s="100">
        <v>524</v>
      </c>
      <c r="I253" s="29"/>
      <c r="J253" s="231"/>
      <c r="K253" s="231"/>
      <c r="L253" s="231"/>
      <c r="M253" s="231"/>
      <c r="N253" s="231"/>
      <c r="O253" s="231"/>
      <c r="P253" s="231"/>
      <c r="Q253" s="231"/>
      <c r="R253" s="231"/>
      <c r="S253" s="231"/>
      <c r="T253" s="231"/>
      <c r="U253" s="231"/>
      <c r="V253" s="231"/>
      <c r="W253" s="231"/>
      <c r="X253" s="231"/>
      <c r="Y253" s="231"/>
      <c r="Z253" s="231"/>
      <c r="AA253" s="231"/>
      <c r="AB253" s="231"/>
      <c r="AC253" s="231"/>
      <c r="AD253" s="231"/>
      <c r="AE253" s="231"/>
      <c r="AF253" s="231"/>
    </row>
    <row r="254" spans="1:32" s="203" customFormat="1">
      <c r="A254" s="739">
        <v>11</v>
      </c>
      <c r="B254" s="116" t="s">
        <v>200</v>
      </c>
      <c r="C254" s="116"/>
      <c r="D254" s="116"/>
      <c r="E254" s="80">
        <v>8836</v>
      </c>
      <c r="F254" s="142">
        <f>SUM(F250:F253)</f>
        <v>8907</v>
      </c>
      <c r="G254" s="118"/>
      <c r="H254" s="142">
        <f>SUM(H250:H253)</f>
        <v>8268</v>
      </c>
      <c r="I254" s="260"/>
      <c r="J254" s="231"/>
      <c r="K254" s="231"/>
      <c r="L254" s="231"/>
      <c r="M254" s="231"/>
      <c r="N254" s="231"/>
      <c r="O254" s="231"/>
      <c r="P254" s="231"/>
      <c r="Q254" s="231"/>
      <c r="R254" s="231"/>
      <c r="S254" s="231"/>
      <c r="T254" s="231"/>
      <c r="U254" s="231"/>
      <c r="V254" s="231"/>
      <c r="W254" s="231"/>
      <c r="X254" s="231"/>
      <c r="Y254" s="231"/>
      <c r="Z254" s="231"/>
      <c r="AA254" s="231"/>
      <c r="AB254" s="231"/>
      <c r="AC254" s="231"/>
      <c r="AD254" s="231"/>
      <c r="AE254" s="231"/>
      <c r="AF254" s="231"/>
    </row>
    <row r="255" spans="1:32" s="203" customFormat="1">
      <c r="A255" s="739"/>
      <c r="B255" s="116"/>
      <c r="C255" s="116"/>
      <c r="D255" s="116"/>
      <c r="E255" s="117"/>
      <c r="F255" s="118"/>
      <c r="G255" s="118"/>
      <c r="H255" s="118"/>
      <c r="I255" s="29"/>
      <c r="J255" s="231"/>
      <c r="K255" s="231"/>
      <c r="L255" s="231"/>
      <c r="M255" s="231"/>
      <c r="N255" s="231"/>
      <c r="O255" s="231"/>
      <c r="P255" s="231"/>
      <c r="Q255" s="231"/>
      <c r="R255" s="231"/>
      <c r="S255" s="231"/>
      <c r="T255" s="231"/>
      <c r="U255" s="231"/>
      <c r="V255" s="231"/>
      <c r="W255" s="231"/>
      <c r="X255" s="231"/>
      <c r="Y255" s="231"/>
      <c r="Z255" s="231"/>
      <c r="AA255" s="231"/>
      <c r="AB255" s="231"/>
      <c r="AC255" s="231"/>
      <c r="AD255" s="231"/>
      <c r="AE255" s="231"/>
      <c r="AF255" s="231"/>
    </row>
    <row r="256" spans="1:32" s="203" customFormat="1">
      <c r="A256" s="739">
        <v>12</v>
      </c>
      <c r="B256" s="47" t="s">
        <v>201</v>
      </c>
      <c r="C256" s="47"/>
      <c r="D256" s="47"/>
      <c r="E256" s="176">
        <v>2848</v>
      </c>
      <c r="F256" s="136">
        <v>2987</v>
      </c>
      <c r="G256" s="118"/>
      <c r="H256" s="177">
        <v>3098</v>
      </c>
      <c r="I256" s="260"/>
      <c r="J256" s="231"/>
      <c r="K256" s="231"/>
      <c r="L256" s="231"/>
      <c r="M256" s="231"/>
      <c r="N256" s="231"/>
      <c r="O256" s="231"/>
      <c r="P256" s="231"/>
      <c r="Q256" s="231"/>
      <c r="R256" s="231"/>
      <c r="S256" s="231"/>
      <c r="T256" s="231"/>
      <c r="U256" s="231"/>
      <c r="V256" s="231"/>
      <c r="W256" s="231"/>
      <c r="X256" s="231"/>
      <c r="Y256" s="231"/>
      <c r="Z256" s="231"/>
      <c r="AA256" s="231"/>
      <c r="AB256" s="231"/>
      <c r="AC256" s="231"/>
      <c r="AD256" s="231"/>
      <c r="AE256" s="231"/>
      <c r="AF256" s="231"/>
    </row>
    <row r="257" spans="1:32" s="203" customFormat="1">
      <c r="A257" s="124">
        <v>13</v>
      </c>
      <c r="B257" s="94" t="s">
        <v>202</v>
      </c>
      <c r="C257" s="94"/>
      <c r="D257" s="94"/>
      <c r="E257" s="159">
        <v>13719</v>
      </c>
      <c r="F257" s="61">
        <f>F242+F247+F254+F256</f>
        <v>14057</v>
      </c>
      <c r="G257" s="118"/>
      <c r="H257" s="61">
        <f>H242+H247+H254+H256</f>
        <v>13439</v>
      </c>
      <c r="I257" s="21"/>
      <c r="J257" s="231"/>
      <c r="K257" s="231"/>
      <c r="L257" s="231"/>
      <c r="M257" s="231"/>
      <c r="N257" s="231"/>
      <c r="O257" s="231"/>
      <c r="P257" s="231"/>
      <c r="Q257" s="231"/>
      <c r="R257" s="231"/>
      <c r="S257" s="231"/>
      <c r="T257" s="231"/>
      <c r="U257" s="231"/>
      <c r="V257" s="231"/>
      <c r="W257" s="231"/>
      <c r="X257" s="231"/>
      <c r="Y257" s="231"/>
      <c r="Z257" s="231"/>
      <c r="AA257" s="231"/>
      <c r="AB257" s="231"/>
      <c r="AC257" s="231"/>
      <c r="AD257" s="231"/>
      <c r="AE257" s="231"/>
      <c r="AF257" s="231"/>
    </row>
    <row r="258" spans="1:32" s="203" customFormat="1">
      <c r="A258" s="207"/>
      <c r="B258" s="207"/>
      <c r="C258" s="207"/>
      <c r="D258" s="208"/>
      <c r="E258" s="208"/>
      <c r="F258" s="207"/>
      <c r="G258" s="207"/>
      <c r="H258" s="207"/>
      <c r="I258" s="21"/>
      <c r="J258" s="231"/>
      <c r="K258" s="231"/>
      <c r="L258" s="231"/>
      <c r="M258" s="231"/>
      <c r="N258" s="231"/>
      <c r="O258" s="231"/>
      <c r="P258" s="231"/>
      <c r="Q258" s="231"/>
      <c r="R258" s="231"/>
      <c r="S258" s="231"/>
      <c r="T258" s="231"/>
      <c r="U258" s="231"/>
      <c r="V258" s="231"/>
      <c r="W258" s="231"/>
      <c r="X258" s="231"/>
      <c r="Y258" s="231"/>
      <c r="Z258" s="231"/>
      <c r="AA258" s="231"/>
      <c r="AB258" s="231"/>
      <c r="AC258" s="231"/>
      <c r="AD258" s="231"/>
      <c r="AE258" s="231"/>
      <c r="AF258" s="231"/>
    </row>
    <row r="259" spans="1:32" s="203" customFormat="1">
      <c r="A259" s="23"/>
      <c r="B259" s="207"/>
      <c r="C259" s="207"/>
      <c r="D259" s="207"/>
      <c r="E259" s="207"/>
      <c r="F259" s="207"/>
      <c r="G259" s="207"/>
      <c r="H259" s="21"/>
      <c r="I259" s="21"/>
      <c r="J259" s="231"/>
      <c r="K259" s="231"/>
      <c r="L259" s="231"/>
      <c r="M259" s="231"/>
      <c r="N259" s="231"/>
      <c r="O259" s="231"/>
      <c r="P259" s="231"/>
      <c r="Q259" s="231"/>
      <c r="R259" s="231"/>
      <c r="S259" s="231"/>
      <c r="T259" s="231"/>
      <c r="U259" s="231"/>
      <c r="V259" s="231"/>
      <c r="W259" s="231"/>
      <c r="X259" s="231"/>
      <c r="Y259" s="231"/>
      <c r="Z259" s="231"/>
      <c r="AA259" s="231"/>
      <c r="AB259" s="231"/>
      <c r="AC259" s="231"/>
      <c r="AD259" s="231"/>
      <c r="AE259" s="231"/>
      <c r="AF259" s="231"/>
    </row>
    <row r="260" spans="1:32" s="203" customFormat="1">
      <c r="A260" s="148"/>
      <c r="B260" s="29"/>
      <c r="C260" s="29"/>
      <c r="D260" s="172"/>
      <c r="E260" s="152"/>
      <c r="F260" s="29"/>
      <c r="G260" s="29"/>
      <c r="H260" s="131" t="s">
        <v>27</v>
      </c>
      <c r="I260" s="21"/>
      <c r="J260" s="231"/>
      <c r="K260" s="231"/>
      <c r="L260" s="231"/>
      <c r="M260" s="231"/>
      <c r="N260" s="231"/>
      <c r="O260" s="231"/>
      <c r="P260" s="231"/>
      <c r="Q260" s="231"/>
      <c r="R260" s="231"/>
      <c r="S260" s="231"/>
      <c r="T260" s="231"/>
      <c r="U260" s="231"/>
      <c r="V260" s="231"/>
      <c r="W260" s="231"/>
      <c r="X260" s="231"/>
      <c r="Y260" s="231"/>
      <c r="Z260" s="231"/>
      <c r="AA260" s="231"/>
      <c r="AB260" s="231"/>
      <c r="AC260" s="231"/>
      <c r="AD260" s="231"/>
      <c r="AE260" s="231"/>
      <c r="AF260" s="231"/>
    </row>
    <row r="261" spans="1:32" s="203" customFormat="1" ht="12.75" customHeight="1">
      <c r="A261" s="106" t="s">
        <v>15</v>
      </c>
      <c r="B261" s="164"/>
      <c r="C261" s="164"/>
      <c r="D261" s="164"/>
      <c r="E261" s="856" t="s">
        <v>377</v>
      </c>
      <c r="F261" s="856" t="s">
        <v>402</v>
      </c>
      <c r="G261" s="130"/>
      <c r="H261" s="856" t="s">
        <v>403</v>
      </c>
      <c r="I261" s="21"/>
      <c r="J261" s="231"/>
      <c r="K261" s="231"/>
      <c r="L261" s="231"/>
      <c r="M261" s="231"/>
      <c r="N261" s="231"/>
      <c r="O261" s="231"/>
      <c r="P261" s="231"/>
      <c r="Q261" s="231"/>
      <c r="R261" s="231"/>
      <c r="S261" s="231"/>
      <c r="T261" s="231"/>
      <c r="U261" s="231"/>
      <c r="V261" s="231"/>
      <c r="W261" s="231"/>
      <c r="X261" s="231"/>
      <c r="Y261" s="231"/>
      <c r="Z261" s="231"/>
      <c r="AA261" s="231"/>
      <c r="AB261" s="231"/>
      <c r="AC261" s="231"/>
      <c r="AD261" s="231"/>
      <c r="AE261" s="231"/>
      <c r="AF261" s="231"/>
    </row>
    <row r="262" spans="1:32" s="203" customFormat="1">
      <c r="A262" s="165"/>
      <c r="B262" s="47"/>
      <c r="C262" s="47"/>
      <c r="D262" s="47"/>
      <c r="E262" s="859"/>
      <c r="F262" s="859"/>
      <c r="G262" s="130"/>
      <c r="H262" s="859"/>
      <c r="I262" s="21"/>
      <c r="J262" s="231"/>
      <c r="K262" s="231"/>
      <c r="L262" s="231"/>
      <c r="M262" s="231"/>
      <c r="N262" s="231"/>
      <c r="O262" s="231"/>
      <c r="P262" s="231"/>
      <c r="Q262" s="231"/>
      <c r="R262" s="231"/>
      <c r="S262" s="231"/>
      <c r="T262" s="231"/>
      <c r="U262" s="231"/>
      <c r="V262" s="231"/>
      <c r="W262" s="231"/>
      <c r="X262" s="231"/>
      <c r="Y262" s="231"/>
      <c r="Z262" s="231"/>
      <c r="AA262" s="231"/>
      <c r="AB262" s="231"/>
      <c r="AC262" s="231"/>
      <c r="AD262" s="231"/>
      <c r="AE262" s="231"/>
      <c r="AF262" s="231"/>
    </row>
    <row r="263" spans="1:32" s="203" customFormat="1">
      <c r="A263" s="109"/>
      <c r="B263" s="174"/>
      <c r="C263" s="174"/>
      <c r="D263" s="174"/>
      <c r="E263" s="859"/>
      <c r="F263" s="859"/>
      <c r="G263" s="130"/>
      <c r="H263" s="859"/>
      <c r="I263" s="21"/>
      <c r="J263" s="231"/>
      <c r="K263" s="231"/>
      <c r="L263" s="231"/>
      <c r="M263" s="231"/>
      <c r="N263" s="231"/>
      <c r="O263" s="231"/>
      <c r="P263" s="231"/>
      <c r="Q263" s="231"/>
      <c r="R263" s="231"/>
      <c r="S263" s="231"/>
      <c r="T263" s="231"/>
      <c r="U263" s="231"/>
      <c r="V263" s="231"/>
      <c r="W263" s="231"/>
      <c r="X263" s="231"/>
      <c r="Y263" s="231"/>
      <c r="Z263" s="231"/>
      <c r="AA263" s="231"/>
      <c r="AB263" s="231"/>
      <c r="AC263" s="231"/>
      <c r="AD263" s="231"/>
      <c r="AE263" s="231"/>
      <c r="AF263" s="231"/>
    </row>
    <row r="264" spans="1:32" s="203" customFormat="1">
      <c r="A264" s="154" t="s">
        <v>203</v>
      </c>
      <c r="B264" s="47"/>
      <c r="C264" s="47"/>
      <c r="D264" s="47"/>
      <c r="E264" s="859"/>
      <c r="F264" s="859"/>
      <c r="G264" s="130"/>
      <c r="H264" s="859"/>
      <c r="I264" s="21"/>
      <c r="J264" s="231"/>
      <c r="K264" s="231"/>
      <c r="L264" s="231"/>
      <c r="M264" s="231"/>
      <c r="N264" s="231"/>
      <c r="O264" s="231"/>
      <c r="P264" s="231"/>
      <c r="Q264" s="231"/>
      <c r="R264" s="231"/>
      <c r="S264" s="231"/>
      <c r="T264" s="231"/>
      <c r="U264" s="231"/>
      <c r="V264" s="231"/>
      <c r="W264" s="231"/>
      <c r="X264" s="231"/>
      <c r="Y264" s="231"/>
      <c r="Z264" s="231"/>
      <c r="AA264" s="231"/>
      <c r="AB264" s="231"/>
      <c r="AC264" s="231"/>
      <c r="AD264" s="231"/>
      <c r="AE264" s="231"/>
      <c r="AF264" s="231"/>
    </row>
    <row r="265" spans="1:32" s="203" customFormat="1">
      <c r="A265" s="109" t="s">
        <v>83</v>
      </c>
      <c r="B265" s="174"/>
      <c r="C265" s="174"/>
      <c r="D265" s="174"/>
      <c r="E265" s="860"/>
      <c r="F265" s="860"/>
      <c r="G265" s="130"/>
      <c r="H265" s="860"/>
      <c r="I265" s="21"/>
      <c r="J265" s="231"/>
      <c r="K265" s="231"/>
      <c r="L265" s="231"/>
      <c r="M265" s="231"/>
      <c r="N265" s="231"/>
      <c r="O265" s="231"/>
      <c r="P265" s="231"/>
      <c r="Q265" s="231"/>
      <c r="R265" s="231"/>
      <c r="S265" s="231"/>
      <c r="T265" s="231"/>
      <c r="U265" s="231"/>
      <c r="V265" s="231"/>
      <c r="W265" s="231"/>
      <c r="X265" s="231"/>
      <c r="Y265" s="231"/>
      <c r="Z265" s="231"/>
      <c r="AA265" s="231"/>
      <c r="AB265" s="231"/>
      <c r="AC265" s="231"/>
      <c r="AD265" s="231"/>
      <c r="AE265" s="231"/>
      <c r="AF265" s="231"/>
    </row>
    <row r="266" spans="1:32" s="203" customFormat="1">
      <c r="A266" s="110" t="s">
        <v>84</v>
      </c>
      <c r="B266" s="116"/>
      <c r="C266" s="116"/>
      <c r="D266" s="116"/>
      <c r="E266" s="178"/>
      <c r="F266" s="146"/>
      <c r="G266" s="118"/>
      <c r="H266" s="146"/>
      <c r="I266" s="21"/>
      <c r="J266" s="231"/>
      <c r="K266" s="231"/>
      <c r="L266" s="231"/>
      <c r="M266" s="231"/>
      <c r="N266" s="231"/>
      <c r="O266" s="231"/>
      <c r="P266" s="231"/>
      <c r="Q266" s="231"/>
      <c r="R266" s="231"/>
      <c r="S266" s="231"/>
      <c r="T266" s="231"/>
      <c r="U266" s="231"/>
      <c r="V266" s="231"/>
      <c r="W266" s="231"/>
      <c r="X266" s="231"/>
      <c r="Y266" s="231"/>
      <c r="Z266" s="231"/>
      <c r="AA266" s="231"/>
      <c r="AB266" s="231"/>
      <c r="AC266" s="231"/>
      <c r="AD266" s="231"/>
      <c r="AE266" s="231"/>
      <c r="AF266" s="231"/>
    </row>
    <row r="267" spans="1:32" s="203" customFormat="1">
      <c r="A267" s="120">
        <v>1</v>
      </c>
      <c r="B267" s="47" t="s">
        <v>204</v>
      </c>
      <c r="C267" s="47"/>
      <c r="D267" s="47"/>
      <c r="E267" s="74">
        <v>2</v>
      </c>
      <c r="F267" s="52">
        <v>1</v>
      </c>
      <c r="G267" s="118"/>
      <c r="H267" s="122">
        <v>1</v>
      </c>
      <c r="I267" s="21"/>
      <c r="J267" s="231"/>
      <c r="K267" s="231"/>
      <c r="L267" s="231"/>
      <c r="M267" s="231"/>
      <c r="N267" s="231"/>
      <c r="O267" s="231"/>
      <c r="P267" s="231"/>
      <c r="Q267" s="231"/>
      <c r="R267" s="231"/>
      <c r="S267" s="231"/>
      <c r="T267" s="231"/>
      <c r="U267" s="231"/>
      <c r="V267" s="231"/>
      <c r="W267" s="231"/>
      <c r="X267" s="231"/>
      <c r="Y267" s="231"/>
      <c r="Z267" s="231"/>
      <c r="AA267" s="231"/>
      <c r="AB267" s="231"/>
      <c r="AC267" s="231"/>
      <c r="AD267" s="231"/>
      <c r="AE267" s="231"/>
      <c r="AF267" s="231"/>
    </row>
    <row r="268" spans="1:32" s="203" customFormat="1">
      <c r="A268" s="739">
        <v>2</v>
      </c>
      <c r="B268" s="166" t="s">
        <v>205</v>
      </c>
      <c r="C268" s="166"/>
      <c r="D268" s="47"/>
      <c r="E268" s="114">
        <v>0</v>
      </c>
      <c r="F268" s="52">
        <v>0</v>
      </c>
      <c r="G268" s="118"/>
      <c r="H268" s="122">
        <v>0</v>
      </c>
      <c r="I268" s="21"/>
      <c r="J268" s="231"/>
      <c r="K268" s="231"/>
      <c r="L268" s="231"/>
      <c r="M268" s="231"/>
      <c r="N268" s="231"/>
      <c r="O268" s="231"/>
      <c r="P268" s="231"/>
      <c r="Q268" s="231"/>
      <c r="R268" s="231"/>
      <c r="S268" s="231"/>
      <c r="T268" s="231"/>
      <c r="U268" s="231"/>
      <c r="V268" s="231"/>
      <c r="W268" s="231"/>
      <c r="X268" s="231"/>
      <c r="Y268" s="231"/>
      <c r="Z268" s="231"/>
      <c r="AA268" s="231"/>
      <c r="AB268" s="231"/>
      <c r="AC268" s="231"/>
      <c r="AD268" s="231"/>
      <c r="AE268" s="231"/>
      <c r="AF268" s="231"/>
    </row>
    <row r="269" spans="1:32" s="203" customFormat="1">
      <c r="A269" s="120">
        <v>3</v>
      </c>
      <c r="B269" s="47" t="s">
        <v>206</v>
      </c>
      <c r="C269" s="47"/>
      <c r="D269" s="168"/>
      <c r="E269" s="114">
        <v>317</v>
      </c>
      <c r="F269" s="52">
        <v>269</v>
      </c>
      <c r="G269" s="118"/>
      <c r="H269" s="122">
        <v>318</v>
      </c>
      <c r="I269" s="21"/>
      <c r="J269" s="231"/>
      <c r="K269" s="231"/>
      <c r="L269" s="231"/>
      <c r="M269" s="231"/>
      <c r="N269" s="231"/>
      <c r="O269" s="231"/>
      <c r="P269" s="231"/>
      <c r="Q269" s="231"/>
      <c r="R269" s="231"/>
      <c r="S269" s="231"/>
      <c r="T269" s="231"/>
      <c r="U269" s="231"/>
      <c r="V269" s="231"/>
      <c r="W269" s="231"/>
      <c r="X269" s="231"/>
      <c r="Y269" s="231"/>
      <c r="Z269" s="231"/>
      <c r="AA269" s="231"/>
      <c r="AB269" s="231"/>
      <c r="AC269" s="231"/>
      <c r="AD269" s="231"/>
      <c r="AE269" s="231"/>
      <c r="AF269" s="231"/>
    </row>
    <row r="270" spans="1:32" s="203" customFormat="1">
      <c r="A270" s="739">
        <v>4</v>
      </c>
      <c r="B270" s="47" t="s">
        <v>207</v>
      </c>
      <c r="C270" s="47"/>
      <c r="D270" s="116"/>
      <c r="E270" s="114">
        <v>0</v>
      </c>
      <c r="F270" s="52">
        <v>0</v>
      </c>
      <c r="G270" s="118"/>
      <c r="H270" s="122">
        <v>0</v>
      </c>
      <c r="I270" s="21"/>
      <c r="J270" s="231"/>
      <c r="K270" s="231"/>
      <c r="L270" s="231"/>
      <c r="M270" s="231"/>
      <c r="N270" s="231"/>
      <c r="O270" s="231"/>
      <c r="P270" s="231"/>
      <c r="Q270" s="231"/>
      <c r="R270" s="231"/>
      <c r="S270" s="231"/>
      <c r="T270" s="231"/>
      <c r="U270" s="231"/>
      <c r="V270" s="231"/>
      <c r="W270" s="231"/>
      <c r="X270" s="231"/>
      <c r="Y270" s="231"/>
      <c r="Z270" s="231"/>
      <c r="AA270" s="231"/>
      <c r="AB270" s="231"/>
      <c r="AC270" s="231"/>
      <c r="AD270" s="231"/>
      <c r="AE270" s="231"/>
      <c r="AF270" s="231"/>
    </row>
    <row r="271" spans="1:32" s="203" customFormat="1">
      <c r="A271" s="120">
        <v>5</v>
      </c>
      <c r="B271" s="47" t="s">
        <v>208</v>
      </c>
      <c r="C271" s="47"/>
      <c r="D271" s="47"/>
      <c r="E271" s="114">
        <v>-299</v>
      </c>
      <c r="F271" s="52">
        <v>-216</v>
      </c>
      <c r="G271" s="118"/>
      <c r="H271" s="122">
        <v>-299</v>
      </c>
      <c r="I271" s="21"/>
      <c r="J271" s="231"/>
      <c r="K271" s="231"/>
      <c r="L271" s="231"/>
      <c r="M271" s="231"/>
      <c r="N271" s="231"/>
      <c r="O271" s="231"/>
      <c r="P271" s="231"/>
      <c r="Q271" s="231"/>
      <c r="R271" s="231"/>
      <c r="S271" s="231"/>
      <c r="T271" s="231"/>
      <c r="U271" s="231"/>
      <c r="V271" s="231"/>
      <c r="W271" s="231"/>
      <c r="X271" s="231"/>
      <c r="Y271" s="231"/>
      <c r="Z271" s="231"/>
      <c r="AA271" s="231"/>
      <c r="AB271" s="231"/>
      <c r="AC271" s="231"/>
      <c r="AD271" s="231"/>
      <c r="AE271" s="231"/>
      <c r="AF271" s="231"/>
    </row>
    <row r="272" spans="1:32" s="203" customFormat="1">
      <c r="A272" s="739">
        <v>6</v>
      </c>
      <c r="B272" s="47" t="s">
        <v>209</v>
      </c>
      <c r="C272" s="47"/>
      <c r="D272" s="47"/>
      <c r="E272" s="114">
        <v>-809</v>
      </c>
      <c r="F272" s="52">
        <v>637</v>
      </c>
      <c r="G272" s="118"/>
      <c r="H272" s="122">
        <v>-809</v>
      </c>
      <c r="I272" s="21"/>
      <c r="J272" s="231"/>
      <c r="K272" s="231"/>
      <c r="L272" s="231"/>
      <c r="M272" s="231"/>
      <c r="N272" s="231"/>
      <c r="O272" s="231"/>
      <c r="P272" s="231"/>
      <c r="Q272" s="231"/>
      <c r="R272" s="231"/>
      <c r="S272" s="231"/>
      <c r="T272" s="231"/>
      <c r="U272" s="231"/>
      <c r="V272" s="231"/>
      <c r="W272" s="231"/>
      <c r="X272" s="231"/>
      <c r="Y272" s="231"/>
      <c r="Z272" s="231"/>
      <c r="AA272" s="231"/>
      <c r="AB272" s="231"/>
      <c r="AC272" s="231"/>
      <c r="AD272" s="231"/>
      <c r="AE272" s="231"/>
      <c r="AF272" s="231"/>
    </row>
    <row r="273" spans="1:32" s="203" customFormat="1">
      <c r="A273" s="120">
        <v>7</v>
      </c>
      <c r="B273" s="47" t="s">
        <v>210</v>
      </c>
      <c r="C273" s="47"/>
      <c r="D273" s="47"/>
      <c r="E273" s="114">
        <v>1360</v>
      </c>
      <c r="F273" s="52">
        <v>1221</v>
      </c>
      <c r="G273" s="118"/>
      <c r="H273" s="122">
        <v>1006</v>
      </c>
      <c r="I273" s="21"/>
      <c r="J273" s="231"/>
      <c r="K273" s="231"/>
      <c r="L273" s="231"/>
      <c r="M273" s="231"/>
      <c r="N273" s="231"/>
      <c r="O273" s="231"/>
      <c r="P273" s="231"/>
      <c r="Q273" s="231"/>
      <c r="R273" s="231"/>
      <c r="S273" s="231"/>
      <c r="T273" s="231"/>
      <c r="U273" s="231"/>
      <c r="V273" s="231"/>
      <c r="W273" s="231"/>
      <c r="X273" s="231"/>
      <c r="Y273" s="231"/>
      <c r="Z273" s="231"/>
      <c r="AA273" s="231"/>
      <c r="AB273" s="231"/>
      <c r="AC273" s="231"/>
      <c r="AD273" s="231"/>
      <c r="AE273" s="231"/>
      <c r="AF273" s="231"/>
    </row>
    <row r="274" spans="1:32" s="203" customFormat="1">
      <c r="A274" s="739">
        <v>8</v>
      </c>
      <c r="B274" s="47" t="s">
        <v>211</v>
      </c>
      <c r="C274" s="47"/>
      <c r="D274" s="47"/>
      <c r="E274" s="114">
        <v>1371</v>
      </c>
      <c r="F274" s="52">
        <v>1371</v>
      </c>
      <c r="G274" s="118"/>
      <c r="H274" s="122">
        <v>1371</v>
      </c>
      <c r="I274" s="21"/>
      <c r="J274" s="231"/>
      <c r="K274" s="231"/>
      <c r="L274" s="231"/>
      <c r="M274" s="231"/>
      <c r="N274" s="231"/>
      <c r="O274" s="231"/>
      <c r="P274" s="231"/>
      <c r="Q274" s="231"/>
      <c r="R274" s="231"/>
      <c r="S274" s="231"/>
      <c r="T274" s="231"/>
      <c r="U274" s="231"/>
      <c r="V274" s="231"/>
      <c r="W274" s="231"/>
      <c r="X274" s="231"/>
      <c r="Y274" s="231"/>
      <c r="Z274" s="231"/>
      <c r="AA274" s="231"/>
      <c r="AB274" s="231"/>
      <c r="AC274" s="231"/>
      <c r="AD274" s="231"/>
      <c r="AE274" s="231"/>
      <c r="AF274" s="231"/>
    </row>
    <row r="275" spans="1:32" s="203" customFormat="1">
      <c r="A275" s="120">
        <v>9</v>
      </c>
      <c r="B275" s="47" t="s">
        <v>212</v>
      </c>
      <c r="C275" s="47"/>
      <c r="D275" s="47"/>
      <c r="E275" s="114">
        <v>1031</v>
      </c>
      <c r="F275" s="52">
        <v>1083</v>
      </c>
      <c r="G275" s="118"/>
      <c r="H275" s="122">
        <v>1036</v>
      </c>
      <c r="I275" s="21"/>
      <c r="J275" s="231"/>
      <c r="K275" s="231"/>
      <c r="L275" s="231"/>
      <c r="M275" s="231"/>
      <c r="N275" s="231"/>
      <c r="O275" s="231"/>
      <c r="P275" s="231"/>
      <c r="Q275" s="231"/>
      <c r="R275" s="231"/>
      <c r="S275" s="231"/>
      <c r="T275" s="231"/>
      <c r="U275" s="231"/>
      <c r="V275" s="231"/>
      <c r="W275" s="231"/>
      <c r="X275" s="231"/>
      <c r="Y275" s="231"/>
      <c r="Z275" s="231"/>
      <c r="AA275" s="231"/>
      <c r="AB275" s="231"/>
      <c r="AC275" s="231"/>
      <c r="AD275" s="231"/>
      <c r="AE275" s="231"/>
      <c r="AF275" s="231"/>
    </row>
    <row r="276" spans="1:32" s="203" customFormat="1">
      <c r="A276" s="739">
        <v>10</v>
      </c>
      <c r="B276" s="47" t="s">
        <v>213</v>
      </c>
      <c r="C276" s="47"/>
      <c r="D276" s="47"/>
      <c r="E276" s="114">
        <v>480</v>
      </c>
      <c r="F276" s="52">
        <v>582</v>
      </c>
      <c r="G276" s="118"/>
      <c r="H276" s="99">
        <v>466</v>
      </c>
      <c r="I276" s="21"/>
      <c r="J276" s="231"/>
      <c r="K276" s="231"/>
      <c r="L276" s="231"/>
      <c r="M276" s="231"/>
      <c r="N276" s="231"/>
      <c r="O276" s="231"/>
      <c r="P276" s="231"/>
      <c r="Q276" s="231"/>
      <c r="R276" s="231"/>
      <c r="S276" s="231"/>
      <c r="T276" s="231"/>
      <c r="U276" s="231"/>
      <c r="V276" s="231"/>
      <c r="W276" s="231"/>
      <c r="X276" s="231"/>
      <c r="Y276" s="231"/>
      <c r="Z276" s="231"/>
      <c r="AA276" s="231"/>
      <c r="AB276" s="231"/>
      <c r="AC276" s="231"/>
      <c r="AD276" s="231"/>
      <c r="AE276" s="231"/>
      <c r="AF276" s="231"/>
    </row>
    <row r="277" spans="1:32" s="203" customFormat="1">
      <c r="A277" s="124">
        <v>11</v>
      </c>
      <c r="B277" s="94" t="s">
        <v>214</v>
      </c>
      <c r="C277" s="94"/>
      <c r="D277" s="94"/>
      <c r="E277" s="159">
        <v>3453</v>
      </c>
      <c r="F277" s="61">
        <f>SUM(F267:F276)</f>
        <v>4948</v>
      </c>
      <c r="G277" s="118"/>
      <c r="H277" s="61">
        <f>SUM(H267:H276)</f>
        <v>3090</v>
      </c>
      <c r="I277" s="21"/>
      <c r="J277" s="231"/>
      <c r="K277" s="231"/>
      <c r="L277" s="231"/>
      <c r="M277" s="231"/>
      <c r="N277" s="231"/>
      <c r="O277" s="231"/>
      <c r="P277" s="231"/>
      <c r="Q277" s="231"/>
      <c r="R277" s="231"/>
      <c r="S277" s="231"/>
      <c r="T277" s="231"/>
      <c r="U277" s="231"/>
      <c r="V277" s="231"/>
      <c r="W277" s="231"/>
      <c r="X277" s="231"/>
      <c r="Y277" s="231"/>
      <c r="Z277" s="231"/>
      <c r="AA277" s="231"/>
      <c r="AB277" s="231"/>
      <c r="AC277" s="231"/>
      <c r="AD277" s="231"/>
      <c r="AE277" s="231"/>
      <c r="AF277" s="231"/>
    </row>
    <row r="278" spans="1:32" s="203" customFormat="1">
      <c r="A278" s="207"/>
      <c r="B278" s="207"/>
      <c r="C278" s="207"/>
      <c r="D278" s="207"/>
      <c r="E278" s="207"/>
      <c r="F278" s="207"/>
      <c r="G278" s="207"/>
      <c r="H278" s="207"/>
      <c r="I278" s="21"/>
      <c r="J278" s="231"/>
      <c r="K278" s="231"/>
      <c r="L278" s="231"/>
      <c r="M278" s="231"/>
      <c r="N278" s="231"/>
      <c r="O278" s="231"/>
      <c r="P278" s="231"/>
      <c r="Q278" s="231"/>
      <c r="R278" s="231"/>
      <c r="S278" s="231"/>
      <c r="T278" s="231"/>
      <c r="U278" s="231"/>
      <c r="V278" s="231"/>
      <c r="W278" s="231"/>
      <c r="X278" s="231"/>
      <c r="Y278" s="231"/>
      <c r="Z278" s="231"/>
      <c r="AA278" s="231"/>
      <c r="AB278" s="231"/>
      <c r="AC278" s="231"/>
      <c r="AD278" s="231"/>
      <c r="AE278" s="231"/>
      <c r="AF278" s="231"/>
    </row>
    <row r="279" spans="1:32" s="203" customFormat="1">
      <c r="A279" s="207"/>
      <c r="B279" s="207"/>
      <c r="C279" s="207"/>
      <c r="D279" s="207"/>
      <c r="E279" s="207"/>
      <c r="F279" s="207"/>
      <c r="G279" s="207"/>
      <c r="H279" s="131" t="s">
        <v>27</v>
      </c>
      <c r="I279" s="21"/>
      <c r="J279" s="231"/>
      <c r="K279" s="231"/>
      <c r="L279" s="231"/>
      <c r="M279" s="231"/>
      <c r="N279" s="231"/>
      <c r="O279" s="231"/>
      <c r="P279" s="231"/>
      <c r="Q279" s="231"/>
      <c r="R279" s="231"/>
      <c r="S279" s="231"/>
      <c r="T279" s="231"/>
      <c r="U279" s="231"/>
      <c r="V279" s="231"/>
      <c r="W279" s="231"/>
      <c r="X279" s="231"/>
      <c r="Y279" s="231"/>
      <c r="Z279" s="231"/>
      <c r="AA279" s="231"/>
      <c r="AB279" s="231"/>
      <c r="AC279" s="231"/>
      <c r="AD279" s="231"/>
      <c r="AE279" s="231"/>
      <c r="AF279" s="231"/>
    </row>
    <row r="280" spans="1:32" s="203" customFormat="1" ht="12.75" customHeight="1">
      <c r="A280" s="106" t="s">
        <v>18</v>
      </c>
      <c r="B280" s="164"/>
      <c r="C280" s="164"/>
      <c r="D280" s="164"/>
      <c r="E280" s="856" t="s">
        <v>377</v>
      </c>
      <c r="F280" s="856" t="s">
        <v>402</v>
      </c>
      <c r="G280" s="130"/>
      <c r="H280" s="856" t="s">
        <v>403</v>
      </c>
      <c r="I280" s="21"/>
      <c r="J280" s="231"/>
      <c r="K280" s="231"/>
      <c r="L280" s="231"/>
      <c r="M280" s="231"/>
      <c r="N280" s="231"/>
      <c r="O280" s="231"/>
      <c r="P280" s="231"/>
      <c r="Q280" s="231"/>
      <c r="R280" s="231"/>
      <c r="S280" s="231"/>
      <c r="T280" s="231"/>
      <c r="U280" s="231"/>
      <c r="V280" s="231"/>
      <c r="W280" s="231"/>
      <c r="X280" s="231"/>
      <c r="Y280" s="231"/>
      <c r="Z280" s="231"/>
      <c r="AA280" s="231"/>
      <c r="AB280" s="231"/>
      <c r="AC280" s="231"/>
      <c r="AD280" s="231"/>
      <c r="AE280" s="231"/>
      <c r="AF280" s="231"/>
    </row>
    <row r="281" spans="1:32" s="203" customFormat="1">
      <c r="A281" s="165"/>
      <c r="B281" s="47"/>
      <c r="C281" s="47"/>
      <c r="D281" s="47"/>
      <c r="E281" s="859"/>
      <c r="F281" s="859"/>
      <c r="G281" s="130"/>
      <c r="H281" s="859"/>
      <c r="I281" s="21"/>
      <c r="J281" s="231"/>
      <c r="K281" s="231"/>
      <c r="L281" s="231"/>
      <c r="M281" s="231"/>
      <c r="N281" s="231"/>
      <c r="O281" s="231"/>
      <c r="P281" s="231"/>
      <c r="Q281" s="231"/>
      <c r="R281" s="231"/>
      <c r="S281" s="231"/>
      <c r="T281" s="231"/>
      <c r="U281" s="231"/>
      <c r="V281" s="231"/>
      <c r="W281" s="231"/>
      <c r="X281" s="231"/>
      <c r="Y281" s="231"/>
      <c r="Z281" s="231"/>
      <c r="AA281" s="231"/>
      <c r="AB281" s="231"/>
      <c r="AC281" s="231"/>
      <c r="AD281" s="231"/>
      <c r="AE281" s="231"/>
      <c r="AF281" s="231"/>
    </row>
    <row r="282" spans="1:32" s="203" customFormat="1" ht="21.75" customHeight="1">
      <c r="A282" s="109"/>
      <c r="B282" s="174"/>
      <c r="C282" s="174"/>
      <c r="D282" s="174"/>
      <c r="E282" s="859"/>
      <c r="F282" s="859"/>
      <c r="G282" s="130"/>
      <c r="H282" s="859"/>
      <c r="I282" s="21"/>
      <c r="J282" s="231"/>
      <c r="K282" s="231"/>
      <c r="L282" s="231"/>
      <c r="M282" s="231"/>
      <c r="N282" s="231"/>
      <c r="O282" s="231"/>
      <c r="P282" s="231"/>
      <c r="Q282" s="231"/>
      <c r="R282" s="231"/>
      <c r="S282" s="231"/>
      <c r="T282" s="231"/>
      <c r="U282" s="231"/>
      <c r="V282" s="231"/>
      <c r="W282" s="231"/>
      <c r="X282" s="231"/>
      <c r="Y282" s="231"/>
      <c r="Z282" s="231"/>
      <c r="AA282" s="231"/>
      <c r="AB282" s="231"/>
      <c r="AC282" s="231"/>
      <c r="AD282" s="231"/>
      <c r="AE282" s="231"/>
      <c r="AF282" s="231"/>
    </row>
    <row r="283" spans="1:32" s="203" customFormat="1">
      <c r="A283" s="154" t="s">
        <v>215</v>
      </c>
      <c r="B283" s="47"/>
      <c r="C283" s="47"/>
      <c r="D283" s="47"/>
      <c r="E283" s="859"/>
      <c r="F283" s="859"/>
      <c r="G283" s="130"/>
      <c r="H283" s="859"/>
      <c r="I283" s="21"/>
      <c r="J283" s="231"/>
      <c r="K283" s="231"/>
      <c r="L283" s="231"/>
      <c r="M283" s="231"/>
      <c r="N283" s="231"/>
      <c r="O283" s="231"/>
      <c r="P283" s="231"/>
      <c r="Q283" s="231"/>
      <c r="R283" s="231"/>
      <c r="S283" s="231"/>
      <c r="T283" s="231"/>
      <c r="U283" s="231"/>
      <c r="V283" s="231"/>
      <c r="W283" s="231"/>
      <c r="X283" s="231"/>
      <c r="Y283" s="231"/>
      <c r="Z283" s="231"/>
      <c r="AA283" s="231"/>
      <c r="AB283" s="231"/>
      <c r="AC283" s="231"/>
      <c r="AD283" s="231"/>
      <c r="AE283" s="231"/>
      <c r="AF283" s="231"/>
    </row>
    <row r="284" spans="1:32" s="203" customFormat="1">
      <c r="A284" s="109" t="s">
        <v>83</v>
      </c>
      <c r="B284" s="174"/>
      <c r="C284" s="174"/>
      <c r="D284" s="174"/>
      <c r="E284" s="860"/>
      <c r="F284" s="860"/>
      <c r="G284" s="130"/>
      <c r="H284" s="860"/>
      <c r="I284" s="21"/>
      <c r="J284" s="231"/>
      <c r="K284" s="231"/>
      <c r="L284" s="231"/>
      <c r="M284" s="231"/>
      <c r="N284" s="231"/>
      <c r="O284" s="231"/>
      <c r="P284" s="231"/>
      <c r="Q284" s="231"/>
      <c r="R284" s="231"/>
      <c r="S284" s="231"/>
      <c r="T284" s="231"/>
      <c r="U284" s="231"/>
      <c r="V284" s="231"/>
      <c r="W284" s="231"/>
      <c r="X284" s="231"/>
      <c r="Y284" s="231"/>
      <c r="Z284" s="231"/>
      <c r="AA284" s="231"/>
      <c r="AB284" s="231"/>
      <c r="AC284" s="231"/>
      <c r="AD284" s="231"/>
      <c r="AE284" s="231"/>
      <c r="AF284" s="231"/>
    </row>
    <row r="285" spans="1:32" s="203" customFormat="1">
      <c r="A285" s="110" t="s">
        <v>84</v>
      </c>
      <c r="B285" s="116"/>
      <c r="C285" s="116"/>
      <c r="D285" s="116"/>
      <c r="E285" s="178"/>
      <c r="F285" s="146"/>
      <c r="G285" s="118"/>
      <c r="H285" s="146"/>
      <c r="I285" s="21"/>
      <c r="J285" s="231"/>
      <c r="K285" s="231"/>
      <c r="L285" s="231"/>
      <c r="M285" s="231"/>
      <c r="N285" s="231"/>
      <c r="O285" s="231"/>
      <c r="P285" s="231"/>
      <c r="Q285" s="231"/>
      <c r="R285" s="231"/>
      <c r="S285" s="231"/>
      <c r="T285" s="231"/>
      <c r="U285" s="231"/>
      <c r="V285" s="231"/>
      <c r="W285" s="231"/>
      <c r="X285" s="231"/>
      <c r="Y285" s="231"/>
      <c r="Z285" s="231"/>
      <c r="AA285" s="231"/>
      <c r="AB285" s="231"/>
      <c r="AC285" s="231"/>
      <c r="AD285" s="231"/>
      <c r="AE285" s="231"/>
      <c r="AF285" s="231"/>
    </row>
    <row r="286" spans="1:32" s="203" customFormat="1">
      <c r="A286" s="120">
        <v>1</v>
      </c>
      <c r="B286" s="47" t="s">
        <v>216</v>
      </c>
      <c r="C286" s="47"/>
      <c r="D286" s="47"/>
      <c r="E286" s="74">
        <v>858</v>
      </c>
      <c r="F286" s="52">
        <v>577</v>
      </c>
      <c r="G286" s="118"/>
      <c r="H286" s="122">
        <v>576</v>
      </c>
      <c r="I286" s="21"/>
      <c r="J286" s="231"/>
      <c r="K286" s="231"/>
      <c r="L286" s="231"/>
      <c r="M286" s="231"/>
      <c r="N286" s="231"/>
      <c r="O286" s="231"/>
      <c r="P286" s="231"/>
      <c r="Q286" s="231"/>
      <c r="R286" s="231"/>
      <c r="S286" s="231"/>
      <c r="T286" s="231"/>
      <c r="U286" s="231"/>
      <c r="V286" s="231"/>
      <c r="W286" s="231"/>
      <c r="X286" s="231"/>
      <c r="Y286" s="231"/>
      <c r="Z286" s="231"/>
      <c r="AA286" s="231"/>
      <c r="AB286" s="231"/>
      <c r="AC286" s="231"/>
      <c r="AD286" s="231"/>
      <c r="AE286" s="231"/>
      <c r="AF286" s="231"/>
    </row>
    <row r="287" spans="1:32" s="203" customFormat="1">
      <c r="A287" s="739">
        <v>2</v>
      </c>
      <c r="B287" s="47" t="s">
        <v>217</v>
      </c>
      <c r="C287" s="47"/>
      <c r="D287" s="47"/>
      <c r="E287" s="114">
        <v>391</v>
      </c>
      <c r="F287" s="52">
        <v>362</v>
      </c>
      <c r="G287" s="118"/>
      <c r="H287" s="122">
        <v>348</v>
      </c>
      <c r="I287" s="21"/>
      <c r="J287" s="231"/>
      <c r="K287" s="231"/>
      <c r="L287" s="231"/>
      <c r="M287" s="231"/>
      <c r="N287" s="231"/>
      <c r="O287" s="231"/>
      <c r="P287" s="231"/>
      <c r="Q287" s="231"/>
      <c r="R287" s="231"/>
      <c r="S287" s="231"/>
      <c r="T287" s="231"/>
      <c r="U287" s="231"/>
      <c r="V287" s="231"/>
      <c r="W287" s="231"/>
      <c r="X287" s="231"/>
      <c r="Y287" s="231"/>
      <c r="Z287" s="231"/>
      <c r="AA287" s="231"/>
      <c r="AB287" s="231"/>
      <c r="AC287" s="231"/>
      <c r="AD287" s="231"/>
      <c r="AE287" s="231"/>
      <c r="AF287" s="231"/>
    </row>
    <row r="288" spans="1:32" s="203" customFormat="1">
      <c r="A288" s="120">
        <v>3</v>
      </c>
      <c r="B288" s="90" t="s">
        <v>218</v>
      </c>
      <c r="C288" s="166"/>
      <c r="D288" s="168"/>
      <c r="E288" s="114">
        <v>1475</v>
      </c>
      <c r="F288" s="52">
        <v>1423</v>
      </c>
      <c r="G288" s="118"/>
      <c r="H288" s="122">
        <v>1181</v>
      </c>
      <c r="I288" s="21"/>
      <c r="J288" s="231"/>
      <c r="K288" s="231"/>
      <c r="L288" s="231"/>
      <c r="M288" s="231"/>
      <c r="N288" s="231"/>
      <c r="O288" s="231"/>
      <c r="P288" s="231"/>
      <c r="Q288" s="231"/>
      <c r="R288" s="231"/>
      <c r="S288" s="231"/>
      <c r="T288" s="231"/>
      <c r="U288" s="231"/>
      <c r="V288" s="231"/>
      <c r="W288" s="231"/>
      <c r="X288" s="231"/>
      <c r="Y288" s="231"/>
      <c r="Z288" s="231"/>
      <c r="AA288" s="231"/>
      <c r="AB288" s="231"/>
      <c r="AC288" s="231"/>
      <c r="AD288" s="231"/>
      <c r="AE288" s="231"/>
      <c r="AF288" s="231"/>
    </row>
    <row r="289" spans="1:32" s="203" customFormat="1">
      <c r="A289" s="739">
        <v>4</v>
      </c>
      <c r="B289" s="47" t="s">
        <v>219</v>
      </c>
      <c r="C289" s="47"/>
      <c r="D289" s="116"/>
      <c r="E289" s="114">
        <v>188</v>
      </c>
      <c r="F289" s="52">
        <v>196</v>
      </c>
      <c r="G289" s="118"/>
      <c r="H289" s="122">
        <v>199</v>
      </c>
      <c r="I289" s="21"/>
      <c r="J289" s="231"/>
      <c r="K289" s="231"/>
      <c r="L289" s="231"/>
      <c r="M289" s="231"/>
      <c r="N289" s="231"/>
      <c r="O289" s="231"/>
      <c r="P289" s="231"/>
      <c r="Q289" s="231"/>
      <c r="R289" s="231"/>
      <c r="S289" s="231"/>
      <c r="T289" s="231"/>
      <c r="U289" s="231"/>
      <c r="V289" s="231"/>
      <c r="W289" s="231"/>
      <c r="X289" s="231"/>
      <c r="Y289" s="231"/>
      <c r="Z289" s="231"/>
      <c r="AA289" s="231"/>
      <c r="AB289" s="231"/>
      <c r="AC289" s="231"/>
      <c r="AD289" s="231"/>
      <c r="AE289" s="231"/>
      <c r="AF289" s="231"/>
    </row>
    <row r="290" spans="1:32" s="203" customFormat="1">
      <c r="A290" s="739">
        <v>5</v>
      </c>
      <c r="B290" s="47" t="s">
        <v>220</v>
      </c>
      <c r="C290" s="47"/>
      <c r="D290" s="47"/>
      <c r="E290" s="114">
        <v>271</v>
      </c>
      <c r="F290" s="52">
        <v>214</v>
      </c>
      <c r="G290" s="118"/>
      <c r="H290" s="122">
        <v>240</v>
      </c>
      <c r="I290" s="21"/>
      <c r="J290" s="231"/>
      <c r="K290" s="231"/>
      <c r="L290" s="231"/>
      <c r="M290" s="231"/>
      <c r="N290" s="231"/>
      <c r="O290" s="231"/>
      <c r="P290" s="231"/>
      <c r="Q290" s="231"/>
      <c r="R290" s="231"/>
      <c r="S290" s="231"/>
      <c r="T290" s="231"/>
      <c r="U290" s="231"/>
      <c r="V290" s="231"/>
      <c r="W290" s="231"/>
      <c r="X290" s="231"/>
      <c r="Y290" s="231"/>
      <c r="Z290" s="231"/>
      <c r="AA290" s="231"/>
      <c r="AB290" s="231"/>
      <c r="AC290" s="231"/>
      <c r="AD290" s="231"/>
      <c r="AE290" s="231"/>
      <c r="AF290" s="231"/>
    </row>
    <row r="291" spans="1:32" s="203" customFormat="1">
      <c r="A291" s="120">
        <v>6</v>
      </c>
      <c r="B291" s="47" t="s">
        <v>221</v>
      </c>
      <c r="C291" s="47"/>
      <c r="D291" s="47"/>
      <c r="E291" s="114">
        <v>134</v>
      </c>
      <c r="F291" s="52">
        <v>103</v>
      </c>
      <c r="G291" s="118"/>
      <c r="H291" s="122">
        <v>99</v>
      </c>
      <c r="I291" s="21"/>
      <c r="J291" s="231"/>
      <c r="K291" s="231"/>
      <c r="L291" s="231"/>
      <c r="M291" s="231"/>
      <c r="N291" s="231"/>
      <c r="O291" s="231"/>
      <c r="P291" s="231"/>
      <c r="Q291" s="231"/>
      <c r="R291" s="231"/>
      <c r="S291" s="231"/>
      <c r="T291" s="231"/>
      <c r="U291" s="231"/>
      <c r="V291" s="231"/>
      <c r="W291" s="231"/>
      <c r="X291" s="231"/>
      <c r="Y291" s="231"/>
      <c r="Z291" s="231"/>
      <c r="AA291" s="231"/>
      <c r="AB291" s="231"/>
      <c r="AC291" s="231"/>
      <c r="AD291" s="231"/>
      <c r="AE291" s="231"/>
      <c r="AF291" s="231"/>
    </row>
    <row r="292" spans="1:32" s="203" customFormat="1">
      <c r="A292" s="739">
        <v>7</v>
      </c>
      <c r="B292" s="47" t="s">
        <v>222</v>
      </c>
      <c r="C292" s="47"/>
      <c r="D292" s="116"/>
      <c r="E292" s="114">
        <v>249</v>
      </c>
      <c r="F292" s="52">
        <v>249</v>
      </c>
      <c r="G292" s="118"/>
      <c r="H292" s="122">
        <v>251</v>
      </c>
      <c r="I292" s="21"/>
      <c r="J292" s="231"/>
      <c r="K292" s="231"/>
      <c r="L292" s="231"/>
      <c r="M292" s="231"/>
      <c r="N292" s="231"/>
      <c r="O292" s="231"/>
      <c r="P292" s="231"/>
      <c r="Q292" s="231"/>
      <c r="R292" s="231"/>
      <c r="S292" s="231"/>
      <c r="T292" s="231"/>
      <c r="U292" s="231"/>
      <c r="V292" s="231"/>
      <c r="W292" s="231"/>
      <c r="X292" s="231"/>
      <c r="Y292" s="231"/>
      <c r="Z292" s="231"/>
      <c r="AA292" s="231"/>
      <c r="AB292" s="231"/>
      <c r="AC292" s="231"/>
      <c r="AD292" s="231"/>
      <c r="AE292" s="231"/>
      <c r="AF292" s="231"/>
    </row>
    <row r="293" spans="1:32" s="203" customFormat="1">
      <c r="A293" s="120">
        <v>8</v>
      </c>
      <c r="B293" s="47" t="s">
        <v>223</v>
      </c>
      <c r="C293" s="47"/>
      <c r="D293" s="116"/>
      <c r="E293" s="114">
        <v>622</v>
      </c>
      <c r="F293" s="52">
        <v>622</v>
      </c>
      <c r="G293" s="118"/>
      <c r="H293" s="122">
        <v>629</v>
      </c>
      <c r="I293" s="21"/>
      <c r="J293" s="231"/>
      <c r="K293" s="231"/>
      <c r="L293" s="231"/>
      <c r="M293" s="231"/>
      <c r="N293" s="231"/>
      <c r="O293" s="231"/>
      <c r="P293" s="231"/>
      <c r="Q293" s="231"/>
      <c r="R293" s="231"/>
      <c r="S293" s="231"/>
      <c r="T293" s="231"/>
      <c r="U293" s="231"/>
      <c r="V293" s="231"/>
      <c r="W293" s="231"/>
      <c r="X293" s="231"/>
      <c r="Y293" s="231"/>
      <c r="Z293" s="231"/>
      <c r="AA293" s="231"/>
      <c r="AB293" s="231"/>
      <c r="AC293" s="231"/>
      <c r="AD293" s="231"/>
      <c r="AE293" s="231"/>
      <c r="AF293" s="231"/>
    </row>
    <row r="294" spans="1:32" s="203" customFormat="1">
      <c r="A294" s="739">
        <v>9</v>
      </c>
      <c r="B294" s="47" t="s">
        <v>224</v>
      </c>
      <c r="C294" s="47"/>
      <c r="D294" s="116"/>
      <c r="E294" s="114">
        <v>374</v>
      </c>
      <c r="F294" s="52">
        <v>374</v>
      </c>
      <c r="G294" s="118"/>
      <c r="H294" s="122">
        <v>377</v>
      </c>
      <c r="I294" s="21"/>
      <c r="J294" s="231"/>
      <c r="K294" s="231"/>
      <c r="L294" s="231"/>
      <c r="M294" s="231"/>
      <c r="N294" s="231"/>
      <c r="O294" s="231"/>
      <c r="P294" s="231"/>
      <c r="Q294" s="231"/>
      <c r="R294" s="231"/>
      <c r="S294" s="231"/>
      <c r="T294" s="231"/>
      <c r="U294" s="231"/>
      <c r="V294" s="231"/>
      <c r="W294" s="231"/>
      <c r="X294" s="231"/>
      <c r="Y294" s="231"/>
      <c r="Z294" s="231"/>
      <c r="AA294" s="231"/>
      <c r="AB294" s="231"/>
      <c r="AC294" s="231"/>
      <c r="AD294" s="231"/>
      <c r="AE294" s="231"/>
      <c r="AF294" s="231"/>
    </row>
    <row r="295" spans="1:32" s="203" customFormat="1">
      <c r="A295" s="120">
        <v>10</v>
      </c>
      <c r="B295" s="47" t="s">
        <v>225</v>
      </c>
      <c r="C295" s="47"/>
      <c r="D295" s="47"/>
      <c r="E295" s="114">
        <v>177</v>
      </c>
      <c r="F295" s="52">
        <v>160</v>
      </c>
      <c r="G295" s="118"/>
      <c r="H295" s="122">
        <v>165</v>
      </c>
      <c r="I295" s="21"/>
      <c r="J295" s="231"/>
      <c r="K295" s="231"/>
      <c r="L295" s="231"/>
      <c r="M295" s="231"/>
      <c r="N295" s="231"/>
      <c r="O295" s="231"/>
      <c r="P295" s="231"/>
      <c r="Q295" s="231"/>
      <c r="R295" s="231"/>
      <c r="S295" s="231"/>
      <c r="T295" s="231"/>
      <c r="U295" s="231"/>
      <c r="V295" s="231"/>
      <c r="W295" s="231"/>
      <c r="X295" s="231"/>
      <c r="Y295" s="231"/>
      <c r="Z295" s="231"/>
      <c r="AA295" s="231"/>
      <c r="AB295" s="231"/>
      <c r="AC295" s="231"/>
      <c r="AD295" s="231"/>
      <c r="AE295" s="231"/>
      <c r="AF295" s="231"/>
    </row>
    <row r="296" spans="1:32" s="203" customFormat="1">
      <c r="A296" s="739">
        <v>11</v>
      </c>
      <c r="B296" s="47" t="s">
        <v>226</v>
      </c>
      <c r="C296" s="47"/>
      <c r="D296" s="47"/>
      <c r="E296" s="114">
        <v>420</v>
      </c>
      <c r="F296" s="52">
        <v>420</v>
      </c>
      <c r="G296" s="118"/>
      <c r="H296" s="122">
        <v>414</v>
      </c>
      <c r="I296" s="21"/>
      <c r="J296" s="231"/>
      <c r="K296" s="231"/>
      <c r="L296" s="231"/>
      <c r="M296" s="231"/>
      <c r="N296" s="231"/>
      <c r="O296" s="231"/>
      <c r="P296" s="231"/>
      <c r="Q296" s="231"/>
      <c r="R296" s="231"/>
      <c r="S296" s="231"/>
      <c r="T296" s="231"/>
      <c r="U296" s="231"/>
      <c r="V296" s="231"/>
      <c r="W296" s="231"/>
      <c r="X296" s="231"/>
      <c r="Y296" s="231"/>
      <c r="Z296" s="231"/>
      <c r="AA296" s="231"/>
      <c r="AB296" s="231"/>
      <c r="AC296" s="231"/>
      <c r="AD296" s="231"/>
      <c r="AE296" s="231"/>
      <c r="AF296" s="231"/>
    </row>
    <row r="297" spans="1:32" s="203" customFormat="1">
      <c r="A297" s="120">
        <v>12</v>
      </c>
      <c r="B297" s="47" t="s">
        <v>227</v>
      </c>
      <c r="C297" s="47"/>
      <c r="D297" s="47"/>
      <c r="E297" s="114">
        <v>75</v>
      </c>
      <c r="F297" s="52">
        <v>109</v>
      </c>
      <c r="G297" s="118"/>
      <c r="H297" s="122">
        <v>70</v>
      </c>
      <c r="I297" s="21"/>
      <c r="J297" s="231"/>
      <c r="K297" s="231"/>
      <c r="L297" s="231"/>
      <c r="M297" s="231"/>
      <c r="N297" s="231"/>
      <c r="O297" s="231"/>
      <c r="P297" s="231"/>
      <c r="Q297" s="231"/>
      <c r="R297" s="231"/>
      <c r="S297" s="231"/>
      <c r="T297" s="231"/>
      <c r="U297" s="231"/>
      <c r="V297" s="231"/>
      <c r="W297" s="231"/>
      <c r="X297" s="231"/>
      <c r="Y297" s="231"/>
      <c r="Z297" s="231"/>
      <c r="AA297" s="231"/>
      <c r="AB297" s="231"/>
      <c r="AC297" s="231"/>
      <c r="AD297" s="231"/>
      <c r="AE297" s="231"/>
      <c r="AF297" s="231"/>
    </row>
    <row r="298" spans="1:32" s="203" customFormat="1">
      <c r="A298" s="739">
        <v>13</v>
      </c>
      <c r="B298" s="47" t="s">
        <v>228</v>
      </c>
      <c r="C298" s="47"/>
      <c r="D298" s="47"/>
      <c r="E298" s="114">
        <v>2876</v>
      </c>
      <c r="F298" s="52">
        <v>2359</v>
      </c>
      <c r="G298" s="118"/>
      <c r="H298" s="122">
        <v>2244</v>
      </c>
      <c r="I298" s="21"/>
      <c r="J298" s="231"/>
      <c r="K298" s="231"/>
      <c r="L298" s="231"/>
      <c r="M298" s="231"/>
      <c r="N298" s="231"/>
      <c r="O298" s="231"/>
      <c r="P298" s="231"/>
      <c r="Q298" s="231"/>
      <c r="R298" s="231"/>
      <c r="S298" s="231"/>
      <c r="T298" s="231"/>
      <c r="U298" s="231"/>
      <c r="V298" s="231"/>
      <c r="W298" s="231"/>
      <c r="X298" s="231"/>
      <c r="Y298" s="231"/>
      <c r="Z298" s="231"/>
      <c r="AA298" s="231"/>
      <c r="AB298" s="231"/>
      <c r="AC298" s="231"/>
      <c r="AD298" s="231"/>
      <c r="AE298" s="231"/>
      <c r="AF298" s="231"/>
    </row>
    <row r="299" spans="1:32" s="203" customFormat="1">
      <c r="A299" s="120">
        <v>14</v>
      </c>
      <c r="B299" s="47" t="s">
        <v>229</v>
      </c>
      <c r="C299" s="47"/>
      <c r="D299" s="116"/>
      <c r="E299" s="114">
        <v>0</v>
      </c>
      <c r="F299" s="52">
        <v>0</v>
      </c>
      <c r="G299" s="118"/>
      <c r="H299" s="122"/>
      <c r="I299" s="21"/>
      <c r="J299" s="231"/>
      <c r="K299" s="231"/>
      <c r="L299" s="231"/>
      <c r="M299" s="231"/>
      <c r="N299" s="231"/>
      <c r="O299" s="231"/>
      <c r="P299" s="231"/>
      <c r="Q299" s="231"/>
      <c r="R299" s="231"/>
      <c r="S299" s="231"/>
      <c r="T299" s="231"/>
      <c r="U299" s="231"/>
      <c r="V299" s="231"/>
      <c r="W299" s="231"/>
      <c r="X299" s="231"/>
      <c r="Y299" s="231"/>
      <c r="Z299" s="231"/>
      <c r="AA299" s="231"/>
      <c r="AB299" s="231"/>
      <c r="AC299" s="231"/>
      <c r="AD299" s="231"/>
      <c r="AE299" s="231"/>
      <c r="AF299" s="231"/>
    </row>
    <row r="300" spans="1:32" s="203" customFormat="1">
      <c r="A300" s="739">
        <v>15</v>
      </c>
      <c r="B300" s="47" t="s">
        <v>230</v>
      </c>
      <c r="C300" s="47"/>
      <c r="D300" s="116"/>
      <c r="E300" s="114">
        <v>2220</v>
      </c>
      <c r="F300" s="52">
        <v>2220</v>
      </c>
      <c r="G300" s="118"/>
      <c r="H300" s="122">
        <v>2220</v>
      </c>
      <c r="I300" s="21"/>
      <c r="J300" s="231"/>
      <c r="K300" s="231"/>
      <c r="L300" s="231"/>
      <c r="M300" s="231"/>
      <c r="N300" s="231"/>
      <c r="O300" s="231"/>
      <c r="P300" s="231"/>
      <c r="Q300" s="231"/>
      <c r="R300" s="231"/>
      <c r="S300" s="231"/>
      <c r="T300" s="231"/>
      <c r="U300" s="231"/>
      <c r="V300" s="231"/>
      <c r="W300" s="231"/>
      <c r="X300" s="231"/>
      <c r="Y300" s="231"/>
      <c r="Z300" s="231"/>
      <c r="AA300" s="231"/>
      <c r="AB300" s="231"/>
      <c r="AC300" s="231"/>
      <c r="AD300" s="231"/>
      <c r="AE300" s="231"/>
      <c r="AF300" s="231"/>
    </row>
    <row r="301" spans="1:32" s="203" customFormat="1">
      <c r="A301" s="120">
        <v>17</v>
      </c>
      <c r="B301" s="47" t="s">
        <v>231</v>
      </c>
      <c r="C301" s="47"/>
      <c r="D301" s="47"/>
      <c r="E301" s="114">
        <v>3086</v>
      </c>
      <c r="F301" s="52">
        <v>2649</v>
      </c>
      <c r="G301" s="118"/>
      <c r="H301" s="99">
        <v>3093</v>
      </c>
      <c r="I301" s="21"/>
      <c r="J301" s="231"/>
      <c r="K301" s="231"/>
      <c r="L301" s="231"/>
      <c r="M301" s="231"/>
      <c r="N301" s="231"/>
      <c r="O301" s="231"/>
      <c r="P301" s="231"/>
      <c r="Q301" s="231"/>
      <c r="R301" s="231"/>
      <c r="S301" s="231"/>
      <c r="T301" s="231"/>
      <c r="U301" s="231"/>
      <c r="V301" s="231"/>
      <c r="W301" s="231"/>
      <c r="X301" s="231"/>
      <c r="Y301" s="231"/>
      <c r="Z301" s="231"/>
      <c r="AA301" s="231"/>
      <c r="AB301" s="231"/>
      <c r="AC301" s="231"/>
      <c r="AD301" s="231"/>
      <c r="AE301" s="231"/>
      <c r="AF301" s="231"/>
    </row>
    <row r="302" spans="1:32" s="203" customFormat="1">
      <c r="A302" s="740">
        <v>18</v>
      </c>
      <c r="B302" s="94" t="s">
        <v>232</v>
      </c>
      <c r="C302" s="94"/>
      <c r="D302" s="94"/>
      <c r="E302" s="159">
        <v>13416</v>
      </c>
      <c r="F302" s="61">
        <f>SUM(F286:F301)</f>
        <v>12037</v>
      </c>
      <c r="G302" s="118"/>
      <c r="H302" s="61">
        <f>SUM(H286:H301)</f>
        <v>12106</v>
      </c>
      <c r="I302" s="21"/>
      <c r="J302" s="231"/>
      <c r="K302" s="231"/>
      <c r="L302" s="231"/>
      <c r="M302" s="231"/>
      <c r="N302" s="231"/>
      <c r="O302" s="231"/>
      <c r="P302" s="231"/>
      <c r="Q302" s="231"/>
      <c r="R302" s="231"/>
      <c r="S302" s="231"/>
      <c r="T302" s="231"/>
      <c r="U302" s="231"/>
      <c r="V302" s="231"/>
      <c r="W302" s="231"/>
      <c r="X302" s="231"/>
      <c r="Y302" s="231"/>
      <c r="Z302" s="231"/>
      <c r="AA302" s="231"/>
      <c r="AB302" s="231"/>
      <c r="AC302" s="231"/>
      <c r="AD302" s="231"/>
      <c r="AE302" s="231"/>
      <c r="AF302" s="231"/>
    </row>
    <row r="303" spans="1:32" s="203" customFormat="1">
      <c r="A303" s="179"/>
      <c r="B303" s="180"/>
      <c r="C303" s="180"/>
      <c r="D303" s="181"/>
      <c r="E303" s="182"/>
      <c r="F303" s="183"/>
      <c r="G303" s="21"/>
      <c r="H303" s="183"/>
      <c r="I303" s="21"/>
      <c r="J303" s="231"/>
      <c r="K303" s="231"/>
      <c r="L303" s="231"/>
      <c r="M303" s="231"/>
      <c r="N303" s="231"/>
      <c r="O303" s="231"/>
      <c r="P303" s="231"/>
      <c r="Q303" s="231"/>
      <c r="R303" s="231"/>
      <c r="S303" s="231"/>
      <c r="T303" s="231"/>
      <c r="U303" s="231"/>
      <c r="V303" s="231"/>
      <c r="W303" s="231"/>
      <c r="X303" s="231"/>
      <c r="Y303" s="231"/>
      <c r="Z303" s="231"/>
      <c r="AA303" s="231"/>
      <c r="AB303" s="231"/>
      <c r="AC303" s="231"/>
      <c r="AD303" s="231"/>
      <c r="AE303" s="231"/>
      <c r="AF303" s="231"/>
    </row>
    <row r="304" spans="1:32" s="203" customFormat="1">
      <c r="A304" s="184"/>
      <c r="B304" s="207"/>
      <c r="C304" s="207"/>
      <c r="D304" s="209"/>
      <c r="E304" s="185"/>
      <c r="F304" s="207"/>
      <c r="G304" s="207"/>
      <c r="H304" s="131" t="s">
        <v>27</v>
      </c>
      <c r="I304" s="21"/>
      <c r="J304" s="231"/>
      <c r="K304" s="231"/>
      <c r="L304" s="231"/>
      <c r="M304" s="231"/>
      <c r="N304" s="231"/>
      <c r="O304" s="231"/>
      <c r="P304" s="231"/>
      <c r="Q304" s="231"/>
      <c r="R304" s="231"/>
      <c r="S304" s="231"/>
      <c r="T304" s="231"/>
      <c r="U304" s="231"/>
      <c r="V304" s="231"/>
      <c r="W304" s="231"/>
      <c r="X304" s="231"/>
      <c r="Y304" s="231"/>
      <c r="Z304" s="231"/>
      <c r="AA304" s="231"/>
      <c r="AB304" s="231"/>
      <c r="AC304" s="231"/>
      <c r="AD304" s="231"/>
      <c r="AE304" s="231"/>
      <c r="AF304" s="231"/>
    </row>
    <row r="305" spans="1:32" s="203" customFormat="1" ht="12.75" customHeight="1">
      <c r="A305" s="106" t="s">
        <v>21</v>
      </c>
      <c r="B305" s="164"/>
      <c r="C305" s="164"/>
      <c r="D305" s="164"/>
      <c r="E305" s="856" t="s">
        <v>377</v>
      </c>
      <c r="F305" s="856" t="s">
        <v>402</v>
      </c>
      <c r="G305" s="130"/>
      <c r="H305" s="856" t="s">
        <v>403</v>
      </c>
      <c r="I305" s="21"/>
      <c r="J305" s="231"/>
      <c r="K305" s="231"/>
      <c r="L305" s="231"/>
      <c r="M305" s="231"/>
      <c r="N305" s="231"/>
      <c r="O305" s="231"/>
      <c r="P305" s="231"/>
      <c r="Q305" s="231"/>
      <c r="R305" s="231"/>
      <c r="S305" s="231"/>
      <c r="T305" s="231"/>
      <c r="U305" s="231"/>
      <c r="V305" s="231"/>
      <c r="W305" s="231"/>
      <c r="X305" s="231"/>
      <c r="Y305" s="231"/>
      <c r="Z305" s="231"/>
      <c r="AA305" s="231"/>
      <c r="AB305" s="231"/>
      <c r="AC305" s="231"/>
      <c r="AD305" s="231"/>
      <c r="AE305" s="231"/>
      <c r="AF305" s="231"/>
    </row>
    <row r="306" spans="1:32" s="203" customFormat="1">
      <c r="A306" s="165"/>
      <c r="B306" s="47"/>
      <c r="C306" s="47"/>
      <c r="D306" s="47"/>
      <c r="E306" s="859"/>
      <c r="F306" s="859"/>
      <c r="G306" s="130"/>
      <c r="H306" s="859"/>
      <c r="I306" s="21"/>
      <c r="J306" s="231"/>
      <c r="K306" s="231"/>
      <c r="L306" s="231"/>
      <c r="M306" s="231"/>
      <c r="N306" s="231"/>
      <c r="O306" s="231"/>
      <c r="P306" s="231"/>
      <c r="Q306" s="231"/>
      <c r="R306" s="231"/>
      <c r="S306" s="231"/>
      <c r="T306" s="231"/>
      <c r="U306" s="231"/>
      <c r="V306" s="231"/>
      <c r="W306" s="231"/>
      <c r="X306" s="231"/>
      <c r="Y306" s="231"/>
      <c r="Z306" s="231"/>
      <c r="AA306" s="231"/>
      <c r="AB306" s="231"/>
      <c r="AC306" s="231"/>
      <c r="AD306" s="231"/>
      <c r="AE306" s="231"/>
      <c r="AF306" s="231"/>
    </row>
    <row r="307" spans="1:32" s="203" customFormat="1" ht="12.75" customHeight="1">
      <c r="A307" s="109"/>
      <c r="B307" s="174"/>
      <c r="C307" s="174"/>
      <c r="D307" s="174"/>
      <c r="E307" s="859"/>
      <c r="F307" s="859"/>
      <c r="G307" s="130"/>
      <c r="H307" s="859"/>
      <c r="I307" s="21"/>
      <c r="J307" s="231"/>
      <c r="K307" s="231"/>
      <c r="L307" s="231"/>
      <c r="M307" s="231"/>
      <c r="N307" s="231"/>
      <c r="O307" s="231"/>
      <c r="P307" s="231"/>
      <c r="Q307" s="231"/>
      <c r="R307" s="231"/>
      <c r="S307" s="231"/>
      <c r="T307" s="231"/>
      <c r="U307" s="231"/>
      <c r="V307" s="231"/>
      <c r="W307" s="231"/>
      <c r="X307" s="231"/>
      <c r="Y307" s="231"/>
      <c r="Z307" s="231"/>
      <c r="AA307" s="231"/>
      <c r="AB307" s="231"/>
      <c r="AC307" s="231"/>
      <c r="AD307" s="231"/>
      <c r="AE307" s="231"/>
      <c r="AF307" s="231"/>
    </row>
    <row r="308" spans="1:32" s="203" customFormat="1">
      <c r="A308" s="154" t="s">
        <v>233</v>
      </c>
      <c r="B308" s="47"/>
      <c r="C308" s="47"/>
      <c r="D308" s="47"/>
      <c r="E308" s="859"/>
      <c r="F308" s="859"/>
      <c r="G308" s="130"/>
      <c r="H308" s="859"/>
      <c r="I308" s="21"/>
      <c r="J308" s="231"/>
      <c r="K308" s="231"/>
      <c r="L308" s="231"/>
      <c r="M308" s="231"/>
      <c r="N308" s="231"/>
      <c r="O308" s="231"/>
      <c r="P308" s="231"/>
      <c r="Q308" s="231"/>
      <c r="R308" s="231"/>
      <c r="S308" s="231"/>
      <c r="T308" s="231"/>
      <c r="U308" s="231"/>
      <c r="V308" s="231"/>
      <c r="W308" s="231"/>
      <c r="X308" s="231"/>
      <c r="Y308" s="231"/>
      <c r="Z308" s="231"/>
      <c r="AA308" s="231"/>
      <c r="AB308" s="231"/>
      <c r="AC308" s="231"/>
      <c r="AD308" s="231"/>
      <c r="AE308" s="231"/>
      <c r="AF308" s="231"/>
    </row>
    <row r="309" spans="1:32" s="203" customFormat="1">
      <c r="A309" s="109" t="s">
        <v>83</v>
      </c>
      <c r="B309" s="174"/>
      <c r="C309" s="174"/>
      <c r="D309" s="174"/>
      <c r="E309" s="860"/>
      <c r="F309" s="860"/>
      <c r="G309" s="130"/>
      <c r="H309" s="860"/>
      <c r="I309" s="21"/>
      <c r="J309" s="231"/>
      <c r="K309" s="231"/>
      <c r="L309" s="231"/>
      <c r="M309" s="231"/>
      <c r="N309" s="231"/>
      <c r="O309" s="231"/>
      <c r="P309" s="231"/>
      <c r="Q309" s="231"/>
      <c r="R309" s="231"/>
      <c r="S309" s="231"/>
      <c r="T309" s="231"/>
      <c r="U309" s="231"/>
      <c r="V309" s="231"/>
      <c r="W309" s="231"/>
      <c r="X309" s="231"/>
      <c r="Y309" s="231"/>
      <c r="Z309" s="231"/>
      <c r="AA309" s="231"/>
      <c r="AB309" s="231"/>
      <c r="AC309" s="231"/>
      <c r="AD309" s="231"/>
      <c r="AE309" s="231"/>
      <c r="AF309" s="231"/>
    </row>
    <row r="310" spans="1:32" s="203" customFormat="1">
      <c r="A310" s="110" t="s">
        <v>84</v>
      </c>
      <c r="B310" s="116"/>
      <c r="C310" s="116"/>
      <c r="D310" s="116"/>
      <c r="E310" s="262"/>
      <c r="F310" s="146"/>
      <c r="G310" s="118"/>
      <c r="H310" s="146"/>
      <c r="I310" s="21"/>
      <c r="J310" s="231"/>
      <c r="K310" s="231"/>
      <c r="L310" s="231"/>
      <c r="M310" s="231"/>
      <c r="N310" s="231"/>
      <c r="O310" s="231"/>
      <c r="P310" s="231"/>
      <c r="Q310" s="231"/>
      <c r="R310" s="231"/>
      <c r="S310" s="231"/>
      <c r="T310" s="231"/>
      <c r="U310" s="231"/>
      <c r="V310" s="231"/>
      <c r="W310" s="231"/>
      <c r="X310" s="231"/>
      <c r="Y310" s="231"/>
      <c r="Z310" s="231"/>
      <c r="AA310" s="231"/>
      <c r="AB310" s="231"/>
      <c r="AC310" s="231"/>
      <c r="AD310" s="231"/>
      <c r="AE310" s="231"/>
      <c r="AF310" s="231"/>
    </row>
    <row r="311" spans="1:32" s="203" customFormat="1">
      <c r="A311" s="120">
        <v>1</v>
      </c>
      <c r="B311" s="47" t="s">
        <v>258</v>
      </c>
      <c r="C311" s="47"/>
      <c r="D311" s="186"/>
      <c r="E311" s="74">
        <v>-789</v>
      </c>
      <c r="F311" s="52">
        <v>-748</v>
      </c>
      <c r="G311" s="43"/>
      <c r="H311" s="52">
        <v>-810</v>
      </c>
      <c r="I311" s="21"/>
      <c r="J311" s="231"/>
      <c r="K311" s="231"/>
      <c r="L311" s="231"/>
      <c r="M311" s="231"/>
      <c r="N311" s="231"/>
      <c r="O311" s="231"/>
      <c r="P311" s="231"/>
      <c r="Q311" s="231"/>
      <c r="R311" s="231"/>
      <c r="S311" s="231"/>
      <c r="T311" s="231"/>
      <c r="U311" s="231"/>
      <c r="V311" s="231"/>
      <c r="W311" s="231"/>
      <c r="X311" s="231"/>
      <c r="Y311" s="231"/>
      <c r="Z311" s="231"/>
      <c r="AA311" s="231"/>
      <c r="AB311" s="231"/>
      <c r="AC311" s="231"/>
      <c r="AD311" s="231"/>
      <c r="AE311" s="231"/>
      <c r="AF311" s="231"/>
    </row>
    <row r="312" spans="1:32" s="203" customFormat="1">
      <c r="A312" s="120">
        <v>2</v>
      </c>
      <c r="B312" s="47" t="s">
        <v>234</v>
      </c>
      <c r="C312" s="47"/>
      <c r="D312" s="186"/>
      <c r="E312" s="114">
        <v>1033</v>
      </c>
      <c r="F312" s="52">
        <v>0</v>
      </c>
      <c r="G312" s="43"/>
      <c r="H312" s="52">
        <v>183</v>
      </c>
      <c r="I312" s="21"/>
      <c r="J312" s="231"/>
      <c r="K312" s="231"/>
      <c r="L312" s="231"/>
      <c r="M312" s="231"/>
      <c r="N312" s="231"/>
      <c r="O312" s="231"/>
      <c r="P312" s="231"/>
      <c r="Q312" s="231"/>
      <c r="R312" s="231"/>
      <c r="S312" s="231"/>
      <c r="T312" s="231"/>
      <c r="U312" s="231"/>
      <c r="V312" s="231"/>
      <c r="W312" s="231"/>
      <c r="X312" s="231"/>
      <c r="Y312" s="231"/>
      <c r="Z312" s="231"/>
      <c r="AA312" s="231"/>
      <c r="AB312" s="231"/>
      <c r="AC312" s="231"/>
      <c r="AD312" s="231"/>
      <c r="AE312" s="231"/>
      <c r="AF312" s="231"/>
    </row>
    <row r="313" spans="1:32" s="203" customFormat="1">
      <c r="A313" s="120">
        <v>3</v>
      </c>
      <c r="B313" s="47" t="s">
        <v>259</v>
      </c>
      <c r="C313" s="47"/>
      <c r="D313" s="186"/>
      <c r="E313" s="114">
        <v>-167</v>
      </c>
      <c r="F313" s="52">
        <v>-167</v>
      </c>
      <c r="G313" s="43"/>
      <c r="H313" s="52">
        <v>-300</v>
      </c>
      <c r="I313" s="21"/>
      <c r="J313" s="231"/>
      <c r="K313" s="231"/>
      <c r="L313" s="231"/>
      <c r="M313" s="231"/>
      <c r="N313" s="231"/>
      <c r="O313" s="231"/>
      <c r="P313" s="231"/>
      <c r="Q313" s="231"/>
      <c r="R313" s="231"/>
      <c r="S313" s="231"/>
      <c r="T313" s="231"/>
      <c r="U313" s="231"/>
      <c r="V313" s="231"/>
      <c r="W313" s="231"/>
      <c r="X313" s="231"/>
      <c r="Y313" s="231"/>
      <c r="Z313" s="231"/>
      <c r="AA313" s="231"/>
      <c r="AB313" s="231"/>
      <c r="AC313" s="231"/>
      <c r="AD313" s="231"/>
      <c r="AE313" s="231"/>
      <c r="AF313" s="231"/>
    </row>
    <row r="314" spans="1:32" s="203" customFormat="1">
      <c r="A314" s="120">
        <v>4</v>
      </c>
      <c r="B314" s="47" t="s">
        <v>235</v>
      </c>
      <c r="C314" s="47"/>
      <c r="D314" s="186"/>
      <c r="E314" s="114">
        <v>8646</v>
      </c>
      <c r="F314" s="52">
        <v>9558</v>
      </c>
      <c r="G314" s="43"/>
      <c r="H314" s="52">
        <v>7101</v>
      </c>
      <c r="I314" s="21"/>
      <c r="J314" s="231"/>
      <c r="K314" s="231"/>
      <c r="L314" s="231"/>
      <c r="M314" s="231"/>
      <c r="N314" s="231"/>
      <c r="O314" s="231"/>
      <c r="P314" s="231"/>
      <c r="Q314" s="231"/>
      <c r="R314" s="231"/>
      <c r="S314" s="231"/>
      <c r="T314" s="231"/>
      <c r="U314" s="231"/>
      <c r="V314" s="231"/>
      <c r="W314" s="231"/>
      <c r="X314" s="231"/>
      <c r="Y314" s="231"/>
      <c r="Z314" s="231"/>
      <c r="AA314" s="231"/>
      <c r="AB314" s="231"/>
      <c r="AC314" s="231"/>
      <c r="AD314" s="231"/>
      <c r="AE314" s="231"/>
      <c r="AF314" s="231"/>
    </row>
    <row r="315" spans="1:32" s="203" customFormat="1">
      <c r="A315" s="120">
        <v>5</v>
      </c>
      <c r="B315" s="47" t="s">
        <v>236</v>
      </c>
      <c r="C315" s="47"/>
      <c r="D315" s="186"/>
      <c r="E315" s="114">
        <v>5364</v>
      </c>
      <c r="F315" s="52">
        <v>5364</v>
      </c>
      <c r="G315" s="187"/>
      <c r="H315" s="52">
        <v>6660</v>
      </c>
      <c r="I315" s="21"/>
      <c r="J315" s="231"/>
      <c r="K315" s="231"/>
      <c r="L315" s="231"/>
      <c r="M315" s="231"/>
      <c r="N315" s="231"/>
      <c r="O315" s="231"/>
      <c r="P315" s="231"/>
      <c r="Q315" s="231"/>
      <c r="R315" s="231"/>
      <c r="S315" s="231"/>
      <c r="T315" s="231"/>
      <c r="U315" s="231"/>
      <c r="V315" s="231"/>
      <c r="W315" s="231"/>
      <c r="X315" s="231"/>
      <c r="Y315" s="231"/>
      <c r="Z315" s="231"/>
      <c r="AA315" s="231"/>
      <c r="AB315" s="231"/>
      <c r="AC315" s="231"/>
      <c r="AD315" s="231"/>
      <c r="AE315" s="231"/>
      <c r="AF315" s="231"/>
    </row>
    <row r="316" spans="1:32" s="203" customFormat="1">
      <c r="A316" s="120">
        <v>6</v>
      </c>
      <c r="B316" s="47" t="s">
        <v>237</v>
      </c>
      <c r="C316" s="47"/>
      <c r="D316" s="186"/>
      <c r="E316" s="114">
        <v>19330</v>
      </c>
      <c r="F316" s="52">
        <f>6481+12524</f>
        <v>19005</v>
      </c>
      <c r="G316" s="43"/>
      <c r="H316" s="52">
        <f>7188+12837</f>
        <v>20025</v>
      </c>
      <c r="I316" s="21"/>
      <c r="J316" s="231"/>
      <c r="K316" s="231"/>
      <c r="L316" s="231"/>
      <c r="M316" s="231"/>
      <c r="N316" s="231"/>
      <c r="O316" s="231"/>
      <c r="P316" s="231"/>
      <c r="Q316" s="231"/>
      <c r="R316" s="231"/>
      <c r="S316" s="231"/>
      <c r="T316" s="231"/>
      <c r="U316" s="231"/>
      <c r="V316" s="231"/>
      <c r="W316" s="231"/>
      <c r="X316" s="231"/>
      <c r="Y316" s="231"/>
      <c r="Z316" s="231"/>
      <c r="AA316" s="231"/>
      <c r="AB316" s="231"/>
      <c r="AC316" s="231"/>
      <c r="AD316" s="231"/>
      <c r="AE316" s="231"/>
      <c r="AF316" s="231"/>
    </row>
    <row r="317" spans="1:32" s="203" customFormat="1">
      <c r="A317" s="120">
        <v>7</v>
      </c>
      <c r="B317" s="47" t="s">
        <v>238</v>
      </c>
      <c r="C317" s="47"/>
      <c r="D317" s="186"/>
      <c r="E317" s="114">
        <v>0</v>
      </c>
      <c r="F317" s="52"/>
      <c r="G317" s="43"/>
      <c r="H317" s="52"/>
      <c r="I317" s="21"/>
      <c r="J317" s="231"/>
      <c r="K317" s="231"/>
      <c r="L317" s="231"/>
      <c r="M317" s="231"/>
      <c r="N317" s="231"/>
      <c r="O317" s="231"/>
      <c r="P317" s="231"/>
      <c r="Q317" s="231"/>
      <c r="R317" s="231"/>
      <c r="S317" s="231"/>
      <c r="T317" s="231"/>
      <c r="U317" s="231"/>
      <c r="V317" s="231"/>
      <c r="W317" s="231"/>
      <c r="X317" s="231"/>
      <c r="Y317" s="231"/>
      <c r="Z317" s="231"/>
      <c r="AA317" s="231"/>
      <c r="AB317" s="231"/>
      <c r="AC317" s="231"/>
      <c r="AD317" s="231"/>
      <c r="AE317" s="231"/>
      <c r="AF317" s="231"/>
    </row>
    <row r="318" spans="1:32" s="203" customFormat="1">
      <c r="A318" s="120">
        <v>8</v>
      </c>
      <c r="B318" s="47" t="s">
        <v>239</v>
      </c>
      <c r="C318" s="47"/>
      <c r="D318" s="186"/>
      <c r="E318" s="114">
        <v>69</v>
      </c>
      <c r="F318" s="52">
        <v>65</v>
      </c>
      <c r="G318" s="43"/>
      <c r="H318" s="52">
        <v>72</v>
      </c>
      <c r="I318" s="21"/>
      <c r="J318" s="231"/>
      <c r="K318" s="231"/>
      <c r="L318" s="231"/>
      <c r="M318" s="231"/>
      <c r="N318" s="231"/>
      <c r="O318" s="231"/>
      <c r="P318" s="231"/>
      <c r="Q318" s="231"/>
      <c r="R318" s="231"/>
      <c r="S318" s="231"/>
      <c r="T318" s="231"/>
      <c r="U318" s="231"/>
      <c r="V318" s="231"/>
      <c r="W318" s="231"/>
      <c r="X318" s="231"/>
      <c r="Y318" s="231"/>
      <c r="Z318" s="231"/>
      <c r="AA318" s="231"/>
      <c r="AB318" s="231"/>
      <c r="AC318" s="231"/>
      <c r="AD318" s="231"/>
      <c r="AE318" s="231"/>
      <c r="AF318" s="231"/>
    </row>
    <row r="319" spans="1:32" s="203" customFormat="1">
      <c r="A319" s="739">
        <v>9</v>
      </c>
      <c r="B319" s="90" t="s">
        <v>260</v>
      </c>
      <c r="C319" s="47"/>
      <c r="D319" s="47"/>
      <c r="E319" s="114">
        <v>0</v>
      </c>
      <c r="F319" s="188"/>
      <c r="G319" s="43"/>
      <c r="H319" s="189"/>
      <c r="I319" s="21"/>
      <c r="J319" s="231"/>
      <c r="K319" s="231"/>
      <c r="L319" s="231"/>
      <c r="M319" s="231"/>
      <c r="N319" s="231"/>
      <c r="O319" s="231"/>
      <c r="P319" s="231"/>
      <c r="Q319" s="231"/>
      <c r="R319" s="231"/>
      <c r="S319" s="231"/>
      <c r="T319" s="231"/>
      <c r="U319" s="231"/>
      <c r="V319" s="231"/>
      <c r="W319" s="231"/>
      <c r="X319" s="231"/>
      <c r="Y319" s="231"/>
      <c r="Z319" s="231"/>
      <c r="AA319" s="231"/>
      <c r="AB319" s="231"/>
      <c r="AC319" s="231"/>
      <c r="AD319" s="231"/>
      <c r="AE319" s="231"/>
      <c r="AF319" s="231"/>
    </row>
    <row r="320" spans="1:32" s="203" customFormat="1">
      <c r="A320" s="124">
        <v>10</v>
      </c>
      <c r="B320" s="94" t="s">
        <v>62</v>
      </c>
      <c r="C320" s="94"/>
      <c r="D320" s="94"/>
      <c r="E320" s="159">
        <v>33486</v>
      </c>
      <c r="F320" s="61">
        <f>F311+F312+F313+F314+F315+F316+F317+F318</f>
        <v>33077</v>
      </c>
      <c r="G320" s="118"/>
      <c r="H320" s="61">
        <f>H311+H312+H313+H314+H315+H316+H317+H318+H319</f>
        <v>32931</v>
      </c>
      <c r="I320" s="183"/>
      <c r="J320" s="231"/>
      <c r="K320" s="231"/>
      <c r="L320" s="231"/>
      <c r="M320" s="231"/>
      <c r="N320" s="231"/>
      <c r="O320" s="231"/>
      <c r="P320" s="231"/>
      <c r="Q320" s="231"/>
      <c r="R320" s="231"/>
      <c r="S320" s="231"/>
      <c r="T320" s="231"/>
      <c r="U320" s="231"/>
      <c r="V320" s="231"/>
      <c r="W320" s="231"/>
      <c r="X320" s="231"/>
      <c r="Y320" s="231"/>
      <c r="Z320" s="231"/>
      <c r="AA320" s="231"/>
      <c r="AB320" s="231"/>
      <c r="AC320" s="231"/>
      <c r="AD320" s="231"/>
      <c r="AE320" s="231"/>
      <c r="AF320" s="231"/>
    </row>
    <row r="321" spans="1:32" s="203" customFormat="1">
      <c r="A321" s="179"/>
      <c r="B321" s="180"/>
      <c r="C321" s="180"/>
      <c r="D321" s="180"/>
      <c r="E321" s="180"/>
      <c r="F321" s="183"/>
      <c r="G321" s="21"/>
      <c r="H321" s="183"/>
      <c r="I321" s="183"/>
      <c r="J321" s="231"/>
      <c r="K321" s="231"/>
      <c r="L321" s="231"/>
      <c r="M321" s="231"/>
      <c r="N321" s="231"/>
      <c r="O321" s="231"/>
      <c r="P321" s="231"/>
      <c r="Q321" s="231"/>
      <c r="R321" s="231"/>
      <c r="S321" s="231"/>
      <c r="T321" s="231"/>
      <c r="U321" s="231"/>
      <c r="V321" s="231"/>
      <c r="W321" s="231"/>
      <c r="X321" s="231"/>
      <c r="Y321" s="231"/>
      <c r="Z321" s="231"/>
      <c r="AA321" s="231"/>
      <c r="AB321" s="231"/>
      <c r="AC321" s="231"/>
      <c r="AD321" s="231"/>
      <c r="AE321" s="231"/>
      <c r="AF321" s="231"/>
    </row>
    <row r="322" spans="1:32" s="203" customFormat="1">
      <c r="A322" s="148"/>
      <c r="B322" s="207"/>
      <c r="C322" s="207"/>
      <c r="D322" s="29"/>
      <c r="E322" s="29"/>
      <c r="F322" s="29"/>
      <c r="G322" s="29"/>
      <c r="H322" s="31" t="s">
        <v>27</v>
      </c>
      <c r="I322" s="2"/>
      <c r="J322" s="231"/>
      <c r="K322" s="231"/>
      <c r="L322" s="231"/>
      <c r="M322" s="231"/>
      <c r="N322" s="231"/>
      <c r="O322" s="231"/>
      <c r="P322" s="231"/>
      <c r="Q322" s="231"/>
      <c r="R322" s="231"/>
      <c r="S322" s="231"/>
      <c r="T322" s="231"/>
      <c r="U322" s="231"/>
      <c r="V322" s="231"/>
      <c r="W322" s="231"/>
      <c r="X322" s="231"/>
      <c r="Y322" s="231"/>
      <c r="Z322" s="231"/>
      <c r="AA322" s="231"/>
      <c r="AB322" s="231"/>
      <c r="AC322" s="231"/>
      <c r="AD322" s="231"/>
      <c r="AE322" s="231"/>
      <c r="AF322" s="231"/>
    </row>
    <row r="323" spans="1:32" s="203" customFormat="1">
      <c r="A323" s="190" t="s">
        <v>240</v>
      </c>
      <c r="B323" s="263"/>
      <c r="C323" s="861" t="s">
        <v>405</v>
      </c>
      <c r="D323" s="862"/>
      <c r="E323" s="862"/>
      <c r="F323" s="862"/>
      <c r="G323" s="862"/>
      <c r="H323" s="863"/>
      <c r="I323" s="210"/>
      <c r="J323" s="231"/>
      <c r="K323" s="231"/>
      <c r="L323" s="231"/>
      <c r="M323" s="231"/>
      <c r="N323" s="231"/>
      <c r="O323" s="231"/>
      <c r="P323" s="231"/>
      <c r="Q323" s="231"/>
      <c r="R323" s="231"/>
      <c r="S323" s="231"/>
      <c r="T323" s="231"/>
      <c r="U323" s="231"/>
      <c r="V323" s="231"/>
      <c r="W323" s="231"/>
      <c r="X323" s="231"/>
      <c r="Y323" s="231"/>
      <c r="Z323" s="231"/>
      <c r="AA323" s="231"/>
      <c r="AB323" s="231"/>
      <c r="AC323" s="231"/>
      <c r="AD323" s="231"/>
      <c r="AE323" s="231"/>
      <c r="AF323" s="231"/>
    </row>
    <row r="324" spans="1:32" s="203" customFormat="1" ht="39" thickBot="1">
      <c r="A324" s="110" t="s">
        <v>84</v>
      </c>
      <c r="B324" s="116"/>
      <c r="C324" s="35" t="s">
        <v>52</v>
      </c>
      <c r="D324" s="35" t="s">
        <v>53</v>
      </c>
      <c r="E324" s="37" t="s">
        <v>54</v>
      </c>
      <c r="F324" s="37" t="s">
        <v>55</v>
      </c>
      <c r="G324" s="37" t="s">
        <v>241</v>
      </c>
      <c r="H324" s="35" t="s">
        <v>121</v>
      </c>
      <c r="I324" s="29"/>
      <c r="J324" s="231"/>
      <c r="K324" s="231"/>
      <c r="L324" s="231"/>
      <c r="M324" s="231"/>
      <c r="N324" s="231"/>
      <c r="O324" s="231"/>
      <c r="P324" s="231"/>
      <c r="Q324" s="231"/>
      <c r="R324" s="231"/>
      <c r="S324" s="231"/>
      <c r="T324" s="231"/>
      <c r="U324" s="231"/>
      <c r="V324" s="231"/>
      <c r="W324" s="231"/>
      <c r="X324" s="231"/>
      <c r="Y324" s="231"/>
      <c r="Z324" s="231"/>
      <c r="AA324" s="231"/>
      <c r="AB324" s="231"/>
      <c r="AC324" s="231"/>
      <c r="AD324" s="231"/>
      <c r="AE324" s="231"/>
      <c r="AF324" s="231"/>
    </row>
    <row r="325" spans="1:32" s="203" customFormat="1" ht="13.5" thickBot="1">
      <c r="A325" s="739">
        <v>1</v>
      </c>
      <c r="B325" s="116" t="s">
        <v>242</v>
      </c>
      <c r="C325" s="193">
        <f t="shared" ref="C325:H325" si="0">SUM(C326:C329)</f>
        <v>26791</v>
      </c>
      <c r="D325" s="193">
        <f t="shared" si="0"/>
        <v>0</v>
      </c>
      <c r="E325" s="193">
        <v>0</v>
      </c>
      <c r="F325" s="193">
        <f t="shared" si="0"/>
        <v>0</v>
      </c>
      <c r="G325" s="193">
        <f>SUM(G326:G329)</f>
        <v>0</v>
      </c>
      <c r="H325" s="193">
        <f t="shared" si="0"/>
        <v>0</v>
      </c>
      <c r="I325" s="207"/>
      <c r="J325" s="231"/>
      <c r="K325" s="231"/>
      <c r="L325" s="231"/>
      <c r="M325" s="231"/>
      <c r="N325" s="231"/>
      <c r="O325" s="231"/>
      <c r="P325" s="231"/>
      <c r="Q325" s="231"/>
      <c r="R325" s="231"/>
      <c r="S325" s="231"/>
      <c r="T325" s="231"/>
      <c r="U325" s="231"/>
      <c r="V325" s="231"/>
      <c r="W325" s="231"/>
      <c r="X325" s="231"/>
      <c r="Y325" s="231"/>
      <c r="Z325" s="231"/>
      <c r="AA325" s="231"/>
      <c r="AB325" s="231"/>
      <c r="AC325" s="231"/>
      <c r="AD325" s="231"/>
      <c r="AE325" s="231"/>
      <c r="AF325" s="231"/>
    </row>
    <row r="326" spans="1:32" s="203" customFormat="1">
      <c r="A326" s="739">
        <v>2</v>
      </c>
      <c r="B326" s="47" t="s">
        <v>243</v>
      </c>
      <c r="C326" s="169">
        <v>8902</v>
      </c>
      <c r="D326" s="169"/>
      <c r="E326" s="169"/>
      <c r="F326" s="169"/>
      <c r="G326" s="169"/>
      <c r="H326" s="169"/>
      <c r="I326" s="207"/>
      <c r="J326" s="231"/>
      <c r="K326" s="231"/>
      <c r="L326" s="231"/>
      <c r="M326" s="231"/>
      <c r="N326" s="231"/>
      <c r="O326" s="231"/>
      <c r="P326" s="231"/>
      <c r="Q326" s="231"/>
      <c r="R326" s="231"/>
      <c r="S326" s="231"/>
      <c r="T326" s="231"/>
      <c r="U326" s="231"/>
      <c r="V326" s="231"/>
      <c r="W326" s="231"/>
      <c r="X326" s="231"/>
      <c r="Y326" s="231"/>
      <c r="Z326" s="231"/>
      <c r="AA326" s="231"/>
      <c r="AB326" s="231"/>
      <c r="AC326" s="231"/>
      <c r="AD326" s="231"/>
      <c r="AE326" s="231"/>
      <c r="AF326" s="231"/>
    </row>
    <row r="327" spans="1:32" s="203" customFormat="1">
      <c r="A327" s="739">
        <v>3</v>
      </c>
      <c r="B327" s="47" t="s">
        <v>244</v>
      </c>
      <c r="C327" s="99">
        <v>12525</v>
      </c>
      <c r="D327" s="99"/>
      <c r="E327" s="99"/>
      <c r="F327" s="99"/>
      <c r="G327" s="99"/>
      <c r="H327" s="99"/>
      <c r="I327" s="207"/>
      <c r="J327" s="231"/>
      <c r="K327" s="231"/>
      <c r="L327" s="231"/>
      <c r="M327" s="231"/>
      <c r="N327" s="231"/>
      <c r="O327" s="231"/>
      <c r="P327" s="231"/>
      <c r="Q327" s="231"/>
      <c r="R327" s="231"/>
      <c r="S327" s="231"/>
      <c r="T327" s="231"/>
      <c r="U327" s="231"/>
      <c r="V327" s="231"/>
      <c r="W327" s="231"/>
      <c r="X327" s="231"/>
      <c r="Y327" s="231"/>
      <c r="Z327" s="231"/>
      <c r="AA327" s="231"/>
      <c r="AB327" s="231"/>
      <c r="AC327" s="231"/>
      <c r="AD327" s="231"/>
      <c r="AE327" s="231"/>
      <c r="AF327" s="231"/>
    </row>
    <row r="328" spans="1:32" s="203" customFormat="1">
      <c r="A328" s="739">
        <v>4</v>
      </c>
      <c r="B328" s="47" t="s">
        <v>245</v>
      </c>
      <c r="C328" s="99">
        <v>5364</v>
      </c>
      <c r="D328" s="99"/>
      <c r="E328" s="99"/>
      <c r="F328" s="99"/>
      <c r="G328" s="99"/>
      <c r="H328" s="99"/>
      <c r="I328" s="207"/>
      <c r="J328" s="231"/>
      <c r="K328" s="231"/>
      <c r="L328" s="231"/>
      <c r="M328" s="231"/>
      <c r="N328" s="231"/>
      <c r="O328" s="231"/>
      <c r="P328" s="231"/>
      <c r="Q328" s="231"/>
      <c r="R328" s="231"/>
      <c r="S328" s="231"/>
      <c r="T328" s="231"/>
      <c r="U328" s="231"/>
      <c r="V328" s="231"/>
      <c r="W328" s="231"/>
      <c r="X328" s="231"/>
      <c r="Y328" s="231"/>
      <c r="Z328" s="231"/>
      <c r="AA328" s="231"/>
      <c r="AB328" s="231"/>
      <c r="AC328" s="231"/>
      <c r="AD328" s="231"/>
      <c r="AE328" s="231"/>
      <c r="AF328" s="231"/>
    </row>
    <row r="329" spans="1:32" s="203" customFormat="1">
      <c r="A329" s="740">
        <v>5</v>
      </c>
      <c r="B329" s="54" t="s">
        <v>246</v>
      </c>
      <c r="C329" s="100"/>
      <c r="D329" s="100"/>
      <c r="E329" s="100"/>
      <c r="F329" s="100"/>
      <c r="G329" s="100"/>
      <c r="H329" s="100"/>
      <c r="I329" s="207"/>
      <c r="J329" s="231"/>
      <c r="K329" s="231"/>
      <c r="L329" s="231"/>
      <c r="M329" s="231"/>
      <c r="N329" s="231"/>
      <c r="O329" s="231"/>
      <c r="P329" s="231"/>
      <c r="Q329" s="231"/>
      <c r="R329" s="231"/>
      <c r="S329" s="231"/>
      <c r="T329" s="231"/>
      <c r="U329" s="231"/>
      <c r="V329" s="231"/>
      <c r="W329" s="231"/>
      <c r="X329" s="231"/>
      <c r="Y329" s="231"/>
      <c r="Z329" s="231"/>
      <c r="AA329" s="231"/>
      <c r="AB329" s="231"/>
      <c r="AC329" s="231"/>
      <c r="AD329" s="231"/>
      <c r="AE329" s="231"/>
      <c r="AF329" s="231"/>
    </row>
    <row r="330" spans="1:32" s="203" customFormat="1">
      <c r="A330" s="739"/>
      <c r="B330" s="47"/>
      <c r="C330" s="864" t="s">
        <v>404</v>
      </c>
      <c r="D330" s="865"/>
      <c r="E330" s="865"/>
      <c r="F330" s="865"/>
      <c r="G330" s="865"/>
      <c r="H330" s="866"/>
      <c r="I330" s="207"/>
      <c r="J330" s="231"/>
      <c r="K330" s="231"/>
      <c r="L330" s="231"/>
      <c r="M330" s="231"/>
      <c r="N330" s="231"/>
      <c r="O330" s="231"/>
      <c r="P330" s="231"/>
      <c r="Q330" s="231"/>
      <c r="R330" s="231"/>
      <c r="S330" s="231"/>
      <c r="T330" s="231"/>
      <c r="U330" s="231"/>
      <c r="V330" s="231"/>
      <c r="W330" s="231"/>
      <c r="X330" s="231"/>
      <c r="Y330" s="231"/>
      <c r="Z330" s="231"/>
      <c r="AA330" s="231"/>
      <c r="AB330" s="231"/>
      <c r="AC330" s="231"/>
      <c r="AD330" s="231"/>
      <c r="AE330" s="231"/>
      <c r="AF330" s="231"/>
    </row>
    <row r="331" spans="1:32" s="203" customFormat="1" ht="39" thickBot="1">
      <c r="A331" s="110" t="s">
        <v>84</v>
      </c>
      <c r="B331" s="116"/>
      <c r="C331" s="35" t="s">
        <v>52</v>
      </c>
      <c r="D331" s="35" t="s">
        <v>53</v>
      </c>
      <c r="E331" s="37" t="s">
        <v>54</v>
      </c>
      <c r="F331" s="37" t="s">
        <v>55</v>
      </c>
      <c r="G331" s="37" t="s">
        <v>241</v>
      </c>
      <c r="H331" s="35" t="s">
        <v>121</v>
      </c>
      <c r="I331" s="207"/>
      <c r="J331" s="231"/>
      <c r="K331" s="231"/>
      <c r="L331" s="231"/>
      <c r="M331" s="231"/>
      <c r="N331" s="231"/>
      <c r="O331" s="231"/>
      <c r="P331" s="231"/>
      <c r="Q331" s="231"/>
      <c r="R331" s="231"/>
      <c r="S331" s="231"/>
      <c r="T331" s="231"/>
      <c r="U331" s="231"/>
      <c r="V331" s="231"/>
      <c r="W331" s="231"/>
      <c r="X331" s="231"/>
      <c r="Y331" s="231"/>
      <c r="Z331" s="231"/>
      <c r="AA331" s="231"/>
      <c r="AB331" s="231"/>
      <c r="AC331" s="231"/>
      <c r="AD331" s="231"/>
      <c r="AE331" s="231"/>
      <c r="AF331" s="231"/>
    </row>
    <row r="332" spans="1:32" s="203" customFormat="1" ht="13.5" thickBot="1">
      <c r="A332" s="739">
        <v>1</v>
      </c>
      <c r="B332" s="116" t="s">
        <v>242</v>
      </c>
      <c r="C332" s="193">
        <f t="shared" ref="C332:H332" si="1">SUM(C333:C336)</f>
        <v>27184</v>
      </c>
      <c r="D332" s="193">
        <f t="shared" si="1"/>
        <v>0</v>
      </c>
      <c r="E332" s="193">
        <v>0</v>
      </c>
      <c r="F332" s="193">
        <f t="shared" si="1"/>
        <v>0</v>
      </c>
      <c r="G332" s="193">
        <f>SUM(G333:G336)</f>
        <v>0</v>
      </c>
      <c r="H332" s="193">
        <f t="shared" si="1"/>
        <v>0</v>
      </c>
      <c r="I332" s="207"/>
      <c r="J332" s="231"/>
      <c r="K332" s="231"/>
      <c r="L332" s="231"/>
      <c r="M332" s="231"/>
      <c r="N332" s="231"/>
      <c r="O332" s="231"/>
      <c r="P332" s="231"/>
      <c r="Q332" s="231"/>
      <c r="R332" s="231"/>
      <c r="S332" s="231"/>
      <c r="T332" s="231"/>
      <c r="U332" s="231"/>
      <c r="V332" s="231"/>
      <c r="W332" s="231"/>
      <c r="X332" s="231"/>
      <c r="Y332" s="231"/>
      <c r="Z332" s="231"/>
      <c r="AA332" s="231"/>
      <c r="AB332" s="231"/>
      <c r="AC332" s="231"/>
      <c r="AD332" s="231"/>
      <c r="AE332" s="231"/>
      <c r="AF332" s="231"/>
    </row>
    <row r="333" spans="1:32" s="203" customFormat="1">
      <c r="A333" s="739">
        <v>2</v>
      </c>
      <c r="B333" s="47" t="s">
        <v>243</v>
      </c>
      <c r="C333" s="169">
        <v>7687</v>
      </c>
      <c r="D333" s="169"/>
      <c r="E333" s="169"/>
      <c r="F333" s="169"/>
      <c r="G333" s="169"/>
      <c r="H333" s="169"/>
      <c r="I333" s="207"/>
      <c r="J333" s="231"/>
      <c r="K333" s="231"/>
      <c r="L333" s="231"/>
      <c r="M333" s="231"/>
      <c r="N333" s="231"/>
      <c r="O333" s="231"/>
      <c r="P333" s="231"/>
      <c r="Q333" s="231"/>
      <c r="R333" s="231"/>
      <c r="S333" s="231"/>
      <c r="T333" s="231"/>
      <c r="U333" s="231"/>
      <c r="V333" s="231"/>
      <c r="W333" s="231"/>
      <c r="X333" s="231"/>
      <c r="Y333" s="231"/>
      <c r="Z333" s="231"/>
      <c r="AA333" s="231"/>
      <c r="AB333" s="231"/>
      <c r="AC333" s="231"/>
      <c r="AD333" s="231"/>
      <c r="AE333" s="231"/>
      <c r="AF333" s="231"/>
    </row>
    <row r="334" spans="1:32" s="203" customFormat="1">
      <c r="A334" s="739">
        <v>3</v>
      </c>
      <c r="B334" s="47" t="s">
        <v>244</v>
      </c>
      <c r="C334" s="99">
        <v>12837</v>
      </c>
      <c r="D334" s="99"/>
      <c r="E334" s="99"/>
      <c r="F334" s="99"/>
      <c r="G334" s="99"/>
      <c r="H334" s="99"/>
      <c r="I334" s="207"/>
      <c r="J334" s="231"/>
      <c r="K334" s="231"/>
      <c r="L334" s="231"/>
      <c r="M334" s="231"/>
      <c r="N334" s="231"/>
      <c r="O334" s="231"/>
      <c r="P334" s="231"/>
      <c r="Q334" s="231"/>
      <c r="R334" s="231"/>
      <c r="S334" s="231"/>
      <c r="T334" s="231"/>
      <c r="U334" s="231"/>
      <c r="V334" s="231"/>
      <c r="W334" s="231"/>
      <c r="X334" s="231"/>
      <c r="Y334" s="231"/>
      <c r="Z334" s="231"/>
      <c r="AA334" s="231"/>
      <c r="AB334" s="231"/>
      <c r="AC334" s="231"/>
      <c r="AD334" s="231"/>
      <c r="AE334" s="231"/>
      <c r="AF334" s="231"/>
    </row>
    <row r="335" spans="1:32" s="203" customFormat="1">
      <c r="A335" s="739">
        <v>4</v>
      </c>
      <c r="B335" s="47" t="s">
        <v>245</v>
      </c>
      <c r="C335" s="99">
        <v>6660</v>
      </c>
      <c r="D335" s="99"/>
      <c r="E335" s="99"/>
      <c r="F335" s="99"/>
      <c r="G335" s="99"/>
      <c r="H335" s="99"/>
      <c r="I335" s="207"/>
      <c r="J335" s="231"/>
      <c r="K335" s="231"/>
      <c r="L335" s="231"/>
      <c r="M335" s="231"/>
      <c r="N335" s="231"/>
      <c r="O335" s="231"/>
      <c r="P335" s="231"/>
      <c r="Q335" s="231"/>
      <c r="R335" s="231"/>
      <c r="S335" s="231"/>
      <c r="T335" s="231"/>
      <c r="U335" s="231"/>
      <c r="V335" s="231"/>
      <c r="W335" s="231"/>
      <c r="X335" s="231"/>
      <c r="Y335" s="231"/>
      <c r="Z335" s="231"/>
      <c r="AA335" s="231"/>
      <c r="AB335" s="231"/>
      <c r="AC335" s="231"/>
      <c r="AD335" s="231"/>
      <c r="AE335" s="231"/>
      <c r="AF335" s="231"/>
    </row>
    <row r="336" spans="1:32" s="203" customFormat="1">
      <c r="A336" s="740">
        <v>5</v>
      </c>
      <c r="B336" s="54" t="s">
        <v>246</v>
      </c>
      <c r="C336" s="100"/>
      <c r="D336" s="100"/>
      <c r="E336" s="100"/>
      <c r="F336" s="100"/>
      <c r="G336" s="100"/>
      <c r="H336" s="100"/>
      <c r="I336" s="207"/>
      <c r="J336" s="231"/>
      <c r="K336" s="231"/>
      <c r="L336" s="231"/>
      <c r="M336" s="231"/>
      <c r="N336" s="231"/>
      <c r="O336" s="231"/>
      <c r="P336" s="231"/>
      <c r="Q336" s="231"/>
      <c r="R336" s="231"/>
      <c r="S336" s="231"/>
      <c r="T336" s="231"/>
      <c r="U336" s="231"/>
      <c r="V336" s="231"/>
      <c r="W336" s="231"/>
      <c r="X336" s="231"/>
      <c r="Y336" s="231"/>
      <c r="Z336" s="231"/>
      <c r="AA336" s="231"/>
      <c r="AB336" s="231"/>
      <c r="AC336" s="231"/>
      <c r="AD336" s="231"/>
      <c r="AE336" s="231"/>
      <c r="AF336" s="231"/>
    </row>
    <row r="337" spans="1:32" s="203" customFormat="1">
      <c r="A337" s="23"/>
      <c r="B337" s="207"/>
      <c r="C337" s="207"/>
      <c r="D337" s="207"/>
      <c r="E337" s="207"/>
      <c r="F337" s="207"/>
      <c r="G337" s="207"/>
      <c r="H337" s="21"/>
      <c r="I337" s="21"/>
      <c r="J337" s="231"/>
      <c r="K337" s="231"/>
      <c r="L337" s="231"/>
      <c r="M337" s="231"/>
      <c r="N337" s="231"/>
      <c r="O337" s="231"/>
      <c r="P337" s="231"/>
      <c r="Q337" s="231"/>
      <c r="R337" s="231"/>
      <c r="S337" s="231"/>
      <c r="T337" s="231"/>
      <c r="U337" s="231"/>
      <c r="V337" s="231"/>
      <c r="W337" s="231"/>
      <c r="X337" s="231"/>
      <c r="Y337" s="231"/>
      <c r="Z337" s="231"/>
      <c r="AA337" s="231"/>
      <c r="AB337" s="231"/>
      <c r="AC337" s="231"/>
      <c r="AD337" s="231"/>
      <c r="AE337" s="231"/>
      <c r="AF337" s="231"/>
    </row>
    <row r="338" spans="1:32" s="203" customFormat="1" ht="12.75" customHeight="1">
      <c r="A338" s="23"/>
      <c r="B338" s="207"/>
      <c r="C338" s="207"/>
      <c r="D338" s="207"/>
      <c r="E338" s="207"/>
      <c r="F338" s="207"/>
      <c r="G338" s="207"/>
      <c r="H338" s="21"/>
      <c r="I338" s="21"/>
      <c r="J338" s="231"/>
      <c r="K338" s="231"/>
      <c r="L338" s="231"/>
      <c r="M338" s="231"/>
      <c r="N338" s="231"/>
      <c r="O338" s="231"/>
      <c r="P338" s="231"/>
      <c r="Q338" s="231"/>
      <c r="R338" s="231"/>
      <c r="S338" s="231"/>
      <c r="T338" s="231"/>
      <c r="U338" s="231"/>
      <c r="V338" s="231"/>
      <c r="W338" s="231"/>
      <c r="X338" s="231"/>
      <c r="Y338" s="231"/>
      <c r="Z338" s="231"/>
      <c r="AA338" s="231"/>
      <c r="AB338" s="231"/>
      <c r="AC338" s="231"/>
      <c r="AD338" s="231"/>
      <c r="AE338" s="231"/>
      <c r="AF338" s="231"/>
    </row>
    <row r="339" spans="1:32" s="203" customFormat="1">
      <c r="A339" s="23"/>
      <c r="B339" s="207"/>
      <c r="C339" s="207"/>
      <c r="D339" s="207"/>
      <c r="E339" s="207"/>
      <c r="F339" s="207"/>
      <c r="G339" s="207"/>
      <c r="H339" s="21"/>
      <c r="I339" s="21"/>
      <c r="J339" s="231"/>
      <c r="K339" s="231"/>
      <c r="L339" s="231"/>
      <c r="M339" s="231"/>
      <c r="N339" s="231"/>
      <c r="O339" s="231"/>
      <c r="P339" s="231"/>
      <c r="Q339" s="231"/>
      <c r="R339" s="231"/>
      <c r="S339" s="231"/>
      <c r="T339" s="231"/>
      <c r="U339" s="231"/>
      <c r="V339" s="231"/>
      <c r="W339" s="231"/>
      <c r="X339" s="231"/>
      <c r="Y339" s="231"/>
      <c r="Z339" s="231"/>
      <c r="AA339" s="231"/>
      <c r="AB339" s="231"/>
      <c r="AC339" s="231"/>
      <c r="AD339" s="231"/>
      <c r="AE339" s="231"/>
      <c r="AF339" s="231"/>
    </row>
    <row r="340" spans="1:32" s="203" customFormat="1">
      <c r="A340" s="23"/>
      <c r="B340" s="207"/>
      <c r="C340" s="207"/>
      <c r="D340" s="207"/>
      <c r="E340" s="207"/>
      <c r="F340" s="207"/>
      <c r="G340" s="207"/>
      <c r="H340" s="131" t="s">
        <v>27</v>
      </c>
      <c r="I340" s="21"/>
      <c r="J340" s="231"/>
      <c r="K340" s="231"/>
      <c r="L340" s="231"/>
      <c r="M340" s="231"/>
      <c r="N340" s="231"/>
      <c r="O340" s="231"/>
      <c r="P340" s="231"/>
      <c r="Q340" s="231"/>
      <c r="R340" s="231"/>
      <c r="S340" s="231"/>
      <c r="T340" s="231"/>
      <c r="U340" s="231"/>
      <c r="V340" s="231"/>
      <c r="W340" s="231"/>
      <c r="X340" s="231"/>
      <c r="Y340" s="231"/>
      <c r="Z340" s="231"/>
      <c r="AA340" s="231"/>
      <c r="AB340" s="231"/>
      <c r="AC340" s="231"/>
      <c r="AD340" s="231"/>
      <c r="AE340" s="231"/>
      <c r="AF340" s="231"/>
    </row>
    <row r="341" spans="1:32" s="203" customFormat="1">
      <c r="A341" s="197"/>
      <c r="B341" s="69"/>
      <c r="C341" s="69"/>
      <c r="D341" s="69"/>
      <c r="E341" s="856" t="s">
        <v>377</v>
      </c>
      <c r="F341" s="853" t="s">
        <v>402</v>
      </c>
      <c r="G341" s="207"/>
      <c r="H341" s="856" t="s">
        <v>403</v>
      </c>
      <c r="I341" s="21"/>
      <c r="J341" s="231"/>
      <c r="K341" s="231"/>
      <c r="L341" s="231"/>
      <c r="M341" s="231"/>
      <c r="N341" s="231"/>
      <c r="O341" s="231"/>
      <c r="P341" s="231"/>
      <c r="Q341" s="231"/>
      <c r="R341" s="231"/>
      <c r="S341" s="231"/>
      <c r="T341" s="231"/>
      <c r="U341" s="231"/>
      <c r="V341" s="231"/>
      <c r="W341" s="231"/>
      <c r="X341" s="231"/>
      <c r="Y341" s="231"/>
      <c r="Z341" s="231"/>
      <c r="AA341" s="231"/>
      <c r="AB341" s="231"/>
      <c r="AC341" s="231"/>
      <c r="AD341" s="231"/>
      <c r="AE341" s="231"/>
      <c r="AF341" s="231"/>
    </row>
    <row r="342" spans="1:32" s="203" customFormat="1">
      <c r="A342" s="144" t="s">
        <v>261</v>
      </c>
      <c r="B342" s="116"/>
      <c r="C342" s="116"/>
      <c r="D342" s="116"/>
      <c r="E342" s="859"/>
      <c r="F342" s="854"/>
      <c r="G342" s="207"/>
      <c r="H342" s="857"/>
      <c r="I342" s="21"/>
      <c r="J342" s="231"/>
      <c r="K342" s="231"/>
      <c r="L342" s="231"/>
      <c r="M342" s="231"/>
      <c r="N342" s="231"/>
      <c r="O342" s="231"/>
      <c r="P342" s="231"/>
      <c r="Q342" s="231"/>
      <c r="R342" s="231"/>
      <c r="S342" s="231"/>
      <c r="T342" s="231"/>
      <c r="U342" s="231"/>
      <c r="V342" s="231"/>
      <c r="W342" s="231"/>
      <c r="X342" s="231"/>
      <c r="Y342" s="231"/>
      <c r="Z342" s="231"/>
      <c r="AA342" s="231"/>
      <c r="AB342" s="231"/>
      <c r="AC342" s="231"/>
      <c r="AD342" s="231"/>
      <c r="AE342" s="231"/>
      <c r="AF342" s="231"/>
    </row>
    <row r="343" spans="1:32" s="203" customFormat="1">
      <c r="A343" s="119"/>
      <c r="B343" s="116"/>
      <c r="C343" s="116"/>
      <c r="D343" s="116"/>
      <c r="E343" s="859"/>
      <c r="F343" s="854"/>
      <c r="G343" s="207"/>
      <c r="H343" s="857"/>
      <c r="I343" s="21"/>
      <c r="J343" s="231"/>
      <c r="K343" s="231"/>
      <c r="L343" s="231"/>
      <c r="M343" s="231"/>
      <c r="N343" s="231"/>
      <c r="O343" s="231"/>
      <c r="P343" s="231"/>
      <c r="Q343" s="231"/>
      <c r="R343" s="231"/>
      <c r="S343" s="231"/>
      <c r="T343" s="231"/>
      <c r="U343" s="231"/>
      <c r="V343" s="231"/>
      <c r="W343" s="231"/>
      <c r="X343" s="231"/>
      <c r="Y343" s="231"/>
      <c r="Z343" s="231"/>
      <c r="AA343" s="231"/>
      <c r="AB343" s="231"/>
      <c r="AC343" s="231"/>
      <c r="AD343" s="231"/>
      <c r="AE343" s="231"/>
      <c r="AF343" s="231"/>
    </row>
    <row r="344" spans="1:32" s="203" customFormat="1">
      <c r="A344" s="198" t="s">
        <v>262</v>
      </c>
      <c r="B344" s="116"/>
      <c r="C344" s="116"/>
      <c r="D344" s="116"/>
      <c r="E344" s="859"/>
      <c r="F344" s="854"/>
      <c r="G344" s="207"/>
      <c r="H344" s="857"/>
      <c r="I344" s="21"/>
      <c r="J344" s="231"/>
      <c r="K344" s="231"/>
      <c r="L344" s="231"/>
      <c r="M344" s="231"/>
      <c r="N344" s="231"/>
      <c r="O344" s="231"/>
      <c r="P344" s="231"/>
      <c r="Q344" s="231"/>
      <c r="R344" s="231"/>
      <c r="S344" s="231"/>
      <c r="T344" s="231"/>
      <c r="U344" s="231"/>
      <c r="V344" s="231"/>
      <c r="W344" s="231"/>
      <c r="X344" s="231"/>
      <c r="Y344" s="231"/>
      <c r="Z344" s="231"/>
      <c r="AA344" s="231"/>
      <c r="AB344" s="231"/>
      <c r="AC344" s="231"/>
      <c r="AD344" s="231"/>
      <c r="AE344" s="231"/>
      <c r="AF344" s="231"/>
    </row>
    <row r="345" spans="1:32" s="203" customFormat="1">
      <c r="A345" s="198" t="s">
        <v>330</v>
      </c>
      <c r="B345" s="116"/>
      <c r="C345" s="116"/>
      <c r="D345" s="116"/>
      <c r="E345" s="860"/>
      <c r="F345" s="855"/>
      <c r="G345" s="207"/>
      <c r="H345" s="858"/>
      <c r="I345" s="21"/>
      <c r="J345" s="231"/>
      <c r="K345" s="231"/>
      <c r="L345" s="231"/>
      <c r="M345" s="231"/>
      <c r="N345" s="231"/>
      <c r="O345" s="231"/>
      <c r="P345" s="231"/>
      <c r="Q345" s="231"/>
      <c r="R345" s="231"/>
      <c r="S345" s="231"/>
      <c r="T345" s="231"/>
      <c r="U345" s="231"/>
      <c r="V345" s="231"/>
      <c r="W345" s="231"/>
      <c r="X345" s="231"/>
      <c r="Y345" s="231"/>
      <c r="Z345" s="231"/>
      <c r="AA345" s="231"/>
      <c r="AB345" s="231"/>
      <c r="AC345" s="231"/>
      <c r="AD345" s="231"/>
      <c r="AE345" s="231"/>
      <c r="AF345" s="231"/>
    </row>
    <row r="346" spans="1:32" s="203" customFormat="1">
      <c r="A346" s="119"/>
      <c r="B346" s="47"/>
      <c r="C346" s="116"/>
      <c r="D346" s="116"/>
      <c r="E346" s="178"/>
      <c r="F346" s="146"/>
      <c r="G346" s="23"/>
      <c r="H346" s="264"/>
      <c r="I346" s="21"/>
      <c r="J346" s="231"/>
      <c r="K346" s="231"/>
      <c r="L346" s="231"/>
      <c r="M346" s="231"/>
      <c r="N346" s="231"/>
      <c r="O346" s="231"/>
      <c r="P346" s="231"/>
      <c r="Q346" s="231"/>
      <c r="R346" s="231"/>
      <c r="S346" s="231"/>
      <c r="T346" s="231"/>
      <c r="U346" s="231"/>
      <c r="V346" s="231"/>
      <c r="W346" s="231"/>
      <c r="X346" s="231"/>
      <c r="Y346" s="231"/>
      <c r="Z346" s="231"/>
      <c r="AA346" s="231"/>
      <c r="AB346" s="231"/>
      <c r="AC346" s="231"/>
      <c r="AD346" s="231"/>
      <c r="AE346" s="231"/>
      <c r="AF346" s="231"/>
    </row>
    <row r="347" spans="1:32" s="203" customFormat="1">
      <c r="A347" s="739">
        <v>1</v>
      </c>
      <c r="B347" s="47" t="s">
        <v>263</v>
      </c>
      <c r="C347" s="116"/>
      <c r="D347" s="116"/>
      <c r="E347" s="354">
        <v>8522</v>
      </c>
      <c r="F347" s="265">
        <v>7886</v>
      </c>
      <c r="G347" s="43"/>
      <c r="H347" s="126">
        <v>8522</v>
      </c>
      <c r="I347" s="86"/>
      <c r="J347" s="231"/>
      <c r="K347" s="231"/>
      <c r="L347" s="231"/>
      <c r="M347" s="231"/>
      <c r="N347" s="231"/>
      <c r="O347" s="231"/>
      <c r="P347" s="231"/>
      <c r="Q347" s="231"/>
      <c r="R347" s="231"/>
      <c r="S347" s="231"/>
      <c r="T347" s="231"/>
      <c r="U347" s="231"/>
      <c r="V347" s="231"/>
      <c r="W347" s="231"/>
      <c r="X347" s="231"/>
      <c r="Y347" s="231"/>
      <c r="Z347" s="231"/>
      <c r="AA347" s="231"/>
      <c r="AB347" s="231"/>
      <c r="AC347" s="231"/>
      <c r="AD347" s="231"/>
      <c r="AE347" s="231"/>
      <c r="AF347" s="231"/>
    </row>
    <row r="348" spans="1:32" s="203" customFormat="1">
      <c r="A348" s="739"/>
      <c r="B348" s="47"/>
      <c r="C348" s="116"/>
      <c r="D348" s="116"/>
      <c r="E348" s="355"/>
      <c r="F348" s="188"/>
      <c r="G348" s="43"/>
      <c r="H348" s="188"/>
      <c r="I348" s="86"/>
      <c r="J348" s="231"/>
      <c r="K348" s="231"/>
      <c r="L348" s="231"/>
      <c r="M348" s="231"/>
      <c r="N348" s="231"/>
      <c r="O348" s="231"/>
      <c r="P348" s="231"/>
      <c r="Q348" s="231"/>
      <c r="R348" s="231"/>
      <c r="S348" s="231"/>
      <c r="T348" s="231"/>
      <c r="U348" s="231"/>
      <c r="V348" s="231"/>
      <c r="W348" s="231"/>
      <c r="X348" s="231"/>
      <c r="Y348" s="231"/>
      <c r="Z348" s="231"/>
      <c r="AA348" s="231"/>
      <c r="AB348" s="231"/>
      <c r="AC348" s="231"/>
      <c r="AD348" s="231"/>
      <c r="AE348" s="231"/>
      <c r="AF348" s="231"/>
    </row>
    <row r="349" spans="1:32" s="203" customFormat="1">
      <c r="A349" s="108" t="s">
        <v>378</v>
      </c>
      <c r="B349" s="47"/>
      <c r="C349" s="116"/>
      <c r="D349" s="116"/>
      <c r="E349" s="355"/>
      <c r="F349" s="188"/>
      <c r="G349" s="43"/>
      <c r="H349" s="188"/>
      <c r="I349" s="86"/>
      <c r="J349" s="231"/>
      <c r="K349" s="231"/>
      <c r="L349" s="231"/>
      <c r="M349" s="231"/>
      <c r="N349" s="231"/>
      <c r="O349" s="231"/>
      <c r="P349" s="231"/>
      <c r="Q349" s="231"/>
      <c r="R349" s="231"/>
      <c r="S349" s="231"/>
      <c r="T349" s="231"/>
      <c r="U349" s="231"/>
      <c r="V349" s="231"/>
      <c r="W349" s="231"/>
      <c r="X349" s="231"/>
      <c r="Y349" s="231"/>
      <c r="Z349" s="231"/>
      <c r="AA349" s="231"/>
      <c r="AB349" s="231"/>
      <c r="AC349" s="231"/>
      <c r="AD349" s="231"/>
      <c r="AE349" s="231"/>
      <c r="AF349" s="231"/>
    </row>
    <row r="350" spans="1:32" s="203" customFormat="1">
      <c r="A350" s="739"/>
      <c r="B350" s="47"/>
      <c r="C350" s="116"/>
      <c r="D350" s="116"/>
      <c r="E350" s="355"/>
      <c r="F350" s="188"/>
      <c r="G350" s="43"/>
      <c r="H350" s="188"/>
      <c r="I350" s="86"/>
      <c r="J350" s="231"/>
      <c r="K350" s="231"/>
      <c r="L350" s="231"/>
      <c r="M350" s="231"/>
      <c r="N350" s="231"/>
      <c r="O350" s="231"/>
      <c r="P350" s="231"/>
      <c r="Q350" s="231"/>
      <c r="R350" s="231"/>
      <c r="S350" s="231"/>
      <c r="T350" s="231"/>
      <c r="U350" s="231"/>
      <c r="V350" s="231"/>
      <c r="W350" s="231"/>
      <c r="X350" s="231"/>
      <c r="Y350" s="231"/>
      <c r="Z350" s="231"/>
      <c r="AA350" s="231"/>
      <c r="AB350" s="231"/>
      <c r="AC350" s="231"/>
      <c r="AD350" s="231"/>
      <c r="AE350" s="231"/>
      <c r="AF350" s="231"/>
    </row>
    <row r="351" spans="1:32" s="203" customFormat="1">
      <c r="A351" s="198" t="s">
        <v>379</v>
      </c>
      <c r="B351" s="47"/>
      <c r="C351" s="116"/>
      <c r="D351" s="116"/>
      <c r="E351" s="355"/>
      <c r="F351" s="188"/>
      <c r="G351" s="43"/>
      <c r="H351" s="188"/>
      <c r="I351" s="86"/>
      <c r="J351" s="231"/>
      <c r="K351" s="231"/>
      <c r="L351" s="231"/>
      <c r="M351" s="231"/>
      <c r="N351" s="231"/>
      <c r="O351" s="231"/>
      <c r="P351" s="231"/>
      <c r="Q351" s="231"/>
      <c r="R351" s="231"/>
      <c r="S351" s="231"/>
      <c r="T351" s="231"/>
      <c r="U351" s="231"/>
      <c r="V351" s="231"/>
      <c r="W351" s="231"/>
      <c r="X351" s="231"/>
      <c r="Y351" s="231"/>
      <c r="Z351" s="231"/>
      <c r="AA351" s="231"/>
      <c r="AB351" s="231"/>
      <c r="AC351" s="231"/>
      <c r="AD351" s="231"/>
      <c r="AE351" s="231"/>
      <c r="AF351" s="231"/>
    </row>
    <row r="352" spans="1:32" s="203" customFormat="1">
      <c r="A352" s="739"/>
      <c r="B352" s="47"/>
      <c r="C352" s="116"/>
      <c r="D352" s="116"/>
      <c r="E352" s="355"/>
      <c r="F352" s="188"/>
      <c r="G352" s="43"/>
      <c r="H352" s="188"/>
      <c r="I352" s="86"/>
      <c r="J352" s="231"/>
      <c r="K352" s="231"/>
      <c r="L352" s="231"/>
      <c r="M352" s="231"/>
      <c r="N352" s="231"/>
      <c r="O352" s="231"/>
      <c r="P352" s="231"/>
      <c r="Q352" s="231"/>
      <c r="R352" s="231"/>
      <c r="S352" s="231"/>
      <c r="T352" s="231"/>
      <c r="U352" s="231"/>
      <c r="V352" s="231"/>
      <c r="W352" s="231"/>
      <c r="X352" s="231"/>
      <c r="Y352" s="231"/>
      <c r="Z352" s="231"/>
      <c r="AA352" s="231"/>
      <c r="AB352" s="231"/>
      <c r="AC352" s="231"/>
      <c r="AD352" s="231"/>
      <c r="AE352" s="231"/>
      <c r="AF352" s="231"/>
    </row>
    <row r="353" spans="1:32" s="203" customFormat="1">
      <c r="A353" s="739">
        <v>2</v>
      </c>
      <c r="B353" s="47" t="s">
        <v>52</v>
      </c>
      <c r="C353" s="116"/>
      <c r="D353" s="116"/>
      <c r="E353" s="74">
        <v>200</v>
      </c>
      <c r="F353" s="265"/>
      <c r="G353" s="43"/>
      <c r="H353" s="126"/>
      <c r="I353" s="86"/>
      <c r="J353" s="231"/>
      <c r="K353" s="231"/>
      <c r="L353" s="231"/>
      <c r="M353" s="231"/>
      <c r="N353" s="231"/>
      <c r="O353" s="231"/>
      <c r="P353" s="231"/>
      <c r="Q353" s="231"/>
      <c r="R353" s="231"/>
      <c r="S353" s="231"/>
      <c r="T353" s="231"/>
      <c r="U353" s="231"/>
      <c r="V353" s="231"/>
      <c r="W353" s="231"/>
      <c r="X353" s="231"/>
      <c r="Y353" s="231"/>
      <c r="Z353" s="231"/>
      <c r="AA353" s="231"/>
      <c r="AB353" s="231"/>
      <c r="AC353" s="231"/>
      <c r="AD353" s="231"/>
      <c r="AE353" s="231"/>
      <c r="AF353" s="231"/>
    </row>
    <row r="354" spans="1:32" s="203" customFormat="1">
      <c r="A354" s="739">
        <v>3</v>
      </c>
      <c r="B354" s="47" t="s">
        <v>53</v>
      </c>
      <c r="C354" s="116"/>
      <c r="D354" s="116"/>
      <c r="E354" s="49">
        <v>0</v>
      </c>
      <c r="F354" s="265"/>
      <c r="G354" s="43"/>
      <c r="H354" s="126"/>
      <c r="I354" s="86"/>
      <c r="J354" s="231"/>
      <c r="K354" s="231"/>
      <c r="L354" s="231"/>
      <c r="M354" s="231"/>
      <c r="N354" s="231"/>
      <c r="O354" s="231"/>
      <c r="P354" s="231"/>
      <c r="Q354" s="231"/>
      <c r="R354" s="231"/>
      <c r="S354" s="231"/>
      <c r="T354" s="231"/>
      <c r="U354" s="231"/>
      <c r="V354" s="231"/>
      <c r="W354" s="231"/>
      <c r="X354" s="231"/>
      <c r="Y354" s="231"/>
      <c r="Z354" s="231"/>
      <c r="AA354" s="231"/>
      <c r="AB354" s="231"/>
      <c r="AC354" s="231"/>
      <c r="AD354" s="231"/>
      <c r="AE354" s="231"/>
      <c r="AF354" s="231"/>
    </row>
    <row r="355" spans="1:32" s="203" customFormat="1">
      <c r="A355" s="739">
        <v>4</v>
      </c>
      <c r="B355" s="47" t="s">
        <v>54</v>
      </c>
      <c r="C355" s="116"/>
      <c r="D355" s="116"/>
      <c r="E355" s="49">
        <v>650</v>
      </c>
      <c r="F355" s="265"/>
      <c r="G355" s="43"/>
      <c r="H355" s="126"/>
      <c r="I355" s="86"/>
      <c r="J355" s="231"/>
      <c r="K355" s="231"/>
      <c r="L355" s="231"/>
      <c r="M355" s="231"/>
      <c r="N355" s="231"/>
      <c r="O355" s="231"/>
      <c r="P355" s="231"/>
      <c r="Q355" s="231"/>
      <c r="R355" s="231"/>
      <c r="S355" s="231"/>
      <c r="T355" s="231"/>
      <c r="U355" s="231"/>
      <c r="V355" s="231"/>
      <c r="W355" s="231"/>
      <c r="X355" s="231"/>
      <c r="Y355" s="231"/>
      <c r="Z355" s="231"/>
      <c r="AA355" s="231"/>
      <c r="AB355" s="231"/>
      <c r="AC355" s="231"/>
      <c r="AD355" s="231"/>
      <c r="AE355" s="231"/>
      <c r="AF355" s="231"/>
    </row>
    <row r="356" spans="1:32" s="203" customFormat="1">
      <c r="A356" s="739">
        <v>5</v>
      </c>
      <c r="B356" s="47" t="s">
        <v>55</v>
      </c>
      <c r="C356" s="116"/>
      <c r="D356" s="116"/>
      <c r="E356" s="49">
        <v>0</v>
      </c>
      <c r="F356" s="265"/>
      <c r="G356" s="43"/>
      <c r="H356" s="126"/>
      <c r="I356" s="86"/>
      <c r="J356" s="231"/>
      <c r="K356" s="231"/>
      <c r="L356" s="231"/>
      <c r="M356" s="231"/>
      <c r="N356" s="231"/>
      <c r="O356" s="231"/>
      <c r="P356" s="231"/>
      <c r="Q356" s="231"/>
      <c r="R356" s="231"/>
      <c r="S356" s="231"/>
      <c r="T356" s="231"/>
      <c r="U356" s="231"/>
      <c r="V356" s="231"/>
      <c r="W356" s="231"/>
      <c r="X356" s="231"/>
      <c r="Y356" s="231"/>
      <c r="Z356" s="231"/>
      <c r="AA356" s="231"/>
      <c r="AB356" s="231"/>
      <c r="AC356" s="231"/>
      <c r="AD356" s="231"/>
      <c r="AE356" s="231"/>
      <c r="AF356" s="231"/>
    </row>
    <row r="357" spans="1:32" s="203" customFormat="1">
      <c r="A357" s="739">
        <v>6</v>
      </c>
      <c r="B357" s="47" t="s">
        <v>56</v>
      </c>
      <c r="C357" s="116"/>
      <c r="D357" s="116"/>
      <c r="E357" s="49">
        <v>0</v>
      </c>
      <c r="F357" s="265"/>
      <c r="G357" s="43"/>
      <c r="H357" s="126"/>
      <c r="I357" s="86"/>
      <c r="J357" s="231"/>
      <c r="K357" s="231"/>
      <c r="L357" s="231"/>
      <c r="M357" s="231"/>
      <c r="N357" s="231"/>
      <c r="O357" s="231"/>
      <c r="P357" s="231"/>
      <c r="Q357" s="231"/>
      <c r="R357" s="231"/>
      <c r="S357" s="231"/>
      <c r="T357" s="231"/>
      <c r="U357" s="231"/>
      <c r="V357" s="231"/>
      <c r="W357" s="231"/>
      <c r="X357" s="231"/>
      <c r="Y357" s="231"/>
      <c r="Z357" s="231"/>
      <c r="AA357" s="231"/>
      <c r="AB357" s="231"/>
      <c r="AC357" s="231"/>
      <c r="AD357" s="231"/>
      <c r="AE357" s="231"/>
      <c r="AF357" s="231"/>
    </row>
    <row r="358" spans="1:32" s="203" customFormat="1">
      <c r="A358" s="739">
        <v>7</v>
      </c>
      <c r="B358" s="47" t="s">
        <v>57</v>
      </c>
      <c r="C358" s="116"/>
      <c r="D358" s="116"/>
      <c r="E358" s="49">
        <v>0</v>
      </c>
      <c r="F358" s="265"/>
      <c r="G358" s="43"/>
      <c r="H358" s="126"/>
      <c r="I358" s="86"/>
      <c r="J358" s="231"/>
      <c r="K358" s="231"/>
      <c r="L358" s="231"/>
      <c r="M358" s="231"/>
      <c r="N358" s="231"/>
      <c r="O358" s="231"/>
      <c r="P358" s="231"/>
      <c r="Q358" s="231"/>
      <c r="R358" s="231"/>
      <c r="S358" s="231"/>
      <c r="T358" s="231"/>
      <c r="U358" s="231"/>
      <c r="V358" s="231"/>
      <c r="W358" s="231"/>
      <c r="X358" s="231"/>
      <c r="Y358" s="231"/>
      <c r="Z358" s="231"/>
      <c r="AA358" s="231"/>
      <c r="AB358" s="231"/>
      <c r="AC358" s="231"/>
      <c r="AD358" s="231"/>
      <c r="AE358" s="231"/>
      <c r="AF358" s="231"/>
    </row>
    <row r="359" spans="1:32" s="203" customFormat="1">
      <c r="A359" s="739">
        <v>8</v>
      </c>
      <c r="B359" s="47" t="s">
        <v>58</v>
      </c>
      <c r="C359" s="116"/>
      <c r="D359" s="116"/>
      <c r="E359" s="49">
        <v>0</v>
      </c>
      <c r="F359" s="265"/>
      <c r="G359" s="43"/>
      <c r="H359" s="126"/>
      <c r="I359" s="86"/>
      <c r="J359" s="231"/>
      <c r="K359" s="231"/>
      <c r="L359" s="231"/>
      <c r="M359" s="231"/>
      <c r="N359" s="231"/>
      <c r="O359" s="231"/>
      <c r="P359" s="231"/>
      <c r="Q359" s="231"/>
      <c r="R359" s="231"/>
      <c r="S359" s="231"/>
      <c r="T359" s="231"/>
      <c r="U359" s="231"/>
      <c r="V359" s="231"/>
      <c r="W359" s="231"/>
      <c r="X359" s="231"/>
      <c r="Y359" s="231"/>
      <c r="Z359" s="231"/>
      <c r="AA359" s="231"/>
      <c r="AB359" s="231"/>
      <c r="AC359" s="231"/>
      <c r="AD359" s="231"/>
      <c r="AE359" s="231"/>
      <c r="AF359" s="231"/>
    </row>
    <row r="360" spans="1:32" s="203" customFormat="1">
      <c r="A360" s="739">
        <v>9</v>
      </c>
      <c r="B360" s="47" t="s">
        <v>59</v>
      </c>
      <c r="C360" s="116"/>
      <c r="D360" s="116"/>
      <c r="E360" s="49">
        <v>183</v>
      </c>
      <c r="F360" s="265"/>
      <c r="G360" s="43"/>
      <c r="H360" s="126">
        <v>183</v>
      </c>
      <c r="I360" s="86"/>
      <c r="J360" s="231"/>
      <c r="K360" s="231"/>
      <c r="L360" s="231"/>
      <c r="M360" s="231"/>
      <c r="N360" s="231"/>
      <c r="O360" s="231"/>
      <c r="P360" s="231"/>
      <c r="Q360" s="231"/>
      <c r="R360" s="231"/>
      <c r="S360" s="231"/>
      <c r="T360" s="231"/>
      <c r="U360" s="231"/>
      <c r="V360" s="231"/>
      <c r="W360" s="231"/>
      <c r="X360" s="231"/>
      <c r="Y360" s="231"/>
      <c r="Z360" s="231"/>
      <c r="AA360" s="231"/>
      <c r="AB360" s="231"/>
      <c r="AC360" s="231"/>
      <c r="AD360" s="231"/>
      <c r="AE360" s="231"/>
      <c r="AF360" s="231"/>
    </row>
    <row r="361" spans="1:32" s="203" customFormat="1">
      <c r="A361" s="739">
        <v>10</v>
      </c>
      <c r="B361" s="47" t="s">
        <v>60</v>
      </c>
      <c r="C361" s="116"/>
      <c r="D361" s="116"/>
      <c r="E361" s="49">
        <v>0</v>
      </c>
      <c r="F361" s="265"/>
      <c r="G361" s="43"/>
      <c r="H361" s="126"/>
      <c r="I361" s="86"/>
      <c r="J361" s="231"/>
      <c r="K361" s="231"/>
      <c r="L361" s="231"/>
      <c r="M361" s="231"/>
      <c r="N361" s="231"/>
      <c r="O361" s="231"/>
      <c r="P361" s="231"/>
      <c r="Q361" s="231"/>
      <c r="R361" s="231"/>
      <c r="S361" s="231"/>
      <c r="T361" s="231"/>
      <c r="U361" s="231"/>
      <c r="V361" s="231"/>
      <c r="W361" s="231"/>
      <c r="X361" s="231"/>
      <c r="Y361" s="231"/>
      <c r="Z361" s="231"/>
      <c r="AA361" s="231"/>
      <c r="AB361" s="231"/>
      <c r="AC361" s="231"/>
      <c r="AD361" s="231"/>
      <c r="AE361" s="231"/>
      <c r="AF361" s="231"/>
    </row>
    <row r="362" spans="1:32" s="203" customFormat="1">
      <c r="A362" s="739">
        <v>11</v>
      </c>
      <c r="B362" s="47" t="s">
        <v>61</v>
      </c>
      <c r="C362" s="116"/>
      <c r="D362" s="116"/>
      <c r="E362" s="49">
        <v>0</v>
      </c>
      <c r="F362" s="265"/>
      <c r="G362" s="43"/>
      <c r="H362" s="126"/>
      <c r="I362" s="86"/>
      <c r="J362" s="231"/>
      <c r="K362" s="231"/>
      <c r="L362" s="231"/>
      <c r="M362" s="231"/>
      <c r="N362" s="231"/>
      <c r="O362" s="231"/>
      <c r="P362" s="231"/>
      <c r="Q362" s="231"/>
      <c r="R362" s="231"/>
      <c r="S362" s="231"/>
      <c r="T362" s="231"/>
      <c r="U362" s="231"/>
      <c r="V362" s="231"/>
      <c r="W362" s="231"/>
      <c r="X362" s="231"/>
      <c r="Y362" s="231"/>
      <c r="Z362" s="231"/>
      <c r="AA362" s="231"/>
      <c r="AB362" s="231"/>
      <c r="AC362" s="231"/>
      <c r="AD362" s="231"/>
      <c r="AE362" s="231"/>
      <c r="AF362" s="231"/>
    </row>
    <row r="363" spans="1:32" s="203" customFormat="1">
      <c r="A363" s="740">
        <v>12</v>
      </c>
      <c r="B363" s="54" t="s">
        <v>380</v>
      </c>
      <c r="C363" s="94"/>
      <c r="D363" s="94"/>
      <c r="E363" s="135">
        <v>1033</v>
      </c>
      <c r="F363" s="61">
        <f>SUM(F353:F362)</f>
        <v>0</v>
      </c>
      <c r="G363" s="43"/>
      <c r="H363" s="61">
        <f>SUM(H353:H362)</f>
        <v>183</v>
      </c>
      <c r="I363" s="86"/>
      <c r="J363" s="231"/>
      <c r="K363" s="231"/>
      <c r="L363" s="231"/>
      <c r="M363" s="231"/>
      <c r="N363" s="231"/>
      <c r="O363" s="231"/>
      <c r="P363" s="231"/>
      <c r="Q363" s="231"/>
      <c r="R363" s="231"/>
      <c r="S363" s="231"/>
      <c r="T363" s="231"/>
      <c r="U363" s="231"/>
      <c r="V363" s="231"/>
      <c r="W363" s="231"/>
      <c r="X363" s="231"/>
      <c r="Y363" s="231"/>
      <c r="Z363" s="231"/>
      <c r="AA363" s="231"/>
      <c r="AB363" s="231"/>
      <c r="AC363" s="231"/>
      <c r="AD363" s="231"/>
      <c r="AE363" s="231"/>
      <c r="AF363" s="231"/>
    </row>
    <row r="364" spans="1:32" s="203" customFormat="1">
      <c r="A364" s="199"/>
      <c r="B364" s="15"/>
      <c r="C364" s="15"/>
      <c r="D364" s="15"/>
      <c r="E364" s="15"/>
      <c r="F364" s="15"/>
      <c r="G364" s="15"/>
      <c r="H364" s="15"/>
      <c r="I364" s="86"/>
      <c r="J364" s="231"/>
      <c r="K364" s="231"/>
      <c r="L364" s="231"/>
      <c r="M364" s="231"/>
      <c r="N364" s="231"/>
      <c r="O364" s="231"/>
      <c r="P364" s="231"/>
      <c r="Q364" s="231"/>
      <c r="R364" s="231"/>
      <c r="S364" s="231"/>
      <c r="T364" s="231"/>
      <c r="U364" s="231"/>
      <c r="V364" s="231"/>
      <c r="W364" s="231"/>
      <c r="X364" s="231"/>
      <c r="Y364" s="231"/>
      <c r="Z364" s="231"/>
      <c r="AA364" s="231"/>
      <c r="AB364" s="231"/>
      <c r="AC364" s="231"/>
      <c r="AD364" s="231"/>
      <c r="AE364" s="231"/>
      <c r="AF364" s="231"/>
    </row>
    <row r="365" spans="1:32" s="203" customFormat="1">
      <c r="A365" s="199"/>
      <c r="B365" s="15"/>
      <c r="C365" s="15"/>
      <c r="D365" s="15"/>
      <c r="E365" s="15"/>
      <c r="F365" s="15"/>
      <c r="G365" s="15"/>
      <c r="H365" s="86"/>
      <c r="I365" s="86"/>
      <c r="J365" s="231"/>
      <c r="K365" s="231"/>
      <c r="L365" s="231"/>
      <c r="M365" s="231"/>
      <c r="N365" s="231"/>
      <c r="O365" s="231"/>
      <c r="P365" s="231"/>
      <c r="Q365" s="231"/>
      <c r="R365" s="231"/>
      <c r="S365" s="231"/>
      <c r="T365" s="231"/>
      <c r="U365" s="231"/>
      <c r="V365" s="231"/>
      <c r="W365" s="231"/>
      <c r="X365" s="231"/>
      <c r="Y365" s="231"/>
      <c r="Z365" s="231"/>
      <c r="AA365" s="231"/>
      <c r="AB365" s="231"/>
      <c r="AC365" s="231"/>
      <c r="AD365" s="231"/>
      <c r="AE365" s="231"/>
      <c r="AF365" s="231"/>
    </row>
    <row r="366" spans="1:32" s="203" customFormat="1">
      <c r="A366" s="199"/>
      <c r="B366" s="15"/>
      <c r="C366" s="15"/>
      <c r="D366" s="15"/>
      <c r="E366" s="15"/>
      <c r="F366" s="15"/>
      <c r="G366" s="15"/>
      <c r="H366" s="86"/>
      <c r="I366" s="86"/>
      <c r="J366" s="231"/>
      <c r="K366" s="231"/>
      <c r="L366" s="231"/>
      <c r="M366" s="231"/>
      <c r="N366" s="231"/>
      <c r="O366" s="231"/>
      <c r="P366" s="231"/>
      <c r="Q366" s="231"/>
      <c r="R366" s="231"/>
      <c r="S366" s="231"/>
      <c r="T366" s="231"/>
      <c r="U366" s="231"/>
      <c r="V366" s="231"/>
      <c r="W366" s="231"/>
      <c r="X366" s="231"/>
      <c r="Y366" s="231"/>
      <c r="Z366" s="231"/>
      <c r="AA366" s="231"/>
      <c r="AB366" s="231"/>
      <c r="AC366" s="231"/>
      <c r="AD366" s="231"/>
      <c r="AE366" s="231"/>
      <c r="AF366" s="231"/>
    </row>
    <row r="367" spans="1:32" s="8" customFormat="1"/>
    <row r="368" spans="1:32" s="8" customFormat="1"/>
    <row r="369" s="8" customFormat="1"/>
    <row r="370" s="8" customFormat="1"/>
    <row r="371" s="8" customFormat="1"/>
    <row r="372" s="8" customFormat="1"/>
    <row r="373" s="8" customFormat="1"/>
    <row r="374" s="8" customFormat="1"/>
    <row r="375" s="8" customFormat="1"/>
    <row r="376" s="8" customFormat="1"/>
    <row r="377" s="8" customFormat="1"/>
    <row r="378" s="8" customFormat="1"/>
    <row r="379" s="8" customFormat="1"/>
    <row r="380" s="8" customFormat="1"/>
    <row r="381" s="8" customFormat="1"/>
    <row r="382" s="8" customFormat="1"/>
    <row r="383" s="8" customFormat="1"/>
    <row r="384" s="8" customFormat="1"/>
    <row r="385" spans="1:9" s="8" customFormat="1"/>
    <row r="386" spans="1:9" s="8" customFormat="1"/>
    <row r="387" spans="1:9" s="8" customFormat="1"/>
    <row r="388" spans="1:9" s="8" customFormat="1"/>
    <row r="389" spans="1:9" s="8" customFormat="1"/>
    <row r="390" spans="1:9" s="8" customFormat="1"/>
    <row r="391" spans="1:9" s="8" customFormat="1"/>
    <row r="392" spans="1:9" s="8" customFormat="1"/>
    <row r="393" spans="1:9" s="8" customFormat="1"/>
    <row r="394" spans="1:9" s="8" customFormat="1"/>
    <row r="395" spans="1:9" s="8" customFormat="1"/>
    <row r="396" spans="1:9" s="8" customFormat="1"/>
    <row r="397" spans="1:9" s="8" customFormat="1"/>
    <row r="398" spans="1:9" s="8" customFormat="1"/>
    <row r="399" spans="1:9">
      <c r="A399" s="8"/>
      <c r="B399" s="8"/>
      <c r="C399" s="8"/>
      <c r="D399" s="8"/>
      <c r="E399" s="8"/>
      <c r="F399" s="8"/>
      <c r="G399" s="8"/>
      <c r="H399" s="8"/>
      <c r="I399" s="8"/>
    </row>
    <row r="400" spans="1:9">
      <c r="A400" s="8"/>
      <c r="B400" s="8"/>
      <c r="C400" s="8"/>
      <c r="D400" s="8"/>
      <c r="E400" s="8"/>
      <c r="F400" s="8"/>
      <c r="G400" s="8"/>
      <c r="H400" s="8"/>
      <c r="I400" s="8"/>
    </row>
    <row r="401" spans="1:9">
      <c r="A401" s="8"/>
      <c r="B401" s="8"/>
      <c r="C401" s="8"/>
      <c r="D401" s="8"/>
      <c r="E401" s="8"/>
      <c r="F401" s="8"/>
      <c r="G401" s="8"/>
      <c r="H401" s="8"/>
      <c r="I401" s="8"/>
    </row>
    <row r="402" spans="1:9">
      <c r="A402" s="8"/>
      <c r="B402" s="8"/>
      <c r="C402" s="8"/>
      <c r="D402" s="8"/>
      <c r="E402" s="8"/>
      <c r="F402" s="8"/>
      <c r="G402" s="8"/>
      <c r="H402" s="8"/>
      <c r="I402" s="8"/>
    </row>
    <row r="403" spans="1:9">
      <c r="A403" s="8"/>
      <c r="B403" s="8"/>
      <c r="C403" s="8"/>
      <c r="D403" s="8"/>
      <c r="E403" s="8"/>
      <c r="F403" s="8"/>
      <c r="G403" s="8"/>
      <c r="H403" s="8"/>
      <c r="I403" s="8"/>
    </row>
    <row r="404" spans="1:9">
      <c r="A404" s="8"/>
      <c r="B404" s="8"/>
      <c r="C404" s="8"/>
      <c r="D404" s="8"/>
      <c r="E404" s="8"/>
      <c r="F404" s="8"/>
      <c r="G404" s="8"/>
      <c r="H404" s="8"/>
      <c r="I404" s="8"/>
    </row>
    <row r="405" spans="1:9">
      <c r="A405" s="8"/>
      <c r="B405" s="8"/>
      <c r="C405" s="8"/>
      <c r="D405" s="8"/>
      <c r="E405" s="8"/>
      <c r="F405" s="8"/>
      <c r="G405" s="8"/>
      <c r="H405" s="8"/>
      <c r="I405" s="8"/>
    </row>
    <row r="406" spans="1:9">
      <c r="A406" s="8"/>
      <c r="B406" s="8"/>
      <c r="C406" s="8"/>
      <c r="D406" s="8"/>
      <c r="E406" s="8"/>
      <c r="F406" s="8"/>
      <c r="G406" s="8"/>
      <c r="H406" s="8"/>
      <c r="I406" s="8"/>
    </row>
    <row r="407" spans="1:9">
      <c r="A407" s="8"/>
      <c r="B407" s="8"/>
      <c r="C407" s="8"/>
      <c r="D407" s="8"/>
      <c r="E407" s="8"/>
      <c r="F407" s="8"/>
      <c r="G407" s="8"/>
      <c r="H407" s="8"/>
      <c r="I407" s="8"/>
    </row>
    <row r="408" spans="1:9">
      <c r="A408" s="8"/>
      <c r="B408" s="8"/>
      <c r="C408" s="8"/>
      <c r="D408" s="8"/>
      <c r="E408" s="8"/>
      <c r="F408" s="8"/>
      <c r="G408" s="8"/>
      <c r="H408" s="8"/>
      <c r="I408" s="8"/>
    </row>
    <row r="409" spans="1:9">
      <c r="A409" s="8"/>
      <c r="B409" s="8"/>
      <c r="C409" s="8"/>
      <c r="D409" s="8"/>
      <c r="E409" s="8"/>
      <c r="F409" s="8"/>
      <c r="G409" s="8"/>
      <c r="H409" s="8"/>
      <c r="I409" s="8"/>
    </row>
    <row r="410" spans="1:9">
      <c r="A410" s="8"/>
      <c r="B410" s="8"/>
      <c r="C410" s="8"/>
      <c r="D410" s="8"/>
      <c r="E410" s="8"/>
      <c r="F410" s="8"/>
      <c r="G410" s="8"/>
      <c r="H410" s="8"/>
      <c r="I410" s="8"/>
    </row>
    <row r="411" spans="1:9">
      <c r="A411" s="8"/>
      <c r="B411" s="8"/>
      <c r="C411" s="8"/>
      <c r="D411" s="8"/>
      <c r="E411" s="8"/>
      <c r="F411" s="8"/>
      <c r="G411" s="8"/>
      <c r="H411" s="8"/>
      <c r="I411" s="8"/>
    </row>
    <row r="412" spans="1:9">
      <c r="A412" s="8"/>
      <c r="B412" s="8"/>
      <c r="C412" s="8"/>
      <c r="D412" s="8"/>
      <c r="E412" s="8"/>
      <c r="F412" s="8"/>
      <c r="G412" s="8"/>
      <c r="H412" s="8"/>
      <c r="I412" s="8"/>
    </row>
    <row r="413" spans="1:9">
      <c r="A413" s="8"/>
      <c r="B413" s="8"/>
      <c r="C413" s="8"/>
      <c r="D413" s="8"/>
      <c r="E413" s="8"/>
      <c r="F413" s="8"/>
      <c r="G413" s="8"/>
      <c r="H413" s="8"/>
      <c r="I413" s="8"/>
    </row>
  </sheetData>
  <mergeCells count="59">
    <mergeCell ref="F341:F345"/>
    <mergeCell ref="H341:H345"/>
    <mergeCell ref="E261:E265"/>
    <mergeCell ref="F261:F265"/>
    <mergeCell ref="H261:H265"/>
    <mergeCell ref="E280:E284"/>
    <mergeCell ref="F280:F284"/>
    <mergeCell ref="H280:H284"/>
    <mergeCell ref="E305:E309"/>
    <mergeCell ref="F305:F309"/>
    <mergeCell ref="H305:H309"/>
    <mergeCell ref="C323:H323"/>
    <mergeCell ref="C330:H330"/>
    <mergeCell ref="E341:E345"/>
    <mergeCell ref="E221:E225"/>
    <mergeCell ref="F221:F225"/>
    <mergeCell ref="H221:H225"/>
    <mergeCell ref="E234:E238"/>
    <mergeCell ref="F234:F238"/>
    <mergeCell ref="H234:H238"/>
    <mergeCell ref="G66:G70"/>
    <mergeCell ref="H66:H70"/>
    <mergeCell ref="F91:F95"/>
    <mergeCell ref="H91:H95"/>
    <mergeCell ref="E193:E197"/>
    <mergeCell ref="F193:F197"/>
    <mergeCell ref="H193:H197"/>
    <mergeCell ref="E153:E157"/>
    <mergeCell ref="F153:F157"/>
    <mergeCell ref="H153:H157"/>
    <mergeCell ref="E91:E95"/>
    <mergeCell ref="I66:I70"/>
    <mergeCell ref="A23:D24"/>
    <mergeCell ref="E23:E24"/>
    <mergeCell ref="F23:F24"/>
    <mergeCell ref="H23:H24"/>
    <mergeCell ref="A25:A27"/>
    <mergeCell ref="B25:D27"/>
    <mergeCell ref="E25:E27"/>
    <mergeCell ref="F25:F27"/>
    <mergeCell ref="H25:H27"/>
    <mergeCell ref="A40:D41"/>
    <mergeCell ref="E40:E41"/>
    <mergeCell ref="F40:F41"/>
    <mergeCell ref="H40:H41"/>
    <mergeCell ref="E66:E70"/>
    <mergeCell ref="F66:F70"/>
    <mergeCell ref="C19:F19"/>
    <mergeCell ref="B3:B4"/>
    <mergeCell ref="C3:D4"/>
    <mergeCell ref="A5:B5"/>
    <mergeCell ref="D6:H6"/>
    <mergeCell ref="A9:I9"/>
    <mergeCell ref="D10:F10"/>
    <mergeCell ref="C14:F14"/>
    <mergeCell ref="C15:F15"/>
    <mergeCell ref="C16:F16"/>
    <mergeCell ref="C17:F17"/>
    <mergeCell ref="C18:F18"/>
  </mergeCells>
  <phoneticPr fontId="10" type="noConversion"/>
  <conditionalFormatting sqref="F71:F76 F286:F301 F311:F318 F80:F88 F106 F159:F162 F166:F168 F171:F172 F175:F177 F183:F190 F199:F200 F204:F206 F210:F213 F217:F218 F226:F230 F240:F241 F245:F246 F250:F253 F256 F267:F276 H250 F96:F97 F103:F104 F110:F114 F128:F134 F138:F142 F146:F149 F118:F124">
    <cfRule type="expression" dxfId="38" priority="271" stopIfTrue="1">
      <formula>ISBLANK(F71)</formula>
    </cfRule>
    <cfRule type="expression" dxfId="37" priority="272" stopIfTrue="1">
      <formula>IF(AND(OR(F71-E71&gt;500,F71-E71&lt;-500),OR(#REF!&gt;0.1,#REF!&lt;-0.1)),TRUE,FALSE)</formula>
    </cfRule>
  </conditionalFormatting>
  <dataValidations count="1">
    <dataValidation type="list" errorStyle="information" allowBlank="1" showInputMessage="1" showErrorMessage="1" errorTitle="POBE 2006" error="Please select from the drop-down menu..." prompt="Please select your Authority from the drop-down menu..." sqref="C3:D4">
      <formula1>#REF!</formula1>
    </dataValidation>
  </dataValidations>
  <hyperlinks>
    <hyperlink ref="F7" r:id="rId1" display="lgfstats@scotland.gsi.gov.uk"/>
    <hyperlink ref="D6" r:id="rId2"/>
    <hyperlink ref="D10" r:id="rId3" display="^lgfstats@gov.scot"/>
    <hyperlink ref="B14" location="'POBE 2017'!A28" display="PART 1 - Expenditure"/>
    <hyperlink ref="C19:F19" location="'POBE 2017'!A323" display="Sheet 10. - PUBLIC PRIVATE PARTNERSHIPS/PRIVATE FINANCE INITIATIVES"/>
    <hyperlink ref="B15" location="'POBE 2017'!A40" display="PART 2 - Income and Balances"/>
    <hyperlink ref="B16" location="'POBE 2017'!A66" display="Sheet 1. EDUCATION"/>
    <hyperlink ref="B17" location="'POBE 2017'!A91" display="Sheet 2. SOCIAL WORK"/>
    <hyperlink ref="B18" location="'POBE 2017'!A153" display="Sheet 3. ROADS AND TRANSPORT"/>
    <hyperlink ref="B19" location="'POBE 2017'!A193" display="Sheet 4. ENVIRONMENTAL SERVICES"/>
    <hyperlink ref="C14:F14" location="'POBE 2017'!A221" display="Sheet 5. PLANNING AND DEVELOPMENT SERVICES"/>
    <hyperlink ref="C15:F15" location="'POBE 2017'!A234" display="Sheet 6. CULTURAL AND RELATED SERVICES"/>
    <hyperlink ref="C16:F16" location="'POBE 2017'!A261" display="Sheet 7. HOUSING"/>
    <hyperlink ref="C17:F17" location="'POBE 2017'!A280" display="Sheet 8. CENTRAL SERVICES"/>
    <hyperlink ref="C18:F18" location="'POBE 2017'!A305" display="Sheet 9. OTHER EXPENDITURE"/>
  </hyperlinks>
  <pageMargins left="0.75" right="0.75" top="1" bottom="1" header="0.5" footer="0.5"/>
  <pageSetup paperSize="9" orientation="portrait" r:id="rId4"/>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I413"/>
  <sheetViews>
    <sheetView topLeftCell="A187" zoomScale="80" zoomScaleNormal="80" workbookViewId="0">
      <selection activeCell="F240" sqref="F240"/>
    </sheetView>
  </sheetViews>
  <sheetFormatPr defaultColWidth="9.140625" defaultRowHeight="12.75"/>
  <cols>
    <col min="1" max="1" width="10.5703125" style="1" customWidth="1"/>
    <col min="2" max="2" width="43" style="1" customWidth="1"/>
    <col min="3" max="3" width="24.5703125" style="1" customWidth="1"/>
    <col min="4" max="4" width="14.7109375" style="1" customWidth="1"/>
    <col min="5" max="5" width="21.5703125" style="1" customWidth="1"/>
    <col min="6" max="6" width="19.140625" style="1" customWidth="1"/>
    <col min="7" max="7" width="17.42578125" style="1" customWidth="1"/>
    <col min="8" max="8" width="19.28515625" style="1" customWidth="1"/>
    <col min="9" max="9" width="17.85546875" style="1" customWidth="1"/>
    <col min="10" max="10" width="9.140625" style="8" customWidth="1"/>
    <col min="11" max="16384" width="9.140625" style="8"/>
  </cols>
  <sheetData>
    <row r="1" spans="1:9" s="231" customFormat="1" ht="51" customHeight="1">
      <c r="A1" s="3" t="s">
        <v>410</v>
      </c>
      <c r="B1" s="4"/>
      <c r="C1" s="224"/>
      <c r="D1" s="224"/>
      <c r="E1" s="224"/>
      <c r="F1" s="224"/>
      <c r="G1" s="225"/>
      <c r="H1" s="226"/>
      <c r="I1" s="227"/>
    </row>
    <row r="2" spans="1:9" s="231" customFormat="1" ht="35.25">
      <c r="A2" s="9"/>
      <c r="B2" s="10"/>
      <c r="C2" s="232"/>
      <c r="D2" s="232"/>
      <c r="E2" s="232"/>
      <c r="F2" s="11"/>
      <c r="G2" s="11"/>
      <c r="H2" s="11"/>
      <c r="I2" s="11"/>
    </row>
    <row r="3" spans="1:9" s="231" customFormat="1" ht="15">
      <c r="A3" s="12"/>
      <c r="B3" s="882" t="s">
        <v>0</v>
      </c>
      <c r="C3" s="884" t="s">
        <v>29</v>
      </c>
      <c r="D3" s="885"/>
      <c r="E3" s="13"/>
      <c r="F3" s="14"/>
      <c r="G3" s="14"/>
      <c r="H3" s="15"/>
      <c r="I3" s="14"/>
    </row>
    <row r="4" spans="1:9" s="231" customFormat="1" ht="15">
      <c r="A4" s="17"/>
      <c r="B4" s="883"/>
      <c r="C4" s="886"/>
      <c r="D4" s="887"/>
      <c r="E4" s="13"/>
      <c r="F4" s="14"/>
      <c r="G4" s="14"/>
      <c r="H4" s="15"/>
      <c r="I4" s="14"/>
    </row>
    <row r="5" spans="1:9" s="231" customFormat="1" ht="15">
      <c r="A5" s="888"/>
      <c r="B5" s="889"/>
      <c r="C5" s="18"/>
      <c r="D5" s="206"/>
      <c r="E5" s="206"/>
      <c r="F5" s="14"/>
      <c r="G5" s="14"/>
      <c r="H5" s="14"/>
      <c r="I5" s="234"/>
    </row>
    <row r="6" spans="1:9" s="231" customFormat="1" ht="23.25" customHeight="1">
      <c r="A6" s="19" t="s">
        <v>1</v>
      </c>
      <c r="B6" s="207"/>
      <c r="C6" s="20"/>
      <c r="D6" s="890" t="s">
        <v>249</v>
      </c>
      <c r="E6" s="890"/>
      <c r="F6" s="890"/>
      <c r="G6" s="890"/>
      <c r="H6" s="890"/>
      <c r="I6" s="29"/>
    </row>
    <row r="7" spans="1:9" s="231" customFormat="1" ht="18.75" customHeight="1">
      <c r="A7" s="19" t="s">
        <v>419</v>
      </c>
      <c r="B7" s="207"/>
      <c r="C7" s="207"/>
      <c r="D7" s="207"/>
      <c r="E7" s="207"/>
      <c r="F7" s="362" t="s">
        <v>250</v>
      </c>
      <c r="G7" s="1"/>
      <c r="H7" s="21"/>
      <c r="I7" s="29"/>
    </row>
    <row r="8" spans="1:9" s="231" customFormat="1" ht="24" customHeight="1">
      <c r="A8" s="22" t="s">
        <v>408</v>
      </c>
      <c r="B8" s="207"/>
      <c r="C8" s="207"/>
      <c r="D8" s="207"/>
      <c r="E8" s="207"/>
      <c r="F8" s="207"/>
      <c r="G8" s="782"/>
      <c r="H8" s="21"/>
      <c r="I8" s="29"/>
    </row>
    <row r="9" spans="1:9" s="231" customFormat="1" ht="30.75" customHeight="1">
      <c r="A9" s="891" t="s">
        <v>420</v>
      </c>
      <c r="B9" s="892"/>
      <c r="C9" s="892"/>
      <c r="D9" s="892"/>
      <c r="E9" s="892"/>
      <c r="F9" s="892"/>
      <c r="G9" s="892"/>
      <c r="H9" s="892"/>
      <c r="I9" s="892"/>
    </row>
    <row r="10" spans="1:9" s="231" customFormat="1" ht="12.75" customHeight="1">
      <c r="A10" s="22" t="s">
        <v>409</v>
      </c>
      <c r="B10" s="19"/>
      <c r="C10" s="1"/>
      <c r="D10" s="880" t="s">
        <v>250</v>
      </c>
      <c r="E10" s="881"/>
      <c r="F10" s="881"/>
      <c r="G10" s="207"/>
      <c r="H10" s="207"/>
      <c r="I10" s="29"/>
    </row>
    <row r="11" spans="1:9" s="231" customFormat="1">
      <c r="A11" s="23"/>
      <c r="B11" s="207"/>
      <c r="C11" s="207"/>
      <c r="D11" s="207"/>
      <c r="E11" s="207"/>
      <c r="F11" s="207"/>
      <c r="G11" s="21"/>
      <c r="H11" s="21"/>
      <c r="I11" s="29"/>
    </row>
    <row r="12" spans="1:9" s="231" customFormat="1">
      <c r="A12" s="24"/>
      <c r="B12" s="25" t="s">
        <v>7</v>
      </c>
      <c r="C12" s="26"/>
      <c r="D12" s="356"/>
      <c r="E12" s="356"/>
      <c r="F12" s="357"/>
      <c r="G12" s="21"/>
      <c r="H12" s="21"/>
      <c r="I12" s="29"/>
    </row>
    <row r="13" spans="1:9" s="231" customFormat="1">
      <c r="A13" s="23"/>
      <c r="B13" s="27"/>
      <c r="C13" s="358"/>
      <c r="D13" s="15"/>
      <c r="E13" s="15"/>
      <c r="F13" s="359"/>
      <c r="G13" s="207"/>
      <c r="H13" s="21"/>
      <c r="I13" s="29"/>
    </row>
    <row r="14" spans="1:9" s="231" customFormat="1">
      <c r="A14" s="23"/>
      <c r="B14" s="363" t="s">
        <v>328</v>
      </c>
      <c r="C14" s="870" t="s">
        <v>10</v>
      </c>
      <c r="D14" s="870"/>
      <c r="E14" s="870"/>
      <c r="F14" s="871"/>
      <c r="G14" s="207"/>
      <c r="H14" s="21"/>
      <c r="I14" s="29"/>
    </row>
    <row r="15" spans="1:9" s="231" customFormat="1">
      <c r="A15" s="23"/>
      <c r="B15" s="363" t="s">
        <v>329</v>
      </c>
      <c r="C15" s="870" t="s">
        <v>12</v>
      </c>
      <c r="D15" s="870"/>
      <c r="E15" s="870"/>
      <c r="F15" s="871"/>
      <c r="G15" s="207"/>
      <c r="H15" s="21"/>
      <c r="I15" s="29"/>
    </row>
    <row r="16" spans="1:9" s="231" customFormat="1">
      <c r="A16" s="23"/>
      <c r="B16" s="360" t="s">
        <v>14</v>
      </c>
      <c r="C16" s="870" t="s">
        <v>15</v>
      </c>
      <c r="D16" s="870"/>
      <c r="E16" s="870"/>
      <c r="F16" s="871"/>
      <c r="G16" s="207"/>
      <c r="H16" s="21"/>
      <c r="I16" s="29"/>
    </row>
    <row r="17" spans="1:9" s="231" customFormat="1">
      <c r="A17" s="23"/>
      <c r="B17" s="360" t="s">
        <v>17</v>
      </c>
      <c r="C17" s="870" t="s">
        <v>18</v>
      </c>
      <c r="D17" s="870"/>
      <c r="E17" s="870"/>
      <c r="F17" s="871"/>
      <c r="G17" s="207"/>
      <c r="H17" s="21"/>
      <c r="I17" s="29"/>
    </row>
    <row r="18" spans="1:9" s="231" customFormat="1">
      <c r="A18" s="23"/>
      <c r="B18" s="360" t="s">
        <v>20</v>
      </c>
      <c r="C18" s="870" t="s">
        <v>21</v>
      </c>
      <c r="D18" s="870"/>
      <c r="E18" s="870"/>
      <c r="F18" s="871"/>
      <c r="G18" s="207"/>
      <c r="H18" s="21"/>
      <c r="I18" s="29"/>
    </row>
    <row r="19" spans="1:9" s="231" customFormat="1">
      <c r="A19" s="23"/>
      <c r="B19" s="361" t="s">
        <v>23</v>
      </c>
      <c r="C19" s="872" t="s">
        <v>24</v>
      </c>
      <c r="D19" s="872"/>
      <c r="E19" s="872"/>
      <c r="F19" s="873"/>
      <c r="G19" s="21"/>
      <c r="H19" s="21"/>
      <c r="I19" s="29"/>
    </row>
    <row r="20" spans="1:9" s="231" customFormat="1">
      <c r="A20" s="236"/>
      <c r="B20" s="206"/>
      <c r="C20" s="206"/>
      <c r="D20" s="206"/>
      <c r="E20" s="206"/>
      <c r="F20" s="206"/>
      <c r="G20" s="206"/>
      <c r="H20" s="206"/>
      <c r="I20" s="206"/>
    </row>
    <row r="21" spans="1:9" s="231" customFormat="1" ht="19.5">
      <c r="A21" s="30"/>
      <c r="B21" s="13"/>
      <c r="C21" s="13"/>
      <c r="D21" s="13"/>
      <c r="E21" s="13"/>
      <c r="F21" s="13"/>
      <c r="G21" s="13"/>
      <c r="H21" s="31" t="s">
        <v>27</v>
      </c>
      <c r="I21" s="237"/>
    </row>
    <row r="22" spans="1:9" s="231" customFormat="1" ht="18.75" customHeight="1">
      <c r="A22" s="32"/>
      <c r="B22" s="29"/>
      <c r="C22" s="29"/>
      <c r="D22" s="29"/>
      <c r="E22" s="29"/>
      <c r="F22" s="33">
        <v>1</v>
      </c>
      <c r="G22" s="34"/>
      <c r="H22" s="33">
        <v>2</v>
      </c>
      <c r="I22" s="34"/>
    </row>
    <row r="23" spans="1:9" s="231" customFormat="1" ht="21.95" customHeight="1">
      <c r="A23" s="874" t="s">
        <v>30</v>
      </c>
      <c r="B23" s="875"/>
      <c r="C23" s="875"/>
      <c r="D23" s="875"/>
      <c r="E23" s="878" t="s">
        <v>376</v>
      </c>
      <c r="F23" s="856" t="s">
        <v>407</v>
      </c>
      <c r="G23" s="36"/>
      <c r="H23" s="878" t="s">
        <v>406</v>
      </c>
      <c r="I23" s="36"/>
    </row>
    <row r="24" spans="1:9" s="231" customFormat="1" ht="21.95" customHeight="1">
      <c r="A24" s="876"/>
      <c r="B24" s="877"/>
      <c r="C24" s="877"/>
      <c r="D24" s="877"/>
      <c r="E24" s="879"/>
      <c r="F24" s="860"/>
      <c r="G24" s="23"/>
      <c r="H24" s="879"/>
      <c r="I24" s="36"/>
    </row>
    <row r="25" spans="1:9" s="231" customFormat="1" ht="21.95" customHeight="1">
      <c r="A25" s="898" t="s">
        <v>48</v>
      </c>
      <c r="B25" s="901" t="s">
        <v>49</v>
      </c>
      <c r="C25" s="901"/>
      <c r="D25" s="902"/>
      <c r="E25" s="907" t="s">
        <v>50</v>
      </c>
      <c r="F25" s="909" t="s">
        <v>51</v>
      </c>
      <c r="G25" s="34"/>
      <c r="H25" s="907" t="s">
        <v>50</v>
      </c>
      <c r="I25" s="36"/>
    </row>
    <row r="26" spans="1:9" s="231" customFormat="1" ht="21.95" customHeight="1">
      <c r="A26" s="899"/>
      <c r="B26" s="903"/>
      <c r="C26" s="903"/>
      <c r="D26" s="904"/>
      <c r="E26" s="908"/>
      <c r="F26" s="859"/>
      <c r="G26" s="34"/>
      <c r="H26" s="908"/>
      <c r="I26" s="36"/>
    </row>
    <row r="27" spans="1:9" s="231" customFormat="1" ht="21.95" customHeight="1">
      <c r="A27" s="900"/>
      <c r="B27" s="905"/>
      <c r="C27" s="905"/>
      <c r="D27" s="906"/>
      <c r="E27" s="879"/>
      <c r="F27" s="860"/>
      <c r="G27" s="34"/>
      <c r="H27" s="879"/>
      <c r="I27" s="36"/>
    </row>
    <row r="28" spans="1:9" s="231" customFormat="1">
      <c r="A28" s="38">
        <v>1</v>
      </c>
      <c r="B28" s="39" t="s">
        <v>52</v>
      </c>
      <c r="C28" s="39"/>
      <c r="D28" s="40"/>
      <c r="E28" s="41">
        <v>337949</v>
      </c>
      <c r="F28" s="42">
        <f>F77</f>
        <v>344283</v>
      </c>
      <c r="G28" s="43"/>
      <c r="H28" s="44">
        <f>H77</f>
        <v>362741</v>
      </c>
      <c r="I28" s="43"/>
    </row>
    <row r="29" spans="1:9" s="231" customFormat="1">
      <c r="A29" s="46">
        <v>2</v>
      </c>
      <c r="B29" s="47" t="s">
        <v>53</v>
      </c>
      <c r="C29" s="47"/>
      <c r="D29" s="48"/>
      <c r="E29" s="49">
        <v>236891</v>
      </c>
      <c r="F29" s="50">
        <f>F105</f>
        <v>248051</v>
      </c>
      <c r="G29" s="43"/>
      <c r="H29" s="51">
        <f>H105</f>
        <v>243256</v>
      </c>
      <c r="I29" s="43"/>
    </row>
    <row r="30" spans="1:9" s="231" customFormat="1">
      <c r="A30" s="46">
        <v>3</v>
      </c>
      <c r="B30" s="47" t="s">
        <v>54</v>
      </c>
      <c r="C30" s="47"/>
      <c r="D30" s="48"/>
      <c r="E30" s="49">
        <v>27064</v>
      </c>
      <c r="F30" s="50">
        <f>F180</f>
        <v>28374</v>
      </c>
      <c r="G30" s="43"/>
      <c r="H30" s="51">
        <f>H180</f>
        <v>27585</v>
      </c>
      <c r="I30" s="43"/>
    </row>
    <row r="31" spans="1:9" s="231" customFormat="1">
      <c r="A31" s="46">
        <v>4</v>
      </c>
      <c r="B31" s="47" t="s">
        <v>55</v>
      </c>
      <c r="C31" s="47"/>
      <c r="D31" s="48"/>
      <c r="E31" s="49">
        <v>34175</v>
      </c>
      <c r="F31" s="50">
        <f>F214</f>
        <v>36317</v>
      </c>
      <c r="G31" s="43"/>
      <c r="H31" s="51">
        <f>H214</f>
        <v>35494</v>
      </c>
      <c r="I31" s="43"/>
    </row>
    <row r="32" spans="1:9" s="231" customFormat="1">
      <c r="A32" s="46">
        <v>5</v>
      </c>
      <c r="B32" s="47" t="s">
        <v>56</v>
      </c>
      <c r="C32" s="47"/>
      <c r="D32" s="48"/>
      <c r="E32" s="49">
        <v>9080</v>
      </c>
      <c r="F32" s="50">
        <f>F231</f>
        <v>10581</v>
      </c>
      <c r="G32" s="43"/>
      <c r="H32" s="51">
        <f>H231</f>
        <v>9294</v>
      </c>
      <c r="I32" s="43"/>
    </row>
    <row r="33" spans="1:9" s="231" customFormat="1">
      <c r="A33" s="46">
        <v>6</v>
      </c>
      <c r="B33" s="47" t="s">
        <v>57</v>
      </c>
      <c r="C33" s="47"/>
      <c r="D33" s="48"/>
      <c r="E33" s="49">
        <v>38291</v>
      </c>
      <c r="F33" s="50">
        <f>F257</f>
        <v>37919</v>
      </c>
      <c r="G33" s="43"/>
      <c r="H33" s="51">
        <f>H257</f>
        <v>38727</v>
      </c>
      <c r="I33" s="43"/>
    </row>
    <row r="34" spans="1:9" s="231" customFormat="1">
      <c r="A34" s="46">
        <v>7</v>
      </c>
      <c r="B34" s="47" t="s">
        <v>58</v>
      </c>
      <c r="C34" s="47"/>
      <c r="D34" s="48"/>
      <c r="E34" s="49">
        <v>16861</v>
      </c>
      <c r="F34" s="50">
        <f>F277</f>
        <v>16256</v>
      </c>
      <c r="G34" s="43"/>
      <c r="H34" s="50">
        <f>H277</f>
        <v>15443</v>
      </c>
      <c r="I34" s="43"/>
    </row>
    <row r="35" spans="1:9" s="231" customFormat="1">
      <c r="A35" s="46">
        <v>8</v>
      </c>
      <c r="B35" s="47" t="s">
        <v>59</v>
      </c>
      <c r="C35" s="47"/>
      <c r="D35" s="48"/>
      <c r="E35" s="49">
        <v>22775</v>
      </c>
      <c r="F35" s="50">
        <f>F302</f>
        <v>22244</v>
      </c>
      <c r="G35" s="43"/>
      <c r="H35" s="50">
        <f>H302</f>
        <v>21280</v>
      </c>
      <c r="I35" s="21"/>
    </row>
    <row r="36" spans="1:9" s="231" customFormat="1">
      <c r="A36" s="46">
        <v>9</v>
      </c>
      <c r="B36" s="47" t="s">
        <v>60</v>
      </c>
      <c r="C36" s="47"/>
      <c r="D36" s="48"/>
      <c r="E36" s="49">
        <v>124</v>
      </c>
      <c r="F36" s="52">
        <v>106</v>
      </c>
      <c r="G36" s="43"/>
      <c r="H36" s="52">
        <v>234</v>
      </c>
      <c r="I36" s="21"/>
    </row>
    <row r="37" spans="1:9" s="231" customFormat="1">
      <c r="A37" s="53">
        <v>10</v>
      </c>
      <c r="B37" s="54" t="s">
        <v>61</v>
      </c>
      <c r="C37" s="54"/>
      <c r="D37" s="55"/>
      <c r="E37" s="56">
        <v>68384</v>
      </c>
      <c r="F37" s="57">
        <f>F320</f>
        <v>67161</v>
      </c>
      <c r="G37" s="43"/>
      <c r="H37" s="57">
        <f>H320</f>
        <v>67251</v>
      </c>
      <c r="I37" s="21"/>
    </row>
    <row r="38" spans="1:9" s="231" customFormat="1">
      <c r="A38" s="33">
        <v>11</v>
      </c>
      <c r="B38" s="58" t="s">
        <v>62</v>
      </c>
      <c r="C38" s="58"/>
      <c r="D38" s="59"/>
      <c r="E38" s="60">
        <v>791594</v>
      </c>
      <c r="F38" s="61">
        <f>SUM(F28:F37)</f>
        <v>811292</v>
      </c>
      <c r="G38" s="43"/>
      <c r="H38" s="61">
        <f>SUM(H28:H37)</f>
        <v>821305</v>
      </c>
      <c r="I38" s="68"/>
    </row>
    <row r="39" spans="1:9" s="231" customFormat="1" ht="12.75" customHeight="1">
      <c r="A39" s="63"/>
      <c r="B39" s="64"/>
      <c r="C39" s="64"/>
      <c r="D39" s="65"/>
      <c r="E39" s="66"/>
      <c r="F39" s="67"/>
      <c r="G39" s="21"/>
      <c r="H39" s="67"/>
      <c r="I39" s="68"/>
    </row>
    <row r="40" spans="1:9" s="231" customFormat="1" ht="12.75" customHeight="1">
      <c r="A40" s="893" t="s">
        <v>63</v>
      </c>
      <c r="B40" s="894"/>
      <c r="C40" s="894"/>
      <c r="D40" s="895"/>
      <c r="E40" s="878" t="s">
        <v>376</v>
      </c>
      <c r="F40" s="856" t="s">
        <v>407</v>
      </c>
      <c r="G40" s="36"/>
      <c r="H40" s="878" t="s">
        <v>406</v>
      </c>
      <c r="I40" s="43"/>
    </row>
    <row r="41" spans="1:9" s="231" customFormat="1" ht="27.75" customHeight="1">
      <c r="A41" s="876"/>
      <c r="B41" s="877"/>
      <c r="C41" s="877"/>
      <c r="D41" s="896"/>
      <c r="E41" s="879"/>
      <c r="F41" s="860"/>
      <c r="G41" s="23"/>
      <c r="H41" s="879"/>
      <c r="I41" s="43"/>
    </row>
    <row r="42" spans="1:9" s="231" customFormat="1">
      <c r="A42" s="783" t="s">
        <v>64</v>
      </c>
      <c r="B42" s="69" t="s">
        <v>65</v>
      </c>
      <c r="C42" s="69"/>
      <c r="D42" s="70"/>
      <c r="E42" s="71"/>
      <c r="F42" s="72" t="str">
        <f>IF(OR(F43&lt;0,F44&lt;0,F47&lt;0,F48&lt;0,H43&lt;0,H44&lt;0,H47&lt;0,H48&lt;0),"Funding should be recorded as positive figures",".")</f>
        <v>.</v>
      </c>
      <c r="G42" s="45"/>
      <c r="H42" s="73"/>
      <c r="I42" s="43"/>
    </row>
    <row r="43" spans="1:9" s="231" customFormat="1">
      <c r="A43" s="46">
        <v>1</v>
      </c>
      <c r="B43" s="47" t="s">
        <v>66</v>
      </c>
      <c r="C43" s="47"/>
      <c r="D43" s="48"/>
      <c r="E43" s="74">
        <v>463534</v>
      </c>
      <c r="F43" s="241">
        <v>467621.99999999983</v>
      </c>
      <c r="G43" s="45"/>
      <c r="H43" s="75">
        <v>461753</v>
      </c>
      <c r="I43" s="43"/>
    </row>
    <row r="44" spans="1:9" s="231" customFormat="1">
      <c r="A44" s="46">
        <v>2</v>
      </c>
      <c r="B44" s="47" t="s">
        <v>67</v>
      </c>
      <c r="C44" s="47"/>
      <c r="D44" s="48"/>
      <c r="E44" s="49">
        <v>154138</v>
      </c>
      <c r="F44" s="241">
        <v>154138</v>
      </c>
      <c r="G44" s="45"/>
      <c r="H44" s="75">
        <v>165717</v>
      </c>
      <c r="I44" s="43"/>
    </row>
    <row r="45" spans="1:9" s="231" customFormat="1">
      <c r="A45" s="46">
        <v>3</v>
      </c>
      <c r="B45" s="47" t="s">
        <v>68</v>
      </c>
      <c r="C45" s="47"/>
      <c r="D45" s="48"/>
      <c r="E45" s="49">
        <v>0</v>
      </c>
      <c r="F45" s="52">
        <v>0</v>
      </c>
      <c r="G45" s="45"/>
      <c r="H45" s="75">
        <v>0</v>
      </c>
      <c r="I45" s="43"/>
    </row>
    <row r="46" spans="1:9" s="231" customFormat="1">
      <c r="A46" s="46">
        <v>4</v>
      </c>
      <c r="B46" s="47" t="s">
        <v>70</v>
      </c>
      <c r="C46" s="47"/>
      <c r="D46" s="48"/>
      <c r="E46" s="49">
        <v>0</v>
      </c>
      <c r="F46" s="52">
        <v>0</v>
      </c>
      <c r="G46" s="45"/>
      <c r="H46" s="75">
        <v>0</v>
      </c>
      <c r="I46" s="43"/>
    </row>
    <row r="47" spans="1:9" s="231" customFormat="1">
      <c r="A47" s="46">
        <v>5</v>
      </c>
      <c r="B47" s="47" t="s">
        <v>69</v>
      </c>
      <c r="C47" s="47"/>
      <c r="D47" s="48"/>
      <c r="E47" s="49">
        <v>19375</v>
      </c>
      <c r="F47" s="52">
        <v>19375</v>
      </c>
      <c r="G47" s="45"/>
      <c r="H47" s="76">
        <v>34395</v>
      </c>
      <c r="I47" s="43"/>
    </row>
    <row r="48" spans="1:9" s="231" customFormat="1">
      <c r="A48" s="46">
        <v>6</v>
      </c>
      <c r="B48" s="90" t="s">
        <v>253</v>
      </c>
      <c r="C48" s="47"/>
      <c r="D48" s="195"/>
      <c r="E48" s="49">
        <v>154567</v>
      </c>
      <c r="F48" s="52">
        <v>153721</v>
      </c>
      <c r="G48" s="45"/>
      <c r="H48" s="52">
        <v>159450</v>
      </c>
      <c r="I48" s="43"/>
    </row>
    <row r="49" spans="1:9" s="231" customFormat="1">
      <c r="A49" s="77">
        <v>7</v>
      </c>
      <c r="B49" s="78" t="s">
        <v>71</v>
      </c>
      <c r="C49" s="58"/>
      <c r="D49" s="79"/>
      <c r="E49" s="80">
        <v>791614</v>
      </c>
      <c r="F49" s="81">
        <f>SUM(F43:F48)</f>
        <v>794855.99999999977</v>
      </c>
      <c r="G49" s="82"/>
      <c r="H49" s="62">
        <f>SUM(H43:H48)</f>
        <v>821315</v>
      </c>
      <c r="I49" s="242"/>
    </row>
    <row r="50" spans="1:9" s="231" customFormat="1">
      <c r="A50" s="83"/>
      <c r="B50" s="244"/>
      <c r="C50" s="244"/>
      <c r="D50" s="244"/>
      <c r="E50" s="85"/>
      <c r="F50" s="244"/>
      <c r="G50" s="86"/>
      <c r="H50" s="86"/>
      <c r="I50" s="21"/>
    </row>
    <row r="51" spans="1:9" s="231" customFormat="1">
      <c r="A51" s="783" t="s">
        <v>72</v>
      </c>
      <c r="B51" s="196" t="s">
        <v>254</v>
      </c>
      <c r="C51" s="69"/>
      <c r="D51" s="70"/>
      <c r="E51" s="87"/>
      <c r="F51" s="88"/>
      <c r="G51" s="45"/>
      <c r="H51" s="89"/>
      <c r="I51" s="43"/>
    </row>
    <row r="52" spans="1:9" s="231" customFormat="1">
      <c r="A52" s="46">
        <v>8</v>
      </c>
      <c r="B52" s="90" t="s">
        <v>73</v>
      </c>
      <c r="C52" s="47"/>
      <c r="D52" s="48"/>
      <c r="E52" s="74">
        <v>791594</v>
      </c>
      <c r="F52" s="50">
        <f>F38</f>
        <v>811292</v>
      </c>
      <c r="G52" s="45"/>
      <c r="H52" s="91">
        <f>H38</f>
        <v>821305</v>
      </c>
      <c r="I52" s="43"/>
    </row>
    <row r="53" spans="1:9" s="231" customFormat="1">
      <c r="A53" s="46">
        <v>9</v>
      </c>
      <c r="B53" s="90" t="s">
        <v>74</v>
      </c>
      <c r="C53" s="47"/>
      <c r="D53" s="48"/>
      <c r="E53" s="49">
        <v>791614</v>
      </c>
      <c r="F53" s="92">
        <f>F49</f>
        <v>794855.99999999977</v>
      </c>
      <c r="G53" s="45"/>
      <c r="H53" s="91">
        <f>H49</f>
        <v>821315</v>
      </c>
      <c r="I53" s="43"/>
    </row>
    <row r="54" spans="1:9" s="231" customFormat="1">
      <c r="A54" s="785">
        <v>10</v>
      </c>
      <c r="B54" s="93" t="s">
        <v>255</v>
      </c>
      <c r="C54" s="94"/>
      <c r="D54" s="55"/>
      <c r="E54" s="95">
        <v>20</v>
      </c>
      <c r="F54" s="96">
        <f>F53-F52</f>
        <v>-16436.000000000233</v>
      </c>
      <c r="G54" s="45"/>
      <c r="H54" s="97">
        <f>H53-H52</f>
        <v>10</v>
      </c>
      <c r="I54" s="43"/>
    </row>
    <row r="55" spans="1:9" s="231" customFormat="1">
      <c r="A55" s="83"/>
      <c r="B55" s="244"/>
      <c r="C55" s="244"/>
      <c r="D55" s="244"/>
      <c r="E55" s="85"/>
      <c r="F55" s="244"/>
      <c r="G55" s="86"/>
      <c r="H55" s="86"/>
      <c r="I55" s="21"/>
    </row>
    <row r="56" spans="1:9" s="231" customFormat="1">
      <c r="A56" s="783" t="s">
        <v>75</v>
      </c>
      <c r="B56" s="69" t="s">
        <v>256</v>
      </c>
      <c r="C56" s="69"/>
      <c r="D56" s="70"/>
      <c r="E56" s="87"/>
      <c r="F56" s="88"/>
      <c r="G56" s="45"/>
      <c r="H56" s="89"/>
      <c r="I56" s="43"/>
    </row>
    <row r="57" spans="1:9" s="231" customFormat="1">
      <c r="A57" s="46">
        <v>11</v>
      </c>
      <c r="B57" s="47" t="s">
        <v>76</v>
      </c>
      <c r="C57" s="47"/>
      <c r="D57" s="48"/>
      <c r="E57" s="74">
        <v>38194</v>
      </c>
      <c r="F57" s="52">
        <v>51022</v>
      </c>
      <c r="G57" s="45"/>
      <c r="H57" s="91">
        <f>F61</f>
        <v>34585.999999999767</v>
      </c>
      <c r="I57" s="43"/>
    </row>
    <row r="58" spans="1:9" s="231" customFormat="1">
      <c r="A58" s="46">
        <v>12</v>
      </c>
      <c r="B58" s="90" t="s">
        <v>257</v>
      </c>
      <c r="C58" s="47"/>
      <c r="D58" s="48"/>
      <c r="E58" s="49">
        <v>20</v>
      </c>
      <c r="F58" s="92">
        <f>F54</f>
        <v>-16436.000000000233</v>
      </c>
      <c r="G58" s="45"/>
      <c r="H58" s="98">
        <f>H54</f>
        <v>10</v>
      </c>
      <c r="I58" s="43"/>
    </row>
    <row r="59" spans="1:9" s="231" customFormat="1">
      <c r="A59" s="46">
        <v>13</v>
      </c>
      <c r="B59" s="47" t="s">
        <v>77</v>
      </c>
      <c r="C59" s="47"/>
      <c r="D59" s="48"/>
      <c r="E59" s="49">
        <v>0</v>
      </c>
      <c r="F59" s="52">
        <v>0</v>
      </c>
      <c r="G59" s="45"/>
      <c r="H59" s="99">
        <v>0</v>
      </c>
      <c r="I59" s="43"/>
    </row>
    <row r="60" spans="1:9" s="231" customFormat="1">
      <c r="A60" s="46">
        <v>14</v>
      </c>
      <c r="B60" s="47" t="s">
        <v>78</v>
      </c>
      <c r="C60" s="47"/>
      <c r="D60" s="48"/>
      <c r="E60" s="49">
        <v>0</v>
      </c>
      <c r="F60" s="52">
        <v>0</v>
      </c>
      <c r="G60" s="45"/>
      <c r="H60" s="100">
        <v>0</v>
      </c>
      <c r="I60" s="43"/>
    </row>
    <row r="61" spans="1:9" s="231" customFormat="1">
      <c r="A61" s="53">
        <v>15</v>
      </c>
      <c r="B61" s="54" t="s">
        <v>79</v>
      </c>
      <c r="C61" s="54"/>
      <c r="D61" s="55"/>
      <c r="E61" s="56">
        <v>38214</v>
      </c>
      <c r="F61" s="96">
        <f>F57+F58+F59+F60</f>
        <v>34585.999999999767</v>
      </c>
      <c r="G61" s="45"/>
      <c r="H61" s="101">
        <f>H57+H58+H59+H60</f>
        <v>34595.999999999767</v>
      </c>
      <c r="I61" s="43"/>
    </row>
    <row r="62" spans="1:9" s="231" customFormat="1">
      <c r="A62" s="102"/>
      <c r="B62" s="207"/>
      <c r="C62" s="207"/>
      <c r="D62" s="207"/>
      <c r="E62" s="103"/>
      <c r="F62" s="21"/>
      <c r="G62" s="21"/>
      <c r="H62" s="21"/>
      <c r="I62" s="21"/>
    </row>
    <row r="63" spans="1:9" s="231" customFormat="1" ht="12.75" customHeight="1">
      <c r="A63" s="23"/>
      <c r="B63" s="207"/>
      <c r="C63" s="207"/>
      <c r="D63" s="207"/>
      <c r="E63" s="15"/>
      <c r="F63" s="207"/>
      <c r="G63" s="207"/>
      <c r="H63" s="21"/>
      <c r="I63" s="21"/>
    </row>
    <row r="64" spans="1:9" s="231" customFormat="1" ht="15">
      <c r="A64" s="104" t="s">
        <v>80</v>
      </c>
      <c r="B64" s="29"/>
      <c r="C64" s="29"/>
      <c r="D64" s="29"/>
      <c r="E64" s="15"/>
      <c r="F64" s="29"/>
      <c r="G64" s="29"/>
      <c r="H64" s="29"/>
      <c r="I64" s="29"/>
    </row>
    <row r="65" spans="1:9" s="231" customFormat="1">
      <c r="A65" s="32"/>
      <c r="B65" s="29"/>
      <c r="C65" s="29"/>
      <c r="D65" s="29"/>
      <c r="E65" s="105"/>
      <c r="F65" s="29"/>
      <c r="G65" s="29"/>
      <c r="H65" s="29"/>
      <c r="I65" s="131" t="s">
        <v>27</v>
      </c>
    </row>
    <row r="66" spans="1:9" s="231" customFormat="1">
      <c r="A66" s="106" t="s">
        <v>14</v>
      </c>
      <c r="B66" s="107"/>
      <c r="C66" s="107"/>
      <c r="D66" s="107"/>
      <c r="E66" s="856" t="s">
        <v>377</v>
      </c>
      <c r="F66" s="962" t="s">
        <v>402</v>
      </c>
      <c r="G66" s="867" t="s">
        <v>81</v>
      </c>
      <c r="H66" s="962" t="s">
        <v>403</v>
      </c>
      <c r="I66" s="867" t="s">
        <v>81</v>
      </c>
    </row>
    <row r="67" spans="1:9" s="231" customFormat="1" ht="21" customHeight="1">
      <c r="A67" s="108"/>
      <c r="B67" s="47"/>
      <c r="C67" s="47"/>
      <c r="D67" s="47"/>
      <c r="E67" s="859"/>
      <c r="F67" s="963"/>
      <c r="G67" s="868"/>
      <c r="H67" s="963"/>
      <c r="I67" s="868"/>
    </row>
    <row r="68" spans="1:9" s="231" customFormat="1">
      <c r="A68" s="109" t="s">
        <v>82</v>
      </c>
      <c r="B68" s="47"/>
      <c r="C68" s="47"/>
      <c r="D68" s="47"/>
      <c r="E68" s="859"/>
      <c r="F68" s="963"/>
      <c r="G68" s="868"/>
      <c r="H68" s="963"/>
      <c r="I68" s="868"/>
    </row>
    <row r="69" spans="1:9" s="231" customFormat="1">
      <c r="A69" s="109" t="s">
        <v>83</v>
      </c>
      <c r="B69" s="47"/>
      <c r="C69" s="47"/>
      <c r="D69" s="47"/>
      <c r="E69" s="859"/>
      <c r="F69" s="963"/>
      <c r="G69" s="868"/>
      <c r="H69" s="963"/>
      <c r="I69" s="868"/>
    </row>
    <row r="70" spans="1:9" s="231" customFormat="1">
      <c r="A70" s="110" t="s">
        <v>84</v>
      </c>
      <c r="B70" s="47"/>
      <c r="C70" s="47"/>
      <c r="D70" s="47"/>
      <c r="E70" s="860"/>
      <c r="F70" s="964"/>
      <c r="G70" s="869"/>
      <c r="H70" s="964"/>
      <c r="I70" s="869"/>
    </row>
    <row r="71" spans="1:9" s="231" customFormat="1">
      <c r="A71" s="111">
        <v>1</v>
      </c>
      <c r="B71" s="47" t="s">
        <v>85</v>
      </c>
      <c r="C71" s="47"/>
      <c r="D71" s="47"/>
      <c r="E71" s="41">
        <v>29954</v>
      </c>
      <c r="F71" s="247">
        <v>31162</v>
      </c>
      <c r="G71" s="112">
        <v>2823</v>
      </c>
      <c r="H71" s="248">
        <v>49177</v>
      </c>
      <c r="I71" s="112">
        <v>2441</v>
      </c>
    </row>
    <row r="72" spans="1:9" s="231" customFormat="1">
      <c r="A72" s="111">
        <v>2</v>
      </c>
      <c r="B72" s="47" t="s">
        <v>86</v>
      </c>
      <c r="C72" s="47"/>
      <c r="D72" s="47"/>
      <c r="E72" s="49">
        <v>138423</v>
      </c>
      <c r="F72" s="247">
        <v>143102</v>
      </c>
      <c r="G72" s="113">
        <v>96108</v>
      </c>
      <c r="H72" s="123">
        <v>140640</v>
      </c>
      <c r="I72" s="113">
        <v>99184</v>
      </c>
    </row>
    <row r="73" spans="1:9" s="231" customFormat="1">
      <c r="A73" s="111">
        <v>3</v>
      </c>
      <c r="B73" s="47" t="s">
        <v>87</v>
      </c>
      <c r="C73" s="47"/>
      <c r="D73" s="47"/>
      <c r="E73" s="114">
        <v>127764</v>
      </c>
      <c r="F73" s="247">
        <v>128792</v>
      </c>
      <c r="G73" s="113">
        <v>88805</v>
      </c>
      <c r="H73" s="123">
        <v>129211</v>
      </c>
      <c r="I73" s="113">
        <v>93552</v>
      </c>
    </row>
    <row r="74" spans="1:9" s="231" customFormat="1">
      <c r="A74" s="111">
        <v>4</v>
      </c>
      <c r="B74" s="47" t="s">
        <v>88</v>
      </c>
      <c r="C74" s="47"/>
      <c r="D74" s="47"/>
      <c r="E74" s="114">
        <v>34910</v>
      </c>
      <c r="F74" s="247">
        <v>34129</v>
      </c>
      <c r="G74" s="113">
        <v>6262</v>
      </c>
      <c r="H74" s="123">
        <v>36324</v>
      </c>
      <c r="I74" s="113">
        <v>6481</v>
      </c>
    </row>
    <row r="75" spans="1:9" s="231" customFormat="1">
      <c r="A75" s="111">
        <v>5</v>
      </c>
      <c r="B75" s="47" t="s">
        <v>89</v>
      </c>
      <c r="C75" s="47" t="s">
        <v>90</v>
      </c>
      <c r="D75" s="47"/>
      <c r="E75" s="114">
        <v>6898</v>
      </c>
      <c r="F75" s="247">
        <v>7098</v>
      </c>
      <c r="G75" s="113">
        <v>0</v>
      </c>
      <c r="H75" s="123">
        <v>7389</v>
      </c>
      <c r="I75" s="113">
        <v>0</v>
      </c>
    </row>
    <row r="76" spans="1:9" s="231" customFormat="1">
      <c r="A76" s="784"/>
      <c r="B76" s="786"/>
      <c r="C76" s="47" t="s">
        <v>91</v>
      </c>
      <c r="D76" s="47"/>
      <c r="E76" s="114">
        <v>0</v>
      </c>
      <c r="F76" s="247">
        <v>0</v>
      </c>
      <c r="G76" s="115">
        <v>0</v>
      </c>
      <c r="H76" s="249">
        <v>0</v>
      </c>
      <c r="I76" s="115">
        <v>0</v>
      </c>
    </row>
    <row r="77" spans="1:9" s="231" customFormat="1">
      <c r="A77" s="111">
        <v>6</v>
      </c>
      <c r="B77" s="116" t="s">
        <v>92</v>
      </c>
      <c r="C77" s="116"/>
      <c r="D77" s="47"/>
      <c r="E77" s="80">
        <v>337949</v>
      </c>
      <c r="F77" s="250">
        <f>SUM(F71:F76)</f>
        <v>344283</v>
      </c>
      <c r="G77" s="251">
        <f>SUM(G71:G76)</f>
        <v>193998</v>
      </c>
      <c r="H77" s="252">
        <f>SUM(H71:H76)</f>
        <v>362741</v>
      </c>
      <c r="I77" s="251">
        <f>SUM(I71:I76)</f>
        <v>201658</v>
      </c>
    </row>
    <row r="78" spans="1:9" s="231" customFormat="1">
      <c r="A78" s="784"/>
      <c r="B78" s="47"/>
      <c r="C78" s="47"/>
      <c r="D78" s="47"/>
      <c r="E78" s="117"/>
      <c r="F78" s="118"/>
      <c r="G78" s="118"/>
      <c r="H78" s="118"/>
      <c r="I78" s="118"/>
    </row>
    <row r="79" spans="1:9" s="231" customFormat="1">
      <c r="A79" s="119" t="s">
        <v>93</v>
      </c>
      <c r="B79" s="116"/>
      <c r="C79" s="116"/>
      <c r="D79" s="116"/>
      <c r="E79" s="117"/>
      <c r="F79" s="118"/>
      <c r="G79" s="118"/>
      <c r="H79" s="118"/>
      <c r="I79" s="118"/>
    </row>
    <row r="80" spans="1:9" s="231" customFormat="1">
      <c r="A80" s="120">
        <v>7</v>
      </c>
      <c r="B80" s="47" t="s">
        <v>94</v>
      </c>
      <c r="C80" s="47"/>
      <c r="D80" s="47"/>
      <c r="E80" s="41">
        <v>3749</v>
      </c>
      <c r="F80" s="253">
        <v>3331</v>
      </c>
      <c r="G80" s="112">
        <v>1517</v>
      </c>
      <c r="H80" s="248">
        <v>3052</v>
      </c>
      <c r="I80" s="112">
        <v>1113</v>
      </c>
    </row>
    <row r="81" spans="1:9" s="231" customFormat="1">
      <c r="A81" s="120">
        <v>8</v>
      </c>
      <c r="B81" s="47" t="s">
        <v>95</v>
      </c>
      <c r="C81" s="47"/>
      <c r="D81" s="47"/>
      <c r="E81" s="49">
        <v>83278</v>
      </c>
      <c r="F81" s="247">
        <v>82534</v>
      </c>
      <c r="G81" s="113">
        <v>79693</v>
      </c>
      <c r="H81" s="123">
        <v>81409</v>
      </c>
      <c r="I81" s="113">
        <v>83181</v>
      </c>
    </row>
    <row r="82" spans="1:9" s="231" customFormat="1">
      <c r="A82" s="120">
        <v>9</v>
      </c>
      <c r="B82" s="47" t="s">
        <v>96</v>
      </c>
      <c r="C82" s="47"/>
      <c r="D82" s="47"/>
      <c r="E82" s="49">
        <v>77517</v>
      </c>
      <c r="F82" s="247">
        <v>77740</v>
      </c>
      <c r="G82" s="113">
        <v>75777</v>
      </c>
      <c r="H82" s="123">
        <v>78716</v>
      </c>
      <c r="I82" s="113">
        <v>79999</v>
      </c>
    </row>
    <row r="83" spans="1:9" s="231" customFormat="1">
      <c r="A83" s="120">
        <v>10</v>
      </c>
      <c r="B83" s="90" t="s">
        <v>97</v>
      </c>
      <c r="C83" s="47"/>
      <c r="D83" s="47"/>
      <c r="E83" s="49">
        <v>33193</v>
      </c>
      <c r="F83" s="247">
        <v>33685</v>
      </c>
      <c r="G83" s="113">
        <v>3916</v>
      </c>
      <c r="H83" s="123">
        <v>35703</v>
      </c>
      <c r="I83" s="113">
        <v>4194</v>
      </c>
    </row>
    <row r="84" spans="1:9" s="231" customFormat="1">
      <c r="A84" s="120">
        <v>11</v>
      </c>
      <c r="B84" s="90" t="s">
        <v>98</v>
      </c>
      <c r="C84" s="47"/>
      <c r="D84" s="47"/>
      <c r="E84" s="49">
        <v>13817</v>
      </c>
      <c r="F84" s="247">
        <v>13925</v>
      </c>
      <c r="G84" s="113">
        <v>55</v>
      </c>
      <c r="H84" s="123">
        <v>14207</v>
      </c>
      <c r="I84" s="113">
        <v>0</v>
      </c>
    </row>
    <row r="85" spans="1:9" s="231" customFormat="1">
      <c r="A85" s="120">
        <v>12</v>
      </c>
      <c r="B85" s="47" t="s">
        <v>99</v>
      </c>
      <c r="C85" s="47"/>
      <c r="D85" s="47"/>
      <c r="E85" s="49">
        <v>9421</v>
      </c>
      <c r="F85" s="247">
        <v>8274</v>
      </c>
      <c r="G85" s="113">
        <v>0</v>
      </c>
      <c r="H85" s="123">
        <v>8480</v>
      </c>
      <c r="I85" s="113">
        <v>0</v>
      </c>
    </row>
    <row r="86" spans="1:9" s="231" customFormat="1">
      <c r="A86" s="120">
        <v>13</v>
      </c>
      <c r="B86" s="47" t="s">
        <v>100</v>
      </c>
      <c r="C86" s="47"/>
      <c r="D86" s="47"/>
      <c r="E86" s="49">
        <v>68449</v>
      </c>
      <c r="F86" s="247">
        <v>101670</v>
      </c>
      <c r="G86" s="113">
        <v>18254</v>
      </c>
      <c r="H86" s="123">
        <v>119770</v>
      </c>
      <c r="I86" s="113">
        <v>18287</v>
      </c>
    </row>
    <row r="87" spans="1:9" s="231" customFormat="1">
      <c r="A87" s="120">
        <v>14</v>
      </c>
      <c r="B87" s="47" t="s">
        <v>101</v>
      </c>
      <c r="C87" s="47"/>
      <c r="D87" s="47"/>
      <c r="E87" s="49">
        <v>0</v>
      </c>
      <c r="F87" s="247">
        <v>0</v>
      </c>
      <c r="G87" s="113">
        <v>0</v>
      </c>
      <c r="H87" s="123">
        <v>0</v>
      </c>
      <c r="I87" s="113">
        <v>0</v>
      </c>
    </row>
    <row r="88" spans="1:9" s="231" customFormat="1">
      <c r="A88" s="124">
        <v>15</v>
      </c>
      <c r="B88" s="125" t="s">
        <v>102</v>
      </c>
      <c r="C88" s="54"/>
      <c r="D88" s="54"/>
      <c r="E88" s="56">
        <v>0</v>
      </c>
      <c r="F88" s="254">
        <v>0</v>
      </c>
      <c r="G88" s="127">
        <v>0</v>
      </c>
      <c r="H88" s="255">
        <v>0</v>
      </c>
      <c r="I88" s="127">
        <v>0</v>
      </c>
    </row>
    <row r="89" spans="1:9" s="231" customFormat="1">
      <c r="A89" s="128"/>
      <c r="B89" s="129"/>
      <c r="C89" s="129"/>
      <c r="D89" s="129"/>
      <c r="E89" s="15"/>
      <c r="F89" s="130"/>
      <c r="G89" s="29"/>
      <c r="H89" s="207"/>
      <c r="I89" s="29"/>
    </row>
    <row r="90" spans="1:9" s="231" customFormat="1">
      <c r="A90" s="128"/>
      <c r="B90" s="129"/>
      <c r="C90" s="129"/>
      <c r="D90" s="129"/>
      <c r="E90" s="105"/>
      <c r="F90" s="130"/>
      <c r="G90" s="29"/>
      <c r="H90" s="131" t="s">
        <v>27</v>
      </c>
      <c r="I90" s="29"/>
    </row>
    <row r="91" spans="1:9" s="231" customFormat="1">
      <c r="A91" s="106" t="s">
        <v>17</v>
      </c>
      <c r="B91" s="107"/>
      <c r="C91" s="107"/>
      <c r="D91" s="107"/>
      <c r="E91" s="856" t="s">
        <v>421</v>
      </c>
      <c r="F91" s="856" t="s">
        <v>402</v>
      </c>
      <c r="G91" s="257"/>
      <c r="H91" s="856" t="s">
        <v>403</v>
      </c>
      <c r="I91" s="29"/>
    </row>
    <row r="92" spans="1:9" s="231" customFormat="1" ht="12.75" customHeight="1">
      <c r="A92" s="109"/>
      <c r="B92" s="132"/>
      <c r="C92" s="132"/>
      <c r="D92" s="132"/>
      <c r="E92" s="859"/>
      <c r="F92" s="859"/>
      <c r="G92" s="29"/>
      <c r="H92" s="859"/>
      <c r="I92" s="29"/>
    </row>
    <row r="93" spans="1:9" s="231" customFormat="1">
      <c r="A93" s="109" t="s">
        <v>103</v>
      </c>
      <c r="B93" s="132"/>
      <c r="C93" s="132"/>
      <c r="D93" s="132"/>
      <c r="E93" s="859"/>
      <c r="F93" s="859"/>
      <c r="G93" s="29"/>
      <c r="H93" s="859"/>
      <c r="I93" s="29"/>
    </row>
    <row r="94" spans="1:9" s="231" customFormat="1">
      <c r="A94" s="109" t="s">
        <v>83</v>
      </c>
      <c r="B94" s="132"/>
      <c r="C94" s="132"/>
      <c r="D94" s="132"/>
      <c r="E94" s="859"/>
      <c r="F94" s="859"/>
      <c r="G94" s="130"/>
      <c r="H94" s="859"/>
      <c r="I94" s="29"/>
    </row>
    <row r="95" spans="1:9" s="231" customFormat="1">
      <c r="A95" s="110" t="s">
        <v>84</v>
      </c>
      <c r="B95" s="132"/>
      <c r="C95" s="132"/>
      <c r="D95" s="132"/>
      <c r="E95" s="860"/>
      <c r="F95" s="860"/>
      <c r="G95" s="130"/>
      <c r="H95" s="860"/>
      <c r="I95" s="130"/>
    </row>
    <row r="96" spans="1:9" s="231" customFormat="1">
      <c r="A96" s="120">
        <v>1</v>
      </c>
      <c r="B96" s="47" t="s">
        <v>104</v>
      </c>
      <c r="C96" s="47"/>
      <c r="D96" s="47"/>
      <c r="E96" s="41">
        <v>939</v>
      </c>
      <c r="F96" s="52">
        <v>940</v>
      </c>
      <c r="G96" s="118"/>
      <c r="H96" s="133">
        <v>82</v>
      </c>
      <c r="I96" s="139"/>
    </row>
    <row r="97" spans="1:9" s="231" customFormat="1">
      <c r="A97" s="120">
        <v>2</v>
      </c>
      <c r="B97" s="47" t="s">
        <v>105</v>
      </c>
      <c r="C97" s="47"/>
      <c r="D97" s="47"/>
      <c r="E97" s="49">
        <v>0</v>
      </c>
      <c r="F97" s="52">
        <v>-1</v>
      </c>
      <c r="G97" s="118"/>
      <c r="H97" s="122">
        <v>0</v>
      </c>
      <c r="I97" s="139"/>
    </row>
    <row r="98" spans="1:9" s="231" customFormat="1">
      <c r="A98" s="120">
        <v>3</v>
      </c>
      <c r="B98" s="47" t="s">
        <v>106</v>
      </c>
      <c r="C98" s="47"/>
      <c r="D98" s="47"/>
      <c r="E98" s="114">
        <v>73633</v>
      </c>
      <c r="F98" s="50">
        <f>F115</f>
        <v>80330</v>
      </c>
      <c r="G98" s="118"/>
      <c r="H98" s="50">
        <f>H115</f>
        <v>69927</v>
      </c>
      <c r="I98" s="139"/>
    </row>
    <row r="99" spans="1:9" s="231" customFormat="1">
      <c r="A99" s="120">
        <v>4</v>
      </c>
      <c r="B99" s="47" t="s">
        <v>107</v>
      </c>
      <c r="C99" s="47"/>
      <c r="D99" s="47"/>
      <c r="E99" s="114">
        <v>82765</v>
      </c>
      <c r="F99" s="50">
        <f>F125</f>
        <v>91569</v>
      </c>
      <c r="G99" s="118"/>
      <c r="H99" s="50">
        <f>H125</f>
        <v>90475</v>
      </c>
      <c r="I99" s="139"/>
    </row>
    <row r="100" spans="1:9" s="231" customFormat="1">
      <c r="A100" s="120">
        <v>5</v>
      </c>
      <c r="B100" s="47" t="s">
        <v>108</v>
      </c>
      <c r="C100" s="47"/>
      <c r="D100" s="47"/>
      <c r="E100" s="114">
        <v>20871</v>
      </c>
      <c r="F100" s="50">
        <f>F135</f>
        <v>20519</v>
      </c>
      <c r="G100" s="118"/>
      <c r="H100" s="50">
        <f>H135</f>
        <v>23036</v>
      </c>
      <c r="I100" s="139"/>
    </row>
    <row r="101" spans="1:9" s="231" customFormat="1">
      <c r="A101" s="120">
        <v>6</v>
      </c>
      <c r="B101" s="47" t="s">
        <v>109</v>
      </c>
      <c r="C101" s="47"/>
      <c r="D101" s="47"/>
      <c r="E101" s="114">
        <v>41576</v>
      </c>
      <c r="F101" s="50">
        <f>F143</f>
        <v>39092</v>
      </c>
      <c r="G101" s="118"/>
      <c r="H101" s="50">
        <f>H143</f>
        <v>43543</v>
      </c>
      <c r="I101" s="139"/>
    </row>
    <row r="102" spans="1:9" s="231" customFormat="1">
      <c r="A102" s="120">
        <v>7</v>
      </c>
      <c r="B102" s="47" t="s">
        <v>110</v>
      </c>
      <c r="C102" s="47"/>
      <c r="D102" s="47"/>
      <c r="E102" s="114">
        <v>8962</v>
      </c>
      <c r="F102" s="50">
        <f>F150</f>
        <v>8034</v>
      </c>
      <c r="G102" s="118"/>
      <c r="H102" s="50">
        <f>H150</f>
        <v>8714</v>
      </c>
      <c r="I102" s="139"/>
    </row>
    <row r="103" spans="1:9" s="231" customFormat="1">
      <c r="A103" s="120">
        <v>8</v>
      </c>
      <c r="B103" s="47" t="s">
        <v>111</v>
      </c>
      <c r="C103" s="47"/>
      <c r="D103" s="47"/>
      <c r="E103" s="114">
        <v>646</v>
      </c>
      <c r="F103" s="52">
        <v>527</v>
      </c>
      <c r="G103" s="118"/>
      <c r="H103" s="122">
        <v>546</v>
      </c>
      <c r="I103" s="139"/>
    </row>
    <row r="104" spans="1:9" s="231" customFormat="1">
      <c r="A104" s="120">
        <v>9</v>
      </c>
      <c r="B104" s="47" t="s">
        <v>112</v>
      </c>
      <c r="C104" s="47"/>
      <c r="D104" s="47"/>
      <c r="E104" s="114">
        <v>7499</v>
      </c>
      <c r="F104" s="52">
        <v>7041</v>
      </c>
      <c r="G104" s="118"/>
      <c r="H104" s="122">
        <v>6933</v>
      </c>
      <c r="I104" s="139"/>
    </row>
    <row r="105" spans="1:9" s="231" customFormat="1">
      <c r="A105" s="111" t="s">
        <v>113</v>
      </c>
      <c r="B105" s="116" t="s">
        <v>114</v>
      </c>
      <c r="C105" s="116"/>
      <c r="D105" s="47"/>
      <c r="E105" s="134">
        <v>236891</v>
      </c>
      <c r="F105" s="61">
        <f>SUM(F96:F104)</f>
        <v>248051</v>
      </c>
      <c r="G105" s="118"/>
      <c r="H105" s="61">
        <f>SUM(H96:H104)</f>
        <v>243256</v>
      </c>
      <c r="I105" s="139"/>
    </row>
    <row r="106" spans="1:9" s="231" customFormat="1">
      <c r="A106" s="120">
        <v>11</v>
      </c>
      <c r="B106" s="90" t="s">
        <v>115</v>
      </c>
      <c r="C106" s="47"/>
      <c r="D106" s="47"/>
      <c r="E106" s="135">
        <v>1248</v>
      </c>
      <c r="F106" s="136">
        <v>1365</v>
      </c>
      <c r="G106" s="118"/>
      <c r="H106" s="137">
        <v>1221</v>
      </c>
      <c r="I106" s="139"/>
    </row>
    <row r="107" spans="1:9" s="231" customFormat="1">
      <c r="A107" s="111"/>
      <c r="B107" s="47"/>
      <c r="C107" s="47"/>
      <c r="D107" s="138"/>
      <c r="E107" s="117"/>
      <c r="F107" s="139"/>
      <c r="G107" s="139"/>
      <c r="H107" s="139"/>
      <c r="I107" s="139"/>
    </row>
    <row r="108" spans="1:9" s="231" customFormat="1">
      <c r="A108" s="119" t="s">
        <v>116</v>
      </c>
      <c r="B108" s="47"/>
      <c r="C108" s="47"/>
      <c r="D108" s="47"/>
      <c r="E108" s="117"/>
      <c r="F108" s="139"/>
      <c r="G108" s="139"/>
      <c r="H108" s="139"/>
      <c r="I108" s="139"/>
    </row>
    <row r="109" spans="1:9" s="231" customFormat="1">
      <c r="A109" s="119" t="s">
        <v>106</v>
      </c>
      <c r="B109" s="47"/>
      <c r="C109" s="47"/>
      <c r="D109" s="47"/>
      <c r="E109" s="140"/>
      <c r="F109" s="141"/>
      <c r="G109" s="139"/>
      <c r="H109" s="141"/>
      <c r="I109" s="139"/>
    </row>
    <row r="110" spans="1:9" s="231" customFormat="1">
      <c r="A110" s="120">
        <v>12</v>
      </c>
      <c r="B110" s="47" t="s">
        <v>117</v>
      </c>
      <c r="C110" s="47"/>
      <c r="D110" s="47"/>
      <c r="E110" s="49">
        <v>19682</v>
      </c>
      <c r="F110" s="52">
        <v>19965</v>
      </c>
      <c r="G110" s="118"/>
      <c r="H110" s="122">
        <v>19813</v>
      </c>
      <c r="I110" s="139"/>
    </row>
    <row r="111" spans="1:9" s="231" customFormat="1">
      <c r="A111" s="120">
        <v>13</v>
      </c>
      <c r="B111" s="47" t="s">
        <v>118</v>
      </c>
      <c r="C111" s="47"/>
      <c r="D111" s="47"/>
      <c r="E111" s="49">
        <v>14651</v>
      </c>
      <c r="F111" s="52">
        <v>20692</v>
      </c>
      <c r="G111" s="118"/>
      <c r="H111" s="122">
        <v>15117</v>
      </c>
      <c r="I111" s="139"/>
    </row>
    <row r="112" spans="1:9" s="231" customFormat="1">
      <c r="A112" s="120">
        <v>14</v>
      </c>
      <c r="B112" s="47" t="s">
        <v>119</v>
      </c>
      <c r="C112" s="47"/>
      <c r="D112" s="47"/>
      <c r="E112" s="49">
        <v>25860</v>
      </c>
      <c r="F112" s="52">
        <v>25538</v>
      </c>
      <c r="G112" s="118"/>
      <c r="H112" s="122">
        <v>21631</v>
      </c>
      <c r="I112" s="139"/>
    </row>
    <row r="113" spans="1:9" s="231" customFormat="1">
      <c r="A113" s="120">
        <v>15</v>
      </c>
      <c r="B113" s="47" t="s">
        <v>120</v>
      </c>
      <c r="C113" s="47"/>
      <c r="D113" s="47"/>
      <c r="E113" s="49">
        <v>0</v>
      </c>
      <c r="F113" s="52">
        <v>0</v>
      </c>
      <c r="G113" s="118"/>
      <c r="H113" s="122">
        <v>0</v>
      </c>
      <c r="I113" s="139"/>
    </row>
    <row r="114" spans="1:9" s="231" customFormat="1">
      <c r="A114" s="120">
        <v>16</v>
      </c>
      <c r="B114" s="47" t="s">
        <v>121</v>
      </c>
      <c r="C114" s="47"/>
      <c r="D114" s="47"/>
      <c r="E114" s="49">
        <v>13440</v>
      </c>
      <c r="F114" s="52">
        <v>14135</v>
      </c>
      <c r="G114" s="118"/>
      <c r="H114" s="100">
        <v>13366</v>
      </c>
      <c r="I114" s="139"/>
    </row>
    <row r="115" spans="1:9" s="231" customFormat="1">
      <c r="A115" s="120">
        <v>17</v>
      </c>
      <c r="B115" s="116" t="s">
        <v>122</v>
      </c>
      <c r="C115" s="116"/>
      <c r="D115" s="116"/>
      <c r="E115" s="80">
        <v>73633</v>
      </c>
      <c r="F115" s="142">
        <f>SUM(F110:F114)</f>
        <v>80330</v>
      </c>
      <c r="G115" s="118"/>
      <c r="H115" s="142">
        <f>SUM(H110:H114)</f>
        <v>69927</v>
      </c>
      <c r="I115" s="139"/>
    </row>
    <row r="116" spans="1:9" s="231" customFormat="1">
      <c r="A116" s="111"/>
      <c r="B116" s="116"/>
      <c r="C116" s="116"/>
      <c r="D116" s="116"/>
      <c r="E116" s="143"/>
      <c r="F116" s="118"/>
      <c r="G116" s="118"/>
      <c r="H116" s="118"/>
      <c r="I116" s="139"/>
    </row>
    <row r="117" spans="1:9" s="231" customFormat="1">
      <c r="A117" s="144" t="s">
        <v>107</v>
      </c>
      <c r="B117" s="116"/>
      <c r="C117" s="116"/>
      <c r="D117" s="116"/>
      <c r="E117" s="145"/>
      <c r="F117" s="146"/>
      <c r="G117" s="118"/>
      <c r="H117" s="146"/>
      <c r="I117" s="139"/>
    </row>
    <row r="118" spans="1:9" s="231" customFormat="1">
      <c r="A118" s="120">
        <v>18</v>
      </c>
      <c r="B118" s="47" t="s">
        <v>123</v>
      </c>
      <c r="C118" s="47"/>
      <c r="D118" s="47"/>
      <c r="E118" s="49">
        <v>15424</v>
      </c>
      <c r="F118" s="52">
        <v>12967</v>
      </c>
      <c r="G118" s="118"/>
      <c r="H118" s="122">
        <v>12801</v>
      </c>
      <c r="I118" s="139"/>
    </row>
    <row r="119" spans="1:9" s="231" customFormat="1">
      <c r="A119" s="120">
        <v>19</v>
      </c>
      <c r="B119" s="47" t="s">
        <v>124</v>
      </c>
      <c r="C119" s="47"/>
      <c r="D119" s="47"/>
      <c r="E119" s="49">
        <v>15627</v>
      </c>
      <c r="F119" s="52">
        <v>22369</v>
      </c>
      <c r="G119" s="118"/>
      <c r="H119" s="122">
        <v>22084</v>
      </c>
      <c r="I119" s="139"/>
    </row>
    <row r="120" spans="1:9" s="231" customFormat="1">
      <c r="A120" s="120">
        <v>20</v>
      </c>
      <c r="B120" s="47" t="s">
        <v>119</v>
      </c>
      <c r="C120" s="47"/>
      <c r="D120" s="47"/>
      <c r="E120" s="49">
        <v>43943</v>
      </c>
      <c r="F120" s="52">
        <v>46652</v>
      </c>
      <c r="G120" s="118"/>
      <c r="H120" s="122">
        <v>45868</v>
      </c>
      <c r="I120" s="139"/>
    </row>
    <row r="121" spans="1:9" s="231" customFormat="1">
      <c r="A121" s="120">
        <v>21</v>
      </c>
      <c r="B121" s="47" t="s">
        <v>120</v>
      </c>
      <c r="C121" s="47"/>
      <c r="D121" s="47"/>
      <c r="E121" s="49">
        <v>4438</v>
      </c>
      <c r="F121" s="52">
        <v>5433</v>
      </c>
      <c r="G121" s="118"/>
      <c r="H121" s="122">
        <v>5317</v>
      </c>
      <c r="I121" s="139"/>
    </row>
    <row r="122" spans="1:9" s="231" customFormat="1">
      <c r="A122" s="120">
        <v>22</v>
      </c>
      <c r="B122" s="47" t="s">
        <v>125</v>
      </c>
      <c r="C122" s="47"/>
      <c r="D122" s="47"/>
      <c r="E122" s="49">
        <v>1224</v>
      </c>
      <c r="F122" s="52">
        <v>1267</v>
      </c>
      <c r="G122" s="118"/>
      <c r="H122" s="122">
        <v>1231</v>
      </c>
      <c r="I122" s="139"/>
    </row>
    <row r="123" spans="1:9" s="231" customFormat="1">
      <c r="A123" s="120">
        <v>23</v>
      </c>
      <c r="B123" s="90" t="s">
        <v>126</v>
      </c>
      <c r="C123" s="47"/>
      <c r="D123" s="47"/>
      <c r="E123" s="49">
        <v>770</v>
      </c>
      <c r="F123" s="52">
        <v>1196</v>
      </c>
      <c r="G123" s="118"/>
      <c r="H123" s="99">
        <v>1473</v>
      </c>
      <c r="I123" s="139"/>
    </row>
    <row r="124" spans="1:9" s="231" customFormat="1">
      <c r="A124" s="120">
        <v>24</v>
      </c>
      <c r="B124" s="47" t="s">
        <v>121</v>
      </c>
      <c r="C124" s="47"/>
      <c r="D124" s="47"/>
      <c r="E124" s="49">
        <v>1339</v>
      </c>
      <c r="F124" s="52">
        <v>1685</v>
      </c>
      <c r="G124" s="118"/>
      <c r="H124" s="100">
        <v>1701</v>
      </c>
      <c r="I124" s="139"/>
    </row>
    <row r="125" spans="1:9" s="231" customFormat="1">
      <c r="A125" s="120">
        <v>25</v>
      </c>
      <c r="B125" s="147" t="s">
        <v>127</v>
      </c>
      <c r="C125" s="147"/>
      <c r="D125" s="147"/>
      <c r="E125" s="80">
        <v>82765</v>
      </c>
      <c r="F125" s="142">
        <f>SUM(F118:F124)</f>
        <v>91569</v>
      </c>
      <c r="G125" s="118"/>
      <c r="H125" s="142">
        <f>SUM(H118:H124)</f>
        <v>90475</v>
      </c>
      <c r="I125" s="139"/>
    </row>
    <row r="126" spans="1:9" s="231" customFormat="1">
      <c r="A126" s="111"/>
      <c r="B126" s="47"/>
      <c r="C126" s="47"/>
      <c r="D126" s="47"/>
      <c r="E126" s="117"/>
      <c r="F126" s="118"/>
      <c r="G126" s="118"/>
      <c r="H126" s="118"/>
      <c r="I126" s="139"/>
    </row>
    <row r="127" spans="1:9" s="231" customFormat="1">
      <c r="A127" s="119" t="s">
        <v>108</v>
      </c>
      <c r="B127" s="147"/>
      <c r="C127" s="147"/>
      <c r="D127" s="147"/>
      <c r="E127" s="140"/>
      <c r="F127" s="146"/>
      <c r="G127" s="118"/>
      <c r="H127" s="146"/>
      <c r="I127" s="139"/>
    </row>
    <row r="128" spans="1:9" s="231" customFormat="1">
      <c r="A128" s="120">
        <v>26</v>
      </c>
      <c r="B128" s="47" t="s">
        <v>123</v>
      </c>
      <c r="C128" s="47"/>
      <c r="D128" s="47"/>
      <c r="E128" s="74">
        <v>2560</v>
      </c>
      <c r="F128" s="52">
        <v>3467</v>
      </c>
      <c r="G128" s="118"/>
      <c r="H128" s="122">
        <v>3553</v>
      </c>
      <c r="I128" s="139"/>
    </row>
    <row r="129" spans="1:9" s="231" customFormat="1">
      <c r="A129" s="120">
        <v>27</v>
      </c>
      <c r="B129" s="47" t="s">
        <v>124</v>
      </c>
      <c r="C129" s="47"/>
      <c r="D129" s="47"/>
      <c r="E129" s="49">
        <v>961</v>
      </c>
      <c r="F129" s="52">
        <v>-64</v>
      </c>
      <c r="G129" s="118"/>
      <c r="H129" s="122">
        <v>1177</v>
      </c>
      <c r="I129" s="139"/>
    </row>
    <row r="130" spans="1:9" s="231" customFormat="1">
      <c r="A130" s="120">
        <v>28</v>
      </c>
      <c r="B130" s="47" t="s">
        <v>119</v>
      </c>
      <c r="C130" s="47"/>
      <c r="D130" s="47"/>
      <c r="E130" s="49">
        <v>11241</v>
      </c>
      <c r="F130" s="52">
        <v>10951</v>
      </c>
      <c r="G130" s="118"/>
      <c r="H130" s="122">
        <v>12298</v>
      </c>
      <c r="I130" s="139"/>
    </row>
    <row r="131" spans="1:9" s="231" customFormat="1">
      <c r="A131" s="120">
        <v>29</v>
      </c>
      <c r="B131" s="47" t="s">
        <v>120</v>
      </c>
      <c r="C131" s="47"/>
      <c r="D131" s="47"/>
      <c r="E131" s="49">
        <v>2007</v>
      </c>
      <c r="F131" s="52">
        <v>2251</v>
      </c>
      <c r="G131" s="118"/>
      <c r="H131" s="122">
        <v>1839</v>
      </c>
      <c r="I131" s="139"/>
    </row>
    <row r="132" spans="1:9" s="231" customFormat="1">
      <c r="A132" s="120">
        <v>30</v>
      </c>
      <c r="B132" s="47" t="s">
        <v>125</v>
      </c>
      <c r="C132" s="47"/>
      <c r="D132" s="47"/>
      <c r="E132" s="49">
        <v>380</v>
      </c>
      <c r="F132" s="52">
        <v>413</v>
      </c>
      <c r="G132" s="118"/>
      <c r="H132" s="122">
        <v>405</v>
      </c>
      <c r="I132" s="139"/>
    </row>
    <row r="133" spans="1:9" s="231" customFormat="1">
      <c r="A133" s="120">
        <v>31</v>
      </c>
      <c r="B133" s="90" t="s">
        <v>126</v>
      </c>
      <c r="C133" s="47"/>
      <c r="D133" s="47"/>
      <c r="E133" s="49">
        <v>2914</v>
      </c>
      <c r="F133" s="52">
        <v>2720</v>
      </c>
      <c r="G133" s="118"/>
      <c r="H133" s="122">
        <v>2861</v>
      </c>
      <c r="I133" s="139"/>
    </row>
    <row r="134" spans="1:9" s="231" customFormat="1">
      <c r="A134" s="120">
        <v>32</v>
      </c>
      <c r="B134" s="47" t="s">
        <v>121</v>
      </c>
      <c r="C134" s="47"/>
      <c r="D134" s="47"/>
      <c r="E134" s="49">
        <v>808</v>
      </c>
      <c r="F134" s="52">
        <v>781</v>
      </c>
      <c r="G134" s="118"/>
      <c r="H134" s="100">
        <v>903</v>
      </c>
      <c r="I134" s="139"/>
    </row>
    <row r="135" spans="1:9" s="231" customFormat="1">
      <c r="A135" s="120">
        <v>33</v>
      </c>
      <c r="B135" s="116" t="s">
        <v>128</v>
      </c>
      <c r="C135" s="116"/>
      <c r="D135" s="116"/>
      <c r="E135" s="80">
        <v>20871</v>
      </c>
      <c r="F135" s="142">
        <f>SUM(F128:F134)</f>
        <v>20519</v>
      </c>
      <c r="G135" s="118"/>
      <c r="H135" s="142">
        <f>SUM(H128:H134)</f>
        <v>23036</v>
      </c>
      <c r="I135" s="139"/>
    </row>
    <row r="136" spans="1:9" s="231" customFormat="1">
      <c r="A136" s="111"/>
      <c r="B136" s="47"/>
      <c r="C136" s="47"/>
      <c r="D136" s="138"/>
      <c r="E136" s="117"/>
      <c r="F136" s="118"/>
      <c r="G136" s="118"/>
      <c r="H136" s="118"/>
      <c r="I136" s="139"/>
    </row>
    <row r="137" spans="1:9" s="231" customFormat="1">
      <c r="A137" s="119" t="s">
        <v>109</v>
      </c>
      <c r="B137" s="116"/>
      <c r="C137" s="116"/>
      <c r="D137" s="116"/>
      <c r="E137" s="140"/>
      <c r="F137" s="146"/>
      <c r="G137" s="118"/>
      <c r="H137" s="146"/>
      <c r="I137" s="139"/>
    </row>
    <row r="138" spans="1:9" s="231" customFormat="1">
      <c r="A138" s="120">
        <v>34</v>
      </c>
      <c r="B138" s="47" t="s">
        <v>123</v>
      </c>
      <c r="C138" s="47"/>
      <c r="D138" s="47"/>
      <c r="E138" s="49">
        <v>3593</v>
      </c>
      <c r="F138" s="52">
        <v>5048</v>
      </c>
      <c r="G138" s="118"/>
      <c r="H138" s="122">
        <v>5120</v>
      </c>
      <c r="I138" s="139"/>
    </row>
    <row r="139" spans="1:9" s="231" customFormat="1">
      <c r="A139" s="120">
        <v>35</v>
      </c>
      <c r="B139" s="47" t="s">
        <v>119</v>
      </c>
      <c r="C139" s="47"/>
      <c r="D139" s="47"/>
      <c r="E139" s="49">
        <v>23947</v>
      </c>
      <c r="F139" s="52">
        <v>23265</v>
      </c>
      <c r="G139" s="118"/>
      <c r="H139" s="122">
        <v>22835</v>
      </c>
      <c r="I139" s="139"/>
    </row>
    <row r="140" spans="1:9" s="231" customFormat="1">
      <c r="A140" s="120">
        <v>36</v>
      </c>
      <c r="B140" s="47" t="s">
        <v>120</v>
      </c>
      <c r="C140" s="47"/>
      <c r="D140" s="47"/>
      <c r="E140" s="49">
        <v>4084</v>
      </c>
      <c r="F140" s="52">
        <v>3941</v>
      </c>
      <c r="G140" s="118"/>
      <c r="H140" s="122">
        <v>3834</v>
      </c>
      <c r="I140" s="139"/>
    </row>
    <row r="141" spans="1:9" s="231" customFormat="1">
      <c r="A141" s="120">
        <v>37</v>
      </c>
      <c r="B141" s="90" t="s">
        <v>126</v>
      </c>
      <c r="C141" s="47"/>
      <c r="D141" s="47"/>
      <c r="E141" s="49">
        <v>1414</v>
      </c>
      <c r="F141" s="52">
        <v>1788</v>
      </c>
      <c r="G141" s="118"/>
      <c r="H141" s="99">
        <v>1742</v>
      </c>
      <c r="I141" s="139"/>
    </row>
    <row r="142" spans="1:9" s="231" customFormat="1">
      <c r="A142" s="120">
        <v>38</v>
      </c>
      <c r="B142" s="47" t="s">
        <v>121</v>
      </c>
      <c r="C142" s="47"/>
      <c r="D142" s="47"/>
      <c r="E142" s="49">
        <v>8538</v>
      </c>
      <c r="F142" s="52">
        <v>5050</v>
      </c>
      <c r="G142" s="118"/>
      <c r="H142" s="100">
        <v>10012</v>
      </c>
      <c r="I142" s="139"/>
    </row>
    <row r="143" spans="1:9" s="231" customFormat="1">
      <c r="A143" s="120">
        <v>39</v>
      </c>
      <c r="B143" s="116" t="s">
        <v>129</v>
      </c>
      <c r="C143" s="116"/>
      <c r="D143" s="116"/>
      <c r="E143" s="80">
        <v>41576</v>
      </c>
      <c r="F143" s="142">
        <f>SUM(F138:F142)</f>
        <v>39092</v>
      </c>
      <c r="G143" s="118"/>
      <c r="H143" s="142">
        <f>SUM(H138:H142)</f>
        <v>43543</v>
      </c>
      <c r="I143" s="139"/>
    </row>
    <row r="144" spans="1:9" s="231" customFormat="1">
      <c r="A144" s="111"/>
      <c r="B144" s="47"/>
      <c r="C144" s="47"/>
      <c r="D144" s="47"/>
      <c r="E144" s="117"/>
      <c r="F144" s="118"/>
      <c r="G144" s="118"/>
      <c r="H144" s="118"/>
      <c r="I144" s="139"/>
    </row>
    <row r="145" spans="1:9" s="231" customFormat="1">
      <c r="A145" s="119" t="s">
        <v>110</v>
      </c>
      <c r="B145" s="116"/>
      <c r="C145" s="116"/>
      <c r="D145" s="116"/>
      <c r="E145" s="140"/>
      <c r="F145" s="146"/>
      <c r="G145" s="118"/>
      <c r="H145" s="146"/>
      <c r="I145" s="139"/>
    </row>
    <row r="146" spans="1:9" s="231" customFormat="1">
      <c r="A146" s="120">
        <v>40</v>
      </c>
      <c r="B146" s="47" t="s">
        <v>123</v>
      </c>
      <c r="C146" s="47"/>
      <c r="D146" s="47"/>
      <c r="E146" s="49">
        <v>1550</v>
      </c>
      <c r="F146" s="52">
        <v>1684</v>
      </c>
      <c r="G146" s="118"/>
      <c r="H146" s="122">
        <v>1753</v>
      </c>
      <c r="I146" s="139"/>
    </row>
    <row r="147" spans="1:9" s="231" customFormat="1">
      <c r="A147" s="120">
        <v>41</v>
      </c>
      <c r="B147" s="47" t="s">
        <v>119</v>
      </c>
      <c r="C147" s="47"/>
      <c r="D147" s="47"/>
      <c r="E147" s="49">
        <v>5487</v>
      </c>
      <c r="F147" s="52">
        <v>5135</v>
      </c>
      <c r="G147" s="118"/>
      <c r="H147" s="122">
        <v>5046</v>
      </c>
      <c r="I147" s="139"/>
    </row>
    <row r="148" spans="1:9" s="231" customFormat="1">
      <c r="A148" s="120">
        <v>42</v>
      </c>
      <c r="B148" s="47" t="s">
        <v>120</v>
      </c>
      <c r="C148" s="47"/>
      <c r="D148" s="47"/>
      <c r="E148" s="49">
        <v>533</v>
      </c>
      <c r="F148" s="52">
        <v>709</v>
      </c>
      <c r="G148" s="118"/>
      <c r="H148" s="122">
        <v>680</v>
      </c>
      <c r="I148" s="139"/>
    </row>
    <row r="149" spans="1:9" s="231" customFormat="1">
      <c r="A149" s="120">
        <v>43</v>
      </c>
      <c r="B149" s="47" t="s">
        <v>121</v>
      </c>
      <c r="C149" s="47"/>
      <c r="D149" s="47"/>
      <c r="E149" s="49">
        <v>1392</v>
      </c>
      <c r="F149" s="52">
        <v>506</v>
      </c>
      <c r="G149" s="118"/>
      <c r="H149" s="100">
        <v>1235</v>
      </c>
      <c r="I149" s="139"/>
    </row>
    <row r="150" spans="1:9" s="231" customFormat="1">
      <c r="A150" s="124">
        <v>44</v>
      </c>
      <c r="B150" s="94" t="s">
        <v>130</v>
      </c>
      <c r="C150" s="94"/>
      <c r="D150" s="94"/>
      <c r="E150" s="80">
        <v>8962</v>
      </c>
      <c r="F150" s="142">
        <f>SUM(F146:F149)</f>
        <v>8034</v>
      </c>
      <c r="G150" s="259"/>
      <c r="H150" s="142">
        <f>SUM(H146:H149)</f>
        <v>8714</v>
      </c>
      <c r="I150" s="139"/>
    </row>
    <row r="151" spans="1:9" s="231" customFormat="1">
      <c r="A151" s="148"/>
      <c r="B151" s="129"/>
      <c r="C151" s="129"/>
      <c r="D151" s="149"/>
      <c r="E151" s="150"/>
      <c r="F151" s="29"/>
      <c r="G151" s="29"/>
      <c r="H151" s="207"/>
      <c r="I151" s="29"/>
    </row>
    <row r="152" spans="1:9" s="231" customFormat="1">
      <c r="A152" s="148"/>
      <c r="B152" s="129"/>
      <c r="C152" s="129"/>
      <c r="D152" s="151"/>
      <c r="E152" s="152"/>
      <c r="F152" s="29"/>
      <c r="G152" s="29"/>
      <c r="H152" s="131" t="s">
        <v>27</v>
      </c>
      <c r="I152" s="29"/>
    </row>
    <row r="153" spans="1:9" s="231" customFormat="1">
      <c r="A153" s="106" t="s">
        <v>20</v>
      </c>
      <c r="B153" s="107"/>
      <c r="C153" s="107"/>
      <c r="D153" s="107"/>
      <c r="E153" s="856" t="s">
        <v>377</v>
      </c>
      <c r="F153" s="856" t="s">
        <v>402</v>
      </c>
      <c r="G153" s="130"/>
      <c r="H153" s="856" t="s">
        <v>403</v>
      </c>
      <c r="I153" s="130"/>
    </row>
    <row r="154" spans="1:9" s="231" customFormat="1">
      <c r="A154" s="153"/>
      <c r="B154" s="132"/>
      <c r="C154" s="132"/>
      <c r="D154" s="132"/>
      <c r="E154" s="859"/>
      <c r="F154" s="859"/>
      <c r="G154" s="130"/>
      <c r="H154" s="859"/>
      <c r="I154" s="130"/>
    </row>
    <row r="155" spans="1:9" s="231" customFormat="1">
      <c r="A155" s="154" t="s">
        <v>131</v>
      </c>
      <c r="B155" s="116"/>
      <c r="C155" s="116"/>
      <c r="D155" s="116"/>
      <c r="E155" s="859"/>
      <c r="F155" s="859"/>
      <c r="G155" s="130"/>
      <c r="H155" s="859"/>
      <c r="I155" s="130"/>
    </row>
    <row r="156" spans="1:9" s="231" customFormat="1" ht="12.75" customHeight="1">
      <c r="A156" s="109" t="s">
        <v>83</v>
      </c>
      <c r="B156" s="47"/>
      <c r="C156" s="47"/>
      <c r="D156" s="47"/>
      <c r="E156" s="859"/>
      <c r="F156" s="859"/>
      <c r="G156" s="130"/>
      <c r="H156" s="859"/>
      <c r="I156" s="130"/>
    </row>
    <row r="157" spans="1:9" s="231" customFormat="1">
      <c r="A157" s="110" t="s">
        <v>84</v>
      </c>
      <c r="B157" s="132"/>
      <c r="C157" s="132"/>
      <c r="D157" s="132"/>
      <c r="E157" s="860"/>
      <c r="F157" s="860"/>
      <c r="G157" s="130"/>
      <c r="H157" s="860"/>
      <c r="I157" s="130"/>
    </row>
    <row r="158" spans="1:9" s="231" customFormat="1">
      <c r="A158" s="119" t="s">
        <v>132</v>
      </c>
      <c r="B158" s="47"/>
      <c r="C158" s="47"/>
      <c r="D158" s="47"/>
      <c r="E158" s="155"/>
      <c r="F158" s="146" t="s">
        <v>133</v>
      </c>
      <c r="G158" s="118"/>
      <c r="H158" s="146"/>
      <c r="I158" s="29"/>
    </row>
    <row r="159" spans="1:9" s="231" customFormat="1">
      <c r="A159" s="120">
        <v>1</v>
      </c>
      <c r="B159" s="47" t="s">
        <v>134</v>
      </c>
      <c r="C159" s="47"/>
      <c r="D159" s="47"/>
      <c r="E159" s="74">
        <v>54</v>
      </c>
      <c r="F159" s="52">
        <v>39</v>
      </c>
      <c r="G159" s="118"/>
      <c r="H159" s="122">
        <v>35</v>
      </c>
      <c r="I159" s="29"/>
    </row>
    <row r="160" spans="1:9" s="231" customFormat="1">
      <c r="A160" s="120">
        <v>2</v>
      </c>
      <c r="B160" s="47" t="s">
        <v>135</v>
      </c>
      <c r="C160" s="47"/>
      <c r="D160" s="47"/>
      <c r="E160" s="49">
        <v>4304</v>
      </c>
      <c r="F160" s="52">
        <v>3759</v>
      </c>
      <c r="G160" s="118"/>
      <c r="H160" s="122">
        <v>3179</v>
      </c>
      <c r="I160" s="29"/>
    </row>
    <row r="161" spans="1:9" s="231" customFormat="1">
      <c r="A161" s="120">
        <v>3</v>
      </c>
      <c r="B161" s="47" t="s">
        <v>136</v>
      </c>
      <c r="C161" s="47"/>
      <c r="D161" s="47"/>
      <c r="E161" s="114">
        <v>8122</v>
      </c>
      <c r="F161" s="52">
        <v>11628</v>
      </c>
      <c r="G161" s="118"/>
      <c r="H161" s="122">
        <v>11416</v>
      </c>
      <c r="I161" s="29"/>
    </row>
    <row r="162" spans="1:9" s="231" customFormat="1">
      <c r="A162" s="120">
        <v>4</v>
      </c>
      <c r="B162" s="47" t="s">
        <v>137</v>
      </c>
      <c r="C162" s="47"/>
      <c r="D162" s="47"/>
      <c r="E162" s="114">
        <v>3497</v>
      </c>
      <c r="F162" s="52">
        <v>2805</v>
      </c>
      <c r="G162" s="118"/>
      <c r="H162" s="100">
        <v>2551</v>
      </c>
      <c r="I162" s="29"/>
    </row>
    <row r="163" spans="1:9" s="231" customFormat="1">
      <c r="A163" s="120">
        <v>5</v>
      </c>
      <c r="B163" s="116" t="s">
        <v>138</v>
      </c>
      <c r="C163" s="116"/>
      <c r="D163" s="116"/>
      <c r="E163" s="80">
        <v>15977</v>
      </c>
      <c r="F163" s="142">
        <f>SUM(F159:F162)</f>
        <v>18231</v>
      </c>
      <c r="G163" s="118"/>
      <c r="H163" s="142">
        <f>SUM(H159:H162)</f>
        <v>17181</v>
      </c>
      <c r="I163" s="29"/>
    </row>
    <row r="164" spans="1:9" s="231" customFormat="1">
      <c r="A164" s="46"/>
      <c r="B164" s="132"/>
      <c r="C164" s="132"/>
      <c r="D164" s="132"/>
      <c r="E164" s="156"/>
      <c r="F164" s="139"/>
      <c r="G164" s="139"/>
      <c r="H164" s="139"/>
      <c r="I164" s="29"/>
    </row>
    <row r="165" spans="1:9" s="231" customFormat="1">
      <c r="A165" s="119" t="s">
        <v>139</v>
      </c>
      <c r="B165" s="47"/>
      <c r="C165" s="47"/>
      <c r="D165" s="47"/>
      <c r="E165" s="140"/>
      <c r="F165" s="146"/>
      <c r="G165" s="118"/>
      <c r="H165" s="146"/>
      <c r="I165" s="29"/>
    </row>
    <row r="166" spans="1:9" s="231" customFormat="1">
      <c r="A166" s="120">
        <v>6</v>
      </c>
      <c r="B166" s="47" t="s">
        <v>140</v>
      </c>
      <c r="C166" s="47"/>
      <c r="D166" s="47"/>
      <c r="E166" s="74">
        <v>396</v>
      </c>
      <c r="F166" s="52">
        <v>333</v>
      </c>
      <c r="G166" s="118"/>
      <c r="H166" s="122">
        <v>411</v>
      </c>
      <c r="I166" s="29"/>
    </row>
    <row r="167" spans="1:9" s="231" customFormat="1">
      <c r="A167" s="120">
        <v>7</v>
      </c>
      <c r="B167" s="47" t="s">
        <v>141</v>
      </c>
      <c r="C167" s="47"/>
      <c r="D167" s="47"/>
      <c r="E167" s="49">
        <v>127</v>
      </c>
      <c r="F167" s="52">
        <v>127</v>
      </c>
      <c r="G167" s="118"/>
      <c r="H167" s="122">
        <v>131</v>
      </c>
      <c r="I167" s="29"/>
    </row>
    <row r="168" spans="1:9" s="231" customFormat="1">
      <c r="A168" s="120">
        <v>8</v>
      </c>
      <c r="B168" s="47" t="s">
        <v>121</v>
      </c>
      <c r="C168" s="47"/>
      <c r="D168" s="47"/>
      <c r="E168" s="49">
        <v>2756</v>
      </c>
      <c r="F168" s="52">
        <v>1458</v>
      </c>
      <c r="G168" s="118"/>
      <c r="H168" s="100">
        <v>1428</v>
      </c>
      <c r="I168" s="29"/>
    </row>
    <row r="169" spans="1:9" s="231" customFormat="1">
      <c r="A169" s="120">
        <v>9</v>
      </c>
      <c r="B169" s="116" t="s">
        <v>142</v>
      </c>
      <c r="C169" s="116"/>
      <c r="D169" s="116"/>
      <c r="E169" s="80">
        <v>3279</v>
      </c>
      <c r="F169" s="142">
        <f>SUM(F166:F168)</f>
        <v>1918</v>
      </c>
      <c r="G169" s="118"/>
      <c r="H169" s="142">
        <f>SUM(H166:H168)</f>
        <v>1970</v>
      </c>
      <c r="I169" s="29"/>
    </row>
    <row r="170" spans="1:9" s="231" customFormat="1">
      <c r="A170" s="46"/>
      <c r="B170" s="132"/>
      <c r="C170" s="132"/>
      <c r="D170" s="132"/>
      <c r="E170" s="156"/>
      <c r="F170" s="139"/>
      <c r="G170" s="139"/>
      <c r="H170" s="139"/>
      <c r="I170" s="29"/>
    </row>
    <row r="171" spans="1:9" s="231" customFormat="1">
      <c r="A171" s="120">
        <v>10</v>
      </c>
      <c r="B171" s="47" t="s">
        <v>143</v>
      </c>
      <c r="C171" s="47"/>
      <c r="D171" s="47"/>
      <c r="E171" s="41">
        <v>-803</v>
      </c>
      <c r="F171" s="121">
        <v>-708</v>
      </c>
      <c r="G171" s="118"/>
      <c r="H171" s="133">
        <v>-744</v>
      </c>
      <c r="I171" s="29"/>
    </row>
    <row r="172" spans="1:9" s="231" customFormat="1">
      <c r="A172" s="120">
        <v>11</v>
      </c>
      <c r="B172" s="47" t="s">
        <v>144</v>
      </c>
      <c r="C172" s="47"/>
      <c r="D172" s="47"/>
      <c r="E172" s="56">
        <v>0</v>
      </c>
      <c r="F172" s="126">
        <v>0</v>
      </c>
      <c r="G172" s="118"/>
      <c r="H172" s="100">
        <v>0</v>
      </c>
      <c r="I172" s="29"/>
    </row>
    <row r="173" spans="1:9" s="231" customFormat="1">
      <c r="A173" s="46"/>
      <c r="B173" s="132"/>
      <c r="C173" s="132"/>
      <c r="D173" s="132"/>
      <c r="E173" s="156"/>
      <c r="F173" s="139"/>
      <c r="G173" s="139"/>
      <c r="H173" s="139"/>
      <c r="I173" s="29"/>
    </row>
    <row r="174" spans="1:9" s="231" customFormat="1">
      <c r="A174" s="119" t="s">
        <v>145</v>
      </c>
      <c r="B174" s="47"/>
      <c r="C174" s="47"/>
      <c r="D174" s="47"/>
      <c r="E174" s="157"/>
      <c r="F174" s="146"/>
      <c r="G174" s="118"/>
      <c r="H174" s="146"/>
      <c r="I174" s="29"/>
    </row>
    <row r="175" spans="1:9" s="231" customFormat="1">
      <c r="A175" s="120">
        <v>12</v>
      </c>
      <c r="B175" s="47" t="s">
        <v>146</v>
      </c>
      <c r="C175" s="47"/>
      <c r="D175" s="47"/>
      <c r="E175" s="74">
        <v>561</v>
      </c>
      <c r="F175" s="52">
        <v>399</v>
      </c>
      <c r="G175" s="118"/>
      <c r="H175" s="122">
        <v>410</v>
      </c>
      <c r="I175" s="29"/>
    </row>
    <row r="176" spans="1:9" s="231" customFormat="1">
      <c r="A176" s="120">
        <v>13</v>
      </c>
      <c r="B176" s="47" t="s">
        <v>147</v>
      </c>
      <c r="C176" s="47"/>
      <c r="D176" s="47"/>
      <c r="E176" s="49">
        <v>7520</v>
      </c>
      <c r="F176" s="52">
        <v>7743</v>
      </c>
      <c r="G176" s="118"/>
      <c r="H176" s="122">
        <v>7962</v>
      </c>
      <c r="I176" s="29"/>
    </row>
    <row r="177" spans="1:9" s="231" customFormat="1">
      <c r="A177" s="120">
        <v>14</v>
      </c>
      <c r="B177" s="47" t="s">
        <v>148</v>
      </c>
      <c r="C177" s="47"/>
      <c r="D177" s="47"/>
      <c r="E177" s="56">
        <v>530</v>
      </c>
      <c r="F177" s="52">
        <v>791</v>
      </c>
      <c r="G177" s="118"/>
      <c r="H177" s="100">
        <v>806</v>
      </c>
      <c r="I177" s="29"/>
    </row>
    <row r="178" spans="1:9" s="231" customFormat="1">
      <c r="A178" s="120">
        <v>15</v>
      </c>
      <c r="B178" s="116" t="s">
        <v>149</v>
      </c>
      <c r="C178" s="116"/>
      <c r="D178" s="116"/>
      <c r="E178" s="80">
        <v>8611</v>
      </c>
      <c r="F178" s="142">
        <f>SUM(F175:F177)</f>
        <v>8933</v>
      </c>
      <c r="G178" s="118"/>
      <c r="H178" s="142">
        <f>SUM(H175:H177)</f>
        <v>9178</v>
      </c>
      <c r="I178" s="29"/>
    </row>
    <row r="179" spans="1:9" s="231" customFormat="1">
      <c r="A179" s="120">
        <v>16</v>
      </c>
      <c r="B179" s="116" t="s">
        <v>150</v>
      </c>
      <c r="C179" s="116"/>
      <c r="D179" s="116"/>
      <c r="E179" s="80">
        <v>8611</v>
      </c>
      <c r="F179" s="158">
        <f>F172+F178</f>
        <v>8933</v>
      </c>
      <c r="G179" s="118"/>
      <c r="H179" s="158">
        <f>H172+H178</f>
        <v>9178</v>
      </c>
      <c r="I179" s="29"/>
    </row>
    <row r="180" spans="1:9" s="231" customFormat="1">
      <c r="A180" s="120">
        <v>17</v>
      </c>
      <c r="B180" s="116" t="s">
        <v>151</v>
      </c>
      <c r="C180" s="116"/>
      <c r="D180" s="116"/>
      <c r="E180" s="159">
        <v>27064</v>
      </c>
      <c r="F180" s="61">
        <f>SUM(F163+F169+F171+F179)</f>
        <v>28374</v>
      </c>
      <c r="G180" s="118"/>
      <c r="H180" s="61">
        <f>SUM(H163+H169+H171+H179)</f>
        <v>27585</v>
      </c>
      <c r="I180" s="29"/>
    </row>
    <row r="181" spans="1:9" s="231" customFormat="1">
      <c r="A181" s="46"/>
      <c r="B181" s="132"/>
      <c r="C181" s="132"/>
      <c r="D181" s="132"/>
      <c r="E181" s="156"/>
      <c r="F181" s="139"/>
      <c r="G181" s="139"/>
      <c r="H181" s="139"/>
      <c r="I181" s="29"/>
    </row>
    <row r="182" spans="1:9" s="231" customFormat="1">
      <c r="A182" s="119" t="s">
        <v>152</v>
      </c>
      <c r="B182" s="47"/>
      <c r="C182" s="47"/>
      <c r="D182" s="116"/>
      <c r="E182" s="117"/>
      <c r="F182" s="118"/>
      <c r="G182" s="118"/>
      <c r="H182" s="118"/>
      <c r="I182" s="29"/>
    </row>
    <row r="183" spans="1:9" s="231" customFormat="1">
      <c r="A183" s="120">
        <v>18</v>
      </c>
      <c r="B183" s="47" t="s">
        <v>153</v>
      </c>
      <c r="C183" s="47"/>
      <c r="D183" s="47"/>
      <c r="E183" s="41">
        <v>5719</v>
      </c>
      <c r="F183" s="121">
        <v>5609</v>
      </c>
      <c r="G183" s="118"/>
      <c r="H183" s="133">
        <v>5663</v>
      </c>
      <c r="I183" s="29"/>
    </row>
    <row r="184" spans="1:9" s="231" customFormat="1">
      <c r="A184" s="120">
        <v>19</v>
      </c>
      <c r="B184" s="47" t="s">
        <v>154</v>
      </c>
      <c r="C184" s="47"/>
      <c r="D184" s="47"/>
      <c r="E184" s="49">
        <v>0</v>
      </c>
      <c r="F184" s="52">
        <v>0</v>
      </c>
      <c r="G184" s="118"/>
      <c r="H184" s="122">
        <v>0</v>
      </c>
      <c r="I184" s="29"/>
    </row>
    <row r="185" spans="1:9" s="231" customFormat="1">
      <c r="A185" s="120">
        <v>20</v>
      </c>
      <c r="B185" s="47" t="s">
        <v>155</v>
      </c>
      <c r="C185" s="47"/>
      <c r="D185" s="47"/>
      <c r="E185" s="49">
        <v>561</v>
      </c>
      <c r="F185" s="52">
        <v>399</v>
      </c>
      <c r="G185" s="118"/>
      <c r="H185" s="122">
        <v>410</v>
      </c>
      <c r="I185" s="29"/>
    </row>
    <row r="186" spans="1:9" s="231" customFormat="1">
      <c r="A186" s="120">
        <v>21</v>
      </c>
      <c r="B186" s="47" t="s">
        <v>156</v>
      </c>
      <c r="C186" s="47"/>
      <c r="D186" s="47"/>
      <c r="E186" s="49">
        <v>0</v>
      </c>
      <c r="F186" s="52">
        <v>0</v>
      </c>
      <c r="G186" s="118"/>
      <c r="H186" s="122">
        <v>0</v>
      </c>
      <c r="I186" s="29"/>
    </row>
    <row r="187" spans="1:9" s="231" customFormat="1">
      <c r="A187" s="120">
        <v>22</v>
      </c>
      <c r="B187" s="47" t="s">
        <v>157</v>
      </c>
      <c r="C187" s="47"/>
      <c r="D187" s="47"/>
      <c r="E187" s="49">
        <v>0</v>
      </c>
      <c r="F187" s="52">
        <v>0</v>
      </c>
      <c r="G187" s="118"/>
      <c r="H187" s="122">
        <v>0</v>
      </c>
      <c r="I187" s="29"/>
    </row>
    <row r="188" spans="1:9" s="231" customFormat="1">
      <c r="A188" s="120">
        <v>23</v>
      </c>
      <c r="B188" s="47" t="s">
        <v>158</v>
      </c>
      <c r="C188" s="47"/>
      <c r="D188" s="47"/>
      <c r="E188" s="49">
        <v>0</v>
      </c>
      <c r="F188" s="52">
        <v>0</v>
      </c>
      <c r="G188" s="118"/>
      <c r="H188" s="122">
        <v>0</v>
      </c>
      <c r="I188" s="29"/>
    </row>
    <row r="189" spans="1:9" s="231" customFormat="1">
      <c r="A189" s="120">
        <v>24</v>
      </c>
      <c r="B189" s="47" t="s">
        <v>159</v>
      </c>
      <c r="C189" s="47"/>
      <c r="D189" s="47"/>
      <c r="E189" s="49">
        <v>0</v>
      </c>
      <c r="F189" s="52">
        <v>0</v>
      </c>
      <c r="G189" s="118"/>
      <c r="H189" s="122">
        <v>0</v>
      </c>
      <c r="I189" s="29"/>
    </row>
    <row r="190" spans="1:9" s="231" customFormat="1">
      <c r="A190" s="124">
        <v>25</v>
      </c>
      <c r="B190" s="54" t="s">
        <v>160</v>
      </c>
      <c r="C190" s="54"/>
      <c r="D190" s="54"/>
      <c r="E190" s="56">
        <v>0</v>
      </c>
      <c r="F190" s="126">
        <v>0</v>
      </c>
      <c r="G190" s="118"/>
      <c r="H190" s="100">
        <v>0</v>
      </c>
      <c r="I190" s="24"/>
    </row>
    <row r="191" spans="1:9" s="231" customFormat="1">
      <c r="A191" s="161"/>
      <c r="B191" s="129"/>
      <c r="C191" s="129"/>
      <c r="D191" s="149"/>
      <c r="E191" s="162"/>
      <c r="F191" s="29"/>
      <c r="G191" s="29"/>
      <c r="H191" s="207"/>
      <c r="I191" s="29"/>
    </row>
    <row r="192" spans="1:9" s="231" customFormat="1">
      <c r="A192" s="161"/>
      <c r="B192" s="129"/>
      <c r="C192" s="129"/>
      <c r="D192" s="151"/>
      <c r="E192" s="163"/>
      <c r="F192" s="29"/>
      <c r="G192" s="29"/>
      <c r="H192" s="131" t="s">
        <v>27</v>
      </c>
      <c r="I192" s="29"/>
    </row>
    <row r="193" spans="1:9" s="231" customFormat="1" ht="12.75" customHeight="1">
      <c r="A193" s="106" t="s">
        <v>23</v>
      </c>
      <c r="B193" s="164"/>
      <c r="C193" s="164"/>
      <c r="D193" s="164"/>
      <c r="E193" s="856" t="s">
        <v>377</v>
      </c>
      <c r="F193" s="856" t="s">
        <v>402</v>
      </c>
      <c r="G193" s="130"/>
      <c r="H193" s="856" t="s">
        <v>403</v>
      </c>
      <c r="I193" s="130"/>
    </row>
    <row r="194" spans="1:9" s="231" customFormat="1" ht="23.25" customHeight="1">
      <c r="A194" s="165"/>
      <c r="B194" s="132"/>
      <c r="C194" s="132"/>
      <c r="D194" s="132"/>
      <c r="E194" s="859"/>
      <c r="F194" s="859"/>
      <c r="G194" s="130"/>
      <c r="H194" s="859"/>
      <c r="I194" s="130"/>
    </row>
    <row r="195" spans="1:9" s="231" customFormat="1">
      <c r="A195" s="154" t="s">
        <v>161</v>
      </c>
      <c r="B195" s="116"/>
      <c r="C195" s="116"/>
      <c r="D195" s="116"/>
      <c r="E195" s="859"/>
      <c r="F195" s="859"/>
      <c r="G195" s="130"/>
      <c r="H195" s="859"/>
      <c r="I195" s="130"/>
    </row>
    <row r="196" spans="1:9" s="231" customFormat="1">
      <c r="A196" s="109" t="s">
        <v>83</v>
      </c>
      <c r="B196" s="47"/>
      <c r="C196" s="47"/>
      <c r="D196" s="47"/>
      <c r="E196" s="859"/>
      <c r="F196" s="859"/>
      <c r="G196" s="130"/>
      <c r="H196" s="859"/>
      <c r="I196" s="130"/>
    </row>
    <row r="197" spans="1:9" s="231" customFormat="1">
      <c r="A197" s="110" t="s">
        <v>84</v>
      </c>
      <c r="B197" s="132"/>
      <c r="C197" s="132"/>
      <c r="D197" s="132"/>
      <c r="E197" s="860"/>
      <c r="F197" s="860"/>
      <c r="G197" s="130"/>
      <c r="H197" s="860"/>
      <c r="I197" s="130"/>
    </row>
    <row r="198" spans="1:9" s="231" customFormat="1">
      <c r="A198" s="153" t="s">
        <v>162</v>
      </c>
      <c r="B198" s="166"/>
      <c r="C198" s="166"/>
      <c r="D198" s="166"/>
      <c r="E198" s="167"/>
      <c r="F198" s="146"/>
      <c r="G198" s="118"/>
      <c r="H198" s="146"/>
      <c r="I198" s="29"/>
    </row>
    <row r="199" spans="1:9" s="231" customFormat="1">
      <c r="A199" s="120">
        <v>1</v>
      </c>
      <c r="B199" s="47" t="s">
        <v>163</v>
      </c>
      <c r="C199" s="47"/>
      <c r="D199" s="47"/>
      <c r="E199" s="74">
        <v>2172</v>
      </c>
      <c r="F199" s="52">
        <v>1789</v>
      </c>
      <c r="G199" s="118"/>
      <c r="H199" s="122">
        <v>1825</v>
      </c>
      <c r="I199" s="29"/>
    </row>
    <row r="200" spans="1:9" s="231" customFormat="1">
      <c r="A200" s="120">
        <v>2</v>
      </c>
      <c r="B200" s="47" t="s">
        <v>164</v>
      </c>
      <c r="C200" s="47"/>
      <c r="D200" s="47"/>
      <c r="E200" s="56">
        <v>887</v>
      </c>
      <c r="F200" s="52">
        <v>862</v>
      </c>
      <c r="G200" s="118"/>
      <c r="H200" s="100">
        <v>1132</v>
      </c>
      <c r="I200" s="29"/>
    </row>
    <row r="201" spans="1:9" s="231" customFormat="1">
      <c r="A201" s="120">
        <v>3</v>
      </c>
      <c r="B201" s="116" t="s">
        <v>165</v>
      </c>
      <c r="C201" s="116"/>
      <c r="D201" s="116"/>
      <c r="E201" s="80">
        <v>3059</v>
      </c>
      <c r="F201" s="142">
        <f>SUM(F199:F200)</f>
        <v>2651</v>
      </c>
      <c r="G201" s="118"/>
      <c r="H201" s="142">
        <f>SUM(H199:H200)</f>
        <v>2957</v>
      </c>
      <c r="I201" s="29"/>
    </row>
    <row r="202" spans="1:9" s="231" customFormat="1">
      <c r="A202" s="46"/>
      <c r="B202" s="132"/>
      <c r="C202" s="132"/>
      <c r="D202" s="132"/>
      <c r="E202" s="156"/>
      <c r="F202" s="139"/>
      <c r="G202" s="139"/>
      <c r="H202" s="139"/>
      <c r="I202" s="29"/>
    </row>
    <row r="203" spans="1:9" s="231" customFormat="1">
      <c r="A203" s="153" t="s">
        <v>166</v>
      </c>
      <c r="B203" s="116"/>
      <c r="C203" s="116"/>
      <c r="D203" s="116"/>
      <c r="E203" s="140"/>
      <c r="F203" s="146"/>
      <c r="G203" s="118"/>
      <c r="H203" s="146"/>
      <c r="I203" s="29"/>
    </row>
    <row r="204" spans="1:9" s="231" customFormat="1">
      <c r="A204" s="120">
        <v>4</v>
      </c>
      <c r="B204" s="47" t="s">
        <v>167</v>
      </c>
      <c r="C204" s="47"/>
      <c r="D204" s="47"/>
      <c r="E204" s="74">
        <v>7255</v>
      </c>
      <c r="F204" s="52">
        <v>8347</v>
      </c>
      <c r="G204" s="118"/>
      <c r="H204" s="122">
        <v>9275</v>
      </c>
      <c r="I204" s="29"/>
    </row>
    <row r="205" spans="1:9" s="231" customFormat="1">
      <c r="A205" s="120">
        <v>5</v>
      </c>
      <c r="B205" s="47" t="s">
        <v>168</v>
      </c>
      <c r="C205" s="47"/>
      <c r="D205" s="47"/>
      <c r="E205" s="49">
        <v>14554</v>
      </c>
      <c r="F205" s="52">
        <v>15847</v>
      </c>
      <c r="G205" s="118"/>
      <c r="H205" s="122">
        <v>13296</v>
      </c>
      <c r="I205" s="29"/>
    </row>
    <row r="206" spans="1:9" s="231" customFormat="1">
      <c r="A206" s="120">
        <v>6</v>
      </c>
      <c r="B206" s="47" t="s">
        <v>169</v>
      </c>
      <c r="C206" s="47"/>
      <c r="D206" s="47"/>
      <c r="E206" s="49">
        <v>4305</v>
      </c>
      <c r="F206" s="52">
        <v>4197</v>
      </c>
      <c r="G206" s="118"/>
      <c r="H206" s="100">
        <v>4282</v>
      </c>
      <c r="I206" s="29"/>
    </row>
    <row r="207" spans="1:9" s="231" customFormat="1">
      <c r="A207" s="120">
        <v>7</v>
      </c>
      <c r="B207" s="116" t="s">
        <v>170</v>
      </c>
      <c r="C207" s="116"/>
      <c r="D207" s="116"/>
      <c r="E207" s="80">
        <v>26114</v>
      </c>
      <c r="F207" s="142">
        <f>SUM(F204:F206)</f>
        <v>28391</v>
      </c>
      <c r="G207" s="118"/>
      <c r="H207" s="142">
        <f>SUM(H204:H206)</f>
        <v>26853</v>
      </c>
      <c r="I207" s="29"/>
    </row>
    <row r="208" spans="1:9" s="231" customFormat="1">
      <c r="A208" s="46"/>
      <c r="B208" s="132"/>
      <c r="C208" s="132"/>
      <c r="D208" s="132"/>
      <c r="E208" s="156"/>
      <c r="F208" s="139"/>
      <c r="G208" s="139"/>
      <c r="H208" s="139"/>
      <c r="I208" s="29"/>
    </row>
    <row r="209" spans="1:9" s="231" customFormat="1">
      <c r="A209" s="153" t="s">
        <v>121</v>
      </c>
      <c r="B209" s="168"/>
      <c r="C209" s="168"/>
      <c r="D209" s="168"/>
      <c r="E209" s="140"/>
      <c r="F209" s="146"/>
      <c r="G209" s="118"/>
      <c r="H209" s="146"/>
      <c r="I209" s="29"/>
    </row>
    <row r="210" spans="1:9" s="231" customFormat="1">
      <c r="A210" s="120">
        <v>8</v>
      </c>
      <c r="B210" s="47" t="s">
        <v>171</v>
      </c>
      <c r="C210" s="47"/>
      <c r="D210" s="47"/>
      <c r="E210" s="74">
        <v>124</v>
      </c>
      <c r="F210" s="52">
        <v>-203</v>
      </c>
      <c r="G210" s="118"/>
      <c r="H210" s="122">
        <v>282</v>
      </c>
      <c r="I210" s="29"/>
    </row>
    <row r="211" spans="1:9" s="231" customFormat="1">
      <c r="A211" s="120">
        <v>9</v>
      </c>
      <c r="B211" s="47" t="s">
        <v>172</v>
      </c>
      <c r="C211" s="47"/>
      <c r="D211" s="47"/>
      <c r="E211" s="49">
        <v>245</v>
      </c>
      <c r="F211" s="52">
        <v>377</v>
      </c>
      <c r="G211" s="118"/>
      <c r="H211" s="122">
        <v>293</v>
      </c>
      <c r="I211" s="29"/>
    </row>
    <row r="212" spans="1:9" s="231" customFormat="1">
      <c r="A212" s="120">
        <v>10</v>
      </c>
      <c r="B212" s="47" t="s">
        <v>173</v>
      </c>
      <c r="C212" s="47"/>
      <c r="D212" s="47"/>
      <c r="E212" s="49">
        <v>662</v>
      </c>
      <c r="F212" s="52">
        <v>725</v>
      </c>
      <c r="G212" s="118"/>
      <c r="H212" s="122">
        <v>744</v>
      </c>
      <c r="I212" s="29"/>
    </row>
    <row r="213" spans="1:9" s="231" customFormat="1">
      <c r="A213" s="120">
        <v>11</v>
      </c>
      <c r="B213" s="47" t="s">
        <v>174</v>
      </c>
      <c r="C213" s="47"/>
      <c r="D213" s="47"/>
      <c r="E213" s="49">
        <v>3971</v>
      </c>
      <c r="F213" s="52">
        <v>4376</v>
      </c>
      <c r="G213" s="118"/>
      <c r="H213" s="99">
        <v>4365</v>
      </c>
      <c r="I213" s="29"/>
    </row>
    <row r="214" spans="1:9" s="231" customFormat="1">
      <c r="A214" s="120">
        <v>12</v>
      </c>
      <c r="B214" s="116" t="s">
        <v>175</v>
      </c>
      <c r="C214" s="116"/>
      <c r="D214" s="116"/>
      <c r="E214" s="159">
        <v>34175</v>
      </c>
      <c r="F214" s="61">
        <f>F201+F207+SUM(F210:F213)</f>
        <v>36317</v>
      </c>
      <c r="G214" s="118"/>
      <c r="H214" s="61">
        <f>H201+H207+SUM(H210:H213)</f>
        <v>35494</v>
      </c>
      <c r="I214" s="29"/>
    </row>
    <row r="215" spans="1:9" s="231" customFormat="1">
      <c r="A215" s="111"/>
      <c r="B215" s="47"/>
      <c r="C215" s="47"/>
      <c r="D215" s="47"/>
      <c r="E215" s="117"/>
      <c r="F215" s="118"/>
      <c r="G215" s="118"/>
      <c r="H215" s="118"/>
      <c r="I215" s="29"/>
    </row>
    <row r="216" spans="1:9" s="231" customFormat="1">
      <c r="A216" s="119" t="s">
        <v>176</v>
      </c>
      <c r="B216" s="116"/>
      <c r="C216" s="116"/>
      <c r="D216" s="116"/>
      <c r="E216" s="117"/>
      <c r="F216" s="160"/>
      <c r="G216" s="118"/>
      <c r="H216" s="160"/>
      <c r="I216" s="29"/>
    </row>
    <row r="217" spans="1:9" s="231" customFormat="1">
      <c r="A217" s="120">
        <v>13</v>
      </c>
      <c r="B217" s="47" t="s">
        <v>177</v>
      </c>
      <c r="C217" s="47"/>
      <c r="D217" s="47"/>
      <c r="E217" s="41">
        <v>316</v>
      </c>
      <c r="F217" s="121">
        <v>326</v>
      </c>
      <c r="G217" s="118"/>
      <c r="H217" s="169">
        <v>314</v>
      </c>
      <c r="I217" s="29"/>
    </row>
    <row r="218" spans="1:9" s="231" customFormat="1">
      <c r="A218" s="124">
        <v>14</v>
      </c>
      <c r="B218" s="54" t="s">
        <v>178</v>
      </c>
      <c r="C218" s="54"/>
      <c r="D218" s="54"/>
      <c r="E218" s="56">
        <v>4305</v>
      </c>
      <c r="F218" s="126">
        <v>4197</v>
      </c>
      <c r="G218" s="118"/>
      <c r="H218" s="100">
        <v>4282</v>
      </c>
      <c r="I218" s="29"/>
    </row>
    <row r="219" spans="1:9" s="231" customFormat="1">
      <c r="A219" s="148"/>
      <c r="B219" s="29"/>
      <c r="C219" s="29"/>
      <c r="D219" s="170"/>
      <c r="E219" s="171"/>
      <c r="F219" s="29"/>
      <c r="G219" s="29"/>
      <c r="H219" s="207"/>
      <c r="I219" s="29"/>
    </row>
    <row r="220" spans="1:9" s="231" customFormat="1">
      <c r="A220" s="148"/>
      <c r="B220" s="29"/>
      <c r="C220" s="29"/>
      <c r="D220" s="172"/>
      <c r="E220" s="152"/>
      <c r="F220" s="29"/>
      <c r="G220" s="29"/>
      <c r="H220" s="131" t="s">
        <v>27</v>
      </c>
      <c r="I220" s="29"/>
    </row>
    <row r="221" spans="1:9" s="231" customFormat="1" ht="12.75" customHeight="1">
      <c r="A221" s="106" t="s">
        <v>10</v>
      </c>
      <c r="B221" s="164"/>
      <c r="C221" s="164"/>
      <c r="D221" s="164"/>
      <c r="E221" s="856" t="s">
        <v>377</v>
      </c>
      <c r="F221" s="856" t="s">
        <v>402</v>
      </c>
      <c r="G221" s="130"/>
      <c r="H221" s="856" t="s">
        <v>403</v>
      </c>
      <c r="I221" s="130"/>
    </row>
    <row r="222" spans="1:9" s="231" customFormat="1">
      <c r="A222" s="109"/>
      <c r="B222" s="132"/>
      <c r="C222" s="132"/>
      <c r="D222" s="132"/>
      <c r="E222" s="859"/>
      <c r="F222" s="859"/>
      <c r="G222" s="130"/>
      <c r="H222" s="859"/>
      <c r="I222" s="130"/>
    </row>
    <row r="223" spans="1:9" s="231" customFormat="1">
      <c r="A223" s="154" t="s">
        <v>179</v>
      </c>
      <c r="B223" s="116"/>
      <c r="C223" s="116"/>
      <c r="D223" s="116"/>
      <c r="E223" s="859"/>
      <c r="F223" s="859"/>
      <c r="G223" s="130"/>
      <c r="H223" s="859"/>
      <c r="I223" s="130"/>
    </row>
    <row r="224" spans="1:9" s="231" customFormat="1">
      <c r="A224" s="109" t="s">
        <v>83</v>
      </c>
      <c r="B224" s="47"/>
      <c r="C224" s="47"/>
      <c r="D224" s="47"/>
      <c r="E224" s="859"/>
      <c r="F224" s="859"/>
      <c r="G224" s="130"/>
      <c r="H224" s="859"/>
      <c r="I224" s="130"/>
    </row>
    <row r="225" spans="1:9" s="231" customFormat="1">
      <c r="A225" s="110" t="s">
        <v>84</v>
      </c>
      <c r="B225" s="132"/>
      <c r="C225" s="132"/>
      <c r="D225" s="132"/>
      <c r="E225" s="860"/>
      <c r="F225" s="860"/>
      <c r="G225" s="130"/>
      <c r="H225" s="860"/>
      <c r="I225" s="130"/>
    </row>
    <row r="226" spans="1:9" s="231" customFormat="1">
      <c r="A226" s="120">
        <v>1</v>
      </c>
      <c r="B226" s="47" t="s">
        <v>180</v>
      </c>
      <c r="C226" s="47"/>
      <c r="D226" s="47"/>
      <c r="E226" s="41">
        <v>-351</v>
      </c>
      <c r="F226" s="52">
        <v>-348</v>
      </c>
      <c r="G226" s="118"/>
      <c r="H226" s="133">
        <v>-436</v>
      </c>
      <c r="I226" s="29"/>
    </row>
    <row r="227" spans="1:9" s="231" customFormat="1">
      <c r="A227" s="120">
        <v>2</v>
      </c>
      <c r="B227" s="47" t="s">
        <v>181</v>
      </c>
      <c r="C227" s="47"/>
      <c r="D227" s="47"/>
      <c r="E227" s="49">
        <v>641</v>
      </c>
      <c r="F227" s="52">
        <v>622</v>
      </c>
      <c r="G227" s="118"/>
      <c r="H227" s="122">
        <v>690</v>
      </c>
      <c r="I227" s="29"/>
    </row>
    <row r="228" spans="1:9" s="231" customFormat="1">
      <c r="A228" s="120">
        <v>3</v>
      </c>
      <c r="B228" s="47" t="s">
        <v>182</v>
      </c>
      <c r="C228" s="47"/>
      <c r="D228" s="47"/>
      <c r="E228" s="114">
        <v>1051</v>
      </c>
      <c r="F228" s="52">
        <v>1038</v>
      </c>
      <c r="G228" s="118"/>
      <c r="H228" s="122">
        <v>1131</v>
      </c>
      <c r="I228" s="29"/>
    </row>
    <row r="229" spans="1:9" s="231" customFormat="1">
      <c r="A229" s="120">
        <v>4</v>
      </c>
      <c r="B229" s="47" t="s">
        <v>183</v>
      </c>
      <c r="C229" s="47"/>
      <c r="D229" s="47"/>
      <c r="E229" s="114">
        <v>1567</v>
      </c>
      <c r="F229" s="52">
        <v>1809</v>
      </c>
      <c r="G229" s="118"/>
      <c r="H229" s="122">
        <v>1644</v>
      </c>
      <c r="I229" s="29"/>
    </row>
    <row r="230" spans="1:9" s="231" customFormat="1">
      <c r="A230" s="120">
        <v>5</v>
      </c>
      <c r="B230" s="47" t="s">
        <v>184</v>
      </c>
      <c r="C230" s="47"/>
      <c r="D230" s="47"/>
      <c r="E230" s="114">
        <v>6172</v>
      </c>
      <c r="F230" s="52">
        <v>7460</v>
      </c>
      <c r="G230" s="118"/>
      <c r="H230" s="99">
        <v>6265</v>
      </c>
      <c r="I230" s="29"/>
    </row>
    <row r="231" spans="1:9" s="231" customFormat="1">
      <c r="A231" s="124">
        <v>6</v>
      </c>
      <c r="B231" s="173" t="s">
        <v>185</v>
      </c>
      <c r="C231" s="173"/>
      <c r="D231" s="173"/>
      <c r="E231" s="159">
        <v>9080</v>
      </c>
      <c r="F231" s="61">
        <f>SUM(F226:F230)</f>
        <v>10581</v>
      </c>
      <c r="G231" s="118"/>
      <c r="H231" s="61">
        <f>SUM(H226:H230)</f>
        <v>9294</v>
      </c>
      <c r="I231" s="29"/>
    </row>
    <row r="232" spans="1:9" s="231" customFormat="1">
      <c r="A232" s="148"/>
      <c r="B232" s="29"/>
      <c r="C232" s="29"/>
      <c r="D232" s="170"/>
      <c r="E232" s="150"/>
      <c r="F232" s="29"/>
      <c r="G232" s="29"/>
      <c r="H232" s="207"/>
      <c r="I232" s="29"/>
    </row>
    <row r="233" spans="1:9" s="231" customFormat="1">
      <c r="A233" s="148"/>
      <c r="B233" s="29"/>
      <c r="C233" s="29"/>
      <c r="D233" s="172"/>
      <c r="E233" s="152"/>
      <c r="F233" s="29"/>
      <c r="G233" s="29"/>
      <c r="H233" s="131" t="s">
        <v>27</v>
      </c>
      <c r="I233" s="29"/>
    </row>
    <row r="234" spans="1:9" s="231" customFormat="1" ht="12.75" customHeight="1">
      <c r="A234" s="106" t="s">
        <v>12</v>
      </c>
      <c r="B234" s="164"/>
      <c r="C234" s="164"/>
      <c r="D234" s="164"/>
      <c r="E234" s="856" t="s">
        <v>377</v>
      </c>
      <c r="F234" s="856" t="s">
        <v>402</v>
      </c>
      <c r="G234" s="130"/>
      <c r="H234" s="856" t="s">
        <v>403</v>
      </c>
      <c r="I234" s="130"/>
    </row>
    <row r="235" spans="1:9" s="231" customFormat="1">
      <c r="A235" s="165"/>
      <c r="B235" s="47"/>
      <c r="C235" s="47"/>
      <c r="D235" s="47"/>
      <c r="E235" s="859"/>
      <c r="F235" s="859"/>
      <c r="G235" s="130"/>
      <c r="H235" s="859"/>
      <c r="I235" s="130"/>
    </row>
    <row r="236" spans="1:9" s="231" customFormat="1">
      <c r="A236" s="154" t="s">
        <v>186</v>
      </c>
      <c r="B236" s="174"/>
      <c r="C236" s="174"/>
      <c r="D236" s="174"/>
      <c r="E236" s="859"/>
      <c r="F236" s="859"/>
      <c r="G236" s="130"/>
      <c r="H236" s="859"/>
      <c r="I236" s="130"/>
    </row>
    <row r="237" spans="1:9" s="231" customFormat="1">
      <c r="A237" s="109" t="s">
        <v>83</v>
      </c>
      <c r="B237" s="47"/>
      <c r="C237" s="47"/>
      <c r="D237" s="47"/>
      <c r="E237" s="859"/>
      <c r="F237" s="859"/>
      <c r="G237" s="130"/>
      <c r="H237" s="859"/>
      <c r="I237" s="130"/>
    </row>
    <row r="238" spans="1:9" s="231" customFormat="1">
      <c r="A238" s="110" t="s">
        <v>84</v>
      </c>
      <c r="B238" s="174"/>
      <c r="C238" s="174"/>
      <c r="D238" s="174"/>
      <c r="E238" s="860"/>
      <c r="F238" s="860"/>
      <c r="G238" s="130"/>
      <c r="H238" s="860"/>
      <c r="I238" s="130"/>
    </row>
    <row r="239" spans="1:9" s="231" customFormat="1">
      <c r="A239" s="153" t="s">
        <v>187</v>
      </c>
      <c r="B239" s="116"/>
      <c r="C239" s="116"/>
      <c r="D239" s="116"/>
      <c r="E239" s="167"/>
      <c r="F239" s="146"/>
      <c r="G239" s="118"/>
      <c r="H239" s="146"/>
      <c r="I239" s="29"/>
    </row>
    <row r="240" spans="1:9" s="231" customFormat="1">
      <c r="A240" s="120">
        <v>1</v>
      </c>
      <c r="B240" s="47" t="s">
        <v>188</v>
      </c>
      <c r="C240" s="47"/>
      <c r="D240" s="47"/>
      <c r="E240" s="74">
        <v>768</v>
      </c>
      <c r="F240" s="52">
        <v>834</v>
      </c>
      <c r="G240" s="118"/>
      <c r="H240" s="122">
        <v>799</v>
      </c>
      <c r="I240" s="29"/>
    </row>
    <row r="241" spans="1:9" s="231" customFormat="1">
      <c r="A241" s="784">
        <v>2</v>
      </c>
      <c r="B241" s="47" t="s">
        <v>189</v>
      </c>
      <c r="C241" s="47"/>
      <c r="D241" s="47"/>
      <c r="E241" s="114">
        <v>4126</v>
      </c>
      <c r="F241" s="52">
        <v>4269</v>
      </c>
      <c r="G241" s="118"/>
      <c r="H241" s="100">
        <v>4154</v>
      </c>
      <c r="I241" s="29"/>
    </row>
    <row r="242" spans="1:9" s="231" customFormat="1">
      <c r="A242" s="784">
        <v>3</v>
      </c>
      <c r="B242" s="168" t="s">
        <v>190</v>
      </c>
      <c r="C242" s="168"/>
      <c r="D242" s="168"/>
      <c r="E242" s="80">
        <v>4894</v>
      </c>
      <c r="F242" s="142">
        <f>SUM(F240:F241)</f>
        <v>5103</v>
      </c>
      <c r="G242" s="118"/>
      <c r="H242" s="142">
        <f>SUM(H240:H241)</f>
        <v>4953</v>
      </c>
      <c r="I242" s="29"/>
    </row>
    <row r="243" spans="1:9" s="231" customFormat="1">
      <c r="A243" s="784"/>
      <c r="B243" s="116"/>
      <c r="C243" s="116"/>
      <c r="D243" s="116"/>
      <c r="E243" s="117"/>
      <c r="F243" s="118"/>
      <c r="G243" s="118"/>
      <c r="H243" s="118"/>
      <c r="I243" s="29"/>
    </row>
    <row r="244" spans="1:9" s="231" customFormat="1">
      <c r="A244" s="108" t="s">
        <v>191</v>
      </c>
      <c r="B244" s="47"/>
      <c r="C244" s="47"/>
      <c r="D244" s="47"/>
      <c r="E244" s="140"/>
      <c r="F244" s="146"/>
      <c r="G244" s="118"/>
      <c r="H244" s="146"/>
      <c r="I244" s="29"/>
    </row>
    <row r="245" spans="1:9" s="231" customFormat="1">
      <c r="A245" s="784">
        <v>4</v>
      </c>
      <c r="B245" s="47" t="s">
        <v>192</v>
      </c>
      <c r="C245" s="47"/>
      <c r="D245" s="47"/>
      <c r="E245" s="74">
        <v>0</v>
      </c>
      <c r="F245" s="52">
        <v>0</v>
      </c>
      <c r="G245" s="118"/>
      <c r="H245" s="122">
        <v>0</v>
      </c>
      <c r="I245" s="29"/>
    </row>
    <row r="246" spans="1:9" s="231" customFormat="1">
      <c r="A246" s="784">
        <v>5</v>
      </c>
      <c r="B246" s="47" t="s">
        <v>193</v>
      </c>
      <c r="C246" s="47"/>
      <c r="D246" s="47"/>
      <c r="E246" s="49">
        <v>542</v>
      </c>
      <c r="F246" s="52">
        <v>517</v>
      </c>
      <c r="G246" s="118"/>
      <c r="H246" s="100">
        <v>531</v>
      </c>
      <c r="I246" s="29"/>
    </row>
    <row r="247" spans="1:9" s="231" customFormat="1">
      <c r="A247" s="784">
        <v>6</v>
      </c>
      <c r="B247" s="116" t="s">
        <v>194</v>
      </c>
      <c r="C247" s="116"/>
      <c r="D247" s="116"/>
      <c r="E247" s="80">
        <v>542</v>
      </c>
      <c r="F247" s="142">
        <f>SUM(F245:F246)</f>
        <v>517</v>
      </c>
      <c r="G247" s="118"/>
      <c r="H247" s="142">
        <f>SUM(H245:H246)</f>
        <v>531</v>
      </c>
      <c r="I247" s="29"/>
    </row>
    <row r="248" spans="1:9" s="231" customFormat="1">
      <c r="A248" s="784"/>
      <c r="B248" s="116"/>
      <c r="C248" s="116"/>
      <c r="D248" s="116"/>
      <c r="E248" s="117"/>
      <c r="F248" s="118"/>
      <c r="G248" s="118"/>
      <c r="H248" s="118"/>
      <c r="I248" s="29"/>
    </row>
    <row r="249" spans="1:9" s="231" customFormat="1">
      <c r="A249" s="108" t="s">
        <v>195</v>
      </c>
      <c r="B249" s="116"/>
      <c r="C249" s="116"/>
      <c r="D249" s="116"/>
      <c r="E249" s="140"/>
      <c r="F249" s="146"/>
      <c r="G249" s="118"/>
      <c r="H249" s="146"/>
      <c r="I249" s="29"/>
    </row>
    <row r="250" spans="1:9" s="231" customFormat="1">
      <c r="A250" s="784">
        <v>7</v>
      </c>
      <c r="B250" s="47" t="s">
        <v>196</v>
      </c>
      <c r="C250" s="47"/>
      <c r="D250" s="47"/>
      <c r="E250" s="74">
        <v>2470</v>
      </c>
      <c r="F250" s="52">
        <v>2482</v>
      </c>
      <c r="G250" s="118"/>
      <c r="H250" s="52">
        <v>2534</v>
      </c>
      <c r="I250" s="29"/>
    </row>
    <row r="251" spans="1:9" s="231" customFormat="1">
      <c r="A251" s="784">
        <v>8</v>
      </c>
      <c r="B251" s="47" t="s">
        <v>197</v>
      </c>
      <c r="C251" s="47"/>
      <c r="D251" s="47"/>
      <c r="E251" s="49">
        <v>7123</v>
      </c>
      <c r="F251" s="52">
        <v>6929</v>
      </c>
      <c r="G251" s="118"/>
      <c r="H251" s="122">
        <v>6903</v>
      </c>
      <c r="I251" s="29"/>
    </row>
    <row r="252" spans="1:9" s="231" customFormat="1">
      <c r="A252" s="784">
        <v>9</v>
      </c>
      <c r="B252" s="47" t="s">
        <v>198</v>
      </c>
      <c r="C252" s="47"/>
      <c r="D252" s="47"/>
      <c r="E252" s="49">
        <v>8450</v>
      </c>
      <c r="F252" s="52">
        <v>7309</v>
      </c>
      <c r="G252" s="118"/>
      <c r="H252" s="122">
        <v>8815</v>
      </c>
      <c r="I252" s="29"/>
    </row>
    <row r="253" spans="1:9" s="231" customFormat="1">
      <c r="A253" s="784">
        <v>10</v>
      </c>
      <c r="B253" s="47" t="s">
        <v>199</v>
      </c>
      <c r="C253" s="47"/>
      <c r="D253" s="47"/>
      <c r="E253" s="49">
        <v>9547</v>
      </c>
      <c r="F253" s="52">
        <v>10059</v>
      </c>
      <c r="G253" s="118"/>
      <c r="H253" s="100">
        <v>9478</v>
      </c>
      <c r="I253" s="29"/>
    </row>
    <row r="254" spans="1:9" s="231" customFormat="1">
      <c r="A254" s="784">
        <v>11</v>
      </c>
      <c r="B254" s="116" t="s">
        <v>200</v>
      </c>
      <c r="C254" s="116"/>
      <c r="D254" s="116"/>
      <c r="E254" s="80">
        <v>27590</v>
      </c>
      <c r="F254" s="142">
        <f>SUM(F250:F253)</f>
        <v>26779</v>
      </c>
      <c r="G254" s="118"/>
      <c r="H254" s="142">
        <f>SUM(H250:H253)</f>
        <v>27730</v>
      </c>
      <c r="I254" s="260"/>
    </row>
    <row r="255" spans="1:9" s="231" customFormat="1">
      <c r="A255" s="784"/>
      <c r="B255" s="116"/>
      <c r="C255" s="116"/>
      <c r="D255" s="116"/>
      <c r="E255" s="117"/>
      <c r="F255" s="118"/>
      <c r="G255" s="118"/>
      <c r="H255" s="118"/>
      <c r="I255" s="29"/>
    </row>
    <row r="256" spans="1:9" s="231" customFormat="1">
      <c r="A256" s="784">
        <v>12</v>
      </c>
      <c r="B256" s="47" t="s">
        <v>201</v>
      </c>
      <c r="C256" s="47"/>
      <c r="D256" s="47"/>
      <c r="E256" s="176">
        <v>5265</v>
      </c>
      <c r="F256" s="136">
        <v>5520</v>
      </c>
      <c r="G256" s="118"/>
      <c r="H256" s="177">
        <v>5513</v>
      </c>
      <c r="I256" s="260"/>
    </row>
    <row r="257" spans="1:9" s="231" customFormat="1">
      <c r="A257" s="124">
        <v>13</v>
      </c>
      <c r="B257" s="94" t="s">
        <v>202</v>
      </c>
      <c r="C257" s="94"/>
      <c r="D257" s="94"/>
      <c r="E257" s="159">
        <v>38291</v>
      </c>
      <c r="F257" s="61">
        <f>F242+F247+F254+F256</f>
        <v>37919</v>
      </c>
      <c r="G257" s="118"/>
      <c r="H257" s="61">
        <f>H242+H247+H254+H256</f>
        <v>38727</v>
      </c>
      <c r="I257" s="21"/>
    </row>
    <row r="258" spans="1:9" s="231" customFormat="1">
      <c r="A258" s="207"/>
      <c r="B258" s="207"/>
      <c r="C258" s="207"/>
      <c r="D258" s="208"/>
      <c r="E258" s="208"/>
      <c r="F258" s="207"/>
      <c r="G258" s="207"/>
      <c r="H258" s="207"/>
      <c r="I258" s="21"/>
    </row>
    <row r="259" spans="1:9" s="231" customFormat="1">
      <c r="A259" s="23"/>
      <c r="B259" s="207"/>
      <c r="C259" s="207"/>
      <c r="D259" s="207"/>
      <c r="E259" s="207"/>
      <c r="F259" s="207"/>
      <c r="G259" s="207"/>
      <c r="H259" s="21"/>
      <c r="I259" s="21"/>
    </row>
    <row r="260" spans="1:9" s="231" customFormat="1">
      <c r="A260" s="148"/>
      <c r="B260" s="29"/>
      <c r="C260" s="29"/>
      <c r="D260" s="172"/>
      <c r="E260" s="152"/>
      <c r="F260" s="29"/>
      <c r="G260" s="29"/>
      <c r="H260" s="131" t="s">
        <v>27</v>
      </c>
      <c r="I260" s="21"/>
    </row>
    <row r="261" spans="1:9" s="231" customFormat="1" ht="12.75" customHeight="1">
      <c r="A261" s="106" t="s">
        <v>15</v>
      </c>
      <c r="B261" s="164"/>
      <c r="C261" s="164"/>
      <c r="D261" s="164"/>
      <c r="E261" s="856" t="s">
        <v>377</v>
      </c>
      <c r="F261" s="856" t="s">
        <v>402</v>
      </c>
      <c r="G261" s="130"/>
      <c r="H261" s="856" t="s">
        <v>403</v>
      </c>
      <c r="I261" s="21"/>
    </row>
    <row r="262" spans="1:9" s="231" customFormat="1">
      <c r="A262" s="165"/>
      <c r="B262" s="47"/>
      <c r="C262" s="47"/>
      <c r="D262" s="47"/>
      <c r="E262" s="859"/>
      <c r="F262" s="859"/>
      <c r="G262" s="130"/>
      <c r="H262" s="859"/>
      <c r="I262" s="21"/>
    </row>
    <row r="263" spans="1:9" s="231" customFormat="1">
      <c r="A263" s="109"/>
      <c r="B263" s="174"/>
      <c r="C263" s="174"/>
      <c r="D263" s="174"/>
      <c r="E263" s="859"/>
      <c r="F263" s="859"/>
      <c r="G263" s="130"/>
      <c r="H263" s="859"/>
      <c r="I263" s="21"/>
    </row>
    <row r="264" spans="1:9" s="231" customFormat="1">
      <c r="A264" s="154" t="s">
        <v>203</v>
      </c>
      <c r="B264" s="47"/>
      <c r="C264" s="47"/>
      <c r="D264" s="47"/>
      <c r="E264" s="859"/>
      <c r="F264" s="859"/>
      <c r="G264" s="130"/>
      <c r="H264" s="859"/>
      <c r="I264" s="21"/>
    </row>
    <row r="265" spans="1:9" s="231" customFormat="1">
      <c r="A265" s="109" t="s">
        <v>83</v>
      </c>
      <c r="B265" s="174"/>
      <c r="C265" s="174"/>
      <c r="D265" s="174"/>
      <c r="E265" s="860"/>
      <c r="F265" s="860"/>
      <c r="G265" s="130"/>
      <c r="H265" s="860"/>
      <c r="I265" s="21"/>
    </row>
    <row r="266" spans="1:9" s="231" customFormat="1">
      <c r="A266" s="110" t="s">
        <v>84</v>
      </c>
      <c r="B266" s="116"/>
      <c r="C266" s="116"/>
      <c r="D266" s="116"/>
      <c r="E266" s="178"/>
      <c r="F266" s="146"/>
      <c r="G266" s="118"/>
      <c r="H266" s="146"/>
      <c r="I266" s="21"/>
    </row>
    <row r="267" spans="1:9" s="231" customFormat="1">
      <c r="A267" s="120">
        <v>1</v>
      </c>
      <c r="B267" s="47" t="s">
        <v>204</v>
      </c>
      <c r="C267" s="47"/>
      <c r="D267" s="47"/>
      <c r="E267" s="74">
        <v>0</v>
      </c>
      <c r="F267" s="52">
        <v>0</v>
      </c>
      <c r="G267" s="118"/>
      <c r="H267" s="122">
        <v>0</v>
      </c>
      <c r="I267" s="21"/>
    </row>
    <row r="268" spans="1:9" s="231" customFormat="1">
      <c r="A268" s="784">
        <v>2</v>
      </c>
      <c r="B268" s="166" t="s">
        <v>205</v>
      </c>
      <c r="C268" s="166"/>
      <c r="D268" s="47"/>
      <c r="E268" s="114">
        <v>0</v>
      </c>
      <c r="F268" s="52">
        <v>0</v>
      </c>
      <c r="G268" s="118"/>
      <c r="H268" s="122">
        <v>0</v>
      </c>
      <c r="I268" s="21"/>
    </row>
    <row r="269" spans="1:9" s="231" customFormat="1">
      <c r="A269" s="120">
        <v>3</v>
      </c>
      <c r="B269" s="47" t="s">
        <v>206</v>
      </c>
      <c r="C269" s="47"/>
      <c r="D269" s="168"/>
      <c r="E269" s="114">
        <v>0</v>
      </c>
      <c r="F269" s="52">
        <v>0</v>
      </c>
      <c r="G269" s="118"/>
      <c r="H269" s="122">
        <v>0</v>
      </c>
      <c r="I269" s="21"/>
    </row>
    <row r="270" spans="1:9" s="231" customFormat="1">
      <c r="A270" s="784">
        <v>4</v>
      </c>
      <c r="B270" s="47" t="s">
        <v>207</v>
      </c>
      <c r="C270" s="47"/>
      <c r="D270" s="116"/>
      <c r="E270" s="114">
        <v>3730</v>
      </c>
      <c r="F270" s="52">
        <v>3595</v>
      </c>
      <c r="G270" s="118"/>
      <c r="H270" s="122">
        <v>3808</v>
      </c>
      <c r="I270" s="21"/>
    </row>
    <row r="271" spans="1:9" s="231" customFormat="1">
      <c r="A271" s="120">
        <v>5</v>
      </c>
      <c r="B271" s="47" t="s">
        <v>208</v>
      </c>
      <c r="C271" s="47"/>
      <c r="D271" s="47"/>
      <c r="E271" s="114">
        <v>1605</v>
      </c>
      <c r="F271" s="52">
        <v>1605</v>
      </c>
      <c r="G271" s="118"/>
      <c r="H271" s="122">
        <v>1560</v>
      </c>
      <c r="I271" s="21"/>
    </row>
    <row r="272" spans="1:9" s="231" customFormat="1">
      <c r="A272" s="784">
        <v>6</v>
      </c>
      <c r="B272" s="47" t="s">
        <v>209</v>
      </c>
      <c r="C272" s="47"/>
      <c r="D272" s="47"/>
      <c r="E272" s="114">
        <v>2189</v>
      </c>
      <c r="F272" s="52">
        <v>2189</v>
      </c>
      <c r="G272" s="118"/>
      <c r="H272" s="122">
        <v>2127</v>
      </c>
      <c r="I272" s="21"/>
    </row>
    <row r="273" spans="1:9" s="231" customFormat="1">
      <c r="A273" s="120">
        <v>7</v>
      </c>
      <c r="B273" s="47" t="s">
        <v>210</v>
      </c>
      <c r="C273" s="47"/>
      <c r="D273" s="47"/>
      <c r="E273" s="114">
        <v>6682</v>
      </c>
      <c r="F273" s="52">
        <v>6462</v>
      </c>
      <c r="G273" s="118"/>
      <c r="H273" s="122">
        <v>5515</v>
      </c>
      <c r="I273" s="21"/>
    </row>
    <row r="274" spans="1:9" s="231" customFormat="1">
      <c r="A274" s="784">
        <v>8</v>
      </c>
      <c r="B274" s="47" t="s">
        <v>211</v>
      </c>
      <c r="C274" s="47"/>
      <c r="D274" s="47"/>
      <c r="E274" s="114">
        <v>1288</v>
      </c>
      <c r="F274" s="52">
        <v>1354</v>
      </c>
      <c r="G274" s="118"/>
      <c r="H274" s="122">
        <v>1555</v>
      </c>
      <c r="I274" s="21"/>
    </row>
    <row r="275" spans="1:9" s="231" customFormat="1">
      <c r="A275" s="120">
        <v>9</v>
      </c>
      <c r="B275" s="47" t="s">
        <v>212</v>
      </c>
      <c r="C275" s="47"/>
      <c r="D275" s="47"/>
      <c r="E275" s="114">
        <v>274</v>
      </c>
      <c r="F275" s="52">
        <v>0</v>
      </c>
      <c r="G275" s="118"/>
      <c r="H275" s="122">
        <v>0</v>
      </c>
      <c r="I275" s="21"/>
    </row>
    <row r="276" spans="1:9" s="231" customFormat="1">
      <c r="A276" s="784">
        <v>10</v>
      </c>
      <c r="B276" s="47" t="s">
        <v>213</v>
      </c>
      <c r="C276" s="47"/>
      <c r="D276" s="47"/>
      <c r="E276" s="114">
        <v>1093</v>
      </c>
      <c r="F276" s="52">
        <v>1051</v>
      </c>
      <c r="G276" s="118"/>
      <c r="H276" s="99">
        <v>878</v>
      </c>
      <c r="I276" s="21"/>
    </row>
    <row r="277" spans="1:9" s="231" customFormat="1">
      <c r="A277" s="124">
        <v>11</v>
      </c>
      <c r="B277" s="94" t="s">
        <v>214</v>
      </c>
      <c r="C277" s="94"/>
      <c r="D277" s="94"/>
      <c r="E277" s="159">
        <v>16861</v>
      </c>
      <c r="F277" s="61">
        <f>SUM(F267:F276)</f>
        <v>16256</v>
      </c>
      <c r="G277" s="118"/>
      <c r="H277" s="61">
        <f>SUM(H267:H276)</f>
        <v>15443</v>
      </c>
      <c r="I277" s="21"/>
    </row>
    <row r="278" spans="1:9" s="231" customFormat="1">
      <c r="A278" s="207"/>
      <c r="B278" s="207"/>
      <c r="C278" s="207"/>
      <c r="D278" s="207"/>
      <c r="E278" s="207"/>
      <c r="F278" s="207"/>
      <c r="G278" s="207"/>
      <c r="H278" s="207"/>
      <c r="I278" s="21"/>
    </row>
    <row r="279" spans="1:9" s="231" customFormat="1">
      <c r="A279" s="207"/>
      <c r="B279" s="207"/>
      <c r="C279" s="207"/>
      <c r="D279" s="207"/>
      <c r="E279" s="207"/>
      <c r="F279" s="207"/>
      <c r="G279" s="207"/>
      <c r="H279" s="131" t="s">
        <v>27</v>
      </c>
      <c r="I279" s="21"/>
    </row>
    <row r="280" spans="1:9" s="231" customFormat="1" ht="12.75" customHeight="1">
      <c r="A280" s="106" t="s">
        <v>18</v>
      </c>
      <c r="B280" s="164"/>
      <c r="C280" s="164"/>
      <c r="D280" s="164"/>
      <c r="E280" s="856" t="s">
        <v>377</v>
      </c>
      <c r="F280" s="856" t="s">
        <v>402</v>
      </c>
      <c r="G280" s="130"/>
      <c r="H280" s="856" t="s">
        <v>403</v>
      </c>
      <c r="I280" s="21"/>
    </row>
    <row r="281" spans="1:9" s="231" customFormat="1">
      <c r="A281" s="165"/>
      <c r="B281" s="47"/>
      <c r="C281" s="47"/>
      <c r="D281" s="47"/>
      <c r="E281" s="859"/>
      <c r="F281" s="859"/>
      <c r="G281" s="130"/>
      <c r="H281" s="859"/>
      <c r="I281" s="21"/>
    </row>
    <row r="282" spans="1:9" s="231" customFormat="1" ht="21.75" customHeight="1">
      <c r="A282" s="109"/>
      <c r="B282" s="174"/>
      <c r="C282" s="174"/>
      <c r="D282" s="174"/>
      <c r="E282" s="859"/>
      <c r="F282" s="859"/>
      <c r="G282" s="130"/>
      <c r="H282" s="859"/>
      <c r="I282" s="21"/>
    </row>
    <row r="283" spans="1:9" s="231" customFormat="1">
      <c r="A283" s="154" t="s">
        <v>215</v>
      </c>
      <c r="B283" s="47"/>
      <c r="C283" s="47"/>
      <c r="D283" s="47"/>
      <c r="E283" s="859"/>
      <c r="F283" s="859"/>
      <c r="G283" s="130"/>
      <c r="H283" s="859"/>
      <c r="I283" s="21"/>
    </row>
    <row r="284" spans="1:9" s="231" customFormat="1">
      <c r="A284" s="109" t="s">
        <v>83</v>
      </c>
      <c r="B284" s="174"/>
      <c r="C284" s="174"/>
      <c r="D284" s="174"/>
      <c r="E284" s="860"/>
      <c r="F284" s="860"/>
      <c r="G284" s="130"/>
      <c r="H284" s="860"/>
      <c r="I284" s="21"/>
    </row>
    <row r="285" spans="1:9" s="231" customFormat="1">
      <c r="A285" s="110" t="s">
        <v>84</v>
      </c>
      <c r="B285" s="116"/>
      <c r="C285" s="116"/>
      <c r="D285" s="116"/>
      <c r="E285" s="178"/>
      <c r="F285" s="146"/>
      <c r="G285" s="118"/>
      <c r="H285" s="146"/>
      <c r="I285" s="21"/>
    </row>
    <row r="286" spans="1:9" s="231" customFormat="1">
      <c r="A286" s="120">
        <v>1</v>
      </c>
      <c r="B286" s="47" t="s">
        <v>216</v>
      </c>
      <c r="C286" s="47"/>
      <c r="D286" s="47"/>
      <c r="E286" s="74">
        <v>-594</v>
      </c>
      <c r="F286" s="52">
        <v>-160</v>
      </c>
      <c r="G286" s="118"/>
      <c r="H286" s="122">
        <v>-85</v>
      </c>
      <c r="I286" s="21"/>
    </row>
    <row r="287" spans="1:9" s="231" customFormat="1">
      <c r="A287" s="784">
        <v>2</v>
      </c>
      <c r="B287" s="47" t="s">
        <v>217</v>
      </c>
      <c r="C287" s="47"/>
      <c r="D287" s="47"/>
      <c r="E287" s="114">
        <v>171</v>
      </c>
      <c r="F287" s="52">
        <v>154</v>
      </c>
      <c r="G287" s="118"/>
      <c r="H287" s="122">
        <v>166</v>
      </c>
      <c r="I287" s="21"/>
    </row>
    <row r="288" spans="1:9" s="231" customFormat="1">
      <c r="A288" s="120">
        <v>3</v>
      </c>
      <c r="B288" s="90" t="s">
        <v>218</v>
      </c>
      <c r="C288" s="166"/>
      <c r="D288" s="168"/>
      <c r="E288" s="114">
        <v>4125</v>
      </c>
      <c r="F288" s="52">
        <v>2453</v>
      </c>
      <c r="G288" s="118"/>
      <c r="H288" s="122">
        <v>2519</v>
      </c>
      <c r="I288" s="21"/>
    </row>
    <row r="289" spans="1:9" s="231" customFormat="1">
      <c r="A289" s="784">
        <v>4</v>
      </c>
      <c r="B289" s="47" t="s">
        <v>219</v>
      </c>
      <c r="C289" s="47"/>
      <c r="D289" s="116"/>
      <c r="E289" s="114">
        <v>238</v>
      </c>
      <c r="F289" s="52">
        <v>306</v>
      </c>
      <c r="G289" s="118"/>
      <c r="H289" s="122">
        <v>101</v>
      </c>
      <c r="I289" s="21"/>
    </row>
    <row r="290" spans="1:9" s="231" customFormat="1">
      <c r="A290" s="784">
        <v>5</v>
      </c>
      <c r="B290" s="47" t="s">
        <v>220</v>
      </c>
      <c r="C290" s="47"/>
      <c r="D290" s="47"/>
      <c r="E290" s="114">
        <v>-323</v>
      </c>
      <c r="F290" s="52">
        <v>-317</v>
      </c>
      <c r="G290" s="118"/>
      <c r="H290" s="122">
        <v>-341</v>
      </c>
      <c r="I290" s="21"/>
    </row>
    <row r="291" spans="1:9" s="231" customFormat="1">
      <c r="A291" s="120">
        <v>6</v>
      </c>
      <c r="B291" s="47" t="s">
        <v>221</v>
      </c>
      <c r="C291" s="47"/>
      <c r="D291" s="47"/>
      <c r="E291" s="114">
        <v>118</v>
      </c>
      <c r="F291" s="52">
        <v>211</v>
      </c>
      <c r="G291" s="118"/>
      <c r="H291" s="122">
        <v>220</v>
      </c>
      <c r="I291" s="21"/>
    </row>
    <row r="292" spans="1:9" s="231" customFormat="1">
      <c r="A292" s="784">
        <v>7</v>
      </c>
      <c r="B292" s="47" t="s">
        <v>222</v>
      </c>
      <c r="C292" s="47"/>
      <c r="D292" s="116"/>
      <c r="E292" s="114">
        <v>353</v>
      </c>
      <c r="F292" s="52">
        <v>0</v>
      </c>
      <c r="G292" s="118"/>
      <c r="H292" s="122">
        <v>0</v>
      </c>
      <c r="I292" s="21"/>
    </row>
    <row r="293" spans="1:9" s="231" customFormat="1">
      <c r="A293" s="120">
        <v>8</v>
      </c>
      <c r="B293" s="47" t="s">
        <v>223</v>
      </c>
      <c r="C293" s="47"/>
      <c r="D293" s="116"/>
      <c r="E293" s="114">
        <v>898</v>
      </c>
      <c r="F293" s="52">
        <v>929</v>
      </c>
      <c r="G293" s="118"/>
      <c r="H293" s="122">
        <v>982</v>
      </c>
      <c r="I293" s="21"/>
    </row>
    <row r="294" spans="1:9" s="231" customFormat="1">
      <c r="A294" s="784">
        <v>9</v>
      </c>
      <c r="B294" s="47" t="s">
        <v>224</v>
      </c>
      <c r="C294" s="47"/>
      <c r="D294" s="116"/>
      <c r="E294" s="114">
        <v>527</v>
      </c>
      <c r="F294" s="52">
        <v>546</v>
      </c>
      <c r="G294" s="118"/>
      <c r="H294" s="122">
        <v>576</v>
      </c>
      <c r="I294" s="21"/>
    </row>
    <row r="295" spans="1:9" s="231" customFormat="1">
      <c r="A295" s="120">
        <v>10</v>
      </c>
      <c r="B295" s="47" t="s">
        <v>225</v>
      </c>
      <c r="C295" s="47"/>
      <c r="D295" s="47"/>
      <c r="E295" s="114">
        <v>181</v>
      </c>
      <c r="F295" s="52">
        <v>3</v>
      </c>
      <c r="G295" s="118"/>
      <c r="H295" s="122">
        <v>3</v>
      </c>
      <c r="I295" s="21"/>
    </row>
    <row r="296" spans="1:9" s="231" customFormat="1">
      <c r="A296" s="784">
        <v>11</v>
      </c>
      <c r="B296" s="47" t="s">
        <v>226</v>
      </c>
      <c r="C296" s="47"/>
      <c r="D296" s="47"/>
      <c r="E296" s="114">
        <v>149</v>
      </c>
      <c r="F296" s="52">
        <v>264</v>
      </c>
      <c r="G296" s="118"/>
      <c r="H296" s="122">
        <v>255</v>
      </c>
      <c r="I296" s="21"/>
    </row>
    <row r="297" spans="1:9" s="231" customFormat="1">
      <c r="A297" s="120">
        <v>12</v>
      </c>
      <c r="B297" s="47" t="s">
        <v>227</v>
      </c>
      <c r="C297" s="47"/>
      <c r="D297" s="47"/>
      <c r="E297" s="114">
        <v>245</v>
      </c>
      <c r="F297" s="52">
        <v>589</v>
      </c>
      <c r="G297" s="118"/>
      <c r="H297" s="122">
        <v>583</v>
      </c>
      <c r="I297" s="21"/>
    </row>
    <row r="298" spans="1:9" s="231" customFormat="1">
      <c r="A298" s="784">
        <v>13</v>
      </c>
      <c r="B298" s="47" t="s">
        <v>228</v>
      </c>
      <c r="C298" s="47"/>
      <c r="D298" s="47"/>
      <c r="E298" s="114">
        <v>6007</v>
      </c>
      <c r="F298" s="52">
        <v>5137</v>
      </c>
      <c r="G298" s="118"/>
      <c r="H298" s="122">
        <v>4930</v>
      </c>
      <c r="I298" s="21"/>
    </row>
    <row r="299" spans="1:9" s="231" customFormat="1">
      <c r="A299" s="120">
        <v>14</v>
      </c>
      <c r="B299" s="47" t="s">
        <v>229</v>
      </c>
      <c r="C299" s="47"/>
      <c r="D299" s="116"/>
      <c r="E299" s="114">
        <v>0</v>
      </c>
      <c r="F299" s="52">
        <v>0</v>
      </c>
      <c r="G299" s="118"/>
      <c r="H299" s="122">
        <v>0</v>
      </c>
      <c r="I299" s="21"/>
    </row>
    <row r="300" spans="1:9" s="231" customFormat="1">
      <c r="A300" s="784">
        <v>15</v>
      </c>
      <c r="B300" s="47" t="s">
        <v>230</v>
      </c>
      <c r="C300" s="47"/>
      <c r="D300" s="116"/>
      <c r="E300" s="114">
        <v>9447</v>
      </c>
      <c r="F300" s="52">
        <v>9807</v>
      </c>
      <c r="G300" s="118"/>
      <c r="H300" s="122">
        <v>9742</v>
      </c>
      <c r="I300" s="21"/>
    </row>
    <row r="301" spans="1:9" s="231" customFormat="1">
      <c r="A301" s="120">
        <v>17</v>
      </c>
      <c r="B301" s="47" t="s">
        <v>231</v>
      </c>
      <c r="C301" s="47"/>
      <c r="D301" s="47"/>
      <c r="E301" s="114">
        <v>1233</v>
      </c>
      <c r="F301" s="52">
        <v>2322</v>
      </c>
      <c r="G301" s="118"/>
      <c r="H301" s="99">
        <v>1629</v>
      </c>
      <c r="I301" s="21"/>
    </row>
    <row r="302" spans="1:9" s="231" customFormat="1">
      <c r="A302" s="785">
        <v>18</v>
      </c>
      <c r="B302" s="94" t="s">
        <v>232</v>
      </c>
      <c r="C302" s="94"/>
      <c r="D302" s="94"/>
      <c r="E302" s="159">
        <v>22775</v>
      </c>
      <c r="F302" s="61">
        <f>SUM(F286:F301)</f>
        <v>22244</v>
      </c>
      <c r="G302" s="118"/>
      <c r="H302" s="61">
        <f>SUM(H286:H301)</f>
        <v>21280</v>
      </c>
      <c r="I302" s="21"/>
    </row>
    <row r="303" spans="1:9" s="231" customFormat="1">
      <c r="A303" s="179"/>
      <c r="B303" s="180"/>
      <c r="C303" s="180"/>
      <c r="D303" s="181"/>
      <c r="E303" s="182"/>
      <c r="F303" s="183"/>
      <c r="G303" s="21"/>
      <c r="H303" s="183"/>
      <c r="I303" s="21"/>
    </row>
    <row r="304" spans="1:9" s="231" customFormat="1">
      <c r="A304" s="184"/>
      <c r="B304" s="207"/>
      <c r="C304" s="207"/>
      <c r="D304" s="209"/>
      <c r="E304" s="185"/>
      <c r="F304" s="207"/>
      <c r="G304" s="207"/>
      <c r="H304" s="131" t="s">
        <v>27</v>
      </c>
      <c r="I304" s="21"/>
    </row>
    <row r="305" spans="1:9" s="231" customFormat="1" ht="12.75" customHeight="1">
      <c r="A305" s="106" t="s">
        <v>21</v>
      </c>
      <c r="B305" s="164"/>
      <c r="C305" s="164"/>
      <c r="D305" s="164"/>
      <c r="E305" s="856" t="s">
        <v>377</v>
      </c>
      <c r="F305" s="856" t="s">
        <v>402</v>
      </c>
      <c r="G305" s="130"/>
      <c r="H305" s="856" t="s">
        <v>403</v>
      </c>
      <c r="I305" s="21"/>
    </row>
    <row r="306" spans="1:9" s="231" customFormat="1">
      <c r="A306" s="165"/>
      <c r="B306" s="47"/>
      <c r="C306" s="47"/>
      <c r="D306" s="47"/>
      <c r="E306" s="859"/>
      <c r="F306" s="859"/>
      <c r="G306" s="130"/>
      <c r="H306" s="859"/>
      <c r="I306" s="21"/>
    </row>
    <row r="307" spans="1:9" s="231" customFormat="1" ht="12.75" customHeight="1">
      <c r="A307" s="109"/>
      <c r="B307" s="174"/>
      <c r="C307" s="174"/>
      <c r="D307" s="174"/>
      <c r="E307" s="859"/>
      <c r="F307" s="859"/>
      <c r="G307" s="130"/>
      <c r="H307" s="859"/>
      <c r="I307" s="21"/>
    </row>
    <row r="308" spans="1:9" s="231" customFormat="1">
      <c r="A308" s="154" t="s">
        <v>233</v>
      </c>
      <c r="B308" s="47"/>
      <c r="C308" s="47"/>
      <c r="D308" s="47"/>
      <c r="E308" s="859"/>
      <c r="F308" s="859"/>
      <c r="G308" s="130"/>
      <c r="H308" s="859"/>
      <c r="I308" s="21"/>
    </row>
    <row r="309" spans="1:9" s="231" customFormat="1">
      <c r="A309" s="109" t="s">
        <v>83</v>
      </c>
      <c r="B309" s="174"/>
      <c r="C309" s="174"/>
      <c r="D309" s="174"/>
      <c r="E309" s="860"/>
      <c r="F309" s="860"/>
      <c r="G309" s="130"/>
      <c r="H309" s="860"/>
      <c r="I309" s="21"/>
    </row>
    <row r="310" spans="1:9" s="231" customFormat="1">
      <c r="A310" s="110" t="s">
        <v>84</v>
      </c>
      <c r="B310" s="116"/>
      <c r="C310" s="116"/>
      <c r="D310" s="116"/>
      <c r="E310" s="262"/>
      <c r="F310" s="146"/>
      <c r="G310" s="118"/>
      <c r="H310" s="146"/>
      <c r="I310" s="21"/>
    </row>
    <row r="311" spans="1:9" s="231" customFormat="1">
      <c r="A311" s="120">
        <v>1</v>
      </c>
      <c r="B311" s="47" t="s">
        <v>258</v>
      </c>
      <c r="C311" s="47"/>
      <c r="D311" s="186"/>
      <c r="E311" s="74">
        <v>1914</v>
      </c>
      <c r="F311" s="52">
        <v>-459</v>
      </c>
      <c r="G311" s="43"/>
      <c r="H311" s="52">
        <v>-1447</v>
      </c>
      <c r="I311" s="21"/>
    </row>
    <row r="312" spans="1:9" s="231" customFormat="1">
      <c r="A312" s="120">
        <v>2</v>
      </c>
      <c r="B312" s="47" t="s">
        <v>234</v>
      </c>
      <c r="C312" s="47"/>
      <c r="D312" s="186"/>
      <c r="E312" s="114">
        <v>1266</v>
      </c>
      <c r="F312" s="52">
        <v>2638</v>
      </c>
      <c r="G312" s="43"/>
      <c r="H312" s="52">
        <v>1466</v>
      </c>
      <c r="I312" s="21"/>
    </row>
    <row r="313" spans="1:9" s="231" customFormat="1">
      <c r="A313" s="120">
        <v>3</v>
      </c>
      <c r="B313" s="47" t="s">
        <v>259</v>
      </c>
      <c r="C313" s="47"/>
      <c r="D313" s="186"/>
      <c r="E313" s="114">
        <v>0</v>
      </c>
      <c r="F313" s="52">
        <v>0</v>
      </c>
      <c r="G313" s="43"/>
      <c r="H313" s="52">
        <v>0</v>
      </c>
      <c r="I313" s="21"/>
    </row>
    <row r="314" spans="1:9" s="231" customFormat="1">
      <c r="A314" s="120">
        <v>4</v>
      </c>
      <c r="B314" s="47" t="s">
        <v>235</v>
      </c>
      <c r="C314" s="47"/>
      <c r="D314" s="186"/>
      <c r="E314" s="114">
        <v>27170</v>
      </c>
      <c r="F314" s="52">
        <v>27570</v>
      </c>
      <c r="G314" s="43"/>
      <c r="H314" s="52">
        <v>27155</v>
      </c>
      <c r="I314" s="21"/>
    </row>
    <row r="315" spans="1:9" s="231" customFormat="1">
      <c r="A315" s="120">
        <v>5</v>
      </c>
      <c r="B315" s="47" t="s">
        <v>236</v>
      </c>
      <c r="C315" s="47"/>
      <c r="D315" s="186"/>
      <c r="E315" s="114">
        <v>4772</v>
      </c>
      <c r="F315" s="52">
        <v>4772</v>
      </c>
      <c r="G315" s="187"/>
      <c r="H315" s="52">
        <v>6217</v>
      </c>
      <c r="I315" s="21"/>
    </row>
    <row r="316" spans="1:9" s="231" customFormat="1">
      <c r="A316" s="120">
        <v>6</v>
      </c>
      <c r="B316" s="47" t="s">
        <v>237</v>
      </c>
      <c r="C316" s="47"/>
      <c r="D316" s="186"/>
      <c r="E316" s="114">
        <v>32472</v>
      </c>
      <c r="F316" s="52">
        <v>32250</v>
      </c>
      <c r="G316" s="43"/>
      <c r="H316" s="52">
        <v>32599</v>
      </c>
      <c r="I316" s="21"/>
    </row>
    <row r="317" spans="1:9" s="231" customFormat="1">
      <c r="A317" s="120">
        <v>7</v>
      </c>
      <c r="B317" s="47" t="s">
        <v>238</v>
      </c>
      <c r="C317" s="47"/>
      <c r="D317" s="186"/>
      <c r="E317" s="114">
        <v>0</v>
      </c>
      <c r="F317" s="52">
        <v>0</v>
      </c>
      <c r="G317" s="43"/>
      <c r="H317" s="52">
        <v>0</v>
      </c>
      <c r="I317" s="21"/>
    </row>
    <row r="318" spans="1:9" s="231" customFormat="1">
      <c r="A318" s="120">
        <v>8</v>
      </c>
      <c r="B318" s="47" t="s">
        <v>239</v>
      </c>
      <c r="C318" s="47"/>
      <c r="D318" s="186"/>
      <c r="E318" s="114">
        <v>418</v>
      </c>
      <c r="F318" s="52">
        <v>390</v>
      </c>
      <c r="G318" s="43"/>
      <c r="H318" s="52">
        <v>412</v>
      </c>
      <c r="I318" s="21"/>
    </row>
    <row r="319" spans="1:9" s="231" customFormat="1">
      <c r="A319" s="784">
        <v>9</v>
      </c>
      <c r="B319" s="90" t="s">
        <v>260</v>
      </c>
      <c r="C319" s="47"/>
      <c r="D319" s="47"/>
      <c r="E319" s="114">
        <v>372</v>
      </c>
      <c r="F319" s="188"/>
      <c r="G319" s="43"/>
      <c r="H319" s="189">
        <v>849</v>
      </c>
      <c r="I319" s="21"/>
    </row>
    <row r="320" spans="1:9" s="231" customFormat="1">
      <c r="A320" s="124">
        <v>10</v>
      </c>
      <c r="B320" s="94" t="s">
        <v>62</v>
      </c>
      <c r="C320" s="94"/>
      <c r="D320" s="94"/>
      <c r="E320" s="159">
        <v>68384</v>
      </c>
      <c r="F320" s="61">
        <f>F311+F312+F313+F314+F315+F316+F317+F318</f>
        <v>67161</v>
      </c>
      <c r="G320" s="118"/>
      <c r="H320" s="61">
        <f>H311+H312+H313+H314+H315+H316+H317+H318+H319</f>
        <v>67251</v>
      </c>
      <c r="I320" s="183"/>
    </row>
    <row r="321" spans="1:9" s="231" customFormat="1">
      <c r="A321" s="179"/>
      <c r="B321" s="180"/>
      <c r="C321" s="180"/>
      <c r="D321" s="180"/>
      <c r="E321" s="180"/>
      <c r="F321" s="183"/>
      <c r="G321" s="21"/>
      <c r="H321" s="183"/>
      <c r="I321" s="183"/>
    </row>
    <row r="322" spans="1:9" s="231" customFormat="1">
      <c r="A322" s="148"/>
      <c r="B322" s="207"/>
      <c r="C322" s="207"/>
      <c r="D322" s="29"/>
      <c r="E322" s="29"/>
      <c r="F322" s="29"/>
      <c r="G322" s="29"/>
      <c r="H322" s="31" t="s">
        <v>27</v>
      </c>
      <c r="I322" s="2"/>
    </row>
    <row r="323" spans="1:9" s="231" customFormat="1">
      <c r="A323" s="190" t="s">
        <v>240</v>
      </c>
      <c r="B323" s="263"/>
      <c r="C323" s="861" t="s">
        <v>405</v>
      </c>
      <c r="D323" s="862"/>
      <c r="E323" s="862"/>
      <c r="F323" s="862"/>
      <c r="G323" s="862"/>
      <c r="H323" s="863"/>
      <c r="I323" s="210"/>
    </row>
    <row r="324" spans="1:9" s="231" customFormat="1" ht="39" thickBot="1">
      <c r="A324" s="110" t="s">
        <v>84</v>
      </c>
      <c r="B324" s="116"/>
      <c r="C324" s="35" t="s">
        <v>52</v>
      </c>
      <c r="D324" s="35" t="s">
        <v>53</v>
      </c>
      <c r="E324" s="37" t="s">
        <v>54</v>
      </c>
      <c r="F324" s="37" t="s">
        <v>55</v>
      </c>
      <c r="G324" s="37" t="s">
        <v>241</v>
      </c>
      <c r="H324" s="35" t="s">
        <v>121</v>
      </c>
      <c r="I324" s="29"/>
    </row>
    <row r="325" spans="1:9" s="231" customFormat="1" ht="13.5" thickBot="1">
      <c r="A325" s="784">
        <v>1</v>
      </c>
      <c r="B325" s="116" t="s">
        <v>242</v>
      </c>
      <c r="C325" s="193">
        <f t="shared" ref="C325:H325" si="0">SUM(C326:C329)</f>
        <v>14897</v>
      </c>
      <c r="D325" s="193">
        <f t="shared" si="0"/>
        <v>0</v>
      </c>
      <c r="E325" s="193">
        <v>0</v>
      </c>
      <c r="F325" s="193">
        <f t="shared" si="0"/>
        <v>0</v>
      </c>
      <c r="G325" s="193">
        <f>SUM(G326:G329)</f>
        <v>4812</v>
      </c>
      <c r="H325" s="193">
        <f t="shared" si="0"/>
        <v>0</v>
      </c>
      <c r="I325" s="207"/>
    </row>
    <row r="326" spans="1:9" s="231" customFormat="1">
      <c r="A326" s="784">
        <v>2</v>
      </c>
      <c r="B326" s="47" t="s">
        <v>243</v>
      </c>
      <c r="C326" s="169">
        <v>5000</v>
      </c>
      <c r="D326" s="169">
        <v>0</v>
      </c>
      <c r="E326" s="169">
        <v>0</v>
      </c>
      <c r="F326" s="169">
        <v>0</v>
      </c>
      <c r="G326" s="169">
        <v>1845</v>
      </c>
      <c r="H326" s="169">
        <v>0</v>
      </c>
      <c r="I326" s="207"/>
    </row>
    <row r="327" spans="1:9" s="231" customFormat="1">
      <c r="A327" s="784">
        <v>3</v>
      </c>
      <c r="B327" s="47" t="s">
        <v>244</v>
      </c>
      <c r="C327" s="99">
        <v>6231</v>
      </c>
      <c r="D327" s="99">
        <v>0</v>
      </c>
      <c r="E327" s="99">
        <v>0</v>
      </c>
      <c r="F327" s="99">
        <v>0</v>
      </c>
      <c r="G327" s="99">
        <v>1861</v>
      </c>
      <c r="H327" s="99">
        <v>0</v>
      </c>
      <c r="I327" s="207"/>
    </row>
    <row r="328" spans="1:9" s="231" customFormat="1">
      <c r="A328" s="784">
        <v>4</v>
      </c>
      <c r="B328" s="47" t="s">
        <v>245</v>
      </c>
      <c r="C328" s="99">
        <v>3666</v>
      </c>
      <c r="D328" s="99">
        <v>0</v>
      </c>
      <c r="E328" s="99">
        <v>0</v>
      </c>
      <c r="F328" s="99">
        <v>0</v>
      </c>
      <c r="G328" s="99">
        <v>1106</v>
      </c>
      <c r="H328" s="99">
        <v>0</v>
      </c>
      <c r="I328" s="207"/>
    </row>
    <row r="329" spans="1:9" s="231" customFormat="1">
      <c r="A329" s="785">
        <v>5</v>
      </c>
      <c r="B329" s="54" t="s">
        <v>246</v>
      </c>
      <c r="C329" s="100">
        <v>0</v>
      </c>
      <c r="D329" s="100">
        <v>0</v>
      </c>
      <c r="E329" s="100">
        <v>0</v>
      </c>
      <c r="F329" s="100">
        <v>0</v>
      </c>
      <c r="G329" s="100">
        <v>0</v>
      </c>
      <c r="H329" s="100">
        <v>0</v>
      </c>
      <c r="I329" s="207"/>
    </row>
    <row r="330" spans="1:9" s="231" customFormat="1">
      <c r="A330" s="784"/>
      <c r="B330" s="47"/>
      <c r="C330" s="864" t="s">
        <v>404</v>
      </c>
      <c r="D330" s="865"/>
      <c r="E330" s="865"/>
      <c r="F330" s="865"/>
      <c r="G330" s="865"/>
      <c r="H330" s="866"/>
      <c r="I330" s="207"/>
    </row>
    <row r="331" spans="1:9" s="231" customFormat="1" ht="39" thickBot="1">
      <c r="A331" s="110" t="s">
        <v>84</v>
      </c>
      <c r="B331" s="116"/>
      <c r="C331" s="35" t="s">
        <v>52</v>
      </c>
      <c r="D331" s="35" t="s">
        <v>53</v>
      </c>
      <c r="E331" s="37" t="s">
        <v>54</v>
      </c>
      <c r="F331" s="37" t="s">
        <v>55</v>
      </c>
      <c r="G331" s="37" t="s">
        <v>241</v>
      </c>
      <c r="H331" s="35" t="s">
        <v>121</v>
      </c>
      <c r="I331" s="207"/>
    </row>
    <row r="332" spans="1:9" s="231" customFormat="1" ht="13.5" thickBot="1">
      <c r="A332" s="784">
        <v>1</v>
      </c>
      <c r="B332" s="116" t="s">
        <v>242</v>
      </c>
      <c r="C332" s="193">
        <f t="shared" ref="C332:H332" si="1">SUM(C333:C336)</f>
        <v>14879</v>
      </c>
      <c r="D332" s="193">
        <f t="shared" si="1"/>
        <v>0</v>
      </c>
      <c r="E332" s="193">
        <v>0</v>
      </c>
      <c r="F332" s="193">
        <f t="shared" si="1"/>
        <v>0</v>
      </c>
      <c r="G332" s="193">
        <f>SUM(G333:G336)</f>
        <v>4840</v>
      </c>
      <c r="H332" s="193">
        <f t="shared" si="1"/>
        <v>0</v>
      </c>
      <c r="I332" s="207"/>
    </row>
    <row r="333" spans="1:9" s="231" customFormat="1">
      <c r="A333" s="784">
        <v>2</v>
      </c>
      <c r="B333" s="47" t="s">
        <v>243</v>
      </c>
      <c r="C333" s="169">
        <v>3823</v>
      </c>
      <c r="D333" s="169">
        <v>0</v>
      </c>
      <c r="E333" s="169">
        <v>0</v>
      </c>
      <c r="F333" s="169">
        <v>0</v>
      </c>
      <c r="G333" s="169">
        <v>1450</v>
      </c>
      <c r="H333" s="169">
        <v>0</v>
      </c>
      <c r="I333" s="207"/>
    </row>
    <row r="334" spans="1:9" s="231" customFormat="1">
      <c r="A334" s="784">
        <v>3</v>
      </c>
      <c r="B334" s="47" t="s">
        <v>244</v>
      </c>
      <c r="C334" s="99">
        <v>6320</v>
      </c>
      <c r="D334" s="99">
        <v>0</v>
      </c>
      <c r="E334" s="99">
        <v>0</v>
      </c>
      <c r="F334" s="99">
        <v>0</v>
      </c>
      <c r="G334" s="99">
        <v>1909</v>
      </c>
      <c r="H334" s="99">
        <v>0</v>
      </c>
      <c r="I334" s="207"/>
    </row>
    <row r="335" spans="1:9" s="231" customFormat="1">
      <c r="A335" s="784">
        <v>4</v>
      </c>
      <c r="B335" s="47" t="s">
        <v>245</v>
      </c>
      <c r="C335" s="99">
        <v>4736</v>
      </c>
      <c r="D335" s="99">
        <v>0</v>
      </c>
      <c r="E335" s="99">
        <v>0</v>
      </c>
      <c r="F335" s="99">
        <v>0</v>
      </c>
      <c r="G335" s="99">
        <v>1481</v>
      </c>
      <c r="H335" s="99">
        <v>0</v>
      </c>
      <c r="I335" s="207"/>
    </row>
    <row r="336" spans="1:9" s="231" customFormat="1">
      <c r="A336" s="785">
        <v>5</v>
      </c>
      <c r="B336" s="54" t="s">
        <v>246</v>
      </c>
      <c r="C336" s="100">
        <v>0</v>
      </c>
      <c r="D336" s="100">
        <v>0</v>
      </c>
      <c r="E336" s="100">
        <v>0</v>
      </c>
      <c r="F336" s="100">
        <v>0</v>
      </c>
      <c r="G336" s="100">
        <v>0</v>
      </c>
      <c r="H336" s="100">
        <v>0</v>
      </c>
      <c r="I336" s="207"/>
    </row>
    <row r="337" spans="1:9" s="231" customFormat="1">
      <c r="A337" s="23"/>
      <c r="B337" s="207"/>
      <c r="C337" s="207"/>
      <c r="D337" s="207"/>
      <c r="E337" s="207"/>
      <c r="F337" s="207"/>
      <c r="G337" s="207"/>
      <c r="H337" s="21"/>
      <c r="I337" s="21"/>
    </row>
    <row r="338" spans="1:9" s="231" customFormat="1" ht="12.75" customHeight="1">
      <c r="A338" s="23"/>
      <c r="B338" s="207"/>
      <c r="C338" s="207"/>
      <c r="D338" s="207"/>
      <c r="E338" s="207"/>
      <c r="F338" s="207"/>
      <c r="G338" s="207"/>
      <c r="H338" s="21"/>
      <c r="I338" s="21"/>
    </row>
    <row r="339" spans="1:9" s="231" customFormat="1">
      <c r="A339" s="23"/>
      <c r="B339" s="207"/>
      <c r="C339" s="207"/>
      <c r="D339" s="207"/>
      <c r="E339" s="207"/>
      <c r="F339" s="207"/>
      <c r="G339" s="207"/>
      <c r="H339" s="21"/>
      <c r="I339" s="21"/>
    </row>
    <row r="340" spans="1:9" s="231" customFormat="1">
      <c r="A340" s="23"/>
      <c r="B340" s="207"/>
      <c r="C340" s="207"/>
      <c r="D340" s="207"/>
      <c r="E340" s="207"/>
      <c r="F340" s="207"/>
      <c r="G340" s="207"/>
      <c r="H340" s="131" t="s">
        <v>27</v>
      </c>
      <c r="I340" s="21"/>
    </row>
    <row r="341" spans="1:9" s="231" customFormat="1">
      <c r="A341" s="197"/>
      <c r="B341" s="69"/>
      <c r="C341" s="69"/>
      <c r="D341" s="69"/>
      <c r="E341" s="856" t="s">
        <v>377</v>
      </c>
      <c r="F341" s="853" t="s">
        <v>402</v>
      </c>
      <c r="G341" s="207"/>
      <c r="H341" s="856" t="s">
        <v>403</v>
      </c>
      <c r="I341" s="21"/>
    </row>
    <row r="342" spans="1:9" s="231" customFormat="1">
      <c r="A342" s="144" t="s">
        <v>261</v>
      </c>
      <c r="B342" s="116"/>
      <c r="C342" s="116"/>
      <c r="D342" s="116"/>
      <c r="E342" s="859"/>
      <c r="F342" s="854"/>
      <c r="G342" s="207"/>
      <c r="H342" s="857"/>
      <c r="I342" s="21"/>
    </row>
    <row r="343" spans="1:9" s="231" customFormat="1">
      <c r="A343" s="119"/>
      <c r="B343" s="116"/>
      <c r="C343" s="116"/>
      <c r="D343" s="116"/>
      <c r="E343" s="859"/>
      <c r="F343" s="854"/>
      <c r="G343" s="207"/>
      <c r="H343" s="857"/>
      <c r="I343" s="21"/>
    </row>
    <row r="344" spans="1:9" s="231" customFormat="1">
      <c r="A344" s="198" t="s">
        <v>262</v>
      </c>
      <c r="B344" s="116"/>
      <c r="C344" s="116"/>
      <c r="D344" s="116"/>
      <c r="E344" s="859"/>
      <c r="F344" s="854"/>
      <c r="G344" s="207"/>
      <c r="H344" s="857"/>
      <c r="I344" s="21"/>
    </row>
    <row r="345" spans="1:9" s="231" customFormat="1">
      <c r="A345" s="198" t="s">
        <v>330</v>
      </c>
      <c r="B345" s="116"/>
      <c r="C345" s="116"/>
      <c r="D345" s="116"/>
      <c r="E345" s="860"/>
      <c r="F345" s="855"/>
      <c r="G345" s="207"/>
      <c r="H345" s="858"/>
      <c r="I345" s="21"/>
    </row>
    <row r="346" spans="1:9" s="231" customFormat="1">
      <c r="A346" s="119"/>
      <c r="B346" s="47"/>
      <c r="C346" s="116"/>
      <c r="D346" s="116"/>
      <c r="E346" s="178"/>
      <c r="F346" s="146"/>
      <c r="G346" s="23"/>
      <c r="H346" s="264"/>
      <c r="I346" s="21"/>
    </row>
    <row r="347" spans="1:9" s="231" customFormat="1">
      <c r="A347" s="784">
        <v>1</v>
      </c>
      <c r="B347" s="47" t="s">
        <v>263</v>
      </c>
      <c r="C347" s="116"/>
      <c r="D347" s="116"/>
      <c r="E347" s="354">
        <v>21352</v>
      </c>
      <c r="F347" s="265">
        <v>21352</v>
      </c>
      <c r="G347" s="43"/>
      <c r="H347" s="126">
        <v>21835</v>
      </c>
      <c r="I347" s="86"/>
    </row>
    <row r="348" spans="1:9" s="231" customFormat="1">
      <c r="A348" s="784"/>
      <c r="B348" s="47"/>
      <c r="C348" s="116"/>
      <c r="D348" s="116"/>
      <c r="E348" s="355"/>
      <c r="F348" s="188"/>
      <c r="G348" s="43"/>
      <c r="H348" s="188"/>
      <c r="I348" s="86"/>
    </row>
    <row r="349" spans="1:9" s="231" customFormat="1">
      <c r="A349" s="108" t="s">
        <v>378</v>
      </c>
      <c r="B349" s="47"/>
      <c r="C349" s="116"/>
      <c r="D349" s="116"/>
      <c r="E349" s="355"/>
      <c r="F349" s="188"/>
      <c r="G349" s="43"/>
      <c r="H349" s="188"/>
      <c r="I349" s="86"/>
    </row>
    <row r="350" spans="1:9" s="231" customFormat="1">
      <c r="A350" s="784"/>
      <c r="B350" s="47"/>
      <c r="C350" s="116"/>
      <c r="D350" s="116"/>
      <c r="E350" s="355"/>
      <c r="F350" s="188"/>
      <c r="G350" s="43"/>
      <c r="H350" s="188"/>
      <c r="I350" s="86"/>
    </row>
    <row r="351" spans="1:9" s="231" customFormat="1">
      <c r="A351" s="198" t="s">
        <v>379</v>
      </c>
      <c r="B351" s="47"/>
      <c r="C351" s="116"/>
      <c r="D351" s="116"/>
      <c r="E351" s="355"/>
      <c r="F351" s="188"/>
      <c r="G351" s="43"/>
      <c r="H351" s="188"/>
      <c r="I351" s="86"/>
    </row>
    <row r="352" spans="1:9" s="231" customFormat="1">
      <c r="A352" s="784"/>
      <c r="B352" s="47"/>
      <c r="C352" s="116"/>
      <c r="D352" s="116"/>
      <c r="E352" s="355"/>
      <c r="F352" s="188"/>
      <c r="G352" s="43"/>
      <c r="H352" s="188"/>
      <c r="I352" s="86"/>
    </row>
    <row r="353" spans="1:9" s="231" customFormat="1">
      <c r="A353" s="784">
        <v>2</v>
      </c>
      <c r="B353" s="47" t="s">
        <v>52</v>
      </c>
      <c r="C353" s="116"/>
      <c r="D353" s="116"/>
      <c r="E353" s="74">
        <v>0</v>
      </c>
      <c r="F353" s="265">
        <v>393</v>
      </c>
      <c r="G353" s="43"/>
      <c r="H353" s="126">
        <v>0</v>
      </c>
      <c r="I353" s="86"/>
    </row>
    <row r="354" spans="1:9" s="231" customFormat="1">
      <c r="A354" s="784">
        <v>3</v>
      </c>
      <c r="B354" s="47" t="s">
        <v>53</v>
      </c>
      <c r="C354" s="116"/>
      <c r="D354" s="116"/>
      <c r="E354" s="49">
        <v>0</v>
      </c>
      <c r="F354" s="265">
        <v>0</v>
      </c>
      <c r="G354" s="43"/>
      <c r="H354" s="126">
        <v>0</v>
      </c>
      <c r="I354" s="86"/>
    </row>
    <row r="355" spans="1:9" s="231" customFormat="1">
      <c r="A355" s="784">
        <v>4</v>
      </c>
      <c r="B355" s="47" t="s">
        <v>54</v>
      </c>
      <c r="C355" s="116"/>
      <c r="D355" s="116"/>
      <c r="E355" s="49">
        <v>1066</v>
      </c>
      <c r="F355" s="265">
        <v>1066</v>
      </c>
      <c r="G355" s="43"/>
      <c r="H355" s="126">
        <v>1066</v>
      </c>
      <c r="I355" s="86"/>
    </row>
    <row r="356" spans="1:9" s="231" customFormat="1">
      <c r="A356" s="784">
        <v>5</v>
      </c>
      <c r="B356" s="47" t="s">
        <v>55</v>
      </c>
      <c r="C356" s="116"/>
      <c r="D356" s="116"/>
      <c r="E356" s="49">
        <v>200</v>
      </c>
      <c r="F356" s="265">
        <v>889</v>
      </c>
      <c r="G356" s="43"/>
      <c r="H356" s="126">
        <v>350</v>
      </c>
      <c r="I356" s="86"/>
    </row>
    <row r="357" spans="1:9" s="231" customFormat="1">
      <c r="A357" s="784">
        <v>6</v>
      </c>
      <c r="B357" s="47" t="s">
        <v>56</v>
      </c>
      <c r="C357" s="116"/>
      <c r="D357" s="116"/>
      <c r="E357" s="49">
        <v>0</v>
      </c>
      <c r="F357" s="265">
        <v>95</v>
      </c>
      <c r="G357" s="43"/>
      <c r="H357" s="126">
        <v>0</v>
      </c>
      <c r="I357" s="86"/>
    </row>
    <row r="358" spans="1:9" s="231" customFormat="1">
      <c r="A358" s="784">
        <v>7</v>
      </c>
      <c r="B358" s="47" t="s">
        <v>57</v>
      </c>
      <c r="C358" s="116"/>
      <c r="D358" s="116"/>
      <c r="E358" s="49">
        <v>0</v>
      </c>
      <c r="F358" s="265">
        <v>-186</v>
      </c>
      <c r="G358" s="43"/>
      <c r="H358" s="126">
        <v>50</v>
      </c>
      <c r="I358" s="86"/>
    </row>
    <row r="359" spans="1:9" s="231" customFormat="1">
      <c r="A359" s="784">
        <v>8</v>
      </c>
      <c r="B359" s="47" t="s">
        <v>58</v>
      </c>
      <c r="C359" s="116"/>
      <c r="D359" s="116"/>
      <c r="E359" s="49">
        <v>0</v>
      </c>
      <c r="F359" s="265">
        <v>0</v>
      </c>
      <c r="G359" s="43"/>
      <c r="H359" s="126">
        <v>0</v>
      </c>
      <c r="I359" s="86"/>
    </row>
    <row r="360" spans="1:9" s="231" customFormat="1">
      <c r="A360" s="784">
        <v>9</v>
      </c>
      <c r="B360" s="47" t="s">
        <v>59</v>
      </c>
      <c r="C360" s="116"/>
      <c r="D360" s="116"/>
      <c r="E360" s="49">
        <v>0</v>
      </c>
      <c r="F360" s="265">
        <v>381</v>
      </c>
      <c r="G360" s="43"/>
      <c r="H360" s="126">
        <v>0</v>
      </c>
      <c r="I360" s="86"/>
    </row>
    <row r="361" spans="1:9" s="231" customFormat="1">
      <c r="A361" s="784">
        <v>10</v>
      </c>
      <c r="B361" s="47" t="s">
        <v>60</v>
      </c>
      <c r="C361" s="116"/>
      <c r="D361" s="116"/>
      <c r="E361" s="49">
        <v>0</v>
      </c>
      <c r="F361" s="265">
        <v>0</v>
      </c>
      <c r="G361" s="43"/>
      <c r="H361" s="126">
        <v>0</v>
      </c>
      <c r="I361" s="86"/>
    </row>
    <row r="362" spans="1:9" s="231" customFormat="1">
      <c r="A362" s="784">
        <v>11</v>
      </c>
      <c r="B362" s="47" t="s">
        <v>61</v>
      </c>
      <c r="C362" s="116"/>
      <c r="D362" s="116"/>
      <c r="E362" s="49">
        <v>0</v>
      </c>
      <c r="F362" s="265">
        <v>0</v>
      </c>
      <c r="G362" s="43"/>
      <c r="H362" s="126">
        <v>0</v>
      </c>
      <c r="I362" s="86"/>
    </row>
    <row r="363" spans="1:9" s="231" customFormat="1">
      <c r="A363" s="785">
        <v>12</v>
      </c>
      <c r="B363" s="54" t="s">
        <v>380</v>
      </c>
      <c r="C363" s="94"/>
      <c r="D363" s="94"/>
      <c r="E363" s="135">
        <v>1266</v>
      </c>
      <c r="F363" s="61">
        <f>SUM(F353:F362)</f>
        <v>2638</v>
      </c>
      <c r="G363" s="43"/>
      <c r="H363" s="61">
        <f>SUM(H353:H362)</f>
        <v>1466</v>
      </c>
      <c r="I363" s="86"/>
    </row>
    <row r="364" spans="1:9" s="231" customFormat="1">
      <c r="A364" s="199"/>
      <c r="B364" s="15"/>
      <c r="C364" s="15"/>
      <c r="D364" s="15"/>
      <c r="E364" s="15"/>
      <c r="F364" s="15"/>
      <c r="G364" s="15"/>
      <c r="H364" s="15"/>
      <c r="I364" s="86"/>
    </row>
    <row r="365" spans="1:9" s="231" customFormat="1">
      <c r="A365" s="199"/>
      <c r="B365" s="15"/>
      <c r="C365" s="15"/>
      <c r="D365" s="15"/>
      <c r="E365" s="15"/>
      <c r="F365" s="15"/>
      <c r="G365" s="15"/>
      <c r="H365" s="86"/>
      <c r="I365" s="86"/>
    </row>
    <row r="366" spans="1:9" s="231" customFormat="1">
      <c r="A366" s="199"/>
      <c r="B366" s="15"/>
      <c r="C366" s="15"/>
      <c r="D366" s="15"/>
      <c r="E366" s="15"/>
      <c r="F366" s="15"/>
      <c r="G366" s="15"/>
      <c r="H366" s="86"/>
      <c r="I366" s="86"/>
    </row>
    <row r="367" spans="1:9">
      <c r="A367" s="8"/>
      <c r="B367" s="8"/>
      <c r="C367" s="8"/>
      <c r="D367" s="8"/>
      <c r="E367" s="8"/>
      <c r="F367" s="8"/>
      <c r="G367" s="8"/>
      <c r="H367" s="8"/>
      <c r="I367" s="8"/>
    </row>
    <row r="368" spans="1:9">
      <c r="A368" s="8"/>
      <c r="B368" s="8"/>
      <c r="C368" s="8"/>
      <c r="D368" s="8"/>
      <c r="E368" s="8"/>
      <c r="F368" s="8"/>
      <c r="G368" s="8"/>
      <c r="H368" s="8"/>
      <c r="I368" s="8"/>
    </row>
    <row r="369" spans="1:9">
      <c r="A369" s="8"/>
      <c r="B369" s="8"/>
      <c r="C369" s="8"/>
      <c r="D369" s="8"/>
      <c r="E369" s="8"/>
      <c r="F369" s="8"/>
      <c r="G369" s="8"/>
      <c r="H369" s="8"/>
      <c r="I369" s="8"/>
    </row>
    <row r="370" spans="1:9">
      <c r="A370" s="8"/>
      <c r="B370" s="8"/>
      <c r="C370" s="8"/>
      <c r="D370" s="8"/>
      <c r="E370" s="8"/>
      <c r="F370" s="8"/>
      <c r="G370" s="8"/>
      <c r="H370" s="8"/>
      <c r="I370" s="8"/>
    </row>
    <row r="371" spans="1:9">
      <c r="A371" s="8"/>
      <c r="B371" s="8"/>
      <c r="C371" s="8"/>
      <c r="D371" s="8"/>
      <c r="E371" s="8"/>
      <c r="F371" s="8"/>
      <c r="G371" s="8"/>
      <c r="H371" s="8"/>
      <c r="I371" s="8"/>
    </row>
    <row r="372" spans="1:9">
      <c r="A372" s="8"/>
      <c r="B372" s="8"/>
      <c r="C372" s="8"/>
      <c r="D372" s="8"/>
      <c r="E372" s="8"/>
      <c r="F372" s="8"/>
      <c r="G372" s="8"/>
      <c r="H372" s="8"/>
      <c r="I372" s="8"/>
    </row>
    <row r="373" spans="1:9">
      <c r="A373" s="8"/>
      <c r="B373" s="8"/>
      <c r="C373" s="8"/>
      <c r="D373" s="8"/>
      <c r="E373" s="8"/>
      <c r="F373" s="8"/>
      <c r="G373" s="8"/>
      <c r="H373" s="8"/>
      <c r="I373" s="8"/>
    </row>
    <row r="374" spans="1:9">
      <c r="A374" s="8"/>
      <c r="B374" s="8"/>
      <c r="C374" s="8"/>
      <c r="D374" s="8"/>
      <c r="E374" s="8"/>
      <c r="F374" s="8"/>
      <c r="G374" s="8"/>
      <c r="H374" s="8"/>
      <c r="I374" s="8"/>
    </row>
    <row r="375" spans="1:9">
      <c r="A375" s="8"/>
      <c r="B375" s="8"/>
      <c r="C375" s="8"/>
      <c r="D375" s="8"/>
      <c r="E375" s="8"/>
      <c r="F375" s="8"/>
      <c r="G375" s="8"/>
      <c r="H375" s="8"/>
      <c r="I375" s="8"/>
    </row>
    <row r="376" spans="1:9">
      <c r="A376" s="8"/>
      <c r="B376" s="8"/>
      <c r="C376" s="8"/>
      <c r="D376" s="8"/>
      <c r="E376" s="8"/>
      <c r="F376" s="8"/>
      <c r="G376" s="8"/>
      <c r="H376" s="8"/>
      <c r="I376" s="8"/>
    </row>
    <row r="377" spans="1:9">
      <c r="A377" s="8"/>
      <c r="B377" s="8"/>
      <c r="C377" s="8"/>
      <c r="D377" s="8"/>
      <c r="E377" s="8"/>
      <c r="F377" s="8"/>
      <c r="G377" s="8"/>
      <c r="H377" s="8"/>
      <c r="I377" s="8"/>
    </row>
    <row r="378" spans="1:9">
      <c r="A378" s="8"/>
      <c r="B378" s="8"/>
      <c r="C378" s="8"/>
      <c r="D378" s="8"/>
      <c r="E378" s="8"/>
      <c r="F378" s="8"/>
      <c r="G378" s="8"/>
      <c r="H378" s="8"/>
      <c r="I378" s="8"/>
    </row>
    <row r="379" spans="1:9">
      <c r="A379" s="8"/>
      <c r="B379" s="8"/>
      <c r="C379" s="8"/>
      <c r="D379" s="8"/>
      <c r="E379" s="8"/>
      <c r="F379" s="8"/>
      <c r="G379" s="8"/>
      <c r="H379" s="8"/>
      <c r="I379" s="8"/>
    </row>
    <row r="380" spans="1:9">
      <c r="A380" s="8"/>
      <c r="B380" s="8"/>
      <c r="C380" s="8"/>
      <c r="D380" s="8"/>
      <c r="E380" s="8"/>
      <c r="F380" s="8"/>
      <c r="G380" s="8"/>
      <c r="H380" s="8"/>
      <c r="I380" s="8"/>
    </row>
    <row r="381" spans="1:9">
      <c r="A381" s="8"/>
      <c r="B381" s="8"/>
      <c r="C381" s="8"/>
      <c r="D381" s="8"/>
      <c r="E381" s="8"/>
      <c r="F381" s="8"/>
      <c r="G381" s="8"/>
      <c r="H381" s="8"/>
      <c r="I381" s="8"/>
    </row>
    <row r="382" spans="1:9">
      <c r="A382" s="8"/>
      <c r="B382" s="8"/>
      <c r="C382" s="8"/>
      <c r="D382" s="8"/>
      <c r="E382" s="8"/>
      <c r="F382" s="8"/>
      <c r="G382" s="8"/>
      <c r="H382" s="8"/>
      <c r="I382" s="8"/>
    </row>
    <row r="383" spans="1:9">
      <c r="A383" s="8"/>
      <c r="B383" s="8"/>
      <c r="C383" s="8"/>
      <c r="D383" s="8"/>
      <c r="E383" s="8"/>
      <c r="F383" s="8"/>
      <c r="G383" s="8"/>
      <c r="H383" s="8"/>
      <c r="I383" s="8"/>
    </row>
    <row r="384" spans="1:9">
      <c r="A384" s="8"/>
      <c r="B384" s="8"/>
      <c r="C384" s="8"/>
      <c r="D384" s="8"/>
      <c r="E384" s="8"/>
      <c r="F384" s="8"/>
      <c r="G384" s="8"/>
      <c r="H384" s="8"/>
      <c r="I384" s="8"/>
    </row>
    <row r="385" spans="1:9">
      <c r="A385" s="8"/>
      <c r="B385" s="8"/>
      <c r="C385" s="8"/>
      <c r="D385" s="8"/>
      <c r="E385" s="8"/>
      <c r="F385" s="8"/>
      <c r="G385" s="8"/>
      <c r="H385" s="8"/>
      <c r="I385" s="8"/>
    </row>
    <row r="386" spans="1:9">
      <c r="A386" s="8"/>
      <c r="B386" s="8"/>
      <c r="C386" s="8"/>
      <c r="D386" s="8"/>
      <c r="E386" s="8"/>
      <c r="F386" s="8"/>
      <c r="G386" s="8"/>
      <c r="H386" s="8"/>
      <c r="I386" s="8"/>
    </row>
    <row r="387" spans="1:9">
      <c r="A387" s="8"/>
      <c r="B387" s="8"/>
      <c r="C387" s="8"/>
      <c r="D387" s="8"/>
      <c r="E387" s="8"/>
      <c r="F387" s="8"/>
      <c r="G387" s="8"/>
      <c r="H387" s="8"/>
      <c r="I387" s="8"/>
    </row>
    <row r="388" spans="1:9">
      <c r="A388" s="8"/>
      <c r="B388" s="8"/>
      <c r="C388" s="8"/>
      <c r="D388" s="8"/>
      <c r="E388" s="8"/>
      <c r="F388" s="8"/>
      <c r="G388" s="8"/>
      <c r="H388" s="8"/>
      <c r="I388" s="8"/>
    </row>
    <row r="389" spans="1:9">
      <c r="A389" s="8"/>
      <c r="B389" s="8"/>
      <c r="C389" s="8"/>
      <c r="D389" s="8"/>
      <c r="E389" s="8"/>
      <c r="F389" s="8"/>
      <c r="G389" s="8"/>
      <c r="H389" s="8"/>
      <c r="I389" s="8"/>
    </row>
    <row r="390" spans="1:9">
      <c r="A390" s="8"/>
      <c r="B390" s="8"/>
      <c r="C390" s="8"/>
      <c r="D390" s="8"/>
      <c r="E390" s="8"/>
      <c r="F390" s="8"/>
      <c r="G390" s="8"/>
      <c r="H390" s="8"/>
      <c r="I390" s="8"/>
    </row>
    <row r="391" spans="1:9">
      <c r="A391" s="8"/>
      <c r="B391" s="8"/>
      <c r="C391" s="8"/>
      <c r="D391" s="8"/>
      <c r="E391" s="8"/>
      <c r="F391" s="8"/>
      <c r="G391" s="8"/>
      <c r="H391" s="8"/>
      <c r="I391" s="8"/>
    </row>
    <row r="392" spans="1:9">
      <c r="A392" s="8"/>
      <c r="B392" s="8"/>
      <c r="C392" s="8"/>
      <c r="D392" s="8"/>
      <c r="E392" s="8"/>
      <c r="F392" s="8"/>
      <c r="G392" s="8"/>
      <c r="H392" s="8"/>
      <c r="I392" s="8"/>
    </row>
    <row r="393" spans="1:9">
      <c r="A393" s="8"/>
      <c r="B393" s="8"/>
      <c r="C393" s="8"/>
      <c r="D393" s="8"/>
      <c r="E393" s="8"/>
      <c r="F393" s="8"/>
      <c r="G393" s="8"/>
      <c r="H393" s="8"/>
      <c r="I393" s="8"/>
    </row>
    <row r="394" spans="1:9">
      <c r="A394" s="8"/>
      <c r="B394" s="8"/>
      <c r="C394" s="8"/>
      <c r="D394" s="8"/>
      <c r="E394" s="8"/>
      <c r="F394" s="8"/>
      <c r="G394" s="8"/>
      <c r="H394" s="8"/>
      <c r="I394" s="8"/>
    </row>
    <row r="395" spans="1:9">
      <c r="A395" s="8"/>
      <c r="B395" s="8"/>
      <c r="C395" s="8"/>
      <c r="D395" s="8"/>
      <c r="E395" s="8"/>
      <c r="F395" s="8"/>
      <c r="G395" s="8"/>
      <c r="H395" s="8"/>
      <c r="I395" s="8"/>
    </row>
    <row r="396" spans="1:9">
      <c r="A396" s="8"/>
      <c r="B396" s="8"/>
      <c r="C396" s="8"/>
      <c r="D396" s="8"/>
      <c r="E396" s="8"/>
      <c r="F396" s="8"/>
      <c r="G396" s="8"/>
      <c r="H396" s="8"/>
      <c r="I396" s="8"/>
    </row>
    <row r="397" spans="1:9">
      <c r="A397" s="8"/>
      <c r="B397" s="8"/>
      <c r="C397" s="8"/>
      <c r="D397" s="8"/>
      <c r="E397" s="8"/>
      <c r="F397" s="8"/>
      <c r="G397" s="8"/>
      <c r="H397" s="8"/>
      <c r="I397" s="8"/>
    </row>
    <row r="398" spans="1:9">
      <c r="A398" s="8"/>
      <c r="B398" s="8"/>
      <c r="C398" s="8"/>
      <c r="D398" s="8"/>
      <c r="E398" s="8"/>
      <c r="F398" s="8"/>
      <c r="G398" s="8"/>
      <c r="H398" s="8"/>
      <c r="I398" s="8"/>
    </row>
    <row r="399" spans="1:9">
      <c r="A399" s="8"/>
      <c r="B399" s="8"/>
      <c r="C399" s="8"/>
      <c r="D399" s="8"/>
      <c r="E399" s="8"/>
      <c r="F399" s="8"/>
      <c r="G399" s="8"/>
      <c r="H399" s="8"/>
      <c r="I399" s="8"/>
    </row>
    <row r="400" spans="1:9">
      <c r="A400" s="8"/>
      <c r="B400" s="8"/>
      <c r="C400" s="8"/>
      <c r="D400" s="8"/>
      <c r="E400" s="8"/>
      <c r="F400" s="8"/>
      <c r="G400" s="8"/>
      <c r="H400" s="8"/>
      <c r="I400" s="8"/>
    </row>
    <row r="401" spans="1:9">
      <c r="A401" s="8"/>
      <c r="B401" s="8"/>
      <c r="C401" s="8"/>
      <c r="D401" s="8"/>
      <c r="E401" s="8"/>
      <c r="F401" s="8"/>
      <c r="G401" s="8"/>
      <c r="H401" s="8"/>
      <c r="I401" s="8"/>
    </row>
    <row r="402" spans="1:9">
      <c r="A402" s="8"/>
      <c r="B402" s="8"/>
      <c r="C402" s="8"/>
      <c r="D402" s="8"/>
      <c r="E402" s="8"/>
      <c r="F402" s="8"/>
      <c r="G402" s="8"/>
      <c r="H402" s="8"/>
      <c r="I402" s="8"/>
    </row>
    <row r="403" spans="1:9">
      <c r="A403" s="8"/>
      <c r="B403" s="8"/>
      <c r="C403" s="8"/>
      <c r="D403" s="8"/>
      <c r="E403" s="8"/>
      <c r="F403" s="8"/>
      <c r="G403" s="8"/>
      <c r="H403" s="8"/>
      <c r="I403" s="8"/>
    </row>
    <row r="404" spans="1:9">
      <c r="A404" s="8"/>
      <c r="B404" s="8"/>
      <c r="C404" s="8"/>
      <c r="D404" s="8"/>
      <c r="E404" s="8"/>
      <c r="F404" s="8"/>
      <c r="G404" s="8"/>
      <c r="H404" s="8"/>
      <c r="I404" s="8"/>
    </row>
    <row r="405" spans="1:9">
      <c r="A405" s="8"/>
      <c r="B405" s="8"/>
      <c r="C405" s="8"/>
      <c r="D405" s="8"/>
      <c r="E405" s="8"/>
      <c r="F405" s="8"/>
      <c r="G405" s="8"/>
      <c r="H405" s="8"/>
      <c r="I405" s="8"/>
    </row>
    <row r="406" spans="1:9">
      <c r="A406" s="8"/>
      <c r="B406" s="8"/>
      <c r="C406" s="8"/>
      <c r="D406" s="8"/>
      <c r="E406" s="8"/>
      <c r="F406" s="8"/>
      <c r="G406" s="8"/>
      <c r="H406" s="8"/>
      <c r="I406" s="8"/>
    </row>
    <row r="407" spans="1:9">
      <c r="A407" s="8"/>
      <c r="B407" s="8"/>
      <c r="C407" s="8"/>
      <c r="D407" s="8"/>
      <c r="E407" s="8"/>
      <c r="F407" s="8"/>
      <c r="G407" s="8"/>
      <c r="H407" s="8"/>
      <c r="I407" s="8"/>
    </row>
    <row r="408" spans="1:9">
      <c r="A408" s="8"/>
      <c r="B408" s="8"/>
      <c r="C408" s="8"/>
      <c r="D408" s="8"/>
      <c r="E408" s="8"/>
      <c r="F408" s="8"/>
      <c r="G408" s="8"/>
      <c r="H408" s="8"/>
      <c r="I408" s="8"/>
    </row>
    <row r="409" spans="1:9">
      <c r="A409" s="8"/>
      <c r="B409" s="8"/>
      <c r="C409" s="8"/>
      <c r="D409" s="8"/>
      <c r="E409" s="8"/>
      <c r="F409" s="8"/>
      <c r="G409" s="8"/>
      <c r="H409" s="8"/>
      <c r="I409" s="8"/>
    </row>
    <row r="410" spans="1:9">
      <c r="A410" s="8"/>
      <c r="B410" s="8"/>
      <c r="C410" s="8"/>
      <c r="D410" s="8"/>
      <c r="E410" s="8"/>
      <c r="F410" s="8"/>
      <c r="G410" s="8"/>
      <c r="H410" s="8"/>
      <c r="I410" s="8"/>
    </row>
    <row r="411" spans="1:9">
      <c r="A411" s="8"/>
      <c r="B411" s="8"/>
      <c r="C411" s="8"/>
      <c r="D411" s="8"/>
      <c r="E411" s="8"/>
      <c r="F411" s="8"/>
      <c r="G411" s="8"/>
      <c r="H411" s="8"/>
      <c r="I411" s="8"/>
    </row>
    <row r="412" spans="1:9">
      <c r="A412" s="8"/>
      <c r="B412" s="8"/>
      <c r="C412" s="8"/>
      <c r="D412" s="8"/>
      <c r="E412" s="8"/>
      <c r="F412" s="8"/>
      <c r="G412" s="8"/>
      <c r="H412" s="8"/>
      <c r="I412" s="8"/>
    </row>
    <row r="413" spans="1:9">
      <c r="A413" s="8"/>
      <c r="B413" s="8"/>
      <c r="C413" s="8"/>
      <c r="D413" s="8"/>
      <c r="E413" s="8"/>
      <c r="F413" s="8"/>
      <c r="G413" s="8"/>
      <c r="H413" s="8"/>
      <c r="I413" s="8"/>
    </row>
  </sheetData>
  <mergeCells count="59">
    <mergeCell ref="C19:F19"/>
    <mergeCell ref="B3:B4"/>
    <mergeCell ref="C3:D4"/>
    <mergeCell ref="A5:B5"/>
    <mergeCell ref="D6:H6"/>
    <mergeCell ref="A9:I9"/>
    <mergeCell ref="D10:F10"/>
    <mergeCell ref="C14:F14"/>
    <mergeCell ref="C15:F15"/>
    <mergeCell ref="C16:F16"/>
    <mergeCell ref="C17:F17"/>
    <mergeCell ref="C18:F18"/>
    <mergeCell ref="A23:D24"/>
    <mergeCell ref="E23:E24"/>
    <mergeCell ref="F23:F24"/>
    <mergeCell ref="H23:H24"/>
    <mergeCell ref="A25:A27"/>
    <mergeCell ref="B25:D27"/>
    <mergeCell ref="E25:E27"/>
    <mergeCell ref="F25:F27"/>
    <mergeCell ref="H25:H27"/>
    <mergeCell ref="A40:D41"/>
    <mergeCell ref="E40:E41"/>
    <mergeCell ref="F40:F41"/>
    <mergeCell ref="H40:H41"/>
    <mergeCell ref="E66:E70"/>
    <mergeCell ref="F66:F70"/>
    <mergeCell ref="G66:G70"/>
    <mergeCell ref="H66:H70"/>
    <mergeCell ref="I66:I70"/>
    <mergeCell ref="F91:F95"/>
    <mergeCell ref="H91:H95"/>
    <mergeCell ref="E193:E197"/>
    <mergeCell ref="F193:F197"/>
    <mergeCell ref="H193:H197"/>
    <mergeCell ref="E153:E157"/>
    <mergeCell ref="F153:F157"/>
    <mergeCell ref="H153:H157"/>
    <mergeCell ref="E91:E95"/>
    <mergeCell ref="E221:E225"/>
    <mergeCell ref="F221:F225"/>
    <mergeCell ref="H221:H225"/>
    <mergeCell ref="E234:E238"/>
    <mergeCell ref="F234:F238"/>
    <mergeCell ref="H234:H238"/>
    <mergeCell ref="E261:E265"/>
    <mergeCell ref="F261:F265"/>
    <mergeCell ref="H261:H265"/>
    <mergeCell ref="E280:E284"/>
    <mergeCell ref="F280:F284"/>
    <mergeCell ref="H280:H284"/>
    <mergeCell ref="E341:E345"/>
    <mergeCell ref="F341:F345"/>
    <mergeCell ref="H341:H345"/>
    <mergeCell ref="E305:E309"/>
    <mergeCell ref="F305:F309"/>
    <mergeCell ref="H305:H309"/>
    <mergeCell ref="C323:H323"/>
    <mergeCell ref="C330:H330"/>
  </mergeCells>
  <phoneticPr fontId="10" type="noConversion"/>
  <conditionalFormatting sqref="F71:F76 F286:F301 F311:F318 F80:F88 F96:F97 F103:F104 F106 F110:F114 F118:F124 F128:F134 F138:F142 F146:F149 F159:F162 F166:F168 F171:F172 F175:F177 F183:F190 F199:F200 F204:F206 F210:F213 F217:F218 F226:F230 F240:F241 F245:F246 F250:F253 F256 F267:F276 H250">
    <cfRule type="expression" dxfId="36" priority="273" stopIfTrue="1">
      <formula>ISBLANK(F71)</formula>
    </cfRule>
    <cfRule type="expression" dxfId="35" priority="274" stopIfTrue="1">
      <formula>IF(AND(OR(F71-E71&gt;500,F71-E71&lt;-500),OR(#REF!&gt;0.1,#REF!&lt;-0.1)),TRUE,FALSE)</formula>
    </cfRule>
  </conditionalFormatting>
  <dataValidations count="1">
    <dataValidation type="list" errorStyle="information" allowBlank="1" showInputMessage="1" showErrorMessage="1" errorTitle="POBE 2006" error="Please select from the drop-down menu..." prompt="Please select your Authority from the drop-down menu..." sqref="C3:D4">
      <formula1>#REF!</formula1>
    </dataValidation>
  </dataValidations>
  <hyperlinks>
    <hyperlink ref="F7" r:id="rId1" display="lgfstats@scotland.gsi.gov.uk"/>
    <hyperlink ref="D6" r:id="rId2"/>
    <hyperlink ref="D10" r:id="rId3" display="^lgfstats@gov.scot"/>
    <hyperlink ref="B14" location="'POBE 2017'!A28" display="PART 1 - Expenditure"/>
    <hyperlink ref="C19:F19" location="'POBE 2017'!A323" display="Sheet 10. - PUBLIC PRIVATE PARTNERSHIPS/PRIVATE FINANCE INITIATIVES"/>
    <hyperlink ref="B15" location="'POBE 2017'!A40" display="PART 2 - Income and Balances"/>
    <hyperlink ref="B16" location="'POBE 2017'!A66" display="Sheet 1. EDUCATION"/>
    <hyperlink ref="B17" location="'POBE 2017'!A91" display="Sheet 2. SOCIAL WORK"/>
    <hyperlink ref="B18" location="'POBE 2017'!A153" display="Sheet 3. ROADS AND TRANSPORT"/>
    <hyperlink ref="B19" location="'POBE 2017'!A193" display="Sheet 4. ENVIRONMENTAL SERVICES"/>
    <hyperlink ref="C14:F14" location="'POBE 2017'!A221" display="Sheet 5. PLANNING AND DEVELOPMENT SERVICES"/>
    <hyperlink ref="C15:F15" location="'POBE 2017'!A234" display="Sheet 6. CULTURAL AND RELATED SERVICES"/>
    <hyperlink ref="C16:F16" location="'POBE 2017'!A261" display="Sheet 7. HOUSING"/>
    <hyperlink ref="C17:F17" location="'POBE 2017'!A280" display="Sheet 8. CENTRAL SERVICES"/>
    <hyperlink ref="C18:F18" location="'POBE 2017'!A305" display="Sheet 9. OTHER EXPENDITURE"/>
  </hyperlinks>
  <pageMargins left="0.75" right="0.75" top="1" bottom="1" header="0.5" footer="0.5"/>
  <pageSetup paperSize="9" orientation="portrait" r:id="rId4"/>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AI413"/>
  <sheetViews>
    <sheetView topLeftCell="A181" zoomScale="80" zoomScaleNormal="80" workbookViewId="0">
      <selection activeCell="G240" sqref="G240"/>
    </sheetView>
  </sheetViews>
  <sheetFormatPr defaultColWidth="9.140625" defaultRowHeight="12.75"/>
  <cols>
    <col min="1" max="1" width="10.5703125" style="1" customWidth="1"/>
    <col min="2" max="2" width="43" style="1" customWidth="1"/>
    <col min="3" max="3" width="24.5703125" style="1" customWidth="1"/>
    <col min="4" max="4" width="14.7109375" style="1" customWidth="1"/>
    <col min="5" max="5" width="21.5703125" style="1" customWidth="1"/>
    <col min="6" max="6" width="19.140625" style="1" customWidth="1"/>
    <col min="7" max="7" width="17.42578125" style="1" customWidth="1"/>
    <col min="8" max="8" width="19.28515625" style="1" customWidth="1"/>
    <col min="9" max="9" width="17.85546875" style="1" customWidth="1"/>
    <col min="10" max="17" width="9.140625" style="8" customWidth="1"/>
    <col min="18" max="28" width="9.140625" style="8"/>
    <col min="29" max="29" width="0" style="8" hidden="1" customWidth="1"/>
    <col min="30" max="35" width="9.140625" style="8"/>
    <col min="36" max="16384" width="9.140625" style="1"/>
  </cols>
  <sheetData>
    <row r="1" spans="1:35" s="203" customFormat="1" ht="51" customHeight="1">
      <c r="A1" s="3" t="s">
        <v>410</v>
      </c>
      <c r="B1" s="4"/>
      <c r="C1" s="224"/>
      <c r="D1" s="224"/>
      <c r="E1" s="224"/>
      <c r="F1" s="224"/>
      <c r="G1" s="225"/>
      <c r="H1" s="226"/>
      <c r="I1" s="227"/>
      <c r="J1" s="231"/>
      <c r="K1" s="231"/>
      <c r="L1" s="231"/>
      <c r="M1" s="231"/>
      <c r="N1" s="231"/>
      <c r="O1" s="231"/>
      <c r="P1" s="231"/>
      <c r="Q1" s="231"/>
      <c r="R1" s="231"/>
      <c r="S1" s="231"/>
      <c r="T1" s="231"/>
      <c r="U1" s="231"/>
      <c r="V1" s="231"/>
      <c r="W1" s="231"/>
      <c r="X1" s="231"/>
      <c r="Y1" s="231"/>
      <c r="Z1" s="231"/>
      <c r="AA1" s="231"/>
      <c r="AB1" s="231"/>
      <c r="AC1" s="231"/>
      <c r="AD1" s="231"/>
      <c r="AE1" s="231"/>
      <c r="AF1" s="231"/>
      <c r="AG1" s="231"/>
      <c r="AH1" s="231"/>
      <c r="AI1" s="231"/>
    </row>
    <row r="2" spans="1:35" s="203" customFormat="1" ht="35.25">
      <c r="A2" s="9"/>
      <c r="B2" s="10"/>
      <c r="C2" s="232"/>
      <c r="D2" s="232"/>
      <c r="E2" s="232"/>
      <c r="F2" s="11"/>
      <c r="G2" s="11"/>
      <c r="H2" s="11"/>
      <c r="I2" s="11"/>
      <c r="J2" s="231"/>
      <c r="K2" s="231"/>
      <c r="L2" s="231"/>
      <c r="M2" s="231"/>
      <c r="N2" s="231"/>
      <c r="O2" s="231"/>
      <c r="P2" s="231"/>
      <c r="Q2" s="231"/>
      <c r="R2" s="231"/>
      <c r="S2" s="231"/>
      <c r="T2" s="231"/>
      <c r="U2" s="231"/>
      <c r="V2" s="231"/>
      <c r="W2" s="231"/>
      <c r="X2" s="231"/>
      <c r="Y2" s="231"/>
      <c r="Z2" s="231"/>
      <c r="AA2" s="231"/>
      <c r="AB2" s="231"/>
      <c r="AC2" s="231"/>
      <c r="AD2" s="231"/>
      <c r="AE2" s="231"/>
      <c r="AF2" s="231"/>
      <c r="AG2" s="231"/>
      <c r="AH2" s="231"/>
      <c r="AI2" s="231"/>
    </row>
    <row r="3" spans="1:35" s="203" customFormat="1" ht="15">
      <c r="A3" s="12"/>
      <c r="B3" s="882" t="s">
        <v>0</v>
      </c>
      <c r="C3" s="884" t="s">
        <v>31</v>
      </c>
      <c r="D3" s="885"/>
      <c r="E3" s="13"/>
      <c r="F3" s="14"/>
      <c r="G3" s="14"/>
      <c r="H3" s="15"/>
      <c r="I3" s="14"/>
      <c r="J3" s="231"/>
      <c r="K3" s="231"/>
      <c r="L3" s="231"/>
      <c r="M3" s="231"/>
      <c r="N3" s="231"/>
      <c r="O3" s="231"/>
      <c r="P3" s="231"/>
      <c r="Q3" s="231"/>
      <c r="R3" s="231"/>
      <c r="S3" s="231"/>
      <c r="T3" s="231"/>
      <c r="U3" s="231"/>
      <c r="V3" s="231"/>
      <c r="W3" s="231"/>
      <c r="X3" s="231"/>
      <c r="Y3" s="231"/>
      <c r="Z3" s="231"/>
      <c r="AA3" s="231"/>
      <c r="AB3" s="231"/>
      <c r="AC3" s="231"/>
      <c r="AD3" s="231"/>
      <c r="AE3" s="231"/>
      <c r="AF3" s="231"/>
      <c r="AG3" s="231"/>
      <c r="AH3" s="231"/>
      <c r="AI3" s="231"/>
    </row>
    <row r="4" spans="1:35" s="203" customFormat="1" ht="15">
      <c r="A4" s="17"/>
      <c r="B4" s="883"/>
      <c r="C4" s="886"/>
      <c r="D4" s="887"/>
      <c r="E4" s="13"/>
      <c r="F4" s="14"/>
      <c r="G4" s="14"/>
      <c r="H4" s="15"/>
      <c r="I4" s="14"/>
      <c r="J4" s="231"/>
      <c r="K4" s="231"/>
      <c r="L4" s="231"/>
      <c r="M4" s="231"/>
      <c r="N4" s="231"/>
      <c r="O4" s="231"/>
      <c r="P4" s="231"/>
      <c r="Q4" s="231"/>
      <c r="R4" s="231"/>
      <c r="S4" s="231"/>
      <c r="T4" s="231"/>
      <c r="U4" s="231"/>
      <c r="V4" s="231"/>
      <c r="W4" s="231"/>
      <c r="X4" s="231"/>
      <c r="Y4" s="231"/>
      <c r="Z4" s="231"/>
      <c r="AA4" s="231"/>
      <c r="AB4" s="231"/>
      <c r="AC4" s="231"/>
      <c r="AD4" s="231"/>
      <c r="AE4" s="231"/>
      <c r="AF4" s="231"/>
      <c r="AG4" s="231"/>
      <c r="AH4" s="231"/>
      <c r="AI4" s="231"/>
    </row>
    <row r="5" spans="1:35" s="203" customFormat="1" ht="15">
      <c r="A5" s="888"/>
      <c r="B5" s="889"/>
      <c r="C5" s="18"/>
      <c r="D5" s="206"/>
      <c r="E5" s="206"/>
      <c r="F5" s="14"/>
      <c r="G5" s="14"/>
      <c r="H5" s="14"/>
      <c r="I5" s="234"/>
      <c r="J5" s="231"/>
      <c r="K5" s="231"/>
      <c r="L5" s="231"/>
      <c r="M5" s="231"/>
      <c r="N5" s="231"/>
      <c r="O5" s="231"/>
      <c r="P5" s="231"/>
      <c r="Q5" s="231"/>
      <c r="R5" s="231"/>
      <c r="S5" s="231"/>
      <c r="T5" s="231"/>
      <c r="U5" s="231"/>
      <c r="V5" s="231"/>
      <c r="W5" s="231"/>
      <c r="X5" s="231"/>
      <c r="Y5" s="231"/>
      <c r="Z5" s="231"/>
      <c r="AA5" s="231"/>
      <c r="AB5" s="231"/>
      <c r="AC5" s="231"/>
      <c r="AD5" s="231"/>
      <c r="AE5" s="231"/>
      <c r="AF5" s="231"/>
      <c r="AG5" s="231"/>
      <c r="AH5" s="231"/>
      <c r="AI5" s="231"/>
    </row>
    <row r="6" spans="1:35" s="203" customFormat="1" ht="23.25" customHeight="1">
      <c r="A6" s="19" t="s">
        <v>1</v>
      </c>
      <c r="B6" s="207"/>
      <c r="C6" s="20"/>
      <c r="D6" s="890" t="s">
        <v>249</v>
      </c>
      <c r="E6" s="890"/>
      <c r="F6" s="890"/>
      <c r="G6" s="890"/>
      <c r="H6" s="890"/>
      <c r="I6" s="29"/>
      <c r="J6" s="231"/>
      <c r="K6" s="231"/>
      <c r="L6" s="231"/>
      <c r="M6" s="231"/>
      <c r="N6" s="231"/>
      <c r="O6" s="231"/>
      <c r="P6" s="231"/>
      <c r="Q6" s="231"/>
      <c r="R6" s="231"/>
      <c r="S6" s="231"/>
      <c r="T6" s="231"/>
      <c r="U6" s="231"/>
      <c r="V6" s="231"/>
      <c r="W6" s="231"/>
      <c r="X6" s="231"/>
      <c r="Y6" s="231"/>
      <c r="Z6" s="231"/>
      <c r="AA6" s="231"/>
      <c r="AB6" s="231"/>
      <c r="AC6" s="231"/>
      <c r="AD6" s="231"/>
      <c r="AE6" s="231"/>
      <c r="AF6" s="231"/>
      <c r="AG6" s="231"/>
      <c r="AH6" s="231"/>
      <c r="AI6" s="231"/>
    </row>
    <row r="7" spans="1:35" s="203" customFormat="1" ht="18.75" customHeight="1">
      <c r="A7" s="19" t="s">
        <v>419</v>
      </c>
      <c r="B7" s="207"/>
      <c r="C7" s="207"/>
      <c r="D7" s="207"/>
      <c r="E7" s="207"/>
      <c r="F7" s="362" t="s">
        <v>250</v>
      </c>
      <c r="G7" s="1"/>
      <c r="H7" s="21"/>
      <c r="I7" s="29"/>
      <c r="J7" s="231"/>
      <c r="K7" s="231"/>
      <c r="L7" s="231"/>
      <c r="M7" s="231"/>
      <c r="N7" s="231"/>
      <c r="O7" s="231"/>
      <c r="P7" s="231"/>
      <c r="Q7" s="231"/>
      <c r="R7" s="231"/>
      <c r="S7" s="231"/>
      <c r="T7" s="231"/>
      <c r="U7" s="231"/>
      <c r="V7" s="231"/>
      <c r="W7" s="231"/>
      <c r="X7" s="231"/>
      <c r="Y7" s="231"/>
      <c r="Z7" s="231"/>
      <c r="AA7" s="231"/>
      <c r="AB7" s="231"/>
      <c r="AC7" s="231"/>
      <c r="AD7" s="231"/>
      <c r="AE7" s="231"/>
      <c r="AF7" s="231"/>
      <c r="AG7" s="231"/>
      <c r="AH7" s="231"/>
      <c r="AI7" s="231"/>
    </row>
    <row r="8" spans="1:35" s="203" customFormat="1" ht="24" customHeight="1">
      <c r="A8" s="22" t="s">
        <v>408</v>
      </c>
      <c r="B8" s="207"/>
      <c r="C8" s="207"/>
      <c r="D8" s="207"/>
      <c r="E8" s="207"/>
      <c r="F8" s="207"/>
      <c r="G8" s="803"/>
      <c r="H8" s="21"/>
      <c r="I8" s="29"/>
      <c r="J8" s="231"/>
      <c r="K8" s="231"/>
      <c r="L8" s="231"/>
      <c r="M8" s="231"/>
      <c r="N8" s="231"/>
      <c r="O8" s="231"/>
      <c r="P8" s="231"/>
      <c r="Q8" s="231"/>
      <c r="R8" s="231"/>
      <c r="S8" s="231"/>
      <c r="T8" s="231"/>
      <c r="U8" s="231"/>
      <c r="V8" s="231"/>
      <c r="W8" s="231"/>
      <c r="X8" s="231"/>
      <c r="Y8" s="231"/>
      <c r="Z8" s="231"/>
      <c r="AA8" s="231"/>
      <c r="AB8" s="231"/>
      <c r="AC8" s="231"/>
      <c r="AD8" s="231"/>
      <c r="AE8" s="231"/>
      <c r="AF8" s="231"/>
      <c r="AG8" s="231"/>
      <c r="AH8" s="231"/>
      <c r="AI8" s="231"/>
    </row>
    <row r="9" spans="1:35" s="203" customFormat="1" ht="30.75" customHeight="1">
      <c r="A9" s="891" t="s">
        <v>420</v>
      </c>
      <c r="B9" s="892"/>
      <c r="C9" s="892"/>
      <c r="D9" s="892"/>
      <c r="E9" s="892"/>
      <c r="F9" s="892"/>
      <c r="G9" s="892"/>
      <c r="H9" s="892"/>
      <c r="I9" s="892"/>
      <c r="J9" s="231"/>
      <c r="K9" s="231"/>
      <c r="L9" s="231"/>
      <c r="M9" s="231"/>
      <c r="N9" s="231"/>
      <c r="O9" s="231"/>
      <c r="P9" s="231"/>
      <c r="Q9" s="231"/>
      <c r="R9" s="231"/>
      <c r="S9" s="231"/>
      <c r="T9" s="231"/>
      <c r="U9" s="231"/>
      <c r="V9" s="231"/>
      <c r="W9" s="231"/>
      <c r="X9" s="231"/>
      <c r="Y9" s="231"/>
      <c r="Z9" s="231"/>
      <c r="AA9" s="231"/>
      <c r="AB9" s="231"/>
      <c r="AC9" s="231"/>
      <c r="AD9" s="231"/>
      <c r="AE9" s="231"/>
      <c r="AF9" s="231"/>
      <c r="AG9" s="231"/>
      <c r="AH9" s="231"/>
      <c r="AI9" s="231"/>
    </row>
    <row r="10" spans="1:35" s="203" customFormat="1" ht="12.75" customHeight="1">
      <c r="A10" s="22" t="s">
        <v>409</v>
      </c>
      <c r="B10" s="19"/>
      <c r="C10" s="1"/>
      <c r="D10" s="880" t="s">
        <v>250</v>
      </c>
      <c r="E10" s="881"/>
      <c r="F10" s="881"/>
      <c r="G10" s="207"/>
      <c r="H10" s="207"/>
      <c r="I10" s="29"/>
      <c r="J10" s="231"/>
      <c r="K10" s="231"/>
      <c r="L10" s="231"/>
      <c r="M10" s="231"/>
      <c r="N10" s="231"/>
      <c r="O10" s="231"/>
      <c r="P10" s="231"/>
      <c r="Q10" s="231"/>
      <c r="R10" s="231"/>
      <c r="S10" s="231"/>
      <c r="T10" s="231"/>
      <c r="U10" s="231"/>
      <c r="V10" s="231"/>
      <c r="W10" s="231"/>
      <c r="X10" s="231"/>
      <c r="Y10" s="231"/>
      <c r="Z10" s="231"/>
      <c r="AA10" s="231"/>
      <c r="AB10" s="231"/>
      <c r="AC10" s="231"/>
      <c r="AD10" s="231"/>
      <c r="AE10" s="231"/>
      <c r="AF10" s="231"/>
      <c r="AG10" s="231"/>
      <c r="AH10" s="231"/>
      <c r="AI10" s="231"/>
    </row>
    <row r="11" spans="1:35" s="203" customFormat="1">
      <c r="A11" s="23"/>
      <c r="B11" s="207"/>
      <c r="C11" s="207"/>
      <c r="D11" s="207"/>
      <c r="E11" s="207"/>
      <c r="F11" s="207"/>
      <c r="G11" s="21"/>
      <c r="H11" s="21"/>
      <c r="I11" s="29"/>
      <c r="J11" s="231"/>
      <c r="K11" s="231"/>
      <c r="L11" s="231"/>
      <c r="M11" s="231"/>
      <c r="N11" s="231"/>
      <c r="O11" s="231"/>
      <c r="P11" s="231"/>
      <c r="Q11" s="231"/>
      <c r="R11" s="231"/>
      <c r="S11" s="231"/>
      <c r="T11" s="231"/>
      <c r="U11" s="231"/>
      <c r="V11" s="231"/>
      <c r="W11" s="231"/>
      <c r="X11" s="231"/>
      <c r="Y11" s="231"/>
      <c r="Z11" s="231"/>
      <c r="AA11" s="231"/>
      <c r="AB11" s="231"/>
      <c r="AC11" s="231"/>
      <c r="AD11" s="231"/>
      <c r="AE11" s="231"/>
      <c r="AF11" s="231"/>
      <c r="AG11" s="231"/>
      <c r="AH11" s="231"/>
      <c r="AI11" s="231"/>
    </row>
    <row r="12" spans="1:35" s="203" customFormat="1">
      <c r="A12" s="24"/>
      <c r="B12" s="25" t="s">
        <v>7</v>
      </c>
      <c r="C12" s="26"/>
      <c r="D12" s="356"/>
      <c r="E12" s="356"/>
      <c r="F12" s="357"/>
      <c r="G12" s="21"/>
      <c r="H12" s="21"/>
      <c r="I12" s="29"/>
      <c r="J12" s="231"/>
      <c r="K12" s="231"/>
      <c r="L12" s="231"/>
      <c r="M12" s="231"/>
      <c r="N12" s="231"/>
      <c r="O12" s="231"/>
      <c r="P12" s="231"/>
      <c r="Q12" s="231"/>
      <c r="R12" s="231"/>
      <c r="S12" s="231"/>
      <c r="T12" s="231"/>
      <c r="U12" s="231"/>
      <c r="V12" s="231"/>
      <c r="W12" s="231"/>
      <c r="X12" s="231"/>
      <c r="Y12" s="231"/>
      <c r="Z12" s="231"/>
      <c r="AA12" s="231"/>
      <c r="AB12" s="231"/>
      <c r="AC12" s="231"/>
      <c r="AD12" s="231"/>
      <c r="AE12" s="231"/>
      <c r="AF12" s="231"/>
      <c r="AG12" s="231"/>
      <c r="AH12" s="231"/>
      <c r="AI12" s="231"/>
    </row>
    <row r="13" spans="1:35" s="203" customFormat="1">
      <c r="A13" s="23"/>
      <c r="B13" s="27"/>
      <c r="C13" s="358"/>
      <c r="D13" s="15"/>
      <c r="E13" s="15"/>
      <c r="F13" s="359"/>
      <c r="G13" s="207"/>
      <c r="H13" s="21"/>
      <c r="I13" s="29"/>
      <c r="J13" s="231"/>
      <c r="K13" s="231"/>
      <c r="L13" s="231"/>
      <c r="M13" s="231"/>
      <c r="N13" s="231"/>
      <c r="O13" s="231"/>
      <c r="P13" s="231"/>
      <c r="Q13" s="231"/>
      <c r="R13" s="231"/>
      <c r="S13" s="231"/>
      <c r="T13" s="231"/>
      <c r="U13" s="231"/>
      <c r="V13" s="231"/>
      <c r="W13" s="231"/>
      <c r="X13" s="231"/>
      <c r="Y13" s="231"/>
      <c r="Z13" s="231"/>
      <c r="AA13" s="231"/>
      <c r="AB13" s="231"/>
      <c r="AC13" s="231"/>
      <c r="AD13" s="231"/>
      <c r="AE13" s="231"/>
      <c r="AF13" s="231"/>
      <c r="AG13" s="231"/>
      <c r="AH13" s="231"/>
      <c r="AI13" s="231"/>
    </row>
    <row r="14" spans="1:35" s="203" customFormat="1">
      <c r="A14" s="23"/>
      <c r="B14" s="363" t="s">
        <v>328</v>
      </c>
      <c r="C14" s="870" t="s">
        <v>10</v>
      </c>
      <c r="D14" s="870"/>
      <c r="E14" s="870"/>
      <c r="F14" s="871"/>
      <c r="G14" s="207"/>
      <c r="H14" s="21"/>
      <c r="I14" s="29"/>
      <c r="J14" s="231"/>
      <c r="K14" s="231"/>
      <c r="L14" s="231"/>
      <c r="M14" s="231"/>
      <c r="N14" s="231"/>
      <c r="O14" s="231"/>
      <c r="P14" s="231"/>
      <c r="Q14" s="231"/>
      <c r="R14" s="231"/>
      <c r="S14" s="231"/>
      <c r="T14" s="231"/>
      <c r="U14" s="231"/>
      <c r="V14" s="231"/>
      <c r="W14" s="231"/>
      <c r="X14" s="231"/>
      <c r="Y14" s="231"/>
      <c r="Z14" s="231"/>
      <c r="AA14" s="231"/>
      <c r="AB14" s="231"/>
      <c r="AC14" s="231"/>
      <c r="AD14" s="231"/>
      <c r="AE14" s="231"/>
      <c r="AF14" s="231"/>
      <c r="AG14" s="231"/>
      <c r="AH14" s="231"/>
      <c r="AI14" s="231"/>
    </row>
    <row r="15" spans="1:35" s="203" customFormat="1">
      <c r="A15" s="23"/>
      <c r="B15" s="363" t="s">
        <v>329</v>
      </c>
      <c r="C15" s="870" t="s">
        <v>12</v>
      </c>
      <c r="D15" s="870"/>
      <c r="E15" s="870"/>
      <c r="F15" s="871"/>
      <c r="G15" s="207"/>
      <c r="H15" s="21"/>
      <c r="I15" s="29"/>
      <c r="J15" s="231"/>
      <c r="K15" s="231"/>
      <c r="L15" s="231"/>
      <c r="M15" s="231"/>
      <c r="N15" s="231"/>
      <c r="O15" s="231"/>
      <c r="P15" s="231"/>
      <c r="Q15" s="231"/>
      <c r="R15" s="231"/>
      <c r="S15" s="231"/>
      <c r="T15" s="231"/>
      <c r="U15" s="231"/>
      <c r="V15" s="231"/>
      <c r="W15" s="231"/>
      <c r="X15" s="231"/>
      <c r="Y15" s="231"/>
      <c r="Z15" s="231"/>
      <c r="AA15" s="231"/>
      <c r="AB15" s="231"/>
      <c r="AC15" s="231"/>
      <c r="AD15" s="231"/>
      <c r="AE15" s="231"/>
      <c r="AF15" s="231"/>
      <c r="AG15" s="231"/>
      <c r="AH15" s="231"/>
      <c r="AI15" s="231"/>
    </row>
    <row r="16" spans="1:35" s="203" customFormat="1">
      <c r="A16" s="23"/>
      <c r="B16" s="360" t="s">
        <v>14</v>
      </c>
      <c r="C16" s="870" t="s">
        <v>15</v>
      </c>
      <c r="D16" s="870"/>
      <c r="E16" s="870"/>
      <c r="F16" s="871"/>
      <c r="G16" s="207"/>
      <c r="H16" s="21"/>
      <c r="I16" s="29"/>
      <c r="J16" s="231"/>
      <c r="K16" s="231"/>
      <c r="L16" s="231"/>
      <c r="M16" s="231"/>
      <c r="N16" s="231"/>
      <c r="O16" s="231"/>
      <c r="P16" s="231"/>
      <c r="Q16" s="231"/>
      <c r="R16" s="231"/>
      <c r="S16" s="231"/>
      <c r="T16" s="231"/>
      <c r="U16" s="231"/>
      <c r="V16" s="231"/>
      <c r="W16" s="231"/>
      <c r="X16" s="231"/>
      <c r="Y16" s="231"/>
      <c r="Z16" s="231"/>
      <c r="AA16" s="231"/>
      <c r="AB16" s="231"/>
      <c r="AC16" s="231"/>
      <c r="AD16" s="231"/>
      <c r="AE16" s="231"/>
      <c r="AF16" s="231"/>
      <c r="AG16" s="231"/>
      <c r="AH16" s="231"/>
      <c r="AI16" s="231"/>
    </row>
    <row r="17" spans="1:35" s="203" customFormat="1">
      <c r="A17" s="23"/>
      <c r="B17" s="360" t="s">
        <v>17</v>
      </c>
      <c r="C17" s="870" t="s">
        <v>18</v>
      </c>
      <c r="D17" s="870"/>
      <c r="E17" s="870"/>
      <c r="F17" s="871"/>
      <c r="G17" s="207"/>
      <c r="H17" s="21"/>
      <c r="I17" s="29"/>
      <c r="J17" s="231"/>
      <c r="K17" s="231"/>
      <c r="L17" s="231"/>
      <c r="M17" s="231"/>
      <c r="N17" s="231"/>
      <c r="O17" s="231"/>
      <c r="P17" s="231"/>
      <c r="Q17" s="231"/>
      <c r="R17" s="231"/>
      <c r="S17" s="231"/>
      <c r="T17" s="231"/>
      <c r="U17" s="231"/>
      <c r="V17" s="231"/>
      <c r="W17" s="231"/>
      <c r="X17" s="231"/>
      <c r="Y17" s="231"/>
      <c r="Z17" s="231"/>
      <c r="AA17" s="231"/>
      <c r="AB17" s="231"/>
      <c r="AC17" s="231"/>
      <c r="AD17" s="231"/>
      <c r="AE17" s="231"/>
      <c r="AF17" s="231"/>
      <c r="AG17" s="231"/>
      <c r="AH17" s="231"/>
      <c r="AI17" s="231"/>
    </row>
    <row r="18" spans="1:35" s="203" customFormat="1">
      <c r="A18" s="23"/>
      <c r="B18" s="360" t="s">
        <v>20</v>
      </c>
      <c r="C18" s="870" t="s">
        <v>21</v>
      </c>
      <c r="D18" s="870"/>
      <c r="E18" s="870"/>
      <c r="F18" s="871"/>
      <c r="G18" s="207"/>
      <c r="H18" s="21"/>
      <c r="I18" s="29"/>
      <c r="J18" s="231"/>
      <c r="K18" s="231"/>
      <c r="L18" s="231"/>
      <c r="M18" s="231"/>
      <c r="N18" s="231"/>
      <c r="O18" s="231"/>
      <c r="P18" s="231"/>
      <c r="Q18" s="231"/>
      <c r="R18" s="231"/>
      <c r="S18" s="231"/>
      <c r="T18" s="231"/>
      <c r="U18" s="231"/>
      <c r="V18" s="231"/>
      <c r="W18" s="231"/>
      <c r="X18" s="231"/>
      <c r="Y18" s="231"/>
      <c r="Z18" s="231"/>
      <c r="AA18" s="231"/>
      <c r="AB18" s="231"/>
      <c r="AC18" s="231"/>
      <c r="AD18" s="231"/>
      <c r="AE18" s="231"/>
      <c r="AF18" s="231"/>
      <c r="AG18" s="231"/>
      <c r="AH18" s="231"/>
      <c r="AI18" s="231"/>
    </row>
    <row r="19" spans="1:35" s="203" customFormat="1">
      <c r="A19" s="23"/>
      <c r="B19" s="361" t="s">
        <v>23</v>
      </c>
      <c r="C19" s="872" t="s">
        <v>24</v>
      </c>
      <c r="D19" s="872"/>
      <c r="E19" s="872"/>
      <c r="F19" s="873"/>
      <c r="G19" s="21"/>
      <c r="H19" s="21"/>
      <c r="I19" s="29"/>
      <c r="J19" s="231"/>
      <c r="K19" s="231"/>
      <c r="L19" s="231"/>
      <c r="M19" s="231"/>
      <c r="N19" s="231"/>
      <c r="O19" s="231"/>
      <c r="P19" s="231"/>
      <c r="Q19" s="231"/>
      <c r="R19" s="231"/>
      <c r="S19" s="231"/>
      <c r="T19" s="231"/>
      <c r="U19" s="231"/>
      <c r="V19" s="231"/>
      <c r="W19" s="231"/>
      <c r="X19" s="231"/>
      <c r="Y19" s="231"/>
      <c r="Z19" s="231"/>
      <c r="AA19" s="231"/>
      <c r="AB19" s="231"/>
      <c r="AC19" s="231"/>
      <c r="AD19" s="231"/>
      <c r="AE19" s="231"/>
      <c r="AF19" s="231"/>
      <c r="AG19" s="231"/>
      <c r="AH19" s="231"/>
      <c r="AI19" s="231"/>
    </row>
    <row r="20" spans="1:35" s="203" customFormat="1">
      <c r="A20" s="236"/>
      <c r="B20" s="206"/>
      <c r="C20" s="206"/>
      <c r="D20" s="206"/>
      <c r="E20" s="206"/>
      <c r="F20" s="206"/>
      <c r="G20" s="206"/>
      <c r="H20" s="206"/>
      <c r="I20" s="206"/>
      <c r="J20" s="231"/>
      <c r="K20" s="231"/>
      <c r="L20" s="231"/>
      <c r="M20" s="231"/>
      <c r="N20" s="231"/>
      <c r="O20" s="231"/>
      <c r="P20" s="231"/>
      <c r="Q20" s="231"/>
      <c r="R20" s="231"/>
      <c r="S20" s="231"/>
      <c r="T20" s="231"/>
      <c r="U20" s="231"/>
      <c r="V20" s="231"/>
      <c r="W20" s="231"/>
      <c r="X20" s="231"/>
      <c r="Y20" s="231"/>
      <c r="Z20" s="231"/>
      <c r="AA20" s="231"/>
      <c r="AB20" s="231"/>
      <c r="AC20" s="231"/>
      <c r="AD20" s="231"/>
      <c r="AE20" s="231"/>
      <c r="AF20" s="231"/>
      <c r="AG20" s="231"/>
      <c r="AH20" s="231"/>
      <c r="AI20" s="231"/>
    </row>
    <row r="21" spans="1:35" s="203" customFormat="1" ht="19.5">
      <c r="A21" s="30"/>
      <c r="B21" s="13"/>
      <c r="C21" s="13"/>
      <c r="D21" s="13"/>
      <c r="E21" s="13"/>
      <c r="F21" s="13"/>
      <c r="G21" s="13"/>
      <c r="H21" s="31" t="s">
        <v>27</v>
      </c>
      <c r="I21" s="237"/>
      <c r="J21" s="231"/>
      <c r="K21" s="231"/>
      <c r="L21" s="231"/>
      <c r="M21" s="231"/>
      <c r="N21" s="231"/>
      <c r="O21" s="231"/>
      <c r="P21" s="231"/>
      <c r="Q21" s="231"/>
      <c r="R21" s="231"/>
      <c r="S21" s="231"/>
      <c r="T21" s="231"/>
      <c r="U21" s="231"/>
      <c r="V21" s="231"/>
      <c r="W21" s="231"/>
      <c r="X21" s="231"/>
      <c r="Y21" s="231"/>
      <c r="Z21" s="231"/>
      <c r="AA21" s="231"/>
      <c r="AB21" s="231"/>
      <c r="AC21" s="231"/>
      <c r="AD21" s="231"/>
      <c r="AE21" s="231"/>
      <c r="AF21" s="231"/>
      <c r="AG21" s="231"/>
      <c r="AH21" s="231"/>
      <c r="AI21" s="231"/>
    </row>
    <row r="22" spans="1:35" s="203" customFormat="1" ht="18.75" customHeight="1">
      <c r="A22" s="32"/>
      <c r="B22" s="29"/>
      <c r="C22" s="29"/>
      <c r="D22" s="29"/>
      <c r="E22" s="29"/>
      <c r="F22" s="33">
        <v>1</v>
      </c>
      <c r="G22" s="34"/>
      <c r="H22" s="33">
        <v>2</v>
      </c>
      <c r="I22" s="34"/>
      <c r="J22" s="231"/>
      <c r="K22" s="231"/>
      <c r="L22" s="231"/>
      <c r="M22" s="231"/>
      <c r="N22" s="231"/>
      <c r="O22" s="231"/>
      <c r="P22" s="231"/>
      <c r="Q22" s="231"/>
      <c r="R22" s="231"/>
      <c r="S22" s="231"/>
      <c r="T22" s="231"/>
      <c r="U22" s="231"/>
      <c r="V22" s="231"/>
      <c r="W22" s="231"/>
      <c r="X22" s="231"/>
      <c r="Y22" s="231"/>
      <c r="Z22" s="231"/>
      <c r="AA22" s="231"/>
      <c r="AB22" s="231"/>
      <c r="AC22" s="231"/>
      <c r="AD22" s="231"/>
      <c r="AE22" s="231"/>
      <c r="AF22" s="231"/>
      <c r="AG22" s="231"/>
      <c r="AH22" s="231"/>
      <c r="AI22" s="231"/>
    </row>
    <row r="23" spans="1:35" s="203" customFormat="1" ht="21.95" customHeight="1">
      <c r="A23" s="874" t="s">
        <v>30</v>
      </c>
      <c r="B23" s="875"/>
      <c r="C23" s="875"/>
      <c r="D23" s="875"/>
      <c r="E23" s="878" t="s">
        <v>376</v>
      </c>
      <c r="F23" s="856" t="s">
        <v>407</v>
      </c>
      <c r="G23" s="36"/>
      <c r="H23" s="878" t="s">
        <v>406</v>
      </c>
      <c r="I23" s="36"/>
      <c r="J23" s="231"/>
      <c r="K23" s="231"/>
      <c r="L23" s="231"/>
      <c r="M23" s="231"/>
      <c r="N23" s="231"/>
      <c r="O23" s="231"/>
      <c r="P23" s="231"/>
      <c r="Q23" s="231"/>
      <c r="R23" s="231"/>
      <c r="S23" s="231"/>
      <c r="T23" s="231"/>
      <c r="U23" s="231"/>
      <c r="V23" s="231"/>
      <c r="W23" s="231"/>
      <c r="X23" s="231"/>
      <c r="Y23" s="231"/>
      <c r="Z23" s="231"/>
      <c r="AA23" s="231"/>
      <c r="AB23" s="231"/>
      <c r="AC23" s="231"/>
      <c r="AD23" s="231"/>
      <c r="AE23" s="231"/>
      <c r="AF23" s="231"/>
      <c r="AG23" s="231"/>
      <c r="AH23" s="231"/>
      <c r="AI23" s="231"/>
    </row>
    <row r="24" spans="1:35" s="203" customFormat="1" ht="21.95" customHeight="1">
      <c r="A24" s="876"/>
      <c r="B24" s="877"/>
      <c r="C24" s="877"/>
      <c r="D24" s="877"/>
      <c r="E24" s="879"/>
      <c r="F24" s="860"/>
      <c r="G24" s="23"/>
      <c r="H24" s="879"/>
      <c r="I24" s="36"/>
      <c r="J24" s="231"/>
      <c r="K24" s="231"/>
      <c r="L24" s="231"/>
      <c r="M24" s="231"/>
      <c r="N24" s="231"/>
      <c r="O24" s="231"/>
      <c r="P24" s="231"/>
      <c r="Q24" s="231"/>
      <c r="R24" s="231"/>
      <c r="S24" s="231"/>
      <c r="T24" s="231"/>
      <c r="U24" s="231"/>
      <c r="V24" s="231"/>
      <c r="W24" s="231"/>
      <c r="X24" s="231"/>
      <c r="Y24" s="231"/>
      <c r="Z24" s="231"/>
      <c r="AA24" s="231"/>
      <c r="AB24" s="231"/>
      <c r="AC24" s="231"/>
      <c r="AD24" s="231"/>
      <c r="AE24" s="231"/>
      <c r="AF24" s="231"/>
      <c r="AG24" s="231"/>
      <c r="AH24" s="231"/>
      <c r="AI24" s="231"/>
    </row>
    <row r="25" spans="1:35" s="203" customFormat="1" ht="21.95" customHeight="1">
      <c r="A25" s="898" t="s">
        <v>48</v>
      </c>
      <c r="B25" s="901" t="s">
        <v>49</v>
      </c>
      <c r="C25" s="901"/>
      <c r="D25" s="902"/>
      <c r="E25" s="907" t="s">
        <v>50</v>
      </c>
      <c r="F25" s="909" t="s">
        <v>51</v>
      </c>
      <c r="G25" s="34"/>
      <c r="H25" s="907" t="s">
        <v>50</v>
      </c>
      <c r="I25" s="36"/>
      <c r="J25" s="231"/>
      <c r="K25" s="231"/>
      <c r="L25" s="231"/>
      <c r="M25" s="231"/>
      <c r="N25" s="231"/>
      <c r="O25" s="231"/>
      <c r="P25" s="231"/>
      <c r="Q25" s="231"/>
      <c r="R25" s="231"/>
      <c r="S25" s="231"/>
      <c r="T25" s="231"/>
      <c r="U25" s="231"/>
      <c r="V25" s="231"/>
      <c r="W25" s="231"/>
      <c r="X25" s="231"/>
      <c r="Y25" s="231"/>
      <c r="Z25" s="231"/>
      <c r="AA25" s="231"/>
      <c r="AB25" s="231"/>
      <c r="AC25" s="231"/>
      <c r="AD25" s="231"/>
      <c r="AE25" s="231"/>
      <c r="AF25" s="231"/>
      <c r="AG25" s="231"/>
      <c r="AH25" s="231"/>
      <c r="AI25" s="231"/>
    </row>
    <row r="26" spans="1:35" s="203" customFormat="1" ht="21.95" customHeight="1">
      <c r="A26" s="899"/>
      <c r="B26" s="903"/>
      <c r="C26" s="903"/>
      <c r="D26" s="904"/>
      <c r="E26" s="908"/>
      <c r="F26" s="859"/>
      <c r="G26" s="34"/>
      <c r="H26" s="908"/>
      <c r="I26" s="36"/>
      <c r="J26" s="231"/>
      <c r="K26" s="231"/>
      <c r="L26" s="231"/>
      <c r="M26" s="231"/>
      <c r="N26" s="231"/>
      <c r="O26" s="231"/>
      <c r="P26" s="231"/>
      <c r="Q26" s="231"/>
      <c r="R26" s="231"/>
      <c r="S26" s="231"/>
      <c r="T26" s="231"/>
      <c r="U26" s="231"/>
      <c r="V26" s="231"/>
      <c r="W26" s="231"/>
      <c r="X26" s="231"/>
      <c r="Y26" s="231"/>
      <c r="Z26" s="231"/>
      <c r="AA26" s="231"/>
      <c r="AB26" s="231"/>
      <c r="AC26" s="231"/>
      <c r="AD26" s="231"/>
      <c r="AE26" s="231"/>
      <c r="AF26" s="231"/>
      <c r="AG26" s="231"/>
      <c r="AH26" s="231"/>
      <c r="AI26" s="231"/>
    </row>
    <row r="27" spans="1:35" s="203" customFormat="1" ht="21.95" customHeight="1">
      <c r="A27" s="900"/>
      <c r="B27" s="905"/>
      <c r="C27" s="905"/>
      <c r="D27" s="906"/>
      <c r="E27" s="879"/>
      <c r="F27" s="860"/>
      <c r="G27" s="34"/>
      <c r="H27" s="879"/>
      <c r="I27" s="36"/>
      <c r="J27" s="231"/>
      <c r="K27" s="231"/>
      <c r="L27" s="231"/>
      <c r="M27" s="231"/>
      <c r="N27" s="231"/>
      <c r="O27" s="231"/>
      <c r="P27" s="231"/>
      <c r="Q27" s="231"/>
      <c r="R27" s="231"/>
      <c r="S27" s="231"/>
      <c r="T27" s="231"/>
      <c r="U27" s="231"/>
      <c r="V27" s="231"/>
      <c r="W27" s="231"/>
      <c r="X27" s="231"/>
      <c r="Y27" s="231"/>
      <c r="Z27" s="231"/>
      <c r="AA27" s="231"/>
      <c r="AB27" s="231"/>
      <c r="AC27" s="231"/>
      <c r="AD27" s="231"/>
      <c r="AE27" s="231"/>
      <c r="AF27" s="231"/>
      <c r="AG27" s="231"/>
      <c r="AH27" s="231"/>
      <c r="AI27" s="231"/>
    </row>
    <row r="28" spans="1:35" s="203" customFormat="1">
      <c r="A28" s="38">
        <v>1</v>
      </c>
      <c r="B28" s="39" t="s">
        <v>52</v>
      </c>
      <c r="C28" s="39"/>
      <c r="D28" s="40"/>
      <c r="E28" s="41">
        <v>521020</v>
      </c>
      <c r="F28" s="42">
        <f>F77</f>
        <v>542868</v>
      </c>
      <c r="G28" s="43"/>
      <c r="H28" s="44">
        <f>H77</f>
        <v>578581</v>
      </c>
      <c r="I28" s="43"/>
      <c r="J28" s="231"/>
      <c r="K28" s="231"/>
      <c r="L28" s="231"/>
      <c r="M28" s="231"/>
      <c r="N28" s="231"/>
      <c r="O28" s="231"/>
      <c r="P28" s="231"/>
      <c r="Q28" s="231"/>
      <c r="R28" s="231"/>
      <c r="S28" s="231"/>
      <c r="T28" s="231"/>
      <c r="U28" s="231"/>
      <c r="V28" s="231"/>
      <c r="W28" s="231"/>
      <c r="X28" s="231"/>
      <c r="Y28" s="231"/>
      <c r="Z28" s="231"/>
      <c r="AA28" s="231"/>
      <c r="AB28" s="231"/>
      <c r="AC28" s="231"/>
      <c r="AD28" s="231"/>
      <c r="AE28" s="231"/>
      <c r="AF28" s="231"/>
      <c r="AG28" s="231"/>
      <c r="AH28" s="231"/>
      <c r="AI28" s="231"/>
    </row>
    <row r="29" spans="1:35" s="203" customFormat="1">
      <c r="A29" s="46">
        <v>2</v>
      </c>
      <c r="B29" s="47" t="s">
        <v>53</v>
      </c>
      <c r="C29" s="47"/>
      <c r="D29" s="48"/>
      <c r="E29" s="49">
        <v>392570</v>
      </c>
      <c r="F29" s="50">
        <f>F105</f>
        <v>395881</v>
      </c>
      <c r="G29" s="43"/>
      <c r="H29" s="51">
        <f>H105</f>
        <v>420976</v>
      </c>
      <c r="I29" s="43"/>
      <c r="J29" s="231"/>
      <c r="K29" s="231"/>
      <c r="L29" s="231"/>
      <c r="M29" s="231"/>
      <c r="N29" s="231"/>
      <c r="O29" s="231"/>
      <c r="P29" s="231"/>
      <c r="Q29" s="231"/>
      <c r="R29" s="231"/>
      <c r="S29" s="231"/>
      <c r="T29" s="231"/>
      <c r="U29" s="231"/>
      <c r="V29" s="231"/>
      <c r="W29" s="231"/>
      <c r="X29" s="231"/>
      <c r="Y29" s="231"/>
      <c r="Z29" s="231"/>
      <c r="AA29" s="231"/>
      <c r="AB29" s="231"/>
      <c r="AC29" s="231"/>
      <c r="AD29" s="231"/>
      <c r="AE29" s="231"/>
      <c r="AF29" s="231"/>
      <c r="AG29" s="231"/>
      <c r="AH29" s="231"/>
      <c r="AI29" s="231"/>
    </row>
    <row r="30" spans="1:35" s="203" customFormat="1">
      <c r="A30" s="46">
        <v>3</v>
      </c>
      <c r="B30" s="47" t="s">
        <v>54</v>
      </c>
      <c r="C30" s="47"/>
      <c r="D30" s="48"/>
      <c r="E30" s="49">
        <v>22762.493000000002</v>
      </c>
      <c r="F30" s="50">
        <f>F180</f>
        <v>22480</v>
      </c>
      <c r="G30" s="43"/>
      <c r="H30" s="51">
        <f>H180</f>
        <v>22103</v>
      </c>
      <c r="I30" s="43"/>
      <c r="J30" s="231"/>
      <c r="K30" s="231"/>
      <c r="L30" s="231"/>
      <c r="M30" s="231"/>
      <c r="N30" s="231"/>
      <c r="O30" s="231"/>
      <c r="P30" s="231"/>
      <c r="Q30" s="231"/>
      <c r="R30" s="231"/>
      <c r="S30" s="231"/>
      <c r="T30" s="231"/>
      <c r="U30" s="231"/>
      <c r="V30" s="231"/>
      <c r="W30" s="231"/>
      <c r="X30" s="231"/>
      <c r="Y30" s="231"/>
      <c r="Z30" s="231"/>
      <c r="AA30" s="231"/>
      <c r="AB30" s="231"/>
      <c r="AC30" s="231"/>
      <c r="AD30" s="231"/>
      <c r="AE30" s="231"/>
      <c r="AF30" s="231"/>
      <c r="AG30" s="231"/>
      <c r="AH30" s="231"/>
      <c r="AI30" s="231"/>
    </row>
    <row r="31" spans="1:35" s="203" customFormat="1">
      <c r="A31" s="46">
        <v>4</v>
      </c>
      <c r="B31" s="47" t="s">
        <v>55</v>
      </c>
      <c r="C31" s="47"/>
      <c r="D31" s="48"/>
      <c r="E31" s="49">
        <v>100896</v>
      </c>
      <c r="F31" s="50">
        <f>F214</f>
        <v>105795</v>
      </c>
      <c r="G31" s="43"/>
      <c r="H31" s="51">
        <f>H214</f>
        <v>106422</v>
      </c>
      <c r="I31" s="43"/>
      <c r="J31" s="231"/>
      <c r="K31" s="231"/>
      <c r="L31" s="231"/>
      <c r="M31" s="231"/>
      <c r="N31" s="231"/>
      <c r="O31" s="231"/>
      <c r="P31" s="231"/>
      <c r="Q31" s="231"/>
      <c r="R31" s="231"/>
      <c r="S31" s="231"/>
      <c r="T31" s="231"/>
      <c r="U31" s="231"/>
      <c r="V31" s="231"/>
      <c r="W31" s="231"/>
      <c r="X31" s="231"/>
      <c r="Y31" s="231"/>
      <c r="Z31" s="231"/>
      <c r="AA31" s="231"/>
      <c r="AB31" s="231"/>
      <c r="AC31" s="231"/>
      <c r="AD31" s="231"/>
      <c r="AE31" s="231"/>
      <c r="AF31" s="231"/>
      <c r="AG31" s="231"/>
      <c r="AH31" s="231"/>
      <c r="AI31" s="231"/>
    </row>
    <row r="32" spans="1:35" s="203" customFormat="1">
      <c r="A32" s="46">
        <v>5</v>
      </c>
      <c r="B32" s="47" t="s">
        <v>56</v>
      </c>
      <c r="C32" s="47"/>
      <c r="D32" s="48"/>
      <c r="E32" s="49">
        <v>65522</v>
      </c>
      <c r="F32" s="50">
        <f>F231</f>
        <v>53969</v>
      </c>
      <c r="G32" s="43"/>
      <c r="H32" s="51">
        <f>H231</f>
        <v>60200</v>
      </c>
      <c r="I32" s="43"/>
      <c r="J32" s="231"/>
      <c r="K32" s="231"/>
      <c r="L32" s="231"/>
      <c r="M32" s="231"/>
      <c r="N32" s="231"/>
      <c r="O32" s="231"/>
      <c r="P32" s="231"/>
      <c r="Q32" s="231"/>
      <c r="R32" s="231"/>
      <c r="S32" s="231"/>
      <c r="T32" s="231"/>
      <c r="U32" s="231"/>
      <c r="V32" s="231"/>
      <c r="W32" s="231"/>
      <c r="X32" s="231"/>
      <c r="Y32" s="231"/>
      <c r="Z32" s="231"/>
      <c r="AA32" s="231"/>
      <c r="AB32" s="231"/>
      <c r="AC32" s="231"/>
      <c r="AD32" s="231"/>
      <c r="AE32" s="231"/>
      <c r="AF32" s="231"/>
      <c r="AG32" s="231"/>
      <c r="AH32" s="231"/>
      <c r="AI32" s="231"/>
    </row>
    <row r="33" spans="1:35" s="203" customFormat="1">
      <c r="A33" s="46">
        <v>6</v>
      </c>
      <c r="B33" s="47" t="s">
        <v>57</v>
      </c>
      <c r="C33" s="47"/>
      <c r="D33" s="48"/>
      <c r="E33" s="49">
        <v>92289</v>
      </c>
      <c r="F33" s="50">
        <f>F257</f>
        <v>94950</v>
      </c>
      <c r="G33" s="43"/>
      <c r="H33" s="51">
        <f>H257</f>
        <v>115171</v>
      </c>
      <c r="I33" s="43"/>
      <c r="J33" s="231"/>
      <c r="K33" s="231"/>
      <c r="L33" s="231"/>
      <c r="M33" s="231"/>
      <c r="N33" s="231"/>
      <c r="O33" s="231"/>
      <c r="P33" s="231"/>
      <c r="Q33" s="231"/>
      <c r="R33" s="231"/>
      <c r="S33" s="231"/>
      <c r="T33" s="231"/>
      <c r="U33" s="231"/>
      <c r="V33" s="231"/>
      <c r="W33" s="231"/>
      <c r="X33" s="231"/>
      <c r="Y33" s="231"/>
      <c r="Z33" s="231"/>
      <c r="AA33" s="231"/>
      <c r="AB33" s="231"/>
      <c r="AC33" s="231"/>
      <c r="AD33" s="231"/>
      <c r="AE33" s="231"/>
      <c r="AF33" s="231"/>
      <c r="AG33" s="231"/>
      <c r="AH33" s="231"/>
      <c r="AI33" s="231"/>
    </row>
    <row r="34" spans="1:35" s="203" customFormat="1">
      <c r="A34" s="46">
        <v>7</v>
      </c>
      <c r="B34" s="47" t="s">
        <v>58</v>
      </c>
      <c r="C34" s="47"/>
      <c r="D34" s="48"/>
      <c r="E34" s="49">
        <v>63152</v>
      </c>
      <c r="F34" s="50">
        <f>F277</f>
        <v>63454</v>
      </c>
      <c r="G34" s="43"/>
      <c r="H34" s="50">
        <f>H277</f>
        <v>61905</v>
      </c>
      <c r="I34" s="43"/>
      <c r="J34" s="231"/>
      <c r="K34" s="231"/>
      <c r="L34" s="231"/>
      <c r="M34" s="231"/>
      <c r="N34" s="231"/>
      <c r="O34" s="231"/>
      <c r="P34" s="231"/>
      <c r="Q34" s="231"/>
      <c r="R34" s="231"/>
      <c r="S34" s="231"/>
      <c r="T34" s="231"/>
      <c r="U34" s="231"/>
      <c r="V34" s="231"/>
      <c r="W34" s="231"/>
      <c r="X34" s="231"/>
      <c r="Y34" s="231"/>
      <c r="Z34" s="231"/>
      <c r="AA34" s="231"/>
      <c r="AB34" s="231"/>
      <c r="AC34" s="231"/>
      <c r="AD34" s="231"/>
      <c r="AE34" s="231"/>
      <c r="AF34" s="231"/>
      <c r="AG34" s="231"/>
      <c r="AH34" s="231"/>
      <c r="AI34" s="231"/>
    </row>
    <row r="35" spans="1:35" s="203" customFormat="1">
      <c r="A35" s="46">
        <v>8</v>
      </c>
      <c r="B35" s="47" t="s">
        <v>59</v>
      </c>
      <c r="C35" s="47"/>
      <c r="D35" s="48"/>
      <c r="E35" s="49">
        <v>36144</v>
      </c>
      <c r="F35" s="50">
        <f>F302</f>
        <v>39875</v>
      </c>
      <c r="G35" s="43"/>
      <c r="H35" s="50">
        <f>H302</f>
        <v>36728</v>
      </c>
      <c r="I35" s="21"/>
      <c r="J35" s="231"/>
      <c r="K35" s="231"/>
      <c r="L35" s="231"/>
      <c r="M35" s="231"/>
      <c r="N35" s="231"/>
      <c r="O35" s="231"/>
      <c r="P35" s="231"/>
      <c r="Q35" s="231"/>
      <c r="R35" s="231"/>
      <c r="S35" s="231"/>
      <c r="T35" s="231"/>
      <c r="U35" s="231"/>
      <c r="V35" s="231"/>
      <c r="W35" s="231"/>
      <c r="X35" s="231"/>
      <c r="Y35" s="231"/>
      <c r="Z35" s="231"/>
      <c r="AA35" s="231"/>
      <c r="AB35" s="231"/>
      <c r="AC35" s="231"/>
      <c r="AD35" s="231"/>
      <c r="AE35" s="231"/>
      <c r="AF35" s="231"/>
      <c r="AG35" s="231"/>
      <c r="AH35" s="231"/>
      <c r="AI35" s="231"/>
    </row>
    <row r="36" spans="1:35" s="203" customFormat="1">
      <c r="A36" s="46">
        <v>9</v>
      </c>
      <c r="B36" s="47" t="s">
        <v>60</v>
      </c>
      <c r="C36" s="47"/>
      <c r="D36" s="48"/>
      <c r="E36" s="49">
        <v>0</v>
      </c>
      <c r="F36" s="52">
        <v>0</v>
      </c>
      <c r="G36" s="43"/>
      <c r="H36" s="52">
        <v>0</v>
      </c>
      <c r="I36" s="21"/>
      <c r="J36" s="231"/>
      <c r="K36" s="231"/>
      <c r="L36" s="231"/>
      <c r="M36" s="231"/>
      <c r="N36" s="231"/>
      <c r="O36" s="231"/>
      <c r="P36" s="231"/>
      <c r="Q36" s="231"/>
      <c r="R36" s="231"/>
      <c r="S36" s="231"/>
      <c r="T36" s="231"/>
      <c r="U36" s="231"/>
      <c r="V36" s="231"/>
      <c r="W36" s="231"/>
      <c r="X36" s="231"/>
      <c r="Y36" s="231"/>
      <c r="Z36" s="231"/>
      <c r="AA36" s="231"/>
      <c r="AB36" s="231"/>
      <c r="AC36" s="231"/>
      <c r="AD36" s="231"/>
      <c r="AE36" s="231"/>
      <c r="AF36" s="231"/>
      <c r="AG36" s="231"/>
      <c r="AH36" s="231"/>
      <c r="AI36" s="231"/>
    </row>
    <row r="37" spans="1:35" s="203" customFormat="1">
      <c r="A37" s="53">
        <v>10</v>
      </c>
      <c r="B37" s="54" t="s">
        <v>61</v>
      </c>
      <c r="C37" s="54"/>
      <c r="D37" s="55"/>
      <c r="E37" s="56">
        <v>171975</v>
      </c>
      <c r="F37" s="57">
        <f>F320</f>
        <v>168525</v>
      </c>
      <c r="G37" s="43"/>
      <c r="H37" s="57">
        <f>H320</f>
        <v>127960</v>
      </c>
      <c r="I37" s="21"/>
      <c r="J37" s="231"/>
      <c r="K37" s="231"/>
      <c r="L37" s="231"/>
      <c r="M37" s="231"/>
      <c r="N37" s="231"/>
      <c r="O37" s="231"/>
      <c r="P37" s="231"/>
      <c r="Q37" s="231"/>
      <c r="R37" s="231"/>
      <c r="S37" s="231"/>
      <c r="T37" s="231"/>
      <c r="U37" s="231"/>
      <c r="V37" s="231"/>
      <c r="W37" s="231"/>
      <c r="X37" s="231"/>
      <c r="Y37" s="231"/>
      <c r="Z37" s="231"/>
      <c r="AA37" s="231"/>
      <c r="AB37" s="231"/>
      <c r="AC37" s="231"/>
      <c r="AD37" s="231"/>
      <c r="AE37" s="231"/>
      <c r="AF37" s="231"/>
      <c r="AG37" s="231"/>
      <c r="AH37" s="231"/>
      <c r="AI37" s="231"/>
    </row>
    <row r="38" spans="1:35" s="203" customFormat="1">
      <c r="A38" s="33">
        <v>11</v>
      </c>
      <c r="B38" s="58" t="s">
        <v>62</v>
      </c>
      <c r="C38" s="58"/>
      <c r="D38" s="59"/>
      <c r="E38" s="60">
        <v>1466330.493</v>
      </c>
      <c r="F38" s="61">
        <f>SUM(F28:F37)</f>
        <v>1487797</v>
      </c>
      <c r="G38" s="43"/>
      <c r="H38" s="61">
        <f>SUM(H28:H37)</f>
        <v>1530046</v>
      </c>
      <c r="I38" s="68"/>
      <c r="J38" s="231"/>
      <c r="K38" s="231"/>
      <c r="L38" s="231"/>
      <c r="M38" s="231"/>
      <c r="N38" s="231"/>
      <c r="O38" s="231"/>
      <c r="P38" s="231"/>
      <c r="Q38" s="231"/>
      <c r="R38" s="231"/>
      <c r="S38" s="231"/>
      <c r="T38" s="231"/>
      <c r="U38" s="231"/>
      <c r="V38" s="231"/>
      <c r="W38" s="231"/>
      <c r="X38" s="231"/>
      <c r="Y38" s="231"/>
      <c r="Z38" s="231"/>
      <c r="AA38" s="231"/>
      <c r="AB38" s="231"/>
      <c r="AC38" s="231"/>
      <c r="AD38" s="231"/>
      <c r="AE38" s="231"/>
      <c r="AF38" s="231"/>
      <c r="AG38" s="231"/>
      <c r="AH38" s="231"/>
      <c r="AI38" s="231"/>
    </row>
    <row r="39" spans="1:35" s="203" customFormat="1" ht="12.75" customHeight="1">
      <c r="A39" s="63"/>
      <c r="B39" s="64"/>
      <c r="C39" s="64"/>
      <c r="D39" s="65"/>
      <c r="E39" s="66"/>
      <c r="F39" s="67"/>
      <c r="G39" s="21"/>
      <c r="H39" s="67"/>
      <c r="I39" s="68"/>
      <c r="J39" s="231"/>
      <c r="K39" s="231"/>
      <c r="L39" s="231"/>
      <c r="M39" s="231"/>
      <c r="N39" s="231"/>
      <c r="O39" s="231"/>
      <c r="P39" s="231"/>
      <c r="Q39" s="231"/>
      <c r="R39" s="231"/>
      <c r="S39" s="231"/>
      <c r="T39" s="231"/>
      <c r="U39" s="231"/>
      <c r="V39" s="231"/>
      <c r="W39" s="231"/>
      <c r="X39" s="231"/>
      <c r="Y39" s="231"/>
      <c r="Z39" s="231"/>
      <c r="AA39" s="231"/>
      <c r="AB39" s="231"/>
      <c r="AC39" s="231"/>
      <c r="AD39" s="231"/>
      <c r="AE39" s="231"/>
      <c r="AF39" s="231"/>
      <c r="AG39" s="231"/>
      <c r="AH39" s="231"/>
      <c r="AI39" s="231"/>
    </row>
    <row r="40" spans="1:35" s="203" customFormat="1" ht="12.75" customHeight="1">
      <c r="A40" s="893" t="s">
        <v>63</v>
      </c>
      <c r="B40" s="894"/>
      <c r="C40" s="894"/>
      <c r="D40" s="895"/>
      <c r="E40" s="878" t="s">
        <v>376</v>
      </c>
      <c r="F40" s="856" t="s">
        <v>407</v>
      </c>
      <c r="G40" s="36"/>
      <c r="H40" s="878" t="s">
        <v>406</v>
      </c>
      <c r="I40" s="43"/>
      <c r="J40" s="231"/>
      <c r="K40" s="231"/>
      <c r="L40" s="231"/>
      <c r="M40" s="231"/>
      <c r="N40" s="231"/>
      <c r="O40" s="231"/>
      <c r="P40" s="231"/>
      <c r="Q40" s="231"/>
      <c r="R40" s="231"/>
      <c r="S40" s="231"/>
      <c r="T40" s="231"/>
      <c r="U40" s="231"/>
      <c r="V40" s="231"/>
      <c r="W40" s="231"/>
      <c r="X40" s="231"/>
      <c r="Y40" s="231"/>
      <c r="Z40" s="231"/>
      <c r="AA40" s="231"/>
      <c r="AB40" s="231"/>
      <c r="AC40" s="231"/>
      <c r="AD40" s="231"/>
      <c r="AE40" s="231"/>
      <c r="AF40" s="231"/>
      <c r="AG40" s="231"/>
      <c r="AH40" s="231"/>
      <c r="AI40" s="231"/>
    </row>
    <row r="41" spans="1:35" s="203" customFormat="1" ht="27.75" customHeight="1">
      <c r="A41" s="876"/>
      <c r="B41" s="877"/>
      <c r="C41" s="877"/>
      <c r="D41" s="896"/>
      <c r="E41" s="879"/>
      <c r="F41" s="860"/>
      <c r="G41" s="23"/>
      <c r="H41" s="879"/>
      <c r="I41" s="43"/>
      <c r="J41" s="231"/>
      <c r="K41" s="231"/>
      <c r="L41" s="231"/>
      <c r="M41" s="231"/>
      <c r="N41" s="231"/>
      <c r="O41" s="231"/>
      <c r="P41" s="231"/>
      <c r="Q41" s="231"/>
      <c r="R41" s="231"/>
      <c r="S41" s="231"/>
      <c r="T41" s="231"/>
      <c r="U41" s="231"/>
      <c r="V41" s="231"/>
      <c r="W41" s="231"/>
      <c r="X41" s="231"/>
      <c r="Y41" s="231"/>
      <c r="Z41" s="231"/>
      <c r="AA41" s="231"/>
      <c r="AB41" s="231"/>
      <c r="AC41" s="231"/>
      <c r="AD41" s="231"/>
      <c r="AE41" s="231"/>
      <c r="AF41" s="231"/>
      <c r="AG41" s="231"/>
      <c r="AH41" s="231"/>
      <c r="AI41" s="231"/>
    </row>
    <row r="42" spans="1:35" s="203" customFormat="1">
      <c r="A42" s="804" t="s">
        <v>64</v>
      </c>
      <c r="B42" s="69" t="s">
        <v>65</v>
      </c>
      <c r="C42" s="69"/>
      <c r="D42" s="70"/>
      <c r="E42" s="71"/>
      <c r="F42" s="72" t="str">
        <f>IF(OR(F43&lt;0,F44&lt;0,F47&lt;0,F48&lt;0,H43&lt;0,H44&lt;0,H47&lt;0,H48&lt;0),"Funding should be recorded as positive figures",".")</f>
        <v>.</v>
      </c>
      <c r="G42" s="45"/>
      <c r="H42" s="73"/>
      <c r="I42" s="43"/>
      <c r="J42" s="231"/>
      <c r="K42" s="231"/>
      <c r="L42" s="231"/>
      <c r="M42" s="231"/>
      <c r="N42" s="231"/>
      <c r="O42" s="231"/>
      <c r="P42" s="231"/>
      <c r="Q42" s="231"/>
      <c r="R42" s="231"/>
      <c r="S42" s="231"/>
      <c r="T42" s="231"/>
      <c r="U42" s="231"/>
      <c r="V42" s="231"/>
      <c r="W42" s="231"/>
      <c r="X42" s="231"/>
      <c r="Y42" s="231"/>
      <c r="Z42" s="231"/>
      <c r="AA42" s="231"/>
      <c r="AB42" s="231"/>
      <c r="AC42" s="231"/>
      <c r="AD42" s="231"/>
      <c r="AE42" s="231"/>
      <c r="AF42" s="231"/>
      <c r="AG42" s="231"/>
      <c r="AH42" s="231"/>
      <c r="AI42" s="231"/>
    </row>
    <row r="43" spans="1:35" s="203" customFormat="1">
      <c r="A43" s="46">
        <v>1</v>
      </c>
      <c r="B43" s="47" t="s">
        <v>66</v>
      </c>
      <c r="C43" s="47"/>
      <c r="D43" s="48"/>
      <c r="E43" s="74">
        <v>864827</v>
      </c>
      <c r="F43" s="241">
        <v>868812</v>
      </c>
      <c r="G43" s="45"/>
      <c r="H43" s="75">
        <v>871105</v>
      </c>
      <c r="I43" s="43"/>
      <c r="J43" s="231"/>
      <c r="K43" s="231"/>
      <c r="L43" s="231"/>
      <c r="M43" s="231"/>
      <c r="N43" s="231"/>
      <c r="O43" s="231"/>
      <c r="P43" s="231"/>
      <c r="Q43" s="231"/>
      <c r="R43" s="231"/>
      <c r="S43" s="231"/>
      <c r="T43" s="231"/>
      <c r="U43" s="231"/>
      <c r="V43" s="231"/>
      <c r="W43" s="231"/>
      <c r="X43" s="231"/>
      <c r="Y43" s="231"/>
      <c r="Z43" s="231"/>
      <c r="AA43" s="231"/>
      <c r="AB43" s="231"/>
      <c r="AC43" s="231"/>
      <c r="AD43" s="231"/>
      <c r="AE43" s="231"/>
      <c r="AF43" s="231"/>
      <c r="AG43" s="231"/>
      <c r="AH43" s="231"/>
      <c r="AI43" s="231"/>
    </row>
    <row r="44" spans="1:35" s="203" customFormat="1">
      <c r="A44" s="46">
        <v>2</v>
      </c>
      <c r="B44" s="47" t="s">
        <v>67</v>
      </c>
      <c r="C44" s="47"/>
      <c r="D44" s="48"/>
      <c r="E44" s="49">
        <v>340778</v>
      </c>
      <c r="F44" s="241">
        <v>340778</v>
      </c>
      <c r="G44" s="45"/>
      <c r="H44" s="75">
        <v>356234</v>
      </c>
      <c r="I44" s="43"/>
      <c r="J44" s="231"/>
      <c r="K44" s="231"/>
      <c r="L44" s="231"/>
      <c r="M44" s="231"/>
      <c r="N44" s="231"/>
      <c r="O44" s="231"/>
      <c r="P44" s="231"/>
      <c r="Q44" s="231"/>
      <c r="R44" s="231"/>
      <c r="S44" s="231"/>
      <c r="T44" s="231"/>
      <c r="U44" s="231"/>
      <c r="V44" s="231"/>
      <c r="W44" s="231"/>
      <c r="X44" s="231"/>
      <c r="Y44" s="231"/>
      <c r="Z44" s="231"/>
      <c r="AA44" s="231"/>
      <c r="AB44" s="231"/>
      <c r="AC44" s="231"/>
      <c r="AD44" s="231"/>
      <c r="AE44" s="231"/>
      <c r="AF44" s="231"/>
      <c r="AG44" s="231"/>
      <c r="AH44" s="231"/>
      <c r="AI44" s="231"/>
    </row>
    <row r="45" spans="1:35" s="203" customFormat="1">
      <c r="A45" s="46">
        <v>3</v>
      </c>
      <c r="B45" s="47" t="s">
        <v>68</v>
      </c>
      <c r="C45" s="47"/>
      <c r="D45" s="48"/>
      <c r="E45" s="49">
        <v>0</v>
      </c>
      <c r="F45" s="52">
        <v>0</v>
      </c>
      <c r="G45" s="45"/>
      <c r="H45" s="75">
        <v>0</v>
      </c>
      <c r="I45" s="43"/>
      <c r="J45" s="231"/>
      <c r="K45" s="231"/>
      <c r="L45" s="231"/>
      <c r="M45" s="231"/>
      <c r="N45" s="231"/>
      <c r="O45" s="231"/>
      <c r="P45" s="231"/>
      <c r="Q45" s="231"/>
      <c r="R45" s="231"/>
      <c r="S45" s="231"/>
      <c r="T45" s="231"/>
      <c r="U45" s="231"/>
      <c r="V45" s="231"/>
      <c r="W45" s="231"/>
      <c r="X45" s="231"/>
      <c r="Y45" s="231"/>
      <c r="Z45" s="231"/>
      <c r="AA45" s="231"/>
      <c r="AB45" s="231"/>
      <c r="AC45" s="231"/>
      <c r="AD45" s="231"/>
      <c r="AE45" s="231"/>
      <c r="AF45" s="231"/>
      <c r="AG45" s="231"/>
      <c r="AH45" s="231"/>
      <c r="AI45" s="231"/>
    </row>
    <row r="46" spans="1:35" s="203" customFormat="1">
      <c r="A46" s="46">
        <v>4</v>
      </c>
      <c r="B46" s="47" t="s">
        <v>70</v>
      </c>
      <c r="C46" s="47"/>
      <c r="D46" s="48"/>
      <c r="E46" s="49">
        <v>0</v>
      </c>
      <c r="F46" s="52">
        <v>0</v>
      </c>
      <c r="G46" s="45"/>
      <c r="H46" s="75">
        <v>0</v>
      </c>
      <c r="I46" s="43"/>
      <c r="J46" s="231"/>
      <c r="K46" s="231"/>
      <c r="L46" s="231"/>
      <c r="M46" s="231"/>
      <c r="N46" s="231"/>
      <c r="O46" s="231"/>
      <c r="P46" s="231"/>
      <c r="Q46" s="231"/>
      <c r="R46" s="231"/>
      <c r="S46" s="231"/>
      <c r="T46" s="231"/>
      <c r="U46" s="231"/>
      <c r="V46" s="231"/>
      <c r="W46" s="231"/>
      <c r="X46" s="231"/>
      <c r="Y46" s="231"/>
      <c r="Z46" s="231"/>
      <c r="AA46" s="231"/>
      <c r="AB46" s="231"/>
      <c r="AC46" s="231"/>
      <c r="AD46" s="231"/>
      <c r="AE46" s="231"/>
      <c r="AF46" s="231"/>
      <c r="AG46" s="231"/>
      <c r="AH46" s="231"/>
      <c r="AI46" s="231"/>
    </row>
    <row r="47" spans="1:35" s="203" customFormat="1">
      <c r="A47" s="46">
        <v>5</v>
      </c>
      <c r="B47" s="47" t="s">
        <v>69</v>
      </c>
      <c r="C47" s="47"/>
      <c r="D47" s="48"/>
      <c r="E47" s="49">
        <v>42587</v>
      </c>
      <c r="F47" s="52">
        <v>46150</v>
      </c>
      <c r="G47" s="45"/>
      <c r="H47" s="76">
        <v>67256</v>
      </c>
      <c r="I47" s="43"/>
      <c r="J47" s="231"/>
      <c r="K47" s="231"/>
      <c r="L47" s="231"/>
      <c r="M47" s="231"/>
      <c r="N47" s="231"/>
      <c r="O47" s="231"/>
      <c r="P47" s="231"/>
      <c r="Q47" s="231"/>
      <c r="R47" s="231"/>
      <c r="S47" s="231"/>
      <c r="T47" s="231"/>
      <c r="U47" s="231"/>
      <c r="V47" s="231"/>
      <c r="W47" s="231"/>
      <c r="X47" s="231"/>
      <c r="Y47" s="231"/>
      <c r="Z47" s="231"/>
      <c r="AA47" s="231"/>
      <c r="AB47" s="231"/>
      <c r="AC47" s="231"/>
      <c r="AD47" s="231"/>
      <c r="AE47" s="231"/>
      <c r="AF47" s="231"/>
      <c r="AG47" s="231"/>
      <c r="AH47" s="231"/>
      <c r="AI47" s="231"/>
    </row>
    <row r="48" spans="1:35" s="203" customFormat="1">
      <c r="A48" s="46">
        <v>6</v>
      </c>
      <c r="B48" s="90" t="s">
        <v>253</v>
      </c>
      <c r="C48" s="47"/>
      <c r="D48" s="195"/>
      <c r="E48" s="49">
        <v>207216</v>
      </c>
      <c r="F48" s="52">
        <v>212199</v>
      </c>
      <c r="G48" s="45"/>
      <c r="H48" s="52">
        <v>220230</v>
      </c>
      <c r="I48" s="43"/>
      <c r="J48" s="231"/>
      <c r="K48" s="231"/>
      <c r="L48" s="231"/>
      <c r="M48" s="231"/>
      <c r="N48" s="231"/>
      <c r="O48" s="231"/>
      <c r="P48" s="231"/>
      <c r="Q48" s="231"/>
      <c r="R48" s="231"/>
      <c r="S48" s="231"/>
      <c r="T48" s="231"/>
      <c r="U48" s="231"/>
      <c r="V48" s="231"/>
      <c r="W48" s="231"/>
      <c r="X48" s="231"/>
      <c r="Y48" s="231"/>
      <c r="Z48" s="231"/>
      <c r="AA48" s="231"/>
      <c r="AB48" s="231"/>
      <c r="AC48" s="231"/>
      <c r="AD48" s="231"/>
      <c r="AE48" s="231"/>
      <c r="AF48" s="231"/>
      <c r="AG48" s="231"/>
      <c r="AH48" s="231"/>
      <c r="AI48" s="231"/>
    </row>
    <row r="49" spans="1:35" s="203" customFormat="1">
      <c r="A49" s="77">
        <v>7</v>
      </c>
      <c r="B49" s="78" t="s">
        <v>71</v>
      </c>
      <c r="C49" s="58"/>
      <c r="D49" s="79"/>
      <c r="E49" s="80">
        <v>1455408</v>
      </c>
      <c r="F49" s="81">
        <f>SUM(F43:F48)</f>
        <v>1467939</v>
      </c>
      <c r="G49" s="82"/>
      <c r="H49" s="62">
        <f>SUM(H43:H48)</f>
        <v>1514825</v>
      </c>
      <c r="I49" s="242"/>
      <c r="J49" s="231"/>
      <c r="K49" s="231"/>
      <c r="L49" s="231"/>
      <c r="M49" s="231"/>
      <c r="N49" s="231"/>
      <c r="O49" s="231"/>
      <c r="P49" s="231"/>
      <c r="Q49" s="231"/>
      <c r="R49" s="231"/>
      <c r="S49" s="231"/>
      <c r="T49" s="231"/>
      <c r="U49" s="231"/>
      <c r="V49" s="231"/>
      <c r="W49" s="231"/>
      <c r="X49" s="231"/>
      <c r="Y49" s="231"/>
      <c r="Z49" s="231"/>
      <c r="AA49" s="231"/>
      <c r="AB49" s="231"/>
      <c r="AC49" s="231"/>
      <c r="AD49" s="231"/>
      <c r="AE49" s="231"/>
      <c r="AF49" s="231"/>
      <c r="AG49" s="231"/>
      <c r="AH49" s="231"/>
      <c r="AI49" s="231"/>
    </row>
    <row r="50" spans="1:35" s="203" customFormat="1">
      <c r="A50" s="83"/>
      <c r="B50" s="244"/>
      <c r="C50" s="244"/>
      <c r="D50" s="244"/>
      <c r="E50" s="85"/>
      <c r="F50" s="244"/>
      <c r="G50" s="86"/>
      <c r="H50" s="86"/>
      <c r="I50" s="21"/>
      <c r="J50" s="231"/>
      <c r="K50" s="231"/>
      <c r="L50" s="231"/>
      <c r="M50" s="231"/>
      <c r="N50" s="231"/>
      <c r="O50" s="231"/>
      <c r="P50" s="231"/>
      <c r="Q50" s="231"/>
      <c r="R50" s="231"/>
      <c r="S50" s="231"/>
      <c r="T50" s="231"/>
      <c r="U50" s="231"/>
      <c r="V50" s="231"/>
      <c r="W50" s="231"/>
      <c r="X50" s="231"/>
      <c r="Y50" s="231"/>
      <c r="Z50" s="231"/>
      <c r="AA50" s="231"/>
      <c r="AB50" s="231"/>
      <c r="AC50" s="231"/>
      <c r="AD50" s="231"/>
      <c r="AE50" s="231"/>
      <c r="AF50" s="231"/>
      <c r="AG50" s="231"/>
      <c r="AH50" s="231"/>
      <c r="AI50" s="231"/>
    </row>
    <row r="51" spans="1:35" s="203" customFormat="1">
      <c r="A51" s="804" t="s">
        <v>72</v>
      </c>
      <c r="B51" s="196" t="s">
        <v>254</v>
      </c>
      <c r="C51" s="69"/>
      <c r="D51" s="70"/>
      <c r="E51" s="87"/>
      <c r="F51" s="88"/>
      <c r="G51" s="45"/>
      <c r="H51" s="89"/>
      <c r="I51" s="43"/>
      <c r="J51" s="231"/>
      <c r="K51" s="231"/>
      <c r="L51" s="231"/>
      <c r="M51" s="231"/>
      <c r="N51" s="231"/>
      <c r="O51" s="231"/>
      <c r="P51" s="231"/>
      <c r="Q51" s="231"/>
      <c r="R51" s="231"/>
      <c r="S51" s="231"/>
      <c r="T51" s="231"/>
      <c r="U51" s="231"/>
      <c r="V51" s="231"/>
      <c r="W51" s="231"/>
      <c r="X51" s="231"/>
      <c r="Y51" s="231"/>
      <c r="Z51" s="231"/>
      <c r="AA51" s="231"/>
      <c r="AB51" s="231"/>
      <c r="AC51" s="231"/>
      <c r="AD51" s="231"/>
      <c r="AE51" s="231"/>
      <c r="AF51" s="231"/>
      <c r="AG51" s="231"/>
      <c r="AH51" s="231"/>
      <c r="AI51" s="231"/>
    </row>
    <row r="52" spans="1:35" s="203" customFormat="1">
      <c r="A52" s="46">
        <v>8</v>
      </c>
      <c r="B52" s="90" t="s">
        <v>73</v>
      </c>
      <c r="C52" s="47"/>
      <c r="D52" s="48"/>
      <c r="E52" s="74">
        <v>1466330.493</v>
      </c>
      <c r="F52" s="50">
        <f>F38</f>
        <v>1487797</v>
      </c>
      <c r="G52" s="45"/>
      <c r="H52" s="91">
        <f>H38</f>
        <v>1530046</v>
      </c>
      <c r="I52" s="43"/>
      <c r="J52" s="231"/>
      <c r="K52" s="231"/>
      <c r="L52" s="231"/>
      <c r="M52" s="231"/>
      <c r="N52" s="231"/>
      <c r="O52" s="231"/>
      <c r="P52" s="231"/>
      <c r="Q52" s="231"/>
      <c r="R52" s="231"/>
      <c r="S52" s="231"/>
      <c r="T52" s="231"/>
      <c r="U52" s="231"/>
      <c r="V52" s="231"/>
      <c r="W52" s="231"/>
      <c r="X52" s="231"/>
      <c r="Y52" s="231"/>
      <c r="Z52" s="231"/>
      <c r="AA52" s="231"/>
      <c r="AB52" s="231"/>
      <c r="AC52" s="231"/>
      <c r="AD52" s="231"/>
      <c r="AE52" s="231"/>
      <c r="AF52" s="231"/>
      <c r="AG52" s="231"/>
      <c r="AH52" s="231"/>
      <c r="AI52" s="231"/>
    </row>
    <row r="53" spans="1:35" s="203" customFormat="1">
      <c r="A53" s="46">
        <v>9</v>
      </c>
      <c r="B53" s="90" t="s">
        <v>74</v>
      </c>
      <c r="C53" s="47"/>
      <c r="D53" s="48"/>
      <c r="E53" s="49">
        <v>1455408</v>
      </c>
      <c r="F53" s="92">
        <f>F49</f>
        <v>1467939</v>
      </c>
      <c r="G53" s="45"/>
      <c r="H53" s="91">
        <f>H49</f>
        <v>1514825</v>
      </c>
      <c r="I53" s="43"/>
      <c r="J53" s="231"/>
      <c r="K53" s="231"/>
      <c r="L53" s="231"/>
      <c r="M53" s="231"/>
      <c r="N53" s="231"/>
      <c r="O53" s="231"/>
      <c r="P53" s="231"/>
      <c r="Q53" s="231"/>
      <c r="R53" s="231"/>
      <c r="S53" s="231"/>
      <c r="T53" s="231"/>
      <c r="U53" s="231"/>
      <c r="V53" s="231"/>
      <c r="W53" s="231"/>
      <c r="X53" s="231"/>
      <c r="Y53" s="231"/>
      <c r="Z53" s="231"/>
      <c r="AA53" s="231"/>
      <c r="AB53" s="231"/>
      <c r="AC53" s="231"/>
      <c r="AD53" s="231"/>
      <c r="AE53" s="231"/>
      <c r="AF53" s="231"/>
      <c r="AG53" s="231"/>
      <c r="AH53" s="231"/>
      <c r="AI53" s="231"/>
    </row>
    <row r="54" spans="1:35" s="203" customFormat="1">
      <c r="A54" s="806">
        <v>10</v>
      </c>
      <c r="B54" s="93" t="s">
        <v>255</v>
      </c>
      <c r="C54" s="94"/>
      <c r="D54" s="55"/>
      <c r="E54" s="95">
        <v>-10922.493000000017</v>
      </c>
      <c r="F54" s="96">
        <f>F53-F52</f>
        <v>-19858</v>
      </c>
      <c r="G54" s="45"/>
      <c r="H54" s="97">
        <f>H53-H52</f>
        <v>-15221</v>
      </c>
      <c r="I54" s="43"/>
      <c r="J54" s="231"/>
      <c r="K54" s="231"/>
      <c r="L54" s="231"/>
      <c r="M54" s="231"/>
      <c r="N54" s="231"/>
      <c r="O54" s="231"/>
      <c r="P54" s="231"/>
      <c r="Q54" s="231"/>
      <c r="R54" s="231"/>
      <c r="S54" s="231"/>
      <c r="T54" s="231"/>
      <c r="U54" s="231"/>
      <c r="V54" s="231"/>
      <c r="W54" s="231"/>
      <c r="X54" s="231"/>
      <c r="Y54" s="231"/>
      <c r="Z54" s="231"/>
      <c r="AA54" s="231"/>
      <c r="AB54" s="231"/>
      <c r="AC54" s="231"/>
      <c r="AD54" s="231"/>
      <c r="AE54" s="231"/>
      <c r="AF54" s="231"/>
      <c r="AG54" s="231"/>
      <c r="AH54" s="231"/>
      <c r="AI54" s="231"/>
    </row>
    <row r="55" spans="1:35" s="203" customFormat="1">
      <c r="A55" s="83"/>
      <c r="B55" s="244"/>
      <c r="C55" s="244"/>
      <c r="D55" s="244"/>
      <c r="E55" s="85"/>
      <c r="F55" s="244"/>
      <c r="G55" s="86"/>
      <c r="H55" s="86"/>
      <c r="I55" s="21"/>
      <c r="J55" s="231"/>
      <c r="K55" s="231"/>
      <c r="L55" s="231"/>
      <c r="M55" s="231"/>
      <c r="N55" s="231"/>
      <c r="O55" s="231"/>
      <c r="P55" s="231"/>
      <c r="Q55" s="231"/>
      <c r="R55" s="231"/>
      <c r="S55" s="231"/>
      <c r="T55" s="231"/>
      <c r="U55" s="231"/>
      <c r="V55" s="231"/>
      <c r="W55" s="231"/>
      <c r="X55" s="231"/>
      <c r="Y55" s="231"/>
      <c r="Z55" s="231"/>
      <c r="AA55" s="231"/>
      <c r="AB55" s="231"/>
      <c r="AC55" s="231"/>
      <c r="AD55" s="231"/>
      <c r="AE55" s="231"/>
      <c r="AF55" s="231"/>
      <c r="AG55" s="231"/>
      <c r="AH55" s="231"/>
      <c r="AI55" s="231"/>
    </row>
    <row r="56" spans="1:35" s="203" customFormat="1">
      <c r="A56" s="804" t="s">
        <v>75</v>
      </c>
      <c r="B56" s="69" t="s">
        <v>256</v>
      </c>
      <c r="C56" s="69"/>
      <c r="D56" s="70"/>
      <c r="E56" s="87"/>
      <c r="F56" s="88"/>
      <c r="G56" s="45"/>
      <c r="H56" s="89"/>
      <c r="I56" s="43"/>
      <c r="J56" s="231"/>
      <c r="K56" s="231"/>
      <c r="L56" s="231"/>
      <c r="M56" s="231"/>
      <c r="N56" s="231"/>
      <c r="O56" s="231"/>
      <c r="P56" s="231"/>
      <c r="Q56" s="231"/>
      <c r="R56" s="231"/>
      <c r="S56" s="231"/>
      <c r="T56" s="231"/>
      <c r="U56" s="231"/>
      <c r="V56" s="231"/>
      <c r="W56" s="231"/>
      <c r="X56" s="231"/>
      <c r="Y56" s="231"/>
      <c r="Z56" s="231"/>
      <c r="AA56" s="231"/>
      <c r="AB56" s="231"/>
      <c r="AC56" s="231"/>
      <c r="AD56" s="231"/>
      <c r="AE56" s="231"/>
      <c r="AF56" s="231"/>
      <c r="AG56" s="231"/>
      <c r="AH56" s="231"/>
      <c r="AI56" s="231"/>
    </row>
    <row r="57" spans="1:35" s="203" customFormat="1">
      <c r="A57" s="46">
        <v>11</v>
      </c>
      <c r="B57" s="47" t="s">
        <v>76</v>
      </c>
      <c r="C57" s="47"/>
      <c r="D57" s="48"/>
      <c r="E57" s="74">
        <v>51916</v>
      </c>
      <c r="F57" s="52">
        <v>47818</v>
      </c>
      <c r="G57" s="45"/>
      <c r="H57" s="91">
        <f>F61</f>
        <v>30319</v>
      </c>
      <c r="I57" s="43"/>
      <c r="J57" s="231"/>
      <c r="K57" s="231"/>
      <c r="L57" s="231"/>
      <c r="M57" s="231"/>
      <c r="N57" s="231"/>
      <c r="O57" s="231"/>
      <c r="P57" s="231"/>
      <c r="Q57" s="231"/>
      <c r="R57" s="231"/>
      <c r="S57" s="231"/>
      <c r="T57" s="231"/>
      <c r="U57" s="231"/>
      <c r="V57" s="231"/>
      <c r="W57" s="231"/>
      <c r="X57" s="231"/>
      <c r="Y57" s="231"/>
      <c r="Z57" s="231"/>
      <c r="AA57" s="231"/>
      <c r="AB57" s="231"/>
      <c r="AC57" s="231"/>
      <c r="AD57" s="231"/>
      <c r="AE57" s="231"/>
      <c r="AF57" s="231"/>
      <c r="AG57" s="231"/>
      <c r="AH57" s="231"/>
      <c r="AI57" s="231"/>
    </row>
    <row r="58" spans="1:35" s="203" customFormat="1">
      <c r="A58" s="46">
        <v>12</v>
      </c>
      <c r="B58" s="90" t="s">
        <v>257</v>
      </c>
      <c r="C58" s="47"/>
      <c r="D58" s="48"/>
      <c r="E58" s="49">
        <v>-10922.493000000017</v>
      </c>
      <c r="F58" s="92">
        <f>F54</f>
        <v>-19858</v>
      </c>
      <c r="G58" s="45"/>
      <c r="H58" s="98">
        <f>H54</f>
        <v>-15221</v>
      </c>
      <c r="I58" s="43"/>
      <c r="J58" s="231"/>
      <c r="K58" s="231"/>
      <c r="L58" s="231"/>
      <c r="M58" s="231"/>
      <c r="N58" s="231"/>
      <c r="O58" s="231"/>
      <c r="P58" s="231"/>
      <c r="Q58" s="231"/>
      <c r="R58" s="231"/>
      <c r="S58" s="231"/>
      <c r="T58" s="231"/>
      <c r="U58" s="231"/>
      <c r="V58" s="231"/>
      <c r="W58" s="231"/>
      <c r="X58" s="231"/>
      <c r="Y58" s="231"/>
      <c r="Z58" s="231"/>
      <c r="AA58" s="231"/>
      <c r="AB58" s="231"/>
      <c r="AC58" s="231"/>
      <c r="AD58" s="231"/>
      <c r="AE58" s="231"/>
      <c r="AF58" s="231"/>
      <c r="AG58" s="231"/>
      <c r="AH58" s="231"/>
      <c r="AI58" s="231"/>
    </row>
    <row r="59" spans="1:35" s="203" customFormat="1">
      <c r="A59" s="46">
        <v>13</v>
      </c>
      <c r="B59" s="47" t="s">
        <v>77</v>
      </c>
      <c r="C59" s="47"/>
      <c r="D59" s="48"/>
      <c r="E59" s="49">
        <v>0</v>
      </c>
      <c r="F59" s="52">
        <v>0</v>
      </c>
      <c r="G59" s="45"/>
      <c r="H59" s="99">
        <v>0</v>
      </c>
      <c r="I59" s="43"/>
      <c r="J59" s="231"/>
      <c r="K59" s="231"/>
      <c r="L59" s="231"/>
      <c r="M59" s="231"/>
      <c r="N59" s="231"/>
      <c r="O59" s="231"/>
      <c r="P59" s="231"/>
      <c r="Q59" s="231"/>
      <c r="R59" s="231"/>
      <c r="S59" s="231"/>
      <c r="T59" s="231"/>
      <c r="U59" s="231"/>
      <c r="V59" s="231"/>
      <c r="W59" s="231"/>
      <c r="X59" s="231"/>
      <c r="Y59" s="231"/>
      <c r="Z59" s="231"/>
      <c r="AA59" s="231"/>
      <c r="AB59" s="231"/>
      <c r="AC59" s="231"/>
      <c r="AD59" s="231"/>
      <c r="AE59" s="231"/>
      <c r="AF59" s="231"/>
      <c r="AG59" s="231"/>
      <c r="AH59" s="231"/>
      <c r="AI59" s="231"/>
    </row>
    <row r="60" spans="1:35" s="203" customFormat="1">
      <c r="A60" s="46">
        <v>14</v>
      </c>
      <c r="B60" s="47" t="s">
        <v>78</v>
      </c>
      <c r="C60" s="47"/>
      <c r="D60" s="48"/>
      <c r="E60" s="49">
        <v>7105</v>
      </c>
      <c r="F60" s="52">
        <v>2359</v>
      </c>
      <c r="G60" s="45"/>
      <c r="H60" s="100">
        <v>3221</v>
      </c>
      <c r="I60" s="43"/>
      <c r="J60" s="231"/>
      <c r="K60" s="231"/>
      <c r="L60" s="231"/>
      <c r="M60" s="231"/>
      <c r="N60" s="231"/>
      <c r="O60" s="231"/>
      <c r="P60" s="231"/>
      <c r="Q60" s="231"/>
      <c r="R60" s="231"/>
      <c r="S60" s="231"/>
      <c r="T60" s="231"/>
      <c r="U60" s="231"/>
      <c r="V60" s="231"/>
      <c r="W60" s="231"/>
      <c r="X60" s="231"/>
      <c r="Y60" s="231"/>
      <c r="Z60" s="231"/>
      <c r="AA60" s="231"/>
      <c r="AB60" s="231"/>
      <c r="AC60" s="231"/>
      <c r="AD60" s="231"/>
      <c r="AE60" s="231"/>
      <c r="AF60" s="231"/>
      <c r="AG60" s="231"/>
      <c r="AH60" s="231"/>
      <c r="AI60" s="231"/>
    </row>
    <row r="61" spans="1:35" s="203" customFormat="1">
      <c r="A61" s="53">
        <v>15</v>
      </c>
      <c r="B61" s="54" t="s">
        <v>79</v>
      </c>
      <c r="C61" s="54"/>
      <c r="D61" s="55"/>
      <c r="E61" s="56">
        <v>48098.506999999983</v>
      </c>
      <c r="F61" s="96">
        <f>F57+F58+F59+F60</f>
        <v>30319</v>
      </c>
      <c r="G61" s="45"/>
      <c r="H61" s="101">
        <f>H57+H58+H59+H60</f>
        <v>18319</v>
      </c>
      <c r="I61" s="43"/>
      <c r="J61" s="231"/>
      <c r="K61" s="231"/>
      <c r="L61" s="231"/>
      <c r="M61" s="231"/>
      <c r="N61" s="231"/>
      <c r="O61" s="231"/>
      <c r="P61" s="231"/>
      <c r="Q61" s="231"/>
      <c r="R61" s="231"/>
      <c r="S61" s="231"/>
      <c r="T61" s="231"/>
      <c r="U61" s="231"/>
      <c r="V61" s="231"/>
      <c r="W61" s="231"/>
      <c r="X61" s="231"/>
      <c r="Y61" s="231"/>
      <c r="Z61" s="231"/>
      <c r="AA61" s="231"/>
      <c r="AB61" s="231"/>
      <c r="AC61" s="231"/>
      <c r="AD61" s="231"/>
      <c r="AE61" s="231"/>
      <c r="AF61" s="231"/>
      <c r="AG61" s="231"/>
      <c r="AH61" s="231"/>
      <c r="AI61" s="231"/>
    </row>
    <row r="62" spans="1:35" s="203" customFormat="1">
      <c r="A62" s="102"/>
      <c r="B62" s="207"/>
      <c r="C62" s="207"/>
      <c r="D62" s="207"/>
      <c r="E62" s="103"/>
      <c r="F62" s="21"/>
      <c r="G62" s="21"/>
      <c r="H62" s="21"/>
      <c r="I62" s="21"/>
      <c r="J62" s="231"/>
      <c r="K62" s="231"/>
      <c r="L62" s="231"/>
      <c r="M62" s="231"/>
      <c r="N62" s="231"/>
      <c r="O62" s="231"/>
      <c r="P62" s="231"/>
      <c r="Q62" s="231"/>
      <c r="R62" s="231"/>
      <c r="S62" s="231"/>
      <c r="T62" s="231"/>
      <c r="U62" s="231"/>
      <c r="V62" s="231"/>
      <c r="W62" s="231"/>
      <c r="X62" s="231"/>
      <c r="Y62" s="231"/>
      <c r="Z62" s="231"/>
      <c r="AA62" s="231"/>
      <c r="AB62" s="231"/>
      <c r="AC62" s="231"/>
      <c r="AD62" s="231"/>
      <c r="AE62" s="231"/>
      <c r="AF62" s="231"/>
      <c r="AG62" s="231"/>
      <c r="AH62" s="231"/>
      <c r="AI62" s="231"/>
    </row>
    <row r="63" spans="1:35" s="203" customFormat="1" ht="12.75" customHeight="1">
      <c r="A63" s="23"/>
      <c r="B63" s="207"/>
      <c r="C63" s="207"/>
      <c r="D63" s="207"/>
      <c r="E63" s="15"/>
      <c r="F63" s="207"/>
      <c r="G63" s="207"/>
      <c r="H63" s="21"/>
      <c r="I63" s="21"/>
      <c r="J63" s="231"/>
      <c r="K63" s="231"/>
      <c r="L63" s="231"/>
      <c r="M63" s="231"/>
      <c r="N63" s="231"/>
      <c r="O63" s="231"/>
      <c r="P63" s="231"/>
      <c r="Q63" s="231"/>
      <c r="R63" s="231"/>
      <c r="S63" s="231"/>
      <c r="T63" s="231"/>
      <c r="U63" s="231"/>
      <c r="V63" s="231"/>
      <c r="W63" s="231"/>
      <c r="X63" s="231"/>
      <c r="Y63" s="231"/>
      <c r="Z63" s="231"/>
      <c r="AA63" s="231"/>
      <c r="AB63" s="231"/>
      <c r="AC63" s="231"/>
      <c r="AD63" s="231"/>
      <c r="AE63" s="231"/>
      <c r="AF63" s="231"/>
      <c r="AG63" s="231"/>
      <c r="AH63" s="231"/>
      <c r="AI63" s="231"/>
    </row>
    <row r="64" spans="1:35" s="203" customFormat="1" ht="15">
      <c r="A64" s="104" t="s">
        <v>80</v>
      </c>
      <c r="B64" s="29"/>
      <c r="C64" s="29"/>
      <c r="D64" s="29"/>
      <c r="E64" s="15"/>
      <c r="F64" s="29"/>
      <c r="G64" s="29"/>
      <c r="H64" s="29"/>
      <c r="I64" s="29"/>
      <c r="J64" s="231"/>
      <c r="K64" s="231"/>
      <c r="L64" s="231"/>
      <c r="M64" s="231"/>
      <c r="N64" s="231"/>
      <c r="O64" s="231"/>
      <c r="P64" s="231"/>
      <c r="Q64" s="231"/>
      <c r="R64" s="231"/>
      <c r="S64" s="231"/>
      <c r="T64" s="231"/>
      <c r="U64" s="231"/>
      <c r="V64" s="231"/>
      <c r="W64" s="231"/>
      <c r="X64" s="231"/>
      <c r="Y64" s="231"/>
      <c r="Z64" s="231"/>
      <c r="AA64" s="231"/>
      <c r="AB64" s="231"/>
      <c r="AC64" s="231"/>
      <c r="AD64" s="231"/>
      <c r="AE64" s="231"/>
      <c r="AF64" s="231"/>
      <c r="AG64" s="231"/>
      <c r="AH64" s="231"/>
      <c r="AI64" s="231"/>
    </row>
    <row r="65" spans="1:35" s="203" customFormat="1">
      <c r="A65" s="32"/>
      <c r="B65" s="29"/>
      <c r="C65" s="29"/>
      <c r="D65" s="29"/>
      <c r="E65" s="105"/>
      <c r="F65" s="29"/>
      <c r="G65" s="29"/>
      <c r="H65" s="29"/>
      <c r="I65" s="131" t="s">
        <v>27</v>
      </c>
      <c r="J65" s="231"/>
      <c r="K65" s="231"/>
      <c r="L65" s="231"/>
      <c r="M65" s="231"/>
      <c r="N65" s="231"/>
      <c r="O65" s="231"/>
      <c r="P65" s="231"/>
      <c r="Q65" s="231"/>
      <c r="R65" s="231"/>
      <c r="S65" s="231"/>
      <c r="T65" s="231"/>
      <c r="U65" s="231"/>
      <c r="V65" s="231"/>
      <c r="W65" s="231"/>
      <c r="X65" s="231"/>
      <c r="Y65" s="231"/>
      <c r="Z65" s="231"/>
      <c r="AA65" s="231"/>
      <c r="AB65" s="231"/>
      <c r="AC65" s="231"/>
      <c r="AD65" s="231"/>
      <c r="AE65" s="231"/>
      <c r="AF65" s="231"/>
      <c r="AG65" s="231"/>
      <c r="AH65" s="231"/>
      <c r="AI65" s="231"/>
    </row>
    <row r="66" spans="1:35" s="203" customFormat="1">
      <c r="A66" s="106" t="s">
        <v>14</v>
      </c>
      <c r="B66" s="107"/>
      <c r="C66" s="107"/>
      <c r="D66" s="107"/>
      <c r="E66" s="856" t="s">
        <v>377</v>
      </c>
      <c r="F66" s="962" t="s">
        <v>402</v>
      </c>
      <c r="G66" s="867" t="s">
        <v>81</v>
      </c>
      <c r="H66" s="962" t="s">
        <v>403</v>
      </c>
      <c r="I66" s="867" t="s">
        <v>81</v>
      </c>
      <c r="J66" s="231"/>
      <c r="K66" s="231"/>
      <c r="L66" s="231"/>
      <c r="M66" s="231"/>
      <c r="N66" s="231"/>
      <c r="O66" s="231"/>
      <c r="P66" s="231"/>
      <c r="Q66" s="231"/>
      <c r="R66" s="231"/>
      <c r="S66" s="231"/>
      <c r="T66" s="231"/>
      <c r="U66" s="231"/>
      <c r="V66" s="231"/>
      <c r="W66" s="231"/>
      <c r="X66" s="231"/>
      <c r="Y66" s="231"/>
      <c r="Z66" s="231"/>
      <c r="AA66" s="231"/>
      <c r="AB66" s="231"/>
      <c r="AC66" s="231"/>
      <c r="AD66" s="231"/>
      <c r="AE66" s="231"/>
      <c r="AF66" s="231"/>
      <c r="AG66" s="231"/>
      <c r="AH66" s="231"/>
      <c r="AI66" s="231"/>
    </row>
    <row r="67" spans="1:35" s="203" customFormat="1" ht="21" customHeight="1">
      <c r="A67" s="108"/>
      <c r="B67" s="47"/>
      <c r="C67" s="47"/>
      <c r="D67" s="47"/>
      <c r="E67" s="859"/>
      <c r="F67" s="963"/>
      <c r="G67" s="868"/>
      <c r="H67" s="963"/>
      <c r="I67" s="868"/>
      <c r="J67" s="231"/>
      <c r="K67" s="231"/>
      <c r="L67" s="231"/>
      <c r="M67" s="231"/>
      <c r="N67" s="231"/>
      <c r="O67" s="231"/>
      <c r="P67" s="231"/>
      <c r="Q67" s="231"/>
      <c r="R67" s="231"/>
      <c r="S67" s="231"/>
      <c r="T67" s="231"/>
      <c r="U67" s="231"/>
      <c r="V67" s="231"/>
      <c r="W67" s="231"/>
      <c r="X67" s="231"/>
      <c r="Y67" s="231"/>
      <c r="Z67" s="231"/>
      <c r="AA67" s="231"/>
      <c r="AB67" s="231"/>
      <c r="AC67" s="231"/>
      <c r="AD67" s="231"/>
      <c r="AE67" s="231"/>
      <c r="AF67" s="231"/>
      <c r="AG67" s="231"/>
      <c r="AH67" s="231"/>
      <c r="AI67" s="231"/>
    </row>
    <row r="68" spans="1:35" s="203" customFormat="1">
      <c r="A68" s="109" t="s">
        <v>82</v>
      </c>
      <c r="B68" s="47"/>
      <c r="C68" s="47"/>
      <c r="D68" s="47"/>
      <c r="E68" s="859"/>
      <c r="F68" s="963"/>
      <c r="G68" s="868"/>
      <c r="H68" s="963"/>
      <c r="I68" s="868"/>
      <c r="J68" s="231"/>
      <c r="K68" s="231"/>
      <c r="L68" s="231"/>
      <c r="M68" s="231"/>
      <c r="N68" s="231"/>
      <c r="O68" s="231"/>
      <c r="P68" s="231"/>
      <c r="Q68" s="231"/>
      <c r="R68" s="231"/>
      <c r="S68" s="231"/>
      <c r="T68" s="231"/>
      <c r="U68" s="231"/>
      <c r="V68" s="231"/>
      <c r="W68" s="231"/>
      <c r="X68" s="231"/>
      <c r="Y68" s="231"/>
      <c r="Z68" s="231"/>
      <c r="AA68" s="231"/>
      <c r="AB68" s="231"/>
      <c r="AC68" s="231"/>
      <c r="AD68" s="231"/>
      <c r="AE68" s="231"/>
      <c r="AF68" s="231"/>
      <c r="AG68" s="231"/>
      <c r="AH68" s="231"/>
      <c r="AI68" s="231"/>
    </row>
    <row r="69" spans="1:35" s="203" customFormat="1">
      <c r="A69" s="109" t="s">
        <v>83</v>
      </c>
      <c r="B69" s="47"/>
      <c r="C69" s="47"/>
      <c r="D69" s="47"/>
      <c r="E69" s="859"/>
      <c r="F69" s="963"/>
      <c r="G69" s="868"/>
      <c r="H69" s="963"/>
      <c r="I69" s="868"/>
      <c r="J69" s="231"/>
      <c r="K69" s="231"/>
      <c r="L69" s="231"/>
      <c r="M69" s="231"/>
      <c r="N69" s="231"/>
      <c r="O69" s="231"/>
      <c r="P69" s="231"/>
      <c r="Q69" s="231"/>
      <c r="R69" s="231"/>
      <c r="S69" s="231"/>
      <c r="T69" s="231"/>
      <c r="U69" s="231"/>
      <c r="V69" s="231"/>
      <c r="W69" s="231"/>
      <c r="X69" s="231"/>
      <c r="Y69" s="231"/>
      <c r="Z69" s="231"/>
      <c r="AA69" s="231"/>
      <c r="AB69" s="231"/>
      <c r="AC69" s="231"/>
      <c r="AD69" s="231"/>
      <c r="AE69" s="231"/>
      <c r="AF69" s="231"/>
      <c r="AG69" s="231"/>
      <c r="AH69" s="231"/>
      <c r="AI69" s="231"/>
    </row>
    <row r="70" spans="1:35" s="203" customFormat="1">
      <c r="A70" s="110" t="s">
        <v>84</v>
      </c>
      <c r="B70" s="47"/>
      <c r="C70" s="47"/>
      <c r="D70" s="47"/>
      <c r="E70" s="860"/>
      <c r="F70" s="964"/>
      <c r="G70" s="869"/>
      <c r="H70" s="964"/>
      <c r="I70" s="869"/>
      <c r="J70" s="231"/>
      <c r="K70" s="231"/>
      <c r="L70" s="231"/>
      <c r="M70" s="231"/>
      <c r="N70" s="231"/>
      <c r="O70" s="231"/>
      <c r="P70" s="231"/>
      <c r="Q70" s="231"/>
      <c r="R70" s="231"/>
      <c r="S70" s="231"/>
      <c r="T70" s="231"/>
      <c r="U70" s="231"/>
      <c r="V70" s="231"/>
      <c r="W70" s="231"/>
      <c r="X70" s="231"/>
      <c r="Y70" s="231"/>
      <c r="Z70" s="231"/>
      <c r="AA70" s="231"/>
      <c r="AB70" s="231"/>
      <c r="AC70" s="231"/>
      <c r="AD70" s="231"/>
      <c r="AE70" s="231"/>
      <c r="AF70" s="231"/>
      <c r="AG70" s="231"/>
      <c r="AH70" s="231"/>
      <c r="AI70" s="231"/>
    </row>
    <row r="71" spans="1:35" s="203" customFormat="1">
      <c r="A71" s="111">
        <v>1</v>
      </c>
      <c r="B71" s="47" t="s">
        <v>85</v>
      </c>
      <c r="C71" s="47"/>
      <c r="D71" s="47"/>
      <c r="E71" s="41">
        <v>69090</v>
      </c>
      <c r="F71" s="247">
        <f>72525</f>
        <v>72525</v>
      </c>
      <c r="G71" s="112">
        <v>64724</v>
      </c>
      <c r="H71" s="248">
        <f>94153+37</f>
        <v>94190</v>
      </c>
      <c r="I71" s="112">
        <v>83764</v>
      </c>
      <c r="J71" s="231"/>
      <c r="K71" s="231"/>
      <c r="L71" s="231"/>
      <c r="M71" s="231"/>
      <c r="N71" s="231"/>
      <c r="O71" s="231"/>
      <c r="P71" s="231"/>
      <c r="Q71" s="231"/>
      <c r="R71" s="231"/>
      <c r="S71" s="231"/>
      <c r="T71" s="231"/>
      <c r="U71" s="231"/>
      <c r="V71" s="231"/>
      <c r="W71" s="231"/>
      <c r="X71" s="231"/>
      <c r="Y71" s="231"/>
      <c r="Z71" s="231"/>
      <c r="AA71" s="231"/>
      <c r="AB71" s="231"/>
      <c r="AC71" s="231"/>
      <c r="AD71" s="231"/>
      <c r="AE71" s="231"/>
      <c r="AF71" s="231"/>
      <c r="AG71" s="231"/>
      <c r="AH71" s="231"/>
      <c r="AI71" s="231"/>
    </row>
    <row r="72" spans="1:35" s="203" customFormat="1">
      <c r="A72" s="111">
        <v>2</v>
      </c>
      <c r="B72" s="47" t="s">
        <v>86</v>
      </c>
      <c r="C72" s="47"/>
      <c r="D72" s="47"/>
      <c r="E72" s="49">
        <v>199127</v>
      </c>
      <c r="F72" s="247">
        <f>209900</f>
        <v>209900</v>
      </c>
      <c r="G72" s="113">
        <v>199400</v>
      </c>
      <c r="H72" s="123">
        <f>213263+322</f>
        <v>213585</v>
      </c>
      <c r="I72" s="113">
        <v>203609</v>
      </c>
      <c r="J72" s="231"/>
      <c r="K72" s="231"/>
      <c r="L72" s="231"/>
      <c r="M72" s="231"/>
      <c r="N72" s="231"/>
      <c r="O72" s="231"/>
      <c r="P72" s="231"/>
      <c r="Q72" s="231"/>
      <c r="R72" s="231"/>
      <c r="S72" s="231"/>
      <c r="T72" s="231"/>
      <c r="U72" s="231"/>
      <c r="V72" s="231"/>
      <c r="W72" s="231"/>
      <c r="X72" s="231"/>
      <c r="Y72" s="231"/>
      <c r="Z72" s="231"/>
      <c r="AA72" s="231"/>
      <c r="AB72" s="231"/>
      <c r="AC72" s="231"/>
      <c r="AD72" s="231"/>
      <c r="AE72" s="231"/>
      <c r="AF72" s="231"/>
      <c r="AG72" s="231"/>
      <c r="AH72" s="231"/>
      <c r="AI72" s="231"/>
    </row>
    <row r="73" spans="1:35" s="203" customFormat="1">
      <c r="A73" s="111">
        <v>3</v>
      </c>
      <c r="B73" s="47" t="s">
        <v>87</v>
      </c>
      <c r="C73" s="47"/>
      <c r="D73" s="47"/>
      <c r="E73" s="114">
        <v>176793</v>
      </c>
      <c r="F73" s="247">
        <v>180913</v>
      </c>
      <c r="G73" s="113">
        <v>168448</v>
      </c>
      <c r="H73" s="123">
        <f>188388+70</f>
        <v>188458</v>
      </c>
      <c r="I73" s="113">
        <v>175445</v>
      </c>
      <c r="J73" s="231"/>
      <c r="K73" s="231"/>
      <c r="L73" s="231"/>
      <c r="M73" s="231"/>
      <c r="N73" s="231"/>
      <c r="O73" s="231"/>
      <c r="P73" s="231"/>
      <c r="Q73" s="231"/>
      <c r="R73" s="231"/>
      <c r="S73" s="231"/>
      <c r="T73" s="231"/>
      <c r="U73" s="231"/>
      <c r="V73" s="231"/>
      <c r="W73" s="231"/>
      <c r="X73" s="231"/>
      <c r="Y73" s="231"/>
      <c r="Z73" s="231"/>
      <c r="AA73" s="231"/>
      <c r="AB73" s="231"/>
      <c r="AC73" s="231"/>
      <c r="AD73" s="231"/>
      <c r="AE73" s="231"/>
      <c r="AF73" s="231"/>
      <c r="AG73" s="231"/>
      <c r="AH73" s="231"/>
      <c r="AI73" s="231"/>
    </row>
    <row r="74" spans="1:35" s="203" customFormat="1">
      <c r="A74" s="111">
        <v>4</v>
      </c>
      <c r="B74" s="47" t="s">
        <v>88</v>
      </c>
      <c r="C74" s="47"/>
      <c r="D74" s="47"/>
      <c r="E74" s="114">
        <v>62700</v>
      </c>
      <c r="F74" s="247">
        <v>62464</v>
      </c>
      <c r="G74" s="113">
        <v>34807</v>
      </c>
      <c r="H74" s="123">
        <f>65692+19</f>
        <v>65711</v>
      </c>
      <c r="I74" s="113">
        <v>37229</v>
      </c>
      <c r="J74" s="231"/>
      <c r="K74" s="231"/>
      <c r="L74" s="231"/>
      <c r="M74" s="231"/>
      <c r="N74" s="231"/>
      <c r="O74" s="231"/>
      <c r="P74" s="231"/>
      <c r="Q74" s="231"/>
      <c r="R74" s="231"/>
      <c r="S74" s="231"/>
      <c r="T74" s="231"/>
      <c r="U74" s="231"/>
      <c r="V74" s="231"/>
      <c r="W74" s="231"/>
      <c r="X74" s="231"/>
      <c r="Y74" s="231"/>
      <c r="Z74" s="231"/>
      <c r="AA74" s="231"/>
      <c r="AB74" s="231"/>
      <c r="AC74" s="231"/>
      <c r="AD74" s="231"/>
      <c r="AE74" s="231"/>
      <c r="AF74" s="231"/>
      <c r="AG74" s="231"/>
      <c r="AH74" s="231"/>
      <c r="AI74" s="231"/>
    </row>
    <row r="75" spans="1:35" s="203" customFormat="1">
      <c r="A75" s="111">
        <v>5</v>
      </c>
      <c r="B75" s="47" t="s">
        <v>89</v>
      </c>
      <c r="C75" s="47" t="s">
        <v>90</v>
      </c>
      <c r="D75" s="47"/>
      <c r="E75" s="114">
        <v>10630</v>
      </c>
      <c r="F75" s="247">
        <f>12937-1</f>
        <v>12936</v>
      </c>
      <c r="G75" s="113">
        <v>0</v>
      </c>
      <c r="H75" s="123">
        <v>13220</v>
      </c>
      <c r="I75" s="113">
        <v>0</v>
      </c>
      <c r="J75" s="231"/>
      <c r="K75" s="231"/>
      <c r="L75" s="231"/>
      <c r="M75" s="231"/>
      <c r="N75" s="231"/>
      <c r="O75" s="231"/>
      <c r="P75" s="231"/>
      <c r="Q75" s="231"/>
      <c r="R75" s="231"/>
      <c r="S75" s="231"/>
      <c r="T75" s="231"/>
      <c r="U75" s="231"/>
      <c r="V75" s="231"/>
      <c r="W75" s="231"/>
      <c r="X75" s="231"/>
      <c r="Y75" s="231"/>
      <c r="Z75" s="231"/>
      <c r="AA75" s="231"/>
      <c r="AB75" s="231"/>
      <c r="AC75" s="231"/>
      <c r="AD75" s="231"/>
      <c r="AE75" s="231"/>
      <c r="AF75" s="231"/>
      <c r="AG75" s="231"/>
      <c r="AH75" s="231"/>
      <c r="AI75" s="231"/>
    </row>
    <row r="76" spans="1:35" s="203" customFormat="1">
      <c r="A76" s="805"/>
      <c r="B76" s="807"/>
      <c r="C76" s="47" t="s">
        <v>91</v>
      </c>
      <c r="D76" s="47"/>
      <c r="E76" s="114">
        <v>2680</v>
      </c>
      <c r="F76" s="247">
        <v>4130</v>
      </c>
      <c r="G76" s="115">
        <f>1078-1</f>
        <v>1077</v>
      </c>
      <c r="H76" s="249">
        <v>3417</v>
      </c>
      <c r="I76" s="115">
        <f>878-2</f>
        <v>876</v>
      </c>
      <c r="J76" s="231"/>
      <c r="K76" s="231"/>
      <c r="L76" s="231"/>
      <c r="M76" s="231"/>
      <c r="N76" s="231"/>
      <c r="O76" s="231"/>
      <c r="P76" s="231"/>
      <c r="Q76" s="231"/>
      <c r="R76" s="231"/>
      <c r="S76" s="231"/>
      <c r="T76" s="231"/>
      <c r="U76" s="231"/>
      <c r="V76" s="231"/>
      <c r="W76" s="231"/>
      <c r="X76" s="231"/>
      <c r="Y76" s="231"/>
      <c r="Z76" s="231"/>
      <c r="AA76" s="231"/>
      <c r="AB76" s="231"/>
      <c r="AC76" s="231"/>
      <c r="AD76" s="231"/>
      <c r="AE76" s="231"/>
      <c r="AF76" s="231"/>
      <c r="AG76" s="231"/>
      <c r="AH76" s="231"/>
      <c r="AI76" s="231"/>
    </row>
    <row r="77" spans="1:35" s="203" customFormat="1">
      <c r="A77" s="111">
        <v>6</v>
      </c>
      <c r="B77" s="116" t="s">
        <v>92</v>
      </c>
      <c r="C77" s="116"/>
      <c r="D77" s="47"/>
      <c r="E77" s="80">
        <v>521020</v>
      </c>
      <c r="F77" s="250">
        <f>SUM(F71:F76)</f>
        <v>542868</v>
      </c>
      <c r="G77" s="251">
        <f>SUM(G71:G76)</f>
        <v>468456</v>
      </c>
      <c r="H77" s="252">
        <f>SUM(H71:H76)</f>
        <v>578581</v>
      </c>
      <c r="I77" s="251">
        <f>SUM(I71:I76)</f>
        <v>500923</v>
      </c>
      <c r="J77" s="231"/>
      <c r="K77" s="231"/>
      <c r="L77" s="231"/>
      <c r="M77" s="231"/>
      <c r="N77" s="231"/>
      <c r="O77" s="231"/>
      <c r="P77" s="231"/>
      <c r="Q77" s="231"/>
      <c r="R77" s="231"/>
      <c r="S77" s="231"/>
      <c r="T77" s="231"/>
      <c r="U77" s="231"/>
      <c r="V77" s="231"/>
      <c r="W77" s="231"/>
      <c r="X77" s="231"/>
      <c r="Y77" s="231"/>
      <c r="Z77" s="231"/>
      <c r="AA77" s="231"/>
      <c r="AB77" s="231"/>
      <c r="AC77" s="231"/>
      <c r="AD77" s="231"/>
      <c r="AE77" s="231"/>
      <c r="AF77" s="231"/>
      <c r="AG77" s="231"/>
      <c r="AH77" s="231"/>
      <c r="AI77" s="231"/>
    </row>
    <row r="78" spans="1:35" s="203" customFormat="1">
      <c r="A78" s="805"/>
      <c r="B78" s="47"/>
      <c r="C78" s="47"/>
      <c r="D78" s="47"/>
      <c r="E78" s="117"/>
      <c r="F78" s="118"/>
      <c r="G78" s="118"/>
      <c r="H78" s="118"/>
      <c r="I78" s="118"/>
      <c r="J78" s="231"/>
      <c r="K78" s="231"/>
      <c r="L78" s="231"/>
      <c r="M78" s="231"/>
      <c r="N78" s="231"/>
      <c r="O78" s="231"/>
      <c r="P78" s="231"/>
      <c r="Q78" s="231"/>
      <c r="R78" s="231"/>
      <c r="S78" s="231"/>
      <c r="T78" s="231"/>
      <c r="U78" s="231"/>
      <c r="V78" s="231"/>
      <c r="W78" s="231"/>
      <c r="X78" s="231"/>
      <c r="Y78" s="231"/>
      <c r="Z78" s="231"/>
      <c r="AA78" s="231"/>
      <c r="AB78" s="231"/>
      <c r="AC78" s="231"/>
      <c r="AD78" s="231"/>
      <c r="AE78" s="231"/>
      <c r="AF78" s="231"/>
      <c r="AG78" s="231"/>
      <c r="AH78" s="231"/>
      <c r="AI78" s="231"/>
    </row>
    <row r="79" spans="1:35" s="203" customFormat="1">
      <c r="A79" s="119" t="s">
        <v>93</v>
      </c>
      <c r="B79" s="116"/>
      <c r="C79" s="116"/>
      <c r="D79" s="116"/>
      <c r="E79" s="117"/>
      <c r="F79" s="118"/>
      <c r="G79" s="118"/>
      <c r="H79" s="118"/>
      <c r="I79" s="118"/>
      <c r="J79" s="231"/>
      <c r="K79" s="231"/>
      <c r="L79" s="231"/>
      <c r="M79" s="231"/>
      <c r="N79" s="231"/>
      <c r="O79" s="231"/>
      <c r="P79" s="231"/>
      <c r="Q79" s="231"/>
      <c r="R79" s="231"/>
      <c r="S79" s="231"/>
      <c r="T79" s="231"/>
      <c r="U79" s="231"/>
      <c r="V79" s="231"/>
      <c r="W79" s="231"/>
      <c r="X79" s="231"/>
      <c r="Y79" s="231"/>
      <c r="Z79" s="231"/>
      <c r="AA79" s="231"/>
      <c r="AB79" s="231"/>
      <c r="AC79" s="231"/>
      <c r="AD79" s="231"/>
      <c r="AE79" s="231"/>
      <c r="AF79" s="231"/>
      <c r="AG79" s="231"/>
      <c r="AH79" s="231"/>
      <c r="AI79" s="231"/>
    </row>
    <row r="80" spans="1:35" s="203" customFormat="1">
      <c r="A80" s="120">
        <v>7</v>
      </c>
      <c r="B80" s="47" t="s">
        <v>94</v>
      </c>
      <c r="C80" s="47"/>
      <c r="D80" s="47"/>
      <c r="E80" s="41">
        <v>2582</v>
      </c>
      <c r="F80" s="253">
        <v>2241</v>
      </c>
      <c r="G80" s="112">
        <v>1987</v>
      </c>
      <c r="H80" s="248">
        <v>2780</v>
      </c>
      <c r="I80" s="112">
        <v>2464</v>
      </c>
      <c r="J80" s="231"/>
      <c r="K80" s="231"/>
      <c r="L80" s="231"/>
      <c r="M80" s="231"/>
      <c r="N80" s="231"/>
      <c r="O80" s="231"/>
      <c r="P80" s="231"/>
      <c r="Q80" s="231"/>
      <c r="R80" s="231"/>
      <c r="S80" s="231"/>
      <c r="T80" s="231"/>
      <c r="U80" s="231"/>
      <c r="V80" s="231"/>
      <c r="W80" s="231"/>
      <c r="X80" s="231"/>
      <c r="Y80" s="231"/>
      <c r="Z80" s="231"/>
      <c r="AA80" s="231"/>
      <c r="AB80" s="231"/>
      <c r="AC80" s="231"/>
      <c r="AD80" s="231"/>
      <c r="AE80" s="231"/>
      <c r="AF80" s="231"/>
      <c r="AG80" s="231"/>
      <c r="AH80" s="231"/>
      <c r="AI80" s="231"/>
    </row>
    <row r="81" spans="1:35" s="203" customFormat="1">
      <c r="A81" s="120">
        <v>8</v>
      </c>
      <c r="B81" s="47" t="s">
        <v>95</v>
      </c>
      <c r="C81" s="47"/>
      <c r="D81" s="47"/>
      <c r="E81" s="49">
        <v>128791</v>
      </c>
      <c r="F81" s="247">
        <v>133706</v>
      </c>
      <c r="G81" s="113">
        <v>130591</v>
      </c>
      <c r="H81" s="123">
        <v>145452</v>
      </c>
      <c r="I81" s="113">
        <v>140070</v>
      </c>
      <c r="J81" s="231"/>
      <c r="K81" s="231"/>
      <c r="L81" s="231"/>
      <c r="M81" s="231"/>
      <c r="N81" s="231"/>
      <c r="O81" s="231"/>
      <c r="P81" s="231"/>
      <c r="Q81" s="231"/>
      <c r="R81" s="231"/>
      <c r="S81" s="231"/>
      <c r="T81" s="231"/>
      <c r="U81" s="231"/>
      <c r="V81" s="231"/>
      <c r="W81" s="231"/>
      <c r="X81" s="231"/>
      <c r="Y81" s="231"/>
      <c r="Z81" s="231"/>
      <c r="AA81" s="231"/>
      <c r="AB81" s="231"/>
      <c r="AC81" s="231"/>
      <c r="AD81" s="231"/>
      <c r="AE81" s="231"/>
      <c r="AF81" s="231"/>
      <c r="AG81" s="231"/>
      <c r="AH81" s="231"/>
      <c r="AI81" s="231"/>
    </row>
    <row r="82" spans="1:35" s="203" customFormat="1">
      <c r="A82" s="120">
        <v>9</v>
      </c>
      <c r="B82" s="47" t="s">
        <v>96</v>
      </c>
      <c r="C82" s="47"/>
      <c r="D82" s="47"/>
      <c r="E82" s="49">
        <v>113389</v>
      </c>
      <c r="F82" s="247">
        <v>117196</v>
      </c>
      <c r="G82" s="113">
        <v>113680</v>
      </c>
      <c r="H82" s="123">
        <v>129666</v>
      </c>
      <c r="I82" s="113">
        <v>125814</v>
      </c>
      <c r="J82" s="231"/>
      <c r="K82" s="231"/>
      <c r="L82" s="231"/>
      <c r="M82" s="231"/>
      <c r="N82" s="231"/>
      <c r="O82" s="231"/>
      <c r="P82" s="231"/>
      <c r="Q82" s="231"/>
      <c r="R82" s="231"/>
      <c r="S82" s="231"/>
      <c r="T82" s="231"/>
      <c r="U82" s="231"/>
      <c r="V82" s="231"/>
      <c r="W82" s="231"/>
      <c r="X82" s="231"/>
      <c r="Y82" s="231"/>
      <c r="Z82" s="231"/>
      <c r="AA82" s="231"/>
      <c r="AB82" s="231"/>
      <c r="AC82" s="231"/>
      <c r="AD82" s="231"/>
      <c r="AE82" s="231"/>
      <c r="AF82" s="231"/>
      <c r="AG82" s="231"/>
      <c r="AH82" s="231"/>
      <c r="AI82" s="231"/>
    </row>
    <row r="83" spans="1:35" s="203" customFormat="1">
      <c r="A83" s="120">
        <v>10</v>
      </c>
      <c r="B83" s="90" t="s">
        <v>97</v>
      </c>
      <c r="C83" s="47"/>
      <c r="D83" s="47"/>
      <c r="E83" s="49">
        <v>53810</v>
      </c>
      <c r="F83" s="247">
        <v>53465</v>
      </c>
      <c r="G83" s="113">
        <v>37426</v>
      </c>
      <c r="H83" s="123">
        <v>54387</v>
      </c>
      <c r="I83" s="113">
        <v>40958</v>
      </c>
      <c r="J83" s="231"/>
      <c r="K83" s="231"/>
      <c r="L83" s="231"/>
      <c r="M83" s="231"/>
      <c r="N83" s="231"/>
      <c r="O83" s="231"/>
      <c r="P83" s="231"/>
      <c r="Q83" s="231"/>
      <c r="R83" s="231"/>
      <c r="S83" s="231"/>
      <c r="T83" s="231"/>
      <c r="U83" s="231"/>
      <c r="V83" s="231"/>
      <c r="W83" s="231"/>
      <c r="X83" s="231"/>
      <c r="Y83" s="231"/>
      <c r="Z83" s="231"/>
      <c r="AA83" s="231"/>
      <c r="AB83" s="231"/>
      <c r="AC83" s="231"/>
      <c r="AD83" s="231"/>
      <c r="AE83" s="231"/>
      <c r="AF83" s="231"/>
      <c r="AG83" s="231"/>
      <c r="AH83" s="231"/>
      <c r="AI83" s="231"/>
    </row>
    <row r="84" spans="1:35" s="203" customFormat="1">
      <c r="A84" s="120">
        <v>11</v>
      </c>
      <c r="B84" s="90" t="s">
        <v>98</v>
      </c>
      <c r="C84" s="47"/>
      <c r="D84" s="47"/>
      <c r="E84" s="49">
        <v>11362</v>
      </c>
      <c r="F84" s="247">
        <v>11420</v>
      </c>
      <c r="G84" s="113">
        <v>0</v>
      </c>
      <c r="H84" s="123">
        <v>10977</v>
      </c>
      <c r="I84" s="113">
        <v>0</v>
      </c>
      <c r="J84" s="231"/>
      <c r="K84" s="231"/>
      <c r="L84" s="231"/>
      <c r="M84" s="231"/>
      <c r="N84" s="231"/>
      <c r="O84" s="231"/>
      <c r="P84" s="231"/>
      <c r="Q84" s="231"/>
      <c r="R84" s="231"/>
      <c r="S84" s="231"/>
      <c r="T84" s="231"/>
      <c r="U84" s="231"/>
      <c r="V84" s="231"/>
      <c r="W84" s="231"/>
      <c r="X84" s="231"/>
      <c r="Y84" s="231"/>
      <c r="Z84" s="231"/>
      <c r="AA84" s="231"/>
      <c r="AB84" s="231"/>
      <c r="AC84" s="231"/>
      <c r="AD84" s="231"/>
      <c r="AE84" s="231"/>
      <c r="AF84" s="231"/>
      <c r="AG84" s="231"/>
      <c r="AH84" s="231"/>
      <c r="AI84" s="231"/>
    </row>
    <row r="85" spans="1:35" s="203" customFormat="1">
      <c r="A85" s="120">
        <v>12</v>
      </c>
      <c r="B85" s="47" t="s">
        <v>99</v>
      </c>
      <c r="C85" s="47"/>
      <c r="D85" s="47"/>
      <c r="E85" s="49">
        <v>26062</v>
      </c>
      <c r="F85" s="247">
        <v>22285</v>
      </c>
      <c r="G85" s="113">
        <v>22285</v>
      </c>
      <c r="H85" s="123">
        <v>24265</v>
      </c>
      <c r="I85" s="113">
        <v>24265</v>
      </c>
      <c r="J85" s="231"/>
      <c r="K85" s="231"/>
      <c r="L85" s="231"/>
      <c r="M85" s="231"/>
      <c r="N85" s="231"/>
      <c r="O85" s="231"/>
      <c r="P85" s="231"/>
      <c r="Q85" s="231"/>
      <c r="R85" s="231"/>
      <c r="S85" s="231"/>
      <c r="T85" s="231"/>
      <c r="U85" s="231"/>
      <c r="V85" s="231"/>
      <c r="W85" s="231"/>
      <c r="X85" s="231"/>
      <c r="Y85" s="231"/>
      <c r="Z85" s="231"/>
      <c r="AA85" s="231"/>
      <c r="AB85" s="231"/>
      <c r="AC85" s="231"/>
      <c r="AD85" s="231"/>
      <c r="AE85" s="231"/>
      <c r="AF85" s="231"/>
      <c r="AG85" s="231"/>
      <c r="AH85" s="231"/>
      <c r="AI85" s="231"/>
    </row>
    <row r="86" spans="1:35" s="203" customFormat="1">
      <c r="A86" s="120">
        <v>13</v>
      </c>
      <c r="B86" s="47" t="s">
        <v>100</v>
      </c>
      <c r="C86" s="47"/>
      <c r="D86" s="47"/>
      <c r="E86" s="49">
        <v>83451</v>
      </c>
      <c r="F86" s="247">
        <v>95392</v>
      </c>
      <c r="G86" s="113">
        <v>47696</v>
      </c>
      <c r="H86" s="123">
        <v>107286</v>
      </c>
      <c r="I86" s="113">
        <v>53643</v>
      </c>
      <c r="J86" s="231"/>
      <c r="K86" s="231"/>
      <c r="L86" s="231"/>
      <c r="M86" s="231"/>
      <c r="N86" s="231"/>
      <c r="O86" s="231"/>
      <c r="P86" s="231"/>
      <c r="Q86" s="231"/>
      <c r="R86" s="231"/>
      <c r="S86" s="231"/>
      <c r="T86" s="231"/>
      <c r="U86" s="231"/>
      <c r="V86" s="231"/>
      <c r="W86" s="231"/>
      <c r="X86" s="231"/>
      <c r="Y86" s="231"/>
      <c r="Z86" s="231"/>
      <c r="AA86" s="231"/>
      <c r="AB86" s="231"/>
      <c r="AC86" s="231"/>
      <c r="AD86" s="231"/>
      <c r="AE86" s="231"/>
      <c r="AF86" s="231"/>
      <c r="AG86" s="231"/>
      <c r="AH86" s="231"/>
      <c r="AI86" s="231"/>
    </row>
    <row r="87" spans="1:35" s="203" customFormat="1">
      <c r="A87" s="120">
        <v>14</v>
      </c>
      <c r="B87" s="47" t="s">
        <v>101</v>
      </c>
      <c r="C87" s="47"/>
      <c r="D87" s="47"/>
      <c r="E87" s="49">
        <v>1011</v>
      </c>
      <c r="F87" s="247">
        <v>891</v>
      </c>
      <c r="G87" s="113">
        <v>0</v>
      </c>
      <c r="H87" s="123">
        <v>905</v>
      </c>
      <c r="I87" s="113">
        <v>0</v>
      </c>
      <c r="J87" s="231"/>
      <c r="K87" s="231"/>
      <c r="L87" s="231"/>
      <c r="M87" s="231"/>
      <c r="N87" s="231"/>
      <c r="O87" s="231"/>
      <c r="P87" s="231"/>
      <c r="Q87" s="231"/>
      <c r="R87" s="231"/>
      <c r="S87" s="231"/>
      <c r="T87" s="231"/>
      <c r="U87" s="231"/>
      <c r="V87" s="231"/>
      <c r="W87" s="231"/>
      <c r="X87" s="231"/>
      <c r="Y87" s="231"/>
      <c r="Z87" s="231"/>
      <c r="AA87" s="231"/>
      <c r="AB87" s="231"/>
      <c r="AC87" s="231"/>
      <c r="AD87" s="231"/>
      <c r="AE87" s="231"/>
      <c r="AF87" s="231"/>
      <c r="AG87" s="231"/>
      <c r="AH87" s="231"/>
      <c r="AI87" s="231"/>
    </row>
    <row r="88" spans="1:35" s="203" customFormat="1">
      <c r="A88" s="124">
        <v>15</v>
      </c>
      <c r="B88" s="125" t="s">
        <v>102</v>
      </c>
      <c r="C88" s="54"/>
      <c r="D88" s="54"/>
      <c r="E88" s="56">
        <v>0</v>
      </c>
      <c r="F88" s="254">
        <v>0</v>
      </c>
      <c r="G88" s="127">
        <v>0</v>
      </c>
      <c r="H88" s="255">
        <v>0</v>
      </c>
      <c r="I88" s="127">
        <v>0</v>
      </c>
      <c r="J88" s="231"/>
      <c r="K88" s="231"/>
      <c r="L88" s="231"/>
      <c r="M88" s="231"/>
      <c r="N88" s="231"/>
      <c r="O88" s="231"/>
      <c r="P88" s="231"/>
      <c r="Q88" s="231"/>
      <c r="R88" s="231"/>
      <c r="S88" s="231"/>
      <c r="T88" s="231"/>
      <c r="U88" s="231"/>
      <c r="V88" s="231"/>
      <c r="W88" s="231"/>
      <c r="X88" s="231"/>
      <c r="Y88" s="231"/>
      <c r="Z88" s="231"/>
      <c r="AA88" s="231"/>
      <c r="AB88" s="231"/>
      <c r="AC88" s="231"/>
      <c r="AD88" s="231"/>
      <c r="AE88" s="231"/>
      <c r="AF88" s="231"/>
      <c r="AG88" s="231"/>
      <c r="AH88" s="231"/>
      <c r="AI88" s="231"/>
    </row>
    <row r="89" spans="1:35" s="203" customFormat="1">
      <c r="A89" s="128"/>
      <c r="B89" s="129"/>
      <c r="C89" s="129"/>
      <c r="D89" s="129"/>
      <c r="E89" s="15"/>
      <c r="F89" s="130"/>
      <c r="G89" s="29"/>
      <c r="H89" s="207"/>
      <c r="I89" s="29"/>
      <c r="J89" s="231"/>
      <c r="K89" s="231"/>
      <c r="L89" s="231"/>
      <c r="M89" s="231"/>
      <c r="N89" s="231"/>
      <c r="O89" s="231"/>
      <c r="P89" s="231"/>
      <c r="Q89" s="231"/>
      <c r="R89" s="231"/>
      <c r="S89" s="231"/>
      <c r="T89" s="231"/>
      <c r="U89" s="231"/>
      <c r="V89" s="231"/>
      <c r="W89" s="231"/>
      <c r="X89" s="231"/>
      <c r="Y89" s="231"/>
      <c r="Z89" s="231"/>
      <c r="AA89" s="231"/>
      <c r="AB89" s="231"/>
      <c r="AC89" s="231"/>
      <c r="AD89" s="231"/>
      <c r="AE89" s="231"/>
      <c r="AF89" s="231"/>
      <c r="AG89" s="231"/>
      <c r="AH89" s="231"/>
      <c r="AI89" s="231"/>
    </row>
    <row r="90" spans="1:35" s="203" customFormat="1">
      <c r="A90" s="128"/>
      <c r="B90" s="129"/>
      <c r="C90" s="129"/>
      <c r="D90" s="129"/>
      <c r="E90" s="105"/>
      <c r="F90" s="130"/>
      <c r="G90" s="29"/>
      <c r="H90" s="131" t="s">
        <v>27</v>
      </c>
      <c r="I90" s="29"/>
      <c r="J90" s="231"/>
      <c r="K90" s="231"/>
      <c r="L90" s="231"/>
      <c r="M90" s="231"/>
      <c r="N90" s="231"/>
      <c r="O90" s="231"/>
      <c r="P90" s="231"/>
      <c r="Q90" s="231"/>
      <c r="R90" s="231"/>
      <c r="S90" s="231"/>
      <c r="T90" s="231"/>
      <c r="U90" s="231"/>
      <c r="V90" s="231"/>
      <c r="W90" s="231"/>
      <c r="X90" s="231"/>
      <c r="Y90" s="231"/>
      <c r="Z90" s="231"/>
      <c r="AA90" s="231"/>
      <c r="AB90" s="231"/>
      <c r="AC90" s="231"/>
      <c r="AD90" s="231"/>
      <c r="AE90" s="231"/>
      <c r="AF90" s="231"/>
      <c r="AG90" s="231"/>
      <c r="AH90" s="231"/>
      <c r="AI90" s="231"/>
    </row>
    <row r="91" spans="1:35" s="203" customFormat="1">
      <c r="A91" s="106" t="s">
        <v>17</v>
      </c>
      <c r="B91" s="107"/>
      <c r="C91" s="107"/>
      <c r="D91" s="107"/>
      <c r="E91" s="856" t="s">
        <v>421</v>
      </c>
      <c r="F91" s="856" t="s">
        <v>402</v>
      </c>
      <c r="G91" s="257"/>
      <c r="H91" s="856" t="s">
        <v>403</v>
      </c>
      <c r="I91" s="29"/>
      <c r="J91" s="231"/>
      <c r="K91" s="231"/>
      <c r="L91" s="231"/>
      <c r="M91" s="231"/>
      <c r="N91" s="231"/>
      <c r="O91" s="231"/>
      <c r="P91" s="231"/>
      <c r="Q91" s="231"/>
      <c r="R91" s="231"/>
      <c r="S91" s="231"/>
      <c r="T91" s="231"/>
      <c r="U91" s="231"/>
      <c r="V91" s="231"/>
      <c r="W91" s="231"/>
      <c r="X91" s="231"/>
      <c r="Y91" s="231"/>
      <c r="Z91" s="231"/>
      <c r="AA91" s="231"/>
      <c r="AB91" s="231"/>
      <c r="AC91" s="231"/>
      <c r="AD91" s="231"/>
      <c r="AE91" s="231"/>
      <c r="AF91" s="231"/>
      <c r="AG91" s="231"/>
      <c r="AH91" s="231"/>
      <c r="AI91" s="231"/>
    </row>
    <row r="92" spans="1:35" s="203" customFormat="1" ht="12.75" customHeight="1">
      <c r="A92" s="109"/>
      <c r="B92" s="132"/>
      <c r="C92" s="132"/>
      <c r="D92" s="132"/>
      <c r="E92" s="859"/>
      <c r="F92" s="859"/>
      <c r="G92" s="29"/>
      <c r="H92" s="859"/>
      <c r="I92" s="29"/>
      <c r="J92" s="231"/>
      <c r="K92" s="231"/>
      <c r="L92" s="231"/>
      <c r="M92" s="231"/>
      <c r="N92" s="231"/>
      <c r="O92" s="231"/>
      <c r="P92" s="231"/>
      <c r="Q92" s="231"/>
      <c r="R92" s="231"/>
      <c r="S92" s="231"/>
      <c r="T92" s="231"/>
      <c r="U92" s="231"/>
      <c r="V92" s="231"/>
      <c r="W92" s="231"/>
      <c r="X92" s="231"/>
      <c r="Y92" s="231"/>
      <c r="Z92" s="231"/>
      <c r="AA92" s="231"/>
      <c r="AB92" s="231"/>
      <c r="AC92" s="231"/>
      <c r="AD92" s="231"/>
      <c r="AE92" s="231"/>
      <c r="AF92" s="231"/>
      <c r="AG92" s="231"/>
      <c r="AH92" s="231"/>
      <c r="AI92" s="231"/>
    </row>
    <row r="93" spans="1:35" s="203" customFormat="1">
      <c r="A93" s="109" t="s">
        <v>103</v>
      </c>
      <c r="B93" s="132"/>
      <c r="C93" s="132"/>
      <c r="D93" s="132"/>
      <c r="E93" s="859"/>
      <c r="F93" s="859"/>
      <c r="G93" s="29"/>
      <c r="H93" s="859"/>
      <c r="I93" s="29"/>
      <c r="J93" s="231"/>
      <c r="K93" s="231"/>
      <c r="L93" s="231"/>
      <c r="M93" s="231"/>
      <c r="N93" s="231"/>
      <c r="O93" s="231"/>
      <c r="P93" s="231"/>
      <c r="Q93" s="231"/>
      <c r="R93" s="231"/>
      <c r="S93" s="231"/>
      <c r="T93" s="231"/>
      <c r="U93" s="231"/>
      <c r="V93" s="231"/>
      <c r="W93" s="231"/>
      <c r="X93" s="231"/>
      <c r="Y93" s="231"/>
      <c r="Z93" s="231"/>
      <c r="AA93" s="231"/>
      <c r="AB93" s="231"/>
      <c r="AC93" s="231"/>
      <c r="AD93" s="231"/>
      <c r="AE93" s="231"/>
      <c r="AF93" s="231"/>
      <c r="AG93" s="231"/>
      <c r="AH93" s="231"/>
      <c r="AI93" s="231"/>
    </row>
    <row r="94" spans="1:35" s="203" customFormat="1">
      <c r="A94" s="109" t="s">
        <v>83</v>
      </c>
      <c r="B94" s="132"/>
      <c r="C94" s="132"/>
      <c r="D94" s="132"/>
      <c r="E94" s="859"/>
      <c r="F94" s="859"/>
      <c r="G94" s="130"/>
      <c r="H94" s="859"/>
      <c r="I94" s="29"/>
      <c r="J94" s="231"/>
      <c r="K94" s="231"/>
      <c r="L94" s="231"/>
      <c r="M94" s="231"/>
      <c r="N94" s="231"/>
      <c r="O94" s="231"/>
      <c r="P94" s="231"/>
      <c r="Q94" s="231"/>
      <c r="R94" s="231"/>
      <c r="S94" s="231"/>
      <c r="T94" s="231"/>
      <c r="U94" s="231"/>
      <c r="V94" s="231"/>
      <c r="W94" s="231"/>
      <c r="X94" s="231"/>
      <c r="Y94" s="231"/>
      <c r="Z94" s="231"/>
      <c r="AA94" s="231"/>
      <c r="AB94" s="231"/>
      <c r="AC94" s="231"/>
      <c r="AD94" s="231"/>
      <c r="AE94" s="231"/>
      <c r="AF94" s="231"/>
      <c r="AG94" s="231"/>
      <c r="AH94" s="231"/>
      <c r="AI94" s="231"/>
    </row>
    <row r="95" spans="1:35" s="203" customFormat="1">
      <c r="A95" s="110" t="s">
        <v>84</v>
      </c>
      <c r="B95" s="132"/>
      <c r="C95" s="132"/>
      <c r="D95" s="132"/>
      <c r="E95" s="860"/>
      <c r="F95" s="860"/>
      <c r="G95" s="130"/>
      <c r="H95" s="860"/>
      <c r="I95" s="130"/>
      <c r="J95" s="231"/>
      <c r="K95" s="231"/>
      <c r="L95" s="231"/>
      <c r="M95" s="231"/>
      <c r="N95" s="231"/>
      <c r="O95" s="231"/>
      <c r="P95" s="231"/>
      <c r="Q95" s="231"/>
      <c r="R95" s="231"/>
      <c r="S95" s="231"/>
      <c r="T95" s="231"/>
      <c r="U95" s="231"/>
      <c r="V95" s="231"/>
      <c r="W95" s="231"/>
      <c r="X95" s="231"/>
      <c r="Y95" s="231"/>
      <c r="Z95" s="231"/>
      <c r="AA95" s="231"/>
      <c r="AB95" s="231"/>
      <c r="AC95" s="231"/>
      <c r="AD95" s="231"/>
      <c r="AE95" s="231"/>
      <c r="AF95" s="231"/>
      <c r="AG95" s="231"/>
      <c r="AH95" s="231"/>
      <c r="AI95" s="231"/>
    </row>
    <row r="96" spans="1:35" s="203" customFormat="1">
      <c r="A96" s="120">
        <v>1</v>
      </c>
      <c r="B96" s="47" t="s">
        <v>104</v>
      </c>
      <c r="C96" s="47"/>
      <c r="D96" s="47"/>
      <c r="E96" s="41">
        <v>2650</v>
      </c>
      <c r="F96" s="52">
        <v>2557</v>
      </c>
      <c r="G96" s="118"/>
      <c r="H96" s="133">
        <v>2780</v>
      </c>
      <c r="I96" s="139"/>
      <c r="J96" s="231"/>
      <c r="K96" s="231"/>
      <c r="L96" s="231"/>
      <c r="M96" s="231"/>
      <c r="N96" s="231"/>
      <c r="O96" s="231"/>
      <c r="P96" s="231"/>
      <c r="Q96" s="231"/>
      <c r="R96" s="231"/>
      <c r="S96" s="231"/>
      <c r="T96" s="231"/>
      <c r="U96" s="231"/>
      <c r="V96" s="231"/>
      <c r="W96" s="231"/>
      <c r="X96" s="231"/>
      <c r="Y96" s="231"/>
      <c r="Z96" s="231"/>
      <c r="AA96" s="231"/>
      <c r="AB96" s="231"/>
      <c r="AC96" s="231"/>
      <c r="AD96" s="231"/>
      <c r="AE96" s="231"/>
      <c r="AF96" s="231"/>
      <c r="AG96" s="231"/>
      <c r="AH96" s="231"/>
      <c r="AI96" s="231"/>
    </row>
    <row r="97" spans="1:35" s="203" customFormat="1">
      <c r="A97" s="120">
        <v>2</v>
      </c>
      <c r="B97" s="47" t="s">
        <v>105</v>
      </c>
      <c r="C97" s="47"/>
      <c r="D97" s="47"/>
      <c r="E97" s="49">
        <v>16</v>
      </c>
      <c r="F97" s="52">
        <v>16</v>
      </c>
      <c r="G97" s="118"/>
      <c r="H97" s="122">
        <v>13</v>
      </c>
      <c r="I97" s="139"/>
      <c r="J97" s="231"/>
      <c r="K97" s="231"/>
      <c r="L97" s="231"/>
      <c r="M97" s="231"/>
      <c r="N97" s="231"/>
      <c r="O97" s="231"/>
      <c r="P97" s="231"/>
      <c r="Q97" s="231"/>
      <c r="R97" s="231"/>
      <c r="S97" s="231"/>
      <c r="T97" s="231"/>
      <c r="U97" s="231"/>
      <c r="V97" s="231"/>
      <c r="W97" s="231"/>
      <c r="X97" s="231"/>
      <c r="Y97" s="231"/>
      <c r="Z97" s="231"/>
      <c r="AA97" s="231"/>
      <c r="AB97" s="231"/>
      <c r="AC97" s="231"/>
      <c r="AD97" s="231"/>
      <c r="AE97" s="231"/>
      <c r="AF97" s="231"/>
      <c r="AG97" s="231"/>
      <c r="AH97" s="231"/>
      <c r="AI97" s="231"/>
    </row>
    <row r="98" spans="1:35" s="203" customFormat="1">
      <c r="A98" s="120">
        <v>3</v>
      </c>
      <c r="B98" s="47" t="s">
        <v>106</v>
      </c>
      <c r="C98" s="47"/>
      <c r="D98" s="47"/>
      <c r="E98" s="114">
        <v>153746</v>
      </c>
      <c r="F98" s="50">
        <f>F115</f>
        <v>146264</v>
      </c>
      <c r="G98" s="118"/>
      <c r="H98" s="50">
        <f>H115</f>
        <v>153094</v>
      </c>
      <c r="I98" s="139"/>
      <c r="J98" s="231"/>
      <c r="K98" s="231"/>
      <c r="L98" s="231"/>
      <c r="M98" s="231"/>
      <c r="N98" s="231"/>
      <c r="O98" s="231"/>
      <c r="P98" s="231"/>
      <c r="Q98" s="231"/>
      <c r="R98" s="231"/>
      <c r="S98" s="231"/>
      <c r="T98" s="231"/>
      <c r="U98" s="231"/>
      <c r="V98" s="231"/>
      <c r="W98" s="231"/>
      <c r="X98" s="231"/>
      <c r="Y98" s="231"/>
      <c r="Z98" s="231"/>
      <c r="AA98" s="231"/>
      <c r="AB98" s="231"/>
      <c r="AC98" s="231"/>
      <c r="AD98" s="231"/>
      <c r="AE98" s="231"/>
      <c r="AF98" s="231"/>
      <c r="AG98" s="231"/>
      <c r="AH98" s="231"/>
      <c r="AI98" s="231"/>
    </row>
    <row r="99" spans="1:35" s="203" customFormat="1">
      <c r="A99" s="120">
        <v>4</v>
      </c>
      <c r="B99" s="47" t="s">
        <v>107</v>
      </c>
      <c r="C99" s="47"/>
      <c r="D99" s="47"/>
      <c r="E99" s="114">
        <v>137441</v>
      </c>
      <c r="F99" s="50">
        <f>F125</f>
        <v>146506</v>
      </c>
      <c r="G99" s="118"/>
      <c r="H99" s="50">
        <f>H125</f>
        <v>158989</v>
      </c>
      <c r="I99" s="139"/>
      <c r="J99" s="231"/>
      <c r="K99" s="231"/>
      <c r="L99" s="231"/>
      <c r="M99" s="231"/>
      <c r="N99" s="231"/>
      <c r="O99" s="231"/>
      <c r="P99" s="231"/>
      <c r="Q99" s="231"/>
      <c r="R99" s="231"/>
      <c r="S99" s="231"/>
      <c r="T99" s="231"/>
      <c r="U99" s="231"/>
      <c r="V99" s="231"/>
      <c r="W99" s="231"/>
      <c r="X99" s="231"/>
      <c r="Y99" s="231"/>
      <c r="Z99" s="231"/>
      <c r="AA99" s="231"/>
      <c r="AB99" s="231"/>
      <c r="AC99" s="231"/>
      <c r="AD99" s="231"/>
      <c r="AE99" s="231"/>
      <c r="AF99" s="231"/>
      <c r="AG99" s="231"/>
      <c r="AH99" s="231"/>
      <c r="AI99" s="231"/>
    </row>
    <row r="100" spans="1:35" s="203" customFormat="1">
      <c r="A100" s="120">
        <v>5</v>
      </c>
      <c r="B100" s="47" t="s">
        <v>108</v>
      </c>
      <c r="C100" s="47"/>
      <c r="D100" s="47"/>
      <c r="E100" s="114">
        <v>27007</v>
      </c>
      <c r="F100" s="50">
        <f>F135</f>
        <v>26444</v>
      </c>
      <c r="G100" s="118"/>
      <c r="H100" s="50">
        <f>H135</f>
        <v>24876</v>
      </c>
      <c r="I100" s="139"/>
      <c r="J100" s="231"/>
      <c r="K100" s="231"/>
      <c r="L100" s="231"/>
      <c r="M100" s="231"/>
      <c r="N100" s="231"/>
      <c r="O100" s="231"/>
      <c r="P100" s="231"/>
      <c r="Q100" s="231"/>
      <c r="R100" s="231"/>
      <c r="S100" s="231"/>
      <c r="T100" s="231"/>
      <c r="U100" s="231"/>
      <c r="V100" s="231"/>
      <c r="W100" s="231"/>
      <c r="X100" s="231"/>
      <c r="Y100" s="231"/>
      <c r="Z100" s="231"/>
      <c r="AA100" s="231"/>
      <c r="AB100" s="231"/>
      <c r="AC100" s="231"/>
      <c r="AD100" s="231"/>
      <c r="AE100" s="231"/>
      <c r="AF100" s="231"/>
      <c r="AG100" s="231"/>
      <c r="AH100" s="231"/>
      <c r="AI100" s="231"/>
    </row>
    <row r="101" spans="1:35" s="203" customFormat="1">
      <c r="A101" s="120">
        <v>6</v>
      </c>
      <c r="B101" s="47" t="s">
        <v>109</v>
      </c>
      <c r="C101" s="47"/>
      <c r="D101" s="47"/>
      <c r="E101" s="114">
        <v>35448</v>
      </c>
      <c r="F101" s="50">
        <f>F143</f>
        <v>40198</v>
      </c>
      <c r="G101" s="118"/>
      <c r="H101" s="50">
        <f>H143</f>
        <v>41973</v>
      </c>
      <c r="I101" s="139"/>
      <c r="J101" s="231"/>
      <c r="K101" s="231"/>
      <c r="L101" s="231"/>
      <c r="M101" s="231"/>
      <c r="N101" s="231"/>
      <c r="O101" s="231"/>
      <c r="P101" s="231"/>
      <c r="Q101" s="231"/>
      <c r="R101" s="231"/>
      <c r="S101" s="231"/>
      <c r="T101" s="231"/>
      <c r="U101" s="231"/>
      <c r="V101" s="231"/>
      <c r="W101" s="231"/>
      <c r="X101" s="231"/>
      <c r="Y101" s="231"/>
      <c r="Z101" s="231"/>
      <c r="AA101" s="231"/>
      <c r="AB101" s="231"/>
      <c r="AC101" s="231"/>
      <c r="AD101" s="231"/>
      <c r="AE101" s="231"/>
      <c r="AF101" s="231"/>
      <c r="AG101" s="231"/>
      <c r="AH101" s="231"/>
      <c r="AI101" s="231"/>
    </row>
    <row r="102" spans="1:35" s="203" customFormat="1">
      <c r="A102" s="120">
        <v>7</v>
      </c>
      <c r="B102" s="47" t="s">
        <v>110</v>
      </c>
      <c r="C102" s="47"/>
      <c r="D102" s="47"/>
      <c r="E102" s="114">
        <v>4404</v>
      </c>
      <c r="F102" s="50">
        <f>F150</f>
        <v>2563</v>
      </c>
      <c r="G102" s="118"/>
      <c r="H102" s="50">
        <f>H150</f>
        <v>4092</v>
      </c>
      <c r="I102" s="139"/>
      <c r="J102" s="231"/>
      <c r="K102" s="231"/>
      <c r="L102" s="231"/>
      <c r="M102" s="231"/>
      <c r="N102" s="231"/>
      <c r="O102" s="231"/>
      <c r="P102" s="231"/>
      <c r="Q102" s="231"/>
      <c r="R102" s="231"/>
      <c r="S102" s="231"/>
      <c r="T102" s="231"/>
      <c r="U102" s="231"/>
      <c r="V102" s="231"/>
      <c r="W102" s="231"/>
      <c r="X102" s="231"/>
      <c r="Y102" s="231"/>
      <c r="Z102" s="231"/>
      <c r="AA102" s="231"/>
      <c r="AB102" s="231"/>
      <c r="AC102" s="231"/>
      <c r="AD102" s="231"/>
      <c r="AE102" s="231"/>
      <c r="AF102" s="231"/>
      <c r="AG102" s="231"/>
      <c r="AH102" s="231"/>
      <c r="AI102" s="231"/>
    </row>
    <row r="103" spans="1:35" s="203" customFormat="1">
      <c r="A103" s="120">
        <v>8</v>
      </c>
      <c r="B103" s="47" t="s">
        <v>111</v>
      </c>
      <c r="C103" s="47"/>
      <c r="D103" s="47"/>
      <c r="E103" s="114">
        <v>19918</v>
      </c>
      <c r="F103" s="52">
        <v>19038</v>
      </c>
      <c r="G103" s="118"/>
      <c r="H103" s="122">
        <v>20650</v>
      </c>
      <c r="I103" s="139"/>
      <c r="J103" s="231"/>
      <c r="K103" s="231"/>
      <c r="L103" s="231"/>
      <c r="M103" s="231"/>
      <c r="N103" s="231"/>
      <c r="O103" s="231"/>
      <c r="P103" s="231"/>
      <c r="Q103" s="231"/>
      <c r="R103" s="231"/>
      <c r="S103" s="231"/>
      <c r="T103" s="231"/>
      <c r="U103" s="231"/>
      <c r="V103" s="231"/>
      <c r="W103" s="231"/>
      <c r="X103" s="231"/>
      <c r="Y103" s="231"/>
      <c r="Z103" s="231"/>
      <c r="AA103" s="231"/>
      <c r="AB103" s="231"/>
      <c r="AC103" s="231"/>
      <c r="AD103" s="231"/>
      <c r="AE103" s="231"/>
      <c r="AF103" s="231"/>
      <c r="AG103" s="231"/>
      <c r="AH103" s="231"/>
      <c r="AI103" s="231"/>
    </row>
    <row r="104" spans="1:35" s="203" customFormat="1">
      <c r="A104" s="120">
        <v>9</v>
      </c>
      <c r="B104" s="47" t="s">
        <v>112</v>
      </c>
      <c r="C104" s="47"/>
      <c r="D104" s="47"/>
      <c r="E104" s="114">
        <v>11940</v>
      </c>
      <c r="F104" s="52">
        <v>12295</v>
      </c>
      <c r="G104" s="118"/>
      <c r="H104" s="122">
        <f>14509</f>
        <v>14509</v>
      </c>
      <c r="I104" s="139"/>
      <c r="J104" s="231"/>
      <c r="K104" s="231"/>
      <c r="L104" s="231"/>
      <c r="M104" s="231"/>
      <c r="N104" s="231"/>
      <c r="O104" s="231"/>
      <c r="P104" s="231"/>
      <c r="Q104" s="231"/>
      <c r="R104" s="231"/>
      <c r="S104" s="231"/>
      <c r="T104" s="231"/>
      <c r="U104" s="231"/>
      <c r="V104" s="231"/>
      <c r="W104" s="231"/>
      <c r="X104" s="231"/>
      <c r="Y104" s="231"/>
      <c r="Z104" s="231"/>
      <c r="AA104" s="231"/>
      <c r="AB104" s="231"/>
      <c r="AC104" s="231"/>
      <c r="AD104" s="231"/>
      <c r="AE104" s="231"/>
      <c r="AF104" s="231"/>
      <c r="AG104" s="231"/>
      <c r="AH104" s="231"/>
      <c r="AI104" s="231"/>
    </row>
    <row r="105" spans="1:35" s="203" customFormat="1">
      <c r="A105" s="111" t="s">
        <v>113</v>
      </c>
      <c r="B105" s="116" t="s">
        <v>114</v>
      </c>
      <c r="C105" s="116"/>
      <c r="D105" s="47"/>
      <c r="E105" s="134">
        <v>392570</v>
      </c>
      <c r="F105" s="61">
        <f>SUM(F96:F104)</f>
        <v>395881</v>
      </c>
      <c r="G105" s="118"/>
      <c r="H105" s="61">
        <f>SUM(H96:H104)</f>
        <v>420976</v>
      </c>
      <c r="I105" s="139"/>
      <c r="J105" s="231"/>
      <c r="K105" s="231"/>
      <c r="L105" s="231"/>
      <c r="M105" s="231"/>
      <c r="N105" s="231"/>
      <c r="O105" s="231"/>
      <c r="P105" s="231"/>
      <c r="Q105" s="231"/>
      <c r="R105" s="231"/>
      <c r="S105" s="231"/>
      <c r="T105" s="231"/>
      <c r="U105" s="231"/>
      <c r="V105" s="231"/>
      <c r="W105" s="231"/>
      <c r="X105" s="231"/>
      <c r="Y105" s="231"/>
      <c r="Z105" s="231"/>
      <c r="AA105" s="231"/>
      <c r="AB105" s="231"/>
      <c r="AC105" s="231"/>
      <c r="AD105" s="231"/>
      <c r="AE105" s="231"/>
      <c r="AF105" s="231"/>
      <c r="AG105" s="231"/>
      <c r="AH105" s="231"/>
      <c r="AI105" s="231"/>
    </row>
    <row r="106" spans="1:35" s="203" customFormat="1">
      <c r="A106" s="120">
        <v>11</v>
      </c>
      <c r="B106" s="90" t="s">
        <v>115</v>
      </c>
      <c r="C106" s="47"/>
      <c r="D106" s="47"/>
      <c r="E106" s="135">
        <v>356</v>
      </c>
      <c r="F106" s="136">
        <v>261</v>
      </c>
      <c r="G106" s="118"/>
      <c r="H106" s="137">
        <v>253</v>
      </c>
      <c r="I106" s="139"/>
      <c r="J106" s="231"/>
      <c r="K106" s="231"/>
      <c r="L106" s="231"/>
      <c r="M106" s="231"/>
      <c r="N106" s="231"/>
      <c r="O106" s="231"/>
      <c r="P106" s="231"/>
      <c r="Q106" s="231"/>
      <c r="R106" s="231"/>
      <c r="S106" s="231"/>
      <c r="T106" s="231"/>
      <c r="U106" s="231"/>
      <c r="V106" s="231"/>
      <c r="W106" s="231"/>
      <c r="X106" s="231"/>
      <c r="Y106" s="231"/>
      <c r="Z106" s="231"/>
      <c r="AA106" s="231"/>
      <c r="AB106" s="231"/>
      <c r="AC106" s="231"/>
      <c r="AD106" s="231"/>
      <c r="AE106" s="231"/>
      <c r="AF106" s="231"/>
      <c r="AG106" s="231"/>
      <c r="AH106" s="231"/>
      <c r="AI106" s="231"/>
    </row>
    <row r="107" spans="1:35" s="203" customFormat="1">
      <c r="A107" s="111"/>
      <c r="B107" s="47"/>
      <c r="C107" s="47"/>
      <c r="D107" s="138"/>
      <c r="E107" s="117"/>
      <c r="F107" s="139"/>
      <c r="G107" s="139"/>
      <c r="H107" s="139"/>
      <c r="I107" s="139"/>
      <c r="J107" s="231"/>
      <c r="K107" s="231"/>
      <c r="L107" s="231"/>
      <c r="M107" s="231"/>
      <c r="N107" s="231"/>
      <c r="O107" s="231"/>
      <c r="P107" s="231"/>
      <c r="Q107" s="231"/>
      <c r="R107" s="231"/>
      <c r="S107" s="231"/>
      <c r="T107" s="231"/>
      <c r="U107" s="231"/>
      <c r="V107" s="231"/>
      <c r="W107" s="231"/>
      <c r="X107" s="231"/>
      <c r="Y107" s="231"/>
      <c r="Z107" s="231"/>
      <c r="AA107" s="231"/>
      <c r="AB107" s="231"/>
      <c r="AC107" s="231"/>
      <c r="AD107" s="231"/>
      <c r="AE107" s="231"/>
      <c r="AF107" s="231"/>
      <c r="AG107" s="231"/>
      <c r="AH107" s="231"/>
      <c r="AI107" s="231"/>
    </row>
    <row r="108" spans="1:35" s="203" customFormat="1">
      <c r="A108" s="119" t="s">
        <v>116</v>
      </c>
      <c r="B108" s="47"/>
      <c r="C108" s="47"/>
      <c r="D108" s="47"/>
      <c r="E108" s="117"/>
      <c r="F108" s="139"/>
      <c r="G108" s="139"/>
      <c r="H108" s="139"/>
      <c r="I108" s="139"/>
      <c r="J108" s="231"/>
      <c r="K108" s="231"/>
      <c r="L108" s="231"/>
      <c r="M108" s="231"/>
      <c r="N108" s="231"/>
      <c r="O108" s="231"/>
      <c r="P108" s="231"/>
      <c r="Q108" s="231"/>
      <c r="R108" s="231"/>
      <c r="S108" s="231"/>
      <c r="T108" s="231"/>
      <c r="U108" s="231"/>
      <c r="V108" s="231"/>
      <c r="W108" s="231"/>
      <c r="X108" s="231"/>
      <c r="Y108" s="231"/>
      <c r="Z108" s="231"/>
      <c r="AA108" s="231"/>
      <c r="AB108" s="231"/>
      <c r="AC108" s="231"/>
      <c r="AD108" s="231"/>
      <c r="AE108" s="231"/>
      <c r="AF108" s="231"/>
      <c r="AG108" s="231"/>
      <c r="AH108" s="231"/>
      <c r="AI108" s="231"/>
    </row>
    <row r="109" spans="1:35" s="203" customFormat="1">
      <c r="A109" s="119" t="s">
        <v>106</v>
      </c>
      <c r="B109" s="47"/>
      <c r="C109" s="47"/>
      <c r="D109" s="47"/>
      <c r="E109" s="140"/>
      <c r="F109" s="141"/>
      <c r="G109" s="139"/>
      <c r="H109" s="141"/>
      <c r="I109" s="139"/>
      <c r="J109" s="231"/>
      <c r="K109" s="231"/>
      <c r="L109" s="231"/>
      <c r="M109" s="231"/>
      <c r="N109" s="231"/>
      <c r="O109" s="231"/>
      <c r="P109" s="231"/>
      <c r="Q109" s="231"/>
      <c r="R109" s="231"/>
      <c r="S109" s="231"/>
      <c r="T109" s="231"/>
      <c r="U109" s="231"/>
      <c r="V109" s="231"/>
      <c r="W109" s="231"/>
      <c r="X109" s="231"/>
      <c r="Y109" s="231"/>
      <c r="Z109" s="231"/>
      <c r="AA109" s="231"/>
      <c r="AB109" s="231"/>
      <c r="AC109" s="231"/>
      <c r="AD109" s="231"/>
      <c r="AE109" s="231"/>
      <c r="AF109" s="231"/>
      <c r="AG109" s="231"/>
      <c r="AH109" s="231"/>
      <c r="AI109" s="231"/>
    </row>
    <row r="110" spans="1:35" s="203" customFormat="1">
      <c r="A110" s="120">
        <v>12</v>
      </c>
      <c r="B110" s="47" t="s">
        <v>117</v>
      </c>
      <c r="C110" s="47"/>
      <c r="D110" s="47"/>
      <c r="E110" s="49">
        <v>30585</v>
      </c>
      <c r="F110" s="52">
        <v>30990</v>
      </c>
      <c r="G110" s="118"/>
      <c r="H110" s="122">
        <v>32983</v>
      </c>
      <c r="I110" s="139"/>
      <c r="J110" s="231"/>
      <c r="K110" s="231"/>
      <c r="L110" s="231"/>
      <c r="M110" s="231"/>
      <c r="N110" s="231"/>
      <c r="O110" s="231"/>
      <c r="P110" s="231"/>
      <c r="Q110" s="231"/>
      <c r="R110" s="231"/>
      <c r="S110" s="231"/>
      <c r="T110" s="231"/>
      <c r="U110" s="231"/>
      <c r="V110" s="231"/>
      <c r="W110" s="231"/>
      <c r="X110" s="231"/>
      <c r="Y110" s="231"/>
      <c r="Z110" s="231"/>
      <c r="AA110" s="231"/>
      <c r="AB110" s="231"/>
      <c r="AC110" s="231"/>
      <c r="AD110" s="231"/>
      <c r="AE110" s="231"/>
      <c r="AF110" s="231"/>
      <c r="AG110" s="231"/>
      <c r="AH110" s="231"/>
      <c r="AI110" s="231"/>
    </row>
    <row r="111" spans="1:35" s="203" customFormat="1">
      <c r="A111" s="120">
        <v>13</v>
      </c>
      <c r="B111" s="47" t="s">
        <v>118</v>
      </c>
      <c r="C111" s="47"/>
      <c r="D111" s="47"/>
      <c r="E111" s="49">
        <v>49163</v>
      </c>
      <c r="F111" s="52">
        <v>46604</v>
      </c>
      <c r="G111" s="118"/>
      <c r="H111" s="122">
        <v>48655</v>
      </c>
      <c r="I111" s="139"/>
      <c r="J111" s="231"/>
      <c r="K111" s="231"/>
      <c r="L111" s="231"/>
      <c r="M111" s="231"/>
      <c r="N111" s="231"/>
      <c r="O111" s="231"/>
      <c r="P111" s="231"/>
      <c r="Q111" s="231"/>
      <c r="R111" s="231"/>
      <c r="S111" s="231"/>
      <c r="T111" s="231"/>
      <c r="U111" s="231"/>
      <c r="V111" s="231"/>
      <c r="W111" s="231"/>
      <c r="X111" s="231"/>
      <c r="Y111" s="231"/>
      <c r="Z111" s="231"/>
      <c r="AA111" s="231"/>
      <c r="AB111" s="231"/>
      <c r="AC111" s="231"/>
      <c r="AD111" s="231"/>
      <c r="AE111" s="231"/>
      <c r="AF111" s="231"/>
      <c r="AG111" s="231"/>
      <c r="AH111" s="231"/>
      <c r="AI111" s="231"/>
    </row>
    <row r="112" spans="1:35" s="203" customFormat="1">
      <c r="A112" s="120">
        <v>14</v>
      </c>
      <c r="B112" s="47" t="s">
        <v>119</v>
      </c>
      <c r="C112" s="47"/>
      <c r="D112" s="47"/>
      <c r="E112" s="49">
        <v>52225</v>
      </c>
      <c r="F112" s="52">
        <v>47725</v>
      </c>
      <c r="G112" s="118"/>
      <c r="H112" s="122">
        <f>47223+26</f>
        <v>47249</v>
      </c>
      <c r="I112" s="139"/>
      <c r="J112" s="231"/>
      <c r="K112" s="231"/>
      <c r="L112" s="231"/>
      <c r="M112" s="231"/>
      <c r="N112" s="231"/>
      <c r="O112" s="231"/>
      <c r="P112" s="231"/>
      <c r="Q112" s="231"/>
      <c r="R112" s="231"/>
      <c r="S112" s="231"/>
      <c r="T112" s="231"/>
      <c r="U112" s="231"/>
      <c r="V112" s="231"/>
      <c r="W112" s="231"/>
      <c r="X112" s="231"/>
      <c r="Y112" s="231"/>
      <c r="Z112" s="231"/>
      <c r="AA112" s="231"/>
      <c r="AB112" s="231"/>
      <c r="AC112" s="231"/>
      <c r="AD112" s="231"/>
      <c r="AE112" s="231"/>
      <c r="AF112" s="231"/>
      <c r="AG112" s="231"/>
      <c r="AH112" s="231"/>
      <c r="AI112" s="231"/>
    </row>
    <row r="113" spans="1:35" s="203" customFormat="1">
      <c r="A113" s="120">
        <v>15</v>
      </c>
      <c r="B113" s="47" t="s">
        <v>120</v>
      </c>
      <c r="C113" s="47"/>
      <c r="D113" s="47"/>
      <c r="E113" s="49">
        <v>0</v>
      </c>
      <c r="F113" s="52">
        <v>0</v>
      </c>
      <c r="G113" s="118"/>
      <c r="H113" s="122">
        <f>0+26</f>
        <v>26</v>
      </c>
      <c r="I113" s="139"/>
      <c r="J113" s="231"/>
      <c r="K113" s="231"/>
      <c r="L113" s="231"/>
      <c r="M113" s="231"/>
      <c r="N113" s="231"/>
      <c r="O113" s="231"/>
      <c r="P113" s="231"/>
      <c r="Q113" s="231"/>
      <c r="R113" s="231"/>
      <c r="S113" s="231"/>
      <c r="T113" s="231"/>
      <c r="U113" s="231"/>
      <c r="V113" s="231"/>
      <c r="W113" s="231"/>
      <c r="X113" s="231"/>
      <c r="Y113" s="231"/>
      <c r="Z113" s="231"/>
      <c r="AA113" s="231"/>
      <c r="AB113" s="231"/>
      <c r="AC113" s="231"/>
      <c r="AD113" s="231"/>
      <c r="AE113" s="231"/>
      <c r="AF113" s="231"/>
      <c r="AG113" s="231"/>
      <c r="AH113" s="231"/>
      <c r="AI113" s="231"/>
    </row>
    <row r="114" spans="1:35" s="203" customFormat="1">
      <c r="A114" s="120">
        <v>16</v>
      </c>
      <c r="B114" s="47" t="s">
        <v>121</v>
      </c>
      <c r="C114" s="47"/>
      <c r="D114" s="47"/>
      <c r="E114" s="49">
        <v>21773</v>
      </c>
      <c r="F114" s="52">
        <v>20945</v>
      </c>
      <c r="G114" s="118"/>
      <c r="H114" s="100">
        <v>24181</v>
      </c>
      <c r="I114" s="139"/>
      <c r="J114" s="231"/>
      <c r="K114" s="231"/>
      <c r="L114" s="231"/>
      <c r="M114" s="231"/>
      <c r="N114" s="231"/>
      <c r="O114" s="231"/>
      <c r="P114" s="231"/>
      <c r="Q114" s="231"/>
      <c r="R114" s="231"/>
      <c r="S114" s="231"/>
      <c r="T114" s="231"/>
      <c r="U114" s="231"/>
      <c r="V114" s="231"/>
      <c r="W114" s="231"/>
      <c r="X114" s="231"/>
      <c r="Y114" s="231"/>
      <c r="Z114" s="231"/>
      <c r="AA114" s="231"/>
      <c r="AB114" s="231"/>
      <c r="AC114" s="231"/>
      <c r="AD114" s="231"/>
      <c r="AE114" s="231"/>
      <c r="AF114" s="231"/>
      <c r="AG114" s="231"/>
      <c r="AH114" s="231"/>
      <c r="AI114" s="231"/>
    </row>
    <row r="115" spans="1:35" s="203" customFormat="1">
      <c r="A115" s="120">
        <v>17</v>
      </c>
      <c r="B115" s="116" t="s">
        <v>122</v>
      </c>
      <c r="C115" s="116"/>
      <c r="D115" s="116"/>
      <c r="E115" s="80">
        <v>153746</v>
      </c>
      <c r="F115" s="142">
        <f>SUM(F110:F114)</f>
        <v>146264</v>
      </c>
      <c r="G115" s="118"/>
      <c r="H115" s="142">
        <f>SUM(H110:H114)</f>
        <v>153094</v>
      </c>
      <c r="I115" s="139"/>
      <c r="J115" s="231"/>
      <c r="K115" s="231"/>
      <c r="L115" s="231"/>
      <c r="M115" s="231"/>
      <c r="N115" s="231"/>
      <c r="O115" s="231"/>
      <c r="P115" s="231"/>
      <c r="Q115" s="231"/>
      <c r="R115" s="231"/>
      <c r="S115" s="231"/>
      <c r="T115" s="231"/>
      <c r="U115" s="231"/>
      <c r="V115" s="231"/>
      <c r="W115" s="231"/>
      <c r="X115" s="231"/>
      <c r="Y115" s="231"/>
      <c r="Z115" s="231"/>
      <c r="AA115" s="231"/>
      <c r="AB115" s="231"/>
      <c r="AC115" s="231"/>
      <c r="AD115" s="231"/>
      <c r="AE115" s="231"/>
      <c r="AF115" s="231"/>
      <c r="AG115" s="231"/>
      <c r="AH115" s="231"/>
      <c r="AI115" s="231"/>
    </row>
    <row r="116" spans="1:35" s="203" customFormat="1">
      <c r="A116" s="111"/>
      <c r="B116" s="116"/>
      <c r="C116" s="116"/>
      <c r="D116" s="116"/>
      <c r="E116" s="143"/>
      <c r="F116" s="118"/>
      <c r="G116" s="118"/>
      <c r="H116" s="118"/>
      <c r="I116" s="139"/>
      <c r="J116" s="231"/>
      <c r="K116" s="231"/>
      <c r="L116" s="231"/>
      <c r="M116" s="231"/>
      <c r="N116" s="231"/>
      <c r="O116" s="231"/>
      <c r="P116" s="231"/>
      <c r="Q116" s="231"/>
      <c r="R116" s="231"/>
      <c r="S116" s="231"/>
      <c r="T116" s="231"/>
      <c r="U116" s="231"/>
      <c r="V116" s="231"/>
      <c r="W116" s="231"/>
      <c r="X116" s="231"/>
      <c r="Y116" s="231"/>
      <c r="Z116" s="231"/>
      <c r="AA116" s="231"/>
      <c r="AB116" s="231"/>
      <c r="AC116" s="231"/>
      <c r="AD116" s="231"/>
      <c r="AE116" s="231"/>
      <c r="AF116" s="231"/>
      <c r="AG116" s="231"/>
      <c r="AH116" s="231"/>
      <c r="AI116" s="231"/>
    </row>
    <row r="117" spans="1:35" s="203" customFormat="1">
      <c r="A117" s="144" t="s">
        <v>107</v>
      </c>
      <c r="B117" s="116"/>
      <c r="C117" s="116"/>
      <c r="D117" s="116"/>
      <c r="E117" s="145"/>
      <c r="F117" s="146"/>
      <c r="G117" s="118"/>
      <c r="H117" s="146"/>
      <c r="I117" s="139"/>
      <c r="J117" s="231"/>
      <c r="K117" s="231"/>
      <c r="L117" s="231"/>
      <c r="M117" s="231"/>
      <c r="N117" s="231"/>
      <c r="O117" s="231"/>
      <c r="P117" s="231"/>
      <c r="Q117" s="231"/>
      <c r="R117" s="231"/>
      <c r="S117" s="231"/>
      <c r="T117" s="231"/>
      <c r="U117" s="231"/>
      <c r="V117" s="231"/>
      <c r="W117" s="231"/>
      <c r="X117" s="231"/>
      <c r="Y117" s="231"/>
      <c r="Z117" s="231"/>
      <c r="AA117" s="231"/>
      <c r="AB117" s="231"/>
      <c r="AC117" s="231"/>
      <c r="AD117" s="231"/>
      <c r="AE117" s="231"/>
      <c r="AF117" s="231"/>
      <c r="AG117" s="231"/>
      <c r="AH117" s="231"/>
      <c r="AI117" s="231"/>
    </row>
    <row r="118" spans="1:35" s="203" customFormat="1">
      <c r="A118" s="120">
        <v>18</v>
      </c>
      <c r="B118" s="47" t="s">
        <v>123</v>
      </c>
      <c r="C118" s="47"/>
      <c r="D118" s="47"/>
      <c r="E118" s="49">
        <v>8154</v>
      </c>
      <c r="F118" s="52">
        <v>10010</v>
      </c>
      <c r="G118" s="118"/>
      <c r="H118" s="122">
        <v>9737</v>
      </c>
      <c r="I118" s="139"/>
      <c r="J118" s="231"/>
      <c r="K118" s="231"/>
      <c r="L118" s="231"/>
      <c r="M118" s="231"/>
      <c r="N118" s="231"/>
      <c r="O118" s="231"/>
      <c r="P118" s="231"/>
      <c r="Q118" s="231"/>
      <c r="R118" s="231"/>
      <c r="S118" s="231"/>
      <c r="T118" s="231"/>
      <c r="U118" s="231"/>
      <c r="V118" s="231"/>
      <c r="W118" s="231"/>
      <c r="X118" s="231"/>
      <c r="Y118" s="231"/>
      <c r="Z118" s="231"/>
      <c r="AA118" s="231"/>
      <c r="AB118" s="231"/>
      <c r="AC118" s="231"/>
      <c r="AD118" s="231"/>
      <c r="AE118" s="231"/>
      <c r="AF118" s="231"/>
      <c r="AG118" s="231"/>
      <c r="AH118" s="231"/>
      <c r="AI118" s="231"/>
    </row>
    <row r="119" spans="1:35" s="203" customFormat="1">
      <c r="A119" s="120">
        <v>19</v>
      </c>
      <c r="B119" s="47" t="s">
        <v>124</v>
      </c>
      <c r="C119" s="47"/>
      <c r="D119" s="47"/>
      <c r="E119" s="49">
        <v>41899</v>
      </c>
      <c r="F119" s="52">
        <v>53318</v>
      </c>
      <c r="G119" s="118"/>
      <c r="H119" s="122">
        <v>70404</v>
      </c>
      <c r="I119" s="139"/>
      <c r="J119" s="231"/>
      <c r="K119" s="231"/>
      <c r="L119" s="231"/>
      <c r="M119" s="231"/>
      <c r="N119" s="231"/>
      <c r="O119" s="231"/>
      <c r="P119" s="231"/>
      <c r="Q119" s="231"/>
      <c r="R119" s="231"/>
      <c r="S119" s="231"/>
      <c r="T119" s="231"/>
      <c r="U119" s="231"/>
      <c r="V119" s="231"/>
      <c r="W119" s="231"/>
      <c r="X119" s="231"/>
      <c r="Y119" s="231"/>
      <c r="Z119" s="231"/>
      <c r="AA119" s="231"/>
      <c r="AB119" s="231"/>
      <c r="AC119" s="231"/>
      <c r="AD119" s="231"/>
      <c r="AE119" s="231"/>
      <c r="AF119" s="231"/>
      <c r="AG119" s="231"/>
      <c r="AH119" s="231"/>
      <c r="AI119" s="231"/>
    </row>
    <row r="120" spans="1:35" s="203" customFormat="1">
      <c r="A120" s="120">
        <v>20</v>
      </c>
      <c r="B120" s="47" t="s">
        <v>119</v>
      </c>
      <c r="C120" s="47"/>
      <c r="D120" s="47"/>
      <c r="E120" s="49">
        <v>63014</v>
      </c>
      <c r="F120" s="52">
        <v>58340</v>
      </c>
      <c r="G120" s="118"/>
      <c r="H120" s="122">
        <v>53043</v>
      </c>
      <c r="I120" s="139"/>
      <c r="J120" s="231"/>
      <c r="K120" s="231"/>
      <c r="L120" s="231"/>
      <c r="M120" s="231"/>
      <c r="N120" s="231"/>
      <c r="O120" s="231"/>
      <c r="P120" s="231"/>
      <c r="Q120" s="231"/>
      <c r="R120" s="231"/>
      <c r="S120" s="231"/>
      <c r="T120" s="231"/>
      <c r="U120" s="231"/>
      <c r="V120" s="231"/>
      <c r="W120" s="231"/>
      <c r="X120" s="231"/>
      <c r="Y120" s="231"/>
      <c r="Z120" s="231"/>
      <c r="AA120" s="231"/>
      <c r="AB120" s="231"/>
      <c r="AC120" s="231"/>
      <c r="AD120" s="231"/>
      <c r="AE120" s="231"/>
      <c r="AF120" s="231"/>
      <c r="AG120" s="231"/>
      <c r="AH120" s="231"/>
      <c r="AI120" s="231"/>
    </row>
    <row r="121" spans="1:35" s="203" customFormat="1">
      <c r="A121" s="120">
        <v>21</v>
      </c>
      <c r="B121" s="47" t="s">
        <v>120</v>
      </c>
      <c r="C121" s="47"/>
      <c r="D121" s="47"/>
      <c r="E121" s="49">
        <v>2754</v>
      </c>
      <c r="F121" s="52">
        <v>6046</v>
      </c>
      <c r="G121" s="118"/>
      <c r="H121" s="122">
        <v>6720</v>
      </c>
      <c r="I121" s="139"/>
      <c r="J121" s="231"/>
      <c r="K121" s="231"/>
      <c r="L121" s="231"/>
      <c r="M121" s="231"/>
      <c r="N121" s="231"/>
      <c r="O121" s="231"/>
      <c r="P121" s="231"/>
      <c r="Q121" s="231"/>
      <c r="R121" s="231"/>
      <c r="S121" s="231"/>
      <c r="T121" s="231"/>
      <c r="U121" s="231"/>
      <c r="V121" s="231"/>
      <c r="W121" s="231"/>
      <c r="X121" s="231"/>
      <c r="Y121" s="231"/>
      <c r="Z121" s="231"/>
      <c r="AA121" s="231"/>
      <c r="AB121" s="231"/>
      <c r="AC121" s="231"/>
      <c r="AD121" s="231"/>
      <c r="AE121" s="231"/>
      <c r="AF121" s="231"/>
      <c r="AG121" s="231"/>
      <c r="AH121" s="231"/>
      <c r="AI121" s="231"/>
    </row>
    <row r="122" spans="1:35" s="203" customFormat="1">
      <c r="A122" s="120">
        <v>22</v>
      </c>
      <c r="B122" s="47" t="s">
        <v>125</v>
      </c>
      <c r="C122" s="47"/>
      <c r="D122" s="47"/>
      <c r="E122" s="49">
        <v>326</v>
      </c>
      <c r="F122" s="52">
        <v>581</v>
      </c>
      <c r="G122" s="118"/>
      <c r="H122" s="122">
        <v>503</v>
      </c>
      <c r="I122" s="139"/>
      <c r="J122" s="231"/>
      <c r="K122" s="231"/>
      <c r="L122" s="231"/>
      <c r="M122" s="231"/>
      <c r="N122" s="231"/>
      <c r="O122" s="231"/>
      <c r="P122" s="231"/>
      <c r="Q122" s="231"/>
      <c r="R122" s="231"/>
      <c r="S122" s="231"/>
      <c r="T122" s="231"/>
      <c r="U122" s="231"/>
      <c r="V122" s="231"/>
      <c r="W122" s="231"/>
      <c r="X122" s="231"/>
      <c r="Y122" s="231"/>
      <c r="Z122" s="231"/>
      <c r="AA122" s="231"/>
      <c r="AB122" s="231"/>
      <c r="AC122" s="231"/>
      <c r="AD122" s="231"/>
      <c r="AE122" s="231"/>
      <c r="AF122" s="231"/>
      <c r="AG122" s="231"/>
      <c r="AH122" s="231"/>
      <c r="AI122" s="231"/>
    </row>
    <row r="123" spans="1:35" s="203" customFormat="1">
      <c r="A123" s="120">
        <v>23</v>
      </c>
      <c r="B123" s="90" t="s">
        <v>126</v>
      </c>
      <c r="C123" s="47"/>
      <c r="D123" s="47"/>
      <c r="E123" s="49">
        <v>9442</v>
      </c>
      <c r="F123" s="52">
        <v>13296</v>
      </c>
      <c r="G123" s="118"/>
      <c r="H123" s="99">
        <v>13599</v>
      </c>
      <c r="I123" s="139"/>
      <c r="J123" s="231"/>
      <c r="K123" s="231"/>
      <c r="L123" s="231"/>
      <c r="M123" s="231"/>
      <c r="N123" s="231"/>
      <c r="O123" s="231"/>
      <c r="P123" s="231"/>
      <c r="Q123" s="231"/>
      <c r="R123" s="231"/>
      <c r="S123" s="231"/>
      <c r="T123" s="231"/>
      <c r="U123" s="231"/>
      <c r="V123" s="231"/>
      <c r="W123" s="231"/>
      <c r="X123" s="231"/>
      <c r="Y123" s="231"/>
      <c r="Z123" s="231"/>
      <c r="AA123" s="231"/>
      <c r="AB123" s="231"/>
      <c r="AC123" s="231"/>
      <c r="AD123" s="231"/>
      <c r="AE123" s="231"/>
      <c r="AF123" s="231"/>
      <c r="AG123" s="231"/>
      <c r="AH123" s="231"/>
      <c r="AI123" s="231"/>
    </row>
    <row r="124" spans="1:35" s="203" customFormat="1">
      <c r="A124" s="120">
        <v>24</v>
      </c>
      <c r="B124" s="47" t="s">
        <v>121</v>
      </c>
      <c r="C124" s="47"/>
      <c r="D124" s="47"/>
      <c r="E124" s="49">
        <v>11852</v>
      </c>
      <c r="F124" s="52">
        <v>4915</v>
      </c>
      <c r="G124" s="118"/>
      <c r="H124" s="100">
        <v>4983</v>
      </c>
      <c r="I124" s="139"/>
      <c r="J124" s="231"/>
      <c r="K124" s="231"/>
      <c r="L124" s="231"/>
      <c r="M124" s="231"/>
      <c r="N124" s="231"/>
      <c r="O124" s="231"/>
      <c r="P124" s="231"/>
      <c r="Q124" s="231"/>
      <c r="R124" s="231"/>
      <c r="S124" s="231"/>
      <c r="T124" s="231"/>
      <c r="U124" s="231"/>
      <c r="V124" s="231"/>
      <c r="W124" s="231"/>
      <c r="X124" s="231"/>
      <c r="Y124" s="231"/>
      <c r="Z124" s="231"/>
      <c r="AA124" s="231"/>
      <c r="AB124" s="231"/>
      <c r="AC124" s="231"/>
      <c r="AD124" s="231"/>
      <c r="AE124" s="231"/>
      <c r="AF124" s="231"/>
      <c r="AG124" s="231"/>
      <c r="AH124" s="231"/>
      <c r="AI124" s="231"/>
    </row>
    <row r="125" spans="1:35" s="203" customFormat="1">
      <c r="A125" s="120">
        <v>25</v>
      </c>
      <c r="B125" s="147" t="s">
        <v>127</v>
      </c>
      <c r="C125" s="147"/>
      <c r="D125" s="147"/>
      <c r="E125" s="80">
        <v>137441</v>
      </c>
      <c r="F125" s="142">
        <f>SUM(F118:F124)</f>
        <v>146506</v>
      </c>
      <c r="G125" s="118"/>
      <c r="H125" s="142">
        <f>SUM(H118:H124)</f>
        <v>158989</v>
      </c>
      <c r="I125" s="139"/>
      <c r="J125" s="231"/>
      <c r="K125" s="231"/>
      <c r="L125" s="231"/>
      <c r="M125" s="231"/>
      <c r="N125" s="231"/>
      <c r="O125" s="231"/>
      <c r="P125" s="231"/>
      <c r="Q125" s="231"/>
      <c r="R125" s="231"/>
      <c r="S125" s="231"/>
      <c r="T125" s="231"/>
      <c r="U125" s="231"/>
      <c r="V125" s="231"/>
      <c r="W125" s="231"/>
      <c r="X125" s="231"/>
      <c r="Y125" s="231"/>
      <c r="Z125" s="231"/>
      <c r="AA125" s="231"/>
      <c r="AB125" s="231"/>
      <c r="AC125" s="231"/>
      <c r="AD125" s="231"/>
      <c r="AE125" s="231"/>
      <c r="AF125" s="231"/>
      <c r="AG125" s="231"/>
      <c r="AH125" s="231"/>
      <c r="AI125" s="231"/>
    </row>
    <row r="126" spans="1:35" s="203" customFormat="1">
      <c r="A126" s="111"/>
      <c r="B126" s="47"/>
      <c r="C126" s="47"/>
      <c r="D126" s="47"/>
      <c r="E126" s="117"/>
      <c r="F126" s="118"/>
      <c r="G126" s="118"/>
      <c r="H126" s="118"/>
      <c r="I126" s="139"/>
      <c r="J126" s="231"/>
      <c r="K126" s="231"/>
      <c r="L126" s="231"/>
      <c r="M126" s="231"/>
      <c r="N126" s="231"/>
      <c r="O126" s="231"/>
      <c r="P126" s="231"/>
      <c r="Q126" s="231"/>
      <c r="R126" s="231"/>
      <c r="S126" s="231"/>
      <c r="T126" s="231"/>
      <c r="U126" s="231"/>
      <c r="V126" s="231"/>
      <c r="W126" s="231"/>
      <c r="X126" s="231"/>
      <c r="Y126" s="231"/>
      <c r="Z126" s="231"/>
      <c r="AA126" s="231"/>
      <c r="AB126" s="231"/>
      <c r="AC126" s="231"/>
      <c r="AD126" s="231"/>
      <c r="AE126" s="231"/>
      <c r="AF126" s="231"/>
      <c r="AG126" s="231"/>
      <c r="AH126" s="231"/>
      <c r="AI126" s="231"/>
    </row>
    <row r="127" spans="1:35" s="203" customFormat="1">
      <c r="A127" s="119" t="s">
        <v>108</v>
      </c>
      <c r="B127" s="147"/>
      <c r="C127" s="147"/>
      <c r="D127" s="147"/>
      <c r="E127" s="140"/>
      <c r="F127" s="146"/>
      <c r="G127" s="118"/>
      <c r="H127" s="146"/>
      <c r="I127" s="139"/>
      <c r="J127" s="231"/>
      <c r="K127" s="231"/>
      <c r="L127" s="231"/>
      <c r="M127" s="231"/>
      <c r="N127" s="231"/>
      <c r="O127" s="231"/>
      <c r="P127" s="231"/>
      <c r="Q127" s="231"/>
      <c r="R127" s="231"/>
      <c r="S127" s="231"/>
      <c r="T127" s="231"/>
      <c r="U127" s="231"/>
      <c r="V127" s="231"/>
      <c r="W127" s="231"/>
      <c r="X127" s="231"/>
      <c r="Y127" s="231"/>
      <c r="Z127" s="231"/>
      <c r="AA127" s="231"/>
      <c r="AB127" s="231"/>
      <c r="AC127" s="231"/>
      <c r="AD127" s="231"/>
      <c r="AE127" s="231"/>
      <c r="AF127" s="231"/>
      <c r="AG127" s="231"/>
      <c r="AH127" s="231"/>
      <c r="AI127" s="231"/>
    </row>
    <row r="128" spans="1:35" s="203" customFormat="1">
      <c r="A128" s="120">
        <v>26</v>
      </c>
      <c r="B128" s="47" t="s">
        <v>123</v>
      </c>
      <c r="C128" s="47"/>
      <c r="D128" s="47"/>
      <c r="E128" s="74">
        <v>824</v>
      </c>
      <c r="F128" s="52">
        <v>960</v>
      </c>
      <c r="G128" s="118"/>
      <c r="H128" s="122">
        <f>1034-2</f>
        <v>1032</v>
      </c>
      <c r="I128" s="139"/>
      <c r="J128" s="231"/>
      <c r="K128" s="231"/>
      <c r="L128" s="231"/>
      <c r="M128" s="231"/>
      <c r="N128" s="231"/>
      <c r="O128" s="231"/>
      <c r="P128" s="231"/>
      <c r="Q128" s="231"/>
      <c r="R128" s="231"/>
      <c r="S128" s="231"/>
      <c r="T128" s="231"/>
      <c r="U128" s="231"/>
      <c r="V128" s="231"/>
      <c r="W128" s="231"/>
      <c r="X128" s="231"/>
      <c r="Y128" s="231"/>
      <c r="Z128" s="231"/>
      <c r="AA128" s="231"/>
      <c r="AB128" s="231"/>
      <c r="AC128" s="231"/>
      <c r="AD128" s="231"/>
      <c r="AE128" s="231"/>
      <c r="AF128" s="231"/>
      <c r="AG128" s="231"/>
      <c r="AH128" s="231"/>
      <c r="AI128" s="231"/>
    </row>
    <row r="129" spans="1:35" s="203" customFormat="1">
      <c r="A129" s="120">
        <v>27</v>
      </c>
      <c r="B129" s="47" t="s">
        <v>124</v>
      </c>
      <c r="C129" s="47"/>
      <c r="D129" s="47"/>
      <c r="E129" s="49">
        <v>1352</v>
      </c>
      <c r="F129" s="52">
        <v>1917</v>
      </c>
      <c r="G129" s="118"/>
      <c r="H129" s="122">
        <v>1048</v>
      </c>
      <c r="I129" s="139"/>
      <c r="J129" s="231"/>
      <c r="K129" s="231"/>
      <c r="L129" s="231"/>
      <c r="M129" s="231"/>
      <c r="N129" s="231"/>
      <c r="O129" s="231"/>
      <c r="P129" s="231"/>
      <c r="Q129" s="231"/>
      <c r="R129" s="231"/>
      <c r="S129" s="231"/>
      <c r="T129" s="231"/>
      <c r="U129" s="231"/>
      <c r="V129" s="231"/>
      <c r="W129" s="231"/>
      <c r="X129" s="231"/>
      <c r="Y129" s="231"/>
      <c r="Z129" s="231"/>
      <c r="AA129" s="231"/>
      <c r="AB129" s="231"/>
      <c r="AC129" s="231"/>
      <c r="AD129" s="231"/>
      <c r="AE129" s="231"/>
      <c r="AF129" s="231"/>
      <c r="AG129" s="231"/>
      <c r="AH129" s="231"/>
      <c r="AI129" s="231"/>
    </row>
    <row r="130" spans="1:35" s="203" customFormat="1">
      <c r="A130" s="120">
        <v>28</v>
      </c>
      <c r="B130" s="47" t="s">
        <v>119</v>
      </c>
      <c r="C130" s="47"/>
      <c r="D130" s="47"/>
      <c r="E130" s="49">
        <v>9642</v>
      </c>
      <c r="F130" s="52">
        <f>8859+1</f>
        <v>8860</v>
      </c>
      <c r="G130" s="118"/>
      <c r="H130" s="122">
        <v>8986</v>
      </c>
      <c r="I130" s="139"/>
      <c r="J130" s="231"/>
      <c r="K130" s="231"/>
      <c r="L130" s="231"/>
      <c r="M130" s="231"/>
      <c r="N130" s="231"/>
      <c r="O130" s="231"/>
      <c r="P130" s="231"/>
      <c r="Q130" s="231"/>
      <c r="R130" s="231"/>
      <c r="S130" s="231"/>
      <c r="T130" s="231"/>
      <c r="U130" s="231"/>
      <c r="V130" s="231"/>
      <c r="W130" s="231"/>
      <c r="X130" s="231"/>
      <c r="Y130" s="231"/>
      <c r="Z130" s="231"/>
      <c r="AA130" s="231"/>
      <c r="AB130" s="231"/>
      <c r="AC130" s="231"/>
      <c r="AD130" s="231"/>
      <c r="AE130" s="231"/>
      <c r="AF130" s="231"/>
      <c r="AG130" s="231"/>
      <c r="AH130" s="231"/>
      <c r="AI130" s="231"/>
    </row>
    <row r="131" spans="1:35" s="203" customFormat="1">
      <c r="A131" s="120">
        <v>29</v>
      </c>
      <c r="B131" s="47" t="s">
        <v>120</v>
      </c>
      <c r="C131" s="47"/>
      <c r="D131" s="47"/>
      <c r="E131" s="49">
        <v>720</v>
      </c>
      <c r="F131" s="52">
        <v>765</v>
      </c>
      <c r="G131" s="118"/>
      <c r="H131" s="122">
        <v>238</v>
      </c>
      <c r="I131" s="139"/>
      <c r="J131" s="231"/>
      <c r="K131" s="231"/>
      <c r="L131" s="231"/>
      <c r="M131" s="231"/>
      <c r="N131" s="231"/>
      <c r="O131" s="231"/>
      <c r="P131" s="231"/>
      <c r="Q131" s="231"/>
      <c r="R131" s="231"/>
      <c r="S131" s="231"/>
      <c r="T131" s="231"/>
      <c r="U131" s="231"/>
      <c r="V131" s="231"/>
      <c r="W131" s="231"/>
      <c r="X131" s="231"/>
      <c r="Y131" s="231"/>
      <c r="Z131" s="231"/>
      <c r="AA131" s="231"/>
      <c r="AB131" s="231"/>
      <c r="AC131" s="231"/>
      <c r="AD131" s="231"/>
      <c r="AE131" s="231"/>
      <c r="AF131" s="231"/>
      <c r="AG131" s="231"/>
      <c r="AH131" s="231"/>
      <c r="AI131" s="231"/>
    </row>
    <row r="132" spans="1:35" s="203" customFormat="1">
      <c r="A132" s="120">
        <v>30</v>
      </c>
      <c r="B132" s="47" t="s">
        <v>125</v>
      </c>
      <c r="C132" s="47"/>
      <c r="D132" s="47"/>
      <c r="E132" s="49">
        <v>2445</v>
      </c>
      <c r="F132" s="52">
        <v>2324</v>
      </c>
      <c r="G132" s="118"/>
      <c r="H132" s="122">
        <v>2038</v>
      </c>
      <c r="I132" s="139"/>
      <c r="J132" s="231"/>
      <c r="K132" s="231"/>
      <c r="L132" s="231"/>
      <c r="M132" s="231"/>
      <c r="N132" s="231"/>
      <c r="O132" s="231"/>
      <c r="P132" s="231"/>
      <c r="Q132" s="231"/>
      <c r="R132" s="231"/>
      <c r="S132" s="231"/>
      <c r="T132" s="231"/>
      <c r="U132" s="231"/>
      <c r="V132" s="231"/>
      <c r="W132" s="231"/>
      <c r="X132" s="231"/>
      <c r="Y132" s="231"/>
      <c r="Z132" s="231"/>
      <c r="AA132" s="231"/>
      <c r="AB132" s="231"/>
      <c r="AC132" s="231"/>
      <c r="AD132" s="231"/>
      <c r="AE132" s="231"/>
      <c r="AF132" s="231"/>
      <c r="AG132" s="231"/>
      <c r="AH132" s="231"/>
      <c r="AI132" s="231"/>
    </row>
    <row r="133" spans="1:35" s="203" customFormat="1">
      <c r="A133" s="120">
        <v>31</v>
      </c>
      <c r="B133" s="90" t="s">
        <v>126</v>
      </c>
      <c r="C133" s="47"/>
      <c r="D133" s="47"/>
      <c r="E133" s="49">
        <v>10143</v>
      </c>
      <c r="F133" s="52">
        <v>9881</v>
      </c>
      <c r="G133" s="118"/>
      <c r="H133" s="122">
        <v>9775</v>
      </c>
      <c r="I133" s="139"/>
      <c r="J133" s="231"/>
      <c r="K133" s="231"/>
      <c r="L133" s="231"/>
      <c r="M133" s="231"/>
      <c r="N133" s="231"/>
      <c r="O133" s="231"/>
      <c r="P133" s="231"/>
      <c r="Q133" s="231"/>
      <c r="R133" s="231"/>
      <c r="S133" s="231"/>
      <c r="T133" s="231"/>
      <c r="U133" s="231"/>
      <c r="V133" s="231"/>
      <c r="W133" s="231"/>
      <c r="X133" s="231"/>
      <c r="Y133" s="231"/>
      <c r="Z133" s="231"/>
      <c r="AA133" s="231"/>
      <c r="AB133" s="231"/>
      <c r="AC133" s="231"/>
      <c r="AD133" s="231"/>
      <c r="AE133" s="231"/>
      <c r="AF133" s="231"/>
      <c r="AG133" s="231"/>
      <c r="AH133" s="231"/>
      <c r="AI133" s="231"/>
    </row>
    <row r="134" spans="1:35" s="203" customFormat="1">
      <c r="A134" s="120">
        <v>32</v>
      </c>
      <c r="B134" s="47" t="s">
        <v>121</v>
      </c>
      <c r="C134" s="47"/>
      <c r="D134" s="47"/>
      <c r="E134" s="49">
        <v>1881</v>
      </c>
      <c r="F134" s="52">
        <v>1737</v>
      </c>
      <c r="G134" s="118"/>
      <c r="H134" s="100">
        <v>1759</v>
      </c>
      <c r="I134" s="139"/>
      <c r="J134" s="231"/>
      <c r="K134" s="231"/>
      <c r="L134" s="231"/>
      <c r="M134" s="231"/>
      <c r="N134" s="231"/>
      <c r="O134" s="231"/>
      <c r="P134" s="231"/>
      <c r="Q134" s="231"/>
      <c r="R134" s="231"/>
      <c r="S134" s="231"/>
      <c r="T134" s="231"/>
      <c r="U134" s="231"/>
      <c r="V134" s="231"/>
      <c r="W134" s="231"/>
      <c r="X134" s="231"/>
      <c r="Y134" s="231"/>
      <c r="Z134" s="231"/>
      <c r="AA134" s="231"/>
      <c r="AB134" s="231"/>
      <c r="AC134" s="231"/>
      <c r="AD134" s="231"/>
      <c r="AE134" s="231"/>
      <c r="AF134" s="231"/>
      <c r="AG134" s="231"/>
      <c r="AH134" s="231"/>
      <c r="AI134" s="231"/>
    </row>
    <row r="135" spans="1:35" s="203" customFormat="1">
      <c r="A135" s="120">
        <v>33</v>
      </c>
      <c r="B135" s="116" t="s">
        <v>128</v>
      </c>
      <c r="C135" s="116"/>
      <c r="D135" s="116"/>
      <c r="E135" s="80">
        <v>27007</v>
      </c>
      <c r="F135" s="142">
        <f>SUM(F128:F134)</f>
        <v>26444</v>
      </c>
      <c r="G135" s="118"/>
      <c r="H135" s="142">
        <f>SUM(H128:H134)</f>
        <v>24876</v>
      </c>
      <c r="I135" s="139"/>
      <c r="J135" s="231"/>
      <c r="K135" s="231"/>
      <c r="L135" s="231"/>
      <c r="M135" s="231"/>
      <c r="N135" s="231"/>
      <c r="O135" s="231"/>
      <c r="P135" s="231"/>
      <c r="Q135" s="231"/>
      <c r="R135" s="231"/>
      <c r="S135" s="231"/>
      <c r="T135" s="231"/>
      <c r="U135" s="231"/>
      <c r="V135" s="231"/>
      <c r="W135" s="231"/>
      <c r="X135" s="231"/>
      <c r="Y135" s="231"/>
      <c r="Z135" s="231"/>
      <c r="AA135" s="231"/>
      <c r="AB135" s="231"/>
      <c r="AC135" s="231"/>
      <c r="AD135" s="231"/>
      <c r="AE135" s="231"/>
      <c r="AF135" s="231"/>
      <c r="AG135" s="231"/>
      <c r="AH135" s="231"/>
      <c r="AI135" s="231"/>
    </row>
    <row r="136" spans="1:35" s="203" customFormat="1">
      <c r="A136" s="111"/>
      <c r="B136" s="47"/>
      <c r="C136" s="47"/>
      <c r="D136" s="138"/>
      <c r="E136" s="117"/>
      <c r="F136" s="118"/>
      <c r="G136" s="118"/>
      <c r="H136" s="118"/>
      <c r="I136" s="139"/>
      <c r="J136" s="231"/>
      <c r="K136" s="231"/>
      <c r="L136" s="231"/>
      <c r="M136" s="231"/>
      <c r="N136" s="231"/>
      <c r="O136" s="231"/>
      <c r="P136" s="231"/>
      <c r="Q136" s="231"/>
      <c r="R136" s="231"/>
      <c r="S136" s="231"/>
      <c r="T136" s="231"/>
      <c r="U136" s="231"/>
      <c r="V136" s="231"/>
      <c r="W136" s="231"/>
      <c r="X136" s="231"/>
      <c r="Y136" s="231"/>
      <c r="Z136" s="231"/>
      <c r="AA136" s="231"/>
      <c r="AB136" s="231"/>
      <c r="AC136" s="231"/>
      <c r="AD136" s="231"/>
      <c r="AE136" s="231"/>
      <c r="AF136" s="231"/>
      <c r="AG136" s="231"/>
      <c r="AH136" s="231"/>
      <c r="AI136" s="231"/>
    </row>
    <row r="137" spans="1:35" s="203" customFormat="1">
      <c r="A137" s="119" t="s">
        <v>109</v>
      </c>
      <c r="B137" s="116"/>
      <c r="C137" s="116"/>
      <c r="D137" s="116"/>
      <c r="E137" s="140"/>
      <c r="F137" s="146"/>
      <c r="G137" s="118"/>
      <c r="H137" s="146"/>
      <c r="I137" s="139"/>
      <c r="J137" s="231"/>
      <c r="K137" s="231"/>
      <c r="L137" s="231"/>
      <c r="M137" s="231"/>
      <c r="N137" s="231"/>
      <c r="O137" s="231"/>
      <c r="P137" s="231"/>
      <c r="Q137" s="231"/>
      <c r="R137" s="231"/>
      <c r="S137" s="231"/>
      <c r="T137" s="231"/>
      <c r="U137" s="231"/>
      <c r="V137" s="231"/>
      <c r="W137" s="231"/>
      <c r="X137" s="231"/>
      <c r="Y137" s="231"/>
      <c r="Z137" s="231"/>
      <c r="AA137" s="231"/>
      <c r="AB137" s="231"/>
      <c r="AC137" s="231"/>
      <c r="AD137" s="231"/>
      <c r="AE137" s="231"/>
      <c r="AF137" s="231"/>
      <c r="AG137" s="231"/>
      <c r="AH137" s="231"/>
      <c r="AI137" s="231"/>
    </row>
    <row r="138" spans="1:35" s="203" customFormat="1">
      <c r="A138" s="120">
        <v>34</v>
      </c>
      <c r="B138" s="47" t="s">
        <v>123</v>
      </c>
      <c r="C138" s="47"/>
      <c r="D138" s="47"/>
      <c r="E138" s="49">
        <v>1786</v>
      </c>
      <c r="F138" s="52">
        <f>2202+1</f>
        <v>2203</v>
      </c>
      <c r="G138" s="118"/>
      <c r="H138" s="122">
        <f>3216</f>
        <v>3216</v>
      </c>
      <c r="I138" s="139"/>
      <c r="J138" s="231"/>
      <c r="K138" s="231"/>
      <c r="L138" s="231"/>
      <c r="M138" s="231"/>
      <c r="N138" s="231"/>
      <c r="O138" s="231"/>
      <c r="P138" s="231"/>
      <c r="Q138" s="231"/>
      <c r="R138" s="231"/>
      <c r="S138" s="231"/>
      <c r="T138" s="231"/>
      <c r="U138" s="231"/>
      <c r="V138" s="231"/>
      <c r="W138" s="231"/>
      <c r="X138" s="231"/>
      <c r="Y138" s="231"/>
      <c r="Z138" s="231"/>
      <c r="AA138" s="231"/>
      <c r="AB138" s="231"/>
      <c r="AC138" s="231"/>
      <c r="AD138" s="231"/>
      <c r="AE138" s="231"/>
      <c r="AF138" s="231"/>
      <c r="AG138" s="231"/>
      <c r="AH138" s="231"/>
      <c r="AI138" s="231"/>
    </row>
    <row r="139" spans="1:35" s="203" customFormat="1">
      <c r="A139" s="120">
        <v>35</v>
      </c>
      <c r="B139" s="47" t="s">
        <v>119</v>
      </c>
      <c r="C139" s="47"/>
      <c r="D139" s="47"/>
      <c r="E139" s="49">
        <v>42</v>
      </c>
      <c r="F139" s="52">
        <v>30</v>
      </c>
      <c r="G139" s="118"/>
      <c r="H139" s="122">
        <v>35</v>
      </c>
      <c r="I139" s="139"/>
      <c r="J139" s="231"/>
      <c r="K139" s="231"/>
      <c r="L139" s="231"/>
      <c r="M139" s="231"/>
      <c r="N139" s="231"/>
      <c r="O139" s="231"/>
      <c r="P139" s="231"/>
      <c r="Q139" s="231"/>
      <c r="R139" s="231"/>
      <c r="S139" s="231"/>
      <c r="T139" s="231"/>
      <c r="U139" s="231"/>
      <c r="V139" s="231"/>
      <c r="W139" s="231"/>
      <c r="X139" s="231"/>
      <c r="Y139" s="231"/>
      <c r="Z139" s="231"/>
      <c r="AA139" s="231"/>
      <c r="AB139" s="231"/>
      <c r="AC139" s="231"/>
      <c r="AD139" s="231"/>
      <c r="AE139" s="231"/>
      <c r="AF139" s="231"/>
      <c r="AG139" s="231"/>
      <c r="AH139" s="231"/>
      <c r="AI139" s="231"/>
    </row>
    <row r="140" spans="1:35" s="203" customFormat="1">
      <c r="A140" s="120">
        <v>36</v>
      </c>
      <c r="B140" s="47" t="s">
        <v>120</v>
      </c>
      <c r="C140" s="47"/>
      <c r="D140" s="47"/>
      <c r="E140" s="49">
        <v>2916</v>
      </c>
      <c r="F140" s="52">
        <v>2990</v>
      </c>
      <c r="G140" s="118"/>
      <c r="H140" s="122">
        <v>3299</v>
      </c>
      <c r="I140" s="139"/>
      <c r="J140" s="231"/>
      <c r="K140" s="231"/>
      <c r="L140" s="231"/>
      <c r="M140" s="231"/>
      <c r="N140" s="231"/>
      <c r="O140" s="231"/>
      <c r="P140" s="231"/>
      <c r="Q140" s="231"/>
      <c r="R140" s="231"/>
      <c r="S140" s="231"/>
      <c r="T140" s="231"/>
      <c r="U140" s="231"/>
      <c r="V140" s="231"/>
      <c r="W140" s="231"/>
      <c r="X140" s="231"/>
      <c r="Y140" s="231"/>
      <c r="Z140" s="231"/>
      <c r="AA140" s="231"/>
      <c r="AB140" s="231"/>
      <c r="AC140" s="231"/>
      <c r="AD140" s="231"/>
      <c r="AE140" s="231"/>
      <c r="AF140" s="231"/>
      <c r="AG140" s="231"/>
      <c r="AH140" s="231"/>
      <c r="AI140" s="231"/>
    </row>
    <row r="141" spans="1:35" s="203" customFormat="1">
      <c r="A141" s="120">
        <v>37</v>
      </c>
      <c r="B141" s="90" t="s">
        <v>126</v>
      </c>
      <c r="C141" s="47"/>
      <c r="D141" s="47"/>
      <c r="E141" s="49">
        <v>22803</v>
      </c>
      <c r="F141" s="52">
        <v>31125</v>
      </c>
      <c r="G141" s="118"/>
      <c r="H141" s="99">
        <v>31623</v>
      </c>
      <c r="I141" s="139"/>
      <c r="J141" s="231"/>
      <c r="K141" s="231"/>
      <c r="L141" s="231"/>
      <c r="M141" s="231"/>
      <c r="N141" s="231"/>
      <c r="O141" s="231"/>
      <c r="P141" s="231"/>
      <c r="Q141" s="231"/>
      <c r="R141" s="231"/>
      <c r="S141" s="231"/>
      <c r="T141" s="231"/>
      <c r="U141" s="231"/>
      <c r="V141" s="231"/>
      <c r="W141" s="231"/>
      <c r="X141" s="231"/>
      <c r="Y141" s="231"/>
      <c r="Z141" s="231"/>
      <c r="AA141" s="231"/>
      <c r="AB141" s="231"/>
      <c r="AC141" s="231"/>
      <c r="AD141" s="231"/>
      <c r="AE141" s="231"/>
      <c r="AF141" s="231"/>
      <c r="AG141" s="231"/>
      <c r="AH141" s="231"/>
      <c r="AI141" s="231"/>
    </row>
    <row r="142" spans="1:35" s="203" customFormat="1">
      <c r="A142" s="120">
        <v>38</v>
      </c>
      <c r="B142" s="47" t="s">
        <v>121</v>
      </c>
      <c r="C142" s="47"/>
      <c r="D142" s="47"/>
      <c r="E142" s="49">
        <v>7901</v>
      </c>
      <c r="F142" s="52">
        <v>3850</v>
      </c>
      <c r="G142" s="118"/>
      <c r="H142" s="100">
        <v>3800</v>
      </c>
      <c r="I142" s="139"/>
      <c r="J142" s="231"/>
      <c r="K142" s="231"/>
      <c r="L142" s="231"/>
      <c r="M142" s="231"/>
      <c r="N142" s="231"/>
      <c r="O142" s="231"/>
      <c r="P142" s="231"/>
      <c r="Q142" s="231"/>
      <c r="R142" s="231"/>
      <c r="S142" s="231"/>
      <c r="T142" s="231"/>
      <c r="U142" s="231"/>
      <c r="V142" s="231"/>
      <c r="W142" s="231"/>
      <c r="X142" s="231"/>
      <c r="Y142" s="231"/>
      <c r="Z142" s="231"/>
      <c r="AA142" s="231"/>
      <c r="AB142" s="231"/>
      <c r="AC142" s="231"/>
      <c r="AD142" s="231"/>
      <c r="AE142" s="231"/>
      <c r="AF142" s="231"/>
      <c r="AG142" s="231"/>
      <c r="AH142" s="231"/>
      <c r="AI142" s="231"/>
    </row>
    <row r="143" spans="1:35" s="203" customFormat="1">
      <c r="A143" s="120">
        <v>39</v>
      </c>
      <c r="B143" s="116" t="s">
        <v>129</v>
      </c>
      <c r="C143" s="116"/>
      <c r="D143" s="116"/>
      <c r="E143" s="80">
        <v>35448</v>
      </c>
      <c r="F143" s="142">
        <f>SUM(F138:F142)</f>
        <v>40198</v>
      </c>
      <c r="G143" s="118"/>
      <c r="H143" s="142">
        <f>SUM(H138:H142)</f>
        <v>41973</v>
      </c>
      <c r="I143" s="139"/>
      <c r="J143" s="231"/>
      <c r="K143" s="231"/>
      <c r="L143" s="231"/>
      <c r="M143" s="231"/>
      <c r="N143" s="231"/>
      <c r="O143" s="231"/>
      <c r="P143" s="231"/>
      <c r="Q143" s="231"/>
      <c r="R143" s="231"/>
      <c r="S143" s="231"/>
      <c r="T143" s="231"/>
      <c r="U143" s="231"/>
      <c r="V143" s="231"/>
      <c r="W143" s="231"/>
      <c r="X143" s="231"/>
      <c r="Y143" s="231"/>
      <c r="Z143" s="231"/>
      <c r="AA143" s="231"/>
      <c r="AB143" s="231"/>
      <c r="AC143" s="231"/>
      <c r="AD143" s="231"/>
      <c r="AE143" s="231"/>
      <c r="AF143" s="231"/>
      <c r="AG143" s="231"/>
      <c r="AH143" s="231"/>
      <c r="AI143" s="231"/>
    </row>
    <row r="144" spans="1:35" s="203" customFormat="1">
      <c r="A144" s="111"/>
      <c r="B144" s="47"/>
      <c r="C144" s="47"/>
      <c r="D144" s="47"/>
      <c r="E144" s="117"/>
      <c r="F144" s="118"/>
      <c r="G144" s="118"/>
      <c r="H144" s="118"/>
      <c r="I144" s="139"/>
      <c r="J144" s="231"/>
      <c r="K144" s="231"/>
      <c r="L144" s="231"/>
      <c r="M144" s="231"/>
      <c r="N144" s="231"/>
      <c r="O144" s="231"/>
      <c r="P144" s="231"/>
      <c r="Q144" s="231"/>
      <c r="R144" s="231"/>
      <c r="S144" s="231"/>
      <c r="T144" s="231"/>
      <c r="U144" s="231"/>
      <c r="V144" s="231"/>
      <c r="W144" s="231"/>
      <c r="X144" s="231"/>
      <c r="Y144" s="231"/>
      <c r="Z144" s="231"/>
      <c r="AA144" s="231"/>
      <c r="AB144" s="231"/>
      <c r="AC144" s="231"/>
      <c r="AD144" s="231"/>
      <c r="AE144" s="231"/>
      <c r="AF144" s="231"/>
      <c r="AG144" s="231"/>
      <c r="AH144" s="231"/>
      <c r="AI144" s="231"/>
    </row>
    <row r="145" spans="1:35" s="203" customFormat="1">
      <c r="A145" s="119" t="s">
        <v>110</v>
      </c>
      <c r="B145" s="116"/>
      <c r="C145" s="116"/>
      <c r="D145" s="116"/>
      <c r="E145" s="140"/>
      <c r="F145" s="146"/>
      <c r="G145" s="118"/>
      <c r="H145" s="146"/>
      <c r="I145" s="139"/>
      <c r="J145" s="231"/>
      <c r="K145" s="231"/>
      <c r="L145" s="231"/>
      <c r="M145" s="231"/>
      <c r="N145" s="231"/>
      <c r="O145" s="231"/>
      <c r="P145" s="231"/>
      <c r="Q145" s="231"/>
      <c r="R145" s="231"/>
      <c r="S145" s="231"/>
      <c r="T145" s="231"/>
      <c r="U145" s="231"/>
      <c r="V145" s="231"/>
      <c r="W145" s="231"/>
      <c r="X145" s="231"/>
      <c r="Y145" s="231"/>
      <c r="Z145" s="231"/>
      <c r="AA145" s="231"/>
      <c r="AB145" s="231"/>
      <c r="AC145" s="231"/>
      <c r="AD145" s="231"/>
      <c r="AE145" s="231"/>
      <c r="AF145" s="231"/>
      <c r="AG145" s="231"/>
      <c r="AH145" s="231"/>
      <c r="AI145" s="231"/>
    </row>
    <row r="146" spans="1:35" s="203" customFormat="1">
      <c r="A146" s="120">
        <v>40</v>
      </c>
      <c r="B146" s="47" t="s">
        <v>123</v>
      </c>
      <c r="C146" s="47"/>
      <c r="D146" s="47"/>
      <c r="E146" s="49">
        <v>1250</v>
      </c>
      <c r="F146" s="52">
        <v>678</v>
      </c>
      <c r="G146" s="118"/>
      <c r="H146" s="122">
        <v>1406</v>
      </c>
      <c r="I146" s="139"/>
      <c r="J146" s="231"/>
      <c r="K146" s="231"/>
      <c r="L146" s="231"/>
      <c r="M146" s="231"/>
      <c r="N146" s="231"/>
      <c r="O146" s="231"/>
      <c r="P146" s="231"/>
      <c r="Q146" s="231"/>
      <c r="R146" s="231"/>
      <c r="S146" s="231"/>
      <c r="T146" s="231"/>
      <c r="U146" s="231"/>
      <c r="V146" s="231"/>
      <c r="W146" s="231"/>
      <c r="X146" s="231"/>
      <c r="Y146" s="231"/>
      <c r="Z146" s="231"/>
      <c r="AA146" s="231"/>
      <c r="AB146" s="231"/>
      <c r="AC146" s="231"/>
      <c r="AD146" s="231"/>
      <c r="AE146" s="231"/>
      <c r="AF146" s="231"/>
      <c r="AG146" s="231"/>
      <c r="AH146" s="231"/>
      <c r="AI146" s="231"/>
    </row>
    <row r="147" spans="1:35" s="203" customFormat="1">
      <c r="A147" s="120">
        <v>41</v>
      </c>
      <c r="B147" s="47" t="s">
        <v>119</v>
      </c>
      <c r="C147" s="47"/>
      <c r="D147" s="47"/>
      <c r="E147" s="49">
        <v>393</v>
      </c>
      <c r="F147" s="52">
        <v>289</v>
      </c>
      <c r="G147" s="118"/>
      <c r="H147" s="122">
        <v>308</v>
      </c>
      <c r="I147" s="139"/>
      <c r="J147" s="231"/>
      <c r="K147" s="231"/>
      <c r="L147" s="231"/>
      <c r="M147" s="231"/>
      <c r="N147" s="231"/>
      <c r="O147" s="231"/>
      <c r="P147" s="231"/>
      <c r="Q147" s="231"/>
      <c r="R147" s="231"/>
      <c r="S147" s="231"/>
      <c r="T147" s="231"/>
      <c r="U147" s="231"/>
      <c r="V147" s="231"/>
      <c r="W147" s="231"/>
      <c r="X147" s="231"/>
      <c r="Y147" s="231"/>
      <c r="Z147" s="231"/>
      <c r="AA147" s="231"/>
      <c r="AB147" s="231"/>
      <c r="AC147" s="231"/>
      <c r="AD147" s="231"/>
      <c r="AE147" s="231"/>
      <c r="AF147" s="231"/>
      <c r="AG147" s="231"/>
      <c r="AH147" s="231"/>
      <c r="AI147" s="231"/>
    </row>
    <row r="148" spans="1:35" s="203" customFormat="1">
      <c r="A148" s="120">
        <v>42</v>
      </c>
      <c r="B148" s="47" t="s">
        <v>120</v>
      </c>
      <c r="C148" s="47"/>
      <c r="D148" s="47"/>
      <c r="E148" s="49">
        <v>128</v>
      </c>
      <c r="F148" s="52">
        <v>99</v>
      </c>
      <c r="G148" s="118"/>
      <c r="H148" s="122">
        <v>106</v>
      </c>
      <c r="I148" s="139"/>
      <c r="J148" s="231"/>
      <c r="K148" s="231"/>
      <c r="L148" s="231"/>
      <c r="M148" s="231"/>
      <c r="N148" s="231"/>
      <c r="O148" s="231"/>
      <c r="P148" s="231"/>
      <c r="Q148" s="231"/>
      <c r="R148" s="231"/>
      <c r="S148" s="231"/>
      <c r="T148" s="231"/>
      <c r="U148" s="231"/>
      <c r="V148" s="231"/>
      <c r="W148" s="231"/>
      <c r="X148" s="231"/>
      <c r="Y148" s="231"/>
      <c r="Z148" s="231"/>
      <c r="AA148" s="231"/>
      <c r="AB148" s="231"/>
      <c r="AC148" s="231"/>
      <c r="AD148" s="231"/>
      <c r="AE148" s="231"/>
      <c r="AF148" s="231"/>
      <c r="AG148" s="231"/>
      <c r="AH148" s="231"/>
      <c r="AI148" s="231"/>
    </row>
    <row r="149" spans="1:35" s="203" customFormat="1">
      <c r="A149" s="120">
        <v>43</v>
      </c>
      <c r="B149" s="47" t="s">
        <v>121</v>
      </c>
      <c r="C149" s="47"/>
      <c r="D149" s="47"/>
      <c r="E149" s="49">
        <v>2633</v>
      </c>
      <c r="F149" s="52">
        <v>1497</v>
      </c>
      <c r="G149" s="118"/>
      <c r="H149" s="100">
        <v>2272</v>
      </c>
      <c r="I149" s="139"/>
      <c r="J149" s="231"/>
      <c r="K149" s="231"/>
      <c r="L149" s="231"/>
      <c r="M149" s="231"/>
      <c r="N149" s="231"/>
      <c r="O149" s="231"/>
      <c r="P149" s="231"/>
      <c r="Q149" s="231"/>
      <c r="R149" s="231"/>
      <c r="S149" s="231"/>
      <c r="T149" s="231"/>
      <c r="U149" s="231"/>
      <c r="V149" s="231"/>
      <c r="W149" s="231"/>
      <c r="X149" s="231"/>
      <c r="Y149" s="231"/>
      <c r="Z149" s="231"/>
      <c r="AA149" s="231"/>
      <c r="AB149" s="231"/>
      <c r="AC149" s="231"/>
      <c r="AD149" s="231"/>
      <c r="AE149" s="231"/>
      <c r="AF149" s="231"/>
      <c r="AG149" s="231"/>
      <c r="AH149" s="231"/>
      <c r="AI149" s="231"/>
    </row>
    <row r="150" spans="1:35" s="203" customFormat="1">
      <c r="A150" s="124">
        <v>44</v>
      </c>
      <c r="B150" s="94" t="s">
        <v>130</v>
      </c>
      <c r="C150" s="94"/>
      <c r="D150" s="94"/>
      <c r="E150" s="80">
        <v>4404</v>
      </c>
      <c r="F150" s="142">
        <f>SUM(F146:F149)</f>
        <v>2563</v>
      </c>
      <c r="G150" s="259"/>
      <c r="H150" s="142">
        <f>SUM(H146:H149)</f>
        <v>4092</v>
      </c>
      <c r="I150" s="139"/>
      <c r="J150" s="231"/>
      <c r="K150" s="231"/>
      <c r="L150" s="231"/>
      <c r="M150" s="231"/>
      <c r="N150" s="231"/>
      <c r="O150" s="231"/>
      <c r="P150" s="231"/>
      <c r="Q150" s="231"/>
      <c r="R150" s="231"/>
      <c r="S150" s="231"/>
      <c r="T150" s="231"/>
      <c r="U150" s="231"/>
      <c r="V150" s="231"/>
      <c r="W150" s="231"/>
      <c r="X150" s="231"/>
      <c r="Y150" s="231"/>
      <c r="Z150" s="231"/>
      <c r="AA150" s="231"/>
      <c r="AB150" s="231"/>
      <c r="AC150" s="231"/>
      <c r="AD150" s="231"/>
      <c r="AE150" s="231"/>
      <c r="AF150" s="231"/>
      <c r="AG150" s="231"/>
      <c r="AH150" s="231"/>
      <c r="AI150" s="231"/>
    </row>
    <row r="151" spans="1:35" s="203" customFormat="1">
      <c r="A151" s="148"/>
      <c r="B151" s="129"/>
      <c r="C151" s="129"/>
      <c r="D151" s="149"/>
      <c r="E151" s="150"/>
      <c r="F151" s="29"/>
      <c r="G151" s="29"/>
      <c r="H151" s="207"/>
      <c r="I151" s="29"/>
      <c r="J151" s="231"/>
      <c r="K151" s="231"/>
      <c r="L151" s="231"/>
      <c r="M151" s="231"/>
      <c r="N151" s="231"/>
      <c r="O151" s="231"/>
      <c r="P151" s="231"/>
      <c r="Q151" s="231"/>
      <c r="R151" s="231"/>
      <c r="S151" s="231"/>
      <c r="T151" s="231"/>
      <c r="U151" s="231"/>
      <c r="V151" s="231"/>
      <c r="W151" s="231"/>
      <c r="X151" s="231"/>
      <c r="Y151" s="231"/>
      <c r="Z151" s="231"/>
      <c r="AA151" s="231"/>
      <c r="AB151" s="231"/>
      <c r="AC151" s="231"/>
      <c r="AD151" s="231"/>
      <c r="AE151" s="231"/>
      <c r="AF151" s="231"/>
      <c r="AG151" s="231"/>
      <c r="AH151" s="231"/>
      <c r="AI151" s="231"/>
    </row>
    <row r="152" spans="1:35" s="203" customFormat="1">
      <c r="A152" s="148"/>
      <c r="B152" s="129"/>
      <c r="C152" s="129"/>
      <c r="D152" s="151"/>
      <c r="E152" s="152"/>
      <c r="F152" s="29"/>
      <c r="G152" s="29"/>
      <c r="H152" s="131" t="s">
        <v>27</v>
      </c>
      <c r="I152" s="29"/>
      <c r="J152" s="231"/>
      <c r="K152" s="231"/>
      <c r="L152" s="231"/>
      <c r="M152" s="231"/>
      <c r="N152" s="231"/>
      <c r="O152" s="231"/>
      <c r="P152" s="231"/>
      <c r="Q152" s="231"/>
      <c r="R152" s="231"/>
      <c r="S152" s="231"/>
      <c r="T152" s="231"/>
      <c r="U152" s="231"/>
      <c r="V152" s="231"/>
      <c r="W152" s="231"/>
      <c r="X152" s="231"/>
      <c r="Y152" s="231"/>
      <c r="Z152" s="231"/>
      <c r="AA152" s="231"/>
      <c r="AB152" s="231"/>
      <c r="AC152" s="231"/>
      <c r="AD152" s="231"/>
      <c r="AE152" s="231"/>
      <c r="AF152" s="231"/>
      <c r="AG152" s="231"/>
      <c r="AH152" s="231"/>
      <c r="AI152" s="231"/>
    </row>
    <row r="153" spans="1:35" s="203" customFormat="1">
      <c r="A153" s="106" t="s">
        <v>20</v>
      </c>
      <c r="B153" s="107"/>
      <c r="C153" s="107"/>
      <c r="D153" s="107"/>
      <c r="E153" s="856" t="s">
        <v>377</v>
      </c>
      <c r="F153" s="856" t="s">
        <v>402</v>
      </c>
      <c r="G153" s="130"/>
      <c r="H153" s="856" t="s">
        <v>403</v>
      </c>
      <c r="I153" s="130"/>
      <c r="J153" s="231"/>
      <c r="K153" s="231"/>
      <c r="L153" s="231"/>
      <c r="M153" s="231"/>
      <c r="N153" s="231"/>
      <c r="O153" s="231"/>
      <c r="P153" s="231"/>
      <c r="Q153" s="231"/>
      <c r="R153" s="231"/>
      <c r="S153" s="231"/>
      <c r="T153" s="231"/>
      <c r="U153" s="231"/>
      <c r="V153" s="231"/>
      <c r="W153" s="231"/>
      <c r="X153" s="231"/>
      <c r="Y153" s="231"/>
      <c r="Z153" s="231"/>
      <c r="AA153" s="231"/>
      <c r="AB153" s="231"/>
      <c r="AC153" s="231"/>
      <c r="AD153" s="231"/>
      <c r="AE153" s="231"/>
      <c r="AF153" s="231"/>
      <c r="AG153" s="231"/>
      <c r="AH153" s="231"/>
      <c r="AI153" s="231"/>
    </row>
    <row r="154" spans="1:35" s="203" customFormat="1">
      <c r="A154" s="153"/>
      <c r="B154" s="132"/>
      <c r="C154" s="132"/>
      <c r="D154" s="132"/>
      <c r="E154" s="859"/>
      <c r="F154" s="859"/>
      <c r="G154" s="130"/>
      <c r="H154" s="859"/>
      <c r="I154" s="130"/>
      <c r="J154" s="231"/>
      <c r="K154" s="231"/>
      <c r="L154" s="231"/>
      <c r="M154" s="231"/>
      <c r="N154" s="231"/>
      <c r="O154" s="231"/>
      <c r="P154" s="231"/>
      <c r="Q154" s="231"/>
      <c r="R154" s="231"/>
      <c r="S154" s="231"/>
      <c r="T154" s="231"/>
      <c r="U154" s="231"/>
      <c r="V154" s="231"/>
      <c r="W154" s="231"/>
      <c r="X154" s="231"/>
      <c r="Y154" s="231"/>
      <c r="Z154" s="231"/>
      <c r="AA154" s="231"/>
      <c r="AB154" s="231"/>
      <c r="AC154" s="231"/>
      <c r="AD154" s="231"/>
      <c r="AE154" s="231"/>
      <c r="AF154" s="231"/>
      <c r="AG154" s="231"/>
      <c r="AH154" s="231"/>
      <c r="AI154" s="231"/>
    </row>
    <row r="155" spans="1:35" s="203" customFormat="1">
      <c r="A155" s="154" t="s">
        <v>131</v>
      </c>
      <c r="B155" s="116"/>
      <c r="C155" s="116"/>
      <c r="D155" s="116"/>
      <c r="E155" s="859"/>
      <c r="F155" s="859"/>
      <c r="G155" s="130"/>
      <c r="H155" s="859"/>
      <c r="I155" s="130"/>
      <c r="J155" s="231"/>
      <c r="K155" s="231"/>
      <c r="L155" s="231"/>
      <c r="M155" s="231"/>
      <c r="N155" s="231"/>
      <c r="O155" s="231"/>
      <c r="P155" s="231"/>
      <c r="Q155" s="231"/>
      <c r="R155" s="231"/>
      <c r="S155" s="231"/>
      <c r="T155" s="231"/>
      <c r="U155" s="231"/>
      <c r="V155" s="231"/>
      <c r="W155" s="231"/>
      <c r="X155" s="231"/>
      <c r="Y155" s="231"/>
      <c r="Z155" s="231"/>
      <c r="AA155" s="231"/>
      <c r="AB155" s="231"/>
      <c r="AC155" s="231"/>
      <c r="AD155" s="231"/>
      <c r="AE155" s="231"/>
      <c r="AF155" s="231"/>
      <c r="AG155" s="231"/>
      <c r="AH155" s="231"/>
      <c r="AI155" s="231"/>
    </row>
    <row r="156" spans="1:35" s="203" customFormat="1" ht="12.75" customHeight="1">
      <c r="A156" s="109" t="s">
        <v>83</v>
      </c>
      <c r="B156" s="47"/>
      <c r="C156" s="47"/>
      <c r="D156" s="47"/>
      <c r="E156" s="859"/>
      <c r="F156" s="859"/>
      <c r="G156" s="130"/>
      <c r="H156" s="859"/>
      <c r="I156" s="130"/>
      <c r="J156" s="231"/>
      <c r="K156" s="231"/>
      <c r="L156" s="231"/>
      <c r="M156" s="231"/>
      <c r="N156" s="231"/>
      <c r="O156" s="231"/>
      <c r="P156" s="231"/>
      <c r="Q156" s="231"/>
      <c r="R156" s="231"/>
      <c r="S156" s="231"/>
      <c r="T156" s="231"/>
      <c r="U156" s="231"/>
      <c r="V156" s="231"/>
      <c r="W156" s="231"/>
      <c r="X156" s="231"/>
      <c r="Y156" s="231"/>
      <c r="Z156" s="231"/>
      <c r="AA156" s="231"/>
      <c r="AB156" s="231"/>
      <c r="AC156" s="231"/>
      <c r="AD156" s="231"/>
      <c r="AE156" s="231"/>
      <c r="AF156" s="231"/>
      <c r="AG156" s="231"/>
      <c r="AH156" s="231"/>
      <c r="AI156" s="231"/>
    </row>
    <row r="157" spans="1:35" s="203" customFormat="1">
      <c r="A157" s="110" t="s">
        <v>84</v>
      </c>
      <c r="B157" s="132"/>
      <c r="C157" s="132"/>
      <c r="D157" s="132"/>
      <c r="E157" s="860"/>
      <c r="F157" s="860"/>
      <c r="G157" s="130"/>
      <c r="H157" s="860"/>
      <c r="I157" s="130"/>
      <c r="J157" s="231"/>
      <c r="K157" s="231"/>
      <c r="L157" s="231"/>
      <c r="M157" s="231"/>
      <c r="N157" s="231"/>
      <c r="O157" s="231"/>
      <c r="P157" s="231"/>
      <c r="Q157" s="231"/>
      <c r="R157" s="231"/>
      <c r="S157" s="231"/>
      <c r="T157" s="231"/>
      <c r="U157" s="231"/>
      <c r="V157" s="231"/>
      <c r="W157" s="231"/>
      <c r="X157" s="231"/>
      <c r="Y157" s="231"/>
      <c r="Z157" s="231"/>
      <c r="AA157" s="231"/>
      <c r="AB157" s="231"/>
      <c r="AC157" s="231"/>
      <c r="AD157" s="231"/>
      <c r="AE157" s="231"/>
      <c r="AF157" s="231"/>
      <c r="AG157" s="231"/>
      <c r="AH157" s="231"/>
      <c r="AI157" s="231"/>
    </row>
    <row r="158" spans="1:35" s="203" customFormat="1">
      <c r="A158" s="119" t="s">
        <v>132</v>
      </c>
      <c r="B158" s="47"/>
      <c r="C158" s="47"/>
      <c r="D158" s="47"/>
      <c r="E158" s="155"/>
      <c r="F158" s="146" t="s">
        <v>133</v>
      </c>
      <c r="G158" s="118"/>
      <c r="H158" s="146"/>
      <c r="I158" s="29"/>
      <c r="J158" s="231"/>
      <c r="K158" s="231"/>
      <c r="L158" s="231"/>
      <c r="M158" s="231"/>
      <c r="N158" s="231"/>
      <c r="O158" s="231"/>
      <c r="P158" s="231"/>
      <c r="Q158" s="231"/>
      <c r="R158" s="231"/>
      <c r="S158" s="231"/>
      <c r="T158" s="231"/>
      <c r="U158" s="231"/>
      <c r="V158" s="231"/>
      <c r="W158" s="231"/>
      <c r="X158" s="231"/>
      <c r="Y158" s="231"/>
      <c r="Z158" s="231"/>
      <c r="AA158" s="231"/>
      <c r="AB158" s="231"/>
      <c r="AC158" s="231"/>
      <c r="AD158" s="231"/>
      <c r="AE158" s="231"/>
      <c r="AF158" s="231"/>
      <c r="AG158" s="231"/>
      <c r="AH158" s="231"/>
      <c r="AI158" s="231"/>
    </row>
    <row r="159" spans="1:35" s="203" customFormat="1">
      <c r="A159" s="120">
        <v>1</v>
      </c>
      <c r="B159" s="47" t="s">
        <v>134</v>
      </c>
      <c r="C159" s="47"/>
      <c r="D159" s="47"/>
      <c r="E159" s="74">
        <v>0.49299999999999999</v>
      </c>
      <c r="F159" s="52">
        <v>2</v>
      </c>
      <c r="G159" s="118"/>
      <c r="H159" s="122">
        <v>0</v>
      </c>
      <c r="I159" s="29"/>
      <c r="J159" s="231"/>
      <c r="K159" s="231"/>
      <c r="L159" s="231"/>
      <c r="M159" s="231"/>
      <c r="N159" s="231"/>
      <c r="O159" s="231"/>
      <c r="P159" s="231"/>
      <c r="Q159" s="231"/>
      <c r="R159" s="231"/>
      <c r="S159" s="231"/>
      <c r="T159" s="231"/>
      <c r="U159" s="231"/>
      <c r="V159" s="231"/>
      <c r="W159" s="231"/>
      <c r="X159" s="231"/>
      <c r="Y159" s="231"/>
      <c r="Z159" s="231"/>
      <c r="AA159" s="231"/>
      <c r="AB159" s="231"/>
      <c r="AC159" s="231"/>
      <c r="AD159" s="231"/>
      <c r="AE159" s="231"/>
      <c r="AF159" s="231"/>
      <c r="AG159" s="231"/>
      <c r="AH159" s="231"/>
      <c r="AI159" s="231"/>
    </row>
    <row r="160" spans="1:35" s="203" customFormat="1">
      <c r="A160" s="120">
        <v>2</v>
      </c>
      <c r="B160" s="47" t="s">
        <v>135</v>
      </c>
      <c r="C160" s="47"/>
      <c r="D160" s="47"/>
      <c r="E160" s="49">
        <v>1533</v>
      </c>
      <c r="F160" s="52">
        <v>982</v>
      </c>
      <c r="G160" s="118"/>
      <c r="H160" s="122">
        <f>1541+1</f>
        <v>1542</v>
      </c>
      <c r="I160" s="29"/>
      <c r="J160" s="231"/>
      <c r="K160" s="231"/>
      <c r="L160" s="231"/>
      <c r="M160" s="231"/>
      <c r="N160" s="231"/>
      <c r="O160" s="231"/>
      <c r="P160" s="231"/>
      <c r="Q160" s="231"/>
      <c r="R160" s="231"/>
      <c r="S160" s="231"/>
      <c r="T160" s="231"/>
      <c r="U160" s="231"/>
      <c r="V160" s="231"/>
      <c r="W160" s="231"/>
      <c r="X160" s="231"/>
      <c r="Y160" s="231"/>
      <c r="Z160" s="231"/>
      <c r="AA160" s="231"/>
      <c r="AB160" s="231"/>
      <c r="AC160" s="231"/>
      <c r="AD160" s="231"/>
      <c r="AE160" s="231"/>
      <c r="AF160" s="231"/>
      <c r="AG160" s="231"/>
      <c r="AH160" s="231"/>
      <c r="AI160" s="231"/>
    </row>
    <row r="161" spans="1:35" s="203" customFormat="1">
      <c r="A161" s="120">
        <v>3</v>
      </c>
      <c r="B161" s="47" t="s">
        <v>136</v>
      </c>
      <c r="C161" s="47"/>
      <c r="D161" s="47"/>
      <c r="E161" s="114">
        <v>13545</v>
      </c>
      <c r="F161" s="52">
        <v>11765</v>
      </c>
      <c r="G161" s="118"/>
      <c r="H161" s="122">
        <v>14026</v>
      </c>
      <c r="I161" s="29"/>
      <c r="J161" s="231"/>
      <c r="K161" s="231"/>
      <c r="L161" s="231"/>
      <c r="M161" s="231"/>
      <c r="N161" s="231"/>
      <c r="O161" s="231"/>
      <c r="P161" s="231"/>
      <c r="Q161" s="231"/>
      <c r="R161" s="231"/>
      <c r="S161" s="231"/>
      <c r="T161" s="231"/>
      <c r="U161" s="231"/>
      <c r="V161" s="231"/>
      <c r="W161" s="231"/>
      <c r="X161" s="231"/>
      <c r="Y161" s="231"/>
      <c r="Z161" s="231"/>
      <c r="AA161" s="231"/>
      <c r="AB161" s="231"/>
      <c r="AC161" s="231"/>
      <c r="AD161" s="231"/>
      <c r="AE161" s="231"/>
      <c r="AF161" s="231"/>
      <c r="AG161" s="231"/>
      <c r="AH161" s="231"/>
      <c r="AI161" s="231"/>
    </row>
    <row r="162" spans="1:35" s="203" customFormat="1">
      <c r="A162" s="120">
        <v>4</v>
      </c>
      <c r="B162" s="47" t="s">
        <v>137</v>
      </c>
      <c r="C162" s="47"/>
      <c r="D162" s="47"/>
      <c r="E162" s="114">
        <v>7879</v>
      </c>
      <c r="F162" s="52">
        <v>10295</v>
      </c>
      <c r="G162" s="118"/>
      <c r="H162" s="100">
        <v>8012</v>
      </c>
      <c r="I162" s="29"/>
      <c r="J162" s="231"/>
      <c r="K162" s="231"/>
      <c r="L162" s="231"/>
      <c r="M162" s="231"/>
      <c r="N162" s="231"/>
      <c r="O162" s="231"/>
      <c r="P162" s="231"/>
      <c r="Q162" s="231"/>
      <c r="R162" s="231"/>
      <c r="S162" s="231"/>
      <c r="T162" s="231"/>
      <c r="U162" s="231"/>
      <c r="V162" s="231"/>
      <c r="W162" s="231"/>
      <c r="X162" s="231"/>
      <c r="Y162" s="231"/>
      <c r="Z162" s="231"/>
      <c r="AA162" s="231"/>
      <c r="AB162" s="231"/>
      <c r="AC162" s="231"/>
      <c r="AD162" s="231"/>
      <c r="AE162" s="231"/>
      <c r="AF162" s="231"/>
      <c r="AG162" s="231"/>
      <c r="AH162" s="231"/>
      <c r="AI162" s="231"/>
    </row>
    <row r="163" spans="1:35" s="203" customFormat="1">
      <c r="A163" s="120">
        <v>5</v>
      </c>
      <c r="B163" s="116" t="s">
        <v>138</v>
      </c>
      <c r="C163" s="116"/>
      <c r="D163" s="116"/>
      <c r="E163" s="80">
        <v>22957.493000000002</v>
      </c>
      <c r="F163" s="142">
        <f>SUM(F159:F162)</f>
        <v>23044</v>
      </c>
      <c r="G163" s="118"/>
      <c r="H163" s="142">
        <f>SUM(H159:H162)</f>
        <v>23580</v>
      </c>
      <c r="I163" s="29"/>
      <c r="J163" s="231"/>
      <c r="K163" s="231"/>
      <c r="L163" s="231"/>
      <c r="M163" s="231"/>
      <c r="N163" s="231"/>
      <c r="O163" s="231"/>
      <c r="P163" s="231"/>
      <c r="Q163" s="231"/>
      <c r="R163" s="231"/>
      <c r="S163" s="231"/>
      <c r="T163" s="231"/>
      <c r="U163" s="231"/>
      <c r="V163" s="231"/>
      <c r="W163" s="231"/>
      <c r="X163" s="231"/>
      <c r="Y163" s="231"/>
      <c r="Z163" s="231"/>
      <c r="AA163" s="231"/>
      <c r="AB163" s="231"/>
      <c r="AC163" s="231"/>
      <c r="AD163" s="231"/>
      <c r="AE163" s="231"/>
      <c r="AF163" s="231"/>
      <c r="AG163" s="231"/>
      <c r="AH163" s="231"/>
      <c r="AI163" s="231"/>
    </row>
    <row r="164" spans="1:35" s="203" customFormat="1">
      <c r="A164" s="46"/>
      <c r="B164" s="132"/>
      <c r="C164" s="132"/>
      <c r="D164" s="132"/>
      <c r="E164" s="156"/>
      <c r="F164" s="139"/>
      <c r="G164" s="139"/>
      <c r="H164" s="139"/>
      <c r="I164" s="29"/>
      <c r="J164" s="231"/>
      <c r="K164" s="231"/>
      <c r="L164" s="231"/>
      <c r="M164" s="231"/>
      <c r="N164" s="231"/>
      <c r="O164" s="231"/>
      <c r="P164" s="231"/>
      <c r="Q164" s="231"/>
      <c r="R164" s="231"/>
      <c r="S164" s="231"/>
      <c r="T164" s="231"/>
      <c r="U164" s="231"/>
      <c r="V164" s="231"/>
      <c r="W164" s="231"/>
      <c r="X164" s="231"/>
      <c r="Y164" s="231"/>
      <c r="Z164" s="231"/>
      <c r="AA164" s="231"/>
      <c r="AB164" s="231"/>
      <c r="AC164" s="231"/>
      <c r="AD164" s="231"/>
      <c r="AE164" s="231"/>
      <c r="AF164" s="231"/>
      <c r="AG164" s="231"/>
      <c r="AH164" s="231"/>
      <c r="AI164" s="231"/>
    </row>
    <row r="165" spans="1:35" s="203" customFormat="1">
      <c r="A165" s="119" t="s">
        <v>139</v>
      </c>
      <c r="B165" s="47"/>
      <c r="C165" s="47"/>
      <c r="D165" s="47"/>
      <c r="E165" s="140"/>
      <c r="F165" s="146"/>
      <c r="G165" s="118"/>
      <c r="H165" s="146"/>
      <c r="I165" s="29"/>
      <c r="J165" s="231"/>
      <c r="K165" s="231"/>
      <c r="L165" s="231"/>
      <c r="M165" s="231"/>
      <c r="N165" s="231"/>
      <c r="O165" s="231"/>
      <c r="P165" s="231"/>
      <c r="Q165" s="231"/>
      <c r="R165" s="231"/>
      <c r="S165" s="231"/>
      <c r="T165" s="231"/>
      <c r="U165" s="231"/>
      <c r="V165" s="231"/>
      <c r="W165" s="231"/>
      <c r="X165" s="231"/>
      <c r="Y165" s="231"/>
      <c r="Z165" s="231"/>
      <c r="AA165" s="231"/>
      <c r="AB165" s="231"/>
      <c r="AC165" s="231"/>
      <c r="AD165" s="231"/>
      <c r="AE165" s="231"/>
      <c r="AF165" s="231"/>
      <c r="AG165" s="231"/>
      <c r="AH165" s="231"/>
      <c r="AI165" s="231"/>
    </row>
    <row r="166" spans="1:35" s="203" customFormat="1">
      <c r="A166" s="120">
        <v>6</v>
      </c>
      <c r="B166" s="47" t="s">
        <v>140</v>
      </c>
      <c r="C166" s="47"/>
      <c r="D166" s="47"/>
      <c r="E166" s="74">
        <v>3102</v>
      </c>
      <c r="F166" s="52">
        <v>3122</v>
      </c>
      <c r="G166" s="118"/>
      <c r="H166" s="122">
        <f>3179+1</f>
        <v>3180</v>
      </c>
      <c r="I166" s="29"/>
      <c r="J166" s="231"/>
      <c r="K166" s="231"/>
      <c r="L166" s="231"/>
      <c r="M166" s="231"/>
      <c r="N166" s="231"/>
      <c r="O166" s="231"/>
      <c r="P166" s="231"/>
      <c r="Q166" s="231"/>
      <c r="R166" s="231"/>
      <c r="S166" s="231"/>
      <c r="T166" s="231"/>
      <c r="U166" s="231"/>
      <c r="V166" s="231"/>
      <c r="W166" s="231"/>
      <c r="X166" s="231"/>
      <c r="Y166" s="231"/>
      <c r="Z166" s="231"/>
      <c r="AA166" s="231"/>
      <c r="AB166" s="231"/>
      <c r="AC166" s="231"/>
      <c r="AD166" s="231"/>
      <c r="AE166" s="231"/>
      <c r="AF166" s="231"/>
      <c r="AG166" s="231"/>
      <c r="AH166" s="231"/>
      <c r="AI166" s="231"/>
    </row>
    <row r="167" spans="1:35" s="203" customFormat="1">
      <c r="A167" s="120">
        <v>7</v>
      </c>
      <c r="B167" s="47" t="s">
        <v>141</v>
      </c>
      <c r="C167" s="47"/>
      <c r="D167" s="47"/>
      <c r="E167" s="49">
        <v>1119</v>
      </c>
      <c r="F167" s="52">
        <v>1174</v>
      </c>
      <c r="G167" s="118"/>
      <c r="H167" s="122">
        <v>777</v>
      </c>
      <c r="I167" s="29"/>
      <c r="J167" s="231"/>
      <c r="K167" s="231"/>
      <c r="L167" s="231"/>
      <c r="M167" s="231"/>
      <c r="N167" s="231"/>
      <c r="O167" s="231"/>
      <c r="P167" s="231"/>
      <c r="Q167" s="231"/>
      <c r="R167" s="231"/>
      <c r="S167" s="231"/>
      <c r="T167" s="231"/>
      <c r="U167" s="231"/>
      <c r="V167" s="231"/>
      <c r="W167" s="231"/>
      <c r="X167" s="231"/>
      <c r="Y167" s="231"/>
      <c r="Z167" s="231"/>
      <c r="AA167" s="231"/>
      <c r="AB167" s="231"/>
      <c r="AC167" s="231"/>
      <c r="AD167" s="231"/>
      <c r="AE167" s="231"/>
      <c r="AF167" s="231"/>
      <c r="AG167" s="231"/>
      <c r="AH167" s="231"/>
      <c r="AI167" s="231"/>
    </row>
    <row r="168" spans="1:35" s="203" customFormat="1">
      <c r="A168" s="120">
        <v>8</v>
      </c>
      <c r="B168" s="47" t="s">
        <v>121</v>
      </c>
      <c r="C168" s="47"/>
      <c r="D168" s="47"/>
      <c r="E168" s="49">
        <v>2504</v>
      </c>
      <c r="F168" s="52">
        <v>2909</v>
      </c>
      <c r="G168" s="118"/>
      <c r="H168" s="100">
        <v>2217</v>
      </c>
      <c r="I168" s="29"/>
      <c r="J168" s="231"/>
      <c r="K168" s="231"/>
      <c r="L168" s="231"/>
      <c r="M168" s="231"/>
      <c r="N168" s="231"/>
      <c r="O168" s="231"/>
      <c r="P168" s="231"/>
      <c r="Q168" s="231"/>
      <c r="R168" s="231"/>
      <c r="S168" s="231"/>
      <c r="T168" s="231"/>
      <c r="U168" s="231"/>
      <c r="V168" s="231"/>
      <c r="W168" s="231"/>
      <c r="X168" s="231"/>
      <c r="Y168" s="231"/>
      <c r="Z168" s="231"/>
      <c r="AA168" s="231"/>
      <c r="AB168" s="231"/>
      <c r="AC168" s="231"/>
      <c r="AD168" s="231"/>
      <c r="AE168" s="231"/>
      <c r="AF168" s="231"/>
      <c r="AG168" s="231"/>
      <c r="AH168" s="231"/>
      <c r="AI168" s="231"/>
    </row>
    <row r="169" spans="1:35" s="203" customFormat="1">
      <c r="A169" s="120">
        <v>9</v>
      </c>
      <c r="B169" s="116" t="s">
        <v>142</v>
      </c>
      <c r="C169" s="116"/>
      <c r="D169" s="116"/>
      <c r="E169" s="80">
        <v>6725</v>
      </c>
      <c r="F169" s="142">
        <f>SUM(F166:F168)</f>
        <v>7205</v>
      </c>
      <c r="G169" s="118"/>
      <c r="H169" s="142">
        <f>SUM(H166:H168)</f>
        <v>6174</v>
      </c>
      <c r="I169" s="29"/>
      <c r="J169" s="231"/>
      <c r="K169" s="231"/>
      <c r="L169" s="231"/>
      <c r="M169" s="231"/>
      <c r="N169" s="231"/>
      <c r="O169" s="231"/>
      <c r="P169" s="231"/>
      <c r="Q169" s="231"/>
      <c r="R169" s="231"/>
      <c r="S169" s="231"/>
      <c r="T169" s="231"/>
      <c r="U169" s="231"/>
      <c r="V169" s="231"/>
      <c r="W169" s="231"/>
      <c r="X169" s="231"/>
      <c r="Y169" s="231"/>
      <c r="Z169" s="231"/>
      <c r="AA169" s="231"/>
      <c r="AB169" s="231"/>
      <c r="AC169" s="231"/>
      <c r="AD169" s="231"/>
      <c r="AE169" s="231"/>
      <c r="AF169" s="231"/>
      <c r="AG169" s="231"/>
      <c r="AH169" s="231"/>
      <c r="AI169" s="231"/>
    </row>
    <row r="170" spans="1:35" s="203" customFormat="1">
      <c r="A170" s="46"/>
      <c r="B170" s="132"/>
      <c r="C170" s="132"/>
      <c r="D170" s="132"/>
      <c r="E170" s="156"/>
      <c r="F170" s="139"/>
      <c r="G170" s="139"/>
      <c r="H170" s="139"/>
      <c r="I170" s="29"/>
      <c r="J170" s="231"/>
      <c r="K170" s="231"/>
      <c r="L170" s="231"/>
      <c r="M170" s="231"/>
      <c r="N170" s="231"/>
      <c r="O170" s="231"/>
      <c r="P170" s="231"/>
      <c r="Q170" s="231"/>
      <c r="R170" s="231"/>
      <c r="S170" s="231"/>
      <c r="T170" s="231"/>
      <c r="U170" s="231"/>
      <c r="V170" s="231"/>
      <c r="W170" s="231"/>
      <c r="X170" s="231"/>
      <c r="Y170" s="231"/>
      <c r="Z170" s="231"/>
      <c r="AA170" s="231"/>
      <c r="AB170" s="231"/>
      <c r="AC170" s="231"/>
      <c r="AD170" s="231"/>
      <c r="AE170" s="231"/>
      <c r="AF170" s="231"/>
      <c r="AG170" s="231"/>
      <c r="AH170" s="231"/>
      <c r="AI170" s="231"/>
    </row>
    <row r="171" spans="1:35" s="203" customFormat="1">
      <c r="A171" s="120">
        <v>10</v>
      </c>
      <c r="B171" s="47" t="s">
        <v>143</v>
      </c>
      <c r="C171" s="47"/>
      <c r="D171" s="47"/>
      <c r="E171" s="41">
        <v>-15639</v>
      </c>
      <c r="F171" s="126">
        <f>-19999+3911</f>
        <v>-16088</v>
      </c>
      <c r="G171" s="118"/>
      <c r="H171" s="100">
        <f>-20227+4100</f>
        <v>-16127</v>
      </c>
      <c r="I171" s="29"/>
      <c r="J171" s="231"/>
      <c r="K171" s="231"/>
      <c r="L171" s="231"/>
      <c r="M171" s="231"/>
      <c r="N171" s="231"/>
      <c r="O171" s="231"/>
      <c r="P171" s="231"/>
      <c r="Q171" s="231"/>
      <c r="R171" s="231"/>
      <c r="S171" s="231"/>
      <c r="T171" s="231"/>
      <c r="U171" s="231"/>
      <c r="V171" s="231"/>
      <c r="W171" s="231"/>
      <c r="X171" s="231"/>
      <c r="Y171" s="231"/>
      <c r="Z171" s="231"/>
      <c r="AA171" s="231"/>
      <c r="AB171" s="231"/>
      <c r="AC171" s="231"/>
      <c r="AD171" s="231"/>
      <c r="AE171" s="231"/>
      <c r="AF171" s="231"/>
      <c r="AG171" s="231"/>
      <c r="AH171" s="231"/>
      <c r="AI171" s="231"/>
    </row>
    <row r="172" spans="1:35" s="203" customFormat="1">
      <c r="A172" s="120">
        <v>11</v>
      </c>
      <c r="B172" s="47" t="s">
        <v>144</v>
      </c>
      <c r="C172" s="47"/>
      <c r="D172" s="47"/>
      <c r="E172" s="56">
        <v>0</v>
      </c>
      <c r="F172" s="126">
        <v>0</v>
      </c>
      <c r="G172" s="118"/>
      <c r="H172" s="100">
        <v>0</v>
      </c>
      <c r="I172" s="29"/>
      <c r="J172" s="231"/>
      <c r="K172" s="231"/>
      <c r="L172" s="231"/>
      <c r="M172" s="231"/>
      <c r="N172" s="231"/>
      <c r="O172" s="231"/>
      <c r="P172" s="231"/>
      <c r="Q172" s="231"/>
      <c r="R172" s="231"/>
      <c r="S172" s="231"/>
      <c r="T172" s="231"/>
      <c r="U172" s="231"/>
      <c r="V172" s="231"/>
      <c r="W172" s="231"/>
      <c r="X172" s="231"/>
      <c r="Y172" s="231"/>
      <c r="Z172" s="231"/>
      <c r="AA172" s="231"/>
      <c r="AB172" s="231"/>
      <c r="AC172" s="231"/>
      <c r="AD172" s="231"/>
      <c r="AE172" s="231"/>
      <c r="AF172" s="231"/>
      <c r="AG172" s="231"/>
      <c r="AH172" s="231"/>
      <c r="AI172" s="231"/>
    </row>
    <row r="173" spans="1:35" s="203" customFormat="1">
      <c r="A173" s="46"/>
      <c r="B173" s="132"/>
      <c r="C173" s="132"/>
      <c r="D173" s="132"/>
      <c r="E173" s="156"/>
      <c r="F173" s="139"/>
      <c r="G173" s="139"/>
      <c r="H173" s="139"/>
      <c r="I173" s="29"/>
      <c r="J173" s="231"/>
      <c r="K173" s="231"/>
      <c r="L173" s="231"/>
      <c r="M173" s="231"/>
      <c r="N173" s="231"/>
      <c r="O173" s="231"/>
      <c r="P173" s="231"/>
      <c r="Q173" s="231"/>
      <c r="R173" s="231"/>
      <c r="S173" s="231"/>
      <c r="T173" s="231"/>
      <c r="U173" s="231"/>
      <c r="V173" s="231"/>
      <c r="W173" s="231"/>
      <c r="X173" s="231"/>
      <c r="Y173" s="231"/>
      <c r="Z173" s="231"/>
      <c r="AA173" s="231"/>
      <c r="AB173" s="231"/>
      <c r="AC173" s="231"/>
      <c r="AD173" s="231"/>
      <c r="AE173" s="231"/>
      <c r="AF173" s="231"/>
      <c r="AG173" s="231"/>
      <c r="AH173" s="231"/>
      <c r="AI173" s="231"/>
    </row>
    <row r="174" spans="1:35" s="203" customFormat="1">
      <c r="A174" s="119" t="s">
        <v>145</v>
      </c>
      <c r="B174" s="47"/>
      <c r="C174" s="47"/>
      <c r="D174" s="47"/>
      <c r="E174" s="157"/>
      <c r="F174" s="146"/>
      <c r="G174" s="118"/>
      <c r="H174" s="146"/>
      <c r="I174" s="29"/>
      <c r="J174" s="231"/>
      <c r="K174" s="231"/>
      <c r="L174" s="231"/>
      <c r="M174" s="231"/>
      <c r="N174" s="231"/>
      <c r="O174" s="231"/>
      <c r="P174" s="231"/>
      <c r="Q174" s="231"/>
      <c r="R174" s="231"/>
      <c r="S174" s="231"/>
      <c r="T174" s="231"/>
      <c r="U174" s="231"/>
      <c r="V174" s="231"/>
      <c r="W174" s="231"/>
      <c r="X174" s="231"/>
      <c r="Y174" s="231"/>
      <c r="Z174" s="231"/>
      <c r="AA174" s="231"/>
      <c r="AB174" s="231"/>
      <c r="AC174" s="231"/>
      <c r="AD174" s="231"/>
      <c r="AE174" s="231"/>
      <c r="AF174" s="231"/>
      <c r="AG174" s="231"/>
      <c r="AH174" s="231"/>
      <c r="AI174" s="231"/>
    </row>
    <row r="175" spans="1:35" s="203" customFormat="1">
      <c r="A175" s="120">
        <v>12</v>
      </c>
      <c r="B175" s="47" t="s">
        <v>146</v>
      </c>
      <c r="C175" s="47"/>
      <c r="D175" s="47"/>
      <c r="E175" s="74">
        <v>1126</v>
      </c>
      <c r="F175" s="52">
        <v>1010</v>
      </c>
      <c r="G175" s="118"/>
      <c r="H175" s="122">
        <v>840</v>
      </c>
      <c r="I175" s="29"/>
      <c r="J175" s="231"/>
      <c r="K175" s="231"/>
      <c r="L175" s="231"/>
      <c r="M175" s="231"/>
      <c r="N175" s="231"/>
      <c r="O175" s="231"/>
      <c r="P175" s="231"/>
      <c r="Q175" s="231"/>
      <c r="R175" s="231"/>
      <c r="S175" s="231"/>
      <c r="T175" s="231"/>
      <c r="U175" s="231"/>
      <c r="V175" s="231"/>
      <c r="W175" s="231"/>
      <c r="X175" s="231"/>
      <c r="Y175" s="231"/>
      <c r="Z175" s="231"/>
      <c r="AA175" s="231"/>
      <c r="AB175" s="231"/>
      <c r="AC175" s="231"/>
      <c r="AD175" s="231"/>
      <c r="AE175" s="231"/>
      <c r="AF175" s="231"/>
      <c r="AG175" s="231"/>
      <c r="AH175" s="231"/>
      <c r="AI175" s="231"/>
    </row>
    <row r="176" spans="1:35" s="203" customFormat="1">
      <c r="A176" s="120">
        <v>13</v>
      </c>
      <c r="B176" s="47" t="s">
        <v>147</v>
      </c>
      <c r="C176" s="47"/>
      <c r="D176" s="47"/>
      <c r="E176" s="49">
        <v>8445</v>
      </c>
      <c r="F176" s="52">
        <v>8766</v>
      </c>
      <c r="G176" s="118"/>
      <c r="H176" s="122">
        <v>9040</v>
      </c>
      <c r="I176" s="29"/>
      <c r="J176" s="231"/>
      <c r="K176" s="231"/>
      <c r="L176" s="231"/>
      <c r="M176" s="231"/>
      <c r="N176" s="231"/>
      <c r="O176" s="231"/>
      <c r="P176" s="231"/>
      <c r="Q176" s="231"/>
      <c r="R176" s="231"/>
      <c r="S176" s="231"/>
      <c r="T176" s="231"/>
      <c r="U176" s="231"/>
      <c r="V176" s="231"/>
      <c r="W176" s="231"/>
      <c r="X176" s="231"/>
      <c r="Y176" s="231"/>
      <c r="Z176" s="231"/>
      <c r="AA176" s="231"/>
      <c r="AB176" s="231"/>
      <c r="AC176" s="231"/>
      <c r="AD176" s="231"/>
      <c r="AE176" s="231"/>
      <c r="AF176" s="231"/>
      <c r="AG176" s="231"/>
      <c r="AH176" s="231"/>
      <c r="AI176" s="231"/>
    </row>
    <row r="177" spans="1:35" s="203" customFormat="1">
      <c r="A177" s="120">
        <v>14</v>
      </c>
      <c r="B177" s="47" t="s">
        <v>148</v>
      </c>
      <c r="C177" s="47"/>
      <c r="D177" s="47"/>
      <c r="E177" s="56">
        <v>-852</v>
      </c>
      <c r="F177" s="52">
        <v>-1457</v>
      </c>
      <c r="G177" s="118"/>
      <c r="H177" s="100">
        <v>-1404</v>
      </c>
      <c r="I177" s="29"/>
      <c r="J177" s="231"/>
      <c r="K177" s="231"/>
      <c r="L177" s="231"/>
      <c r="M177" s="231"/>
      <c r="N177" s="231"/>
      <c r="O177" s="231"/>
      <c r="P177" s="231"/>
      <c r="Q177" s="231"/>
      <c r="R177" s="231"/>
      <c r="S177" s="231"/>
      <c r="T177" s="231"/>
      <c r="U177" s="231"/>
      <c r="V177" s="231"/>
      <c r="W177" s="231"/>
      <c r="X177" s="231"/>
      <c r="Y177" s="231"/>
      <c r="Z177" s="231"/>
      <c r="AA177" s="231"/>
      <c r="AB177" s="231"/>
      <c r="AC177" s="231"/>
      <c r="AD177" s="231"/>
      <c r="AE177" s="231"/>
      <c r="AF177" s="231"/>
      <c r="AG177" s="231"/>
      <c r="AH177" s="231"/>
      <c r="AI177" s="231"/>
    </row>
    <row r="178" spans="1:35" s="203" customFormat="1">
      <c r="A178" s="120">
        <v>15</v>
      </c>
      <c r="B178" s="116" t="s">
        <v>149</v>
      </c>
      <c r="C178" s="116"/>
      <c r="D178" s="116"/>
      <c r="E178" s="80">
        <v>8719</v>
      </c>
      <c r="F178" s="142">
        <f>SUM(F175:F177)</f>
        <v>8319</v>
      </c>
      <c r="G178" s="118"/>
      <c r="H178" s="142">
        <f>SUM(H175:H177)</f>
        <v>8476</v>
      </c>
      <c r="I178" s="29"/>
      <c r="J178" s="231"/>
      <c r="K178" s="231"/>
      <c r="L178" s="231"/>
      <c r="M178" s="231"/>
      <c r="N178" s="231"/>
      <c r="O178" s="231"/>
      <c r="P178" s="231"/>
      <c r="Q178" s="231"/>
      <c r="R178" s="231"/>
      <c r="S178" s="231"/>
      <c r="T178" s="231"/>
      <c r="U178" s="231"/>
      <c r="V178" s="231"/>
      <c r="W178" s="231"/>
      <c r="X178" s="231"/>
      <c r="Y178" s="231"/>
      <c r="Z178" s="231"/>
      <c r="AA178" s="231"/>
      <c r="AB178" s="231"/>
      <c r="AC178" s="231"/>
      <c r="AD178" s="231"/>
      <c r="AE178" s="231"/>
      <c r="AF178" s="231"/>
      <c r="AG178" s="231"/>
      <c r="AH178" s="231"/>
      <c r="AI178" s="231"/>
    </row>
    <row r="179" spans="1:35" s="203" customFormat="1">
      <c r="A179" s="120">
        <v>16</v>
      </c>
      <c r="B179" s="116" t="s">
        <v>150</v>
      </c>
      <c r="C179" s="116"/>
      <c r="D179" s="116"/>
      <c r="E179" s="80">
        <v>8719</v>
      </c>
      <c r="F179" s="158">
        <f>F172+F178</f>
        <v>8319</v>
      </c>
      <c r="G179" s="118"/>
      <c r="H179" s="158">
        <f>H172+H178</f>
        <v>8476</v>
      </c>
      <c r="I179" s="29"/>
      <c r="J179" s="231"/>
      <c r="K179" s="231"/>
      <c r="L179" s="231"/>
      <c r="M179" s="231"/>
      <c r="N179" s="231"/>
      <c r="O179" s="231"/>
      <c r="P179" s="231"/>
      <c r="Q179" s="231"/>
      <c r="R179" s="231"/>
      <c r="S179" s="231"/>
      <c r="T179" s="231"/>
      <c r="U179" s="231"/>
      <c r="V179" s="231"/>
      <c r="W179" s="231"/>
      <c r="X179" s="231"/>
      <c r="Y179" s="231"/>
      <c r="Z179" s="231"/>
      <c r="AA179" s="231"/>
      <c r="AB179" s="231"/>
      <c r="AC179" s="231"/>
      <c r="AD179" s="231"/>
      <c r="AE179" s="231"/>
      <c r="AF179" s="231"/>
      <c r="AG179" s="231"/>
      <c r="AH179" s="231"/>
      <c r="AI179" s="231"/>
    </row>
    <row r="180" spans="1:35" s="203" customFormat="1">
      <c r="A180" s="120">
        <v>17</v>
      </c>
      <c r="B180" s="116" t="s">
        <v>151</v>
      </c>
      <c r="C180" s="116"/>
      <c r="D180" s="116"/>
      <c r="E180" s="159">
        <v>22762.493000000002</v>
      </c>
      <c r="F180" s="61">
        <f>SUM(F163+F169+F171+F179)</f>
        <v>22480</v>
      </c>
      <c r="G180" s="118"/>
      <c r="H180" s="61">
        <f>SUM(H163+H169+H171+H179)</f>
        <v>22103</v>
      </c>
      <c r="I180" s="29"/>
      <c r="J180" s="231"/>
      <c r="K180" s="231"/>
      <c r="L180" s="231"/>
      <c r="M180" s="231"/>
      <c r="N180" s="231"/>
      <c r="O180" s="231"/>
      <c r="P180" s="231"/>
      <c r="Q180" s="231"/>
      <c r="R180" s="231"/>
      <c r="S180" s="231"/>
      <c r="T180" s="231"/>
      <c r="U180" s="231"/>
      <c r="V180" s="231"/>
      <c r="W180" s="231"/>
      <c r="X180" s="231"/>
      <c r="Y180" s="231"/>
      <c r="Z180" s="231"/>
      <c r="AA180" s="231"/>
      <c r="AB180" s="231"/>
      <c r="AC180" s="231"/>
      <c r="AD180" s="231"/>
      <c r="AE180" s="231"/>
      <c r="AF180" s="231"/>
      <c r="AG180" s="231"/>
      <c r="AH180" s="231"/>
      <c r="AI180" s="231"/>
    </row>
    <row r="181" spans="1:35" s="203" customFormat="1">
      <c r="A181" s="46"/>
      <c r="B181" s="132"/>
      <c r="C181" s="132"/>
      <c r="D181" s="132"/>
      <c r="E181" s="156"/>
      <c r="F181" s="139"/>
      <c r="G181" s="139"/>
      <c r="H181" s="139"/>
      <c r="I181" s="29"/>
      <c r="J181" s="231"/>
      <c r="K181" s="231"/>
      <c r="L181" s="231"/>
      <c r="M181" s="231"/>
      <c r="N181" s="231"/>
      <c r="O181" s="231"/>
      <c r="P181" s="231"/>
      <c r="Q181" s="231"/>
      <c r="R181" s="231"/>
      <c r="S181" s="231"/>
      <c r="T181" s="231"/>
      <c r="U181" s="231"/>
      <c r="V181" s="231"/>
      <c r="W181" s="231"/>
      <c r="X181" s="231"/>
      <c r="Y181" s="231"/>
      <c r="Z181" s="231"/>
      <c r="AA181" s="231"/>
      <c r="AB181" s="231"/>
      <c r="AC181" s="231"/>
      <c r="AD181" s="231"/>
      <c r="AE181" s="231"/>
      <c r="AF181" s="231"/>
      <c r="AG181" s="231"/>
      <c r="AH181" s="231"/>
      <c r="AI181" s="231"/>
    </row>
    <row r="182" spans="1:35" s="203" customFormat="1">
      <c r="A182" s="119" t="s">
        <v>152</v>
      </c>
      <c r="B182" s="47"/>
      <c r="C182" s="47"/>
      <c r="D182" s="116"/>
      <c r="E182" s="117"/>
      <c r="F182" s="118"/>
      <c r="G182" s="118"/>
      <c r="H182" s="118"/>
      <c r="I182" s="29"/>
      <c r="J182" s="231"/>
      <c r="K182" s="231"/>
      <c r="L182" s="231"/>
      <c r="M182" s="231"/>
      <c r="N182" s="231"/>
      <c r="O182" s="231"/>
      <c r="P182" s="231"/>
      <c r="Q182" s="231"/>
      <c r="R182" s="231"/>
      <c r="S182" s="231"/>
      <c r="T182" s="231"/>
      <c r="U182" s="231"/>
      <c r="V182" s="231"/>
      <c r="W182" s="231"/>
      <c r="X182" s="231"/>
      <c r="Y182" s="231"/>
      <c r="Z182" s="231"/>
      <c r="AA182" s="231"/>
      <c r="AB182" s="231"/>
      <c r="AC182" s="231"/>
      <c r="AD182" s="231"/>
      <c r="AE182" s="231"/>
      <c r="AF182" s="231"/>
      <c r="AG182" s="231"/>
      <c r="AH182" s="231"/>
      <c r="AI182" s="231"/>
    </row>
    <row r="183" spans="1:35" s="203" customFormat="1">
      <c r="A183" s="120">
        <v>18</v>
      </c>
      <c r="B183" s="47" t="s">
        <v>153</v>
      </c>
      <c r="C183" s="47"/>
      <c r="D183" s="47"/>
      <c r="E183" s="41">
        <v>3302</v>
      </c>
      <c r="F183" s="121">
        <v>3216</v>
      </c>
      <c r="G183" s="118"/>
      <c r="H183" s="133">
        <v>3606</v>
      </c>
      <c r="I183" s="29"/>
      <c r="J183" s="231"/>
      <c r="K183" s="231"/>
      <c r="L183" s="231"/>
      <c r="M183" s="231"/>
      <c r="N183" s="231"/>
      <c r="O183" s="231"/>
      <c r="P183" s="231"/>
      <c r="Q183" s="231"/>
      <c r="R183" s="231"/>
      <c r="S183" s="231"/>
      <c r="T183" s="231"/>
      <c r="U183" s="231"/>
      <c r="V183" s="231"/>
      <c r="W183" s="231"/>
      <c r="X183" s="231"/>
      <c r="Y183" s="231"/>
      <c r="Z183" s="231"/>
      <c r="AA183" s="231"/>
      <c r="AB183" s="231"/>
      <c r="AC183" s="231"/>
      <c r="AD183" s="231"/>
      <c r="AE183" s="231"/>
      <c r="AF183" s="231"/>
      <c r="AG183" s="231"/>
      <c r="AH183" s="231"/>
      <c r="AI183" s="231"/>
    </row>
    <row r="184" spans="1:35" s="203" customFormat="1">
      <c r="A184" s="120">
        <v>19</v>
      </c>
      <c r="B184" s="47" t="s">
        <v>154</v>
      </c>
      <c r="C184" s="47"/>
      <c r="D184" s="47"/>
      <c r="E184" s="49">
        <v>-852</v>
      </c>
      <c r="F184" s="52">
        <v>-1457</v>
      </c>
      <c r="G184" s="118"/>
      <c r="H184" s="122">
        <v>-1404</v>
      </c>
      <c r="I184" s="29"/>
      <c r="J184" s="231"/>
      <c r="K184" s="231"/>
      <c r="L184" s="231"/>
      <c r="M184" s="231"/>
      <c r="N184" s="231"/>
      <c r="O184" s="231"/>
      <c r="P184" s="231"/>
      <c r="Q184" s="231"/>
      <c r="R184" s="231"/>
      <c r="S184" s="231"/>
      <c r="T184" s="231"/>
      <c r="U184" s="231"/>
      <c r="V184" s="231"/>
      <c r="W184" s="231"/>
      <c r="X184" s="231"/>
      <c r="Y184" s="231"/>
      <c r="Z184" s="231"/>
      <c r="AA184" s="231"/>
      <c r="AB184" s="231"/>
      <c r="AC184" s="231"/>
      <c r="AD184" s="231"/>
      <c r="AE184" s="231"/>
      <c r="AF184" s="231"/>
      <c r="AG184" s="231"/>
      <c r="AH184" s="231"/>
      <c r="AI184" s="231"/>
    </row>
    <row r="185" spans="1:35" s="203" customFormat="1">
      <c r="A185" s="120">
        <v>20</v>
      </c>
      <c r="B185" s="47" t="s">
        <v>155</v>
      </c>
      <c r="C185" s="47"/>
      <c r="D185" s="47"/>
      <c r="E185" s="49">
        <v>0</v>
      </c>
      <c r="F185" s="52">
        <v>0</v>
      </c>
      <c r="G185" s="118"/>
      <c r="H185" s="122">
        <v>0</v>
      </c>
      <c r="I185" s="29"/>
      <c r="J185" s="231"/>
      <c r="K185" s="231"/>
      <c r="L185" s="231"/>
      <c r="M185" s="231"/>
      <c r="N185" s="231"/>
      <c r="O185" s="231"/>
      <c r="P185" s="231"/>
      <c r="Q185" s="231"/>
      <c r="R185" s="231"/>
      <c r="S185" s="231"/>
      <c r="T185" s="231"/>
      <c r="U185" s="231"/>
      <c r="V185" s="231"/>
      <c r="W185" s="231"/>
      <c r="X185" s="231"/>
      <c r="Y185" s="231"/>
      <c r="Z185" s="231"/>
      <c r="AA185" s="231"/>
      <c r="AB185" s="231"/>
      <c r="AC185" s="231"/>
      <c r="AD185" s="231"/>
      <c r="AE185" s="231"/>
      <c r="AF185" s="231"/>
      <c r="AG185" s="231"/>
      <c r="AH185" s="231"/>
      <c r="AI185" s="231"/>
    </row>
    <row r="186" spans="1:35" s="203" customFormat="1">
      <c r="A186" s="120">
        <v>21</v>
      </c>
      <c r="B186" s="47" t="s">
        <v>156</v>
      </c>
      <c r="C186" s="47"/>
      <c r="D186" s="47"/>
      <c r="E186" s="49">
        <v>94</v>
      </c>
      <c r="F186" s="52">
        <v>94</v>
      </c>
      <c r="G186" s="118"/>
      <c r="H186" s="122">
        <v>94</v>
      </c>
      <c r="I186" s="29"/>
      <c r="J186" s="231"/>
      <c r="K186" s="231"/>
      <c r="L186" s="231"/>
      <c r="M186" s="231"/>
      <c r="N186" s="231"/>
      <c r="O186" s="231"/>
      <c r="P186" s="231"/>
      <c r="Q186" s="231"/>
      <c r="R186" s="231"/>
      <c r="S186" s="231"/>
      <c r="T186" s="231"/>
      <c r="U186" s="231"/>
      <c r="V186" s="231"/>
      <c r="W186" s="231"/>
      <c r="X186" s="231"/>
      <c r="Y186" s="231"/>
      <c r="Z186" s="231"/>
      <c r="AA186" s="231"/>
      <c r="AB186" s="231"/>
      <c r="AC186" s="231"/>
      <c r="AD186" s="231"/>
      <c r="AE186" s="231"/>
      <c r="AF186" s="231"/>
      <c r="AG186" s="231"/>
      <c r="AH186" s="231"/>
      <c r="AI186" s="231"/>
    </row>
    <row r="187" spans="1:35" s="203" customFormat="1">
      <c r="A187" s="120">
        <v>22</v>
      </c>
      <c r="B187" s="47" t="s">
        <v>157</v>
      </c>
      <c r="C187" s="47"/>
      <c r="D187" s="47"/>
      <c r="E187" s="49">
        <v>2951</v>
      </c>
      <c r="F187" s="52">
        <v>3523</v>
      </c>
      <c r="G187" s="118"/>
      <c r="H187" s="122">
        <v>3278</v>
      </c>
      <c r="I187" s="29"/>
      <c r="J187" s="231"/>
      <c r="K187" s="231"/>
      <c r="L187" s="231"/>
      <c r="M187" s="231"/>
      <c r="N187" s="231"/>
      <c r="O187" s="231"/>
      <c r="P187" s="231"/>
      <c r="Q187" s="231"/>
      <c r="R187" s="231"/>
      <c r="S187" s="231"/>
      <c r="T187" s="231"/>
      <c r="U187" s="231"/>
      <c r="V187" s="231"/>
      <c r="W187" s="231"/>
      <c r="X187" s="231"/>
      <c r="Y187" s="231"/>
      <c r="Z187" s="231"/>
      <c r="AA187" s="231"/>
      <c r="AB187" s="231"/>
      <c r="AC187" s="231"/>
      <c r="AD187" s="231"/>
      <c r="AE187" s="231"/>
      <c r="AF187" s="231"/>
      <c r="AG187" s="231"/>
      <c r="AH187" s="231"/>
      <c r="AI187" s="231"/>
    </row>
    <row r="188" spans="1:35" s="203" customFormat="1">
      <c r="A188" s="120">
        <v>23</v>
      </c>
      <c r="B188" s="47" t="s">
        <v>158</v>
      </c>
      <c r="C188" s="47"/>
      <c r="D188" s="47"/>
      <c r="E188" s="49">
        <v>0</v>
      </c>
      <c r="F188" s="52">
        <v>0</v>
      </c>
      <c r="G188" s="118"/>
      <c r="H188" s="122">
        <v>0</v>
      </c>
      <c r="I188" s="29"/>
      <c r="J188" s="231"/>
      <c r="K188" s="231"/>
      <c r="L188" s="231"/>
      <c r="M188" s="231"/>
      <c r="N188" s="231"/>
      <c r="O188" s="231"/>
      <c r="P188" s="231"/>
      <c r="Q188" s="231"/>
      <c r="R188" s="231"/>
      <c r="S188" s="231"/>
      <c r="T188" s="231"/>
      <c r="U188" s="231"/>
      <c r="V188" s="231"/>
      <c r="W188" s="231"/>
      <c r="X188" s="231"/>
      <c r="Y188" s="231"/>
      <c r="Z188" s="231"/>
      <c r="AA188" s="231"/>
      <c r="AB188" s="231"/>
      <c r="AC188" s="231"/>
      <c r="AD188" s="231"/>
      <c r="AE188" s="231"/>
      <c r="AF188" s="231"/>
      <c r="AG188" s="231"/>
      <c r="AH188" s="231"/>
      <c r="AI188" s="231"/>
    </row>
    <row r="189" spans="1:35" s="203" customFormat="1">
      <c r="A189" s="120">
        <v>24</v>
      </c>
      <c r="B189" s="47" t="s">
        <v>159</v>
      </c>
      <c r="C189" s="47"/>
      <c r="D189" s="47"/>
      <c r="E189" s="49">
        <v>0</v>
      </c>
      <c r="F189" s="52">
        <v>0</v>
      </c>
      <c r="G189" s="118"/>
      <c r="H189" s="122">
        <v>0</v>
      </c>
      <c r="I189" s="29"/>
      <c r="J189" s="231"/>
      <c r="K189" s="231"/>
      <c r="L189" s="231"/>
      <c r="M189" s="231"/>
      <c r="N189" s="231"/>
      <c r="O189" s="231"/>
      <c r="P189" s="231"/>
      <c r="Q189" s="231"/>
      <c r="R189" s="231"/>
      <c r="S189" s="231"/>
      <c r="T189" s="231"/>
      <c r="U189" s="231"/>
      <c r="V189" s="231"/>
      <c r="W189" s="231"/>
      <c r="X189" s="231"/>
      <c r="Y189" s="231"/>
      <c r="Z189" s="231"/>
      <c r="AA189" s="231"/>
      <c r="AB189" s="231"/>
      <c r="AC189" s="231"/>
      <c r="AD189" s="231"/>
      <c r="AE189" s="231"/>
      <c r="AF189" s="231"/>
      <c r="AG189" s="231"/>
      <c r="AH189" s="231"/>
      <c r="AI189" s="231"/>
    </row>
    <row r="190" spans="1:35" s="203" customFormat="1">
      <c r="A190" s="124">
        <v>25</v>
      </c>
      <c r="B190" s="54" t="s">
        <v>160</v>
      </c>
      <c r="C190" s="54"/>
      <c r="D190" s="54"/>
      <c r="E190" s="56">
        <v>2200</v>
      </c>
      <c r="F190" s="126">
        <v>1933</v>
      </c>
      <c r="G190" s="118"/>
      <c r="H190" s="100">
        <v>2062</v>
      </c>
      <c r="I190" s="24"/>
      <c r="J190" s="231"/>
      <c r="K190" s="231"/>
      <c r="L190" s="231"/>
      <c r="M190" s="231"/>
      <c r="N190" s="231"/>
      <c r="O190" s="231"/>
      <c r="P190" s="231"/>
      <c r="Q190" s="231"/>
      <c r="R190" s="231"/>
      <c r="S190" s="231"/>
      <c r="T190" s="231"/>
      <c r="U190" s="231"/>
      <c r="V190" s="231"/>
      <c r="W190" s="231"/>
      <c r="X190" s="231"/>
      <c r="Y190" s="231"/>
      <c r="Z190" s="231"/>
      <c r="AA190" s="231"/>
      <c r="AB190" s="231"/>
      <c r="AC190" s="231"/>
      <c r="AD190" s="231"/>
      <c r="AE190" s="231"/>
      <c r="AF190" s="231"/>
      <c r="AG190" s="231"/>
      <c r="AH190" s="231"/>
      <c r="AI190" s="231"/>
    </row>
    <row r="191" spans="1:35" s="203" customFormat="1">
      <c r="A191" s="161"/>
      <c r="B191" s="129"/>
      <c r="C191" s="129"/>
      <c r="D191" s="149"/>
      <c r="E191" s="162"/>
      <c r="F191" s="29"/>
      <c r="G191" s="29"/>
      <c r="H191" s="207"/>
      <c r="I191" s="29"/>
      <c r="J191" s="231"/>
      <c r="K191" s="231"/>
      <c r="L191" s="231"/>
      <c r="M191" s="231"/>
      <c r="N191" s="231"/>
      <c r="O191" s="231"/>
      <c r="P191" s="231"/>
      <c r="Q191" s="231"/>
      <c r="R191" s="231"/>
      <c r="S191" s="231"/>
      <c r="T191" s="231"/>
      <c r="U191" s="231"/>
      <c r="V191" s="231"/>
      <c r="W191" s="231"/>
      <c r="X191" s="231"/>
      <c r="Y191" s="231"/>
      <c r="Z191" s="231"/>
      <c r="AA191" s="231"/>
      <c r="AB191" s="231"/>
      <c r="AC191" s="231"/>
      <c r="AD191" s="231"/>
      <c r="AE191" s="231"/>
      <c r="AF191" s="231"/>
      <c r="AG191" s="231"/>
      <c r="AH191" s="231"/>
      <c r="AI191" s="231"/>
    </row>
    <row r="192" spans="1:35" s="203" customFormat="1">
      <c r="A192" s="161"/>
      <c r="B192" s="129"/>
      <c r="C192" s="129"/>
      <c r="D192" s="151"/>
      <c r="E192" s="163"/>
      <c r="F192" s="29"/>
      <c r="G192" s="29"/>
      <c r="H192" s="131" t="s">
        <v>27</v>
      </c>
      <c r="I192" s="29"/>
      <c r="J192" s="231"/>
      <c r="K192" s="231"/>
      <c r="L192" s="231"/>
      <c r="M192" s="231"/>
      <c r="N192" s="231"/>
      <c r="O192" s="231"/>
      <c r="P192" s="231"/>
      <c r="Q192" s="231"/>
      <c r="R192" s="231"/>
      <c r="S192" s="231"/>
      <c r="T192" s="231"/>
      <c r="U192" s="231"/>
      <c r="V192" s="231"/>
      <c r="W192" s="231"/>
      <c r="X192" s="231"/>
      <c r="Y192" s="231"/>
      <c r="Z192" s="231"/>
      <c r="AA192" s="231"/>
      <c r="AB192" s="231"/>
      <c r="AC192" s="231"/>
      <c r="AD192" s="231"/>
      <c r="AE192" s="231"/>
      <c r="AF192" s="231"/>
      <c r="AG192" s="231"/>
      <c r="AH192" s="231"/>
      <c r="AI192" s="231"/>
    </row>
    <row r="193" spans="1:35" s="203" customFormat="1" ht="12.75" customHeight="1">
      <c r="A193" s="106" t="s">
        <v>23</v>
      </c>
      <c r="B193" s="164"/>
      <c r="C193" s="164"/>
      <c r="D193" s="164"/>
      <c r="E193" s="856" t="s">
        <v>377</v>
      </c>
      <c r="F193" s="856" t="s">
        <v>402</v>
      </c>
      <c r="G193" s="130"/>
      <c r="H193" s="856" t="s">
        <v>403</v>
      </c>
      <c r="I193" s="130"/>
      <c r="J193" s="231"/>
      <c r="K193" s="231"/>
      <c r="L193" s="231"/>
      <c r="M193" s="231"/>
      <c r="N193" s="231"/>
      <c r="O193" s="231"/>
      <c r="P193" s="231"/>
      <c r="Q193" s="231"/>
      <c r="R193" s="231"/>
      <c r="S193" s="231"/>
      <c r="T193" s="231"/>
      <c r="U193" s="231"/>
      <c r="V193" s="231"/>
      <c r="W193" s="231"/>
      <c r="X193" s="231"/>
      <c r="Y193" s="231"/>
      <c r="Z193" s="231"/>
      <c r="AA193" s="231"/>
      <c r="AB193" s="231"/>
      <c r="AC193" s="231"/>
      <c r="AD193" s="231"/>
      <c r="AE193" s="231"/>
      <c r="AF193" s="231"/>
      <c r="AG193" s="231"/>
      <c r="AH193" s="231"/>
      <c r="AI193" s="231"/>
    </row>
    <row r="194" spans="1:35" s="203" customFormat="1" ht="23.25" customHeight="1">
      <c r="A194" s="165"/>
      <c r="B194" s="132"/>
      <c r="C194" s="132"/>
      <c r="D194" s="132"/>
      <c r="E194" s="859"/>
      <c r="F194" s="859"/>
      <c r="G194" s="130"/>
      <c r="H194" s="859"/>
      <c r="I194" s="130"/>
      <c r="J194" s="231"/>
      <c r="K194" s="231"/>
      <c r="L194" s="231"/>
      <c r="M194" s="231"/>
      <c r="N194" s="231"/>
      <c r="O194" s="231"/>
      <c r="P194" s="231"/>
      <c r="Q194" s="231"/>
      <c r="R194" s="231"/>
      <c r="S194" s="231"/>
      <c r="T194" s="231"/>
      <c r="U194" s="231"/>
      <c r="V194" s="231"/>
      <c r="W194" s="231"/>
      <c r="X194" s="231"/>
      <c r="Y194" s="231"/>
      <c r="Z194" s="231"/>
      <c r="AA194" s="231"/>
      <c r="AB194" s="231"/>
      <c r="AC194" s="231"/>
      <c r="AD194" s="231"/>
      <c r="AE194" s="231"/>
      <c r="AF194" s="231"/>
      <c r="AG194" s="231"/>
      <c r="AH194" s="231"/>
      <c r="AI194" s="231"/>
    </row>
    <row r="195" spans="1:35" s="203" customFormat="1">
      <c r="A195" s="154" t="s">
        <v>161</v>
      </c>
      <c r="B195" s="116"/>
      <c r="C195" s="116"/>
      <c r="D195" s="116"/>
      <c r="E195" s="859"/>
      <c r="F195" s="859"/>
      <c r="G195" s="130"/>
      <c r="H195" s="859"/>
      <c r="I195" s="130"/>
      <c r="J195" s="231"/>
      <c r="K195" s="231"/>
      <c r="L195" s="231"/>
      <c r="M195" s="231"/>
      <c r="N195" s="231"/>
      <c r="O195" s="231"/>
      <c r="P195" s="231"/>
      <c r="Q195" s="231"/>
      <c r="R195" s="231"/>
      <c r="S195" s="231"/>
      <c r="T195" s="231"/>
      <c r="U195" s="231"/>
      <c r="V195" s="231"/>
      <c r="W195" s="231"/>
      <c r="X195" s="231"/>
      <c r="Y195" s="231"/>
      <c r="Z195" s="231"/>
      <c r="AA195" s="231"/>
      <c r="AB195" s="231"/>
      <c r="AC195" s="231"/>
      <c r="AD195" s="231"/>
      <c r="AE195" s="231"/>
      <c r="AF195" s="231"/>
      <c r="AG195" s="231"/>
      <c r="AH195" s="231"/>
      <c r="AI195" s="231"/>
    </row>
    <row r="196" spans="1:35" s="203" customFormat="1">
      <c r="A196" s="109" t="s">
        <v>83</v>
      </c>
      <c r="B196" s="47"/>
      <c r="C196" s="47"/>
      <c r="D196" s="47"/>
      <c r="E196" s="859"/>
      <c r="F196" s="859"/>
      <c r="G196" s="130"/>
      <c r="H196" s="859"/>
      <c r="I196" s="130"/>
      <c r="J196" s="231"/>
      <c r="K196" s="231"/>
      <c r="L196" s="231"/>
      <c r="M196" s="231"/>
      <c r="N196" s="231"/>
      <c r="O196" s="231"/>
      <c r="P196" s="231"/>
      <c r="Q196" s="231"/>
      <c r="R196" s="231"/>
      <c r="S196" s="231"/>
      <c r="T196" s="231"/>
      <c r="U196" s="231"/>
      <c r="V196" s="231"/>
      <c r="W196" s="231"/>
      <c r="X196" s="231"/>
      <c r="Y196" s="231"/>
      <c r="Z196" s="231"/>
      <c r="AA196" s="231"/>
      <c r="AB196" s="231"/>
      <c r="AC196" s="231"/>
      <c r="AD196" s="231"/>
      <c r="AE196" s="231"/>
      <c r="AF196" s="231"/>
      <c r="AG196" s="231"/>
      <c r="AH196" s="231"/>
      <c r="AI196" s="231"/>
    </row>
    <row r="197" spans="1:35" s="203" customFormat="1">
      <c r="A197" s="110" t="s">
        <v>84</v>
      </c>
      <c r="B197" s="132"/>
      <c r="C197" s="132"/>
      <c r="D197" s="132"/>
      <c r="E197" s="860"/>
      <c r="F197" s="860"/>
      <c r="G197" s="130"/>
      <c r="H197" s="860"/>
      <c r="I197" s="130"/>
      <c r="J197" s="231"/>
      <c r="K197" s="231"/>
      <c r="L197" s="231"/>
      <c r="M197" s="231"/>
      <c r="N197" s="231"/>
      <c r="O197" s="231"/>
      <c r="P197" s="231"/>
      <c r="Q197" s="231"/>
      <c r="R197" s="231"/>
      <c r="S197" s="231"/>
      <c r="T197" s="231"/>
      <c r="U197" s="231"/>
      <c r="V197" s="231"/>
      <c r="W197" s="231"/>
      <c r="X197" s="231"/>
      <c r="Y197" s="231"/>
      <c r="Z197" s="231"/>
      <c r="AA197" s="231"/>
      <c r="AB197" s="231"/>
      <c r="AC197" s="231"/>
      <c r="AD197" s="231"/>
      <c r="AE197" s="231"/>
      <c r="AF197" s="231"/>
      <c r="AG197" s="231"/>
      <c r="AH197" s="231"/>
      <c r="AI197" s="231"/>
    </row>
    <row r="198" spans="1:35" s="203" customFormat="1">
      <c r="A198" s="153" t="s">
        <v>162</v>
      </c>
      <c r="B198" s="166"/>
      <c r="C198" s="166"/>
      <c r="D198" s="166"/>
      <c r="E198" s="167"/>
      <c r="F198" s="146"/>
      <c r="G198" s="118"/>
      <c r="H198" s="146"/>
      <c r="I198" s="29"/>
      <c r="J198" s="231"/>
      <c r="K198" s="231"/>
      <c r="L198" s="231"/>
      <c r="M198" s="231"/>
      <c r="N198" s="231"/>
      <c r="O198" s="231"/>
      <c r="P198" s="231"/>
      <c r="Q198" s="231"/>
      <c r="R198" s="231"/>
      <c r="S198" s="231"/>
      <c r="T198" s="231"/>
      <c r="U198" s="231"/>
      <c r="V198" s="231"/>
      <c r="W198" s="231"/>
      <c r="X198" s="231"/>
      <c r="Y198" s="231"/>
      <c r="Z198" s="231"/>
      <c r="AA198" s="231"/>
      <c r="AB198" s="231"/>
      <c r="AC198" s="231"/>
      <c r="AD198" s="231"/>
      <c r="AE198" s="231"/>
      <c r="AF198" s="231"/>
      <c r="AG198" s="231"/>
      <c r="AH198" s="231"/>
      <c r="AI198" s="231"/>
    </row>
    <row r="199" spans="1:35" s="203" customFormat="1">
      <c r="A199" s="120">
        <v>1</v>
      </c>
      <c r="B199" s="47" t="s">
        <v>163</v>
      </c>
      <c r="C199" s="47"/>
      <c r="D199" s="47"/>
      <c r="E199" s="74">
        <v>0</v>
      </c>
      <c r="F199" s="52">
        <v>0</v>
      </c>
      <c r="G199" s="118"/>
      <c r="H199" s="122">
        <v>0</v>
      </c>
      <c r="I199" s="29"/>
      <c r="J199" s="231"/>
      <c r="K199" s="231"/>
      <c r="L199" s="231"/>
      <c r="M199" s="231"/>
      <c r="N199" s="231"/>
      <c r="O199" s="231"/>
      <c r="P199" s="231"/>
      <c r="Q199" s="231"/>
      <c r="R199" s="231"/>
      <c r="S199" s="231"/>
      <c r="T199" s="231"/>
      <c r="U199" s="231"/>
      <c r="V199" s="231"/>
      <c r="W199" s="231"/>
      <c r="X199" s="231"/>
      <c r="Y199" s="231"/>
      <c r="Z199" s="231"/>
      <c r="AA199" s="231"/>
      <c r="AB199" s="231"/>
      <c r="AC199" s="231"/>
      <c r="AD199" s="231"/>
      <c r="AE199" s="231"/>
      <c r="AF199" s="231"/>
      <c r="AG199" s="231"/>
      <c r="AH199" s="231"/>
      <c r="AI199" s="231"/>
    </row>
    <row r="200" spans="1:35" s="203" customFormat="1">
      <c r="A200" s="120">
        <v>2</v>
      </c>
      <c r="B200" s="47" t="s">
        <v>164</v>
      </c>
      <c r="C200" s="47"/>
      <c r="D200" s="47"/>
      <c r="E200" s="56">
        <v>2347</v>
      </c>
      <c r="F200" s="52">
        <v>2354</v>
      </c>
      <c r="G200" s="118"/>
      <c r="H200" s="100">
        <v>2427</v>
      </c>
      <c r="I200" s="29"/>
      <c r="J200" s="231"/>
      <c r="K200" s="231"/>
      <c r="L200" s="231"/>
      <c r="M200" s="231"/>
      <c r="N200" s="231"/>
      <c r="O200" s="231"/>
      <c r="P200" s="231"/>
      <c r="Q200" s="231"/>
      <c r="R200" s="231"/>
      <c r="S200" s="231"/>
      <c r="T200" s="231"/>
      <c r="U200" s="231"/>
      <c r="V200" s="231"/>
      <c r="W200" s="231"/>
      <c r="X200" s="231"/>
      <c r="Y200" s="231"/>
      <c r="Z200" s="231"/>
      <c r="AA200" s="231"/>
      <c r="AB200" s="231"/>
      <c r="AC200" s="231"/>
      <c r="AD200" s="231"/>
      <c r="AE200" s="231"/>
      <c r="AF200" s="231"/>
      <c r="AG200" s="231"/>
      <c r="AH200" s="231"/>
      <c r="AI200" s="231"/>
    </row>
    <row r="201" spans="1:35" s="203" customFormat="1">
      <c r="A201" s="120">
        <v>3</v>
      </c>
      <c r="B201" s="116" t="s">
        <v>165</v>
      </c>
      <c r="C201" s="116"/>
      <c r="D201" s="116"/>
      <c r="E201" s="80">
        <v>2347</v>
      </c>
      <c r="F201" s="142">
        <f>SUM(F199:F200)</f>
        <v>2354</v>
      </c>
      <c r="G201" s="118"/>
      <c r="H201" s="142">
        <f>SUM(H199:H200)</f>
        <v>2427</v>
      </c>
      <c r="I201" s="29"/>
      <c r="J201" s="231"/>
      <c r="K201" s="231"/>
      <c r="L201" s="231"/>
      <c r="M201" s="231"/>
      <c r="N201" s="231"/>
      <c r="O201" s="231"/>
      <c r="P201" s="231"/>
      <c r="Q201" s="231"/>
      <c r="R201" s="231"/>
      <c r="S201" s="231"/>
      <c r="T201" s="231"/>
      <c r="U201" s="231"/>
      <c r="V201" s="231"/>
      <c r="W201" s="231"/>
      <c r="X201" s="231"/>
      <c r="Y201" s="231"/>
      <c r="Z201" s="231"/>
      <c r="AA201" s="231"/>
      <c r="AB201" s="231"/>
      <c r="AC201" s="231"/>
      <c r="AD201" s="231"/>
      <c r="AE201" s="231"/>
      <c r="AF201" s="231"/>
      <c r="AG201" s="231"/>
      <c r="AH201" s="231"/>
      <c r="AI201" s="231"/>
    </row>
    <row r="202" spans="1:35" s="203" customFormat="1">
      <c r="A202" s="46"/>
      <c r="B202" s="132"/>
      <c r="C202" s="132"/>
      <c r="D202" s="132"/>
      <c r="E202" s="156"/>
      <c r="F202" s="139"/>
      <c r="G202" s="139"/>
      <c r="H202" s="139"/>
      <c r="I202" s="29"/>
      <c r="J202" s="231"/>
      <c r="K202" s="231"/>
      <c r="L202" s="231"/>
      <c r="M202" s="231"/>
      <c r="N202" s="231"/>
      <c r="O202" s="231"/>
      <c r="P202" s="231"/>
      <c r="Q202" s="231"/>
      <c r="R202" s="231"/>
      <c r="S202" s="231"/>
      <c r="T202" s="231"/>
      <c r="U202" s="231"/>
      <c r="V202" s="231"/>
      <c r="W202" s="231"/>
      <c r="X202" s="231"/>
      <c r="Y202" s="231"/>
      <c r="Z202" s="231"/>
      <c r="AA202" s="231"/>
      <c r="AB202" s="231"/>
      <c r="AC202" s="231"/>
      <c r="AD202" s="231"/>
      <c r="AE202" s="231"/>
      <c r="AF202" s="231"/>
      <c r="AG202" s="231"/>
      <c r="AH202" s="231"/>
      <c r="AI202" s="231"/>
    </row>
    <row r="203" spans="1:35" s="203" customFormat="1">
      <c r="A203" s="153" t="s">
        <v>166</v>
      </c>
      <c r="B203" s="116"/>
      <c r="C203" s="116"/>
      <c r="D203" s="116"/>
      <c r="E203" s="140"/>
      <c r="F203" s="146"/>
      <c r="G203" s="118"/>
      <c r="H203" s="146"/>
      <c r="I203" s="29"/>
      <c r="J203" s="231"/>
      <c r="K203" s="231"/>
      <c r="L203" s="231"/>
      <c r="M203" s="231"/>
      <c r="N203" s="231"/>
      <c r="O203" s="231"/>
      <c r="P203" s="231"/>
      <c r="Q203" s="231"/>
      <c r="R203" s="231"/>
      <c r="S203" s="231"/>
      <c r="T203" s="231"/>
      <c r="U203" s="231"/>
      <c r="V203" s="231"/>
      <c r="W203" s="231"/>
      <c r="X203" s="231"/>
      <c r="Y203" s="231"/>
      <c r="Z203" s="231"/>
      <c r="AA203" s="231"/>
      <c r="AB203" s="231"/>
      <c r="AC203" s="231"/>
      <c r="AD203" s="231"/>
      <c r="AE203" s="231"/>
      <c r="AF203" s="231"/>
      <c r="AG203" s="231"/>
      <c r="AH203" s="231"/>
      <c r="AI203" s="231"/>
    </row>
    <row r="204" spans="1:35" s="203" customFormat="1">
      <c r="A204" s="120">
        <v>4</v>
      </c>
      <c r="B204" s="47" t="s">
        <v>167</v>
      </c>
      <c r="C204" s="47"/>
      <c r="D204" s="47"/>
      <c r="E204" s="74">
        <v>24955</v>
      </c>
      <c r="F204" s="52">
        <v>28826</v>
      </c>
      <c r="G204" s="118"/>
      <c r="H204" s="122">
        <v>27411</v>
      </c>
      <c r="I204" s="29"/>
      <c r="J204" s="231"/>
      <c r="K204" s="231"/>
      <c r="L204" s="231"/>
      <c r="M204" s="231"/>
      <c r="N204" s="231"/>
      <c r="O204" s="231"/>
      <c r="P204" s="231"/>
      <c r="Q204" s="231"/>
      <c r="R204" s="231"/>
      <c r="S204" s="231"/>
      <c r="T204" s="231"/>
      <c r="U204" s="231"/>
      <c r="V204" s="231"/>
      <c r="W204" s="231"/>
      <c r="X204" s="231"/>
      <c r="Y204" s="231"/>
      <c r="Z204" s="231"/>
      <c r="AA204" s="231"/>
      <c r="AB204" s="231"/>
      <c r="AC204" s="231"/>
      <c r="AD204" s="231"/>
      <c r="AE204" s="231"/>
      <c r="AF204" s="231"/>
      <c r="AG204" s="231"/>
      <c r="AH204" s="231"/>
      <c r="AI204" s="231"/>
    </row>
    <row r="205" spans="1:35" s="203" customFormat="1">
      <c r="A205" s="120">
        <v>5</v>
      </c>
      <c r="B205" s="47" t="s">
        <v>168</v>
      </c>
      <c r="C205" s="47"/>
      <c r="D205" s="47"/>
      <c r="E205" s="49">
        <v>40291</v>
      </c>
      <c r="F205" s="52">
        <v>30529</v>
      </c>
      <c r="G205" s="118"/>
      <c r="H205" s="122">
        <v>44530</v>
      </c>
      <c r="I205" s="29"/>
      <c r="J205" s="231"/>
      <c r="K205" s="231"/>
      <c r="L205" s="231"/>
      <c r="M205" s="231"/>
      <c r="N205" s="231"/>
      <c r="O205" s="231"/>
      <c r="P205" s="231"/>
      <c r="Q205" s="231"/>
      <c r="R205" s="231"/>
      <c r="S205" s="231"/>
      <c r="T205" s="231"/>
      <c r="U205" s="231"/>
      <c r="V205" s="231"/>
      <c r="W205" s="231"/>
      <c r="X205" s="231"/>
      <c r="Y205" s="231"/>
      <c r="Z205" s="231"/>
      <c r="AA205" s="231"/>
      <c r="AB205" s="231"/>
      <c r="AC205" s="231"/>
      <c r="AD205" s="231"/>
      <c r="AE205" s="231"/>
      <c r="AF205" s="231"/>
      <c r="AG205" s="231"/>
      <c r="AH205" s="231"/>
      <c r="AI205" s="231"/>
    </row>
    <row r="206" spans="1:35" s="203" customFormat="1">
      <c r="A206" s="120">
        <v>6</v>
      </c>
      <c r="B206" s="47" t="s">
        <v>169</v>
      </c>
      <c r="C206" s="47"/>
      <c r="D206" s="47"/>
      <c r="E206" s="49">
        <v>23678</v>
      </c>
      <c r="F206" s="52">
        <v>34228</v>
      </c>
      <c r="G206" s="118"/>
      <c r="H206" s="100">
        <v>22881</v>
      </c>
      <c r="I206" s="29"/>
      <c r="J206" s="231"/>
      <c r="K206" s="231"/>
      <c r="L206" s="231"/>
      <c r="M206" s="231"/>
      <c r="N206" s="231"/>
      <c r="O206" s="231"/>
      <c r="P206" s="231"/>
      <c r="Q206" s="231"/>
      <c r="R206" s="231"/>
      <c r="S206" s="231"/>
      <c r="T206" s="231"/>
      <c r="U206" s="231"/>
      <c r="V206" s="231"/>
      <c r="W206" s="231"/>
      <c r="X206" s="231"/>
      <c r="Y206" s="231"/>
      <c r="Z206" s="231"/>
      <c r="AA206" s="231"/>
      <c r="AB206" s="231"/>
      <c r="AC206" s="231"/>
      <c r="AD206" s="231"/>
      <c r="AE206" s="231"/>
      <c r="AF206" s="231"/>
      <c r="AG206" s="231"/>
      <c r="AH206" s="231"/>
      <c r="AI206" s="231"/>
    </row>
    <row r="207" spans="1:35" s="203" customFormat="1">
      <c r="A207" s="120">
        <v>7</v>
      </c>
      <c r="B207" s="116" t="s">
        <v>170</v>
      </c>
      <c r="C207" s="116"/>
      <c r="D207" s="116"/>
      <c r="E207" s="80">
        <v>88924</v>
      </c>
      <c r="F207" s="142">
        <f>SUM(F204:F206)</f>
        <v>93583</v>
      </c>
      <c r="G207" s="118"/>
      <c r="H207" s="142">
        <f>SUM(H204:H206)</f>
        <v>94822</v>
      </c>
      <c r="I207" s="29"/>
      <c r="J207" s="231"/>
      <c r="K207" s="231"/>
      <c r="L207" s="231"/>
      <c r="M207" s="231"/>
      <c r="N207" s="231"/>
      <c r="O207" s="231"/>
      <c r="P207" s="231"/>
      <c r="Q207" s="231"/>
      <c r="R207" s="231"/>
      <c r="S207" s="231"/>
      <c r="T207" s="231"/>
      <c r="U207" s="231"/>
      <c r="V207" s="231"/>
      <c r="W207" s="231"/>
      <c r="X207" s="231"/>
      <c r="Y207" s="231"/>
      <c r="Z207" s="231"/>
      <c r="AA207" s="231"/>
      <c r="AB207" s="231"/>
      <c r="AC207" s="231"/>
      <c r="AD207" s="231"/>
      <c r="AE207" s="231"/>
      <c r="AF207" s="231"/>
      <c r="AG207" s="231"/>
      <c r="AH207" s="231"/>
      <c r="AI207" s="231"/>
    </row>
    <row r="208" spans="1:35" s="203" customFormat="1">
      <c r="A208" s="46"/>
      <c r="B208" s="132"/>
      <c r="C208" s="132"/>
      <c r="D208" s="132"/>
      <c r="E208" s="156"/>
      <c r="F208" s="139"/>
      <c r="G208" s="139"/>
      <c r="H208" s="139"/>
      <c r="I208" s="29"/>
      <c r="J208" s="231"/>
      <c r="K208" s="231"/>
      <c r="L208" s="231"/>
      <c r="M208" s="231"/>
      <c r="N208" s="231"/>
      <c r="O208" s="231"/>
      <c r="P208" s="231"/>
      <c r="Q208" s="231"/>
      <c r="R208" s="231"/>
      <c r="S208" s="231"/>
      <c r="T208" s="231"/>
      <c r="U208" s="231"/>
      <c r="V208" s="231"/>
      <c r="W208" s="231"/>
      <c r="X208" s="231"/>
      <c r="Y208" s="231"/>
      <c r="Z208" s="231"/>
      <c r="AA208" s="231"/>
      <c r="AB208" s="231"/>
      <c r="AC208" s="231"/>
      <c r="AD208" s="231"/>
      <c r="AE208" s="231"/>
      <c r="AF208" s="231"/>
      <c r="AG208" s="231"/>
      <c r="AH208" s="231"/>
      <c r="AI208" s="231"/>
    </row>
    <row r="209" spans="1:35" s="203" customFormat="1">
      <c r="A209" s="153" t="s">
        <v>121</v>
      </c>
      <c r="B209" s="168"/>
      <c r="C209" s="168"/>
      <c r="D209" s="168"/>
      <c r="E209" s="140"/>
      <c r="F209" s="146"/>
      <c r="G209" s="118"/>
      <c r="H209" s="146"/>
      <c r="I209" s="29"/>
      <c r="J209" s="231"/>
      <c r="K209" s="231"/>
      <c r="L209" s="231"/>
      <c r="M209" s="231"/>
      <c r="N209" s="231"/>
      <c r="O209" s="231"/>
      <c r="P209" s="231"/>
      <c r="Q209" s="231"/>
      <c r="R209" s="231"/>
      <c r="S209" s="231"/>
      <c r="T209" s="231"/>
      <c r="U209" s="231"/>
      <c r="V209" s="231"/>
      <c r="W209" s="231"/>
      <c r="X209" s="231"/>
      <c r="Y209" s="231"/>
      <c r="Z209" s="231"/>
      <c r="AA209" s="231"/>
      <c r="AB209" s="231"/>
      <c r="AC209" s="231"/>
      <c r="AD209" s="231"/>
      <c r="AE209" s="231"/>
      <c r="AF209" s="231"/>
      <c r="AG209" s="231"/>
      <c r="AH209" s="231"/>
      <c r="AI209" s="231"/>
    </row>
    <row r="210" spans="1:35" s="203" customFormat="1">
      <c r="A210" s="120">
        <v>8</v>
      </c>
      <c r="B210" s="47" t="s">
        <v>171</v>
      </c>
      <c r="C210" s="47"/>
      <c r="D210" s="47"/>
      <c r="E210" s="74">
        <v>-908</v>
      </c>
      <c r="F210" s="52">
        <v>-897</v>
      </c>
      <c r="G210" s="118"/>
      <c r="H210" s="122">
        <v>-1113</v>
      </c>
      <c r="I210" s="29"/>
      <c r="J210" s="231"/>
      <c r="K210" s="231"/>
      <c r="L210" s="231"/>
      <c r="M210" s="231"/>
      <c r="N210" s="231"/>
      <c r="O210" s="231"/>
      <c r="P210" s="231"/>
      <c r="Q210" s="231"/>
      <c r="R210" s="231"/>
      <c r="S210" s="231"/>
      <c r="T210" s="231"/>
      <c r="U210" s="231"/>
      <c r="V210" s="231"/>
      <c r="W210" s="231"/>
      <c r="X210" s="231"/>
      <c r="Y210" s="231"/>
      <c r="Z210" s="231"/>
      <c r="AA210" s="231"/>
      <c r="AB210" s="231"/>
      <c r="AC210" s="231"/>
      <c r="AD210" s="231"/>
      <c r="AE210" s="231"/>
      <c r="AF210" s="231"/>
      <c r="AG210" s="231"/>
      <c r="AH210" s="231"/>
      <c r="AI210" s="231"/>
    </row>
    <row r="211" spans="1:35" s="203" customFormat="1">
      <c r="A211" s="120">
        <v>9</v>
      </c>
      <c r="B211" s="47" t="s">
        <v>172</v>
      </c>
      <c r="C211" s="47"/>
      <c r="D211" s="47"/>
      <c r="E211" s="49">
        <v>0</v>
      </c>
      <c r="F211" s="52">
        <v>0</v>
      </c>
      <c r="G211" s="118"/>
      <c r="H211" s="122">
        <v>0</v>
      </c>
      <c r="I211" s="29"/>
      <c r="J211" s="231"/>
      <c r="K211" s="231"/>
      <c r="L211" s="231"/>
      <c r="M211" s="231"/>
      <c r="N211" s="231"/>
      <c r="O211" s="231"/>
      <c r="P211" s="231"/>
      <c r="Q211" s="231"/>
      <c r="R211" s="231"/>
      <c r="S211" s="231"/>
      <c r="T211" s="231"/>
      <c r="U211" s="231"/>
      <c r="V211" s="231"/>
      <c r="W211" s="231"/>
      <c r="X211" s="231"/>
      <c r="Y211" s="231"/>
      <c r="Z211" s="231"/>
      <c r="AA211" s="231"/>
      <c r="AB211" s="231"/>
      <c r="AC211" s="231"/>
      <c r="AD211" s="231"/>
      <c r="AE211" s="231"/>
      <c r="AF211" s="231"/>
      <c r="AG211" s="231"/>
      <c r="AH211" s="231"/>
      <c r="AI211" s="231"/>
    </row>
    <row r="212" spans="1:35" s="203" customFormat="1">
      <c r="A212" s="120">
        <v>10</v>
      </c>
      <c r="B212" s="47" t="s">
        <v>173</v>
      </c>
      <c r="C212" s="47"/>
      <c r="D212" s="47"/>
      <c r="E212" s="49">
        <v>640</v>
      </c>
      <c r="F212" s="52">
        <v>645</v>
      </c>
      <c r="G212" s="118"/>
      <c r="H212" s="122">
        <v>523</v>
      </c>
      <c r="I212" s="29"/>
      <c r="J212" s="231"/>
      <c r="K212" s="231"/>
      <c r="L212" s="231"/>
      <c r="M212" s="231"/>
      <c r="N212" s="231"/>
      <c r="O212" s="231"/>
      <c r="P212" s="231"/>
      <c r="Q212" s="231"/>
      <c r="R212" s="231"/>
      <c r="S212" s="231"/>
      <c r="T212" s="231"/>
      <c r="U212" s="231"/>
      <c r="V212" s="231"/>
      <c r="W212" s="231"/>
      <c r="X212" s="231"/>
      <c r="Y212" s="231"/>
      <c r="Z212" s="231"/>
      <c r="AA212" s="231"/>
      <c r="AB212" s="231"/>
      <c r="AC212" s="231"/>
      <c r="AD212" s="231"/>
      <c r="AE212" s="231"/>
      <c r="AF212" s="231"/>
      <c r="AG212" s="231"/>
      <c r="AH212" s="231"/>
      <c r="AI212" s="231"/>
    </row>
    <row r="213" spans="1:35" s="203" customFormat="1">
      <c r="A213" s="120">
        <v>11</v>
      </c>
      <c r="B213" s="47" t="s">
        <v>174</v>
      </c>
      <c r="C213" s="47"/>
      <c r="D213" s="47"/>
      <c r="E213" s="49">
        <v>9893</v>
      </c>
      <c r="F213" s="52">
        <v>10110</v>
      </c>
      <c r="G213" s="118"/>
      <c r="H213" s="99">
        <v>9763</v>
      </c>
      <c r="I213" s="29"/>
      <c r="J213" s="231"/>
      <c r="K213" s="231"/>
      <c r="L213" s="231"/>
      <c r="M213" s="231"/>
      <c r="N213" s="231"/>
      <c r="O213" s="231"/>
      <c r="P213" s="231"/>
      <c r="Q213" s="231"/>
      <c r="R213" s="231"/>
      <c r="S213" s="231"/>
      <c r="T213" s="231"/>
      <c r="U213" s="231"/>
      <c r="V213" s="231"/>
      <c r="W213" s="231"/>
      <c r="X213" s="231"/>
      <c r="Y213" s="231"/>
      <c r="Z213" s="231"/>
      <c r="AA213" s="231"/>
      <c r="AB213" s="231"/>
      <c r="AC213" s="231"/>
      <c r="AD213" s="231"/>
      <c r="AE213" s="231"/>
      <c r="AF213" s="231"/>
      <c r="AG213" s="231"/>
      <c r="AH213" s="231"/>
      <c r="AI213" s="231"/>
    </row>
    <row r="214" spans="1:35" s="203" customFormat="1">
      <c r="A214" s="120">
        <v>12</v>
      </c>
      <c r="B214" s="116" t="s">
        <v>175</v>
      </c>
      <c r="C214" s="116"/>
      <c r="D214" s="116"/>
      <c r="E214" s="159">
        <v>100896</v>
      </c>
      <c r="F214" s="61">
        <f>F201+F207+SUM(F210:F213)</f>
        <v>105795</v>
      </c>
      <c r="G214" s="118"/>
      <c r="H214" s="61">
        <f>H201+H207+SUM(H210:H213)</f>
        <v>106422</v>
      </c>
      <c r="I214" s="29"/>
      <c r="J214" s="231"/>
      <c r="K214" s="231"/>
      <c r="L214" s="231"/>
      <c r="M214" s="231"/>
      <c r="N214" s="231"/>
      <c r="O214" s="231"/>
      <c r="P214" s="231"/>
      <c r="Q214" s="231"/>
      <c r="R214" s="231"/>
      <c r="S214" s="231"/>
      <c r="T214" s="231"/>
      <c r="U214" s="231"/>
      <c r="V214" s="231"/>
      <c r="W214" s="231"/>
      <c r="X214" s="231"/>
      <c r="Y214" s="231"/>
      <c r="Z214" s="231"/>
      <c r="AA214" s="231"/>
      <c r="AB214" s="231"/>
      <c r="AC214" s="231"/>
      <c r="AD214" s="231"/>
      <c r="AE214" s="231"/>
      <c r="AF214" s="231"/>
      <c r="AG214" s="231"/>
      <c r="AH214" s="231"/>
      <c r="AI214" s="231"/>
    </row>
    <row r="215" spans="1:35" s="203" customFormat="1">
      <c r="A215" s="111"/>
      <c r="B215" s="47"/>
      <c r="C215" s="47"/>
      <c r="D215" s="47"/>
      <c r="E215" s="117"/>
      <c r="F215" s="118"/>
      <c r="G215" s="118"/>
      <c r="H215" s="118"/>
      <c r="I215" s="29"/>
      <c r="J215" s="231"/>
      <c r="K215" s="231"/>
      <c r="L215" s="231"/>
      <c r="M215" s="231"/>
      <c r="N215" s="231"/>
      <c r="O215" s="231"/>
      <c r="P215" s="231"/>
      <c r="Q215" s="231"/>
      <c r="R215" s="231"/>
      <c r="S215" s="231"/>
      <c r="T215" s="231"/>
      <c r="U215" s="231"/>
      <c r="V215" s="231"/>
      <c r="W215" s="231"/>
      <c r="X215" s="231"/>
      <c r="Y215" s="231"/>
      <c r="Z215" s="231"/>
      <c r="AA215" s="231"/>
      <c r="AB215" s="231"/>
      <c r="AC215" s="231"/>
      <c r="AD215" s="231"/>
      <c r="AE215" s="231"/>
      <c r="AF215" s="231"/>
      <c r="AG215" s="231"/>
      <c r="AH215" s="231"/>
      <c r="AI215" s="231"/>
    </row>
    <row r="216" spans="1:35" s="203" customFormat="1">
      <c r="A216" s="119" t="s">
        <v>176</v>
      </c>
      <c r="B216" s="116"/>
      <c r="C216" s="116"/>
      <c r="D216" s="116"/>
      <c r="E216" s="117"/>
      <c r="F216" s="160"/>
      <c r="G216" s="118"/>
      <c r="H216" s="160"/>
      <c r="I216" s="29"/>
      <c r="J216" s="231"/>
      <c r="K216" s="231"/>
      <c r="L216" s="231"/>
      <c r="M216" s="231"/>
      <c r="N216" s="231"/>
      <c r="O216" s="231"/>
      <c r="P216" s="231"/>
      <c r="Q216" s="231"/>
      <c r="R216" s="231"/>
      <c r="S216" s="231"/>
      <c r="T216" s="231"/>
      <c r="U216" s="231"/>
      <c r="V216" s="231"/>
      <c r="W216" s="231"/>
      <c r="X216" s="231"/>
      <c r="Y216" s="231"/>
      <c r="Z216" s="231"/>
      <c r="AA216" s="231"/>
      <c r="AB216" s="231"/>
      <c r="AC216" s="231"/>
      <c r="AD216" s="231"/>
      <c r="AE216" s="231"/>
      <c r="AF216" s="231"/>
      <c r="AG216" s="231"/>
      <c r="AH216" s="231"/>
      <c r="AI216" s="231"/>
    </row>
    <row r="217" spans="1:35" s="203" customFormat="1">
      <c r="A217" s="120">
        <v>13</v>
      </c>
      <c r="B217" s="47" t="s">
        <v>177</v>
      </c>
      <c r="C217" s="47"/>
      <c r="D217" s="47"/>
      <c r="E217" s="41">
        <v>471</v>
      </c>
      <c r="F217" s="121">
        <v>477</v>
      </c>
      <c r="G217" s="118"/>
      <c r="H217" s="169">
        <v>466</v>
      </c>
      <c r="I217" s="29"/>
      <c r="J217" s="231"/>
      <c r="K217" s="231"/>
      <c r="L217" s="231"/>
      <c r="M217" s="231"/>
      <c r="N217" s="231"/>
      <c r="O217" s="231"/>
      <c r="P217" s="231"/>
      <c r="Q217" s="231"/>
      <c r="R217" s="231"/>
      <c r="S217" s="231"/>
      <c r="T217" s="231"/>
      <c r="U217" s="231"/>
      <c r="V217" s="231"/>
      <c r="W217" s="231"/>
      <c r="X217" s="231"/>
      <c r="Y217" s="231"/>
      <c r="Z217" s="231"/>
      <c r="AA217" s="231"/>
      <c r="AB217" s="231"/>
      <c r="AC217" s="231"/>
      <c r="AD217" s="231"/>
      <c r="AE217" s="231"/>
      <c r="AF217" s="231"/>
      <c r="AG217" s="231"/>
      <c r="AH217" s="231"/>
      <c r="AI217" s="231"/>
    </row>
    <row r="218" spans="1:35" s="203" customFormat="1">
      <c r="A218" s="124">
        <v>14</v>
      </c>
      <c r="B218" s="54" t="s">
        <v>178</v>
      </c>
      <c r="C218" s="54"/>
      <c r="D218" s="54"/>
      <c r="E218" s="56">
        <v>21178</v>
      </c>
      <c r="F218" s="126">
        <v>19540</v>
      </c>
      <c r="G218" s="118"/>
      <c r="H218" s="100">
        <v>20404</v>
      </c>
      <c r="I218" s="29"/>
      <c r="J218" s="231"/>
      <c r="K218" s="231"/>
      <c r="L218" s="231"/>
      <c r="M218" s="231"/>
      <c r="N218" s="231"/>
      <c r="O218" s="231"/>
      <c r="P218" s="231"/>
      <c r="Q218" s="231"/>
      <c r="R218" s="231"/>
      <c r="S218" s="231"/>
      <c r="T218" s="231"/>
      <c r="U218" s="231"/>
      <c r="V218" s="231"/>
      <c r="W218" s="231"/>
      <c r="X218" s="231"/>
      <c r="Y218" s="231"/>
      <c r="Z218" s="231"/>
      <c r="AA218" s="231"/>
      <c r="AB218" s="231"/>
      <c r="AC218" s="231"/>
      <c r="AD218" s="231"/>
      <c r="AE218" s="231"/>
      <c r="AF218" s="231"/>
      <c r="AG218" s="231"/>
      <c r="AH218" s="231"/>
      <c r="AI218" s="231"/>
    </row>
    <row r="219" spans="1:35" s="203" customFormat="1">
      <c r="A219" s="148"/>
      <c r="B219" s="29"/>
      <c r="C219" s="29"/>
      <c r="D219" s="170"/>
      <c r="E219" s="171"/>
      <c r="F219" s="29"/>
      <c r="G219" s="29"/>
      <c r="H219" s="207"/>
      <c r="I219" s="29"/>
      <c r="J219" s="231"/>
      <c r="K219" s="231"/>
      <c r="L219" s="231"/>
      <c r="M219" s="231"/>
      <c r="N219" s="231"/>
      <c r="O219" s="231"/>
      <c r="P219" s="231"/>
      <c r="Q219" s="231"/>
      <c r="R219" s="231"/>
      <c r="S219" s="231"/>
      <c r="T219" s="231"/>
      <c r="U219" s="231"/>
      <c r="V219" s="231"/>
      <c r="W219" s="231"/>
      <c r="X219" s="231"/>
      <c r="Y219" s="231"/>
      <c r="Z219" s="231"/>
      <c r="AA219" s="231"/>
      <c r="AB219" s="231"/>
      <c r="AC219" s="231"/>
      <c r="AD219" s="231"/>
      <c r="AE219" s="231"/>
      <c r="AF219" s="231"/>
      <c r="AG219" s="231"/>
      <c r="AH219" s="231"/>
      <c r="AI219" s="231"/>
    </row>
    <row r="220" spans="1:35" s="203" customFormat="1">
      <c r="A220" s="148"/>
      <c r="B220" s="29"/>
      <c r="C220" s="29"/>
      <c r="D220" s="172"/>
      <c r="E220" s="152"/>
      <c r="F220" s="29"/>
      <c r="G220" s="29"/>
      <c r="H220" s="131" t="s">
        <v>27</v>
      </c>
      <c r="I220" s="29"/>
      <c r="J220" s="231"/>
      <c r="K220" s="231"/>
      <c r="L220" s="231"/>
      <c r="M220" s="231"/>
      <c r="N220" s="231"/>
      <c r="O220" s="231"/>
      <c r="P220" s="231"/>
      <c r="Q220" s="231"/>
      <c r="R220" s="231"/>
      <c r="S220" s="231"/>
      <c r="T220" s="231"/>
      <c r="U220" s="231"/>
      <c r="V220" s="231"/>
      <c r="W220" s="231"/>
      <c r="X220" s="231"/>
      <c r="Y220" s="231"/>
      <c r="Z220" s="231"/>
      <c r="AA220" s="231"/>
      <c r="AB220" s="231"/>
      <c r="AC220" s="231"/>
      <c r="AD220" s="231"/>
      <c r="AE220" s="231"/>
      <c r="AF220" s="231"/>
      <c r="AG220" s="231"/>
      <c r="AH220" s="231"/>
      <c r="AI220" s="231"/>
    </row>
    <row r="221" spans="1:35" s="203" customFormat="1" ht="12.75" customHeight="1">
      <c r="A221" s="106" t="s">
        <v>10</v>
      </c>
      <c r="B221" s="164"/>
      <c r="C221" s="164"/>
      <c r="D221" s="164"/>
      <c r="E221" s="856" t="s">
        <v>377</v>
      </c>
      <c r="F221" s="856" t="s">
        <v>402</v>
      </c>
      <c r="G221" s="130"/>
      <c r="H221" s="856" t="s">
        <v>403</v>
      </c>
      <c r="I221" s="130"/>
      <c r="J221" s="231"/>
      <c r="K221" s="231"/>
      <c r="L221" s="231"/>
      <c r="M221" s="231"/>
      <c r="N221" s="231"/>
      <c r="O221" s="231"/>
      <c r="P221" s="231"/>
      <c r="Q221" s="231"/>
      <c r="R221" s="231"/>
      <c r="S221" s="231"/>
      <c r="T221" s="231"/>
      <c r="U221" s="231"/>
      <c r="V221" s="231"/>
      <c r="W221" s="231"/>
      <c r="X221" s="231"/>
      <c r="Y221" s="231"/>
      <c r="Z221" s="231"/>
      <c r="AA221" s="231"/>
      <c r="AB221" s="231"/>
      <c r="AC221" s="231"/>
      <c r="AD221" s="231"/>
      <c r="AE221" s="231"/>
      <c r="AF221" s="231"/>
      <c r="AG221" s="231"/>
      <c r="AH221" s="231"/>
      <c r="AI221" s="231"/>
    </row>
    <row r="222" spans="1:35" s="203" customFormat="1">
      <c r="A222" s="109"/>
      <c r="B222" s="132"/>
      <c r="C222" s="132"/>
      <c r="D222" s="132"/>
      <c r="E222" s="859"/>
      <c r="F222" s="859"/>
      <c r="G222" s="130"/>
      <c r="H222" s="859"/>
      <c r="I222" s="130"/>
      <c r="J222" s="231"/>
      <c r="K222" s="231"/>
      <c r="L222" s="231"/>
      <c r="M222" s="231"/>
      <c r="N222" s="231"/>
      <c r="O222" s="231"/>
      <c r="P222" s="231"/>
      <c r="Q222" s="231"/>
      <c r="R222" s="231"/>
      <c r="S222" s="231"/>
      <c r="T222" s="231"/>
      <c r="U222" s="231"/>
      <c r="V222" s="231"/>
      <c r="W222" s="231"/>
      <c r="X222" s="231"/>
      <c r="Y222" s="231"/>
      <c r="Z222" s="231"/>
      <c r="AA222" s="231"/>
      <c r="AB222" s="231"/>
      <c r="AC222" s="231"/>
      <c r="AD222" s="231"/>
      <c r="AE222" s="231"/>
      <c r="AF222" s="231"/>
      <c r="AG222" s="231"/>
      <c r="AH222" s="231"/>
      <c r="AI222" s="231"/>
    </row>
    <row r="223" spans="1:35" s="203" customFormat="1">
      <c r="A223" s="154" t="s">
        <v>179</v>
      </c>
      <c r="B223" s="116"/>
      <c r="C223" s="116"/>
      <c r="D223" s="116"/>
      <c r="E223" s="859"/>
      <c r="F223" s="859"/>
      <c r="G223" s="130"/>
      <c r="H223" s="859"/>
      <c r="I223" s="130"/>
      <c r="J223" s="231"/>
      <c r="K223" s="231"/>
      <c r="L223" s="231"/>
      <c r="M223" s="231"/>
      <c r="N223" s="231"/>
      <c r="O223" s="231"/>
      <c r="P223" s="231"/>
      <c r="Q223" s="231"/>
      <c r="R223" s="231"/>
      <c r="S223" s="231"/>
      <c r="T223" s="231"/>
      <c r="U223" s="231"/>
      <c r="V223" s="231"/>
      <c r="W223" s="231"/>
      <c r="X223" s="231"/>
      <c r="Y223" s="231"/>
      <c r="Z223" s="231"/>
      <c r="AA223" s="231"/>
      <c r="AB223" s="231"/>
      <c r="AC223" s="231"/>
      <c r="AD223" s="231"/>
      <c r="AE223" s="231"/>
      <c r="AF223" s="231"/>
      <c r="AG223" s="231"/>
      <c r="AH223" s="231"/>
      <c r="AI223" s="231"/>
    </row>
    <row r="224" spans="1:35" s="203" customFormat="1">
      <c r="A224" s="109" t="s">
        <v>83</v>
      </c>
      <c r="B224" s="47"/>
      <c r="C224" s="47"/>
      <c r="D224" s="47"/>
      <c r="E224" s="859"/>
      <c r="F224" s="859"/>
      <c r="G224" s="130"/>
      <c r="H224" s="859"/>
      <c r="I224" s="130"/>
      <c r="J224" s="231"/>
      <c r="K224" s="231"/>
      <c r="L224" s="231"/>
      <c r="M224" s="231"/>
      <c r="N224" s="231"/>
      <c r="O224" s="231"/>
      <c r="P224" s="231"/>
      <c r="Q224" s="231"/>
      <c r="R224" s="231"/>
      <c r="S224" s="231"/>
      <c r="T224" s="231"/>
      <c r="U224" s="231"/>
      <c r="V224" s="231"/>
      <c r="W224" s="231"/>
      <c r="X224" s="231"/>
      <c r="Y224" s="231"/>
      <c r="Z224" s="231"/>
      <c r="AA224" s="231"/>
      <c r="AB224" s="231"/>
      <c r="AC224" s="231"/>
      <c r="AD224" s="231"/>
      <c r="AE224" s="231"/>
      <c r="AF224" s="231"/>
      <c r="AG224" s="231"/>
      <c r="AH224" s="231"/>
      <c r="AI224" s="231"/>
    </row>
    <row r="225" spans="1:35" s="203" customFormat="1">
      <c r="A225" s="110" t="s">
        <v>84</v>
      </c>
      <c r="B225" s="132"/>
      <c r="C225" s="132"/>
      <c r="D225" s="132"/>
      <c r="E225" s="860"/>
      <c r="F225" s="860"/>
      <c r="G225" s="130"/>
      <c r="H225" s="860"/>
      <c r="I225" s="130"/>
      <c r="J225" s="231"/>
      <c r="K225" s="231"/>
      <c r="L225" s="231"/>
      <c r="M225" s="231"/>
      <c r="N225" s="231"/>
      <c r="O225" s="231"/>
      <c r="P225" s="231"/>
      <c r="Q225" s="231"/>
      <c r="R225" s="231"/>
      <c r="S225" s="231"/>
      <c r="T225" s="231"/>
      <c r="U225" s="231"/>
      <c r="V225" s="231"/>
      <c r="W225" s="231"/>
      <c r="X225" s="231"/>
      <c r="Y225" s="231"/>
      <c r="Z225" s="231"/>
      <c r="AA225" s="231"/>
      <c r="AB225" s="231"/>
      <c r="AC225" s="231"/>
      <c r="AD225" s="231"/>
      <c r="AE225" s="231"/>
      <c r="AF225" s="231"/>
      <c r="AG225" s="231"/>
      <c r="AH225" s="231"/>
      <c r="AI225" s="231"/>
    </row>
    <row r="226" spans="1:35" s="203" customFormat="1">
      <c r="A226" s="120">
        <v>1</v>
      </c>
      <c r="B226" s="47" t="s">
        <v>180</v>
      </c>
      <c r="C226" s="47"/>
      <c r="D226" s="47"/>
      <c r="E226" s="41">
        <v>-2022</v>
      </c>
      <c r="F226" s="52">
        <v>-2054</v>
      </c>
      <c r="G226" s="118"/>
      <c r="H226" s="133">
        <v>-1581</v>
      </c>
      <c r="I226" s="29"/>
      <c r="J226" s="231"/>
      <c r="K226" s="231"/>
      <c r="L226" s="231"/>
      <c r="M226" s="231"/>
      <c r="N226" s="231"/>
      <c r="O226" s="231"/>
      <c r="P226" s="231"/>
      <c r="Q226" s="231"/>
      <c r="R226" s="231"/>
      <c r="S226" s="231"/>
      <c r="T226" s="231"/>
      <c r="U226" s="231"/>
      <c r="V226" s="231"/>
      <c r="W226" s="231"/>
      <c r="X226" s="231"/>
      <c r="Y226" s="231"/>
      <c r="Z226" s="231"/>
      <c r="AA226" s="231"/>
      <c r="AB226" s="231"/>
      <c r="AC226" s="231"/>
      <c r="AD226" s="231"/>
      <c r="AE226" s="231"/>
      <c r="AF226" s="231"/>
      <c r="AG226" s="231"/>
      <c r="AH226" s="231"/>
      <c r="AI226" s="231"/>
    </row>
    <row r="227" spans="1:35" s="203" customFormat="1">
      <c r="A227" s="120">
        <v>2</v>
      </c>
      <c r="B227" s="47" t="s">
        <v>181</v>
      </c>
      <c r="C227" s="47"/>
      <c r="D227" s="47"/>
      <c r="E227" s="49">
        <v>-483</v>
      </c>
      <c r="F227" s="52">
        <v>-1759</v>
      </c>
      <c r="G227" s="118"/>
      <c r="H227" s="122">
        <v>-307</v>
      </c>
      <c r="I227" s="29"/>
      <c r="J227" s="231"/>
      <c r="K227" s="231"/>
      <c r="L227" s="231"/>
      <c r="M227" s="231"/>
      <c r="N227" s="231"/>
      <c r="O227" s="231"/>
      <c r="P227" s="231"/>
      <c r="Q227" s="231"/>
      <c r="R227" s="231"/>
      <c r="S227" s="231"/>
      <c r="T227" s="231"/>
      <c r="U227" s="231"/>
      <c r="V227" s="231"/>
      <c r="W227" s="231"/>
      <c r="X227" s="231"/>
      <c r="Y227" s="231"/>
      <c r="Z227" s="231"/>
      <c r="AA227" s="231"/>
      <c r="AB227" s="231"/>
      <c r="AC227" s="231"/>
      <c r="AD227" s="231"/>
      <c r="AE227" s="231"/>
      <c r="AF227" s="231"/>
      <c r="AG227" s="231"/>
      <c r="AH227" s="231"/>
      <c r="AI227" s="231"/>
    </row>
    <row r="228" spans="1:35" s="203" customFormat="1">
      <c r="A228" s="120">
        <v>3</v>
      </c>
      <c r="B228" s="47" t="s">
        <v>182</v>
      </c>
      <c r="C228" s="47"/>
      <c r="D228" s="47"/>
      <c r="E228" s="114">
        <v>3719</v>
      </c>
      <c r="F228" s="52">
        <v>3778</v>
      </c>
      <c r="G228" s="118"/>
      <c r="H228" s="122">
        <v>4520</v>
      </c>
      <c r="I228" s="29"/>
      <c r="J228" s="231"/>
      <c r="K228" s="231"/>
      <c r="L228" s="231"/>
      <c r="M228" s="231"/>
      <c r="N228" s="231"/>
      <c r="O228" s="231"/>
      <c r="P228" s="231"/>
      <c r="Q228" s="231"/>
      <c r="R228" s="231"/>
      <c r="S228" s="231"/>
      <c r="T228" s="231"/>
      <c r="U228" s="231"/>
      <c r="V228" s="231"/>
      <c r="W228" s="231"/>
      <c r="X228" s="231"/>
      <c r="Y228" s="231"/>
      <c r="Z228" s="231"/>
      <c r="AA228" s="231"/>
      <c r="AB228" s="231"/>
      <c r="AC228" s="231"/>
      <c r="AD228" s="231"/>
      <c r="AE228" s="231"/>
      <c r="AF228" s="231"/>
      <c r="AG228" s="231"/>
      <c r="AH228" s="231"/>
      <c r="AI228" s="231"/>
    </row>
    <row r="229" spans="1:35" s="203" customFormat="1">
      <c r="A229" s="120">
        <v>4</v>
      </c>
      <c r="B229" s="47" t="s">
        <v>183</v>
      </c>
      <c r="C229" s="47"/>
      <c r="D229" s="47"/>
      <c r="E229" s="114">
        <v>2089</v>
      </c>
      <c r="F229" s="52">
        <v>2106</v>
      </c>
      <c r="G229" s="118"/>
      <c r="H229" s="122">
        <v>2139</v>
      </c>
      <c r="I229" s="29"/>
      <c r="J229" s="231"/>
      <c r="K229" s="231"/>
      <c r="L229" s="231"/>
      <c r="M229" s="231"/>
      <c r="N229" s="231"/>
      <c r="O229" s="231"/>
      <c r="P229" s="231"/>
      <c r="Q229" s="231"/>
      <c r="R229" s="231"/>
      <c r="S229" s="231"/>
      <c r="T229" s="231"/>
      <c r="U229" s="231"/>
      <c r="V229" s="231"/>
      <c r="W229" s="231"/>
      <c r="X229" s="231"/>
      <c r="Y229" s="231"/>
      <c r="Z229" s="231"/>
      <c r="AA229" s="231"/>
      <c r="AB229" s="231"/>
      <c r="AC229" s="231"/>
      <c r="AD229" s="231"/>
      <c r="AE229" s="231"/>
      <c r="AF229" s="231"/>
      <c r="AG229" s="231"/>
      <c r="AH229" s="231"/>
      <c r="AI229" s="231"/>
    </row>
    <row r="230" spans="1:35" s="203" customFormat="1">
      <c r="A230" s="120">
        <v>5</v>
      </c>
      <c r="B230" s="47" t="s">
        <v>184</v>
      </c>
      <c r="C230" s="47"/>
      <c r="D230" s="47"/>
      <c r="E230" s="114">
        <v>62219</v>
      </c>
      <c r="F230" s="52">
        <v>51898</v>
      </c>
      <c r="G230" s="118"/>
      <c r="H230" s="99">
        <v>55429</v>
      </c>
      <c r="I230" s="29"/>
      <c r="J230" s="231"/>
      <c r="K230" s="231"/>
      <c r="L230" s="231"/>
      <c r="M230" s="231"/>
      <c r="N230" s="231"/>
      <c r="O230" s="231"/>
      <c r="P230" s="231"/>
      <c r="Q230" s="231"/>
      <c r="R230" s="231"/>
      <c r="S230" s="231"/>
      <c r="T230" s="231"/>
      <c r="U230" s="231"/>
      <c r="V230" s="231"/>
      <c r="W230" s="231"/>
      <c r="X230" s="231"/>
      <c r="Y230" s="231"/>
      <c r="Z230" s="231"/>
      <c r="AA230" s="231"/>
      <c r="AB230" s="231"/>
      <c r="AC230" s="231"/>
      <c r="AD230" s="231"/>
      <c r="AE230" s="231"/>
      <c r="AF230" s="231"/>
      <c r="AG230" s="231"/>
      <c r="AH230" s="231"/>
      <c r="AI230" s="231"/>
    </row>
    <row r="231" spans="1:35" s="203" customFormat="1">
      <c r="A231" s="124">
        <v>6</v>
      </c>
      <c r="B231" s="173" t="s">
        <v>185</v>
      </c>
      <c r="C231" s="173"/>
      <c r="D231" s="173"/>
      <c r="E231" s="159">
        <v>65522</v>
      </c>
      <c r="F231" s="61">
        <f>SUM(F226:F230)</f>
        <v>53969</v>
      </c>
      <c r="G231" s="118"/>
      <c r="H231" s="61">
        <f>SUM(H226:H230)</f>
        <v>60200</v>
      </c>
      <c r="I231" s="29"/>
      <c r="J231" s="231"/>
      <c r="K231" s="231"/>
      <c r="L231" s="231"/>
      <c r="M231" s="231"/>
      <c r="N231" s="231"/>
      <c r="O231" s="231"/>
      <c r="P231" s="231"/>
      <c r="Q231" s="231"/>
      <c r="R231" s="231"/>
      <c r="S231" s="231"/>
      <c r="T231" s="231"/>
      <c r="U231" s="231"/>
      <c r="V231" s="231"/>
      <c r="W231" s="231"/>
      <c r="X231" s="231"/>
      <c r="Y231" s="231"/>
      <c r="Z231" s="231"/>
      <c r="AA231" s="231"/>
      <c r="AB231" s="231"/>
      <c r="AC231" s="231"/>
      <c r="AD231" s="231"/>
      <c r="AE231" s="231"/>
      <c r="AF231" s="231"/>
      <c r="AG231" s="231"/>
      <c r="AH231" s="231"/>
      <c r="AI231" s="231"/>
    </row>
    <row r="232" spans="1:35" s="203" customFormat="1">
      <c r="A232" s="148"/>
      <c r="B232" s="29"/>
      <c r="C232" s="29"/>
      <c r="D232" s="170"/>
      <c r="E232" s="150"/>
      <c r="F232" s="29"/>
      <c r="G232" s="29"/>
      <c r="H232" s="207"/>
      <c r="I232" s="29"/>
      <c r="J232" s="231"/>
      <c r="K232" s="231"/>
      <c r="L232" s="231"/>
      <c r="M232" s="231"/>
      <c r="N232" s="231"/>
      <c r="O232" s="231"/>
      <c r="P232" s="231"/>
      <c r="Q232" s="231"/>
      <c r="R232" s="231"/>
      <c r="S232" s="231"/>
      <c r="T232" s="231"/>
      <c r="U232" s="231"/>
      <c r="V232" s="231"/>
      <c r="W232" s="231"/>
      <c r="X232" s="231"/>
      <c r="Y232" s="231"/>
      <c r="Z232" s="231"/>
      <c r="AA232" s="231"/>
      <c r="AB232" s="231"/>
      <c r="AC232" s="231"/>
      <c r="AD232" s="231"/>
      <c r="AE232" s="231"/>
      <c r="AF232" s="231"/>
      <c r="AG232" s="231"/>
      <c r="AH232" s="231"/>
      <c r="AI232" s="231"/>
    </row>
    <row r="233" spans="1:35" s="203" customFormat="1">
      <c r="A233" s="148"/>
      <c r="B233" s="29"/>
      <c r="C233" s="29"/>
      <c r="D233" s="172"/>
      <c r="E233" s="152"/>
      <c r="F233" s="29"/>
      <c r="G233" s="29"/>
      <c r="H233" s="131" t="s">
        <v>27</v>
      </c>
      <c r="I233" s="29"/>
      <c r="J233" s="231"/>
      <c r="K233" s="231"/>
      <c r="L233" s="231"/>
      <c r="M233" s="231"/>
      <c r="N233" s="231"/>
      <c r="O233" s="231"/>
      <c r="P233" s="231"/>
      <c r="Q233" s="231"/>
      <c r="R233" s="231"/>
      <c r="S233" s="231"/>
      <c r="T233" s="231"/>
      <c r="U233" s="231"/>
      <c r="V233" s="231"/>
      <c r="W233" s="231"/>
      <c r="X233" s="231"/>
      <c r="Y233" s="231"/>
      <c r="Z233" s="231"/>
      <c r="AA233" s="231"/>
      <c r="AB233" s="231"/>
      <c r="AC233" s="231"/>
      <c r="AD233" s="231"/>
      <c r="AE233" s="231"/>
      <c r="AF233" s="231"/>
      <c r="AG233" s="231"/>
      <c r="AH233" s="231"/>
      <c r="AI233" s="231"/>
    </row>
    <row r="234" spans="1:35" s="203" customFormat="1" ht="12.75" customHeight="1">
      <c r="A234" s="106" t="s">
        <v>12</v>
      </c>
      <c r="B234" s="164"/>
      <c r="C234" s="164"/>
      <c r="D234" s="164"/>
      <c r="E234" s="856" t="s">
        <v>377</v>
      </c>
      <c r="F234" s="856" t="s">
        <v>402</v>
      </c>
      <c r="G234" s="130"/>
      <c r="H234" s="856" t="s">
        <v>403</v>
      </c>
      <c r="I234" s="130"/>
      <c r="J234" s="231"/>
      <c r="K234" s="231"/>
      <c r="L234" s="231"/>
      <c r="M234" s="231"/>
      <c r="N234" s="231"/>
      <c r="O234" s="231"/>
      <c r="P234" s="231"/>
      <c r="Q234" s="231"/>
      <c r="R234" s="231"/>
      <c r="S234" s="231"/>
      <c r="T234" s="231"/>
      <c r="U234" s="231"/>
      <c r="V234" s="231"/>
      <c r="W234" s="231"/>
      <c r="X234" s="231"/>
      <c r="Y234" s="231"/>
      <c r="Z234" s="231"/>
      <c r="AA234" s="231"/>
      <c r="AB234" s="231"/>
      <c r="AC234" s="231"/>
      <c r="AD234" s="231"/>
      <c r="AE234" s="231"/>
      <c r="AF234" s="231"/>
      <c r="AG234" s="231"/>
      <c r="AH234" s="231"/>
      <c r="AI234" s="231"/>
    </row>
    <row r="235" spans="1:35" s="203" customFormat="1">
      <c r="A235" s="165"/>
      <c r="B235" s="47"/>
      <c r="C235" s="47"/>
      <c r="D235" s="47"/>
      <c r="E235" s="859"/>
      <c r="F235" s="859"/>
      <c r="G235" s="130"/>
      <c r="H235" s="859"/>
      <c r="I235" s="130"/>
      <c r="J235" s="231"/>
      <c r="K235" s="231"/>
      <c r="L235" s="231"/>
      <c r="M235" s="231"/>
      <c r="N235" s="231"/>
      <c r="O235" s="231"/>
      <c r="P235" s="231"/>
      <c r="Q235" s="231"/>
      <c r="R235" s="231"/>
      <c r="S235" s="231"/>
      <c r="T235" s="231"/>
      <c r="U235" s="231"/>
      <c r="V235" s="231"/>
      <c r="W235" s="231"/>
      <c r="X235" s="231"/>
      <c r="Y235" s="231"/>
      <c r="Z235" s="231"/>
      <c r="AA235" s="231"/>
      <c r="AB235" s="231"/>
      <c r="AC235" s="231"/>
      <c r="AD235" s="231"/>
      <c r="AE235" s="231"/>
      <c r="AF235" s="231"/>
      <c r="AG235" s="231"/>
      <c r="AH235" s="231"/>
      <c r="AI235" s="231"/>
    </row>
    <row r="236" spans="1:35" s="203" customFormat="1">
      <c r="A236" s="154" t="s">
        <v>186</v>
      </c>
      <c r="B236" s="174"/>
      <c r="C236" s="174"/>
      <c r="D236" s="174"/>
      <c r="E236" s="859"/>
      <c r="F236" s="859"/>
      <c r="G236" s="130"/>
      <c r="H236" s="859"/>
      <c r="I236" s="130"/>
      <c r="J236" s="231"/>
      <c r="K236" s="231"/>
      <c r="L236" s="231"/>
      <c r="M236" s="231"/>
      <c r="N236" s="231"/>
      <c r="O236" s="231"/>
      <c r="P236" s="231"/>
      <c r="Q236" s="231"/>
      <c r="R236" s="231"/>
      <c r="S236" s="231"/>
      <c r="T236" s="231"/>
      <c r="U236" s="231"/>
      <c r="V236" s="231"/>
      <c r="W236" s="231"/>
      <c r="X236" s="231"/>
      <c r="Y236" s="231"/>
      <c r="Z236" s="231"/>
      <c r="AA236" s="231"/>
      <c r="AB236" s="231"/>
      <c r="AC236" s="231"/>
      <c r="AD236" s="231"/>
      <c r="AE236" s="231"/>
      <c r="AF236" s="231"/>
      <c r="AG236" s="231"/>
      <c r="AH236" s="231"/>
      <c r="AI236" s="231"/>
    </row>
    <row r="237" spans="1:35" s="203" customFormat="1">
      <c r="A237" s="109" t="s">
        <v>83</v>
      </c>
      <c r="B237" s="47"/>
      <c r="C237" s="47"/>
      <c r="D237" s="47"/>
      <c r="E237" s="859"/>
      <c r="F237" s="859"/>
      <c r="G237" s="130"/>
      <c r="H237" s="859"/>
      <c r="I237" s="130"/>
      <c r="J237" s="231"/>
      <c r="K237" s="231"/>
      <c r="L237" s="231"/>
      <c r="M237" s="231"/>
      <c r="N237" s="231"/>
      <c r="O237" s="231"/>
      <c r="P237" s="231"/>
      <c r="Q237" s="231"/>
      <c r="R237" s="231"/>
      <c r="S237" s="231"/>
      <c r="T237" s="231"/>
      <c r="U237" s="231"/>
      <c r="V237" s="231"/>
      <c r="W237" s="231"/>
      <c r="X237" s="231"/>
      <c r="Y237" s="231"/>
      <c r="Z237" s="231"/>
      <c r="AA237" s="231"/>
      <c r="AB237" s="231"/>
      <c r="AC237" s="231"/>
      <c r="AD237" s="231"/>
      <c r="AE237" s="231"/>
      <c r="AF237" s="231"/>
      <c r="AG237" s="231"/>
      <c r="AH237" s="231"/>
      <c r="AI237" s="231"/>
    </row>
    <row r="238" spans="1:35" s="203" customFormat="1">
      <c r="A238" s="110" t="s">
        <v>84</v>
      </c>
      <c r="B238" s="174"/>
      <c r="C238" s="174"/>
      <c r="D238" s="174"/>
      <c r="E238" s="860"/>
      <c r="F238" s="860"/>
      <c r="G238" s="130"/>
      <c r="H238" s="860"/>
      <c r="I238" s="130"/>
      <c r="J238" s="231"/>
      <c r="K238" s="231"/>
      <c r="L238" s="231"/>
      <c r="M238" s="231"/>
      <c r="N238" s="231"/>
      <c r="O238" s="231"/>
      <c r="P238" s="231"/>
      <c r="Q238" s="231"/>
      <c r="R238" s="231"/>
      <c r="S238" s="231"/>
      <c r="T238" s="231"/>
      <c r="U238" s="231"/>
      <c r="V238" s="231"/>
      <c r="W238" s="231"/>
      <c r="X238" s="231"/>
      <c r="Y238" s="231"/>
      <c r="Z238" s="231"/>
      <c r="AA238" s="231"/>
      <c r="AB238" s="231"/>
      <c r="AC238" s="231"/>
      <c r="AD238" s="231"/>
      <c r="AE238" s="231"/>
      <c r="AF238" s="231"/>
      <c r="AG238" s="231"/>
      <c r="AH238" s="231"/>
      <c r="AI238" s="231"/>
    </row>
    <row r="239" spans="1:35" s="203" customFormat="1">
      <c r="A239" s="153" t="s">
        <v>187</v>
      </c>
      <c r="B239" s="116"/>
      <c r="C239" s="116"/>
      <c r="D239" s="116"/>
      <c r="E239" s="167"/>
      <c r="F239" s="146"/>
      <c r="G239" s="118"/>
      <c r="H239" s="146"/>
      <c r="I239" s="29"/>
      <c r="J239" s="231"/>
      <c r="K239" s="231"/>
      <c r="L239" s="231"/>
      <c r="M239" s="231"/>
      <c r="N239" s="231"/>
      <c r="O239" s="231"/>
      <c r="P239" s="231"/>
      <c r="Q239" s="231"/>
      <c r="R239" s="231"/>
      <c r="S239" s="231"/>
      <c r="T239" s="231"/>
      <c r="U239" s="231"/>
      <c r="V239" s="231"/>
      <c r="W239" s="231"/>
      <c r="X239" s="231"/>
      <c r="Y239" s="231"/>
      <c r="Z239" s="231"/>
      <c r="AA239" s="231"/>
      <c r="AB239" s="231"/>
      <c r="AC239" s="231"/>
      <c r="AD239" s="231"/>
      <c r="AE239" s="231"/>
      <c r="AF239" s="231"/>
      <c r="AG239" s="231"/>
      <c r="AH239" s="231"/>
      <c r="AI239" s="231"/>
    </row>
    <row r="240" spans="1:35" s="203" customFormat="1">
      <c r="A240" s="120">
        <v>1</v>
      </c>
      <c r="B240" s="47" t="s">
        <v>188</v>
      </c>
      <c r="C240" s="47"/>
      <c r="D240" s="47"/>
      <c r="E240" s="74">
        <v>15210</v>
      </c>
      <c r="F240" s="52">
        <v>15451</v>
      </c>
      <c r="G240" s="118"/>
      <c r="H240" s="122">
        <f>15701+4167</f>
        <v>19868</v>
      </c>
      <c r="I240" s="29"/>
      <c r="J240" s="231"/>
      <c r="K240" s="231"/>
      <c r="L240" s="231"/>
      <c r="M240" s="231"/>
      <c r="N240" s="231"/>
      <c r="O240" s="231"/>
      <c r="P240" s="231"/>
      <c r="Q240" s="231"/>
      <c r="R240" s="231"/>
      <c r="S240" s="231"/>
      <c r="T240" s="231"/>
      <c r="U240" s="231"/>
      <c r="V240" s="231"/>
      <c r="W240" s="231"/>
      <c r="X240" s="231"/>
      <c r="Y240" s="231"/>
      <c r="Z240" s="231"/>
      <c r="AA240" s="231"/>
      <c r="AB240" s="231"/>
      <c r="AC240" s="231"/>
      <c r="AD240" s="231"/>
      <c r="AE240" s="231"/>
      <c r="AF240" s="231"/>
      <c r="AG240" s="231"/>
      <c r="AH240" s="231"/>
      <c r="AI240" s="231"/>
    </row>
    <row r="241" spans="1:35" s="203" customFormat="1">
      <c r="A241" s="805">
        <v>2</v>
      </c>
      <c r="B241" s="47" t="s">
        <v>189</v>
      </c>
      <c r="C241" s="47"/>
      <c r="D241" s="47"/>
      <c r="E241" s="114">
        <v>11176</v>
      </c>
      <c r="F241" s="52">
        <v>13579</v>
      </c>
      <c r="G241" s="118"/>
      <c r="H241" s="100">
        <f>11133+10486</f>
        <v>21619</v>
      </c>
      <c r="I241" s="29"/>
      <c r="J241" s="231"/>
      <c r="K241" s="231"/>
      <c r="L241" s="231"/>
      <c r="M241" s="231"/>
      <c r="N241" s="231"/>
      <c r="O241" s="231"/>
      <c r="P241" s="231"/>
      <c r="Q241" s="231"/>
      <c r="R241" s="231"/>
      <c r="S241" s="231"/>
      <c r="T241" s="231"/>
      <c r="U241" s="231"/>
      <c r="V241" s="231"/>
      <c r="W241" s="231"/>
      <c r="X241" s="231"/>
      <c r="Y241" s="231"/>
      <c r="Z241" s="231"/>
      <c r="AA241" s="231"/>
      <c r="AB241" s="231"/>
      <c r="AC241" s="231"/>
      <c r="AD241" s="231"/>
      <c r="AE241" s="231"/>
      <c r="AF241" s="231"/>
      <c r="AG241" s="231"/>
      <c r="AH241" s="231"/>
      <c r="AI241" s="231"/>
    </row>
    <row r="242" spans="1:35" s="203" customFormat="1">
      <c r="A242" s="805">
        <v>3</v>
      </c>
      <c r="B242" s="168" t="s">
        <v>190</v>
      </c>
      <c r="C242" s="168"/>
      <c r="D242" s="168"/>
      <c r="E242" s="80">
        <v>26386</v>
      </c>
      <c r="F242" s="142">
        <f>SUM(F240:F241)</f>
        <v>29030</v>
      </c>
      <c r="G242" s="118"/>
      <c r="H242" s="142">
        <f>SUM(H240:H241)</f>
        <v>41487</v>
      </c>
      <c r="I242" s="29"/>
      <c r="J242" s="231"/>
      <c r="K242" s="231"/>
      <c r="L242" s="231"/>
      <c r="M242" s="231"/>
      <c r="N242" s="231"/>
      <c r="O242" s="231"/>
      <c r="P242" s="231"/>
      <c r="Q242" s="231"/>
      <c r="R242" s="231"/>
      <c r="S242" s="231"/>
      <c r="T242" s="231"/>
      <c r="U242" s="231"/>
      <c r="V242" s="231"/>
      <c r="W242" s="231"/>
      <c r="X242" s="231"/>
      <c r="Y242" s="231"/>
      <c r="Z242" s="231"/>
      <c r="AA242" s="231"/>
      <c r="AB242" s="231"/>
      <c r="AC242" s="231"/>
      <c r="AD242" s="231"/>
      <c r="AE242" s="231"/>
      <c r="AF242" s="231"/>
      <c r="AG242" s="231"/>
      <c r="AH242" s="231"/>
      <c r="AI242" s="231"/>
    </row>
    <row r="243" spans="1:35" s="203" customFormat="1">
      <c r="A243" s="805"/>
      <c r="B243" s="116"/>
      <c r="C243" s="116"/>
      <c r="D243" s="116"/>
      <c r="E243" s="117"/>
      <c r="F243" s="118"/>
      <c r="G243" s="118"/>
      <c r="H243" s="118"/>
      <c r="I243" s="29"/>
      <c r="J243" s="231"/>
      <c r="K243" s="231"/>
      <c r="L243" s="231"/>
      <c r="M243" s="231"/>
      <c r="N243" s="231"/>
      <c r="O243" s="231"/>
      <c r="P243" s="231"/>
      <c r="Q243" s="231"/>
      <c r="R243" s="231"/>
      <c r="S243" s="231"/>
      <c r="T243" s="231"/>
      <c r="U243" s="231"/>
      <c r="V243" s="231"/>
      <c r="W243" s="231"/>
      <c r="X243" s="231"/>
      <c r="Y243" s="231"/>
      <c r="Z243" s="231"/>
      <c r="AA243" s="231"/>
      <c r="AB243" s="231"/>
      <c r="AC243" s="231"/>
      <c r="AD243" s="231"/>
      <c r="AE243" s="231"/>
      <c r="AF243" s="231"/>
      <c r="AG243" s="231"/>
      <c r="AH243" s="231"/>
      <c r="AI243" s="231"/>
    </row>
    <row r="244" spans="1:35" s="203" customFormat="1">
      <c r="A244" s="108" t="s">
        <v>191</v>
      </c>
      <c r="B244" s="47"/>
      <c r="C244" s="47"/>
      <c r="D244" s="47"/>
      <c r="E244" s="140"/>
      <c r="F244" s="146"/>
      <c r="G244" s="118"/>
      <c r="H244" s="146"/>
      <c r="I244" s="29"/>
      <c r="J244" s="231"/>
      <c r="K244" s="231"/>
      <c r="L244" s="231"/>
      <c r="M244" s="231"/>
      <c r="N244" s="231"/>
      <c r="O244" s="231"/>
      <c r="P244" s="231"/>
      <c r="Q244" s="231"/>
      <c r="R244" s="231"/>
      <c r="S244" s="231"/>
      <c r="T244" s="231"/>
      <c r="U244" s="231"/>
      <c r="V244" s="231"/>
      <c r="W244" s="231"/>
      <c r="X244" s="231"/>
      <c r="Y244" s="231"/>
      <c r="Z244" s="231"/>
      <c r="AA244" s="231"/>
      <c r="AB244" s="231"/>
      <c r="AC244" s="231"/>
      <c r="AD244" s="231"/>
      <c r="AE244" s="231"/>
      <c r="AF244" s="231"/>
      <c r="AG244" s="231"/>
      <c r="AH244" s="231"/>
      <c r="AI244" s="231"/>
    </row>
    <row r="245" spans="1:35" s="203" customFormat="1">
      <c r="A245" s="805">
        <v>4</v>
      </c>
      <c r="B245" s="47" t="s">
        <v>192</v>
      </c>
      <c r="C245" s="47"/>
      <c r="D245" s="47"/>
      <c r="E245" s="74">
        <v>493</v>
      </c>
      <c r="F245" s="52">
        <v>571</v>
      </c>
      <c r="G245" s="118"/>
      <c r="H245" s="122">
        <v>571</v>
      </c>
      <c r="I245" s="29"/>
      <c r="J245" s="231"/>
      <c r="K245" s="231"/>
      <c r="L245" s="231"/>
      <c r="M245" s="231"/>
      <c r="N245" s="231"/>
      <c r="O245" s="231"/>
      <c r="P245" s="231"/>
      <c r="Q245" s="231"/>
      <c r="R245" s="231"/>
      <c r="S245" s="231"/>
      <c r="T245" s="231"/>
      <c r="U245" s="231"/>
      <c r="V245" s="231"/>
      <c r="W245" s="231"/>
      <c r="X245" s="231"/>
      <c r="Y245" s="231"/>
      <c r="Z245" s="231"/>
      <c r="AA245" s="231"/>
      <c r="AB245" s="231"/>
      <c r="AC245" s="231"/>
      <c r="AD245" s="231"/>
      <c r="AE245" s="231"/>
      <c r="AF245" s="231"/>
      <c r="AG245" s="231"/>
      <c r="AH245" s="231"/>
      <c r="AI245" s="231"/>
    </row>
    <row r="246" spans="1:35" s="203" customFormat="1">
      <c r="A246" s="805">
        <v>5</v>
      </c>
      <c r="B246" s="47" t="s">
        <v>193</v>
      </c>
      <c r="C246" s="47"/>
      <c r="D246" s="47"/>
      <c r="E246" s="49">
        <v>2758</v>
      </c>
      <c r="F246" s="52">
        <v>2697</v>
      </c>
      <c r="G246" s="118"/>
      <c r="H246" s="100">
        <v>2783</v>
      </c>
      <c r="I246" s="29"/>
      <c r="J246" s="231"/>
      <c r="K246" s="231"/>
      <c r="L246" s="231"/>
      <c r="M246" s="231"/>
      <c r="N246" s="231"/>
      <c r="O246" s="231"/>
      <c r="P246" s="231"/>
      <c r="Q246" s="231"/>
      <c r="R246" s="231"/>
      <c r="S246" s="231"/>
      <c r="T246" s="231"/>
      <c r="U246" s="231"/>
      <c r="V246" s="231"/>
      <c r="W246" s="231"/>
      <c r="X246" s="231"/>
      <c r="Y246" s="231"/>
      <c r="Z246" s="231"/>
      <c r="AA246" s="231"/>
      <c r="AB246" s="231"/>
      <c r="AC246" s="231"/>
      <c r="AD246" s="231"/>
      <c r="AE246" s="231"/>
      <c r="AF246" s="231"/>
      <c r="AG246" s="231"/>
      <c r="AH246" s="231"/>
      <c r="AI246" s="231"/>
    </row>
    <row r="247" spans="1:35" s="203" customFormat="1">
      <c r="A247" s="805">
        <v>6</v>
      </c>
      <c r="B247" s="116" t="s">
        <v>194</v>
      </c>
      <c r="C247" s="116"/>
      <c r="D247" s="116"/>
      <c r="E247" s="80">
        <v>3251</v>
      </c>
      <c r="F247" s="142">
        <f>SUM(F245:F246)</f>
        <v>3268</v>
      </c>
      <c r="G247" s="118"/>
      <c r="H247" s="142">
        <f>SUM(H245:H246)</f>
        <v>3354</v>
      </c>
      <c r="I247" s="29"/>
      <c r="J247" s="231"/>
      <c r="K247" s="231"/>
      <c r="L247" s="231"/>
      <c r="M247" s="231"/>
      <c r="N247" s="231"/>
      <c r="O247" s="231"/>
      <c r="P247" s="231"/>
      <c r="Q247" s="231"/>
      <c r="R247" s="231"/>
      <c r="S247" s="231"/>
      <c r="T247" s="231"/>
      <c r="U247" s="231"/>
      <c r="V247" s="231"/>
      <c r="W247" s="231"/>
      <c r="X247" s="231"/>
      <c r="Y247" s="231"/>
      <c r="Z247" s="231"/>
      <c r="AA247" s="231"/>
      <c r="AB247" s="231"/>
      <c r="AC247" s="231"/>
      <c r="AD247" s="231"/>
      <c r="AE247" s="231"/>
      <c r="AF247" s="231"/>
      <c r="AG247" s="231"/>
      <c r="AH247" s="231"/>
      <c r="AI247" s="231"/>
    </row>
    <row r="248" spans="1:35" s="203" customFormat="1">
      <c r="A248" s="805"/>
      <c r="B248" s="116"/>
      <c r="C248" s="116"/>
      <c r="D248" s="116"/>
      <c r="E248" s="117"/>
      <c r="F248" s="118"/>
      <c r="G248" s="118"/>
      <c r="H248" s="118"/>
      <c r="I248" s="29"/>
      <c r="J248" s="231"/>
      <c r="K248" s="231"/>
      <c r="L248" s="231"/>
      <c r="M248" s="231"/>
      <c r="N248" s="231"/>
      <c r="O248" s="231"/>
      <c r="P248" s="231"/>
      <c r="Q248" s="231"/>
      <c r="R248" s="231"/>
      <c r="S248" s="231"/>
      <c r="T248" s="231"/>
      <c r="U248" s="231"/>
      <c r="V248" s="231"/>
      <c r="W248" s="231"/>
      <c r="X248" s="231"/>
      <c r="Y248" s="231"/>
      <c r="Z248" s="231"/>
      <c r="AA248" s="231"/>
      <c r="AB248" s="231"/>
      <c r="AC248" s="231"/>
      <c r="AD248" s="231"/>
      <c r="AE248" s="231"/>
      <c r="AF248" s="231"/>
      <c r="AG248" s="231"/>
      <c r="AH248" s="231"/>
      <c r="AI248" s="231"/>
    </row>
    <row r="249" spans="1:35" s="203" customFormat="1">
      <c r="A249" s="108" t="s">
        <v>195</v>
      </c>
      <c r="B249" s="116"/>
      <c r="C249" s="116"/>
      <c r="D249" s="116"/>
      <c r="E249" s="140"/>
      <c r="F249" s="146"/>
      <c r="G249" s="118"/>
      <c r="H249" s="146"/>
      <c r="I249" s="29"/>
      <c r="J249" s="231"/>
      <c r="K249" s="231"/>
      <c r="L249" s="231"/>
      <c r="M249" s="231"/>
      <c r="N249" s="231"/>
      <c r="O249" s="231"/>
      <c r="P249" s="231"/>
      <c r="Q249" s="231"/>
      <c r="R249" s="231"/>
      <c r="S249" s="231"/>
      <c r="T249" s="231"/>
      <c r="U249" s="231"/>
      <c r="V249" s="231"/>
      <c r="W249" s="231"/>
      <c r="X249" s="231"/>
      <c r="Y249" s="231"/>
      <c r="Z249" s="231"/>
      <c r="AA249" s="231"/>
      <c r="AB249" s="231"/>
      <c r="AC249" s="231"/>
      <c r="AD249" s="231"/>
      <c r="AE249" s="231"/>
      <c r="AF249" s="231"/>
      <c r="AG249" s="231"/>
      <c r="AH249" s="231"/>
      <c r="AI249" s="231"/>
    </row>
    <row r="250" spans="1:35" s="203" customFormat="1">
      <c r="A250" s="805">
        <v>7</v>
      </c>
      <c r="B250" s="47" t="s">
        <v>196</v>
      </c>
      <c r="C250" s="47"/>
      <c r="D250" s="47"/>
      <c r="E250" s="74">
        <v>1410</v>
      </c>
      <c r="F250" s="52">
        <v>1272</v>
      </c>
      <c r="G250" s="118"/>
      <c r="H250" s="52">
        <v>1409</v>
      </c>
      <c r="I250" s="29"/>
      <c r="J250" s="231"/>
      <c r="K250" s="231"/>
      <c r="L250" s="231"/>
      <c r="M250" s="231"/>
      <c r="N250" s="231"/>
      <c r="O250" s="231"/>
      <c r="P250" s="231"/>
      <c r="Q250" s="231"/>
      <c r="R250" s="231"/>
      <c r="S250" s="231"/>
      <c r="T250" s="231"/>
      <c r="U250" s="231"/>
      <c r="V250" s="231"/>
      <c r="W250" s="231"/>
      <c r="X250" s="231"/>
      <c r="Y250" s="231"/>
      <c r="Z250" s="231"/>
      <c r="AA250" s="231"/>
      <c r="AB250" s="231"/>
      <c r="AC250" s="231"/>
      <c r="AD250" s="231"/>
      <c r="AE250" s="231"/>
      <c r="AF250" s="231"/>
      <c r="AG250" s="231"/>
      <c r="AH250" s="231"/>
      <c r="AI250" s="231"/>
    </row>
    <row r="251" spans="1:35" s="203" customFormat="1">
      <c r="A251" s="805">
        <v>8</v>
      </c>
      <c r="B251" s="47" t="s">
        <v>197</v>
      </c>
      <c r="C251" s="47"/>
      <c r="D251" s="47"/>
      <c r="E251" s="49">
        <v>26339</v>
      </c>
      <c r="F251" s="52">
        <v>26402</v>
      </c>
      <c r="G251" s="118"/>
      <c r="H251" s="122">
        <f>27287+5938</f>
        <v>33225</v>
      </c>
      <c r="I251" s="29"/>
      <c r="J251" s="231"/>
      <c r="K251" s="231"/>
      <c r="L251" s="231"/>
      <c r="M251" s="231"/>
      <c r="N251" s="231"/>
      <c r="O251" s="231"/>
      <c r="P251" s="231"/>
      <c r="Q251" s="231"/>
      <c r="R251" s="231"/>
      <c r="S251" s="231"/>
      <c r="T251" s="231"/>
      <c r="U251" s="231"/>
      <c r="V251" s="231"/>
      <c r="W251" s="231"/>
      <c r="X251" s="231"/>
      <c r="Y251" s="231"/>
      <c r="Z251" s="231"/>
      <c r="AA251" s="231"/>
      <c r="AB251" s="231"/>
      <c r="AC251" s="231"/>
      <c r="AD251" s="231"/>
      <c r="AE251" s="231"/>
      <c r="AF251" s="231"/>
      <c r="AG251" s="231"/>
      <c r="AH251" s="231"/>
      <c r="AI251" s="231"/>
    </row>
    <row r="252" spans="1:35" s="203" customFormat="1">
      <c r="A252" s="805">
        <v>9</v>
      </c>
      <c r="B252" s="47" t="s">
        <v>198</v>
      </c>
      <c r="C252" s="47"/>
      <c r="D252" s="47"/>
      <c r="E252" s="49">
        <v>20513</v>
      </c>
      <c r="F252" s="52">
        <v>20060</v>
      </c>
      <c r="G252" s="118"/>
      <c r="H252" s="122">
        <v>20231</v>
      </c>
      <c r="I252" s="29"/>
      <c r="J252" s="231"/>
      <c r="K252" s="231"/>
      <c r="L252" s="231"/>
      <c r="M252" s="231"/>
      <c r="N252" s="231"/>
      <c r="O252" s="231"/>
      <c r="P252" s="231"/>
      <c r="Q252" s="231"/>
      <c r="R252" s="231"/>
      <c r="S252" s="231"/>
      <c r="T252" s="231"/>
      <c r="U252" s="231"/>
      <c r="V252" s="231"/>
      <c r="W252" s="231"/>
      <c r="X252" s="231"/>
      <c r="Y252" s="231"/>
      <c r="Z252" s="231"/>
      <c r="AA252" s="231"/>
      <c r="AB252" s="231"/>
      <c r="AC252" s="231"/>
      <c r="AD252" s="231"/>
      <c r="AE252" s="231"/>
      <c r="AF252" s="231"/>
      <c r="AG252" s="231"/>
      <c r="AH252" s="231"/>
      <c r="AI252" s="231"/>
    </row>
    <row r="253" spans="1:35" s="203" customFormat="1">
      <c r="A253" s="805">
        <v>10</v>
      </c>
      <c r="B253" s="47" t="s">
        <v>199</v>
      </c>
      <c r="C253" s="47"/>
      <c r="D253" s="47"/>
      <c r="E253" s="49">
        <v>4390</v>
      </c>
      <c r="F253" s="52">
        <f>4918-1</f>
        <v>4917</v>
      </c>
      <c r="G253" s="118"/>
      <c r="H253" s="100">
        <v>5130</v>
      </c>
      <c r="I253" s="29"/>
      <c r="J253" s="231"/>
      <c r="K253" s="231"/>
      <c r="L253" s="231"/>
      <c r="M253" s="231"/>
      <c r="N253" s="231"/>
      <c r="O253" s="231"/>
      <c r="P253" s="231"/>
      <c r="Q253" s="231"/>
      <c r="R253" s="231"/>
      <c r="S253" s="231"/>
      <c r="T253" s="231"/>
      <c r="U253" s="231"/>
      <c r="V253" s="231"/>
      <c r="W253" s="231"/>
      <c r="X253" s="231"/>
      <c r="Y253" s="231"/>
      <c r="Z253" s="231"/>
      <c r="AA253" s="231"/>
      <c r="AB253" s="231"/>
      <c r="AC253" s="231"/>
      <c r="AD253" s="231"/>
      <c r="AE253" s="231"/>
      <c r="AF253" s="231"/>
      <c r="AG253" s="231"/>
      <c r="AH253" s="231"/>
      <c r="AI253" s="231"/>
    </row>
    <row r="254" spans="1:35" s="203" customFormat="1">
      <c r="A254" s="805">
        <v>11</v>
      </c>
      <c r="B254" s="116" t="s">
        <v>200</v>
      </c>
      <c r="C254" s="116"/>
      <c r="D254" s="116"/>
      <c r="E254" s="80">
        <v>52652</v>
      </c>
      <c r="F254" s="142">
        <f>SUM(F250:F253)</f>
        <v>52651</v>
      </c>
      <c r="G254" s="118"/>
      <c r="H254" s="142">
        <f>SUM(H250:H253)</f>
        <v>59995</v>
      </c>
      <c r="I254" s="260"/>
      <c r="J254" s="231"/>
      <c r="K254" s="231"/>
      <c r="L254" s="231"/>
      <c r="M254" s="231"/>
      <c r="N254" s="231"/>
      <c r="O254" s="231"/>
      <c r="P254" s="231"/>
      <c r="Q254" s="231"/>
      <c r="R254" s="231"/>
      <c r="S254" s="231"/>
      <c r="T254" s="231"/>
      <c r="U254" s="231"/>
      <c r="V254" s="231"/>
      <c r="W254" s="231"/>
      <c r="X254" s="231"/>
      <c r="Y254" s="231"/>
      <c r="Z254" s="231"/>
      <c r="AA254" s="231"/>
      <c r="AB254" s="231"/>
      <c r="AC254" s="231"/>
      <c r="AD254" s="231"/>
      <c r="AE254" s="231"/>
      <c r="AF254" s="231"/>
      <c r="AG254" s="231"/>
      <c r="AH254" s="231"/>
      <c r="AI254" s="231"/>
    </row>
    <row r="255" spans="1:35" s="203" customFormat="1">
      <c r="A255" s="805"/>
      <c r="B255" s="116"/>
      <c r="C255" s="116"/>
      <c r="D255" s="116"/>
      <c r="E255" s="117"/>
      <c r="F255" s="118"/>
      <c r="G255" s="118"/>
      <c r="H255" s="118"/>
      <c r="I255" s="29"/>
      <c r="J255" s="231"/>
      <c r="K255" s="231"/>
      <c r="L255" s="231"/>
      <c r="M255" s="231"/>
      <c r="N255" s="231"/>
      <c r="O255" s="231"/>
      <c r="P255" s="231"/>
      <c r="Q255" s="231"/>
      <c r="R255" s="231"/>
      <c r="S255" s="231"/>
      <c r="T255" s="231"/>
      <c r="U255" s="231"/>
      <c r="V255" s="231"/>
      <c r="W255" s="231"/>
      <c r="X255" s="231"/>
      <c r="Y255" s="231"/>
      <c r="Z255" s="231"/>
      <c r="AA255" s="231"/>
      <c r="AB255" s="231"/>
      <c r="AC255" s="231"/>
      <c r="AD255" s="231"/>
      <c r="AE255" s="231"/>
      <c r="AF255" s="231"/>
      <c r="AG255" s="231"/>
      <c r="AH255" s="231"/>
      <c r="AI255" s="231"/>
    </row>
    <row r="256" spans="1:35" s="203" customFormat="1">
      <c r="A256" s="805">
        <v>12</v>
      </c>
      <c r="B256" s="47" t="s">
        <v>201</v>
      </c>
      <c r="C256" s="47"/>
      <c r="D256" s="47"/>
      <c r="E256" s="176">
        <v>10000</v>
      </c>
      <c r="F256" s="136">
        <v>10001</v>
      </c>
      <c r="G256" s="118"/>
      <c r="H256" s="177">
        <v>10335</v>
      </c>
      <c r="I256" s="260"/>
      <c r="J256" s="231"/>
      <c r="K256" s="231"/>
      <c r="L256" s="231"/>
      <c r="M256" s="231"/>
      <c r="N256" s="231"/>
      <c r="O256" s="231"/>
      <c r="P256" s="231"/>
      <c r="Q256" s="231"/>
      <c r="R256" s="231"/>
      <c r="S256" s="231"/>
      <c r="T256" s="231"/>
      <c r="U256" s="231"/>
      <c r="V256" s="231"/>
      <c r="W256" s="231"/>
      <c r="X256" s="231"/>
      <c r="Y256" s="231"/>
      <c r="Z256" s="231"/>
      <c r="AA256" s="231"/>
      <c r="AB256" s="231"/>
      <c r="AC256" s="231"/>
      <c r="AD256" s="231"/>
      <c r="AE256" s="231"/>
      <c r="AF256" s="231"/>
      <c r="AG256" s="231"/>
      <c r="AH256" s="231"/>
      <c r="AI256" s="231"/>
    </row>
    <row r="257" spans="1:35" s="203" customFormat="1">
      <c r="A257" s="124">
        <v>13</v>
      </c>
      <c r="B257" s="94" t="s">
        <v>202</v>
      </c>
      <c r="C257" s="94"/>
      <c r="D257" s="94"/>
      <c r="E257" s="159">
        <v>92289</v>
      </c>
      <c r="F257" s="61">
        <f>F242+F247+F254+F256</f>
        <v>94950</v>
      </c>
      <c r="G257" s="118"/>
      <c r="H257" s="61">
        <f>H242+H247+H254+H256</f>
        <v>115171</v>
      </c>
      <c r="I257" s="21"/>
      <c r="J257" s="231"/>
      <c r="K257" s="231"/>
      <c r="L257" s="231"/>
      <c r="M257" s="231"/>
      <c r="N257" s="231"/>
      <c r="O257" s="231"/>
      <c r="P257" s="231"/>
      <c r="Q257" s="231"/>
      <c r="R257" s="231"/>
      <c r="S257" s="231"/>
      <c r="T257" s="231"/>
      <c r="U257" s="231"/>
      <c r="V257" s="231"/>
      <c r="W257" s="231"/>
      <c r="X257" s="231"/>
      <c r="Y257" s="231"/>
      <c r="Z257" s="231"/>
      <c r="AA257" s="231"/>
      <c r="AB257" s="231"/>
      <c r="AC257" s="231"/>
      <c r="AD257" s="231"/>
      <c r="AE257" s="231"/>
      <c r="AF257" s="231"/>
      <c r="AG257" s="231"/>
      <c r="AH257" s="231"/>
      <c r="AI257" s="231"/>
    </row>
    <row r="258" spans="1:35" s="203" customFormat="1">
      <c r="A258" s="207"/>
      <c r="B258" s="207"/>
      <c r="C258" s="207"/>
      <c r="D258" s="208"/>
      <c r="E258" s="208"/>
      <c r="F258" s="207"/>
      <c r="G258" s="207"/>
      <c r="H258" s="207"/>
      <c r="I258" s="21"/>
      <c r="J258" s="231"/>
      <c r="K258" s="231"/>
      <c r="L258" s="231"/>
      <c r="M258" s="231"/>
      <c r="N258" s="231"/>
      <c r="O258" s="231"/>
      <c r="P258" s="231"/>
      <c r="Q258" s="231"/>
      <c r="R258" s="231"/>
      <c r="S258" s="231"/>
      <c r="T258" s="231"/>
      <c r="U258" s="231"/>
      <c r="V258" s="231"/>
      <c r="W258" s="231"/>
      <c r="X258" s="231"/>
      <c r="Y258" s="231"/>
      <c r="Z258" s="231"/>
      <c r="AA258" s="231"/>
      <c r="AB258" s="231"/>
      <c r="AC258" s="231"/>
      <c r="AD258" s="231"/>
      <c r="AE258" s="231"/>
      <c r="AF258" s="231"/>
      <c r="AG258" s="231"/>
      <c r="AH258" s="231"/>
      <c r="AI258" s="231"/>
    </row>
    <row r="259" spans="1:35" s="203" customFormat="1">
      <c r="A259" s="23"/>
      <c r="B259" s="207"/>
      <c r="C259" s="207"/>
      <c r="D259" s="207"/>
      <c r="E259" s="207"/>
      <c r="F259" s="207"/>
      <c r="G259" s="207"/>
      <c r="H259" s="21"/>
      <c r="I259" s="21"/>
      <c r="J259" s="231"/>
      <c r="K259" s="231"/>
      <c r="L259" s="231"/>
      <c r="M259" s="231"/>
      <c r="N259" s="231"/>
      <c r="O259" s="231"/>
      <c r="P259" s="231"/>
      <c r="Q259" s="231"/>
      <c r="R259" s="231"/>
      <c r="S259" s="231"/>
      <c r="T259" s="231"/>
      <c r="U259" s="231"/>
      <c r="V259" s="231"/>
      <c r="W259" s="231"/>
      <c r="X259" s="231"/>
      <c r="Y259" s="231"/>
      <c r="Z259" s="231"/>
      <c r="AA259" s="231"/>
      <c r="AB259" s="231"/>
      <c r="AC259" s="231"/>
      <c r="AD259" s="231"/>
      <c r="AE259" s="231"/>
      <c r="AF259" s="231"/>
      <c r="AG259" s="231"/>
      <c r="AH259" s="231"/>
      <c r="AI259" s="231"/>
    </row>
    <row r="260" spans="1:35" s="203" customFormat="1">
      <c r="A260" s="148"/>
      <c r="B260" s="29"/>
      <c r="C260" s="29"/>
      <c r="D260" s="172"/>
      <c r="E260" s="152"/>
      <c r="F260" s="29"/>
      <c r="G260" s="29"/>
      <c r="H260" s="131" t="s">
        <v>27</v>
      </c>
      <c r="I260" s="21"/>
      <c r="J260" s="231"/>
      <c r="K260" s="231"/>
      <c r="L260" s="231"/>
      <c r="M260" s="231"/>
      <c r="N260" s="231"/>
      <c r="O260" s="231"/>
      <c r="P260" s="231"/>
      <c r="Q260" s="231"/>
      <c r="R260" s="231"/>
      <c r="S260" s="231"/>
      <c r="T260" s="231"/>
      <c r="U260" s="231"/>
      <c r="V260" s="231"/>
      <c r="W260" s="231"/>
      <c r="X260" s="231"/>
      <c r="Y260" s="231"/>
      <c r="Z260" s="231"/>
      <c r="AA260" s="231"/>
      <c r="AB260" s="231"/>
      <c r="AC260" s="231"/>
      <c r="AD260" s="231"/>
      <c r="AE260" s="231"/>
      <c r="AF260" s="231"/>
      <c r="AG260" s="231"/>
      <c r="AH260" s="231"/>
      <c r="AI260" s="231"/>
    </row>
    <row r="261" spans="1:35" s="203" customFormat="1" ht="12.75" customHeight="1">
      <c r="A261" s="106" t="s">
        <v>15</v>
      </c>
      <c r="B261" s="164"/>
      <c r="C261" s="164"/>
      <c r="D261" s="164"/>
      <c r="E261" s="856" t="s">
        <v>377</v>
      </c>
      <c r="F261" s="856" t="s">
        <v>402</v>
      </c>
      <c r="G261" s="130"/>
      <c r="H261" s="856" t="s">
        <v>403</v>
      </c>
      <c r="I261" s="21"/>
      <c r="J261" s="231"/>
      <c r="K261" s="231"/>
      <c r="L261" s="231"/>
      <c r="M261" s="231"/>
      <c r="N261" s="231"/>
      <c r="O261" s="231"/>
      <c r="P261" s="231"/>
      <c r="Q261" s="231"/>
      <c r="R261" s="231"/>
      <c r="S261" s="231"/>
      <c r="T261" s="231"/>
      <c r="U261" s="231"/>
      <c r="V261" s="231"/>
      <c r="W261" s="231"/>
      <c r="X261" s="231"/>
      <c r="Y261" s="231"/>
      <c r="Z261" s="231"/>
      <c r="AA261" s="231"/>
      <c r="AB261" s="231"/>
      <c r="AC261" s="231"/>
      <c r="AD261" s="231"/>
      <c r="AE261" s="231"/>
      <c r="AF261" s="231"/>
      <c r="AG261" s="231"/>
      <c r="AH261" s="231"/>
      <c r="AI261" s="231"/>
    </row>
    <row r="262" spans="1:35" s="203" customFormat="1">
      <c r="A262" s="165"/>
      <c r="B262" s="47"/>
      <c r="C262" s="47"/>
      <c r="D262" s="47"/>
      <c r="E262" s="859"/>
      <c r="F262" s="859"/>
      <c r="G262" s="130"/>
      <c r="H262" s="859"/>
      <c r="I262" s="21"/>
      <c r="J262" s="231"/>
      <c r="K262" s="231"/>
      <c r="L262" s="231"/>
      <c r="M262" s="231"/>
      <c r="N262" s="231"/>
      <c r="O262" s="231"/>
      <c r="P262" s="231"/>
      <c r="Q262" s="231"/>
      <c r="R262" s="231"/>
      <c r="S262" s="231"/>
      <c r="T262" s="231"/>
      <c r="U262" s="231"/>
      <c r="V262" s="231"/>
      <c r="W262" s="231"/>
      <c r="X262" s="231"/>
      <c r="Y262" s="231"/>
      <c r="Z262" s="231"/>
      <c r="AA262" s="231"/>
      <c r="AB262" s="231"/>
      <c r="AC262" s="231"/>
      <c r="AD262" s="231"/>
      <c r="AE262" s="231"/>
      <c r="AF262" s="231"/>
      <c r="AG262" s="231"/>
      <c r="AH262" s="231"/>
      <c r="AI262" s="231"/>
    </row>
    <row r="263" spans="1:35" s="203" customFormat="1">
      <c r="A263" s="109"/>
      <c r="B263" s="174"/>
      <c r="C263" s="174"/>
      <c r="D263" s="174"/>
      <c r="E263" s="859"/>
      <c r="F263" s="859"/>
      <c r="G263" s="130"/>
      <c r="H263" s="859"/>
      <c r="I263" s="21"/>
      <c r="J263" s="231"/>
      <c r="K263" s="231"/>
      <c r="L263" s="231"/>
      <c r="M263" s="231"/>
      <c r="N263" s="231"/>
      <c r="O263" s="231"/>
      <c r="P263" s="231"/>
      <c r="Q263" s="231"/>
      <c r="R263" s="231"/>
      <c r="S263" s="231"/>
      <c r="T263" s="231"/>
      <c r="U263" s="231"/>
      <c r="V263" s="231"/>
      <c r="W263" s="231"/>
      <c r="X263" s="231"/>
      <c r="Y263" s="231"/>
      <c r="Z263" s="231"/>
      <c r="AA263" s="231"/>
      <c r="AB263" s="231"/>
      <c r="AC263" s="231"/>
      <c r="AD263" s="231"/>
      <c r="AE263" s="231"/>
      <c r="AF263" s="231"/>
      <c r="AG263" s="231"/>
      <c r="AH263" s="231"/>
      <c r="AI263" s="231"/>
    </row>
    <row r="264" spans="1:35" s="203" customFormat="1">
      <c r="A264" s="154" t="s">
        <v>203</v>
      </c>
      <c r="B264" s="47"/>
      <c r="C264" s="47"/>
      <c r="D264" s="47"/>
      <c r="E264" s="859"/>
      <c r="F264" s="859"/>
      <c r="G264" s="130"/>
      <c r="H264" s="859"/>
      <c r="I264" s="21"/>
      <c r="J264" s="231"/>
      <c r="K264" s="231"/>
      <c r="L264" s="231"/>
      <c r="M264" s="231"/>
      <c r="N264" s="231"/>
      <c r="O264" s="231"/>
      <c r="P264" s="231"/>
      <c r="Q264" s="231"/>
      <c r="R264" s="231"/>
      <c r="S264" s="231"/>
      <c r="T264" s="231"/>
      <c r="U264" s="231"/>
      <c r="V264" s="231"/>
      <c r="W264" s="231"/>
      <c r="X264" s="231"/>
      <c r="Y264" s="231"/>
      <c r="Z264" s="231"/>
      <c r="AA264" s="231"/>
      <c r="AB264" s="231"/>
      <c r="AC264" s="231"/>
      <c r="AD264" s="231"/>
      <c r="AE264" s="231"/>
      <c r="AF264" s="231"/>
      <c r="AG264" s="231"/>
      <c r="AH264" s="231"/>
      <c r="AI264" s="231"/>
    </row>
    <row r="265" spans="1:35" s="203" customFormat="1">
      <c r="A265" s="109" t="s">
        <v>83</v>
      </c>
      <c r="B265" s="174"/>
      <c r="C265" s="174"/>
      <c r="D265" s="174"/>
      <c r="E265" s="860"/>
      <c r="F265" s="860"/>
      <c r="G265" s="130"/>
      <c r="H265" s="860"/>
      <c r="I265" s="21"/>
      <c r="J265" s="231"/>
      <c r="K265" s="231"/>
      <c r="L265" s="231"/>
      <c r="M265" s="231"/>
      <c r="N265" s="231"/>
      <c r="O265" s="231"/>
      <c r="P265" s="231"/>
      <c r="Q265" s="231"/>
      <c r="R265" s="231"/>
      <c r="S265" s="231"/>
      <c r="T265" s="231"/>
      <c r="U265" s="231"/>
      <c r="V265" s="231"/>
      <c r="W265" s="231"/>
      <c r="X265" s="231"/>
      <c r="Y265" s="231"/>
      <c r="Z265" s="231"/>
      <c r="AA265" s="231"/>
      <c r="AB265" s="231"/>
      <c r="AC265" s="231"/>
      <c r="AD265" s="231"/>
      <c r="AE265" s="231"/>
      <c r="AF265" s="231"/>
      <c r="AG265" s="231"/>
      <c r="AH265" s="231"/>
      <c r="AI265" s="231"/>
    </row>
    <row r="266" spans="1:35" s="203" customFormat="1">
      <c r="A266" s="110" t="s">
        <v>84</v>
      </c>
      <c r="B266" s="116"/>
      <c r="C266" s="116"/>
      <c r="D266" s="116"/>
      <c r="E266" s="178"/>
      <c r="F266" s="146"/>
      <c r="G266" s="118"/>
      <c r="H266" s="146"/>
      <c r="I266" s="21"/>
      <c r="J266" s="231"/>
      <c r="K266" s="231"/>
      <c r="L266" s="231"/>
      <c r="M266" s="231"/>
      <c r="N266" s="231"/>
      <c r="O266" s="231"/>
      <c r="P266" s="231"/>
      <c r="Q266" s="231"/>
      <c r="R266" s="231"/>
      <c r="S266" s="231"/>
      <c r="T266" s="231"/>
      <c r="U266" s="231"/>
      <c r="V266" s="231"/>
      <c r="W266" s="231"/>
      <c r="X266" s="231"/>
      <c r="Y266" s="231"/>
      <c r="Z266" s="231"/>
      <c r="AA266" s="231"/>
      <c r="AB266" s="231"/>
      <c r="AC266" s="231"/>
      <c r="AD266" s="231"/>
      <c r="AE266" s="231"/>
      <c r="AF266" s="231"/>
      <c r="AG266" s="231"/>
      <c r="AH266" s="231"/>
      <c r="AI266" s="231"/>
    </row>
    <row r="267" spans="1:35" s="203" customFormat="1">
      <c r="A267" s="120">
        <v>1</v>
      </c>
      <c r="B267" s="47" t="s">
        <v>204</v>
      </c>
      <c r="C267" s="47"/>
      <c r="D267" s="47"/>
      <c r="E267" s="74">
        <v>0</v>
      </c>
      <c r="F267" s="52">
        <v>0</v>
      </c>
      <c r="G267" s="118"/>
      <c r="H267" s="122">
        <v>0</v>
      </c>
      <c r="I267" s="21"/>
      <c r="J267" s="231"/>
      <c r="K267" s="231"/>
      <c r="L267" s="231"/>
      <c r="M267" s="231"/>
      <c r="N267" s="231"/>
      <c r="O267" s="231"/>
      <c r="P267" s="231"/>
      <c r="Q267" s="231"/>
      <c r="R267" s="231"/>
      <c r="S267" s="231"/>
      <c r="T267" s="231"/>
      <c r="U267" s="231"/>
      <c r="V267" s="231"/>
      <c r="W267" s="231"/>
      <c r="X267" s="231"/>
      <c r="Y267" s="231"/>
      <c r="Z267" s="231"/>
      <c r="AA267" s="231"/>
      <c r="AB267" s="231"/>
      <c r="AC267" s="231"/>
      <c r="AD267" s="231"/>
      <c r="AE267" s="231"/>
      <c r="AF267" s="231"/>
      <c r="AG267" s="231"/>
      <c r="AH267" s="231"/>
      <c r="AI267" s="231"/>
    </row>
    <row r="268" spans="1:35" s="203" customFormat="1">
      <c r="A268" s="805">
        <v>2</v>
      </c>
      <c r="B268" s="166" t="s">
        <v>205</v>
      </c>
      <c r="C268" s="166"/>
      <c r="D268" s="47"/>
      <c r="E268" s="114">
        <v>-339</v>
      </c>
      <c r="F268" s="52">
        <v>1220</v>
      </c>
      <c r="G268" s="118"/>
      <c r="H268" s="122">
        <v>-32</v>
      </c>
      <c r="I268" s="21"/>
      <c r="J268" s="231"/>
      <c r="K268" s="231"/>
      <c r="L268" s="231"/>
      <c r="M268" s="231"/>
      <c r="N268" s="231"/>
      <c r="O268" s="231"/>
      <c r="P268" s="231"/>
      <c r="Q268" s="231"/>
      <c r="R268" s="231"/>
      <c r="S268" s="231"/>
      <c r="T268" s="231"/>
      <c r="U268" s="231"/>
      <c r="V268" s="231"/>
      <c r="W268" s="231"/>
      <c r="X268" s="231"/>
      <c r="Y268" s="231"/>
      <c r="Z268" s="231"/>
      <c r="AA268" s="231"/>
      <c r="AB268" s="231"/>
      <c r="AC268" s="231"/>
      <c r="AD268" s="231"/>
      <c r="AE268" s="231"/>
      <c r="AF268" s="231"/>
      <c r="AG268" s="231"/>
      <c r="AH268" s="231"/>
      <c r="AI268" s="231"/>
    </row>
    <row r="269" spans="1:35" s="203" customFormat="1">
      <c r="A269" s="120">
        <v>3</v>
      </c>
      <c r="B269" s="47" t="s">
        <v>206</v>
      </c>
      <c r="C269" s="47"/>
      <c r="D269" s="168"/>
      <c r="E269" s="114">
        <v>0</v>
      </c>
      <c r="F269" s="52">
        <v>0</v>
      </c>
      <c r="G269" s="118"/>
      <c r="H269" s="122">
        <v>0</v>
      </c>
      <c r="I269" s="21"/>
      <c r="J269" s="231"/>
      <c r="K269" s="231"/>
      <c r="L269" s="231"/>
      <c r="M269" s="231"/>
      <c r="N269" s="231"/>
      <c r="O269" s="231"/>
      <c r="P269" s="231"/>
      <c r="Q269" s="231"/>
      <c r="R269" s="231"/>
      <c r="S269" s="231"/>
      <c r="T269" s="231"/>
      <c r="U269" s="231"/>
      <c r="V269" s="231"/>
      <c r="W269" s="231"/>
      <c r="X269" s="231"/>
      <c r="Y269" s="231"/>
      <c r="Z269" s="231"/>
      <c r="AA269" s="231"/>
      <c r="AB269" s="231"/>
      <c r="AC269" s="231"/>
      <c r="AD269" s="231"/>
      <c r="AE269" s="231"/>
      <c r="AF269" s="231"/>
      <c r="AG269" s="231"/>
      <c r="AH269" s="231"/>
      <c r="AI269" s="231"/>
    </row>
    <row r="270" spans="1:35" s="203" customFormat="1">
      <c r="A270" s="805">
        <v>4</v>
      </c>
      <c r="B270" s="47" t="s">
        <v>207</v>
      </c>
      <c r="C270" s="47"/>
      <c r="D270" s="116"/>
      <c r="E270" s="114">
        <v>0</v>
      </c>
      <c r="F270" s="52">
        <v>0</v>
      </c>
      <c r="G270" s="118"/>
      <c r="H270" s="122">
        <v>0</v>
      </c>
      <c r="I270" s="21"/>
      <c r="J270" s="231"/>
      <c r="K270" s="231"/>
      <c r="L270" s="231"/>
      <c r="M270" s="231"/>
      <c r="N270" s="231"/>
      <c r="O270" s="231"/>
      <c r="P270" s="231"/>
      <c r="Q270" s="231"/>
      <c r="R270" s="231"/>
      <c r="S270" s="231"/>
      <c r="T270" s="231"/>
      <c r="U270" s="231"/>
      <c r="V270" s="231"/>
      <c r="W270" s="231"/>
      <c r="X270" s="231"/>
      <c r="Y270" s="231"/>
      <c r="Z270" s="231"/>
      <c r="AA270" s="231"/>
      <c r="AB270" s="231"/>
      <c r="AC270" s="231"/>
      <c r="AD270" s="231"/>
      <c r="AE270" s="231"/>
      <c r="AF270" s="231"/>
      <c r="AG270" s="231"/>
      <c r="AH270" s="231"/>
      <c r="AI270" s="231"/>
    </row>
    <row r="271" spans="1:35" s="203" customFormat="1">
      <c r="A271" s="120">
        <v>5</v>
      </c>
      <c r="B271" s="47" t="s">
        <v>208</v>
      </c>
      <c r="C271" s="47"/>
      <c r="D271" s="47"/>
      <c r="E271" s="114">
        <v>0</v>
      </c>
      <c r="F271" s="52">
        <v>1000</v>
      </c>
      <c r="G271" s="118"/>
      <c r="H271" s="122">
        <v>1000</v>
      </c>
      <c r="I271" s="21"/>
      <c r="J271" s="231"/>
      <c r="K271" s="231"/>
      <c r="L271" s="231"/>
      <c r="M271" s="231"/>
      <c r="N271" s="231"/>
      <c r="O271" s="231"/>
      <c r="P271" s="231"/>
      <c r="Q271" s="231"/>
      <c r="R271" s="231"/>
      <c r="S271" s="231"/>
      <c r="T271" s="231"/>
      <c r="U271" s="231"/>
      <c r="V271" s="231"/>
      <c r="W271" s="231"/>
      <c r="X271" s="231"/>
      <c r="Y271" s="231"/>
      <c r="Z271" s="231"/>
      <c r="AA271" s="231"/>
      <c r="AB271" s="231"/>
      <c r="AC271" s="231"/>
      <c r="AD271" s="231"/>
      <c r="AE271" s="231"/>
      <c r="AF271" s="231"/>
      <c r="AG271" s="231"/>
      <c r="AH271" s="231"/>
      <c r="AI271" s="231"/>
    </row>
    <row r="272" spans="1:35" s="203" customFormat="1">
      <c r="A272" s="805">
        <v>6</v>
      </c>
      <c r="B272" s="47" t="s">
        <v>209</v>
      </c>
      <c r="C272" s="47"/>
      <c r="D272" s="47"/>
      <c r="E272" s="114">
        <v>0</v>
      </c>
      <c r="F272" s="52">
        <v>0</v>
      </c>
      <c r="G272" s="118"/>
      <c r="H272" s="122">
        <v>0</v>
      </c>
      <c r="I272" s="21"/>
      <c r="J272" s="231"/>
      <c r="K272" s="231"/>
      <c r="L272" s="231"/>
      <c r="M272" s="231"/>
      <c r="N272" s="231"/>
      <c r="O272" s="231"/>
      <c r="P272" s="231"/>
      <c r="Q272" s="231"/>
      <c r="R272" s="231"/>
      <c r="S272" s="231"/>
      <c r="T272" s="231"/>
      <c r="U272" s="231"/>
      <c r="V272" s="231"/>
      <c r="W272" s="231"/>
      <c r="X272" s="231"/>
      <c r="Y272" s="231"/>
      <c r="Z272" s="231"/>
      <c r="AA272" s="231"/>
      <c r="AB272" s="231"/>
      <c r="AC272" s="231"/>
      <c r="AD272" s="231"/>
      <c r="AE272" s="231"/>
      <c r="AF272" s="231"/>
      <c r="AG272" s="231"/>
      <c r="AH272" s="231"/>
      <c r="AI272" s="231"/>
    </row>
    <row r="273" spans="1:35" s="203" customFormat="1">
      <c r="A273" s="120">
        <v>7</v>
      </c>
      <c r="B273" s="47" t="s">
        <v>210</v>
      </c>
      <c r="C273" s="47"/>
      <c r="D273" s="47"/>
      <c r="E273" s="114">
        <v>33775</v>
      </c>
      <c r="F273" s="52">
        <v>33888</v>
      </c>
      <c r="G273" s="118"/>
      <c r="H273" s="122">
        <v>32601</v>
      </c>
      <c r="I273" s="21"/>
      <c r="J273" s="231"/>
      <c r="K273" s="231"/>
      <c r="L273" s="231"/>
      <c r="M273" s="231"/>
      <c r="N273" s="231"/>
      <c r="O273" s="231"/>
      <c r="P273" s="231"/>
      <c r="Q273" s="231"/>
      <c r="R273" s="231"/>
      <c r="S273" s="231"/>
      <c r="T273" s="231"/>
      <c r="U273" s="231"/>
      <c r="V273" s="231"/>
      <c r="W273" s="231"/>
      <c r="X273" s="231"/>
      <c r="Y273" s="231"/>
      <c r="Z273" s="231"/>
      <c r="AA273" s="231"/>
      <c r="AB273" s="231"/>
      <c r="AC273" s="231"/>
      <c r="AD273" s="231"/>
      <c r="AE273" s="231"/>
      <c r="AF273" s="231"/>
      <c r="AG273" s="231"/>
      <c r="AH273" s="231"/>
      <c r="AI273" s="231"/>
    </row>
    <row r="274" spans="1:35" s="203" customFormat="1">
      <c r="A274" s="805">
        <v>8</v>
      </c>
      <c r="B274" s="47" t="s">
        <v>211</v>
      </c>
      <c r="C274" s="47"/>
      <c r="D274" s="47"/>
      <c r="E274" s="114">
        <v>20651</v>
      </c>
      <c r="F274" s="52">
        <v>17929</v>
      </c>
      <c r="G274" s="118"/>
      <c r="H274" s="122">
        <v>18068</v>
      </c>
      <c r="I274" s="21"/>
      <c r="J274" s="231"/>
      <c r="K274" s="231"/>
      <c r="L274" s="231"/>
      <c r="M274" s="231"/>
      <c r="N274" s="231"/>
      <c r="O274" s="231"/>
      <c r="P274" s="231"/>
      <c r="Q274" s="231"/>
      <c r="R274" s="231"/>
      <c r="S274" s="231"/>
      <c r="T274" s="231"/>
      <c r="U274" s="231"/>
      <c r="V274" s="231"/>
      <c r="W274" s="231"/>
      <c r="X274" s="231"/>
      <c r="Y274" s="231"/>
      <c r="Z274" s="231"/>
      <c r="AA274" s="231"/>
      <c r="AB274" s="231"/>
      <c r="AC274" s="231"/>
      <c r="AD274" s="231"/>
      <c r="AE274" s="231"/>
      <c r="AF274" s="231"/>
      <c r="AG274" s="231"/>
      <c r="AH274" s="231"/>
      <c r="AI274" s="231"/>
    </row>
    <row r="275" spans="1:35" s="203" customFormat="1">
      <c r="A275" s="120">
        <v>9</v>
      </c>
      <c r="B275" s="47" t="s">
        <v>212</v>
      </c>
      <c r="C275" s="47"/>
      <c r="D275" s="47"/>
      <c r="E275" s="114">
        <v>0</v>
      </c>
      <c r="F275" s="52">
        <v>0</v>
      </c>
      <c r="G275" s="118"/>
      <c r="H275" s="122">
        <v>0</v>
      </c>
      <c r="I275" s="21"/>
      <c r="J275" s="231"/>
      <c r="K275" s="231"/>
      <c r="L275" s="231"/>
      <c r="M275" s="231"/>
      <c r="N275" s="231"/>
      <c r="O275" s="231"/>
      <c r="P275" s="231"/>
      <c r="Q275" s="231"/>
      <c r="R275" s="231"/>
      <c r="S275" s="231"/>
      <c r="T275" s="231"/>
      <c r="U275" s="231"/>
      <c r="V275" s="231"/>
      <c r="W275" s="231"/>
      <c r="X275" s="231"/>
      <c r="Y275" s="231"/>
      <c r="Z275" s="231"/>
      <c r="AA275" s="231"/>
      <c r="AB275" s="231"/>
      <c r="AC275" s="231"/>
      <c r="AD275" s="231"/>
      <c r="AE275" s="231"/>
      <c r="AF275" s="231"/>
      <c r="AG275" s="231"/>
      <c r="AH275" s="231"/>
      <c r="AI275" s="231"/>
    </row>
    <row r="276" spans="1:35" s="203" customFormat="1">
      <c r="A276" s="805">
        <v>10</v>
      </c>
      <c r="B276" s="47" t="s">
        <v>213</v>
      </c>
      <c r="C276" s="47"/>
      <c r="D276" s="47"/>
      <c r="E276" s="114">
        <v>9065</v>
      </c>
      <c r="F276" s="52">
        <v>9417</v>
      </c>
      <c r="G276" s="118"/>
      <c r="H276" s="99">
        <v>10268</v>
      </c>
      <c r="I276" s="21"/>
      <c r="J276" s="231"/>
      <c r="K276" s="231"/>
      <c r="L276" s="231"/>
      <c r="M276" s="231"/>
      <c r="N276" s="231"/>
      <c r="O276" s="231"/>
      <c r="P276" s="231"/>
      <c r="Q276" s="231"/>
      <c r="R276" s="231"/>
      <c r="S276" s="231"/>
      <c r="T276" s="231"/>
      <c r="U276" s="231"/>
      <c r="V276" s="231"/>
      <c r="W276" s="231"/>
      <c r="X276" s="231"/>
      <c r="Y276" s="231"/>
      <c r="Z276" s="231"/>
      <c r="AA276" s="231"/>
      <c r="AB276" s="231"/>
      <c r="AC276" s="231"/>
      <c r="AD276" s="231"/>
      <c r="AE276" s="231"/>
      <c r="AF276" s="231"/>
      <c r="AG276" s="231"/>
      <c r="AH276" s="231"/>
      <c r="AI276" s="231"/>
    </row>
    <row r="277" spans="1:35" s="203" customFormat="1">
      <c r="A277" s="124">
        <v>11</v>
      </c>
      <c r="B277" s="94" t="s">
        <v>214</v>
      </c>
      <c r="C277" s="94"/>
      <c r="D277" s="94"/>
      <c r="E277" s="159">
        <v>63152</v>
      </c>
      <c r="F277" s="61">
        <f>SUM(F267:F276)</f>
        <v>63454</v>
      </c>
      <c r="G277" s="118"/>
      <c r="H277" s="61">
        <f>SUM(H267:H276)</f>
        <v>61905</v>
      </c>
      <c r="I277" s="21"/>
      <c r="J277" s="231"/>
      <c r="K277" s="231"/>
      <c r="L277" s="231"/>
      <c r="M277" s="231"/>
      <c r="N277" s="231"/>
      <c r="O277" s="231"/>
      <c r="P277" s="231"/>
      <c r="Q277" s="231"/>
      <c r="R277" s="231"/>
      <c r="S277" s="231"/>
      <c r="T277" s="231"/>
      <c r="U277" s="231"/>
      <c r="V277" s="231"/>
      <c r="W277" s="231"/>
      <c r="X277" s="231"/>
      <c r="Y277" s="231"/>
      <c r="Z277" s="231"/>
      <c r="AA277" s="231"/>
      <c r="AB277" s="231"/>
      <c r="AC277" s="231"/>
      <c r="AD277" s="231"/>
      <c r="AE277" s="231"/>
      <c r="AF277" s="231"/>
      <c r="AG277" s="231"/>
      <c r="AH277" s="231"/>
      <c r="AI277" s="231"/>
    </row>
    <row r="278" spans="1:35" s="203" customFormat="1">
      <c r="A278" s="207"/>
      <c r="B278" s="207"/>
      <c r="C278" s="207"/>
      <c r="D278" s="207"/>
      <c r="E278" s="207"/>
      <c r="F278" s="207"/>
      <c r="G278" s="207"/>
      <c r="H278" s="207"/>
      <c r="I278" s="21"/>
      <c r="J278" s="231"/>
      <c r="K278" s="231"/>
      <c r="L278" s="231"/>
      <c r="M278" s="231"/>
      <c r="N278" s="231"/>
      <c r="O278" s="231"/>
      <c r="P278" s="231"/>
      <c r="Q278" s="231"/>
      <c r="R278" s="231"/>
      <c r="S278" s="231"/>
      <c r="T278" s="231"/>
      <c r="U278" s="231"/>
      <c r="V278" s="231"/>
      <c r="W278" s="231"/>
      <c r="X278" s="231"/>
      <c r="Y278" s="231"/>
      <c r="Z278" s="231"/>
      <c r="AA278" s="231"/>
      <c r="AB278" s="231"/>
      <c r="AC278" s="231"/>
      <c r="AD278" s="231"/>
      <c r="AE278" s="231"/>
      <c r="AF278" s="231"/>
      <c r="AG278" s="231"/>
      <c r="AH278" s="231"/>
      <c r="AI278" s="231"/>
    </row>
    <row r="279" spans="1:35" s="203" customFormat="1">
      <c r="A279" s="207"/>
      <c r="B279" s="207"/>
      <c r="C279" s="207"/>
      <c r="D279" s="207"/>
      <c r="E279" s="207"/>
      <c r="F279" s="207"/>
      <c r="G279" s="207"/>
      <c r="H279" s="131" t="s">
        <v>27</v>
      </c>
      <c r="I279" s="21"/>
      <c r="J279" s="231"/>
      <c r="K279" s="231"/>
      <c r="L279" s="231"/>
      <c r="M279" s="231"/>
      <c r="N279" s="231"/>
      <c r="O279" s="231"/>
      <c r="P279" s="231"/>
      <c r="Q279" s="231"/>
      <c r="R279" s="231"/>
      <c r="S279" s="231"/>
      <c r="T279" s="231"/>
      <c r="U279" s="231"/>
      <c r="V279" s="231"/>
      <c r="W279" s="231"/>
      <c r="X279" s="231"/>
      <c r="Y279" s="231"/>
      <c r="Z279" s="231"/>
      <c r="AA279" s="231"/>
      <c r="AB279" s="231"/>
      <c r="AC279" s="231"/>
      <c r="AD279" s="231"/>
      <c r="AE279" s="231"/>
      <c r="AF279" s="231"/>
      <c r="AG279" s="231"/>
      <c r="AH279" s="231"/>
      <c r="AI279" s="231"/>
    </row>
    <row r="280" spans="1:35" s="203" customFormat="1" ht="12.75" customHeight="1">
      <c r="A280" s="106" t="s">
        <v>18</v>
      </c>
      <c r="B280" s="164"/>
      <c r="C280" s="164"/>
      <c r="D280" s="164"/>
      <c r="E280" s="856" t="s">
        <v>377</v>
      </c>
      <c r="F280" s="856" t="s">
        <v>402</v>
      </c>
      <c r="G280" s="130"/>
      <c r="H280" s="856" t="s">
        <v>403</v>
      </c>
      <c r="I280" s="21"/>
      <c r="J280" s="231"/>
      <c r="K280" s="231"/>
      <c r="L280" s="231"/>
      <c r="M280" s="231"/>
      <c r="N280" s="231"/>
      <c r="O280" s="231"/>
      <c r="P280" s="231"/>
      <c r="Q280" s="231"/>
      <c r="R280" s="231"/>
      <c r="S280" s="231"/>
      <c r="T280" s="231"/>
      <c r="U280" s="231"/>
      <c r="V280" s="231"/>
      <c r="W280" s="231"/>
      <c r="X280" s="231"/>
      <c r="Y280" s="231"/>
      <c r="Z280" s="231"/>
      <c r="AA280" s="231"/>
      <c r="AB280" s="231"/>
      <c r="AC280" s="231"/>
      <c r="AD280" s="231"/>
      <c r="AE280" s="231"/>
      <c r="AF280" s="231"/>
      <c r="AG280" s="231"/>
      <c r="AH280" s="231"/>
      <c r="AI280" s="231"/>
    </row>
    <row r="281" spans="1:35" s="203" customFormat="1">
      <c r="A281" s="165"/>
      <c r="B281" s="47"/>
      <c r="C281" s="47"/>
      <c r="D281" s="47"/>
      <c r="E281" s="859"/>
      <c r="F281" s="859"/>
      <c r="G281" s="130"/>
      <c r="H281" s="859"/>
      <c r="I281" s="21"/>
      <c r="J281" s="231"/>
      <c r="K281" s="231"/>
      <c r="L281" s="231"/>
      <c r="M281" s="231"/>
      <c r="N281" s="231"/>
      <c r="O281" s="231"/>
      <c r="P281" s="231"/>
      <c r="Q281" s="231"/>
      <c r="R281" s="231"/>
      <c r="S281" s="231"/>
      <c r="T281" s="231"/>
      <c r="U281" s="231"/>
      <c r="V281" s="231"/>
      <c r="W281" s="231"/>
      <c r="X281" s="231"/>
      <c r="Y281" s="231"/>
      <c r="Z281" s="231"/>
      <c r="AA281" s="231"/>
      <c r="AB281" s="231"/>
      <c r="AC281" s="231"/>
      <c r="AD281" s="231"/>
      <c r="AE281" s="231"/>
      <c r="AF281" s="231"/>
      <c r="AG281" s="231"/>
      <c r="AH281" s="231"/>
      <c r="AI281" s="231"/>
    </row>
    <row r="282" spans="1:35" s="203" customFormat="1" ht="21.75" customHeight="1">
      <c r="A282" s="109"/>
      <c r="B282" s="174"/>
      <c r="C282" s="174"/>
      <c r="D282" s="174"/>
      <c r="E282" s="859"/>
      <c r="F282" s="859"/>
      <c r="G282" s="130"/>
      <c r="H282" s="859"/>
      <c r="I282" s="21"/>
      <c r="J282" s="231"/>
      <c r="K282" s="231"/>
      <c r="L282" s="231"/>
      <c r="M282" s="231"/>
      <c r="N282" s="231"/>
      <c r="O282" s="231"/>
      <c r="P282" s="231"/>
      <c r="Q282" s="231"/>
      <c r="R282" s="231"/>
      <c r="S282" s="231"/>
      <c r="T282" s="231"/>
      <c r="U282" s="231"/>
      <c r="V282" s="231"/>
      <c r="W282" s="231"/>
      <c r="X282" s="231"/>
      <c r="Y282" s="231"/>
      <c r="Z282" s="231"/>
      <c r="AA282" s="231"/>
      <c r="AB282" s="231"/>
      <c r="AC282" s="231"/>
      <c r="AD282" s="231"/>
      <c r="AE282" s="231"/>
      <c r="AF282" s="231"/>
      <c r="AG282" s="231"/>
      <c r="AH282" s="231"/>
      <c r="AI282" s="231"/>
    </row>
    <row r="283" spans="1:35" s="203" customFormat="1">
      <c r="A283" s="154" t="s">
        <v>215</v>
      </c>
      <c r="B283" s="47"/>
      <c r="C283" s="47"/>
      <c r="D283" s="47"/>
      <c r="E283" s="859"/>
      <c r="F283" s="859"/>
      <c r="G283" s="130"/>
      <c r="H283" s="859"/>
      <c r="I283" s="21"/>
      <c r="J283" s="231"/>
      <c r="K283" s="231"/>
      <c r="L283" s="231"/>
      <c r="M283" s="231"/>
      <c r="N283" s="231"/>
      <c r="O283" s="231"/>
      <c r="P283" s="231"/>
      <c r="Q283" s="231"/>
      <c r="R283" s="231"/>
      <c r="S283" s="231"/>
      <c r="T283" s="231"/>
      <c r="U283" s="231"/>
      <c r="V283" s="231"/>
      <c r="W283" s="231"/>
      <c r="X283" s="231"/>
      <c r="Y283" s="231"/>
      <c r="Z283" s="231"/>
      <c r="AA283" s="231"/>
      <c r="AB283" s="231"/>
      <c r="AC283" s="231"/>
      <c r="AD283" s="231"/>
      <c r="AE283" s="231"/>
      <c r="AF283" s="231"/>
      <c r="AG283" s="231"/>
      <c r="AH283" s="231"/>
      <c r="AI283" s="231"/>
    </row>
    <row r="284" spans="1:35" s="203" customFormat="1">
      <c r="A284" s="109" t="s">
        <v>83</v>
      </c>
      <c r="B284" s="174"/>
      <c r="C284" s="174"/>
      <c r="D284" s="174"/>
      <c r="E284" s="860"/>
      <c r="F284" s="860"/>
      <c r="G284" s="130"/>
      <c r="H284" s="860"/>
      <c r="I284" s="21"/>
      <c r="J284" s="231"/>
      <c r="K284" s="231"/>
      <c r="L284" s="231"/>
      <c r="M284" s="231"/>
      <c r="N284" s="231"/>
      <c r="O284" s="231"/>
      <c r="P284" s="231"/>
      <c r="Q284" s="231"/>
      <c r="R284" s="231"/>
      <c r="S284" s="231"/>
      <c r="T284" s="231"/>
      <c r="U284" s="231"/>
      <c r="V284" s="231"/>
      <c r="W284" s="231"/>
      <c r="X284" s="231"/>
      <c r="Y284" s="231"/>
      <c r="Z284" s="231"/>
      <c r="AA284" s="231"/>
      <c r="AB284" s="231"/>
      <c r="AC284" s="231"/>
      <c r="AD284" s="231"/>
      <c r="AE284" s="231"/>
      <c r="AF284" s="231"/>
      <c r="AG284" s="231"/>
      <c r="AH284" s="231"/>
      <c r="AI284" s="231"/>
    </row>
    <row r="285" spans="1:35" s="203" customFormat="1">
      <c r="A285" s="110" t="s">
        <v>84</v>
      </c>
      <c r="B285" s="116"/>
      <c r="C285" s="116"/>
      <c r="D285" s="116"/>
      <c r="E285" s="178"/>
      <c r="F285" s="146"/>
      <c r="G285" s="118"/>
      <c r="H285" s="146"/>
      <c r="I285" s="21"/>
      <c r="J285" s="231"/>
      <c r="K285" s="231"/>
      <c r="L285" s="231"/>
      <c r="M285" s="231"/>
      <c r="N285" s="231"/>
      <c r="O285" s="231"/>
      <c r="P285" s="231"/>
      <c r="Q285" s="231"/>
      <c r="R285" s="231"/>
      <c r="S285" s="231"/>
      <c r="T285" s="231"/>
      <c r="U285" s="231"/>
      <c r="V285" s="231"/>
      <c r="W285" s="231"/>
      <c r="X285" s="231"/>
      <c r="Y285" s="231"/>
      <c r="Z285" s="231"/>
      <c r="AA285" s="231"/>
      <c r="AB285" s="231"/>
      <c r="AC285" s="231"/>
      <c r="AD285" s="231"/>
      <c r="AE285" s="231"/>
      <c r="AF285" s="231"/>
      <c r="AG285" s="231"/>
      <c r="AH285" s="231"/>
      <c r="AI285" s="231"/>
    </row>
    <row r="286" spans="1:35" s="203" customFormat="1">
      <c r="A286" s="120">
        <v>1</v>
      </c>
      <c r="B286" s="47" t="s">
        <v>216</v>
      </c>
      <c r="C286" s="47"/>
      <c r="D286" s="47"/>
      <c r="E286" s="74">
        <v>366</v>
      </c>
      <c r="F286" s="52">
        <v>-490</v>
      </c>
      <c r="G286" s="118"/>
      <c r="H286" s="122">
        <v>-303</v>
      </c>
      <c r="I286" s="21"/>
      <c r="J286" s="231"/>
      <c r="K286" s="231"/>
      <c r="L286" s="231"/>
      <c r="M286" s="231"/>
      <c r="N286" s="231"/>
      <c r="O286" s="231"/>
      <c r="P286" s="231"/>
      <c r="Q286" s="231"/>
      <c r="R286" s="231"/>
      <c r="S286" s="231"/>
      <c r="T286" s="231"/>
      <c r="U286" s="231"/>
      <c r="V286" s="231"/>
      <c r="W286" s="231"/>
      <c r="X286" s="231"/>
      <c r="Y286" s="231"/>
      <c r="Z286" s="231"/>
      <c r="AA286" s="231"/>
      <c r="AB286" s="231"/>
      <c r="AC286" s="231"/>
      <c r="AD286" s="231"/>
      <c r="AE286" s="231"/>
      <c r="AF286" s="231"/>
      <c r="AG286" s="231"/>
      <c r="AH286" s="231"/>
      <c r="AI286" s="231"/>
    </row>
    <row r="287" spans="1:35" s="203" customFormat="1">
      <c r="A287" s="805">
        <v>2</v>
      </c>
      <c r="B287" s="47" t="s">
        <v>217</v>
      </c>
      <c r="C287" s="47"/>
      <c r="D287" s="47"/>
      <c r="E287" s="114">
        <v>416</v>
      </c>
      <c r="F287" s="52">
        <v>329</v>
      </c>
      <c r="G287" s="118"/>
      <c r="H287" s="122">
        <v>374</v>
      </c>
      <c r="I287" s="21"/>
      <c r="J287" s="231"/>
      <c r="K287" s="231"/>
      <c r="L287" s="231"/>
      <c r="M287" s="231"/>
      <c r="N287" s="231"/>
      <c r="O287" s="231"/>
      <c r="P287" s="231"/>
      <c r="Q287" s="231"/>
      <c r="R287" s="231"/>
      <c r="S287" s="231"/>
      <c r="T287" s="231"/>
      <c r="U287" s="231"/>
      <c r="V287" s="231"/>
      <c r="W287" s="231"/>
      <c r="X287" s="231"/>
      <c r="Y287" s="231"/>
      <c r="Z287" s="231"/>
      <c r="AA287" s="231"/>
      <c r="AB287" s="231"/>
      <c r="AC287" s="231"/>
      <c r="AD287" s="231"/>
      <c r="AE287" s="231"/>
      <c r="AF287" s="231"/>
      <c r="AG287" s="231"/>
      <c r="AH287" s="231"/>
      <c r="AI287" s="231"/>
    </row>
    <row r="288" spans="1:35" s="203" customFormat="1">
      <c r="A288" s="120">
        <v>3</v>
      </c>
      <c r="B288" s="90" t="s">
        <v>218</v>
      </c>
      <c r="C288" s="166"/>
      <c r="D288" s="168"/>
      <c r="E288" s="114">
        <v>4224</v>
      </c>
      <c r="F288" s="52">
        <v>3264</v>
      </c>
      <c r="G288" s="118"/>
      <c r="H288" s="122">
        <v>3596</v>
      </c>
      <c r="I288" s="21"/>
      <c r="J288" s="231"/>
      <c r="K288" s="231"/>
      <c r="L288" s="231"/>
      <c r="M288" s="231"/>
      <c r="N288" s="231"/>
      <c r="O288" s="231"/>
      <c r="P288" s="231"/>
      <c r="Q288" s="231"/>
      <c r="R288" s="231"/>
      <c r="S288" s="231"/>
      <c r="T288" s="231"/>
      <c r="U288" s="231"/>
      <c r="V288" s="231"/>
      <c r="W288" s="231"/>
      <c r="X288" s="231"/>
      <c r="Y288" s="231"/>
      <c r="Z288" s="231"/>
      <c r="AA288" s="231"/>
      <c r="AB288" s="231"/>
      <c r="AC288" s="231"/>
      <c r="AD288" s="231"/>
      <c r="AE288" s="231"/>
      <c r="AF288" s="231"/>
      <c r="AG288" s="231"/>
      <c r="AH288" s="231"/>
      <c r="AI288" s="231"/>
    </row>
    <row r="289" spans="1:35" s="203" customFormat="1">
      <c r="A289" s="805">
        <v>4</v>
      </c>
      <c r="B289" s="47" t="s">
        <v>219</v>
      </c>
      <c r="C289" s="47"/>
      <c r="D289" s="116"/>
      <c r="E289" s="114">
        <v>179</v>
      </c>
      <c r="F289" s="52">
        <v>184</v>
      </c>
      <c r="G289" s="118"/>
      <c r="H289" s="122">
        <v>189</v>
      </c>
      <c r="I289" s="21"/>
      <c r="J289" s="231"/>
      <c r="K289" s="231"/>
      <c r="L289" s="231"/>
      <c r="M289" s="231"/>
      <c r="N289" s="231"/>
      <c r="O289" s="231"/>
      <c r="P289" s="231"/>
      <c r="Q289" s="231"/>
      <c r="R289" s="231"/>
      <c r="S289" s="231"/>
      <c r="T289" s="231"/>
      <c r="U289" s="231"/>
      <c r="V289" s="231"/>
      <c r="W289" s="231"/>
      <c r="X289" s="231"/>
      <c r="Y289" s="231"/>
      <c r="Z289" s="231"/>
      <c r="AA289" s="231"/>
      <c r="AB289" s="231"/>
      <c r="AC289" s="231"/>
      <c r="AD289" s="231"/>
      <c r="AE289" s="231"/>
      <c r="AF289" s="231"/>
      <c r="AG289" s="231"/>
      <c r="AH289" s="231"/>
      <c r="AI289" s="231"/>
    </row>
    <row r="290" spans="1:35" s="203" customFormat="1">
      <c r="A290" s="805">
        <v>5</v>
      </c>
      <c r="B290" s="47" t="s">
        <v>220</v>
      </c>
      <c r="C290" s="47"/>
      <c r="D290" s="47"/>
      <c r="E290" s="114">
        <v>402</v>
      </c>
      <c r="F290" s="52">
        <v>797</v>
      </c>
      <c r="G290" s="118"/>
      <c r="H290" s="122">
        <v>1018</v>
      </c>
      <c r="I290" s="21"/>
      <c r="J290" s="231"/>
      <c r="K290" s="231"/>
      <c r="L290" s="231"/>
      <c r="M290" s="231"/>
      <c r="N290" s="231"/>
      <c r="O290" s="231"/>
      <c r="P290" s="231"/>
      <c r="Q290" s="231"/>
      <c r="R290" s="231"/>
      <c r="S290" s="231"/>
      <c r="T290" s="231"/>
      <c r="U290" s="231"/>
      <c r="V290" s="231"/>
      <c r="W290" s="231"/>
      <c r="X290" s="231"/>
      <c r="Y290" s="231"/>
      <c r="Z290" s="231"/>
      <c r="AA290" s="231"/>
      <c r="AB290" s="231"/>
      <c r="AC290" s="231"/>
      <c r="AD290" s="231"/>
      <c r="AE290" s="231"/>
      <c r="AF290" s="231"/>
      <c r="AG290" s="231"/>
      <c r="AH290" s="231"/>
      <c r="AI290" s="231"/>
    </row>
    <row r="291" spans="1:35" s="203" customFormat="1">
      <c r="A291" s="120">
        <v>6</v>
      </c>
      <c r="B291" s="47" t="s">
        <v>221</v>
      </c>
      <c r="C291" s="47"/>
      <c r="D291" s="47"/>
      <c r="E291" s="114">
        <v>448</v>
      </c>
      <c r="F291" s="52">
        <v>589</v>
      </c>
      <c r="G291" s="118"/>
      <c r="H291" s="122">
        <v>593</v>
      </c>
      <c r="I291" s="21"/>
      <c r="J291" s="231"/>
      <c r="K291" s="231"/>
      <c r="L291" s="231"/>
      <c r="M291" s="231"/>
      <c r="N291" s="231"/>
      <c r="O291" s="231"/>
      <c r="P291" s="231"/>
      <c r="Q291" s="231"/>
      <c r="R291" s="231"/>
      <c r="S291" s="231"/>
      <c r="T291" s="231"/>
      <c r="U291" s="231"/>
      <c r="V291" s="231"/>
      <c r="W291" s="231"/>
      <c r="X291" s="231"/>
      <c r="Y291" s="231"/>
      <c r="Z291" s="231"/>
      <c r="AA291" s="231"/>
      <c r="AB291" s="231"/>
      <c r="AC291" s="231"/>
      <c r="AD291" s="231"/>
      <c r="AE291" s="231"/>
      <c r="AF291" s="231"/>
      <c r="AG291" s="231"/>
      <c r="AH291" s="231"/>
      <c r="AI291" s="231"/>
    </row>
    <row r="292" spans="1:35" s="203" customFormat="1">
      <c r="A292" s="805">
        <v>7</v>
      </c>
      <c r="B292" s="47" t="s">
        <v>222</v>
      </c>
      <c r="C292" s="47"/>
      <c r="D292" s="116"/>
      <c r="E292" s="114">
        <v>1186</v>
      </c>
      <c r="F292" s="52">
        <v>1628</v>
      </c>
      <c r="G292" s="118"/>
      <c r="H292" s="122">
        <v>1594</v>
      </c>
      <c r="I292" s="21"/>
      <c r="J292" s="231"/>
      <c r="K292" s="231"/>
      <c r="L292" s="231"/>
      <c r="M292" s="231"/>
      <c r="N292" s="231"/>
      <c r="O292" s="231"/>
      <c r="P292" s="231"/>
      <c r="Q292" s="231"/>
      <c r="R292" s="231"/>
      <c r="S292" s="231"/>
      <c r="T292" s="231"/>
      <c r="U292" s="231"/>
      <c r="V292" s="231"/>
      <c r="W292" s="231"/>
      <c r="X292" s="231"/>
      <c r="Y292" s="231"/>
      <c r="Z292" s="231"/>
      <c r="AA292" s="231"/>
      <c r="AB292" s="231"/>
      <c r="AC292" s="231"/>
      <c r="AD292" s="231"/>
      <c r="AE292" s="231"/>
      <c r="AF292" s="231"/>
      <c r="AG292" s="231"/>
      <c r="AH292" s="231"/>
      <c r="AI292" s="231"/>
    </row>
    <row r="293" spans="1:35" s="203" customFormat="1">
      <c r="A293" s="120">
        <v>8</v>
      </c>
      <c r="B293" s="47" t="s">
        <v>223</v>
      </c>
      <c r="C293" s="47"/>
      <c r="D293" s="116"/>
      <c r="E293" s="114">
        <v>1461</v>
      </c>
      <c r="F293" s="52">
        <v>2087</v>
      </c>
      <c r="G293" s="118"/>
      <c r="H293" s="122">
        <v>2463</v>
      </c>
      <c r="I293" s="21"/>
      <c r="J293" s="231"/>
      <c r="K293" s="231"/>
      <c r="L293" s="231"/>
      <c r="M293" s="231"/>
      <c r="N293" s="231"/>
      <c r="O293" s="231"/>
      <c r="P293" s="231"/>
      <c r="Q293" s="231"/>
      <c r="R293" s="231"/>
      <c r="S293" s="231"/>
      <c r="T293" s="231"/>
      <c r="U293" s="231"/>
      <c r="V293" s="231"/>
      <c r="W293" s="231"/>
      <c r="X293" s="231"/>
      <c r="Y293" s="231"/>
      <c r="Z293" s="231"/>
      <c r="AA293" s="231"/>
      <c r="AB293" s="231"/>
      <c r="AC293" s="231"/>
      <c r="AD293" s="231"/>
      <c r="AE293" s="231"/>
      <c r="AF293" s="231"/>
      <c r="AG293" s="231"/>
      <c r="AH293" s="231"/>
      <c r="AI293" s="231"/>
    </row>
    <row r="294" spans="1:35" s="203" customFormat="1">
      <c r="A294" s="805">
        <v>9</v>
      </c>
      <c r="B294" s="47" t="s">
        <v>224</v>
      </c>
      <c r="C294" s="47"/>
      <c r="D294" s="116"/>
      <c r="E294" s="114">
        <v>678</v>
      </c>
      <c r="F294" s="52">
        <v>930</v>
      </c>
      <c r="G294" s="118"/>
      <c r="H294" s="122">
        <v>911</v>
      </c>
      <c r="I294" s="21"/>
      <c r="J294" s="231"/>
      <c r="K294" s="231"/>
      <c r="L294" s="231"/>
      <c r="M294" s="231"/>
      <c r="N294" s="231"/>
      <c r="O294" s="231"/>
      <c r="P294" s="231"/>
      <c r="Q294" s="231"/>
      <c r="R294" s="231"/>
      <c r="S294" s="231"/>
      <c r="T294" s="231"/>
      <c r="U294" s="231"/>
      <c r="V294" s="231"/>
      <c r="W294" s="231"/>
      <c r="X294" s="231"/>
      <c r="Y294" s="231"/>
      <c r="Z294" s="231"/>
      <c r="AA294" s="231"/>
      <c r="AB294" s="231"/>
      <c r="AC294" s="231"/>
      <c r="AD294" s="231"/>
      <c r="AE294" s="231"/>
      <c r="AF294" s="231"/>
      <c r="AG294" s="231"/>
      <c r="AH294" s="231"/>
      <c r="AI294" s="231"/>
    </row>
    <row r="295" spans="1:35" s="203" customFormat="1">
      <c r="A295" s="120">
        <v>10</v>
      </c>
      <c r="B295" s="47" t="s">
        <v>225</v>
      </c>
      <c r="C295" s="47"/>
      <c r="D295" s="47"/>
      <c r="E295" s="114">
        <v>-226</v>
      </c>
      <c r="F295" s="52">
        <v>303</v>
      </c>
      <c r="G295" s="118"/>
      <c r="H295" s="122">
        <v>313</v>
      </c>
      <c r="I295" s="21"/>
      <c r="J295" s="231"/>
      <c r="K295" s="231"/>
      <c r="L295" s="231"/>
      <c r="M295" s="231"/>
      <c r="N295" s="231"/>
      <c r="O295" s="231"/>
      <c r="P295" s="231"/>
      <c r="Q295" s="231"/>
      <c r="R295" s="231"/>
      <c r="S295" s="231"/>
      <c r="T295" s="231"/>
      <c r="U295" s="231"/>
      <c r="V295" s="231"/>
      <c r="W295" s="231"/>
      <c r="X295" s="231"/>
      <c r="Y295" s="231"/>
      <c r="Z295" s="231"/>
      <c r="AA295" s="231"/>
      <c r="AB295" s="231"/>
      <c r="AC295" s="231"/>
      <c r="AD295" s="231"/>
      <c r="AE295" s="231"/>
      <c r="AF295" s="231"/>
      <c r="AG295" s="231"/>
      <c r="AH295" s="231"/>
      <c r="AI295" s="231"/>
    </row>
    <row r="296" spans="1:35" s="203" customFormat="1">
      <c r="A296" s="805">
        <v>11</v>
      </c>
      <c r="B296" s="47" t="s">
        <v>226</v>
      </c>
      <c r="C296" s="47"/>
      <c r="D296" s="47"/>
      <c r="E296" s="114">
        <v>0</v>
      </c>
      <c r="F296" s="52">
        <v>0</v>
      </c>
      <c r="G296" s="118"/>
      <c r="H296" s="122">
        <v>0</v>
      </c>
      <c r="I296" s="21"/>
      <c r="J296" s="231"/>
      <c r="K296" s="231"/>
      <c r="L296" s="231"/>
      <c r="M296" s="231"/>
      <c r="N296" s="231"/>
      <c r="O296" s="231"/>
      <c r="P296" s="231"/>
      <c r="Q296" s="231"/>
      <c r="R296" s="231"/>
      <c r="S296" s="231"/>
      <c r="T296" s="231"/>
      <c r="U296" s="231"/>
      <c r="V296" s="231"/>
      <c r="W296" s="231"/>
      <c r="X296" s="231"/>
      <c r="Y296" s="231"/>
      <c r="Z296" s="231"/>
      <c r="AA296" s="231"/>
      <c r="AB296" s="231"/>
      <c r="AC296" s="231"/>
      <c r="AD296" s="231"/>
      <c r="AE296" s="231"/>
      <c r="AF296" s="231"/>
      <c r="AG296" s="231"/>
      <c r="AH296" s="231"/>
      <c r="AI296" s="231"/>
    </row>
    <row r="297" spans="1:35" s="203" customFormat="1">
      <c r="A297" s="120">
        <v>12</v>
      </c>
      <c r="B297" s="47" t="s">
        <v>227</v>
      </c>
      <c r="C297" s="47"/>
      <c r="D297" s="47"/>
      <c r="E297" s="114">
        <v>773</v>
      </c>
      <c r="F297" s="52">
        <v>1414</v>
      </c>
      <c r="G297" s="118"/>
      <c r="H297" s="122">
        <v>1553</v>
      </c>
      <c r="I297" s="21"/>
      <c r="J297" s="231"/>
      <c r="K297" s="231"/>
      <c r="L297" s="231"/>
      <c r="M297" s="231"/>
      <c r="N297" s="231"/>
      <c r="O297" s="231"/>
      <c r="P297" s="231"/>
      <c r="Q297" s="231"/>
      <c r="R297" s="231"/>
      <c r="S297" s="231"/>
      <c r="T297" s="231"/>
      <c r="U297" s="231"/>
      <c r="V297" s="231"/>
      <c r="W297" s="231"/>
      <c r="X297" s="231"/>
      <c r="Y297" s="231"/>
      <c r="Z297" s="231"/>
      <c r="AA297" s="231"/>
      <c r="AB297" s="231"/>
      <c r="AC297" s="231"/>
      <c r="AD297" s="231"/>
      <c r="AE297" s="231"/>
      <c r="AF297" s="231"/>
      <c r="AG297" s="231"/>
      <c r="AH297" s="231"/>
      <c r="AI297" s="231"/>
    </row>
    <row r="298" spans="1:35" s="203" customFormat="1">
      <c r="A298" s="805">
        <v>13</v>
      </c>
      <c r="B298" s="47" t="s">
        <v>228</v>
      </c>
      <c r="C298" s="47"/>
      <c r="D298" s="47"/>
      <c r="E298" s="114">
        <v>12062</v>
      </c>
      <c r="F298" s="52">
        <v>12868</v>
      </c>
      <c r="G298" s="118"/>
      <c r="H298" s="122">
        <f>31882-21093</f>
        <v>10789</v>
      </c>
      <c r="I298" s="21"/>
      <c r="J298" s="231"/>
      <c r="K298" s="231"/>
      <c r="L298" s="231"/>
      <c r="M298" s="231"/>
      <c r="N298" s="231"/>
      <c r="O298" s="231"/>
      <c r="P298" s="231"/>
      <c r="Q298" s="231"/>
      <c r="R298" s="231"/>
      <c r="S298" s="231"/>
      <c r="T298" s="231"/>
      <c r="U298" s="231"/>
      <c r="V298" s="231"/>
      <c r="W298" s="231"/>
      <c r="X298" s="231"/>
      <c r="Y298" s="231"/>
      <c r="Z298" s="231"/>
      <c r="AA298" s="231"/>
      <c r="AB298" s="231"/>
      <c r="AC298" s="231"/>
      <c r="AD298" s="231"/>
      <c r="AE298" s="231"/>
      <c r="AF298" s="231"/>
      <c r="AG298" s="231"/>
      <c r="AH298" s="231"/>
      <c r="AI298" s="231"/>
    </row>
    <row r="299" spans="1:35" s="203" customFormat="1">
      <c r="A299" s="120">
        <v>14</v>
      </c>
      <c r="B299" s="47" t="s">
        <v>229</v>
      </c>
      <c r="C299" s="47"/>
      <c r="D299" s="116"/>
      <c r="E299" s="114">
        <v>0</v>
      </c>
      <c r="F299" s="52">
        <v>0</v>
      </c>
      <c r="G299" s="118"/>
      <c r="H299" s="122">
        <v>0</v>
      </c>
      <c r="I299" s="21"/>
      <c r="J299" s="231"/>
      <c r="K299" s="231"/>
      <c r="L299" s="231"/>
      <c r="M299" s="231"/>
      <c r="N299" s="231"/>
      <c r="O299" s="231"/>
      <c r="P299" s="231"/>
      <c r="Q299" s="231"/>
      <c r="R299" s="231"/>
      <c r="S299" s="231"/>
      <c r="T299" s="231"/>
      <c r="U299" s="231"/>
      <c r="V299" s="231"/>
      <c r="W299" s="231"/>
      <c r="X299" s="231"/>
      <c r="Y299" s="231"/>
      <c r="Z299" s="231"/>
      <c r="AA299" s="231"/>
      <c r="AB299" s="231"/>
      <c r="AC299" s="231"/>
      <c r="AD299" s="231"/>
      <c r="AE299" s="231"/>
      <c r="AF299" s="231"/>
      <c r="AG299" s="231"/>
      <c r="AH299" s="231"/>
      <c r="AI299" s="231"/>
    </row>
    <row r="300" spans="1:35" s="203" customFormat="1">
      <c r="A300" s="805">
        <v>15</v>
      </c>
      <c r="B300" s="47" t="s">
        <v>230</v>
      </c>
      <c r="C300" s="47"/>
      <c r="D300" s="116"/>
      <c r="E300" s="114">
        <v>16776</v>
      </c>
      <c r="F300" s="52">
        <v>19452</v>
      </c>
      <c r="G300" s="118"/>
      <c r="H300" s="122">
        <v>17151</v>
      </c>
      <c r="I300" s="21"/>
      <c r="J300" s="231"/>
      <c r="K300" s="231"/>
      <c r="L300" s="231"/>
      <c r="M300" s="231"/>
      <c r="N300" s="231"/>
      <c r="O300" s="231"/>
      <c r="P300" s="231"/>
      <c r="Q300" s="231"/>
      <c r="R300" s="231"/>
      <c r="S300" s="231"/>
      <c r="T300" s="231"/>
      <c r="U300" s="231"/>
      <c r="V300" s="231"/>
      <c r="W300" s="231"/>
      <c r="X300" s="231"/>
      <c r="Y300" s="231"/>
      <c r="Z300" s="231"/>
      <c r="AA300" s="231"/>
      <c r="AB300" s="231"/>
      <c r="AC300" s="231"/>
      <c r="AD300" s="231"/>
      <c r="AE300" s="231"/>
      <c r="AF300" s="231"/>
      <c r="AG300" s="231"/>
      <c r="AH300" s="231"/>
      <c r="AI300" s="231"/>
    </row>
    <row r="301" spans="1:35" s="203" customFormat="1">
      <c r="A301" s="120">
        <v>17</v>
      </c>
      <c r="B301" s="47" t="s">
        <v>231</v>
      </c>
      <c r="C301" s="47"/>
      <c r="D301" s="47"/>
      <c r="E301" s="114">
        <v>-2601</v>
      </c>
      <c r="F301" s="52">
        <v>-3480</v>
      </c>
      <c r="G301" s="118"/>
      <c r="H301" s="99">
        <v>-3513</v>
      </c>
      <c r="I301" s="21"/>
      <c r="J301" s="231"/>
      <c r="K301" s="231"/>
      <c r="L301" s="231"/>
      <c r="M301" s="231"/>
      <c r="N301" s="231"/>
      <c r="O301" s="231"/>
      <c r="P301" s="231"/>
      <c r="Q301" s="231"/>
      <c r="R301" s="231"/>
      <c r="S301" s="231"/>
      <c r="T301" s="231"/>
      <c r="U301" s="231"/>
      <c r="V301" s="231"/>
      <c r="W301" s="231"/>
      <c r="X301" s="231"/>
      <c r="Y301" s="231"/>
      <c r="Z301" s="231"/>
      <c r="AA301" s="231"/>
      <c r="AB301" s="231"/>
      <c r="AC301" s="231"/>
      <c r="AD301" s="231"/>
      <c r="AE301" s="231"/>
      <c r="AF301" s="231"/>
      <c r="AG301" s="231"/>
      <c r="AH301" s="231"/>
      <c r="AI301" s="231"/>
    </row>
    <row r="302" spans="1:35" s="203" customFormat="1">
      <c r="A302" s="806">
        <v>18</v>
      </c>
      <c r="B302" s="94" t="s">
        <v>232</v>
      </c>
      <c r="C302" s="94"/>
      <c r="D302" s="94"/>
      <c r="E302" s="159">
        <v>36144</v>
      </c>
      <c r="F302" s="61">
        <f>SUM(F286:F301)</f>
        <v>39875</v>
      </c>
      <c r="G302" s="118"/>
      <c r="H302" s="61">
        <f>SUM(H286:H301)</f>
        <v>36728</v>
      </c>
      <c r="I302" s="21"/>
      <c r="J302" s="231"/>
      <c r="K302" s="231"/>
      <c r="L302" s="231"/>
      <c r="M302" s="231"/>
      <c r="N302" s="231"/>
      <c r="O302" s="231"/>
      <c r="P302" s="231"/>
      <c r="Q302" s="231"/>
      <c r="R302" s="231"/>
      <c r="S302" s="231"/>
      <c r="T302" s="231"/>
      <c r="U302" s="231"/>
      <c r="V302" s="231"/>
      <c r="W302" s="231"/>
      <c r="X302" s="231"/>
      <c r="Y302" s="231"/>
      <c r="Z302" s="231"/>
      <c r="AA302" s="231"/>
      <c r="AB302" s="231"/>
      <c r="AC302" s="231"/>
      <c r="AD302" s="231"/>
      <c r="AE302" s="231"/>
      <c r="AF302" s="231"/>
      <c r="AG302" s="231"/>
      <c r="AH302" s="231"/>
      <c r="AI302" s="231"/>
    </row>
    <row r="303" spans="1:35" s="203" customFormat="1">
      <c r="A303" s="179"/>
      <c r="B303" s="180"/>
      <c r="C303" s="180"/>
      <c r="D303" s="181"/>
      <c r="E303" s="182"/>
      <c r="F303" s="183"/>
      <c r="G303" s="21"/>
      <c r="H303" s="183"/>
      <c r="I303" s="21"/>
      <c r="J303" s="231"/>
      <c r="K303" s="231"/>
      <c r="L303" s="231"/>
      <c r="M303" s="231"/>
      <c r="N303" s="231"/>
      <c r="O303" s="231"/>
      <c r="P303" s="231"/>
      <c r="Q303" s="231"/>
      <c r="R303" s="231"/>
      <c r="S303" s="231"/>
      <c r="T303" s="231"/>
      <c r="U303" s="231"/>
      <c r="V303" s="231"/>
      <c r="W303" s="231"/>
      <c r="X303" s="231"/>
      <c r="Y303" s="231"/>
      <c r="Z303" s="231"/>
      <c r="AA303" s="231"/>
      <c r="AB303" s="231"/>
      <c r="AC303" s="231"/>
      <c r="AD303" s="231"/>
      <c r="AE303" s="231"/>
      <c r="AF303" s="231"/>
      <c r="AG303" s="231"/>
      <c r="AH303" s="231"/>
      <c r="AI303" s="231"/>
    </row>
    <row r="304" spans="1:35" s="203" customFormat="1">
      <c r="A304" s="184"/>
      <c r="B304" s="207"/>
      <c r="C304" s="207"/>
      <c r="D304" s="209"/>
      <c r="E304" s="185"/>
      <c r="F304" s="207"/>
      <c r="G304" s="207"/>
      <c r="H304" s="131" t="s">
        <v>27</v>
      </c>
      <c r="I304" s="21"/>
      <c r="J304" s="231"/>
      <c r="K304" s="231"/>
      <c r="L304" s="231"/>
      <c r="M304" s="231"/>
      <c r="N304" s="231"/>
      <c r="O304" s="231"/>
      <c r="P304" s="231"/>
      <c r="Q304" s="231"/>
      <c r="R304" s="231"/>
      <c r="S304" s="231"/>
      <c r="T304" s="231"/>
      <c r="U304" s="231"/>
      <c r="V304" s="231"/>
      <c r="W304" s="231"/>
      <c r="X304" s="231"/>
      <c r="Y304" s="231"/>
      <c r="Z304" s="231"/>
      <c r="AA304" s="231"/>
      <c r="AB304" s="231"/>
      <c r="AC304" s="231"/>
      <c r="AD304" s="231"/>
      <c r="AE304" s="231"/>
      <c r="AF304" s="231"/>
      <c r="AG304" s="231"/>
      <c r="AH304" s="231"/>
      <c r="AI304" s="231"/>
    </row>
    <row r="305" spans="1:35" s="203" customFormat="1" ht="12.75" customHeight="1">
      <c r="A305" s="106" t="s">
        <v>21</v>
      </c>
      <c r="B305" s="164"/>
      <c r="C305" s="164"/>
      <c r="D305" s="164"/>
      <c r="E305" s="856" t="s">
        <v>377</v>
      </c>
      <c r="F305" s="856" t="s">
        <v>402</v>
      </c>
      <c r="G305" s="130"/>
      <c r="H305" s="856" t="s">
        <v>403</v>
      </c>
      <c r="I305" s="21"/>
      <c r="J305" s="231"/>
      <c r="K305" s="231"/>
      <c r="L305" s="231"/>
      <c r="M305" s="231"/>
      <c r="N305" s="231"/>
      <c r="O305" s="231"/>
      <c r="P305" s="231"/>
      <c r="Q305" s="231"/>
      <c r="R305" s="231"/>
      <c r="S305" s="231"/>
      <c r="T305" s="231"/>
      <c r="U305" s="231"/>
      <c r="V305" s="231"/>
      <c r="W305" s="231"/>
      <c r="X305" s="231"/>
      <c r="Y305" s="231"/>
      <c r="Z305" s="231"/>
      <c r="AA305" s="231"/>
      <c r="AB305" s="231"/>
      <c r="AC305" s="231"/>
      <c r="AD305" s="231"/>
      <c r="AE305" s="231"/>
      <c r="AF305" s="231"/>
      <c r="AG305" s="231"/>
      <c r="AH305" s="231"/>
      <c r="AI305" s="231"/>
    </row>
    <row r="306" spans="1:35" s="203" customFormat="1">
      <c r="A306" s="165"/>
      <c r="B306" s="47"/>
      <c r="C306" s="47"/>
      <c r="D306" s="47"/>
      <c r="E306" s="859"/>
      <c r="F306" s="859"/>
      <c r="G306" s="130"/>
      <c r="H306" s="859"/>
      <c r="I306" s="21"/>
      <c r="J306" s="231"/>
      <c r="K306" s="231"/>
      <c r="L306" s="231"/>
      <c r="M306" s="231"/>
      <c r="N306" s="231"/>
      <c r="O306" s="231"/>
      <c r="P306" s="231"/>
      <c r="Q306" s="231"/>
      <c r="R306" s="231"/>
      <c r="S306" s="231"/>
      <c r="T306" s="231"/>
      <c r="U306" s="231"/>
      <c r="V306" s="231"/>
      <c r="W306" s="231"/>
      <c r="X306" s="231"/>
      <c r="Y306" s="231"/>
      <c r="Z306" s="231"/>
      <c r="AA306" s="231"/>
      <c r="AB306" s="231"/>
      <c r="AC306" s="231"/>
      <c r="AD306" s="231"/>
      <c r="AE306" s="231"/>
      <c r="AF306" s="231"/>
      <c r="AG306" s="231"/>
      <c r="AH306" s="231"/>
      <c r="AI306" s="231"/>
    </row>
    <row r="307" spans="1:35" s="203" customFormat="1" ht="12.75" customHeight="1">
      <c r="A307" s="109"/>
      <c r="B307" s="174"/>
      <c r="C307" s="174"/>
      <c r="D307" s="174"/>
      <c r="E307" s="859"/>
      <c r="F307" s="859"/>
      <c r="G307" s="130"/>
      <c r="H307" s="859"/>
      <c r="I307" s="21"/>
      <c r="J307" s="231"/>
      <c r="K307" s="231"/>
      <c r="L307" s="231"/>
      <c r="M307" s="231"/>
      <c r="N307" s="231"/>
      <c r="O307" s="231"/>
      <c r="P307" s="231"/>
      <c r="Q307" s="231"/>
      <c r="R307" s="231"/>
      <c r="S307" s="231"/>
      <c r="T307" s="231"/>
      <c r="U307" s="231"/>
      <c r="V307" s="231"/>
      <c r="W307" s="231"/>
      <c r="X307" s="231"/>
      <c r="Y307" s="231"/>
      <c r="Z307" s="231"/>
      <c r="AA307" s="231"/>
      <c r="AB307" s="231"/>
      <c r="AC307" s="231"/>
      <c r="AD307" s="231"/>
      <c r="AE307" s="231"/>
      <c r="AF307" s="231"/>
      <c r="AG307" s="231"/>
      <c r="AH307" s="231"/>
      <c r="AI307" s="231"/>
    </row>
    <row r="308" spans="1:35" s="203" customFormat="1">
      <c r="A308" s="154" t="s">
        <v>233</v>
      </c>
      <c r="B308" s="47"/>
      <c r="C308" s="47"/>
      <c r="D308" s="47"/>
      <c r="E308" s="859"/>
      <c r="F308" s="859"/>
      <c r="G308" s="130"/>
      <c r="H308" s="859"/>
      <c r="I308" s="21"/>
      <c r="J308" s="231"/>
      <c r="K308" s="231"/>
      <c r="L308" s="231"/>
      <c r="M308" s="231"/>
      <c r="N308" s="231"/>
      <c r="O308" s="231"/>
      <c r="P308" s="231"/>
      <c r="Q308" s="231"/>
      <c r="R308" s="231"/>
      <c r="S308" s="231"/>
      <c r="T308" s="231"/>
      <c r="U308" s="231"/>
      <c r="V308" s="231"/>
      <c r="W308" s="231"/>
      <c r="X308" s="231"/>
      <c r="Y308" s="231"/>
      <c r="Z308" s="231"/>
      <c r="AA308" s="231"/>
      <c r="AB308" s="231"/>
      <c r="AC308" s="231"/>
      <c r="AD308" s="231"/>
      <c r="AE308" s="231"/>
      <c r="AF308" s="231"/>
      <c r="AG308" s="231"/>
      <c r="AH308" s="231"/>
      <c r="AI308" s="231"/>
    </row>
    <row r="309" spans="1:35" s="203" customFormat="1">
      <c r="A309" s="109" t="s">
        <v>83</v>
      </c>
      <c r="B309" s="174"/>
      <c r="C309" s="174"/>
      <c r="D309" s="174"/>
      <c r="E309" s="860"/>
      <c r="F309" s="860"/>
      <c r="G309" s="130"/>
      <c r="H309" s="860"/>
      <c r="I309" s="21"/>
      <c r="J309" s="231"/>
      <c r="K309" s="231"/>
      <c r="L309" s="231"/>
      <c r="M309" s="231"/>
      <c r="N309" s="231"/>
      <c r="O309" s="231"/>
      <c r="P309" s="231"/>
      <c r="Q309" s="231"/>
      <c r="R309" s="231"/>
      <c r="S309" s="231"/>
      <c r="T309" s="231"/>
      <c r="U309" s="231"/>
      <c r="V309" s="231"/>
      <c r="W309" s="231"/>
      <c r="X309" s="231"/>
      <c r="Y309" s="231"/>
      <c r="Z309" s="231"/>
      <c r="AA309" s="231"/>
      <c r="AB309" s="231"/>
      <c r="AC309" s="231"/>
      <c r="AD309" s="231"/>
      <c r="AE309" s="231"/>
      <c r="AF309" s="231"/>
      <c r="AG309" s="231"/>
      <c r="AH309" s="231"/>
      <c r="AI309" s="231"/>
    </row>
    <row r="310" spans="1:35" s="203" customFormat="1">
      <c r="A310" s="110" t="s">
        <v>84</v>
      </c>
      <c r="B310" s="116"/>
      <c r="C310" s="116"/>
      <c r="D310" s="116"/>
      <c r="E310" s="262"/>
      <c r="F310" s="146"/>
      <c r="G310" s="118"/>
      <c r="H310" s="146"/>
      <c r="I310" s="21"/>
      <c r="J310" s="231"/>
      <c r="K310" s="231"/>
      <c r="L310" s="231"/>
      <c r="M310" s="231"/>
      <c r="N310" s="231"/>
      <c r="O310" s="231"/>
      <c r="P310" s="231"/>
      <c r="Q310" s="231"/>
      <c r="R310" s="231"/>
      <c r="S310" s="231"/>
      <c r="T310" s="231"/>
      <c r="U310" s="231"/>
      <c r="V310" s="231"/>
      <c r="W310" s="231"/>
      <c r="X310" s="231"/>
      <c r="Y310" s="231"/>
      <c r="Z310" s="231"/>
      <c r="AA310" s="231"/>
      <c r="AB310" s="231"/>
      <c r="AC310" s="231"/>
      <c r="AD310" s="231"/>
      <c r="AE310" s="231"/>
      <c r="AF310" s="231"/>
      <c r="AG310" s="231"/>
      <c r="AH310" s="231"/>
      <c r="AI310" s="231"/>
    </row>
    <row r="311" spans="1:35" s="203" customFormat="1">
      <c r="A311" s="120">
        <v>1</v>
      </c>
      <c r="B311" s="47" t="s">
        <v>258</v>
      </c>
      <c r="C311" s="47"/>
      <c r="D311" s="186"/>
      <c r="E311" s="74">
        <v>-1714</v>
      </c>
      <c r="F311" s="52">
        <v>1766</v>
      </c>
      <c r="G311" s="43"/>
      <c r="H311" s="52">
        <v>1853</v>
      </c>
      <c r="I311" s="21"/>
      <c r="J311" s="231"/>
      <c r="K311" s="231"/>
      <c r="L311" s="231"/>
      <c r="M311" s="231"/>
      <c r="N311" s="231"/>
      <c r="O311" s="231"/>
      <c r="P311" s="231"/>
      <c r="Q311" s="231"/>
      <c r="R311" s="231"/>
      <c r="S311" s="231"/>
      <c r="T311" s="231"/>
      <c r="U311" s="231"/>
      <c r="V311" s="231"/>
      <c r="W311" s="231"/>
      <c r="X311" s="231"/>
      <c r="Y311" s="231"/>
      <c r="Z311" s="231"/>
      <c r="AA311" s="231"/>
      <c r="AB311" s="231"/>
      <c r="AC311" s="231"/>
      <c r="AD311" s="231"/>
      <c r="AE311" s="231"/>
      <c r="AF311" s="231"/>
      <c r="AG311" s="231"/>
      <c r="AH311" s="231"/>
      <c r="AI311" s="231"/>
    </row>
    <row r="312" spans="1:35" s="203" customFormat="1">
      <c r="A312" s="120">
        <v>2</v>
      </c>
      <c r="B312" s="47" t="s">
        <v>234</v>
      </c>
      <c r="C312" s="47"/>
      <c r="D312" s="186"/>
      <c r="E312" s="114">
        <v>0</v>
      </c>
      <c r="F312" s="52">
        <v>0</v>
      </c>
      <c r="G312" s="43"/>
      <c r="H312" s="52">
        <v>0</v>
      </c>
      <c r="I312" s="21"/>
      <c r="J312" s="231"/>
      <c r="K312" s="231"/>
      <c r="L312" s="231"/>
      <c r="M312" s="231"/>
      <c r="N312" s="231"/>
      <c r="O312" s="231"/>
      <c r="P312" s="231"/>
      <c r="Q312" s="231"/>
      <c r="R312" s="231"/>
      <c r="S312" s="231"/>
      <c r="T312" s="231"/>
      <c r="U312" s="231"/>
      <c r="V312" s="231"/>
      <c r="W312" s="231"/>
      <c r="X312" s="231"/>
      <c r="Y312" s="231"/>
      <c r="Z312" s="231"/>
      <c r="AA312" s="231"/>
      <c r="AB312" s="231"/>
      <c r="AC312" s="231"/>
      <c r="AD312" s="231"/>
      <c r="AE312" s="231"/>
      <c r="AF312" s="231"/>
      <c r="AG312" s="231"/>
      <c r="AH312" s="231"/>
      <c r="AI312" s="231"/>
    </row>
    <row r="313" spans="1:35" s="203" customFormat="1">
      <c r="A313" s="120">
        <v>3</v>
      </c>
      <c r="B313" s="47" t="s">
        <v>259</v>
      </c>
      <c r="C313" s="47"/>
      <c r="D313" s="186"/>
      <c r="E313" s="114">
        <v>-900</v>
      </c>
      <c r="F313" s="52">
        <v>-900</v>
      </c>
      <c r="G313" s="43"/>
      <c r="H313" s="52">
        <v>-900</v>
      </c>
      <c r="I313" s="21"/>
      <c r="J313" s="231"/>
      <c r="K313" s="231"/>
      <c r="L313" s="231"/>
      <c r="M313" s="231"/>
      <c r="N313" s="231"/>
      <c r="O313" s="231"/>
      <c r="P313" s="231"/>
      <c r="Q313" s="231"/>
      <c r="R313" s="231"/>
      <c r="S313" s="231"/>
      <c r="T313" s="231"/>
      <c r="U313" s="231"/>
      <c r="V313" s="231"/>
      <c r="W313" s="231"/>
      <c r="X313" s="231"/>
      <c r="Y313" s="231"/>
      <c r="Z313" s="231"/>
      <c r="AA313" s="231"/>
      <c r="AB313" s="231"/>
      <c r="AC313" s="231"/>
      <c r="AD313" s="231"/>
      <c r="AE313" s="231"/>
      <c r="AF313" s="231"/>
      <c r="AG313" s="231"/>
      <c r="AH313" s="231"/>
      <c r="AI313" s="231"/>
    </row>
    <row r="314" spans="1:35" s="203" customFormat="1">
      <c r="A314" s="120">
        <v>4</v>
      </c>
      <c r="B314" s="47" t="s">
        <v>235</v>
      </c>
      <c r="C314" s="47"/>
      <c r="D314" s="186"/>
      <c r="E314" s="114">
        <v>64661</v>
      </c>
      <c r="F314" s="52">
        <v>63573</v>
      </c>
      <c r="G314" s="43"/>
      <c r="H314" s="52">
        <v>24116</v>
      </c>
      <c r="I314" s="21"/>
      <c r="J314" s="231"/>
      <c r="K314" s="231"/>
      <c r="L314" s="231"/>
      <c r="M314" s="231"/>
      <c r="N314" s="231"/>
      <c r="O314" s="231"/>
      <c r="P314" s="231"/>
      <c r="Q314" s="231"/>
      <c r="R314" s="231"/>
      <c r="S314" s="231"/>
      <c r="T314" s="231"/>
      <c r="U314" s="231"/>
      <c r="V314" s="231"/>
      <c r="W314" s="231"/>
      <c r="X314" s="231"/>
      <c r="Y314" s="231"/>
      <c r="Z314" s="231"/>
      <c r="AA314" s="231"/>
      <c r="AB314" s="231"/>
      <c r="AC314" s="231"/>
      <c r="AD314" s="231"/>
      <c r="AE314" s="231"/>
      <c r="AF314" s="231"/>
      <c r="AG314" s="231"/>
      <c r="AH314" s="231"/>
      <c r="AI314" s="231"/>
    </row>
    <row r="315" spans="1:35" s="203" customFormat="1">
      <c r="A315" s="120">
        <v>5</v>
      </c>
      <c r="B315" s="47" t="s">
        <v>236</v>
      </c>
      <c r="C315" s="47"/>
      <c r="D315" s="186"/>
      <c r="E315" s="114">
        <v>8489</v>
      </c>
      <c r="F315" s="52">
        <v>8489</v>
      </c>
      <c r="G315" s="187"/>
      <c r="H315" s="52">
        <v>9022</v>
      </c>
      <c r="I315" s="21"/>
      <c r="J315" s="231"/>
      <c r="K315" s="231"/>
      <c r="L315" s="231"/>
      <c r="M315" s="231"/>
      <c r="N315" s="231"/>
      <c r="O315" s="231"/>
      <c r="P315" s="231"/>
      <c r="Q315" s="231"/>
      <c r="R315" s="231"/>
      <c r="S315" s="231"/>
      <c r="T315" s="231"/>
      <c r="U315" s="231"/>
      <c r="V315" s="231"/>
      <c r="W315" s="231"/>
      <c r="X315" s="231"/>
      <c r="Y315" s="231"/>
      <c r="Z315" s="231"/>
      <c r="AA315" s="231"/>
      <c r="AB315" s="231"/>
      <c r="AC315" s="231"/>
      <c r="AD315" s="231"/>
      <c r="AE315" s="231"/>
      <c r="AF315" s="231"/>
      <c r="AG315" s="231"/>
      <c r="AH315" s="231"/>
      <c r="AI315" s="231"/>
    </row>
    <row r="316" spans="1:35" s="203" customFormat="1">
      <c r="A316" s="120">
        <v>6</v>
      </c>
      <c r="B316" s="47" t="s">
        <v>237</v>
      </c>
      <c r="C316" s="47"/>
      <c r="D316" s="186"/>
      <c r="E316" s="114">
        <v>100939</v>
      </c>
      <c r="F316" s="52">
        <v>95097</v>
      </c>
      <c r="G316" s="43"/>
      <c r="H316" s="52">
        <v>93369</v>
      </c>
      <c r="I316" s="21"/>
      <c r="J316" s="231"/>
      <c r="K316" s="231"/>
      <c r="L316" s="231"/>
      <c r="M316" s="231"/>
      <c r="N316" s="231"/>
      <c r="O316" s="231"/>
      <c r="P316" s="231"/>
      <c r="Q316" s="231"/>
      <c r="R316" s="231"/>
      <c r="S316" s="231"/>
      <c r="T316" s="231"/>
      <c r="U316" s="231"/>
      <c r="V316" s="231"/>
      <c r="W316" s="231"/>
      <c r="X316" s="231"/>
      <c r="Y316" s="231"/>
      <c r="Z316" s="231"/>
      <c r="AA316" s="231"/>
      <c r="AB316" s="231"/>
      <c r="AC316" s="231"/>
      <c r="AD316" s="231"/>
      <c r="AE316" s="231"/>
      <c r="AF316" s="231"/>
      <c r="AG316" s="231"/>
      <c r="AH316" s="231"/>
      <c r="AI316" s="231"/>
    </row>
    <row r="317" spans="1:35" s="203" customFormat="1">
      <c r="A317" s="120">
        <v>7</v>
      </c>
      <c r="B317" s="47" t="s">
        <v>238</v>
      </c>
      <c r="C317" s="47"/>
      <c r="D317" s="186"/>
      <c r="E317" s="114">
        <v>0</v>
      </c>
      <c r="F317" s="52">
        <v>0</v>
      </c>
      <c r="G317" s="43"/>
      <c r="H317" s="52">
        <v>0</v>
      </c>
      <c r="I317" s="21"/>
      <c r="J317" s="231"/>
      <c r="K317" s="231"/>
      <c r="L317" s="231"/>
      <c r="M317" s="231"/>
      <c r="N317" s="231"/>
      <c r="O317" s="231"/>
      <c r="P317" s="231"/>
      <c r="Q317" s="231"/>
      <c r="R317" s="231"/>
      <c r="S317" s="231"/>
      <c r="T317" s="231"/>
      <c r="U317" s="231"/>
      <c r="V317" s="231"/>
      <c r="W317" s="231"/>
      <c r="X317" s="231"/>
      <c r="Y317" s="231"/>
      <c r="Z317" s="231"/>
      <c r="AA317" s="231"/>
      <c r="AB317" s="231"/>
      <c r="AC317" s="231"/>
      <c r="AD317" s="231"/>
      <c r="AE317" s="231"/>
      <c r="AF317" s="231"/>
      <c r="AG317" s="231"/>
      <c r="AH317" s="231"/>
      <c r="AI317" s="231"/>
    </row>
    <row r="318" spans="1:35" s="203" customFormat="1">
      <c r="A318" s="120">
        <v>8</v>
      </c>
      <c r="B318" s="47" t="s">
        <v>239</v>
      </c>
      <c r="C318" s="47"/>
      <c r="D318" s="186"/>
      <c r="E318" s="114">
        <v>500</v>
      </c>
      <c r="F318" s="52">
        <v>500</v>
      </c>
      <c r="G318" s="43"/>
      <c r="H318" s="52">
        <v>500</v>
      </c>
      <c r="I318" s="21"/>
      <c r="J318" s="231"/>
      <c r="K318" s="231"/>
      <c r="L318" s="231"/>
      <c r="M318" s="231"/>
      <c r="N318" s="231"/>
      <c r="O318" s="231"/>
      <c r="P318" s="231"/>
      <c r="Q318" s="231"/>
      <c r="R318" s="231"/>
      <c r="S318" s="231"/>
      <c r="T318" s="231"/>
      <c r="U318" s="231"/>
      <c r="V318" s="231"/>
      <c r="W318" s="231"/>
      <c r="X318" s="231"/>
      <c r="Y318" s="231"/>
      <c r="Z318" s="231"/>
      <c r="AA318" s="231"/>
      <c r="AB318" s="231"/>
      <c r="AC318" s="231"/>
      <c r="AD318" s="231"/>
      <c r="AE318" s="231"/>
      <c r="AF318" s="231"/>
      <c r="AG318" s="231"/>
      <c r="AH318" s="231"/>
      <c r="AI318" s="231"/>
    </row>
    <row r="319" spans="1:35" s="203" customFormat="1">
      <c r="A319" s="805">
        <v>9</v>
      </c>
      <c r="B319" s="90" t="s">
        <v>260</v>
      </c>
      <c r="C319" s="47"/>
      <c r="D319" s="47"/>
      <c r="E319" s="114">
        <v>0</v>
      </c>
      <c r="F319" s="188"/>
      <c r="G319" s="43"/>
      <c r="H319" s="189">
        <v>0</v>
      </c>
      <c r="I319" s="21"/>
      <c r="J319" s="231"/>
      <c r="K319" s="231"/>
      <c r="L319" s="231"/>
      <c r="M319" s="231"/>
      <c r="N319" s="231"/>
      <c r="O319" s="231"/>
      <c r="P319" s="231"/>
      <c r="Q319" s="231"/>
      <c r="R319" s="231"/>
      <c r="S319" s="231"/>
      <c r="T319" s="231"/>
      <c r="U319" s="231"/>
      <c r="V319" s="231"/>
      <c r="W319" s="231"/>
      <c r="X319" s="231"/>
      <c r="Y319" s="231"/>
      <c r="Z319" s="231"/>
      <c r="AA319" s="231"/>
      <c r="AB319" s="231"/>
      <c r="AC319" s="231"/>
      <c r="AD319" s="231"/>
      <c r="AE319" s="231"/>
      <c r="AF319" s="231"/>
      <c r="AG319" s="231"/>
      <c r="AH319" s="231"/>
      <c r="AI319" s="231"/>
    </row>
    <row r="320" spans="1:35" s="203" customFormat="1">
      <c r="A320" s="124">
        <v>10</v>
      </c>
      <c r="B320" s="94" t="s">
        <v>62</v>
      </c>
      <c r="C320" s="94"/>
      <c r="D320" s="94"/>
      <c r="E320" s="159">
        <v>171975</v>
      </c>
      <c r="F320" s="61">
        <f>F311+F312+F313+F314+F315+F316+F317+F318</f>
        <v>168525</v>
      </c>
      <c r="G320" s="118"/>
      <c r="H320" s="61">
        <f>H311+H312+H313+H314+H315+H316+H317+H318+H319</f>
        <v>127960</v>
      </c>
      <c r="I320" s="183"/>
      <c r="J320" s="231"/>
      <c r="K320" s="231"/>
      <c r="L320" s="231"/>
      <c r="M320" s="231"/>
      <c r="N320" s="231"/>
      <c r="O320" s="231"/>
      <c r="P320" s="231"/>
      <c r="Q320" s="231"/>
      <c r="R320" s="231"/>
      <c r="S320" s="231"/>
      <c r="T320" s="231"/>
      <c r="U320" s="231"/>
      <c r="V320" s="231"/>
      <c r="W320" s="231"/>
      <c r="X320" s="231"/>
      <c r="Y320" s="231"/>
      <c r="Z320" s="231"/>
      <c r="AA320" s="231"/>
      <c r="AB320" s="231"/>
      <c r="AC320" s="231"/>
      <c r="AD320" s="231"/>
      <c r="AE320" s="231"/>
      <c r="AF320" s="231"/>
      <c r="AG320" s="231"/>
      <c r="AH320" s="231"/>
      <c r="AI320" s="231"/>
    </row>
    <row r="321" spans="1:35" s="203" customFormat="1">
      <c r="A321" s="179"/>
      <c r="B321" s="180"/>
      <c r="C321" s="180"/>
      <c r="D321" s="180"/>
      <c r="E321" s="180"/>
      <c r="F321" s="183"/>
      <c r="G321" s="21"/>
      <c r="H321" s="183"/>
      <c r="I321" s="183"/>
      <c r="J321" s="231"/>
      <c r="K321" s="231"/>
      <c r="L321" s="231"/>
      <c r="M321" s="231"/>
      <c r="N321" s="231"/>
      <c r="O321" s="231"/>
      <c r="P321" s="231"/>
      <c r="Q321" s="231"/>
      <c r="R321" s="231"/>
      <c r="S321" s="231"/>
      <c r="T321" s="231"/>
      <c r="U321" s="231"/>
      <c r="V321" s="231"/>
      <c r="W321" s="231"/>
      <c r="X321" s="231"/>
      <c r="Y321" s="231"/>
      <c r="Z321" s="231"/>
      <c r="AA321" s="231"/>
      <c r="AB321" s="231"/>
      <c r="AC321" s="231"/>
      <c r="AD321" s="231"/>
      <c r="AE321" s="231"/>
      <c r="AF321" s="231"/>
      <c r="AG321" s="231"/>
      <c r="AH321" s="231"/>
      <c r="AI321" s="231"/>
    </row>
    <row r="322" spans="1:35" s="203" customFormat="1">
      <c r="A322" s="148"/>
      <c r="B322" s="207"/>
      <c r="C322" s="207"/>
      <c r="D322" s="29"/>
      <c r="E322" s="29"/>
      <c r="F322" s="29"/>
      <c r="G322" s="29"/>
      <c r="H322" s="31" t="s">
        <v>27</v>
      </c>
      <c r="I322" s="2"/>
      <c r="J322" s="231"/>
      <c r="K322" s="231"/>
      <c r="L322" s="231"/>
      <c r="M322" s="231"/>
      <c r="N322" s="231"/>
      <c r="O322" s="231"/>
      <c r="P322" s="231"/>
      <c r="Q322" s="231"/>
      <c r="R322" s="231"/>
      <c r="S322" s="231"/>
      <c r="T322" s="231"/>
      <c r="U322" s="231"/>
      <c r="V322" s="231"/>
      <c r="W322" s="231"/>
      <c r="X322" s="231"/>
      <c r="Y322" s="231"/>
      <c r="Z322" s="231"/>
      <c r="AA322" s="231"/>
      <c r="AB322" s="231"/>
      <c r="AC322" s="231"/>
      <c r="AD322" s="231"/>
      <c r="AE322" s="231"/>
      <c r="AF322" s="231"/>
      <c r="AG322" s="231"/>
      <c r="AH322" s="231"/>
      <c r="AI322" s="231"/>
    </row>
    <row r="323" spans="1:35" s="203" customFormat="1">
      <c r="A323" s="190" t="s">
        <v>240</v>
      </c>
      <c r="B323" s="263"/>
      <c r="C323" s="861" t="s">
        <v>405</v>
      </c>
      <c r="D323" s="862"/>
      <c r="E323" s="862"/>
      <c r="F323" s="862"/>
      <c r="G323" s="862"/>
      <c r="H323" s="863"/>
      <c r="I323" s="210"/>
      <c r="J323" s="231"/>
      <c r="K323" s="231"/>
      <c r="L323" s="231"/>
      <c r="M323" s="231"/>
      <c r="N323" s="231"/>
      <c r="O323" s="231"/>
      <c r="P323" s="231"/>
      <c r="Q323" s="231"/>
      <c r="R323" s="231"/>
      <c r="S323" s="231"/>
      <c r="T323" s="231"/>
      <c r="U323" s="231"/>
      <c r="V323" s="231"/>
      <c r="W323" s="231"/>
      <c r="X323" s="231"/>
      <c r="Y323" s="231"/>
      <c r="Z323" s="231"/>
      <c r="AA323" s="231"/>
      <c r="AB323" s="231"/>
      <c r="AC323" s="231"/>
      <c r="AD323" s="231"/>
      <c r="AE323" s="231"/>
      <c r="AF323" s="231"/>
      <c r="AG323" s="231"/>
      <c r="AH323" s="231"/>
      <c r="AI323" s="231"/>
    </row>
    <row r="324" spans="1:35" s="203" customFormat="1" ht="39" thickBot="1">
      <c r="A324" s="110" t="s">
        <v>84</v>
      </c>
      <c r="B324" s="116"/>
      <c r="C324" s="35" t="s">
        <v>52</v>
      </c>
      <c r="D324" s="35" t="s">
        <v>53</v>
      </c>
      <c r="E324" s="37" t="s">
        <v>54</v>
      </c>
      <c r="F324" s="37" t="s">
        <v>55</v>
      </c>
      <c r="G324" s="37" t="s">
        <v>241</v>
      </c>
      <c r="H324" s="35" t="s">
        <v>121</v>
      </c>
      <c r="I324" s="29"/>
      <c r="J324" s="231"/>
      <c r="K324" s="231"/>
      <c r="L324" s="231"/>
      <c r="M324" s="231"/>
      <c r="N324" s="231"/>
      <c r="O324" s="231"/>
      <c r="P324" s="231"/>
      <c r="Q324" s="231"/>
      <c r="R324" s="231"/>
      <c r="S324" s="231"/>
      <c r="T324" s="231"/>
      <c r="U324" s="231"/>
      <c r="V324" s="231"/>
      <c r="W324" s="231"/>
      <c r="X324" s="231"/>
      <c r="Y324" s="231"/>
      <c r="Z324" s="231"/>
      <c r="AA324" s="231"/>
      <c r="AB324" s="231"/>
      <c r="AC324" s="231"/>
      <c r="AD324" s="231"/>
      <c r="AE324" s="231"/>
      <c r="AF324" s="231"/>
      <c r="AG324" s="231"/>
      <c r="AH324" s="231"/>
      <c r="AI324" s="231"/>
    </row>
    <row r="325" spans="1:35" s="203" customFormat="1" ht="13.5" thickBot="1">
      <c r="A325" s="805">
        <v>1</v>
      </c>
      <c r="B325" s="116" t="s">
        <v>242</v>
      </c>
      <c r="C325" s="193">
        <f t="shared" ref="C325:H325" si="0">SUM(C326:C329)</f>
        <v>53557</v>
      </c>
      <c r="D325" s="193">
        <f t="shared" si="0"/>
        <v>0</v>
      </c>
      <c r="E325" s="193">
        <v>0</v>
      </c>
      <c r="F325" s="193">
        <f t="shared" si="0"/>
        <v>0</v>
      </c>
      <c r="G325" s="193">
        <f>SUM(G326:G329)</f>
        <v>0</v>
      </c>
      <c r="H325" s="193">
        <f t="shared" si="0"/>
        <v>0</v>
      </c>
      <c r="I325" s="207"/>
      <c r="J325" s="231"/>
      <c r="K325" s="231"/>
      <c r="L325" s="231"/>
      <c r="M325" s="231"/>
      <c r="N325" s="231"/>
      <c r="O325" s="231"/>
      <c r="P325" s="231"/>
      <c r="Q325" s="231"/>
      <c r="R325" s="231"/>
      <c r="S325" s="231"/>
      <c r="T325" s="231"/>
      <c r="U325" s="231"/>
      <c r="V325" s="231"/>
      <c r="W325" s="231"/>
      <c r="X325" s="231"/>
      <c r="Y325" s="231"/>
      <c r="Z325" s="231"/>
      <c r="AA325" s="231"/>
      <c r="AB325" s="231"/>
      <c r="AC325" s="231"/>
      <c r="AD325" s="231"/>
      <c r="AE325" s="231"/>
      <c r="AF325" s="231"/>
      <c r="AG325" s="231"/>
      <c r="AH325" s="231"/>
      <c r="AI325" s="231"/>
    </row>
    <row r="326" spans="1:35" s="203" customFormat="1">
      <c r="A326" s="805">
        <v>2</v>
      </c>
      <c r="B326" s="47" t="s">
        <v>243</v>
      </c>
      <c r="C326" s="169">
        <v>25383</v>
      </c>
      <c r="D326" s="100">
        <v>0</v>
      </c>
      <c r="E326" s="100">
        <v>0</v>
      </c>
      <c r="F326" s="100">
        <v>0</v>
      </c>
      <c r="G326" s="100">
        <v>0</v>
      </c>
      <c r="H326" s="100">
        <v>0</v>
      </c>
      <c r="I326" s="207"/>
      <c r="J326" s="231"/>
      <c r="K326" s="231"/>
      <c r="L326" s="231"/>
      <c r="M326" s="231"/>
      <c r="N326" s="231"/>
      <c r="O326" s="231"/>
      <c r="P326" s="231"/>
      <c r="Q326" s="231"/>
      <c r="R326" s="231"/>
      <c r="S326" s="231"/>
      <c r="T326" s="231"/>
      <c r="U326" s="231"/>
      <c r="V326" s="231"/>
      <c r="W326" s="231"/>
      <c r="X326" s="231"/>
      <c r="Y326" s="231"/>
      <c r="Z326" s="231"/>
      <c r="AA326" s="231"/>
      <c r="AB326" s="231"/>
      <c r="AC326" s="231"/>
      <c r="AD326" s="231"/>
      <c r="AE326" s="231"/>
      <c r="AF326" s="231"/>
      <c r="AG326" s="231"/>
      <c r="AH326" s="231"/>
      <c r="AI326" s="231"/>
    </row>
    <row r="327" spans="1:35" s="203" customFormat="1">
      <c r="A327" s="805">
        <v>3</v>
      </c>
      <c r="B327" s="47" t="s">
        <v>244</v>
      </c>
      <c r="C327" s="99">
        <v>19685</v>
      </c>
      <c r="D327" s="100">
        <v>0</v>
      </c>
      <c r="E327" s="100">
        <v>0</v>
      </c>
      <c r="F327" s="100">
        <v>0</v>
      </c>
      <c r="G327" s="100">
        <v>0</v>
      </c>
      <c r="H327" s="100">
        <v>0</v>
      </c>
      <c r="I327" s="207"/>
      <c r="J327" s="231"/>
      <c r="K327" s="231"/>
      <c r="L327" s="231"/>
      <c r="M327" s="231"/>
      <c r="N327" s="231"/>
      <c r="O327" s="231"/>
      <c r="P327" s="231"/>
      <c r="Q327" s="231"/>
      <c r="R327" s="231"/>
      <c r="S327" s="231"/>
      <c r="T327" s="231"/>
      <c r="U327" s="231"/>
      <c r="V327" s="231"/>
      <c r="W327" s="231"/>
      <c r="X327" s="231"/>
      <c r="Y327" s="231"/>
      <c r="Z327" s="231"/>
      <c r="AA327" s="231"/>
      <c r="AB327" s="231"/>
      <c r="AC327" s="231"/>
      <c r="AD327" s="231"/>
      <c r="AE327" s="231"/>
      <c r="AF327" s="231"/>
      <c r="AG327" s="231"/>
      <c r="AH327" s="231"/>
      <c r="AI327" s="231"/>
    </row>
    <row r="328" spans="1:35" s="203" customFormat="1">
      <c r="A328" s="805">
        <v>4</v>
      </c>
      <c r="B328" s="47" t="s">
        <v>245</v>
      </c>
      <c r="C328" s="99">
        <v>8489</v>
      </c>
      <c r="D328" s="100">
        <v>0</v>
      </c>
      <c r="E328" s="100">
        <v>0</v>
      </c>
      <c r="F328" s="100">
        <v>0</v>
      </c>
      <c r="G328" s="100">
        <v>0</v>
      </c>
      <c r="H328" s="100">
        <v>0</v>
      </c>
      <c r="I328" s="207"/>
      <c r="J328" s="231"/>
      <c r="K328" s="231"/>
      <c r="L328" s="231"/>
      <c r="M328" s="231"/>
      <c r="N328" s="231"/>
      <c r="O328" s="231"/>
      <c r="P328" s="231"/>
      <c r="Q328" s="231"/>
      <c r="R328" s="231"/>
      <c r="S328" s="231"/>
      <c r="T328" s="231"/>
      <c r="U328" s="231"/>
      <c r="V328" s="231"/>
      <c r="W328" s="231"/>
      <c r="X328" s="231"/>
      <c r="Y328" s="231"/>
      <c r="Z328" s="231"/>
      <c r="AA328" s="231"/>
      <c r="AB328" s="231"/>
      <c r="AC328" s="231"/>
      <c r="AD328" s="231"/>
      <c r="AE328" s="231"/>
      <c r="AF328" s="231"/>
      <c r="AG328" s="231"/>
      <c r="AH328" s="231"/>
      <c r="AI328" s="231"/>
    </row>
    <row r="329" spans="1:35" s="203" customFormat="1">
      <c r="A329" s="806">
        <v>5</v>
      </c>
      <c r="B329" s="54" t="s">
        <v>246</v>
      </c>
      <c r="C329" s="100">
        <v>0</v>
      </c>
      <c r="D329" s="100">
        <v>0</v>
      </c>
      <c r="E329" s="100">
        <v>0</v>
      </c>
      <c r="F329" s="100">
        <v>0</v>
      </c>
      <c r="G329" s="100">
        <v>0</v>
      </c>
      <c r="H329" s="100">
        <v>0</v>
      </c>
      <c r="I329" s="207"/>
      <c r="J329" s="231"/>
      <c r="K329" s="231"/>
      <c r="L329" s="231"/>
      <c r="M329" s="231"/>
      <c r="N329" s="231"/>
      <c r="O329" s="231"/>
      <c r="P329" s="231"/>
      <c r="Q329" s="231"/>
      <c r="R329" s="231"/>
      <c r="S329" s="231"/>
      <c r="T329" s="231"/>
      <c r="U329" s="231"/>
      <c r="V329" s="231"/>
      <c r="W329" s="231"/>
      <c r="X329" s="231"/>
      <c r="Y329" s="231"/>
      <c r="Z329" s="231"/>
      <c r="AA329" s="231"/>
      <c r="AB329" s="231"/>
      <c r="AC329" s="231"/>
      <c r="AD329" s="231"/>
      <c r="AE329" s="231"/>
      <c r="AF329" s="231"/>
      <c r="AG329" s="231"/>
      <c r="AH329" s="231"/>
      <c r="AI329" s="231"/>
    </row>
    <row r="330" spans="1:35" s="203" customFormat="1">
      <c r="A330" s="805"/>
      <c r="B330" s="47"/>
      <c r="C330" s="864" t="s">
        <v>404</v>
      </c>
      <c r="D330" s="865"/>
      <c r="E330" s="865"/>
      <c r="F330" s="865"/>
      <c r="G330" s="865"/>
      <c r="H330" s="866"/>
      <c r="I330" s="207"/>
      <c r="J330" s="231"/>
      <c r="K330" s="231"/>
      <c r="L330" s="231"/>
      <c r="M330" s="231"/>
      <c r="N330" s="231"/>
      <c r="O330" s="231"/>
      <c r="P330" s="231"/>
      <c r="Q330" s="231"/>
      <c r="R330" s="231"/>
      <c r="S330" s="231"/>
      <c r="T330" s="231"/>
      <c r="U330" s="231"/>
      <c r="V330" s="231"/>
      <c r="W330" s="231"/>
      <c r="X330" s="231"/>
      <c r="Y330" s="231"/>
      <c r="Z330" s="231"/>
      <c r="AA330" s="231"/>
      <c r="AB330" s="231"/>
      <c r="AC330" s="231"/>
      <c r="AD330" s="231"/>
      <c r="AE330" s="231"/>
      <c r="AF330" s="231"/>
      <c r="AG330" s="231"/>
      <c r="AH330" s="231"/>
      <c r="AI330" s="231"/>
    </row>
    <row r="331" spans="1:35" s="203" customFormat="1" ht="39" thickBot="1">
      <c r="A331" s="110" t="s">
        <v>84</v>
      </c>
      <c r="B331" s="116"/>
      <c r="C331" s="35" t="s">
        <v>52</v>
      </c>
      <c r="D331" s="35" t="s">
        <v>53</v>
      </c>
      <c r="E331" s="37" t="s">
        <v>54</v>
      </c>
      <c r="F331" s="37" t="s">
        <v>55</v>
      </c>
      <c r="G331" s="37" t="s">
        <v>241</v>
      </c>
      <c r="H331" s="35" t="s">
        <v>121</v>
      </c>
      <c r="I331" s="207"/>
      <c r="J331" s="231"/>
      <c r="K331" s="231"/>
      <c r="L331" s="231"/>
      <c r="M331" s="231"/>
      <c r="N331" s="231"/>
      <c r="O331" s="231"/>
      <c r="P331" s="231"/>
      <c r="Q331" s="231"/>
      <c r="R331" s="231"/>
      <c r="S331" s="231"/>
      <c r="T331" s="231"/>
      <c r="U331" s="231"/>
      <c r="V331" s="231"/>
      <c r="W331" s="231"/>
      <c r="X331" s="231"/>
      <c r="Y331" s="231"/>
      <c r="Z331" s="231"/>
      <c r="AA331" s="231"/>
      <c r="AB331" s="231"/>
      <c r="AC331" s="231"/>
      <c r="AD331" s="231"/>
      <c r="AE331" s="231"/>
      <c r="AF331" s="231"/>
      <c r="AG331" s="231"/>
      <c r="AH331" s="231"/>
      <c r="AI331" s="231"/>
    </row>
    <row r="332" spans="1:35" s="203" customFormat="1" ht="13.5" thickBot="1">
      <c r="A332" s="805">
        <v>1</v>
      </c>
      <c r="B332" s="116" t="s">
        <v>242</v>
      </c>
      <c r="C332" s="193">
        <f t="shared" ref="C332:H332" si="1">SUM(C333:C336)</f>
        <v>54659</v>
      </c>
      <c r="D332" s="193">
        <f t="shared" si="1"/>
        <v>0</v>
      </c>
      <c r="E332" s="193">
        <v>0</v>
      </c>
      <c r="F332" s="193">
        <f t="shared" si="1"/>
        <v>0</v>
      </c>
      <c r="G332" s="193">
        <f>SUM(G333:G336)</f>
        <v>0</v>
      </c>
      <c r="H332" s="193">
        <f t="shared" si="1"/>
        <v>0</v>
      </c>
      <c r="I332" s="207"/>
      <c r="J332" s="231"/>
      <c r="K332" s="231"/>
      <c r="L332" s="231"/>
      <c r="M332" s="231"/>
      <c r="N332" s="231"/>
      <c r="O332" s="231"/>
      <c r="P332" s="231"/>
      <c r="Q332" s="231"/>
      <c r="R332" s="231"/>
      <c r="S332" s="231"/>
      <c r="T332" s="231"/>
      <c r="U332" s="231"/>
      <c r="V332" s="231"/>
      <c r="W332" s="231"/>
      <c r="X332" s="231"/>
      <c r="Y332" s="231"/>
      <c r="Z332" s="231"/>
      <c r="AA332" s="231"/>
      <c r="AB332" s="231"/>
      <c r="AC332" s="231"/>
      <c r="AD332" s="231"/>
      <c r="AE332" s="231"/>
      <c r="AF332" s="231"/>
      <c r="AG332" s="231"/>
      <c r="AH332" s="231"/>
      <c r="AI332" s="231"/>
    </row>
    <row r="333" spans="1:35" s="203" customFormat="1">
      <c r="A333" s="805">
        <v>2</v>
      </c>
      <c r="B333" s="47" t="s">
        <v>243</v>
      </c>
      <c r="C333" s="169">
        <v>25989</v>
      </c>
      <c r="D333" s="100">
        <v>0</v>
      </c>
      <c r="E333" s="100">
        <v>0</v>
      </c>
      <c r="F333" s="100">
        <v>0</v>
      </c>
      <c r="G333" s="100">
        <v>0</v>
      </c>
      <c r="H333" s="100">
        <v>0</v>
      </c>
      <c r="I333" s="207"/>
      <c r="J333" s="231"/>
      <c r="K333" s="231"/>
      <c r="L333" s="231"/>
      <c r="M333" s="231"/>
      <c r="N333" s="231"/>
      <c r="O333" s="231"/>
      <c r="P333" s="231"/>
      <c r="Q333" s="231"/>
      <c r="R333" s="231"/>
      <c r="S333" s="231"/>
      <c r="T333" s="231"/>
      <c r="U333" s="231"/>
      <c r="V333" s="231"/>
      <c r="W333" s="231"/>
      <c r="X333" s="231"/>
      <c r="Y333" s="231"/>
      <c r="Z333" s="231"/>
      <c r="AA333" s="231"/>
      <c r="AB333" s="231"/>
      <c r="AC333" s="231"/>
      <c r="AD333" s="231"/>
      <c r="AE333" s="231"/>
      <c r="AF333" s="231"/>
      <c r="AG333" s="231"/>
      <c r="AH333" s="231"/>
      <c r="AI333" s="231"/>
    </row>
    <row r="334" spans="1:35" s="203" customFormat="1">
      <c r="A334" s="805">
        <v>3</v>
      </c>
      <c r="B334" s="47" t="s">
        <v>244</v>
      </c>
      <c r="C334" s="99">
        <v>19648</v>
      </c>
      <c r="D334" s="100">
        <v>0</v>
      </c>
      <c r="E334" s="100">
        <v>0</v>
      </c>
      <c r="F334" s="100">
        <v>0</v>
      </c>
      <c r="G334" s="100">
        <v>0</v>
      </c>
      <c r="H334" s="100">
        <v>0</v>
      </c>
      <c r="I334" s="207"/>
      <c r="J334" s="231"/>
      <c r="K334" s="231"/>
      <c r="L334" s="231"/>
      <c r="M334" s="231"/>
      <c r="N334" s="231"/>
      <c r="O334" s="231"/>
      <c r="P334" s="231"/>
      <c r="Q334" s="231"/>
      <c r="R334" s="231"/>
      <c r="S334" s="231"/>
      <c r="T334" s="231"/>
      <c r="U334" s="231"/>
      <c r="V334" s="231"/>
      <c r="W334" s="231"/>
      <c r="X334" s="231"/>
      <c r="Y334" s="231"/>
      <c r="Z334" s="231"/>
      <c r="AA334" s="231"/>
      <c r="AB334" s="231"/>
      <c r="AC334" s="231"/>
      <c r="AD334" s="231"/>
      <c r="AE334" s="231"/>
      <c r="AF334" s="231"/>
      <c r="AG334" s="231"/>
      <c r="AH334" s="231"/>
      <c r="AI334" s="231"/>
    </row>
    <row r="335" spans="1:35" s="203" customFormat="1">
      <c r="A335" s="805">
        <v>4</v>
      </c>
      <c r="B335" s="47" t="s">
        <v>245</v>
      </c>
      <c r="C335" s="99">
        <v>9022</v>
      </c>
      <c r="D335" s="100">
        <v>0</v>
      </c>
      <c r="E335" s="100">
        <v>0</v>
      </c>
      <c r="F335" s="100">
        <v>0</v>
      </c>
      <c r="G335" s="100">
        <v>0</v>
      </c>
      <c r="H335" s="100">
        <v>0</v>
      </c>
      <c r="I335" s="207"/>
      <c r="J335" s="231"/>
      <c r="K335" s="231"/>
      <c r="L335" s="231"/>
      <c r="M335" s="231"/>
      <c r="N335" s="231"/>
      <c r="O335" s="231"/>
      <c r="P335" s="231"/>
      <c r="Q335" s="231"/>
      <c r="R335" s="231"/>
      <c r="S335" s="231"/>
      <c r="T335" s="231"/>
      <c r="U335" s="231"/>
      <c r="V335" s="231"/>
      <c r="W335" s="231"/>
      <c r="X335" s="231"/>
      <c r="Y335" s="231"/>
      <c r="Z335" s="231"/>
      <c r="AA335" s="231"/>
      <c r="AB335" s="231"/>
      <c r="AC335" s="231"/>
      <c r="AD335" s="231"/>
      <c r="AE335" s="231"/>
      <c r="AF335" s="231"/>
      <c r="AG335" s="231"/>
      <c r="AH335" s="231"/>
      <c r="AI335" s="231"/>
    </row>
    <row r="336" spans="1:35" s="203" customFormat="1">
      <c r="A336" s="806">
        <v>5</v>
      </c>
      <c r="B336" s="54" t="s">
        <v>246</v>
      </c>
      <c r="C336" s="100">
        <v>0</v>
      </c>
      <c r="D336" s="100">
        <v>0</v>
      </c>
      <c r="E336" s="100">
        <v>0</v>
      </c>
      <c r="F336" s="100">
        <v>0</v>
      </c>
      <c r="G336" s="100">
        <v>0</v>
      </c>
      <c r="H336" s="100">
        <v>0</v>
      </c>
      <c r="I336" s="207"/>
      <c r="J336" s="231"/>
      <c r="K336" s="231"/>
      <c r="L336" s="231"/>
      <c r="M336" s="231"/>
      <c r="N336" s="231"/>
      <c r="O336" s="231"/>
      <c r="P336" s="231"/>
      <c r="Q336" s="231"/>
      <c r="R336" s="231"/>
      <c r="S336" s="231"/>
      <c r="T336" s="231"/>
      <c r="U336" s="231"/>
      <c r="V336" s="231"/>
      <c r="W336" s="231"/>
      <c r="X336" s="231"/>
      <c r="Y336" s="231"/>
      <c r="Z336" s="231"/>
      <c r="AA336" s="231"/>
      <c r="AB336" s="231"/>
      <c r="AC336" s="231"/>
      <c r="AD336" s="231"/>
      <c r="AE336" s="231"/>
      <c r="AF336" s="231"/>
      <c r="AG336" s="231"/>
      <c r="AH336" s="231"/>
      <c r="AI336" s="231"/>
    </row>
    <row r="337" spans="1:35" s="203" customFormat="1">
      <c r="A337" s="23"/>
      <c r="B337" s="207"/>
      <c r="C337" s="207"/>
      <c r="D337" s="207"/>
      <c r="E337" s="207"/>
      <c r="F337" s="207"/>
      <c r="G337" s="207"/>
      <c r="H337" s="21"/>
      <c r="I337" s="21"/>
      <c r="J337" s="231"/>
      <c r="K337" s="231"/>
      <c r="L337" s="231"/>
      <c r="M337" s="231"/>
      <c r="N337" s="231"/>
      <c r="O337" s="231"/>
      <c r="P337" s="231"/>
      <c r="Q337" s="231"/>
      <c r="R337" s="231"/>
      <c r="S337" s="231"/>
      <c r="T337" s="231"/>
      <c r="U337" s="231"/>
      <c r="V337" s="231"/>
      <c r="W337" s="231"/>
      <c r="X337" s="231"/>
      <c r="Y337" s="231"/>
      <c r="Z337" s="231"/>
      <c r="AA337" s="231"/>
      <c r="AB337" s="231"/>
      <c r="AC337" s="231"/>
      <c r="AD337" s="231"/>
      <c r="AE337" s="231"/>
      <c r="AF337" s="231"/>
      <c r="AG337" s="231"/>
      <c r="AH337" s="231"/>
      <c r="AI337" s="231"/>
    </row>
    <row r="338" spans="1:35" s="203" customFormat="1" ht="12.75" customHeight="1">
      <c r="A338" s="23"/>
      <c r="B338" s="207"/>
      <c r="C338" s="207"/>
      <c r="D338" s="207"/>
      <c r="E338" s="207"/>
      <c r="F338" s="207"/>
      <c r="G338" s="207"/>
      <c r="H338" s="21"/>
      <c r="I338" s="21"/>
      <c r="J338" s="231"/>
      <c r="K338" s="231"/>
      <c r="L338" s="231"/>
      <c r="M338" s="231"/>
      <c r="N338" s="231"/>
      <c r="O338" s="231"/>
      <c r="P338" s="231"/>
      <c r="Q338" s="231"/>
      <c r="R338" s="231"/>
      <c r="S338" s="231"/>
      <c r="T338" s="231"/>
      <c r="U338" s="231"/>
      <c r="V338" s="231"/>
      <c r="W338" s="231"/>
      <c r="X338" s="231"/>
      <c r="Y338" s="231"/>
      <c r="Z338" s="231"/>
      <c r="AA338" s="231"/>
      <c r="AB338" s="231"/>
      <c r="AC338" s="231"/>
      <c r="AD338" s="231"/>
      <c r="AE338" s="231"/>
      <c r="AF338" s="231"/>
      <c r="AG338" s="231"/>
      <c r="AH338" s="231"/>
      <c r="AI338" s="231"/>
    </row>
    <row r="339" spans="1:35" s="203" customFormat="1">
      <c r="A339" s="23"/>
      <c r="B339" s="207"/>
      <c r="C339" s="207"/>
      <c r="D339" s="207"/>
      <c r="E339" s="207"/>
      <c r="F339" s="207"/>
      <c r="G339" s="207"/>
      <c r="H339" s="21"/>
      <c r="I339" s="21"/>
      <c r="J339" s="231"/>
      <c r="K339" s="231"/>
      <c r="L339" s="231"/>
      <c r="M339" s="231"/>
      <c r="N339" s="231"/>
      <c r="O339" s="231"/>
      <c r="P339" s="231"/>
      <c r="Q339" s="231"/>
      <c r="R339" s="231"/>
      <c r="S339" s="231"/>
      <c r="T339" s="231"/>
      <c r="U339" s="231"/>
      <c r="V339" s="231"/>
      <c r="W339" s="231"/>
      <c r="X339" s="231"/>
      <c r="Y339" s="231"/>
      <c r="Z339" s="231"/>
      <c r="AA339" s="231"/>
      <c r="AB339" s="231"/>
      <c r="AC339" s="231"/>
      <c r="AD339" s="231"/>
      <c r="AE339" s="231"/>
      <c r="AF339" s="231"/>
      <c r="AG339" s="231"/>
      <c r="AH339" s="231"/>
      <c r="AI339" s="231"/>
    </row>
    <row r="340" spans="1:35" s="203" customFormat="1">
      <c r="A340" s="23"/>
      <c r="B340" s="207"/>
      <c r="C340" s="207"/>
      <c r="D340" s="207"/>
      <c r="E340" s="207"/>
      <c r="F340" s="207"/>
      <c r="G340" s="207"/>
      <c r="H340" s="131" t="s">
        <v>27</v>
      </c>
      <c r="I340" s="21"/>
      <c r="J340" s="231"/>
      <c r="K340" s="231"/>
      <c r="L340" s="231"/>
      <c r="M340" s="231"/>
      <c r="N340" s="231"/>
      <c r="O340" s="231"/>
      <c r="P340" s="231"/>
      <c r="Q340" s="231"/>
      <c r="R340" s="231"/>
      <c r="S340" s="231"/>
      <c r="T340" s="231"/>
      <c r="U340" s="231"/>
      <c r="V340" s="231"/>
      <c r="W340" s="231"/>
      <c r="X340" s="231"/>
      <c r="Y340" s="231"/>
      <c r="Z340" s="231"/>
      <c r="AA340" s="231"/>
      <c r="AB340" s="231"/>
      <c r="AC340" s="231"/>
      <c r="AD340" s="231"/>
      <c r="AE340" s="231"/>
      <c r="AF340" s="231"/>
      <c r="AG340" s="231"/>
      <c r="AH340" s="231"/>
      <c r="AI340" s="231"/>
    </row>
    <row r="341" spans="1:35" s="203" customFormat="1">
      <c r="A341" s="197"/>
      <c r="B341" s="69"/>
      <c r="C341" s="69"/>
      <c r="D341" s="69"/>
      <c r="E341" s="856" t="s">
        <v>377</v>
      </c>
      <c r="F341" s="853" t="s">
        <v>402</v>
      </c>
      <c r="G341" s="207"/>
      <c r="H341" s="856" t="s">
        <v>403</v>
      </c>
      <c r="I341" s="21"/>
      <c r="J341" s="231"/>
      <c r="K341" s="231"/>
      <c r="L341" s="231"/>
      <c r="M341" s="231"/>
      <c r="N341" s="231"/>
      <c r="O341" s="231"/>
      <c r="P341" s="231"/>
      <c r="Q341" s="231"/>
      <c r="R341" s="231"/>
      <c r="S341" s="231"/>
      <c r="T341" s="231"/>
      <c r="U341" s="231"/>
      <c r="V341" s="231"/>
      <c r="W341" s="231"/>
      <c r="X341" s="231"/>
      <c r="Y341" s="231"/>
      <c r="Z341" s="231"/>
      <c r="AA341" s="231"/>
      <c r="AB341" s="231"/>
      <c r="AC341" s="231"/>
      <c r="AD341" s="231"/>
      <c r="AE341" s="231"/>
      <c r="AF341" s="231"/>
      <c r="AG341" s="231"/>
      <c r="AH341" s="231"/>
      <c r="AI341" s="231"/>
    </row>
    <row r="342" spans="1:35" s="203" customFormat="1">
      <c r="A342" s="144" t="s">
        <v>261</v>
      </c>
      <c r="B342" s="116"/>
      <c r="C342" s="116"/>
      <c r="D342" s="116"/>
      <c r="E342" s="859"/>
      <c r="F342" s="854"/>
      <c r="G342" s="207"/>
      <c r="H342" s="857"/>
      <c r="I342" s="21"/>
      <c r="J342" s="231"/>
      <c r="K342" s="231"/>
      <c r="L342" s="231"/>
      <c r="M342" s="231"/>
      <c r="N342" s="231"/>
      <c r="O342" s="231"/>
      <c r="P342" s="231"/>
      <c r="Q342" s="231"/>
      <c r="R342" s="231"/>
      <c r="S342" s="231"/>
      <c r="T342" s="231"/>
      <c r="U342" s="231"/>
      <c r="V342" s="231"/>
      <c r="W342" s="231"/>
      <c r="X342" s="231"/>
      <c r="Y342" s="231"/>
      <c r="Z342" s="231"/>
      <c r="AA342" s="231"/>
      <c r="AB342" s="231"/>
      <c r="AC342" s="231"/>
      <c r="AD342" s="231"/>
      <c r="AE342" s="231"/>
      <c r="AF342" s="231"/>
      <c r="AG342" s="231"/>
      <c r="AH342" s="231"/>
      <c r="AI342" s="231"/>
    </row>
    <row r="343" spans="1:35" s="203" customFormat="1">
      <c r="A343" s="119"/>
      <c r="B343" s="116"/>
      <c r="C343" s="116"/>
      <c r="D343" s="116"/>
      <c r="E343" s="859"/>
      <c r="F343" s="854"/>
      <c r="G343" s="207"/>
      <c r="H343" s="857"/>
      <c r="I343" s="21"/>
      <c r="J343" s="231"/>
      <c r="K343" s="231"/>
      <c r="L343" s="231"/>
      <c r="M343" s="231"/>
      <c r="N343" s="231"/>
      <c r="O343" s="231"/>
      <c r="P343" s="231"/>
      <c r="Q343" s="231"/>
      <c r="R343" s="231"/>
      <c r="S343" s="231"/>
      <c r="T343" s="231"/>
      <c r="U343" s="231"/>
      <c r="V343" s="231"/>
      <c r="W343" s="231"/>
      <c r="X343" s="231"/>
      <c r="Y343" s="231"/>
      <c r="Z343" s="231"/>
      <c r="AA343" s="231"/>
      <c r="AB343" s="231"/>
      <c r="AC343" s="231"/>
      <c r="AD343" s="231"/>
      <c r="AE343" s="231"/>
      <c r="AF343" s="231"/>
      <c r="AG343" s="231"/>
      <c r="AH343" s="231"/>
      <c r="AI343" s="231"/>
    </row>
    <row r="344" spans="1:35" s="203" customFormat="1">
      <c r="A344" s="198" t="s">
        <v>262</v>
      </c>
      <c r="B344" s="116"/>
      <c r="C344" s="116"/>
      <c r="D344" s="116"/>
      <c r="E344" s="859"/>
      <c r="F344" s="854"/>
      <c r="G344" s="207"/>
      <c r="H344" s="857"/>
      <c r="I344" s="21"/>
      <c r="J344" s="231"/>
      <c r="K344" s="231"/>
      <c r="L344" s="231"/>
      <c r="M344" s="231"/>
      <c r="N344" s="231"/>
      <c r="O344" s="231"/>
      <c r="P344" s="231"/>
      <c r="Q344" s="231"/>
      <c r="R344" s="231"/>
      <c r="S344" s="231"/>
      <c r="T344" s="231"/>
      <c r="U344" s="231"/>
      <c r="V344" s="231"/>
      <c r="W344" s="231"/>
      <c r="X344" s="231"/>
      <c r="Y344" s="231"/>
      <c r="Z344" s="231"/>
      <c r="AA344" s="231"/>
      <c r="AB344" s="231"/>
      <c r="AC344" s="231"/>
      <c r="AD344" s="231"/>
      <c r="AE344" s="231"/>
      <c r="AF344" s="231"/>
      <c r="AG344" s="231"/>
      <c r="AH344" s="231"/>
      <c r="AI344" s="231"/>
    </row>
    <row r="345" spans="1:35" s="203" customFormat="1">
      <c r="A345" s="198" t="s">
        <v>330</v>
      </c>
      <c r="B345" s="116"/>
      <c r="C345" s="116"/>
      <c r="D345" s="116"/>
      <c r="E345" s="860"/>
      <c r="F345" s="855"/>
      <c r="G345" s="207"/>
      <c r="H345" s="858"/>
      <c r="I345" s="21"/>
      <c r="J345" s="231"/>
      <c r="K345" s="231"/>
      <c r="L345" s="231"/>
      <c r="M345" s="231"/>
      <c r="N345" s="231"/>
      <c r="O345" s="231"/>
      <c r="P345" s="231"/>
      <c r="Q345" s="231"/>
      <c r="R345" s="231"/>
      <c r="S345" s="231"/>
      <c r="T345" s="231"/>
      <c r="U345" s="231"/>
      <c r="V345" s="231"/>
      <c r="W345" s="231"/>
      <c r="X345" s="231"/>
      <c r="Y345" s="231"/>
      <c r="Z345" s="231"/>
      <c r="AA345" s="231"/>
      <c r="AB345" s="231"/>
      <c r="AC345" s="231"/>
      <c r="AD345" s="231"/>
      <c r="AE345" s="231"/>
      <c r="AF345" s="231"/>
      <c r="AG345" s="231"/>
      <c r="AH345" s="231"/>
      <c r="AI345" s="231"/>
    </row>
    <row r="346" spans="1:35" s="203" customFormat="1">
      <c r="A346" s="119"/>
      <c r="B346" s="47"/>
      <c r="C346" s="116"/>
      <c r="D346" s="116"/>
      <c r="E346" s="178"/>
      <c r="F346" s="146"/>
      <c r="G346" s="23"/>
      <c r="H346" s="264"/>
      <c r="I346" s="21"/>
      <c r="J346" s="231"/>
      <c r="K346" s="231"/>
      <c r="L346" s="231"/>
      <c r="M346" s="231"/>
      <c r="N346" s="231"/>
      <c r="O346" s="231"/>
      <c r="P346" s="231"/>
      <c r="Q346" s="231"/>
      <c r="R346" s="231"/>
      <c r="S346" s="231"/>
      <c r="T346" s="231"/>
      <c r="U346" s="231"/>
      <c r="V346" s="231"/>
      <c r="W346" s="231"/>
      <c r="X346" s="231"/>
      <c r="Y346" s="231"/>
      <c r="Z346" s="231"/>
      <c r="AA346" s="231"/>
      <c r="AB346" s="231"/>
      <c r="AC346" s="231"/>
      <c r="AD346" s="231"/>
      <c r="AE346" s="231"/>
      <c r="AF346" s="231"/>
      <c r="AG346" s="231"/>
      <c r="AH346" s="231"/>
      <c r="AI346" s="231"/>
    </row>
    <row r="347" spans="1:35" s="203" customFormat="1">
      <c r="A347" s="805">
        <v>1</v>
      </c>
      <c r="B347" s="47" t="s">
        <v>263</v>
      </c>
      <c r="C347" s="116"/>
      <c r="D347" s="116"/>
      <c r="E347" s="354">
        <v>69583</v>
      </c>
      <c r="F347" s="265">
        <v>68100</v>
      </c>
      <c r="G347" s="43"/>
      <c r="H347" s="126">
        <v>70369</v>
      </c>
      <c r="I347" s="86"/>
      <c r="J347" s="231"/>
      <c r="K347" s="231"/>
      <c r="L347" s="231"/>
      <c r="M347" s="231"/>
      <c r="N347" s="231"/>
      <c r="O347" s="231"/>
      <c r="P347" s="231"/>
      <c r="Q347" s="231"/>
      <c r="R347" s="231"/>
      <c r="S347" s="231"/>
      <c r="T347" s="231"/>
      <c r="U347" s="231"/>
      <c r="V347" s="231"/>
      <c r="W347" s="231"/>
      <c r="X347" s="231"/>
      <c r="Y347" s="231"/>
      <c r="Z347" s="231"/>
      <c r="AA347" s="231"/>
      <c r="AB347" s="231"/>
      <c r="AC347" s="231"/>
      <c r="AD347" s="231"/>
      <c r="AE347" s="231"/>
      <c r="AF347" s="231"/>
      <c r="AG347" s="231"/>
      <c r="AH347" s="231"/>
      <c r="AI347" s="231"/>
    </row>
    <row r="348" spans="1:35" s="203" customFormat="1">
      <c r="A348" s="805"/>
      <c r="B348" s="47"/>
      <c r="C348" s="116"/>
      <c r="D348" s="116"/>
      <c r="E348" s="355"/>
      <c r="F348" s="188"/>
      <c r="G348" s="43"/>
      <c r="H348" s="188"/>
      <c r="I348" s="86"/>
      <c r="J348" s="231"/>
      <c r="K348" s="231"/>
      <c r="L348" s="231"/>
      <c r="M348" s="231"/>
      <c r="N348" s="231"/>
      <c r="O348" s="231"/>
      <c r="P348" s="231"/>
      <c r="Q348" s="231"/>
      <c r="R348" s="231"/>
      <c r="S348" s="231"/>
      <c r="T348" s="231"/>
      <c r="U348" s="231"/>
      <c r="V348" s="231"/>
      <c r="W348" s="231"/>
      <c r="X348" s="231"/>
      <c r="Y348" s="231"/>
      <c r="Z348" s="231"/>
      <c r="AA348" s="231"/>
      <c r="AB348" s="231"/>
      <c r="AC348" s="231"/>
      <c r="AD348" s="231"/>
      <c r="AE348" s="231"/>
      <c r="AF348" s="231"/>
      <c r="AG348" s="231"/>
      <c r="AH348" s="231"/>
      <c r="AI348" s="231"/>
    </row>
    <row r="349" spans="1:35" s="203" customFormat="1">
      <c r="A349" s="108" t="s">
        <v>378</v>
      </c>
      <c r="B349" s="47"/>
      <c r="C349" s="116"/>
      <c r="D349" s="116"/>
      <c r="E349" s="355"/>
      <c r="F349" s="188"/>
      <c r="G349" s="43"/>
      <c r="H349" s="188"/>
      <c r="I349" s="86"/>
      <c r="J349" s="231"/>
      <c r="K349" s="231"/>
      <c r="L349" s="231"/>
      <c r="M349" s="231"/>
      <c r="N349" s="231"/>
      <c r="O349" s="231"/>
      <c r="P349" s="231"/>
      <c r="Q349" s="231"/>
      <c r="R349" s="231"/>
      <c r="S349" s="231"/>
      <c r="T349" s="231"/>
      <c r="U349" s="231"/>
      <c r="V349" s="231"/>
      <c r="W349" s="231"/>
      <c r="X349" s="231"/>
      <c r="Y349" s="231"/>
      <c r="Z349" s="231"/>
      <c r="AA349" s="231"/>
      <c r="AB349" s="231"/>
      <c r="AC349" s="231"/>
      <c r="AD349" s="231"/>
      <c r="AE349" s="231"/>
      <c r="AF349" s="231"/>
      <c r="AG349" s="231"/>
      <c r="AH349" s="231"/>
      <c r="AI349" s="231"/>
    </row>
    <row r="350" spans="1:35" s="203" customFormat="1">
      <c r="A350" s="805"/>
      <c r="B350" s="47"/>
      <c r="C350" s="116"/>
      <c r="D350" s="116"/>
      <c r="E350" s="355"/>
      <c r="F350" s="188"/>
      <c r="G350" s="43"/>
      <c r="H350" s="188"/>
      <c r="I350" s="86"/>
      <c r="J350" s="231"/>
      <c r="K350" s="231"/>
      <c r="L350" s="231"/>
      <c r="M350" s="231"/>
      <c r="N350" s="231"/>
      <c r="O350" s="231"/>
      <c r="P350" s="231"/>
      <c r="Q350" s="231"/>
      <c r="R350" s="231"/>
      <c r="S350" s="231"/>
      <c r="T350" s="231"/>
      <c r="U350" s="231"/>
      <c r="V350" s="231"/>
      <c r="W350" s="231"/>
      <c r="X350" s="231"/>
      <c r="Y350" s="231"/>
      <c r="Z350" s="231"/>
      <c r="AA350" s="231"/>
      <c r="AB350" s="231"/>
      <c r="AC350" s="231"/>
      <c r="AD350" s="231"/>
      <c r="AE350" s="231"/>
      <c r="AF350" s="231"/>
      <c r="AG350" s="231"/>
      <c r="AH350" s="231"/>
      <c r="AI350" s="231"/>
    </row>
    <row r="351" spans="1:35" s="203" customFormat="1">
      <c r="A351" s="198" t="s">
        <v>379</v>
      </c>
      <c r="B351" s="47"/>
      <c r="C351" s="116"/>
      <c r="D351" s="116"/>
      <c r="E351" s="355"/>
      <c r="F351" s="188"/>
      <c r="G351" s="43"/>
      <c r="H351" s="188"/>
      <c r="I351" s="86"/>
      <c r="J351" s="231"/>
      <c r="K351" s="231"/>
      <c r="L351" s="231"/>
      <c r="M351" s="231"/>
      <c r="N351" s="231"/>
      <c r="O351" s="231"/>
      <c r="P351" s="231"/>
      <c r="Q351" s="231"/>
      <c r="R351" s="231"/>
      <c r="S351" s="231"/>
      <c r="T351" s="231"/>
      <c r="U351" s="231"/>
      <c r="V351" s="231"/>
      <c r="W351" s="231"/>
      <c r="X351" s="231"/>
      <c r="Y351" s="231"/>
      <c r="Z351" s="231"/>
      <c r="AA351" s="231"/>
      <c r="AB351" s="231"/>
      <c r="AC351" s="231"/>
      <c r="AD351" s="231"/>
      <c r="AE351" s="231"/>
      <c r="AF351" s="231"/>
      <c r="AG351" s="231"/>
      <c r="AH351" s="231"/>
      <c r="AI351" s="231"/>
    </row>
    <row r="352" spans="1:35" s="203" customFormat="1">
      <c r="A352" s="805"/>
      <c r="B352" s="47"/>
      <c r="C352" s="116"/>
      <c r="D352" s="116"/>
      <c r="E352" s="355"/>
      <c r="F352" s="188"/>
      <c r="G352" s="43"/>
      <c r="H352" s="188"/>
      <c r="I352" s="86"/>
      <c r="J352" s="231"/>
      <c r="K352" s="231"/>
      <c r="L352" s="231"/>
      <c r="M352" s="231"/>
      <c r="N352" s="231"/>
      <c r="O352" s="231"/>
      <c r="P352" s="231"/>
      <c r="Q352" s="231"/>
      <c r="R352" s="231"/>
      <c r="S352" s="231"/>
      <c r="T352" s="231"/>
      <c r="U352" s="231"/>
      <c r="V352" s="231"/>
      <c r="W352" s="231"/>
      <c r="X352" s="231"/>
      <c r="Y352" s="231"/>
      <c r="Z352" s="231"/>
      <c r="AA352" s="231"/>
      <c r="AB352" s="231"/>
      <c r="AC352" s="231"/>
      <c r="AD352" s="231"/>
      <c r="AE352" s="231"/>
      <c r="AF352" s="231"/>
      <c r="AG352" s="231"/>
      <c r="AH352" s="231"/>
      <c r="AI352" s="231"/>
    </row>
    <row r="353" spans="1:35" s="203" customFormat="1">
      <c r="A353" s="805">
        <v>2</v>
      </c>
      <c r="B353" s="47" t="s">
        <v>52</v>
      </c>
      <c r="C353" s="116"/>
      <c r="D353" s="116"/>
      <c r="E353" s="74">
        <v>24</v>
      </c>
      <c r="F353" s="265">
        <v>0</v>
      </c>
      <c r="G353" s="43"/>
      <c r="H353" s="126">
        <v>0</v>
      </c>
      <c r="I353" s="86"/>
      <c r="J353" s="231"/>
      <c r="K353" s="231"/>
      <c r="L353" s="231"/>
      <c r="M353" s="231"/>
      <c r="N353" s="231"/>
      <c r="O353" s="231"/>
      <c r="P353" s="231"/>
      <c r="Q353" s="231"/>
      <c r="R353" s="231"/>
      <c r="S353" s="231"/>
      <c r="T353" s="231"/>
      <c r="U353" s="231"/>
      <c r="V353" s="231"/>
      <c r="W353" s="231"/>
      <c r="X353" s="231"/>
      <c r="Y353" s="231"/>
      <c r="Z353" s="231"/>
      <c r="AA353" s="231"/>
      <c r="AB353" s="231"/>
      <c r="AC353" s="231"/>
      <c r="AD353" s="231"/>
      <c r="AE353" s="231"/>
      <c r="AF353" s="231"/>
      <c r="AG353" s="231"/>
      <c r="AH353" s="231"/>
      <c r="AI353" s="231"/>
    </row>
    <row r="354" spans="1:35" s="203" customFormat="1">
      <c r="A354" s="805">
        <v>3</v>
      </c>
      <c r="B354" s="47" t="s">
        <v>53</v>
      </c>
      <c r="C354" s="116"/>
      <c r="D354" s="116"/>
      <c r="E354" s="49">
        <v>0</v>
      </c>
      <c r="F354" s="265">
        <v>0</v>
      </c>
      <c r="G354" s="43"/>
      <c r="H354" s="126">
        <v>0</v>
      </c>
      <c r="I354" s="86"/>
      <c r="J354" s="231"/>
      <c r="K354" s="231"/>
      <c r="L354" s="231"/>
      <c r="M354" s="231"/>
      <c r="N354" s="231"/>
      <c r="O354" s="231"/>
      <c r="P354" s="231"/>
      <c r="Q354" s="231"/>
      <c r="R354" s="231"/>
      <c r="S354" s="231"/>
      <c r="T354" s="231"/>
      <c r="U354" s="231"/>
      <c r="V354" s="231"/>
      <c r="W354" s="231"/>
      <c r="X354" s="231"/>
      <c r="Y354" s="231"/>
      <c r="Z354" s="231"/>
      <c r="AA354" s="231"/>
      <c r="AB354" s="231"/>
      <c r="AC354" s="231"/>
      <c r="AD354" s="231"/>
      <c r="AE354" s="231"/>
      <c r="AF354" s="231"/>
      <c r="AG354" s="231"/>
      <c r="AH354" s="231"/>
      <c r="AI354" s="231"/>
    </row>
    <row r="355" spans="1:35" s="203" customFormat="1">
      <c r="A355" s="805">
        <v>4</v>
      </c>
      <c r="B355" s="47" t="s">
        <v>54</v>
      </c>
      <c r="C355" s="116"/>
      <c r="D355" s="116"/>
      <c r="E355" s="49">
        <v>0</v>
      </c>
      <c r="F355" s="265">
        <v>0</v>
      </c>
      <c r="G355" s="43"/>
      <c r="H355" s="126">
        <v>0</v>
      </c>
      <c r="I355" s="86"/>
      <c r="J355" s="231"/>
      <c r="K355" s="231"/>
      <c r="L355" s="231"/>
      <c r="M355" s="231"/>
      <c r="N355" s="231"/>
      <c r="O355" s="231"/>
      <c r="P355" s="231"/>
      <c r="Q355" s="231"/>
      <c r="R355" s="231"/>
      <c r="S355" s="231"/>
      <c r="T355" s="231"/>
      <c r="U355" s="231"/>
      <c r="V355" s="231"/>
      <c r="W355" s="231"/>
      <c r="X355" s="231"/>
      <c r="Y355" s="231"/>
      <c r="Z355" s="231"/>
      <c r="AA355" s="231"/>
      <c r="AB355" s="231"/>
      <c r="AC355" s="231"/>
      <c r="AD355" s="231"/>
      <c r="AE355" s="231"/>
      <c r="AF355" s="231"/>
      <c r="AG355" s="231"/>
      <c r="AH355" s="231"/>
      <c r="AI355" s="231"/>
    </row>
    <row r="356" spans="1:35" s="203" customFormat="1">
      <c r="A356" s="805">
        <v>5</v>
      </c>
      <c r="B356" s="47" t="s">
        <v>55</v>
      </c>
      <c r="C356" s="116"/>
      <c r="D356" s="116"/>
      <c r="E356" s="49">
        <v>1600</v>
      </c>
      <c r="F356" s="265">
        <v>0</v>
      </c>
      <c r="G356" s="43"/>
      <c r="H356" s="126">
        <v>0</v>
      </c>
      <c r="I356" s="86"/>
      <c r="J356" s="231"/>
      <c r="K356" s="231"/>
      <c r="L356" s="231"/>
      <c r="M356" s="231"/>
      <c r="N356" s="231"/>
      <c r="O356" s="231"/>
      <c r="P356" s="231"/>
      <c r="Q356" s="231"/>
      <c r="R356" s="231"/>
      <c r="S356" s="231"/>
      <c r="T356" s="231"/>
      <c r="U356" s="231"/>
      <c r="V356" s="231"/>
      <c r="W356" s="231"/>
      <c r="X356" s="231"/>
      <c r="Y356" s="231"/>
      <c r="Z356" s="231"/>
      <c r="AA356" s="231"/>
      <c r="AB356" s="231"/>
      <c r="AC356" s="231"/>
      <c r="AD356" s="231"/>
      <c r="AE356" s="231"/>
      <c r="AF356" s="231"/>
      <c r="AG356" s="231"/>
      <c r="AH356" s="231"/>
      <c r="AI356" s="231"/>
    </row>
    <row r="357" spans="1:35" s="203" customFormat="1">
      <c r="A357" s="805">
        <v>6</v>
      </c>
      <c r="B357" s="47" t="s">
        <v>56</v>
      </c>
      <c r="C357" s="116"/>
      <c r="D357" s="116"/>
      <c r="E357" s="49">
        <v>95</v>
      </c>
      <c r="F357" s="265">
        <v>96</v>
      </c>
      <c r="G357" s="43"/>
      <c r="H357" s="126">
        <v>0</v>
      </c>
      <c r="I357" s="86"/>
      <c r="J357" s="231"/>
      <c r="K357" s="231"/>
      <c r="L357" s="231"/>
      <c r="M357" s="231"/>
      <c r="N357" s="231"/>
      <c r="O357" s="231"/>
      <c r="P357" s="231"/>
      <c r="Q357" s="231"/>
      <c r="R357" s="231"/>
      <c r="S357" s="231"/>
      <c r="T357" s="231"/>
      <c r="U357" s="231"/>
      <c r="V357" s="231"/>
      <c r="W357" s="231"/>
      <c r="X357" s="231"/>
      <c r="Y357" s="231"/>
      <c r="Z357" s="231"/>
      <c r="AA357" s="231"/>
      <c r="AB357" s="231"/>
      <c r="AC357" s="231"/>
      <c r="AD357" s="231"/>
      <c r="AE357" s="231"/>
      <c r="AF357" s="231"/>
      <c r="AG357" s="231"/>
      <c r="AH357" s="231"/>
      <c r="AI357" s="231"/>
    </row>
    <row r="358" spans="1:35" s="203" customFormat="1">
      <c r="A358" s="805">
        <v>7</v>
      </c>
      <c r="B358" s="47" t="s">
        <v>57</v>
      </c>
      <c r="C358" s="116"/>
      <c r="D358" s="116"/>
      <c r="E358" s="49">
        <v>-63</v>
      </c>
      <c r="F358" s="265">
        <v>0</v>
      </c>
      <c r="G358" s="43"/>
      <c r="H358" s="126">
        <v>0</v>
      </c>
      <c r="I358" s="86"/>
      <c r="J358" s="231"/>
      <c r="K358" s="231"/>
      <c r="L358" s="231"/>
      <c r="M358" s="231"/>
      <c r="N358" s="231"/>
      <c r="O358" s="231"/>
      <c r="P358" s="231"/>
      <c r="Q358" s="231"/>
      <c r="R358" s="231"/>
      <c r="S358" s="231"/>
      <c r="T358" s="231"/>
      <c r="U358" s="231"/>
      <c r="V358" s="231"/>
      <c r="W358" s="231"/>
      <c r="X358" s="231"/>
      <c r="Y358" s="231"/>
      <c r="Z358" s="231"/>
      <c r="AA358" s="231"/>
      <c r="AB358" s="231"/>
      <c r="AC358" s="231"/>
      <c r="AD358" s="231"/>
      <c r="AE358" s="231"/>
      <c r="AF358" s="231"/>
      <c r="AG358" s="231"/>
      <c r="AH358" s="231"/>
      <c r="AI358" s="231"/>
    </row>
    <row r="359" spans="1:35" s="203" customFormat="1">
      <c r="A359" s="805">
        <v>8</v>
      </c>
      <c r="B359" s="47" t="s">
        <v>58</v>
      </c>
      <c r="C359" s="116"/>
      <c r="D359" s="116"/>
      <c r="E359" s="49">
        <v>0</v>
      </c>
      <c r="F359" s="265">
        <v>0</v>
      </c>
      <c r="G359" s="43"/>
      <c r="H359" s="126">
        <v>0</v>
      </c>
      <c r="I359" s="86"/>
      <c r="J359" s="231"/>
      <c r="K359" s="231"/>
      <c r="L359" s="231"/>
      <c r="M359" s="231"/>
      <c r="N359" s="231"/>
      <c r="O359" s="231"/>
      <c r="P359" s="231"/>
      <c r="Q359" s="231"/>
      <c r="R359" s="231"/>
      <c r="S359" s="231"/>
      <c r="T359" s="231"/>
      <c r="U359" s="231"/>
      <c r="V359" s="231"/>
      <c r="W359" s="231"/>
      <c r="X359" s="231"/>
      <c r="Y359" s="231"/>
      <c r="Z359" s="231"/>
      <c r="AA359" s="231"/>
      <c r="AB359" s="231"/>
      <c r="AC359" s="231"/>
      <c r="AD359" s="231"/>
      <c r="AE359" s="231"/>
      <c r="AF359" s="231"/>
      <c r="AG359" s="231"/>
      <c r="AH359" s="231"/>
      <c r="AI359" s="231"/>
    </row>
    <row r="360" spans="1:35" s="203" customFormat="1">
      <c r="A360" s="805">
        <v>9</v>
      </c>
      <c r="B360" s="47" t="s">
        <v>59</v>
      </c>
      <c r="C360" s="116"/>
      <c r="D360" s="116"/>
      <c r="E360" s="49">
        <v>40</v>
      </c>
      <c r="F360" s="265">
        <v>0</v>
      </c>
      <c r="G360" s="43"/>
      <c r="H360" s="126">
        <v>0</v>
      </c>
      <c r="I360" s="86"/>
      <c r="J360" s="231"/>
      <c r="K360" s="231"/>
      <c r="L360" s="231"/>
      <c r="M360" s="231"/>
      <c r="N360" s="231"/>
      <c r="O360" s="231"/>
      <c r="P360" s="231"/>
      <c r="Q360" s="231"/>
      <c r="R360" s="231"/>
      <c r="S360" s="231"/>
      <c r="T360" s="231"/>
      <c r="U360" s="231"/>
      <c r="V360" s="231"/>
      <c r="W360" s="231"/>
      <c r="X360" s="231"/>
      <c r="Y360" s="231"/>
      <c r="Z360" s="231"/>
      <c r="AA360" s="231"/>
      <c r="AB360" s="231"/>
      <c r="AC360" s="231"/>
      <c r="AD360" s="231"/>
      <c r="AE360" s="231"/>
      <c r="AF360" s="231"/>
      <c r="AG360" s="231"/>
      <c r="AH360" s="231"/>
      <c r="AI360" s="231"/>
    </row>
    <row r="361" spans="1:35" s="203" customFormat="1">
      <c r="A361" s="805">
        <v>10</v>
      </c>
      <c r="B361" s="47" t="s">
        <v>60</v>
      </c>
      <c r="C361" s="116"/>
      <c r="D361" s="116"/>
      <c r="E361" s="49">
        <v>0</v>
      </c>
      <c r="F361" s="265">
        <v>0</v>
      </c>
      <c r="G361" s="43"/>
      <c r="H361" s="126">
        <v>0</v>
      </c>
      <c r="I361" s="86"/>
      <c r="J361" s="231"/>
      <c r="K361" s="231"/>
      <c r="L361" s="231"/>
      <c r="M361" s="231"/>
      <c r="N361" s="231"/>
      <c r="O361" s="231"/>
      <c r="P361" s="231"/>
      <c r="Q361" s="231"/>
      <c r="R361" s="231"/>
      <c r="S361" s="231"/>
      <c r="T361" s="231"/>
      <c r="U361" s="231"/>
      <c r="V361" s="231"/>
      <c r="W361" s="231"/>
      <c r="X361" s="231"/>
      <c r="Y361" s="231"/>
      <c r="Z361" s="231"/>
      <c r="AA361" s="231"/>
      <c r="AB361" s="231"/>
      <c r="AC361" s="231"/>
      <c r="AD361" s="231"/>
      <c r="AE361" s="231"/>
      <c r="AF361" s="231"/>
      <c r="AG361" s="231"/>
      <c r="AH361" s="231"/>
      <c r="AI361" s="231"/>
    </row>
    <row r="362" spans="1:35" s="203" customFormat="1">
      <c r="A362" s="805">
        <v>11</v>
      </c>
      <c r="B362" s="47" t="s">
        <v>61</v>
      </c>
      <c r="C362" s="116"/>
      <c r="D362" s="116"/>
      <c r="E362" s="49">
        <v>0</v>
      </c>
      <c r="F362" s="265">
        <v>0</v>
      </c>
      <c r="G362" s="43"/>
      <c r="H362" s="126">
        <v>0</v>
      </c>
      <c r="I362" s="86"/>
      <c r="J362" s="231"/>
      <c r="K362" s="231"/>
      <c r="L362" s="231"/>
      <c r="M362" s="231"/>
      <c r="N362" s="231"/>
      <c r="O362" s="231"/>
      <c r="P362" s="231"/>
      <c r="Q362" s="231"/>
      <c r="R362" s="231"/>
      <c r="S362" s="231"/>
      <c r="T362" s="231"/>
      <c r="U362" s="231"/>
      <c r="V362" s="231"/>
      <c r="W362" s="231"/>
      <c r="X362" s="231"/>
      <c r="Y362" s="231"/>
      <c r="Z362" s="231"/>
      <c r="AA362" s="231"/>
      <c r="AB362" s="231"/>
      <c r="AC362" s="231"/>
      <c r="AD362" s="231"/>
      <c r="AE362" s="231"/>
      <c r="AF362" s="231"/>
      <c r="AG362" s="231"/>
      <c r="AH362" s="231"/>
      <c r="AI362" s="231"/>
    </row>
    <row r="363" spans="1:35" s="203" customFormat="1">
      <c r="A363" s="806">
        <v>12</v>
      </c>
      <c r="B363" s="54" t="s">
        <v>380</v>
      </c>
      <c r="C363" s="94"/>
      <c r="D363" s="94"/>
      <c r="E363" s="135">
        <v>1696</v>
      </c>
      <c r="F363" s="61">
        <f>SUM(F353:F362)</f>
        <v>96</v>
      </c>
      <c r="G363" s="43"/>
      <c r="H363" s="61">
        <f>SUM(H353:H362)</f>
        <v>0</v>
      </c>
      <c r="I363" s="86"/>
      <c r="J363" s="231"/>
      <c r="K363" s="231"/>
      <c r="L363" s="231"/>
      <c r="M363" s="231"/>
      <c r="N363" s="231"/>
      <c r="O363" s="231"/>
      <c r="P363" s="231"/>
      <c r="Q363" s="231"/>
      <c r="R363" s="231"/>
      <c r="S363" s="231"/>
      <c r="T363" s="231"/>
      <c r="U363" s="231"/>
      <c r="V363" s="231"/>
      <c r="W363" s="231"/>
      <c r="X363" s="231"/>
      <c r="Y363" s="231"/>
      <c r="Z363" s="231"/>
      <c r="AA363" s="231"/>
      <c r="AB363" s="231"/>
      <c r="AC363" s="231"/>
      <c r="AD363" s="231"/>
      <c r="AE363" s="231"/>
      <c r="AF363" s="231"/>
      <c r="AG363" s="231"/>
      <c r="AH363" s="231"/>
      <c r="AI363" s="231"/>
    </row>
    <row r="364" spans="1:35" s="203" customFormat="1">
      <c r="A364" s="199"/>
      <c r="B364" s="15"/>
      <c r="C364" s="15"/>
      <c r="D364" s="15"/>
      <c r="E364" s="15"/>
      <c r="F364" s="15"/>
      <c r="G364" s="15"/>
      <c r="H364" s="15"/>
      <c r="I364" s="86"/>
      <c r="J364" s="231"/>
      <c r="K364" s="231"/>
      <c r="L364" s="231"/>
      <c r="M364" s="231"/>
      <c r="N364" s="231"/>
      <c r="O364" s="231"/>
      <c r="P364" s="231"/>
      <c r="Q364" s="231"/>
      <c r="R364" s="231"/>
      <c r="S364" s="231"/>
      <c r="T364" s="231"/>
      <c r="U364" s="231"/>
      <c r="V364" s="231"/>
      <c r="W364" s="231"/>
      <c r="X364" s="231"/>
      <c r="Y364" s="231"/>
      <c r="Z364" s="231"/>
      <c r="AA364" s="231"/>
      <c r="AB364" s="231"/>
      <c r="AC364" s="231"/>
      <c r="AD364" s="231"/>
      <c r="AE364" s="231"/>
      <c r="AF364" s="231"/>
      <c r="AG364" s="231"/>
      <c r="AH364" s="231"/>
      <c r="AI364" s="231"/>
    </row>
    <row r="365" spans="1:35" s="203" customFormat="1">
      <c r="A365" s="199"/>
      <c r="B365" s="15"/>
      <c r="C365" s="15"/>
      <c r="D365" s="15"/>
      <c r="E365" s="15"/>
      <c r="F365" s="15"/>
      <c r="G365" s="15"/>
      <c r="H365" s="86"/>
      <c r="I365" s="86"/>
      <c r="J365" s="231"/>
      <c r="K365" s="231"/>
      <c r="L365" s="231"/>
      <c r="M365" s="231"/>
      <c r="N365" s="231"/>
      <c r="O365" s="231"/>
      <c r="P365" s="231"/>
      <c r="Q365" s="231"/>
      <c r="R365" s="231"/>
      <c r="S365" s="231"/>
      <c r="T365" s="231"/>
      <c r="U365" s="231"/>
      <c r="V365" s="231"/>
      <c r="W365" s="231"/>
      <c r="X365" s="231"/>
      <c r="Y365" s="231"/>
      <c r="Z365" s="231"/>
      <c r="AA365" s="231"/>
      <c r="AB365" s="231"/>
      <c r="AC365" s="231"/>
      <c r="AD365" s="231"/>
      <c r="AE365" s="231"/>
      <c r="AF365" s="231"/>
      <c r="AG365" s="231"/>
      <c r="AH365" s="231"/>
      <c r="AI365" s="231"/>
    </row>
    <row r="366" spans="1:35" s="203" customFormat="1">
      <c r="A366" s="199"/>
      <c r="B366" s="15"/>
      <c r="C366" s="15"/>
      <c r="D366" s="15"/>
      <c r="E366" s="15"/>
      <c r="F366" s="15"/>
      <c r="G366" s="15"/>
      <c r="H366" s="86"/>
      <c r="I366" s="86"/>
      <c r="J366" s="231"/>
      <c r="K366" s="231"/>
      <c r="L366" s="231"/>
      <c r="M366" s="231"/>
      <c r="N366" s="231"/>
      <c r="O366" s="231"/>
      <c r="P366" s="231"/>
      <c r="Q366" s="231"/>
      <c r="R366" s="231"/>
      <c r="S366" s="231"/>
      <c r="T366" s="231"/>
      <c r="U366" s="231"/>
      <c r="V366" s="231"/>
      <c r="W366" s="231"/>
      <c r="X366" s="231"/>
      <c r="Y366" s="231"/>
      <c r="Z366" s="231"/>
      <c r="AA366" s="231"/>
      <c r="AB366" s="231"/>
      <c r="AC366" s="231"/>
      <c r="AD366" s="231"/>
      <c r="AE366" s="231"/>
      <c r="AF366" s="231"/>
      <c r="AG366" s="231"/>
      <c r="AH366" s="231"/>
      <c r="AI366" s="231"/>
    </row>
    <row r="367" spans="1:35" s="8" customFormat="1"/>
    <row r="368" spans="1:35" s="8" customFormat="1"/>
    <row r="369" s="8" customFormat="1"/>
    <row r="370" s="8" customFormat="1"/>
    <row r="371" s="8" customFormat="1"/>
    <row r="372" s="8" customFormat="1"/>
    <row r="373" s="8" customFormat="1"/>
    <row r="374" s="8" customFormat="1"/>
    <row r="375" s="8" customFormat="1"/>
    <row r="376" s="8" customFormat="1"/>
    <row r="377" s="8" customFormat="1"/>
    <row r="378" s="8" customFormat="1"/>
    <row r="379" s="8" customFormat="1"/>
    <row r="380" s="8" customFormat="1"/>
    <row r="381" s="8" customFormat="1"/>
    <row r="382" s="8" customFormat="1"/>
    <row r="383" s="8" customFormat="1"/>
    <row r="384" s="8" customFormat="1"/>
    <row r="385" spans="1:9" s="8" customFormat="1"/>
    <row r="386" spans="1:9" s="8" customFormat="1"/>
    <row r="387" spans="1:9" s="8" customFormat="1"/>
    <row r="388" spans="1:9" s="8" customFormat="1"/>
    <row r="389" spans="1:9" s="8" customFormat="1"/>
    <row r="390" spans="1:9" s="8" customFormat="1"/>
    <row r="391" spans="1:9" s="8" customFormat="1"/>
    <row r="392" spans="1:9" s="8" customFormat="1"/>
    <row r="393" spans="1:9" s="8" customFormat="1"/>
    <row r="394" spans="1:9" s="8" customFormat="1"/>
    <row r="395" spans="1:9" s="8" customFormat="1"/>
    <row r="396" spans="1:9" s="8" customFormat="1"/>
    <row r="397" spans="1:9" s="8" customFormat="1"/>
    <row r="398" spans="1:9" s="8" customFormat="1"/>
    <row r="399" spans="1:9">
      <c r="A399" s="8"/>
      <c r="B399" s="8"/>
      <c r="C399" s="8"/>
      <c r="D399" s="8"/>
      <c r="E399" s="8"/>
      <c r="F399" s="8"/>
      <c r="G399" s="8"/>
      <c r="H399" s="8"/>
      <c r="I399" s="8"/>
    </row>
    <row r="400" spans="1:9">
      <c r="A400" s="8"/>
      <c r="B400" s="8"/>
      <c r="C400" s="8"/>
      <c r="D400" s="8"/>
      <c r="E400" s="8"/>
      <c r="F400" s="8"/>
      <c r="G400" s="8"/>
      <c r="H400" s="8"/>
      <c r="I400" s="8"/>
    </row>
    <row r="401" spans="1:9">
      <c r="A401" s="8"/>
      <c r="B401" s="8"/>
      <c r="C401" s="8"/>
      <c r="D401" s="8"/>
      <c r="E401" s="8"/>
      <c r="F401" s="8"/>
      <c r="G401" s="8"/>
      <c r="H401" s="8"/>
      <c r="I401" s="8"/>
    </row>
    <row r="402" spans="1:9">
      <c r="A402" s="8"/>
      <c r="B402" s="8"/>
      <c r="C402" s="8"/>
      <c r="D402" s="8"/>
      <c r="E402" s="8"/>
      <c r="F402" s="8"/>
      <c r="G402" s="8"/>
      <c r="H402" s="8"/>
      <c r="I402" s="8"/>
    </row>
    <row r="403" spans="1:9">
      <c r="A403" s="8"/>
      <c r="B403" s="8"/>
      <c r="C403" s="8"/>
      <c r="D403" s="8"/>
      <c r="E403" s="8"/>
      <c r="F403" s="8"/>
      <c r="G403" s="8"/>
      <c r="H403" s="8"/>
      <c r="I403" s="8"/>
    </row>
    <row r="404" spans="1:9">
      <c r="A404" s="8"/>
      <c r="B404" s="8"/>
      <c r="C404" s="8"/>
      <c r="D404" s="8"/>
      <c r="E404" s="8"/>
      <c r="F404" s="8"/>
      <c r="G404" s="8"/>
      <c r="H404" s="8"/>
      <c r="I404" s="8"/>
    </row>
    <row r="405" spans="1:9">
      <c r="A405" s="8"/>
      <c r="B405" s="8"/>
      <c r="C405" s="8"/>
      <c r="D405" s="8"/>
      <c r="E405" s="8"/>
      <c r="F405" s="8"/>
      <c r="G405" s="8"/>
      <c r="H405" s="8"/>
      <c r="I405" s="8"/>
    </row>
    <row r="406" spans="1:9">
      <c r="A406" s="8"/>
      <c r="B406" s="8"/>
      <c r="C406" s="8"/>
      <c r="D406" s="8"/>
      <c r="E406" s="8"/>
      <c r="F406" s="8"/>
      <c r="G406" s="8"/>
      <c r="H406" s="8"/>
      <c r="I406" s="8"/>
    </row>
    <row r="407" spans="1:9">
      <c r="A407" s="8"/>
      <c r="B407" s="8"/>
      <c r="C407" s="8"/>
      <c r="D407" s="8"/>
      <c r="E407" s="8"/>
      <c r="F407" s="8"/>
      <c r="G407" s="8"/>
      <c r="H407" s="8"/>
      <c r="I407" s="8"/>
    </row>
    <row r="408" spans="1:9">
      <c r="A408" s="8"/>
      <c r="B408" s="8"/>
      <c r="C408" s="8"/>
      <c r="D408" s="8"/>
      <c r="E408" s="8"/>
      <c r="F408" s="8"/>
      <c r="G408" s="8"/>
      <c r="H408" s="8"/>
      <c r="I408" s="8"/>
    </row>
    <row r="409" spans="1:9">
      <c r="A409" s="8"/>
      <c r="B409" s="8"/>
      <c r="C409" s="8"/>
      <c r="D409" s="8"/>
      <c r="E409" s="8"/>
      <c r="F409" s="8"/>
      <c r="G409" s="8"/>
      <c r="H409" s="8"/>
      <c r="I409" s="8"/>
    </row>
    <row r="410" spans="1:9">
      <c r="A410" s="8"/>
      <c r="B410" s="8"/>
      <c r="C410" s="8"/>
      <c r="D410" s="8"/>
      <c r="E410" s="8"/>
      <c r="F410" s="8"/>
      <c r="G410" s="8"/>
      <c r="H410" s="8"/>
      <c r="I410" s="8"/>
    </row>
    <row r="411" spans="1:9">
      <c r="A411" s="8"/>
      <c r="B411" s="8"/>
      <c r="C411" s="8"/>
      <c r="D411" s="8"/>
      <c r="E411" s="8"/>
      <c r="F411" s="8"/>
      <c r="G411" s="8"/>
      <c r="H411" s="8"/>
      <c r="I411" s="8"/>
    </row>
    <row r="412" spans="1:9">
      <c r="A412" s="8"/>
      <c r="B412" s="8"/>
      <c r="C412" s="8"/>
      <c r="D412" s="8"/>
      <c r="E412" s="8"/>
      <c r="F412" s="8"/>
      <c r="G412" s="8"/>
      <c r="H412" s="8"/>
      <c r="I412" s="8"/>
    </row>
    <row r="413" spans="1:9">
      <c r="A413" s="8"/>
      <c r="B413" s="8"/>
      <c r="C413" s="8"/>
      <c r="D413" s="8"/>
      <c r="E413" s="8"/>
      <c r="F413" s="8"/>
      <c r="G413" s="8"/>
      <c r="H413" s="8"/>
      <c r="I413" s="8"/>
    </row>
  </sheetData>
  <mergeCells count="59">
    <mergeCell ref="C19:F19"/>
    <mergeCell ref="B3:B4"/>
    <mergeCell ref="C3:D4"/>
    <mergeCell ref="A5:B5"/>
    <mergeCell ref="D6:H6"/>
    <mergeCell ref="A9:I9"/>
    <mergeCell ref="D10:F10"/>
    <mergeCell ref="C14:F14"/>
    <mergeCell ref="C15:F15"/>
    <mergeCell ref="C16:F16"/>
    <mergeCell ref="C17:F17"/>
    <mergeCell ref="C18:F18"/>
    <mergeCell ref="A23:D24"/>
    <mergeCell ref="E23:E24"/>
    <mergeCell ref="F23:F24"/>
    <mergeCell ref="H23:H24"/>
    <mergeCell ref="A25:A27"/>
    <mergeCell ref="B25:D27"/>
    <mergeCell ref="E25:E27"/>
    <mergeCell ref="F25:F27"/>
    <mergeCell ref="H25:H27"/>
    <mergeCell ref="A40:D41"/>
    <mergeCell ref="E40:E41"/>
    <mergeCell ref="F40:F41"/>
    <mergeCell ref="H40:H41"/>
    <mergeCell ref="E66:E70"/>
    <mergeCell ref="F66:F70"/>
    <mergeCell ref="G66:G70"/>
    <mergeCell ref="H66:H70"/>
    <mergeCell ref="I66:I70"/>
    <mergeCell ref="F91:F95"/>
    <mergeCell ref="H91:H95"/>
    <mergeCell ref="E193:E197"/>
    <mergeCell ref="F193:F197"/>
    <mergeCell ref="H193:H197"/>
    <mergeCell ref="E153:E157"/>
    <mergeCell ref="F153:F157"/>
    <mergeCell ref="H153:H157"/>
    <mergeCell ref="E91:E95"/>
    <mergeCell ref="E221:E225"/>
    <mergeCell ref="F221:F225"/>
    <mergeCell ref="H221:H225"/>
    <mergeCell ref="E234:E238"/>
    <mergeCell ref="F234:F238"/>
    <mergeCell ref="H234:H238"/>
    <mergeCell ref="E261:E265"/>
    <mergeCell ref="F261:F265"/>
    <mergeCell ref="H261:H265"/>
    <mergeCell ref="E280:E284"/>
    <mergeCell ref="F280:F284"/>
    <mergeCell ref="H280:H284"/>
    <mergeCell ref="E341:E345"/>
    <mergeCell ref="F341:F345"/>
    <mergeCell ref="H341:H345"/>
    <mergeCell ref="E305:E309"/>
    <mergeCell ref="F305:F309"/>
    <mergeCell ref="H305:H309"/>
    <mergeCell ref="C323:H323"/>
    <mergeCell ref="C330:H330"/>
  </mergeCells>
  <phoneticPr fontId="10" type="noConversion"/>
  <conditionalFormatting sqref="F286:F301 F311:F318 F71:F76 F204:F206 F80:F88 F96:F97 F103:F104 F106 F110:F114 F118:F124 F128:F134 F138:F142 F146:F149 F159:F162 F166:F168 F171:F172 F175:F177 F183:F190 F199:F200 F210:F213 F217:F218 F226:F230 F240:F241 F245:F246 F250:F253 F256 F267:F276 H250">
    <cfRule type="expression" dxfId="34" priority="275" stopIfTrue="1">
      <formula>ISBLANK(F71)</formula>
    </cfRule>
    <cfRule type="expression" dxfId="33" priority="276" stopIfTrue="1">
      <formula>IF(AND(OR(F71-E71&gt;500,F71-E71&lt;-500),OR(#REF!&gt;0.1,#REF!&lt;-0.1)),TRUE,FALSE)</formula>
    </cfRule>
  </conditionalFormatting>
  <dataValidations count="1">
    <dataValidation type="list" errorStyle="information" allowBlank="1" showInputMessage="1" showErrorMessage="1" errorTitle="POBE 2006" error="Please select from the drop-down menu..." prompt="Please select your Authority from the drop-down menu..." sqref="C3:D4">
      <formula1>#REF!</formula1>
    </dataValidation>
  </dataValidations>
  <hyperlinks>
    <hyperlink ref="F7" r:id="rId1" display="lgfstats@scotland.gsi.gov.uk"/>
    <hyperlink ref="D6" r:id="rId2"/>
    <hyperlink ref="D10" r:id="rId3" display="^lgfstats@gov.scot"/>
    <hyperlink ref="B14" location="'POBE 2017'!A28" display="PART 1 - Expenditure"/>
    <hyperlink ref="C19:F19" location="'POBE 2017'!A323" display="Sheet 10. - PUBLIC PRIVATE PARTNERSHIPS/PRIVATE FINANCE INITIATIVES"/>
    <hyperlink ref="B15" location="'POBE 2017'!A40" display="PART 2 - Income and Balances"/>
    <hyperlink ref="B16" location="'POBE 2017'!A66" display="Sheet 1. EDUCATION"/>
    <hyperlink ref="B17" location="'POBE 2017'!A91" display="Sheet 2. SOCIAL WORK"/>
    <hyperlink ref="B18" location="'POBE 2017'!A153" display="Sheet 3. ROADS AND TRANSPORT"/>
    <hyperlink ref="B19" location="'POBE 2017'!A193" display="Sheet 4. ENVIRONMENTAL SERVICES"/>
    <hyperlink ref="C14:F14" location="'POBE 2017'!A221" display="Sheet 5. PLANNING AND DEVELOPMENT SERVICES"/>
    <hyperlink ref="C15:F15" location="'POBE 2017'!A234" display="Sheet 6. CULTURAL AND RELATED SERVICES"/>
    <hyperlink ref="C16:F16" location="'POBE 2017'!A261" display="Sheet 7. HOUSING"/>
    <hyperlink ref="C17:F17" location="'POBE 2017'!A280" display="Sheet 8. CENTRAL SERVICES"/>
    <hyperlink ref="C18:F18" location="'POBE 2017'!A305" display="Sheet 9. OTHER EXPENDITURE"/>
  </hyperlinks>
  <pageMargins left="0.75" right="0.75" top="1" bottom="1" header="0.5" footer="0.5"/>
  <pageSetup paperSize="9" orientation="portrait" r:id="rId4"/>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AH413"/>
  <sheetViews>
    <sheetView topLeftCell="A187" zoomScale="80" zoomScaleNormal="80" workbookViewId="0">
      <selection activeCell="F240" sqref="F240"/>
    </sheetView>
  </sheetViews>
  <sheetFormatPr defaultColWidth="9.140625" defaultRowHeight="12.75"/>
  <cols>
    <col min="1" max="1" width="10.5703125" style="1" customWidth="1"/>
    <col min="2" max="2" width="43" style="1" customWidth="1"/>
    <col min="3" max="3" width="24.5703125" style="1" customWidth="1"/>
    <col min="4" max="4" width="14.7109375" style="1" customWidth="1"/>
    <col min="5" max="5" width="21.5703125" style="1" customWidth="1"/>
    <col min="6" max="6" width="19.140625" style="1" customWidth="1"/>
    <col min="7" max="7" width="17.42578125" style="1" customWidth="1"/>
    <col min="8" max="8" width="19.28515625" style="1" customWidth="1"/>
    <col min="9" max="9" width="17.85546875" style="1" customWidth="1"/>
    <col min="10" max="16" width="9.140625" style="8" customWidth="1"/>
    <col min="17" max="27" width="9.140625" style="8"/>
    <col min="28" max="28" width="0" style="8" hidden="1" customWidth="1"/>
    <col min="29" max="34" width="9.140625" style="8"/>
    <col min="35" max="16384" width="9.140625" style="1"/>
  </cols>
  <sheetData>
    <row r="1" spans="1:34" s="203" customFormat="1" ht="51" customHeight="1">
      <c r="A1" s="3" t="s">
        <v>410</v>
      </c>
      <c r="B1" s="4"/>
      <c r="C1" s="224"/>
      <c r="D1" s="224"/>
      <c r="E1" s="224"/>
      <c r="F1" s="224"/>
      <c r="G1" s="225"/>
      <c r="H1" s="226"/>
      <c r="I1" s="227"/>
      <c r="J1" s="231"/>
      <c r="K1" s="231"/>
      <c r="L1" s="231"/>
      <c r="M1" s="231"/>
      <c r="N1" s="231"/>
      <c r="O1" s="231"/>
      <c r="P1" s="231"/>
      <c r="Q1" s="231"/>
      <c r="R1" s="231"/>
      <c r="S1" s="231"/>
      <c r="T1" s="231"/>
      <c r="U1" s="231"/>
      <c r="V1" s="231"/>
      <c r="W1" s="231"/>
      <c r="X1" s="231"/>
      <c r="Y1" s="231"/>
      <c r="Z1" s="231"/>
      <c r="AA1" s="231"/>
      <c r="AB1" s="231"/>
      <c r="AC1" s="231"/>
      <c r="AD1" s="231"/>
      <c r="AE1" s="231"/>
      <c r="AF1" s="231"/>
      <c r="AG1" s="231"/>
      <c r="AH1" s="231"/>
    </row>
    <row r="2" spans="1:34" s="203" customFormat="1" ht="35.25">
      <c r="A2" s="9"/>
      <c r="B2" s="10"/>
      <c r="C2" s="232"/>
      <c r="D2" s="232"/>
      <c r="E2" s="232"/>
      <c r="F2" s="11"/>
      <c r="G2" s="11"/>
      <c r="H2" s="11"/>
      <c r="I2" s="11"/>
      <c r="J2" s="231"/>
      <c r="K2" s="231"/>
      <c r="L2" s="231"/>
      <c r="M2" s="231"/>
      <c r="N2" s="231"/>
      <c r="O2" s="231"/>
      <c r="P2" s="231"/>
      <c r="Q2" s="231"/>
      <c r="R2" s="231"/>
      <c r="S2" s="231"/>
      <c r="T2" s="231"/>
      <c r="U2" s="231"/>
      <c r="V2" s="231"/>
      <c r="W2" s="231"/>
      <c r="X2" s="231"/>
      <c r="Y2" s="231"/>
      <c r="Z2" s="231"/>
      <c r="AA2" s="231"/>
      <c r="AB2" s="231"/>
      <c r="AC2" s="231"/>
      <c r="AD2" s="231"/>
      <c r="AE2" s="231"/>
      <c r="AF2" s="231"/>
      <c r="AG2" s="231"/>
      <c r="AH2" s="231"/>
    </row>
    <row r="3" spans="1:34" s="203" customFormat="1" ht="15">
      <c r="A3" s="12"/>
      <c r="B3" s="882" t="s">
        <v>0</v>
      </c>
      <c r="C3" s="884" t="s">
        <v>32</v>
      </c>
      <c r="D3" s="885"/>
      <c r="E3" s="13"/>
      <c r="F3" s="14"/>
      <c r="G3" s="14"/>
      <c r="H3" s="15"/>
      <c r="I3" s="14"/>
      <c r="J3" s="231"/>
      <c r="K3" s="231"/>
      <c r="L3" s="231"/>
      <c r="M3" s="231"/>
      <c r="N3" s="231"/>
      <c r="O3" s="231"/>
      <c r="P3" s="231"/>
      <c r="Q3" s="231"/>
      <c r="R3" s="231"/>
      <c r="S3" s="231"/>
      <c r="T3" s="231"/>
      <c r="U3" s="231"/>
      <c r="V3" s="231"/>
      <c r="W3" s="231"/>
      <c r="X3" s="231"/>
      <c r="Y3" s="231"/>
      <c r="Z3" s="231"/>
      <c r="AA3" s="231"/>
      <c r="AB3" s="231"/>
      <c r="AC3" s="231"/>
      <c r="AD3" s="231"/>
      <c r="AE3" s="231"/>
      <c r="AF3" s="231"/>
      <c r="AG3" s="231"/>
      <c r="AH3" s="231"/>
    </row>
    <row r="4" spans="1:34" s="203" customFormat="1" ht="15">
      <c r="A4" s="17"/>
      <c r="B4" s="883"/>
      <c r="C4" s="886"/>
      <c r="D4" s="887"/>
      <c r="E4" s="13"/>
      <c r="F4" s="14"/>
      <c r="G4" s="14"/>
      <c r="H4" s="15"/>
      <c r="I4" s="14"/>
      <c r="J4" s="231"/>
      <c r="K4" s="231"/>
      <c r="L4" s="231"/>
      <c r="M4" s="231"/>
      <c r="N4" s="231"/>
      <c r="O4" s="231"/>
      <c r="P4" s="231"/>
      <c r="Q4" s="231"/>
      <c r="R4" s="231"/>
      <c r="S4" s="231"/>
      <c r="T4" s="231"/>
      <c r="U4" s="231"/>
      <c r="V4" s="231"/>
      <c r="W4" s="231"/>
      <c r="X4" s="231"/>
      <c r="Y4" s="231"/>
      <c r="Z4" s="231"/>
      <c r="AA4" s="231"/>
      <c r="AB4" s="231"/>
      <c r="AC4" s="231"/>
      <c r="AD4" s="231"/>
      <c r="AE4" s="231"/>
      <c r="AF4" s="231"/>
      <c r="AG4" s="231"/>
      <c r="AH4" s="231"/>
    </row>
    <row r="5" spans="1:34" s="203" customFormat="1" ht="15">
      <c r="A5" s="888"/>
      <c r="B5" s="889"/>
      <c r="C5" s="18"/>
      <c r="D5" s="206"/>
      <c r="E5" s="206"/>
      <c r="F5" s="14"/>
      <c r="G5" s="14"/>
      <c r="H5" s="14"/>
      <c r="I5" s="234"/>
      <c r="J5" s="231"/>
      <c r="K5" s="231"/>
      <c r="L5" s="231"/>
      <c r="M5" s="231"/>
      <c r="N5" s="231"/>
      <c r="O5" s="231"/>
      <c r="P5" s="231"/>
      <c r="Q5" s="231"/>
      <c r="R5" s="231"/>
      <c r="S5" s="231"/>
      <c r="T5" s="231"/>
      <c r="U5" s="231"/>
      <c r="V5" s="231"/>
      <c r="W5" s="231"/>
      <c r="X5" s="231"/>
      <c r="Y5" s="231"/>
      <c r="Z5" s="231"/>
      <c r="AA5" s="231"/>
      <c r="AB5" s="231"/>
      <c r="AC5" s="231"/>
      <c r="AD5" s="231"/>
      <c r="AE5" s="231"/>
      <c r="AF5" s="231"/>
      <c r="AG5" s="231"/>
      <c r="AH5" s="231"/>
    </row>
    <row r="6" spans="1:34" s="203" customFormat="1" ht="23.25" customHeight="1">
      <c r="A6" s="19" t="s">
        <v>1</v>
      </c>
      <c r="B6" s="207"/>
      <c r="C6" s="20"/>
      <c r="D6" s="890" t="s">
        <v>249</v>
      </c>
      <c r="E6" s="890"/>
      <c r="F6" s="890"/>
      <c r="G6" s="890"/>
      <c r="H6" s="890"/>
      <c r="I6" s="29"/>
      <c r="J6" s="231"/>
      <c r="K6" s="231"/>
      <c r="L6" s="231"/>
      <c r="M6" s="231"/>
      <c r="N6" s="231"/>
      <c r="O6" s="231"/>
      <c r="P6" s="231"/>
      <c r="Q6" s="231"/>
      <c r="R6" s="231"/>
      <c r="S6" s="231"/>
      <c r="T6" s="231"/>
      <c r="U6" s="231"/>
      <c r="V6" s="231"/>
      <c r="W6" s="231"/>
      <c r="X6" s="231"/>
      <c r="Y6" s="231"/>
      <c r="Z6" s="231"/>
      <c r="AA6" s="231"/>
      <c r="AB6" s="231"/>
      <c r="AC6" s="231"/>
      <c r="AD6" s="231"/>
      <c r="AE6" s="231"/>
      <c r="AF6" s="231"/>
      <c r="AG6" s="231"/>
      <c r="AH6" s="231"/>
    </row>
    <row r="7" spans="1:34" s="203" customFormat="1" ht="18.75" customHeight="1">
      <c r="A7" s="19" t="s">
        <v>419</v>
      </c>
      <c r="B7" s="207"/>
      <c r="C7" s="207"/>
      <c r="D7" s="207"/>
      <c r="E7" s="207"/>
      <c r="F7" s="362" t="s">
        <v>250</v>
      </c>
      <c r="G7" s="1"/>
      <c r="H7" s="21"/>
      <c r="I7" s="29"/>
      <c r="J7" s="231"/>
      <c r="K7" s="231"/>
      <c r="L7" s="231"/>
      <c r="M7" s="231"/>
      <c r="N7" s="231"/>
      <c r="O7" s="231"/>
      <c r="P7" s="231"/>
      <c r="Q7" s="231"/>
      <c r="R7" s="231"/>
      <c r="S7" s="231"/>
      <c r="T7" s="231"/>
      <c r="U7" s="231"/>
      <c r="V7" s="231"/>
      <c r="W7" s="231"/>
      <c r="X7" s="231"/>
      <c r="Y7" s="231"/>
      <c r="Z7" s="231"/>
      <c r="AA7" s="231"/>
      <c r="AB7" s="231"/>
      <c r="AC7" s="231"/>
      <c r="AD7" s="231"/>
      <c r="AE7" s="231"/>
      <c r="AF7" s="231"/>
      <c r="AG7" s="231"/>
      <c r="AH7" s="231"/>
    </row>
    <row r="8" spans="1:34" s="203" customFormat="1" ht="24" customHeight="1">
      <c r="A8" s="22" t="s">
        <v>408</v>
      </c>
      <c r="B8" s="207"/>
      <c r="C8" s="207"/>
      <c r="D8" s="207"/>
      <c r="E8" s="207"/>
      <c r="F8" s="207"/>
      <c r="G8" s="663"/>
      <c r="H8" s="21"/>
      <c r="I8" s="29"/>
      <c r="J8" s="231"/>
      <c r="K8" s="231"/>
      <c r="L8" s="231"/>
      <c r="M8" s="231"/>
      <c r="N8" s="231"/>
      <c r="O8" s="231"/>
      <c r="P8" s="231"/>
      <c r="Q8" s="231"/>
      <c r="R8" s="231"/>
      <c r="S8" s="231"/>
      <c r="T8" s="231"/>
      <c r="U8" s="231"/>
      <c r="V8" s="231"/>
      <c r="W8" s="231"/>
      <c r="X8" s="231"/>
      <c r="Y8" s="231"/>
      <c r="Z8" s="231"/>
      <c r="AA8" s="231"/>
      <c r="AB8" s="231"/>
      <c r="AC8" s="231"/>
      <c r="AD8" s="231"/>
      <c r="AE8" s="231"/>
      <c r="AF8" s="231"/>
      <c r="AG8" s="231"/>
      <c r="AH8" s="231"/>
    </row>
    <row r="9" spans="1:34" s="203" customFormat="1" ht="30.75" customHeight="1">
      <c r="A9" s="891" t="s">
        <v>420</v>
      </c>
      <c r="B9" s="892"/>
      <c r="C9" s="892"/>
      <c r="D9" s="892"/>
      <c r="E9" s="892"/>
      <c r="F9" s="892"/>
      <c r="G9" s="892"/>
      <c r="H9" s="892"/>
      <c r="I9" s="892"/>
      <c r="J9" s="231"/>
      <c r="K9" s="231"/>
      <c r="L9" s="231"/>
      <c r="M9" s="231"/>
      <c r="N9" s="231"/>
      <c r="O9" s="231"/>
      <c r="P9" s="231"/>
      <c r="Q9" s="231"/>
      <c r="R9" s="231"/>
      <c r="S9" s="231"/>
      <c r="T9" s="231"/>
      <c r="U9" s="231"/>
      <c r="V9" s="231"/>
      <c r="W9" s="231"/>
      <c r="X9" s="231"/>
      <c r="Y9" s="231"/>
      <c r="Z9" s="231"/>
      <c r="AA9" s="231"/>
      <c r="AB9" s="231"/>
      <c r="AC9" s="231"/>
      <c r="AD9" s="231"/>
      <c r="AE9" s="231"/>
      <c r="AF9" s="231"/>
      <c r="AG9" s="231"/>
      <c r="AH9" s="231"/>
    </row>
    <row r="10" spans="1:34" s="203" customFormat="1" ht="12.75" customHeight="1">
      <c r="A10" s="22" t="s">
        <v>409</v>
      </c>
      <c r="B10" s="19"/>
      <c r="C10" s="1"/>
      <c r="D10" s="880" t="s">
        <v>250</v>
      </c>
      <c r="E10" s="881"/>
      <c r="F10" s="881"/>
      <c r="G10" s="207"/>
      <c r="H10" s="207"/>
      <c r="I10" s="29"/>
      <c r="J10" s="231"/>
      <c r="K10" s="231"/>
      <c r="L10" s="231"/>
      <c r="M10" s="231"/>
      <c r="N10" s="231"/>
      <c r="O10" s="231"/>
      <c r="P10" s="231"/>
      <c r="Q10" s="231"/>
      <c r="R10" s="231"/>
      <c r="S10" s="231"/>
      <c r="T10" s="231"/>
      <c r="U10" s="231"/>
      <c r="V10" s="231"/>
      <c r="W10" s="231"/>
      <c r="X10" s="231"/>
      <c r="Y10" s="231"/>
      <c r="Z10" s="231"/>
      <c r="AA10" s="231"/>
      <c r="AB10" s="231"/>
      <c r="AC10" s="231"/>
      <c r="AD10" s="231"/>
      <c r="AE10" s="231"/>
      <c r="AF10" s="231"/>
      <c r="AG10" s="231"/>
      <c r="AH10" s="231"/>
    </row>
    <row r="11" spans="1:34" s="203" customFormat="1">
      <c r="A11" s="23"/>
      <c r="B11" s="207"/>
      <c r="C11" s="207"/>
      <c r="D11" s="207"/>
      <c r="E11" s="207"/>
      <c r="F11" s="207"/>
      <c r="G11" s="21"/>
      <c r="H11" s="21"/>
      <c r="I11" s="29"/>
      <c r="J11" s="231"/>
      <c r="K11" s="231"/>
      <c r="L11" s="231"/>
      <c r="M11" s="231"/>
      <c r="N11" s="231"/>
      <c r="O11" s="231"/>
      <c r="P11" s="231"/>
      <c r="Q11" s="231"/>
      <c r="R11" s="231"/>
      <c r="S11" s="231"/>
      <c r="T11" s="231"/>
      <c r="U11" s="231"/>
      <c r="V11" s="231"/>
      <c r="W11" s="231"/>
      <c r="X11" s="231"/>
      <c r="Y11" s="231"/>
      <c r="Z11" s="231"/>
      <c r="AA11" s="231"/>
      <c r="AB11" s="231"/>
      <c r="AC11" s="231"/>
      <c r="AD11" s="231"/>
      <c r="AE11" s="231"/>
      <c r="AF11" s="231"/>
      <c r="AG11" s="231"/>
      <c r="AH11" s="231"/>
    </row>
    <row r="12" spans="1:34" s="203" customFormat="1">
      <c r="A12" s="24"/>
      <c r="B12" s="25" t="s">
        <v>7</v>
      </c>
      <c r="C12" s="26"/>
      <c r="D12" s="356"/>
      <c r="E12" s="356"/>
      <c r="F12" s="357"/>
      <c r="G12" s="21"/>
      <c r="H12" s="21"/>
      <c r="I12" s="29"/>
      <c r="J12" s="231"/>
      <c r="K12" s="231"/>
      <c r="L12" s="231"/>
      <c r="M12" s="231"/>
      <c r="N12" s="231"/>
      <c r="O12" s="231"/>
      <c r="P12" s="231"/>
      <c r="Q12" s="231"/>
      <c r="R12" s="231"/>
      <c r="S12" s="231"/>
      <c r="T12" s="231"/>
      <c r="U12" s="231"/>
      <c r="V12" s="231"/>
      <c r="W12" s="231"/>
      <c r="X12" s="231"/>
      <c r="Y12" s="231"/>
      <c r="Z12" s="231"/>
      <c r="AA12" s="231"/>
      <c r="AB12" s="231"/>
      <c r="AC12" s="231"/>
      <c r="AD12" s="231"/>
      <c r="AE12" s="231"/>
      <c r="AF12" s="231"/>
      <c r="AG12" s="231"/>
      <c r="AH12" s="231"/>
    </row>
    <row r="13" spans="1:34" s="203" customFormat="1">
      <c r="A13" s="23"/>
      <c r="B13" s="27"/>
      <c r="C13" s="358"/>
      <c r="D13" s="15"/>
      <c r="E13" s="15"/>
      <c r="F13" s="359"/>
      <c r="G13" s="207"/>
      <c r="H13" s="21"/>
      <c r="I13" s="29"/>
      <c r="J13" s="231"/>
      <c r="K13" s="231"/>
      <c r="L13" s="231"/>
      <c r="M13" s="231"/>
      <c r="N13" s="231"/>
      <c r="O13" s="231"/>
      <c r="P13" s="231"/>
      <c r="Q13" s="231"/>
      <c r="R13" s="231"/>
      <c r="S13" s="231"/>
      <c r="T13" s="231"/>
      <c r="U13" s="231"/>
      <c r="V13" s="231"/>
      <c r="W13" s="231"/>
      <c r="X13" s="231"/>
      <c r="Y13" s="231"/>
      <c r="Z13" s="231"/>
      <c r="AA13" s="231"/>
      <c r="AB13" s="231"/>
      <c r="AC13" s="231"/>
      <c r="AD13" s="231"/>
      <c r="AE13" s="231"/>
      <c r="AF13" s="231"/>
      <c r="AG13" s="231"/>
      <c r="AH13" s="231"/>
    </row>
    <row r="14" spans="1:34" s="203" customFormat="1">
      <c r="A14" s="23"/>
      <c r="B14" s="363" t="s">
        <v>328</v>
      </c>
      <c r="C14" s="870" t="s">
        <v>10</v>
      </c>
      <c r="D14" s="870"/>
      <c r="E14" s="870"/>
      <c r="F14" s="871"/>
      <c r="G14" s="207"/>
      <c r="H14" s="21"/>
      <c r="I14" s="29"/>
      <c r="J14" s="231"/>
      <c r="K14" s="231"/>
      <c r="L14" s="231"/>
      <c r="M14" s="231"/>
      <c r="N14" s="231"/>
      <c r="O14" s="231"/>
      <c r="P14" s="231"/>
      <c r="Q14" s="231"/>
      <c r="R14" s="231"/>
      <c r="S14" s="231"/>
      <c r="T14" s="231"/>
      <c r="U14" s="231"/>
      <c r="V14" s="231"/>
      <c r="W14" s="231"/>
      <c r="X14" s="231"/>
      <c r="Y14" s="231"/>
      <c r="Z14" s="231"/>
      <c r="AA14" s="231"/>
      <c r="AB14" s="231"/>
      <c r="AC14" s="231"/>
      <c r="AD14" s="231"/>
      <c r="AE14" s="231"/>
      <c r="AF14" s="231"/>
      <c r="AG14" s="231"/>
      <c r="AH14" s="231"/>
    </row>
    <row r="15" spans="1:34" s="203" customFormat="1">
      <c r="A15" s="23"/>
      <c r="B15" s="363" t="s">
        <v>329</v>
      </c>
      <c r="C15" s="870" t="s">
        <v>12</v>
      </c>
      <c r="D15" s="870"/>
      <c r="E15" s="870"/>
      <c r="F15" s="871"/>
      <c r="G15" s="207"/>
      <c r="H15" s="21"/>
      <c r="I15" s="29"/>
      <c r="J15" s="231"/>
      <c r="K15" s="231"/>
      <c r="L15" s="231"/>
      <c r="M15" s="231"/>
      <c r="N15" s="231"/>
      <c r="O15" s="231"/>
      <c r="P15" s="231"/>
      <c r="Q15" s="231"/>
      <c r="R15" s="231"/>
      <c r="S15" s="231"/>
      <c r="T15" s="231"/>
      <c r="U15" s="231"/>
      <c r="V15" s="231"/>
      <c r="W15" s="231"/>
      <c r="X15" s="231"/>
      <c r="Y15" s="231"/>
      <c r="Z15" s="231"/>
      <c r="AA15" s="231"/>
      <c r="AB15" s="231"/>
      <c r="AC15" s="231"/>
      <c r="AD15" s="231"/>
      <c r="AE15" s="231"/>
      <c r="AF15" s="231"/>
      <c r="AG15" s="231"/>
      <c r="AH15" s="231"/>
    </row>
    <row r="16" spans="1:34" s="203" customFormat="1">
      <c r="A16" s="23"/>
      <c r="B16" s="360" t="s">
        <v>14</v>
      </c>
      <c r="C16" s="870" t="s">
        <v>15</v>
      </c>
      <c r="D16" s="870"/>
      <c r="E16" s="870"/>
      <c r="F16" s="871"/>
      <c r="G16" s="207"/>
      <c r="H16" s="21"/>
      <c r="I16" s="29"/>
      <c r="J16" s="231"/>
      <c r="K16" s="231"/>
      <c r="L16" s="231"/>
      <c r="M16" s="231"/>
      <c r="N16" s="231"/>
      <c r="O16" s="231"/>
      <c r="P16" s="231"/>
      <c r="Q16" s="231"/>
      <c r="R16" s="231"/>
      <c r="S16" s="231"/>
      <c r="T16" s="231"/>
      <c r="U16" s="231"/>
      <c r="V16" s="231"/>
      <c r="W16" s="231"/>
      <c r="X16" s="231"/>
      <c r="Y16" s="231"/>
      <c r="Z16" s="231"/>
      <c r="AA16" s="231"/>
      <c r="AB16" s="231"/>
      <c r="AC16" s="231"/>
      <c r="AD16" s="231"/>
      <c r="AE16" s="231"/>
      <c r="AF16" s="231"/>
      <c r="AG16" s="231"/>
      <c r="AH16" s="231"/>
    </row>
    <row r="17" spans="1:34" s="203" customFormat="1">
      <c r="A17" s="23"/>
      <c r="B17" s="360" t="s">
        <v>17</v>
      </c>
      <c r="C17" s="870" t="s">
        <v>18</v>
      </c>
      <c r="D17" s="870"/>
      <c r="E17" s="870"/>
      <c r="F17" s="871"/>
      <c r="G17" s="207"/>
      <c r="H17" s="21"/>
      <c r="I17" s="29"/>
      <c r="J17" s="231"/>
      <c r="K17" s="231"/>
      <c r="L17" s="231"/>
      <c r="M17" s="231"/>
      <c r="N17" s="231"/>
      <c r="O17" s="231"/>
      <c r="P17" s="231"/>
      <c r="Q17" s="231"/>
      <c r="R17" s="231"/>
      <c r="S17" s="231"/>
      <c r="T17" s="231"/>
      <c r="U17" s="231"/>
      <c r="V17" s="231"/>
      <c r="W17" s="231"/>
      <c r="X17" s="231"/>
      <c r="Y17" s="231"/>
      <c r="Z17" s="231"/>
      <c r="AA17" s="231"/>
      <c r="AB17" s="231"/>
      <c r="AC17" s="231"/>
      <c r="AD17" s="231"/>
      <c r="AE17" s="231"/>
      <c r="AF17" s="231"/>
      <c r="AG17" s="231"/>
      <c r="AH17" s="231"/>
    </row>
    <row r="18" spans="1:34" s="203" customFormat="1">
      <c r="A18" s="23"/>
      <c r="B18" s="360" t="s">
        <v>20</v>
      </c>
      <c r="C18" s="870" t="s">
        <v>21</v>
      </c>
      <c r="D18" s="870"/>
      <c r="E18" s="870"/>
      <c r="F18" s="871"/>
      <c r="G18" s="207"/>
      <c r="H18" s="21"/>
      <c r="I18" s="29"/>
      <c r="J18" s="231"/>
      <c r="K18" s="231"/>
      <c r="L18" s="231"/>
      <c r="M18" s="231"/>
      <c r="N18" s="231"/>
      <c r="O18" s="231"/>
      <c r="P18" s="231"/>
      <c r="Q18" s="231"/>
      <c r="R18" s="231"/>
      <c r="S18" s="231"/>
      <c r="T18" s="231"/>
      <c r="U18" s="231"/>
      <c r="V18" s="231"/>
      <c r="W18" s="231"/>
      <c r="X18" s="231"/>
      <c r="Y18" s="231"/>
      <c r="Z18" s="231"/>
      <c r="AA18" s="231"/>
      <c r="AB18" s="231"/>
      <c r="AC18" s="231"/>
      <c r="AD18" s="231"/>
      <c r="AE18" s="231"/>
      <c r="AF18" s="231"/>
      <c r="AG18" s="231"/>
      <c r="AH18" s="231"/>
    </row>
    <row r="19" spans="1:34" s="203" customFormat="1">
      <c r="A19" s="23"/>
      <c r="B19" s="361" t="s">
        <v>23</v>
      </c>
      <c r="C19" s="872" t="s">
        <v>24</v>
      </c>
      <c r="D19" s="872"/>
      <c r="E19" s="872"/>
      <c r="F19" s="873"/>
      <c r="G19" s="21"/>
      <c r="H19" s="21"/>
      <c r="I19" s="29"/>
      <c r="J19" s="231"/>
      <c r="K19" s="231"/>
      <c r="L19" s="231"/>
      <c r="M19" s="231"/>
      <c r="N19" s="231"/>
      <c r="O19" s="231"/>
      <c r="P19" s="231"/>
      <c r="Q19" s="231"/>
      <c r="R19" s="231"/>
      <c r="S19" s="231"/>
      <c r="T19" s="231"/>
      <c r="U19" s="231"/>
      <c r="V19" s="231"/>
      <c r="W19" s="231"/>
      <c r="X19" s="231"/>
      <c r="Y19" s="231"/>
      <c r="Z19" s="231"/>
      <c r="AA19" s="231"/>
      <c r="AB19" s="231"/>
      <c r="AC19" s="231"/>
      <c r="AD19" s="231"/>
      <c r="AE19" s="231"/>
      <c r="AF19" s="231"/>
      <c r="AG19" s="231"/>
      <c r="AH19" s="231"/>
    </row>
    <row r="20" spans="1:34" s="203" customFormat="1">
      <c r="A20" s="236"/>
      <c r="B20" s="206"/>
      <c r="C20" s="206"/>
      <c r="D20" s="206"/>
      <c r="E20" s="206"/>
      <c r="F20" s="206"/>
      <c r="G20" s="206"/>
      <c r="H20" s="206"/>
      <c r="I20" s="206"/>
      <c r="J20" s="231"/>
      <c r="K20" s="231"/>
      <c r="L20" s="231"/>
      <c r="M20" s="231"/>
      <c r="N20" s="231"/>
      <c r="O20" s="231"/>
      <c r="P20" s="231"/>
      <c r="Q20" s="231"/>
      <c r="R20" s="231"/>
      <c r="S20" s="231"/>
      <c r="T20" s="231"/>
      <c r="U20" s="231"/>
      <c r="V20" s="231"/>
      <c r="W20" s="231"/>
      <c r="X20" s="231"/>
      <c r="Y20" s="231"/>
      <c r="Z20" s="231"/>
      <c r="AA20" s="231"/>
      <c r="AB20" s="231"/>
      <c r="AC20" s="231"/>
      <c r="AD20" s="231"/>
      <c r="AE20" s="231"/>
      <c r="AF20" s="231"/>
      <c r="AG20" s="231"/>
      <c r="AH20" s="231"/>
    </row>
    <row r="21" spans="1:34" s="203" customFormat="1" ht="19.5">
      <c r="A21" s="30"/>
      <c r="B21" s="13"/>
      <c r="C21" s="13"/>
      <c r="D21" s="13"/>
      <c r="E21" s="13"/>
      <c r="F21" s="13"/>
      <c r="G21" s="13"/>
      <c r="H21" s="31" t="s">
        <v>27</v>
      </c>
      <c r="I21" s="237"/>
      <c r="J21" s="231"/>
      <c r="K21" s="231"/>
      <c r="L21" s="231"/>
      <c r="M21" s="231"/>
      <c r="N21" s="231"/>
      <c r="O21" s="231"/>
      <c r="P21" s="231"/>
      <c r="Q21" s="231"/>
      <c r="R21" s="231"/>
      <c r="S21" s="231"/>
      <c r="T21" s="231"/>
      <c r="U21" s="231"/>
      <c r="V21" s="231"/>
      <c r="W21" s="231"/>
      <c r="X21" s="231"/>
      <c r="Y21" s="231"/>
      <c r="Z21" s="231"/>
      <c r="AA21" s="231"/>
      <c r="AB21" s="231"/>
      <c r="AC21" s="231"/>
      <c r="AD21" s="231"/>
      <c r="AE21" s="231"/>
      <c r="AF21" s="231"/>
      <c r="AG21" s="231"/>
      <c r="AH21" s="231"/>
    </row>
    <row r="22" spans="1:34" s="203" customFormat="1" ht="18.75" customHeight="1">
      <c r="A22" s="32"/>
      <c r="B22" s="29"/>
      <c r="C22" s="29"/>
      <c r="D22" s="29"/>
      <c r="E22" s="29"/>
      <c r="F22" s="33">
        <v>1</v>
      </c>
      <c r="G22" s="34"/>
      <c r="H22" s="33">
        <v>2</v>
      </c>
      <c r="I22" s="34"/>
      <c r="J22" s="231"/>
      <c r="K22" s="231"/>
      <c r="L22" s="231"/>
      <c r="M22" s="231"/>
      <c r="N22" s="231"/>
      <c r="O22" s="231"/>
      <c r="P22" s="231"/>
      <c r="Q22" s="231"/>
      <c r="R22" s="231"/>
      <c r="S22" s="231"/>
      <c r="T22" s="231"/>
      <c r="U22" s="231"/>
      <c r="V22" s="231"/>
      <c r="W22" s="231"/>
      <c r="X22" s="231"/>
      <c r="Y22" s="231"/>
      <c r="Z22" s="231"/>
      <c r="AA22" s="231"/>
      <c r="AB22" s="231"/>
      <c r="AC22" s="231"/>
      <c r="AD22" s="231"/>
      <c r="AE22" s="231"/>
      <c r="AF22" s="231"/>
      <c r="AG22" s="231"/>
      <c r="AH22" s="231"/>
    </row>
    <row r="23" spans="1:34" s="203" customFormat="1" ht="21.95" customHeight="1">
      <c r="A23" s="874" t="s">
        <v>30</v>
      </c>
      <c r="B23" s="875"/>
      <c r="C23" s="875"/>
      <c r="D23" s="875"/>
      <c r="E23" s="878" t="s">
        <v>376</v>
      </c>
      <c r="F23" s="856" t="s">
        <v>407</v>
      </c>
      <c r="G23" s="36"/>
      <c r="H23" s="878" t="s">
        <v>406</v>
      </c>
      <c r="I23" s="36"/>
      <c r="J23" s="231"/>
      <c r="K23" s="231"/>
      <c r="L23" s="231"/>
      <c r="M23" s="231"/>
      <c r="N23" s="231"/>
      <c r="O23" s="231"/>
      <c r="P23" s="231"/>
      <c r="Q23" s="231"/>
      <c r="R23" s="231"/>
      <c r="S23" s="231"/>
      <c r="T23" s="231"/>
      <c r="U23" s="231"/>
      <c r="V23" s="231"/>
      <c r="W23" s="231"/>
      <c r="X23" s="231"/>
      <c r="Y23" s="231"/>
      <c r="Z23" s="231"/>
      <c r="AA23" s="231"/>
      <c r="AB23" s="231"/>
      <c r="AC23" s="231"/>
      <c r="AD23" s="231"/>
      <c r="AE23" s="231"/>
      <c r="AF23" s="231"/>
      <c r="AG23" s="231"/>
      <c r="AH23" s="231"/>
    </row>
    <row r="24" spans="1:34" s="203" customFormat="1" ht="21.95" customHeight="1">
      <c r="A24" s="876"/>
      <c r="B24" s="877"/>
      <c r="C24" s="877"/>
      <c r="D24" s="877"/>
      <c r="E24" s="879"/>
      <c r="F24" s="860"/>
      <c r="G24" s="23"/>
      <c r="H24" s="879"/>
      <c r="I24" s="36"/>
      <c r="J24" s="231"/>
      <c r="K24" s="231"/>
      <c r="L24" s="231"/>
      <c r="M24" s="231"/>
      <c r="N24" s="231"/>
      <c r="O24" s="231"/>
      <c r="P24" s="231"/>
      <c r="Q24" s="231"/>
      <c r="R24" s="231"/>
      <c r="S24" s="231"/>
      <c r="T24" s="231"/>
      <c r="U24" s="231"/>
      <c r="V24" s="231"/>
      <c r="W24" s="231"/>
      <c r="X24" s="231"/>
      <c r="Y24" s="231"/>
      <c r="Z24" s="231"/>
      <c r="AA24" s="231"/>
      <c r="AB24" s="231"/>
      <c r="AC24" s="231"/>
      <c r="AD24" s="231"/>
      <c r="AE24" s="231"/>
      <c r="AF24" s="231"/>
      <c r="AG24" s="231"/>
      <c r="AH24" s="231"/>
    </row>
    <row r="25" spans="1:34" s="203" customFormat="1" ht="21.95" customHeight="1">
      <c r="A25" s="898" t="s">
        <v>48</v>
      </c>
      <c r="B25" s="901" t="s">
        <v>49</v>
      </c>
      <c r="C25" s="901"/>
      <c r="D25" s="902"/>
      <c r="E25" s="907" t="s">
        <v>50</v>
      </c>
      <c r="F25" s="909" t="s">
        <v>51</v>
      </c>
      <c r="G25" s="34"/>
      <c r="H25" s="907" t="s">
        <v>50</v>
      </c>
      <c r="I25" s="36"/>
      <c r="J25" s="231"/>
      <c r="K25" s="231"/>
      <c r="L25" s="231"/>
      <c r="M25" s="231"/>
      <c r="N25" s="231"/>
      <c r="O25" s="231"/>
      <c r="P25" s="231"/>
      <c r="Q25" s="231"/>
      <c r="R25" s="231"/>
      <c r="S25" s="231"/>
      <c r="T25" s="231"/>
      <c r="U25" s="231"/>
      <c r="V25" s="231"/>
      <c r="W25" s="231"/>
      <c r="X25" s="231"/>
      <c r="Y25" s="231"/>
      <c r="Z25" s="231"/>
      <c r="AA25" s="231"/>
      <c r="AB25" s="231"/>
      <c r="AC25" s="231"/>
      <c r="AD25" s="231"/>
      <c r="AE25" s="231"/>
      <c r="AF25" s="231"/>
      <c r="AG25" s="231"/>
      <c r="AH25" s="231"/>
    </row>
    <row r="26" spans="1:34" s="203" customFormat="1" ht="21.95" customHeight="1">
      <c r="A26" s="899"/>
      <c r="B26" s="903"/>
      <c r="C26" s="903"/>
      <c r="D26" s="904"/>
      <c r="E26" s="908"/>
      <c r="F26" s="859"/>
      <c r="G26" s="34"/>
      <c r="H26" s="908"/>
      <c r="I26" s="36"/>
      <c r="J26" s="231"/>
      <c r="K26" s="231"/>
      <c r="L26" s="231"/>
      <c r="M26" s="231"/>
      <c r="N26" s="231"/>
      <c r="O26" s="231"/>
      <c r="P26" s="231"/>
      <c r="Q26" s="231"/>
      <c r="R26" s="231"/>
      <c r="S26" s="231"/>
      <c r="T26" s="231"/>
      <c r="U26" s="231"/>
      <c r="V26" s="231"/>
      <c r="W26" s="231"/>
      <c r="X26" s="231"/>
      <c r="Y26" s="231"/>
      <c r="Z26" s="231"/>
      <c r="AA26" s="231"/>
      <c r="AB26" s="231"/>
      <c r="AC26" s="231"/>
      <c r="AD26" s="231"/>
      <c r="AE26" s="231"/>
      <c r="AF26" s="231"/>
      <c r="AG26" s="231"/>
      <c r="AH26" s="231"/>
    </row>
    <row r="27" spans="1:34" s="203" customFormat="1" ht="21.95" customHeight="1">
      <c r="A27" s="900"/>
      <c r="B27" s="905"/>
      <c r="C27" s="905"/>
      <c r="D27" s="906"/>
      <c r="E27" s="879"/>
      <c r="F27" s="860"/>
      <c r="G27" s="34"/>
      <c r="H27" s="879"/>
      <c r="I27" s="36"/>
      <c r="J27" s="231"/>
      <c r="K27" s="231"/>
      <c r="L27" s="231"/>
      <c r="M27" s="231"/>
      <c r="N27" s="231"/>
      <c r="O27" s="231"/>
      <c r="P27" s="231"/>
      <c r="Q27" s="231"/>
      <c r="R27" s="231"/>
      <c r="S27" s="231"/>
      <c r="T27" s="231"/>
      <c r="U27" s="231"/>
      <c r="V27" s="231"/>
      <c r="W27" s="231"/>
      <c r="X27" s="231"/>
      <c r="Y27" s="231"/>
      <c r="Z27" s="231"/>
      <c r="AA27" s="231"/>
      <c r="AB27" s="231"/>
      <c r="AC27" s="231"/>
      <c r="AD27" s="231"/>
      <c r="AE27" s="231"/>
      <c r="AF27" s="231"/>
      <c r="AG27" s="231"/>
      <c r="AH27" s="231"/>
    </row>
    <row r="28" spans="1:34" s="203" customFormat="1">
      <c r="A28" s="38">
        <v>1</v>
      </c>
      <c r="B28" s="39" t="s">
        <v>52</v>
      </c>
      <c r="C28" s="39"/>
      <c r="D28" s="40"/>
      <c r="E28" s="41">
        <v>250614</v>
      </c>
      <c r="F28" s="42">
        <f>F77</f>
        <v>258804</v>
      </c>
      <c r="G28" s="43"/>
      <c r="H28" s="44">
        <f>H77</f>
        <v>258675</v>
      </c>
      <c r="I28" s="43"/>
      <c r="J28" s="231"/>
      <c r="K28" s="231"/>
      <c r="L28" s="231"/>
      <c r="M28" s="231"/>
      <c r="N28" s="231"/>
      <c r="O28" s="231"/>
      <c r="P28" s="231"/>
      <c r="Q28" s="231"/>
      <c r="R28" s="231"/>
      <c r="S28" s="231"/>
      <c r="T28" s="231"/>
      <c r="U28" s="231"/>
      <c r="V28" s="231"/>
      <c r="W28" s="231"/>
      <c r="X28" s="231"/>
      <c r="Y28" s="231"/>
      <c r="Z28" s="231"/>
      <c r="AA28" s="231"/>
      <c r="AB28" s="231"/>
      <c r="AC28" s="231"/>
      <c r="AD28" s="231"/>
      <c r="AE28" s="231"/>
      <c r="AF28" s="231"/>
      <c r="AG28" s="231"/>
      <c r="AH28" s="231"/>
    </row>
    <row r="29" spans="1:34" s="203" customFormat="1">
      <c r="A29" s="46">
        <v>2</v>
      </c>
      <c r="B29" s="47" t="s">
        <v>53</v>
      </c>
      <c r="C29" s="47"/>
      <c r="D29" s="48"/>
      <c r="E29" s="49">
        <v>145588</v>
      </c>
      <c r="F29" s="50">
        <f>F105</f>
        <v>146708</v>
      </c>
      <c r="G29" s="43"/>
      <c r="H29" s="51">
        <f>H105</f>
        <v>150659</v>
      </c>
      <c r="I29" s="43"/>
      <c r="J29" s="231"/>
      <c r="K29" s="231"/>
      <c r="L29" s="231"/>
      <c r="M29" s="231"/>
      <c r="N29" s="231"/>
      <c r="O29" s="231"/>
      <c r="P29" s="231"/>
      <c r="Q29" s="231"/>
      <c r="R29" s="231"/>
      <c r="S29" s="231"/>
      <c r="T29" s="231"/>
      <c r="U29" s="231"/>
      <c r="V29" s="231"/>
      <c r="W29" s="231"/>
      <c r="X29" s="231"/>
      <c r="Y29" s="231"/>
      <c r="Z29" s="231"/>
      <c r="AA29" s="231"/>
      <c r="AB29" s="231"/>
      <c r="AC29" s="231"/>
      <c r="AD29" s="231"/>
      <c r="AE29" s="231"/>
      <c r="AF29" s="231"/>
      <c r="AG29" s="231"/>
      <c r="AH29" s="231"/>
    </row>
    <row r="30" spans="1:34" s="203" customFormat="1">
      <c r="A30" s="46">
        <v>3</v>
      </c>
      <c r="B30" s="47" t="s">
        <v>54</v>
      </c>
      <c r="C30" s="47"/>
      <c r="D30" s="48"/>
      <c r="E30" s="49">
        <v>23624</v>
      </c>
      <c r="F30" s="50">
        <f>F180</f>
        <v>23728</v>
      </c>
      <c r="G30" s="43"/>
      <c r="H30" s="51">
        <f>H180</f>
        <v>26651</v>
      </c>
      <c r="I30" s="43"/>
      <c r="J30" s="231"/>
      <c r="K30" s="231"/>
      <c r="L30" s="231"/>
      <c r="M30" s="231"/>
      <c r="N30" s="231"/>
      <c r="O30" s="231"/>
      <c r="P30" s="231"/>
      <c r="Q30" s="231"/>
      <c r="R30" s="231"/>
      <c r="S30" s="231"/>
      <c r="T30" s="231"/>
      <c r="U30" s="231"/>
      <c r="V30" s="231"/>
      <c r="W30" s="231"/>
      <c r="X30" s="231"/>
      <c r="Y30" s="231"/>
      <c r="Z30" s="231"/>
      <c r="AA30" s="231"/>
      <c r="AB30" s="231"/>
      <c r="AC30" s="231"/>
      <c r="AD30" s="231"/>
      <c r="AE30" s="231"/>
      <c r="AF30" s="231"/>
      <c r="AG30" s="231"/>
      <c r="AH30" s="231"/>
    </row>
    <row r="31" spans="1:34" s="203" customFormat="1">
      <c r="A31" s="46">
        <v>4</v>
      </c>
      <c r="B31" s="47" t="s">
        <v>55</v>
      </c>
      <c r="C31" s="47"/>
      <c r="D31" s="48"/>
      <c r="E31" s="49">
        <v>32354</v>
      </c>
      <c r="F31" s="50">
        <f>F214</f>
        <v>29024</v>
      </c>
      <c r="G31" s="43"/>
      <c r="H31" s="51">
        <f>H214</f>
        <v>30577</v>
      </c>
      <c r="I31" s="43"/>
      <c r="J31" s="231"/>
      <c r="K31" s="231"/>
      <c r="L31" s="231"/>
      <c r="M31" s="231"/>
      <c r="N31" s="231"/>
      <c r="O31" s="231"/>
      <c r="P31" s="231"/>
      <c r="Q31" s="231"/>
      <c r="R31" s="231"/>
      <c r="S31" s="231"/>
      <c r="T31" s="231"/>
      <c r="U31" s="231"/>
      <c r="V31" s="231"/>
      <c r="W31" s="231"/>
      <c r="X31" s="231"/>
      <c r="Y31" s="231"/>
      <c r="Z31" s="231"/>
      <c r="AA31" s="231"/>
      <c r="AB31" s="231"/>
      <c r="AC31" s="231"/>
      <c r="AD31" s="231"/>
      <c r="AE31" s="231"/>
      <c r="AF31" s="231"/>
      <c r="AG31" s="231"/>
      <c r="AH31" s="231"/>
    </row>
    <row r="32" spans="1:34" s="203" customFormat="1">
      <c r="A32" s="46">
        <v>5</v>
      </c>
      <c r="B32" s="47" t="s">
        <v>56</v>
      </c>
      <c r="C32" s="47"/>
      <c r="D32" s="48"/>
      <c r="E32" s="49">
        <v>4223</v>
      </c>
      <c r="F32" s="50">
        <f>F231</f>
        <v>3364</v>
      </c>
      <c r="G32" s="43"/>
      <c r="H32" s="51">
        <f>H231</f>
        <v>2700</v>
      </c>
      <c r="I32" s="43"/>
      <c r="J32" s="231"/>
      <c r="K32" s="231"/>
      <c r="L32" s="231"/>
      <c r="M32" s="231"/>
      <c r="N32" s="231"/>
      <c r="O32" s="231"/>
      <c r="P32" s="231"/>
      <c r="Q32" s="231"/>
      <c r="R32" s="231"/>
      <c r="S32" s="231"/>
      <c r="T32" s="231"/>
      <c r="U32" s="231"/>
      <c r="V32" s="231"/>
      <c r="W32" s="231"/>
      <c r="X32" s="231"/>
      <c r="Y32" s="231"/>
      <c r="Z32" s="231"/>
      <c r="AA32" s="231"/>
      <c r="AB32" s="231"/>
      <c r="AC32" s="231"/>
      <c r="AD32" s="231"/>
      <c r="AE32" s="231"/>
      <c r="AF32" s="231"/>
      <c r="AG32" s="231"/>
      <c r="AH32" s="231"/>
    </row>
    <row r="33" spans="1:34" s="203" customFormat="1">
      <c r="A33" s="46">
        <v>6</v>
      </c>
      <c r="B33" s="47" t="s">
        <v>57</v>
      </c>
      <c r="C33" s="47"/>
      <c r="D33" s="48"/>
      <c r="E33" s="49">
        <v>19741</v>
      </c>
      <c r="F33" s="50">
        <f>F257</f>
        <v>20170</v>
      </c>
      <c r="G33" s="43"/>
      <c r="H33" s="51">
        <f>H257</f>
        <v>19675</v>
      </c>
      <c r="I33" s="43"/>
      <c r="J33" s="231"/>
      <c r="K33" s="231"/>
      <c r="L33" s="231"/>
      <c r="M33" s="231"/>
      <c r="N33" s="231"/>
      <c r="O33" s="231"/>
      <c r="P33" s="231"/>
      <c r="Q33" s="231"/>
      <c r="R33" s="231"/>
      <c r="S33" s="231"/>
      <c r="T33" s="231"/>
      <c r="U33" s="231"/>
      <c r="V33" s="231"/>
      <c r="W33" s="231"/>
      <c r="X33" s="231"/>
      <c r="Y33" s="231"/>
      <c r="Z33" s="231"/>
      <c r="AA33" s="231"/>
      <c r="AB33" s="231"/>
      <c r="AC33" s="231"/>
      <c r="AD33" s="231"/>
      <c r="AE33" s="231"/>
      <c r="AF33" s="231"/>
      <c r="AG33" s="231"/>
      <c r="AH33" s="231"/>
    </row>
    <row r="34" spans="1:34" s="203" customFormat="1">
      <c r="A34" s="46">
        <v>7</v>
      </c>
      <c r="B34" s="47" t="s">
        <v>58</v>
      </c>
      <c r="C34" s="47"/>
      <c r="D34" s="48"/>
      <c r="E34" s="49">
        <v>12020</v>
      </c>
      <c r="F34" s="50">
        <f>F277</f>
        <v>12289</v>
      </c>
      <c r="G34" s="43"/>
      <c r="H34" s="50">
        <f>H277</f>
        <v>9469</v>
      </c>
      <c r="I34" s="43"/>
      <c r="J34" s="231"/>
      <c r="K34" s="231"/>
      <c r="L34" s="231"/>
      <c r="M34" s="231"/>
      <c r="N34" s="231"/>
      <c r="O34" s="231"/>
      <c r="P34" s="231"/>
      <c r="Q34" s="231"/>
      <c r="R34" s="231"/>
      <c r="S34" s="231"/>
      <c r="T34" s="231"/>
      <c r="U34" s="231"/>
      <c r="V34" s="231"/>
      <c r="W34" s="231"/>
      <c r="X34" s="231"/>
      <c r="Y34" s="231"/>
      <c r="Z34" s="231"/>
      <c r="AA34" s="231"/>
      <c r="AB34" s="231"/>
      <c r="AC34" s="231"/>
      <c r="AD34" s="231"/>
      <c r="AE34" s="231"/>
      <c r="AF34" s="231"/>
      <c r="AG34" s="231"/>
      <c r="AH34" s="231"/>
    </row>
    <row r="35" spans="1:34" s="203" customFormat="1">
      <c r="A35" s="46">
        <v>8</v>
      </c>
      <c r="B35" s="47" t="s">
        <v>59</v>
      </c>
      <c r="C35" s="47"/>
      <c r="D35" s="48"/>
      <c r="E35" s="49">
        <v>13076</v>
      </c>
      <c r="F35" s="50">
        <f>F302</f>
        <v>13816</v>
      </c>
      <c r="G35" s="43"/>
      <c r="H35" s="50">
        <f>H302</f>
        <v>12816</v>
      </c>
      <c r="I35" s="21"/>
      <c r="J35" s="231"/>
      <c r="K35" s="231"/>
      <c r="L35" s="231"/>
      <c r="M35" s="231"/>
      <c r="N35" s="231"/>
      <c r="O35" s="231"/>
      <c r="P35" s="231"/>
      <c r="Q35" s="231"/>
      <c r="R35" s="231"/>
      <c r="S35" s="231"/>
      <c r="T35" s="231"/>
      <c r="U35" s="231"/>
      <c r="V35" s="231"/>
      <c r="W35" s="231"/>
      <c r="X35" s="231"/>
      <c r="Y35" s="231"/>
      <c r="Z35" s="231"/>
      <c r="AA35" s="231"/>
      <c r="AB35" s="231"/>
      <c r="AC35" s="231"/>
      <c r="AD35" s="231"/>
      <c r="AE35" s="231"/>
      <c r="AF35" s="231"/>
      <c r="AG35" s="231"/>
      <c r="AH35" s="231"/>
    </row>
    <row r="36" spans="1:34" s="203" customFormat="1">
      <c r="A36" s="46">
        <v>9</v>
      </c>
      <c r="B36" s="47" t="s">
        <v>60</v>
      </c>
      <c r="C36" s="47"/>
      <c r="D36" s="48"/>
      <c r="E36" s="49">
        <v>-314</v>
      </c>
      <c r="F36" s="52">
        <v>-509</v>
      </c>
      <c r="G36" s="43"/>
      <c r="H36" s="52">
        <v>-1302</v>
      </c>
      <c r="I36" s="21"/>
      <c r="J36" s="231"/>
      <c r="K36" s="231"/>
      <c r="L36" s="231"/>
      <c r="M36" s="231"/>
      <c r="N36" s="231"/>
      <c r="O36" s="231"/>
      <c r="P36" s="231"/>
      <c r="Q36" s="231"/>
      <c r="R36" s="231"/>
      <c r="S36" s="231"/>
      <c r="T36" s="231"/>
      <c r="U36" s="231"/>
      <c r="V36" s="231"/>
      <c r="W36" s="231"/>
      <c r="X36" s="231"/>
      <c r="Y36" s="231"/>
      <c r="Z36" s="231"/>
      <c r="AA36" s="231"/>
      <c r="AB36" s="231"/>
      <c r="AC36" s="231"/>
      <c r="AD36" s="231"/>
      <c r="AE36" s="231"/>
      <c r="AF36" s="231"/>
      <c r="AG36" s="231"/>
      <c r="AH36" s="231"/>
    </row>
    <row r="37" spans="1:34" s="203" customFormat="1">
      <c r="A37" s="53">
        <v>10</v>
      </c>
      <c r="B37" s="54" t="s">
        <v>61</v>
      </c>
      <c r="C37" s="54"/>
      <c r="D37" s="55"/>
      <c r="E37" s="56">
        <v>64377</v>
      </c>
      <c r="F37" s="57">
        <f>F320</f>
        <v>69646</v>
      </c>
      <c r="G37" s="43"/>
      <c r="H37" s="57">
        <f>H320</f>
        <v>71405</v>
      </c>
      <c r="I37" s="21"/>
      <c r="J37" s="231"/>
      <c r="K37" s="231"/>
      <c r="L37" s="231"/>
      <c r="M37" s="231"/>
      <c r="N37" s="231"/>
      <c r="O37" s="231"/>
      <c r="P37" s="231"/>
      <c r="Q37" s="231"/>
      <c r="R37" s="231"/>
      <c r="S37" s="231"/>
      <c r="T37" s="231"/>
      <c r="U37" s="231"/>
      <c r="V37" s="231"/>
      <c r="W37" s="231"/>
      <c r="X37" s="231"/>
      <c r="Y37" s="231"/>
      <c r="Z37" s="231"/>
      <c r="AA37" s="231"/>
      <c r="AB37" s="231"/>
      <c r="AC37" s="231"/>
      <c r="AD37" s="231"/>
      <c r="AE37" s="231"/>
      <c r="AF37" s="231"/>
      <c r="AG37" s="231"/>
      <c r="AH37" s="231"/>
    </row>
    <row r="38" spans="1:34" s="203" customFormat="1">
      <c r="A38" s="33">
        <v>11</v>
      </c>
      <c r="B38" s="58" t="s">
        <v>62</v>
      </c>
      <c r="C38" s="58"/>
      <c r="D38" s="59"/>
      <c r="E38" s="60">
        <v>565303</v>
      </c>
      <c r="F38" s="61">
        <f>SUM(F28:F37)</f>
        <v>577040</v>
      </c>
      <c r="G38" s="43"/>
      <c r="H38" s="61">
        <f>SUM(H28:H37)</f>
        <v>581325</v>
      </c>
      <c r="I38" s="68"/>
      <c r="J38" s="231"/>
      <c r="K38" s="231"/>
      <c r="L38" s="231"/>
      <c r="M38" s="231"/>
      <c r="N38" s="231"/>
      <c r="O38" s="231"/>
      <c r="P38" s="231"/>
      <c r="Q38" s="231"/>
      <c r="R38" s="231"/>
      <c r="S38" s="231"/>
      <c r="T38" s="231"/>
      <c r="U38" s="231"/>
      <c r="V38" s="231"/>
      <c r="W38" s="231"/>
      <c r="X38" s="231"/>
      <c r="Y38" s="231"/>
      <c r="Z38" s="231"/>
      <c r="AA38" s="231"/>
      <c r="AB38" s="231"/>
      <c r="AC38" s="231"/>
      <c r="AD38" s="231"/>
      <c r="AE38" s="231"/>
      <c r="AF38" s="231"/>
      <c r="AG38" s="231"/>
      <c r="AH38" s="231"/>
    </row>
    <row r="39" spans="1:34" s="203" customFormat="1" ht="12.75" customHeight="1">
      <c r="A39" s="63"/>
      <c r="B39" s="64"/>
      <c r="C39" s="64"/>
      <c r="D39" s="65"/>
      <c r="E39" s="66"/>
      <c r="F39" s="67"/>
      <c r="G39" s="21"/>
      <c r="H39" s="67"/>
      <c r="I39" s="68"/>
      <c r="J39" s="231"/>
      <c r="K39" s="231"/>
      <c r="L39" s="231"/>
      <c r="M39" s="231"/>
      <c r="N39" s="231"/>
      <c r="O39" s="231"/>
      <c r="P39" s="231"/>
      <c r="Q39" s="231"/>
      <c r="R39" s="231"/>
      <c r="S39" s="231"/>
      <c r="T39" s="231"/>
      <c r="U39" s="231"/>
      <c r="V39" s="231"/>
      <c r="W39" s="231"/>
      <c r="X39" s="231"/>
      <c r="Y39" s="231"/>
      <c r="Z39" s="231"/>
      <c r="AA39" s="231"/>
      <c r="AB39" s="231"/>
      <c r="AC39" s="231"/>
      <c r="AD39" s="231"/>
      <c r="AE39" s="231"/>
      <c r="AF39" s="231"/>
      <c r="AG39" s="231"/>
      <c r="AH39" s="231"/>
    </row>
    <row r="40" spans="1:34" s="203" customFormat="1" ht="12.75" customHeight="1">
      <c r="A40" s="893" t="s">
        <v>63</v>
      </c>
      <c r="B40" s="894"/>
      <c r="C40" s="894"/>
      <c r="D40" s="895"/>
      <c r="E40" s="878" t="s">
        <v>376</v>
      </c>
      <c r="F40" s="856" t="s">
        <v>407</v>
      </c>
      <c r="G40" s="36"/>
      <c r="H40" s="878" t="s">
        <v>406</v>
      </c>
      <c r="I40" s="43"/>
      <c r="J40" s="231"/>
      <c r="K40" s="231"/>
      <c r="L40" s="231"/>
      <c r="M40" s="231"/>
      <c r="N40" s="231"/>
      <c r="O40" s="231"/>
      <c r="P40" s="231"/>
      <c r="Q40" s="231"/>
      <c r="R40" s="231"/>
      <c r="S40" s="231"/>
      <c r="T40" s="231"/>
      <c r="U40" s="231"/>
      <c r="V40" s="231"/>
      <c r="W40" s="231"/>
      <c r="X40" s="231"/>
      <c r="Y40" s="231"/>
      <c r="Z40" s="231"/>
      <c r="AA40" s="231"/>
      <c r="AB40" s="231"/>
      <c r="AC40" s="231"/>
      <c r="AD40" s="231"/>
      <c r="AE40" s="231"/>
      <c r="AF40" s="231"/>
      <c r="AG40" s="231"/>
      <c r="AH40" s="231"/>
    </row>
    <row r="41" spans="1:34" s="203" customFormat="1" ht="27.75" customHeight="1">
      <c r="A41" s="876"/>
      <c r="B41" s="877"/>
      <c r="C41" s="877"/>
      <c r="D41" s="896"/>
      <c r="E41" s="879"/>
      <c r="F41" s="860"/>
      <c r="G41" s="23"/>
      <c r="H41" s="879"/>
      <c r="I41" s="43"/>
      <c r="J41" s="231"/>
      <c r="K41" s="231"/>
      <c r="L41" s="231"/>
      <c r="M41" s="231"/>
      <c r="N41" s="231"/>
      <c r="O41" s="231"/>
      <c r="P41" s="231"/>
      <c r="Q41" s="231"/>
      <c r="R41" s="231"/>
      <c r="S41" s="231"/>
      <c r="T41" s="231"/>
      <c r="U41" s="231"/>
      <c r="V41" s="231"/>
      <c r="W41" s="231"/>
      <c r="X41" s="231"/>
      <c r="Y41" s="231"/>
      <c r="Z41" s="231"/>
      <c r="AA41" s="231"/>
      <c r="AB41" s="231"/>
      <c r="AC41" s="231"/>
      <c r="AD41" s="231"/>
      <c r="AE41" s="231"/>
      <c r="AF41" s="231"/>
      <c r="AG41" s="231"/>
      <c r="AH41" s="231"/>
    </row>
    <row r="42" spans="1:34" s="203" customFormat="1">
      <c r="A42" s="664" t="s">
        <v>64</v>
      </c>
      <c r="B42" s="69" t="s">
        <v>65</v>
      </c>
      <c r="C42" s="69"/>
      <c r="D42" s="70"/>
      <c r="E42" s="71"/>
      <c r="F42" s="72" t="str">
        <f>IF(OR(F43&lt;0,F44&lt;0,F47&lt;0,F48&lt;0,H43&lt;0,H44&lt;0,H47&lt;0,H48&lt;0),"Funding should be recorded as positive figures",".")</f>
        <v>.</v>
      </c>
      <c r="G42" s="45"/>
      <c r="H42" s="73"/>
      <c r="I42" s="43"/>
      <c r="J42" s="231"/>
      <c r="K42" s="231"/>
      <c r="L42" s="231"/>
      <c r="M42" s="231"/>
      <c r="N42" s="231"/>
      <c r="O42" s="231"/>
      <c r="P42" s="231"/>
      <c r="Q42" s="231"/>
      <c r="R42" s="231"/>
      <c r="S42" s="231"/>
      <c r="T42" s="231"/>
      <c r="U42" s="231"/>
      <c r="V42" s="231"/>
      <c r="W42" s="231"/>
      <c r="X42" s="231"/>
      <c r="Y42" s="231"/>
      <c r="Z42" s="231"/>
      <c r="AA42" s="231"/>
      <c r="AB42" s="231"/>
      <c r="AC42" s="231"/>
      <c r="AD42" s="231"/>
      <c r="AE42" s="231"/>
      <c r="AF42" s="231"/>
      <c r="AG42" s="231"/>
      <c r="AH42" s="231"/>
    </row>
    <row r="43" spans="1:34" s="203" customFormat="1">
      <c r="A43" s="46">
        <v>1</v>
      </c>
      <c r="B43" s="47" t="s">
        <v>66</v>
      </c>
      <c r="C43" s="47"/>
      <c r="D43" s="48"/>
      <c r="E43" s="74">
        <v>307921</v>
      </c>
      <c r="F43" s="241">
        <v>310402.00000000006</v>
      </c>
      <c r="G43" s="45"/>
      <c r="H43" s="75">
        <v>292198</v>
      </c>
      <c r="I43" s="43"/>
      <c r="J43" s="231"/>
      <c r="K43" s="231"/>
      <c r="L43" s="231"/>
      <c r="M43" s="231"/>
      <c r="N43" s="231"/>
      <c r="O43" s="231"/>
      <c r="P43" s="231"/>
      <c r="Q43" s="231"/>
      <c r="R43" s="231"/>
      <c r="S43" s="231"/>
      <c r="T43" s="231"/>
      <c r="U43" s="231"/>
      <c r="V43" s="231"/>
      <c r="W43" s="231"/>
      <c r="X43" s="231"/>
      <c r="Y43" s="231"/>
      <c r="Z43" s="231"/>
      <c r="AA43" s="231"/>
      <c r="AB43" s="231"/>
      <c r="AC43" s="231"/>
      <c r="AD43" s="231"/>
      <c r="AE43" s="231"/>
      <c r="AF43" s="231"/>
      <c r="AG43" s="231"/>
      <c r="AH43" s="231"/>
    </row>
    <row r="44" spans="1:34" s="203" customFormat="1">
      <c r="A44" s="46">
        <v>2</v>
      </c>
      <c r="B44" s="47" t="s">
        <v>67</v>
      </c>
      <c r="C44" s="47"/>
      <c r="D44" s="48"/>
      <c r="E44" s="49">
        <v>126537</v>
      </c>
      <c r="F44" s="241">
        <v>126537</v>
      </c>
      <c r="G44" s="45"/>
      <c r="H44" s="75">
        <v>143240</v>
      </c>
      <c r="I44" s="43"/>
      <c r="J44" s="231"/>
      <c r="K44" s="231"/>
      <c r="L44" s="231"/>
      <c r="M44" s="231"/>
      <c r="N44" s="231"/>
      <c r="O44" s="231"/>
      <c r="P44" s="231"/>
      <c r="Q44" s="231"/>
      <c r="R44" s="231"/>
      <c r="S44" s="231"/>
      <c r="T44" s="231"/>
      <c r="U44" s="231"/>
      <c r="V44" s="231"/>
      <c r="W44" s="231"/>
      <c r="X44" s="231"/>
      <c r="Y44" s="231"/>
      <c r="Z44" s="231"/>
      <c r="AA44" s="231"/>
      <c r="AB44" s="231"/>
      <c r="AC44" s="231"/>
      <c r="AD44" s="231"/>
      <c r="AE44" s="231"/>
      <c r="AF44" s="231"/>
      <c r="AG44" s="231"/>
      <c r="AH44" s="231"/>
    </row>
    <row r="45" spans="1:34" s="203" customFormat="1">
      <c r="A45" s="46">
        <v>3</v>
      </c>
      <c r="B45" s="47" t="s">
        <v>68</v>
      </c>
      <c r="C45" s="47"/>
      <c r="D45" s="48"/>
      <c r="E45" s="49">
        <v>0</v>
      </c>
      <c r="F45" s="52">
        <v>0</v>
      </c>
      <c r="G45" s="45"/>
      <c r="H45" s="75">
        <v>0</v>
      </c>
      <c r="I45" s="43"/>
      <c r="J45" s="231"/>
      <c r="K45" s="231"/>
      <c r="L45" s="231"/>
      <c r="M45" s="231"/>
      <c r="N45" s="231"/>
      <c r="O45" s="231"/>
      <c r="P45" s="231"/>
      <c r="Q45" s="231"/>
      <c r="R45" s="231"/>
      <c r="S45" s="231"/>
      <c r="T45" s="231"/>
      <c r="U45" s="231"/>
      <c r="V45" s="231"/>
      <c r="W45" s="231"/>
      <c r="X45" s="231"/>
      <c r="Y45" s="231"/>
      <c r="Z45" s="231"/>
      <c r="AA45" s="231"/>
      <c r="AB45" s="231"/>
      <c r="AC45" s="231"/>
      <c r="AD45" s="231"/>
      <c r="AE45" s="231"/>
      <c r="AF45" s="231"/>
      <c r="AG45" s="231"/>
      <c r="AH45" s="231"/>
    </row>
    <row r="46" spans="1:34" s="203" customFormat="1">
      <c r="A46" s="46">
        <v>4</v>
      </c>
      <c r="B46" s="47" t="s">
        <v>70</v>
      </c>
      <c r="C46" s="47"/>
      <c r="D46" s="48"/>
      <c r="E46" s="49">
        <v>0</v>
      </c>
      <c r="F46" s="52">
        <v>0</v>
      </c>
      <c r="G46" s="45"/>
      <c r="H46" s="75">
        <v>0</v>
      </c>
      <c r="I46" s="43"/>
      <c r="J46" s="231"/>
      <c r="K46" s="231"/>
      <c r="L46" s="231"/>
      <c r="M46" s="231"/>
      <c r="N46" s="231"/>
      <c r="O46" s="231"/>
      <c r="P46" s="231"/>
      <c r="Q46" s="231"/>
      <c r="R46" s="231"/>
      <c r="S46" s="231"/>
      <c r="T46" s="231"/>
      <c r="U46" s="231"/>
      <c r="V46" s="231"/>
      <c r="W46" s="231"/>
      <c r="X46" s="231"/>
      <c r="Y46" s="231"/>
      <c r="Z46" s="231"/>
      <c r="AA46" s="231"/>
      <c r="AB46" s="231"/>
      <c r="AC46" s="231"/>
      <c r="AD46" s="231"/>
      <c r="AE46" s="231"/>
      <c r="AF46" s="231"/>
      <c r="AG46" s="231"/>
      <c r="AH46" s="231"/>
    </row>
    <row r="47" spans="1:34" s="203" customFormat="1">
      <c r="A47" s="46">
        <v>5</v>
      </c>
      <c r="B47" s="47" t="s">
        <v>69</v>
      </c>
      <c r="C47" s="47"/>
      <c r="D47" s="48"/>
      <c r="E47" s="49">
        <v>9591</v>
      </c>
      <c r="F47" s="52">
        <v>10117</v>
      </c>
      <c r="G47" s="45"/>
      <c r="H47" s="76">
        <v>21328</v>
      </c>
      <c r="I47" s="43"/>
      <c r="J47" s="231"/>
      <c r="K47" s="231"/>
      <c r="L47" s="231"/>
      <c r="M47" s="231"/>
      <c r="N47" s="231"/>
      <c r="O47" s="231"/>
      <c r="P47" s="231"/>
      <c r="Q47" s="231"/>
      <c r="R47" s="231"/>
      <c r="S47" s="231"/>
      <c r="T47" s="231"/>
      <c r="U47" s="231"/>
      <c r="V47" s="231"/>
      <c r="W47" s="231"/>
      <c r="X47" s="231"/>
      <c r="Y47" s="231"/>
      <c r="Z47" s="231"/>
      <c r="AA47" s="231"/>
      <c r="AB47" s="231"/>
      <c r="AC47" s="231"/>
      <c r="AD47" s="231"/>
      <c r="AE47" s="231"/>
      <c r="AF47" s="231"/>
      <c r="AG47" s="231"/>
      <c r="AH47" s="231"/>
    </row>
    <row r="48" spans="1:34" s="203" customFormat="1">
      <c r="A48" s="46">
        <v>6</v>
      </c>
      <c r="B48" s="90" t="s">
        <v>253</v>
      </c>
      <c r="C48" s="47"/>
      <c r="D48" s="195"/>
      <c r="E48" s="49">
        <v>119409</v>
      </c>
      <c r="F48" s="52">
        <v>119958</v>
      </c>
      <c r="G48" s="45"/>
      <c r="H48" s="52">
        <v>124350</v>
      </c>
      <c r="I48" s="43"/>
      <c r="J48" s="231"/>
      <c r="K48" s="231"/>
      <c r="L48" s="231"/>
      <c r="M48" s="231"/>
      <c r="N48" s="231"/>
      <c r="O48" s="231"/>
      <c r="P48" s="231"/>
      <c r="Q48" s="231"/>
      <c r="R48" s="231"/>
      <c r="S48" s="231"/>
      <c r="T48" s="231"/>
      <c r="U48" s="231"/>
      <c r="V48" s="231"/>
      <c r="W48" s="231"/>
      <c r="X48" s="231"/>
      <c r="Y48" s="231"/>
      <c r="Z48" s="231"/>
      <c r="AA48" s="231"/>
      <c r="AB48" s="231"/>
      <c r="AC48" s="231"/>
      <c r="AD48" s="231"/>
      <c r="AE48" s="231"/>
      <c r="AF48" s="231"/>
      <c r="AG48" s="231"/>
      <c r="AH48" s="231"/>
    </row>
    <row r="49" spans="1:34" s="203" customFormat="1">
      <c r="A49" s="77">
        <v>7</v>
      </c>
      <c r="B49" s="78" t="s">
        <v>71</v>
      </c>
      <c r="C49" s="58"/>
      <c r="D49" s="79"/>
      <c r="E49" s="80">
        <v>563458</v>
      </c>
      <c r="F49" s="81">
        <f>SUM(F43:F48)</f>
        <v>567014</v>
      </c>
      <c r="G49" s="82"/>
      <c r="H49" s="62">
        <f>SUM(H43:H48)</f>
        <v>581116</v>
      </c>
      <c r="I49" s="242"/>
      <c r="J49" s="231"/>
      <c r="K49" s="231"/>
      <c r="L49" s="231"/>
      <c r="M49" s="231"/>
      <c r="N49" s="231"/>
      <c r="O49" s="231"/>
      <c r="P49" s="231"/>
      <c r="Q49" s="231"/>
      <c r="R49" s="231"/>
      <c r="S49" s="231"/>
      <c r="T49" s="231"/>
      <c r="U49" s="231"/>
      <c r="V49" s="231"/>
      <c r="W49" s="231"/>
      <c r="X49" s="231"/>
      <c r="Y49" s="231"/>
      <c r="Z49" s="231"/>
      <c r="AA49" s="231"/>
      <c r="AB49" s="231"/>
      <c r="AC49" s="231"/>
      <c r="AD49" s="231"/>
      <c r="AE49" s="231"/>
      <c r="AF49" s="231"/>
      <c r="AG49" s="231"/>
      <c r="AH49" s="231"/>
    </row>
    <row r="50" spans="1:34" s="203" customFormat="1">
      <c r="A50" s="83"/>
      <c r="B50" s="244"/>
      <c r="C50" s="244"/>
      <c r="D50" s="244"/>
      <c r="E50" s="85"/>
      <c r="F50" s="244"/>
      <c r="G50" s="86"/>
      <c r="H50" s="86"/>
      <c r="I50" s="21"/>
      <c r="J50" s="231"/>
      <c r="K50" s="231"/>
      <c r="L50" s="231"/>
      <c r="M50" s="231"/>
      <c r="N50" s="231"/>
      <c r="O50" s="231"/>
      <c r="P50" s="231"/>
      <c r="Q50" s="231"/>
      <c r="R50" s="231"/>
      <c r="S50" s="231"/>
      <c r="T50" s="231"/>
      <c r="U50" s="231"/>
      <c r="V50" s="231"/>
      <c r="W50" s="231"/>
      <c r="X50" s="231"/>
      <c r="Y50" s="231"/>
      <c r="Z50" s="231"/>
      <c r="AA50" s="231"/>
      <c r="AB50" s="231"/>
      <c r="AC50" s="231"/>
      <c r="AD50" s="231"/>
      <c r="AE50" s="231"/>
      <c r="AF50" s="231"/>
      <c r="AG50" s="231"/>
      <c r="AH50" s="231"/>
    </row>
    <row r="51" spans="1:34" s="203" customFormat="1">
      <c r="A51" s="664" t="s">
        <v>72</v>
      </c>
      <c r="B51" s="196" t="s">
        <v>254</v>
      </c>
      <c r="C51" s="69"/>
      <c r="D51" s="70"/>
      <c r="E51" s="87"/>
      <c r="F51" s="88"/>
      <c r="G51" s="45"/>
      <c r="H51" s="89"/>
      <c r="I51" s="43"/>
      <c r="J51" s="231"/>
      <c r="K51" s="231"/>
      <c r="L51" s="231"/>
      <c r="M51" s="231"/>
      <c r="N51" s="231"/>
      <c r="O51" s="231"/>
      <c r="P51" s="231"/>
      <c r="Q51" s="231"/>
      <c r="R51" s="231"/>
      <c r="S51" s="231"/>
      <c r="T51" s="231"/>
      <c r="U51" s="231"/>
      <c r="V51" s="231"/>
      <c r="W51" s="231"/>
      <c r="X51" s="231"/>
      <c r="Y51" s="231"/>
      <c r="Z51" s="231"/>
      <c r="AA51" s="231"/>
      <c r="AB51" s="231"/>
      <c r="AC51" s="231"/>
      <c r="AD51" s="231"/>
      <c r="AE51" s="231"/>
      <c r="AF51" s="231"/>
      <c r="AG51" s="231"/>
      <c r="AH51" s="231"/>
    </row>
    <row r="52" spans="1:34" s="203" customFormat="1">
      <c r="A52" s="46">
        <v>8</v>
      </c>
      <c r="B52" s="90" t="s">
        <v>73</v>
      </c>
      <c r="C52" s="47"/>
      <c r="D52" s="48"/>
      <c r="E52" s="74">
        <v>565303</v>
      </c>
      <c r="F52" s="50">
        <f>F38</f>
        <v>577040</v>
      </c>
      <c r="G52" s="45"/>
      <c r="H52" s="91">
        <f>H38</f>
        <v>581325</v>
      </c>
      <c r="I52" s="43"/>
      <c r="J52" s="231"/>
      <c r="K52" s="231"/>
      <c r="L52" s="231"/>
      <c r="M52" s="231"/>
      <c r="N52" s="231"/>
      <c r="O52" s="231"/>
      <c r="P52" s="231"/>
      <c r="Q52" s="231"/>
      <c r="R52" s="231"/>
      <c r="S52" s="231"/>
      <c r="T52" s="231"/>
      <c r="U52" s="231"/>
      <c r="V52" s="231"/>
      <c r="W52" s="231"/>
      <c r="X52" s="231"/>
      <c r="Y52" s="231"/>
      <c r="Z52" s="231"/>
      <c r="AA52" s="231"/>
      <c r="AB52" s="231"/>
      <c r="AC52" s="231"/>
      <c r="AD52" s="231"/>
      <c r="AE52" s="231"/>
      <c r="AF52" s="231"/>
      <c r="AG52" s="231"/>
      <c r="AH52" s="231"/>
    </row>
    <row r="53" spans="1:34" s="203" customFormat="1">
      <c r="A53" s="46">
        <v>9</v>
      </c>
      <c r="B53" s="90" t="s">
        <v>74</v>
      </c>
      <c r="C53" s="47"/>
      <c r="D53" s="48"/>
      <c r="E53" s="49">
        <v>563458</v>
      </c>
      <c r="F53" s="92">
        <f>F49</f>
        <v>567014</v>
      </c>
      <c r="G53" s="45"/>
      <c r="H53" s="91">
        <f>H49</f>
        <v>581116</v>
      </c>
      <c r="I53" s="43"/>
      <c r="J53" s="231"/>
      <c r="K53" s="231"/>
      <c r="L53" s="231"/>
      <c r="M53" s="231"/>
      <c r="N53" s="231"/>
      <c r="O53" s="231"/>
      <c r="P53" s="231"/>
      <c r="Q53" s="231"/>
      <c r="R53" s="231"/>
      <c r="S53" s="231"/>
      <c r="T53" s="231"/>
      <c r="U53" s="231"/>
      <c r="V53" s="231"/>
      <c r="W53" s="231"/>
      <c r="X53" s="231"/>
      <c r="Y53" s="231"/>
      <c r="Z53" s="231"/>
      <c r="AA53" s="231"/>
      <c r="AB53" s="231"/>
      <c r="AC53" s="231"/>
      <c r="AD53" s="231"/>
      <c r="AE53" s="231"/>
      <c r="AF53" s="231"/>
      <c r="AG53" s="231"/>
      <c r="AH53" s="231"/>
    </row>
    <row r="54" spans="1:34" s="203" customFormat="1">
      <c r="A54" s="666">
        <v>10</v>
      </c>
      <c r="B54" s="93" t="s">
        <v>255</v>
      </c>
      <c r="C54" s="94"/>
      <c r="D54" s="55"/>
      <c r="E54" s="95">
        <v>-1845</v>
      </c>
      <c r="F54" s="96">
        <f>F53-F52</f>
        <v>-10026</v>
      </c>
      <c r="G54" s="45"/>
      <c r="H54" s="97">
        <f>H53-H52</f>
        <v>-209</v>
      </c>
      <c r="I54" s="43"/>
      <c r="J54" s="231"/>
      <c r="K54" s="231"/>
      <c r="L54" s="231"/>
      <c r="M54" s="231"/>
      <c r="N54" s="231"/>
      <c r="O54" s="231"/>
      <c r="P54" s="231"/>
      <c r="Q54" s="231"/>
      <c r="R54" s="231"/>
      <c r="S54" s="231"/>
      <c r="T54" s="231"/>
      <c r="U54" s="231"/>
      <c r="V54" s="231"/>
      <c r="W54" s="231"/>
      <c r="X54" s="231"/>
      <c r="Y54" s="231"/>
      <c r="Z54" s="231"/>
      <c r="AA54" s="231"/>
      <c r="AB54" s="231"/>
      <c r="AC54" s="231"/>
      <c r="AD54" s="231"/>
      <c r="AE54" s="231"/>
      <c r="AF54" s="231"/>
      <c r="AG54" s="231"/>
      <c r="AH54" s="231"/>
    </row>
    <row r="55" spans="1:34" s="203" customFormat="1">
      <c r="A55" s="83"/>
      <c r="B55" s="244"/>
      <c r="C55" s="244"/>
      <c r="D55" s="244"/>
      <c r="E55" s="85"/>
      <c r="F55" s="244"/>
      <c r="G55" s="86"/>
      <c r="H55" s="86"/>
      <c r="I55" s="21"/>
      <c r="J55" s="231"/>
      <c r="K55" s="231"/>
      <c r="L55" s="231"/>
      <c r="M55" s="231"/>
      <c r="N55" s="231"/>
      <c r="O55" s="231"/>
      <c r="P55" s="231"/>
      <c r="Q55" s="231"/>
      <c r="R55" s="231"/>
      <c r="S55" s="231"/>
      <c r="T55" s="231"/>
      <c r="U55" s="231"/>
      <c r="V55" s="231"/>
      <c r="W55" s="231"/>
      <c r="X55" s="231"/>
      <c r="Y55" s="231"/>
      <c r="Z55" s="231"/>
      <c r="AA55" s="231"/>
      <c r="AB55" s="231"/>
      <c r="AC55" s="231"/>
      <c r="AD55" s="231"/>
      <c r="AE55" s="231"/>
      <c r="AF55" s="231"/>
      <c r="AG55" s="231"/>
      <c r="AH55" s="231"/>
    </row>
    <row r="56" spans="1:34" s="203" customFormat="1">
      <c r="A56" s="664" t="s">
        <v>75</v>
      </c>
      <c r="B56" s="69" t="s">
        <v>256</v>
      </c>
      <c r="C56" s="69"/>
      <c r="D56" s="70"/>
      <c r="E56" s="87"/>
      <c r="F56" s="88"/>
      <c r="G56" s="45"/>
      <c r="H56" s="89"/>
      <c r="I56" s="43"/>
      <c r="J56" s="231"/>
      <c r="K56" s="231"/>
      <c r="L56" s="231"/>
      <c r="M56" s="231"/>
      <c r="N56" s="231"/>
      <c r="O56" s="231"/>
      <c r="P56" s="231"/>
      <c r="Q56" s="231"/>
      <c r="R56" s="231"/>
      <c r="S56" s="231"/>
      <c r="T56" s="231"/>
      <c r="U56" s="231"/>
      <c r="V56" s="231"/>
      <c r="W56" s="231"/>
      <c r="X56" s="231"/>
      <c r="Y56" s="231"/>
      <c r="Z56" s="231"/>
      <c r="AA56" s="231"/>
      <c r="AB56" s="231"/>
      <c r="AC56" s="231"/>
      <c r="AD56" s="231"/>
      <c r="AE56" s="231"/>
      <c r="AF56" s="231"/>
      <c r="AG56" s="231"/>
      <c r="AH56" s="231"/>
    </row>
    <row r="57" spans="1:34" s="203" customFormat="1">
      <c r="A57" s="46">
        <v>11</v>
      </c>
      <c r="B57" s="47" t="s">
        <v>76</v>
      </c>
      <c r="C57" s="47"/>
      <c r="D57" s="48"/>
      <c r="E57" s="74">
        <v>22398</v>
      </c>
      <c r="F57" s="52">
        <v>25062</v>
      </c>
      <c r="G57" s="45"/>
      <c r="H57" s="91">
        <f>F61</f>
        <v>15036</v>
      </c>
      <c r="I57" s="43"/>
      <c r="J57" s="231"/>
      <c r="K57" s="231"/>
      <c r="L57" s="231"/>
      <c r="M57" s="231"/>
      <c r="N57" s="231"/>
      <c r="O57" s="231"/>
      <c r="P57" s="231"/>
      <c r="Q57" s="231"/>
      <c r="R57" s="231"/>
      <c r="S57" s="231"/>
      <c r="T57" s="231"/>
      <c r="U57" s="231"/>
      <c r="V57" s="231"/>
      <c r="W57" s="231"/>
      <c r="X57" s="231"/>
      <c r="Y57" s="231"/>
      <c r="Z57" s="231"/>
      <c r="AA57" s="231"/>
      <c r="AB57" s="231"/>
      <c r="AC57" s="231"/>
      <c r="AD57" s="231"/>
      <c r="AE57" s="231"/>
      <c r="AF57" s="231"/>
      <c r="AG57" s="231"/>
      <c r="AH57" s="231"/>
    </row>
    <row r="58" spans="1:34" s="203" customFormat="1">
      <c r="A58" s="46">
        <v>12</v>
      </c>
      <c r="B58" s="90" t="s">
        <v>257</v>
      </c>
      <c r="C58" s="47"/>
      <c r="D58" s="48"/>
      <c r="E58" s="49">
        <v>-1845</v>
      </c>
      <c r="F58" s="92">
        <f>F54</f>
        <v>-10026</v>
      </c>
      <c r="G58" s="45"/>
      <c r="H58" s="98">
        <f>H54</f>
        <v>-209</v>
      </c>
      <c r="I58" s="43"/>
      <c r="J58" s="231"/>
      <c r="K58" s="231"/>
      <c r="L58" s="231"/>
      <c r="M58" s="231"/>
      <c r="N58" s="231"/>
      <c r="O58" s="231"/>
      <c r="P58" s="231"/>
      <c r="Q58" s="231"/>
      <c r="R58" s="231"/>
      <c r="S58" s="231"/>
      <c r="T58" s="231"/>
      <c r="U58" s="231"/>
      <c r="V58" s="231"/>
      <c r="W58" s="231"/>
      <c r="X58" s="231"/>
      <c r="Y58" s="231"/>
      <c r="Z58" s="231"/>
      <c r="AA58" s="231"/>
      <c r="AB58" s="231"/>
      <c r="AC58" s="231"/>
      <c r="AD58" s="231"/>
      <c r="AE58" s="231"/>
      <c r="AF58" s="231"/>
      <c r="AG58" s="231"/>
      <c r="AH58" s="231"/>
    </row>
    <row r="59" spans="1:34" s="203" customFormat="1">
      <c r="A59" s="46">
        <v>13</v>
      </c>
      <c r="B59" s="47" t="s">
        <v>77</v>
      </c>
      <c r="C59" s="47"/>
      <c r="D59" s="48"/>
      <c r="E59" s="49">
        <v>0</v>
      </c>
      <c r="F59" s="52"/>
      <c r="G59" s="45"/>
      <c r="H59" s="99"/>
      <c r="I59" s="43"/>
      <c r="J59" s="231"/>
      <c r="K59" s="231"/>
      <c r="L59" s="231"/>
      <c r="M59" s="231"/>
      <c r="N59" s="231"/>
      <c r="O59" s="231"/>
      <c r="P59" s="231"/>
      <c r="Q59" s="231"/>
      <c r="R59" s="231"/>
      <c r="S59" s="231"/>
      <c r="T59" s="231"/>
      <c r="U59" s="231"/>
      <c r="V59" s="231"/>
      <c r="W59" s="231"/>
      <c r="X59" s="231"/>
      <c r="Y59" s="231"/>
      <c r="Z59" s="231"/>
      <c r="AA59" s="231"/>
      <c r="AB59" s="231"/>
      <c r="AC59" s="231"/>
      <c r="AD59" s="231"/>
      <c r="AE59" s="231"/>
      <c r="AF59" s="231"/>
      <c r="AG59" s="231"/>
      <c r="AH59" s="231"/>
    </row>
    <row r="60" spans="1:34" s="203" customFormat="1">
      <c r="A60" s="46">
        <v>14</v>
      </c>
      <c r="B60" s="47" t="s">
        <v>78</v>
      </c>
      <c r="C60" s="47"/>
      <c r="D60" s="48"/>
      <c r="E60" s="49">
        <v>0</v>
      </c>
      <c r="F60" s="52"/>
      <c r="G60" s="45"/>
      <c r="H60" s="100"/>
      <c r="I60" s="43"/>
      <c r="J60" s="231"/>
      <c r="K60" s="231"/>
      <c r="L60" s="231"/>
      <c r="M60" s="231"/>
      <c r="N60" s="231"/>
      <c r="O60" s="231"/>
      <c r="P60" s="231"/>
      <c r="Q60" s="231"/>
      <c r="R60" s="231"/>
      <c r="S60" s="231"/>
      <c r="T60" s="231"/>
      <c r="U60" s="231"/>
      <c r="V60" s="231"/>
      <c r="W60" s="231"/>
      <c r="X60" s="231"/>
      <c r="Y60" s="231"/>
      <c r="Z60" s="231"/>
      <c r="AA60" s="231"/>
      <c r="AB60" s="231"/>
      <c r="AC60" s="231"/>
      <c r="AD60" s="231"/>
      <c r="AE60" s="231"/>
      <c r="AF60" s="231"/>
      <c r="AG60" s="231"/>
      <c r="AH60" s="231"/>
    </row>
    <row r="61" spans="1:34" s="203" customFormat="1">
      <c r="A61" s="53">
        <v>15</v>
      </c>
      <c r="B61" s="54" t="s">
        <v>79</v>
      </c>
      <c r="C61" s="54"/>
      <c r="D61" s="55"/>
      <c r="E61" s="56">
        <v>20553</v>
      </c>
      <c r="F61" s="96">
        <f>F57+F58+F59+F60</f>
        <v>15036</v>
      </c>
      <c r="G61" s="45"/>
      <c r="H61" s="101">
        <f>H57+H58+H59+H60</f>
        <v>14827</v>
      </c>
      <c r="I61" s="43"/>
      <c r="J61" s="231"/>
      <c r="K61" s="231"/>
      <c r="L61" s="231"/>
      <c r="M61" s="231"/>
      <c r="N61" s="231"/>
      <c r="O61" s="231"/>
      <c r="P61" s="231"/>
      <c r="Q61" s="231"/>
      <c r="R61" s="231"/>
      <c r="S61" s="231"/>
      <c r="T61" s="231"/>
      <c r="U61" s="231"/>
      <c r="V61" s="231"/>
      <c r="W61" s="231"/>
      <c r="X61" s="231"/>
      <c r="Y61" s="231"/>
      <c r="Z61" s="231"/>
      <c r="AA61" s="231"/>
      <c r="AB61" s="231"/>
      <c r="AC61" s="231"/>
      <c r="AD61" s="231"/>
      <c r="AE61" s="231"/>
      <c r="AF61" s="231"/>
      <c r="AG61" s="231"/>
      <c r="AH61" s="231"/>
    </row>
    <row r="62" spans="1:34" s="203" customFormat="1">
      <c r="A62" s="102"/>
      <c r="B62" s="207"/>
      <c r="C62" s="207"/>
      <c r="D62" s="207"/>
      <c r="E62" s="103"/>
      <c r="F62" s="21"/>
      <c r="G62" s="21"/>
      <c r="H62" s="21"/>
      <c r="I62" s="21"/>
      <c r="J62" s="231"/>
      <c r="K62" s="231"/>
      <c r="L62" s="231"/>
      <c r="M62" s="231"/>
      <c r="N62" s="231"/>
      <c r="O62" s="231"/>
      <c r="P62" s="231"/>
      <c r="Q62" s="231"/>
      <c r="R62" s="231"/>
      <c r="S62" s="231"/>
      <c r="T62" s="231"/>
      <c r="U62" s="231"/>
      <c r="V62" s="231"/>
      <c r="W62" s="231"/>
      <c r="X62" s="231"/>
      <c r="Y62" s="231"/>
      <c r="Z62" s="231"/>
      <c r="AA62" s="231"/>
      <c r="AB62" s="231"/>
      <c r="AC62" s="231"/>
      <c r="AD62" s="231"/>
      <c r="AE62" s="231"/>
      <c r="AF62" s="231"/>
      <c r="AG62" s="231"/>
      <c r="AH62" s="231"/>
    </row>
    <row r="63" spans="1:34" s="203" customFormat="1" ht="12.75" customHeight="1">
      <c r="A63" s="23"/>
      <c r="B63" s="207"/>
      <c r="C63" s="207"/>
      <c r="D63" s="207"/>
      <c r="E63" s="15"/>
      <c r="F63" s="207"/>
      <c r="G63" s="207"/>
      <c r="H63" s="21"/>
      <c r="I63" s="21"/>
      <c r="J63" s="231"/>
      <c r="K63" s="231"/>
      <c r="L63" s="231"/>
      <c r="M63" s="231"/>
      <c r="N63" s="231"/>
      <c r="O63" s="231"/>
      <c r="P63" s="231"/>
      <c r="Q63" s="231"/>
      <c r="R63" s="231"/>
      <c r="S63" s="231"/>
      <c r="T63" s="231"/>
      <c r="U63" s="231"/>
      <c r="V63" s="231"/>
      <c r="W63" s="231"/>
      <c r="X63" s="231"/>
      <c r="Y63" s="231"/>
      <c r="Z63" s="231"/>
      <c r="AA63" s="231"/>
      <c r="AB63" s="231"/>
      <c r="AC63" s="231"/>
      <c r="AD63" s="231"/>
      <c r="AE63" s="231"/>
      <c r="AF63" s="231"/>
      <c r="AG63" s="231"/>
      <c r="AH63" s="231"/>
    </row>
    <row r="64" spans="1:34" s="203" customFormat="1" ht="15">
      <c r="A64" s="104" t="s">
        <v>80</v>
      </c>
      <c r="B64" s="29"/>
      <c r="C64" s="29"/>
      <c r="D64" s="29"/>
      <c r="E64" s="15"/>
      <c r="F64" s="29"/>
      <c r="G64" s="29"/>
      <c r="H64" s="29"/>
      <c r="I64" s="29"/>
      <c r="J64" s="231"/>
      <c r="K64" s="231"/>
      <c r="L64" s="231"/>
      <c r="M64" s="231"/>
      <c r="N64" s="231"/>
      <c r="O64" s="231"/>
      <c r="P64" s="231"/>
      <c r="Q64" s="231"/>
      <c r="R64" s="231"/>
      <c r="S64" s="231"/>
      <c r="T64" s="231"/>
      <c r="U64" s="231"/>
      <c r="V64" s="231"/>
      <c r="W64" s="231"/>
      <c r="X64" s="231"/>
      <c r="Y64" s="231"/>
      <c r="Z64" s="231"/>
      <c r="AA64" s="231"/>
      <c r="AB64" s="231"/>
      <c r="AC64" s="231"/>
      <c r="AD64" s="231"/>
      <c r="AE64" s="231"/>
      <c r="AF64" s="231"/>
      <c r="AG64" s="231"/>
      <c r="AH64" s="231"/>
    </row>
    <row r="65" spans="1:34" s="203" customFormat="1">
      <c r="A65" s="32"/>
      <c r="B65" s="29"/>
      <c r="C65" s="29"/>
      <c r="D65" s="29"/>
      <c r="E65" s="105"/>
      <c r="F65" s="29"/>
      <c r="G65" s="29"/>
      <c r="H65" s="29"/>
      <c r="I65" s="131" t="s">
        <v>27</v>
      </c>
      <c r="J65" s="231"/>
      <c r="K65" s="231"/>
      <c r="L65" s="231"/>
      <c r="M65" s="231"/>
      <c r="N65" s="231"/>
      <c r="O65" s="231"/>
      <c r="P65" s="231"/>
      <c r="Q65" s="231"/>
      <c r="R65" s="231"/>
      <c r="S65" s="231"/>
      <c r="T65" s="231"/>
      <c r="U65" s="231"/>
      <c r="V65" s="231"/>
      <c r="W65" s="231"/>
      <c r="X65" s="231"/>
      <c r="Y65" s="231"/>
      <c r="Z65" s="231"/>
      <c r="AA65" s="231"/>
      <c r="AB65" s="231"/>
      <c r="AC65" s="231"/>
      <c r="AD65" s="231"/>
      <c r="AE65" s="231"/>
      <c r="AF65" s="231"/>
      <c r="AG65" s="231"/>
      <c r="AH65" s="231"/>
    </row>
    <row r="66" spans="1:34" s="203" customFormat="1">
      <c r="A66" s="106" t="s">
        <v>14</v>
      </c>
      <c r="B66" s="107"/>
      <c r="C66" s="107"/>
      <c r="D66" s="107"/>
      <c r="E66" s="856" t="s">
        <v>377</v>
      </c>
      <c r="F66" s="962" t="s">
        <v>402</v>
      </c>
      <c r="G66" s="867" t="s">
        <v>81</v>
      </c>
      <c r="H66" s="962" t="s">
        <v>403</v>
      </c>
      <c r="I66" s="867" t="s">
        <v>81</v>
      </c>
      <c r="J66" s="231"/>
      <c r="K66" s="231"/>
      <c r="L66" s="231"/>
      <c r="M66" s="231"/>
      <c r="N66" s="231"/>
      <c r="O66" s="231"/>
      <c r="P66" s="231"/>
      <c r="Q66" s="231"/>
      <c r="R66" s="231"/>
      <c r="S66" s="231"/>
      <c r="T66" s="231"/>
      <c r="U66" s="231"/>
      <c r="V66" s="231"/>
      <c r="W66" s="231"/>
      <c r="X66" s="231"/>
      <c r="Y66" s="231"/>
      <c r="Z66" s="231"/>
      <c r="AA66" s="231"/>
      <c r="AB66" s="231"/>
      <c r="AC66" s="231"/>
      <c r="AD66" s="231"/>
      <c r="AE66" s="231"/>
      <c r="AF66" s="231"/>
      <c r="AG66" s="231"/>
      <c r="AH66" s="231"/>
    </row>
    <row r="67" spans="1:34" s="203" customFormat="1" ht="21" customHeight="1">
      <c r="A67" s="108"/>
      <c r="B67" s="47"/>
      <c r="C67" s="47"/>
      <c r="D67" s="47"/>
      <c r="E67" s="859"/>
      <c r="F67" s="963"/>
      <c r="G67" s="868"/>
      <c r="H67" s="963"/>
      <c r="I67" s="868"/>
      <c r="J67" s="231"/>
      <c r="K67" s="231"/>
      <c r="L67" s="231"/>
      <c r="M67" s="231"/>
      <c r="N67" s="231"/>
      <c r="O67" s="231"/>
      <c r="P67" s="231"/>
      <c r="Q67" s="231"/>
      <c r="R67" s="231"/>
      <c r="S67" s="231"/>
      <c r="T67" s="231"/>
      <c r="U67" s="231"/>
      <c r="V67" s="231"/>
      <c r="W67" s="231"/>
      <c r="X67" s="231"/>
      <c r="Y67" s="231"/>
      <c r="Z67" s="231"/>
      <c r="AA67" s="231"/>
      <c r="AB67" s="231"/>
      <c r="AC67" s="231"/>
      <c r="AD67" s="231"/>
      <c r="AE67" s="231"/>
      <c r="AF67" s="231"/>
      <c r="AG67" s="231"/>
      <c r="AH67" s="231"/>
    </row>
    <row r="68" spans="1:34" s="203" customFormat="1">
      <c r="A68" s="109" t="s">
        <v>82</v>
      </c>
      <c r="B68" s="47"/>
      <c r="C68" s="47"/>
      <c r="D68" s="47"/>
      <c r="E68" s="859"/>
      <c r="F68" s="963"/>
      <c r="G68" s="868"/>
      <c r="H68" s="963"/>
      <c r="I68" s="868"/>
      <c r="J68" s="231"/>
      <c r="K68" s="231"/>
      <c r="L68" s="231"/>
      <c r="M68" s="231"/>
      <c r="N68" s="231"/>
      <c r="O68" s="231"/>
      <c r="P68" s="231"/>
      <c r="Q68" s="231"/>
      <c r="R68" s="231"/>
      <c r="S68" s="231"/>
      <c r="T68" s="231"/>
      <c r="U68" s="231"/>
      <c r="V68" s="231"/>
      <c r="W68" s="231"/>
      <c r="X68" s="231"/>
      <c r="Y68" s="231"/>
      <c r="Z68" s="231"/>
      <c r="AA68" s="231"/>
      <c r="AB68" s="231"/>
      <c r="AC68" s="231"/>
      <c r="AD68" s="231"/>
      <c r="AE68" s="231"/>
      <c r="AF68" s="231"/>
      <c r="AG68" s="231"/>
      <c r="AH68" s="231"/>
    </row>
    <row r="69" spans="1:34" s="203" customFormat="1">
      <c r="A69" s="109" t="s">
        <v>83</v>
      </c>
      <c r="B69" s="47"/>
      <c r="C69" s="47"/>
      <c r="D69" s="47"/>
      <c r="E69" s="859"/>
      <c r="F69" s="963"/>
      <c r="G69" s="868"/>
      <c r="H69" s="963"/>
      <c r="I69" s="868"/>
      <c r="J69" s="231"/>
      <c r="K69" s="231"/>
      <c r="L69" s="231"/>
      <c r="M69" s="231"/>
      <c r="N69" s="231"/>
      <c r="O69" s="231"/>
      <c r="P69" s="231"/>
      <c r="Q69" s="231"/>
      <c r="R69" s="231"/>
      <c r="S69" s="231"/>
      <c r="T69" s="231"/>
      <c r="U69" s="231"/>
      <c r="V69" s="231"/>
      <c r="W69" s="231"/>
      <c r="X69" s="231"/>
      <c r="Y69" s="231"/>
      <c r="Z69" s="231"/>
      <c r="AA69" s="231"/>
      <c r="AB69" s="231"/>
      <c r="AC69" s="231"/>
      <c r="AD69" s="231"/>
      <c r="AE69" s="231"/>
      <c r="AF69" s="231"/>
      <c r="AG69" s="231"/>
      <c r="AH69" s="231"/>
    </row>
    <row r="70" spans="1:34" s="203" customFormat="1">
      <c r="A70" s="110" t="s">
        <v>84</v>
      </c>
      <c r="B70" s="47"/>
      <c r="C70" s="47"/>
      <c r="D70" s="47"/>
      <c r="E70" s="860"/>
      <c r="F70" s="964"/>
      <c r="G70" s="869"/>
      <c r="H70" s="964"/>
      <c r="I70" s="869"/>
      <c r="J70" s="231"/>
      <c r="K70" s="231"/>
      <c r="L70" s="231"/>
      <c r="M70" s="231"/>
      <c r="N70" s="231"/>
      <c r="O70" s="231"/>
      <c r="P70" s="231"/>
      <c r="Q70" s="231"/>
      <c r="R70" s="231"/>
      <c r="S70" s="231"/>
      <c r="T70" s="231"/>
      <c r="U70" s="231"/>
      <c r="V70" s="231"/>
      <c r="W70" s="231"/>
      <c r="X70" s="231"/>
      <c r="Y70" s="231"/>
      <c r="Z70" s="231"/>
      <c r="AA70" s="231"/>
      <c r="AB70" s="231"/>
      <c r="AC70" s="231"/>
      <c r="AD70" s="231"/>
      <c r="AE70" s="231"/>
      <c r="AF70" s="231"/>
      <c r="AG70" s="231"/>
      <c r="AH70" s="231"/>
    </row>
    <row r="71" spans="1:34" s="203" customFormat="1">
      <c r="A71" s="111">
        <v>1</v>
      </c>
      <c r="B71" s="47" t="s">
        <v>85</v>
      </c>
      <c r="C71" s="47"/>
      <c r="D71" s="47"/>
      <c r="E71" s="41">
        <v>19110</v>
      </c>
      <c r="F71" s="247">
        <v>20108</v>
      </c>
      <c r="G71" s="112">
        <v>11999</v>
      </c>
      <c r="H71" s="248">
        <v>29016</v>
      </c>
      <c r="I71" s="112">
        <v>19021</v>
      </c>
      <c r="J71" s="231"/>
      <c r="K71" s="231"/>
      <c r="L71" s="231"/>
      <c r="M71" s="231"/>
      <c r="N71" s="231"/>
      <c r="O71" s="231"/>
      <c r="P71" s="231"/>
      <c r="Q71" s="231"/>
      <c r="R71" s="231"/>
      <c r="S71" s="231"/>
      <c r="T71" s="231"/>
      <c r="U71" s="231"/>
      <c r="V71" s="231"/>
      <c r="W71" s="231"/>
      <c r="X71" s="231"/>
      <c r="Y71" s="231"/>
      <c r="Z71" s="231"/>
      <c r="AA71" s="231"/>
      <c r="AB71" s="231"/>
      <c r="AC71" s="231"/>
      <c r="AD71" s="231"/>
      <c r="AE71" s="231"/>
      <c r="AF71" s="231"/>
      <c r="AG71" s="231"/>
      <c r="AH71" s="231"/>
    </row>
    <row r="72" spans="1:34" s="203" customFormat="1">
      <c r="A72" s="111">
        <v>2</v>
      </c>
      <c r="B72" s="47" t="s">
        <v>86</v>
      </c>
      <c r="C72" s="47"/>
      <c r="D72" s="47"/>
      <c r="E72" s="49">
        <v>93619</v>
      </c>
      <c r="F72" s="247">
        <v>97846</v>
      </c>
      <c r="G72" s="113">
        <v>62063</v>
      </c>
      <c r="H72" s="123">
        <v>95591</v>
      </c>
      <c r="I72" s="113">
        <v>61151</v>
      </c>
      <c r="J72" s="231"/>
      <c r="K72" s="231"/>
      <c r="L72" s="231"/>
      <c r="M72" s="231"/>
      <c r="N72" s="231"/>
      <c r="O72" s="231"/>
      <c r="P72" s="231"/>
      <c r="Q72" s="231"/>
      <c r="R72" s="231"/>
      <c r="S72" s="231"/>
      <c r="T72" s="231"/>
      <c r="U72" s="231"/>
      <c r="V72" s="231"/>
      <c r="W72" s="231"/>
      <c r="X72" s="231"/>
      <c r="Y72" s="231"/>
      <c r="Z72" s="231"/>
      <c r="AA72" s="231"/>
      <c r="AB72" s="231"/>
      <c r="AC72" s="231"/>
      <c r="AD72" s="231"/>
      <c r="AE72" s="231"/>
      <c r="AF72" s="231"/>
      <c r="AG72" s="231"/>
      <c r="AH72" s="231"/>
    </row>
    <row r="73" spans="1:34" s="203" customFormat="1">
      <c r="A73" s="111">
        <v>3</v>
      </c>
      <c r="B73" s="47" t="s">
        <v>87</v>
      </c>
      <c r="C73" s="47"/>
      <c r="D73" s="47"/>
      <c r="E73" s="114">
        <v>97083</v>
      </c>
      <c r="F73" s="247">
        <v>96786</v>
      </c>
      <c r="G73" s="113">
        <v>68302</v>
      </c>
      <c r="H73" s="123">
        <v>94555</v>
      </c>
      <c r="I73" s="113">
        <v>65618</v>
      </c>
      <c r="J73" s="231"/>
      <c r="K73" s="231"/>
      <c r="L73" s="231"/>
      <c r="M73" s="231"/>
      <c r="N73" s="231"/>
      <c r="O73" s="231"/>
      <c r="P73" s="231"/>
      <c r="Q73" s="231"/>
      <c r="R73" s="231"/>
      <c r="S73" s="231"/>
      <c r="T73" s="231"/>
      <c r="U73" s="231"/>
      <c r="V73" s="231"/>
      <c r="W73" s="231"/>
      <c r="X73" s="231"/>
      <c r="Y73" s="231"/>
      <c r="Z73" s="231"/>
      <c r="AA73" s="231"/>
      <c r="AB73" s="231"/>
      <c r="AC73" s="231"/>
      <c r="AD73" s="231"/>
      <c r="AE73" s="231"/>
      <c r="AF73" s="231"/>
      <c r="AG73" s="231"/>
      <c r="AH73" s="231"/>
    </row>
    <row r="74" spans="1:34" s="203" customFormat="1">
      <c r="A74" s="111">
        <v>4</v>
      </c>
      <c r="B74" s="47" t="s">
        <v>88</v>
      </c>
      <c r="C74" s="47"/>
      <c r="D74" s="47"/>
      <c r="E74" s="114">
        <v>36873</v>
      </c>
      <c r="F74" s="247">
        <v>40062</v>
      </c>
      <c r="G74" s="113">
        <v>3447</v>
      </c>
      <c r="H74" s="123">
        <v>35530</v>
      </c>
      <c r="I74" s="113">
        <v>3033</v>
      </c>
      <c r="J74" s="231"/>
      <c r="K74" s="231"/>
      <c r="L74" s="231"/>
      <c r="M74" s="231"/>
      <c r="N74" s="231"/>
      <c r="O74" s="231"/>
      <c r="P74" s="231"/>
      <c r="Q74" s="231"/>
      <c r="R74" s="231"/>
      <c r="S74" s="231"/>
      <c r="T74" s="231"/>
      <c r="U74" s="231"/>
      <c r="V74" s="231"/>
      <c r="W74" s="231"/>
      <c r="X74" s="231"/>
      <c r="Y74" s="231"/>
      <c r="Z74" s="231"/>
      <c r="AA74" s="231"/>
      <c r="AB74" s="231"/>
      <c r="AC74" s="231"/>
      <c r="AD74" s="231"/>
      <c r="AE74" s="231"/>
      <c r="AF74" s="231"/>
      <c r="AG74" s="231"/>
      <c r="AH74" s="231"/>
    </row>
    <row r="75" spans="1:34" s="203" customFormat="1">
      <c r="A75" s="111">
        <v>5</v>
      </c>
      <c r="B75" s="47" t="s">
        <v>89</v>
      </c>
      <c r="C75" s="47" t="s">
        <v>90</v>
      </c>
      <c r="D75" s="47"/>
      <c r="E75" s="114">
        <v>3929</v>
      </c>
      <c r="F75" s="247">
        <v>4002</v>
      </c>
      <c r="G75" s="113">
        <v>0</v>
      </c>
      <c r="H75" s="123">
        <v>3983</v>
      </c>
      <c r="I75" s="113">
        <v>0</v>
      </c>
      <c r="J75" s="231"/>
      <c r="K75" s="231"/>
      <c r="L75" s="231"/>
      <c r="M75" s="231"/>
      <c r="N75" s="231"/>
      <c r="O75" s="231"/>
      <c r="P75" s="231"/>
      <c r="Q75" s="231"/>
      <c r="R75" s="231"/>
      <c r="S75" s="231"/>
      <c r="T75" s="231"/>
      <c r="U75" s="231"/>
      <c r="V75" s="231"/>
      <c r="W75" s="231"/>
      <c r="X75" s="231"/>
      <c r="Y75" s="231"/>
      <c r="Z75" s="231"/>
      <c r="AA75" s="231"/>
      <c r="AB75" s="231"/>
      <c r="AC75" s="231"/>
      <c r="AD75" s="231"/>
      <c r="AE75" s="231"/>
      <c r="AF75" s="231"/>
      <c r="AG75" s="231"/>
      <c r="AH75" s="231"/>
    </row>
    <row r="76" spans="1:34" s="203" customFormat="1">
      <c r="A76" s="665"/>
      <c r="B76" s="667"/>
      <c r="C76" s="47" t="s">
        <v>91</v>
      </c>
      <c r="D76" s="47"/>
      <c r="E76" s="114">
        <v>0</v>
      </c>
      <c r="F76" s="247">
        <v>0</v>
      </c>
      <c r="G76" s="115">
        <v>0</v>
      </c>
      <c r="H76" s="249">
        <v>0</v>
      </c>
      <c r="I76" s="115">
        <v>0</v>
      </c>
      <c r="J76" s="231"/>
      <c r="K76" s="231"/>
      <c r="L76" s="231"/>
      <c r="M76" s="231"/>
      <c r="N76" s="231"/>
      <c r="O76" s="231"/>
      <c r="P76" s="231"/>
      <c r="Q76" s="231"/>
      <c r="R76" s="231"/>
      <c r="S76" s="231"/>
      <c r="T76" s="231"/>
      <c r="U76" s="231"/>
      <c r="V76" s="231"/>
      <c r="W76" s="231"/>
      <c r="X76" s="231"/>
      <c r="Y76" s="231"/>
      <c r="Z76" s="231"/>
      <c r="AA76" s="231"/>
      <c r="AB76" s="231"/>
      <c r="AC76" s="231"/>
      <c r="AD76" s="231"/>
      <c r="AE76" s="231"/>
      <c r="AF76" s="231"/>
      <c r="AG76" s="231"/>
      <c r="AH76" s="231"/>
    </row>
    <row r="77" spans="1:34" s="203" customFormat="1">
      <c r="A77" s="111">
        <v>6</v>
      </c>
      <c r="B77" s="116" t="s">
        <v>92</v>
      </c>
      <c r="C77" s="116"/>
      <c r="D77" s="47"/>
      <c r="E77" s="80">
        <v>250614</v>
      </c>
      <c r="F77" s="250">
        <f>SUM(F71:F76)</f>
        <v>258804</v>
      </c>
      <c r="G77" s="251">
        <f>SUM(G71:G76)</f>
        <v>145811</v>
      </c>
      <c r="H77" s="252">
        <f>SUM(H71:H76)</f>
        <v>258675</v>
      </c>
      <c r="I77" s="251">
        <f>SUM(I71:I76)</f>
        <v>148823</v>
      </c>
      <c r="J77" s="231"/>
      <c r="K77" s="231"/>
      <c r="L77" s="231"/>
      <c r="M77" s="231"/>
      <c r="N77" s="231"/>
      <c r="O77" s="231"/>
      <c r="P77" s="231"/>
      <c r="Q77" s="231"/>
      <c r="R77" s="231"/>
      <c r="S77" s="231"/>
      <c r="T77" s="231"/>
      <c r="U77" s="231"/>
      <c r="V77" s="231"/>
      <c r="W77" s="231"/>
      <c r="X77" s="231"/>
      <c r="Y77" s="231"/>
      <c r="Z77" s="231"/>
      <c r="AA77" s="231"/>
      <c r="AB77" s="231"/>
      <c r="AC77" s="231"/>
      <c r="AD77" s="231"/>
      <c r="AE77" s="231"/>
      <c r="AF77" s="231"/>
      <c r="AG77" s="231"/>
      <c r="AH77" s="231"/>
    </row>
    <row r="78" spans="1:34" s="203" customFormat="1">
      <c r="A78" s="665"/>
      <c r="B78" s="47"/>
      <c r="C78" s="47"/>
      <c r="D78" s="47"/>
      <c r="E78" s="117"/>
      <c r="F78" s="118"/>
      <c r="G78" s="118"/>
      <c r="H78" s="118"/>
      <c r="I78" s="118"/>
      <c r="J78" s="231"/>
      <c r="K78" s="231"/>
      <c r="L78" s="231"/>
      <c r="M78" s="231"/>
      <c r="N78" s="231"/>
      <c r="O78" s="231"/>
      <c r="P78" s="231"/>
      <c r="Q78" s="231"/>
      <c r="R78" s="231"/>
      <c r="S78" s="231"/>
      <c r="T78" s="231"/>
      <c r="U78" s="231"/>
      <c r="V78" s="231"/>
      <c r="W78" s="231"/>
      <c r="X78" s="231"/>
      <c r="Y78" s="231"/>
      <c r="Z78" s="231"/>
      <c r="AA78" s="231"/>
      <c r="AB78" s="231"/>
      <c r="AC78" s="231"/>
      <c r="AD78" s="231"/>
      <c r="AE78" s="231"/>
      <c r="AF78" s="231"/>
      <c r="AG78" s="231"/>
      <c r="AH78" s="231"/>
    </row>
    <row r="79" spans="1:34" s="203" customFormat="1">
      <c r="A79" s="119" t="s">
        <v>93</v>
      </c>
      <c r="B79" s="116"/>
      <c r="C79" s="116"/>
      <c r="D79" s="116"/>
      <c r="E79" s="117"/>
      <c r="F79" s="118"/>
      <c r="G79" s="118"/>
      <c r="H79" s="118"/>
      <c r="I79" s="118"/>
      <c r="J79" s="231"/>
      <c r="K79" s="231"/>
      <c r="L79" s="231"/>
      <c r="M79" s="231"/>
      <c r="N79" s="231"/>
      <c r="O79" s="231"/>
      <c r="P79" s="231"/>
      <c r="Q79" s="231"/>
      <c r="R79" s="231"/>
      <c r="S79" s="231"/>
      <c r="T79" s="231"/>
      <c r="U79" s="231"/>
      <c r="V79" s="231"/>
      <c r="W79" s="231"/>
      <c r="X79" s="231"/>
      <c r="Y79" s="231"/>
      <c r="Z79" s="231"/>
      <c r="AA79" s="231"/>
      <c r="AB79" s="231"/>
      <c r="AC79" s="231"/>
      <c r="AD79" s="231"/>
      <c r="AE79" s="231"/>
      <c r="AF79" s="231"/>
      <c r="AG79" s="231"/>
      <c r="AH79" s="231"/>
    </row>
    <row r="80" spans="1:34" s="203" customFormat="1">
      <c r="A80" s="120">
        <v>7</v>
      </c>
      <c r="B80" s="47" t="s">
        <v>94</v>
      </c>
      <c r="C80" s="47"/>
      <c r="D80" s="47"/>
      <c r="E80" s="41">
        <v>1166</v>
      </c>
      <c r="F80" s="253">
        <v>1317</v>
      </c>
      <c r="G80" s="112">
        <v>0</v>
      </c>
      <c r="H80" s="248">
        <v>1284</v>
      </c>
      <c r="I80" s="112">
        <v>0</v>
      </c>
      <c r="J80" s="231"/>
      <c r="K80" s="231"/>
      <c r="L80" s="231"/>
      <c r="M80" s="231"/>
      <c r="N80" s="231"/>
      <c r="O80" s="231"/>
      <c r="P80" s="231"/>
      <c r="Q80" s="231"/>
      <c r="R80" s="231"/>
      <c r="S80" s="231"/>
      <c r="T80" s="231"/>
      <c r="U80" s="231"/>
      <c r="V80" s="231"/>
      <c r="W80" s="231"/>
      <c r="X80" s="231"/>
      <c r="Y80" s="231"/>
      <c r="Z80" s="231"/>
      <c r="AA80" s="231"/>
      <c r="AB80" s="231"/>
      <c r="AC80" s="231"/>
      <c r="AD80" s="231"/>
      <c r="AE80" s="231"/>
      <c r="AF80" s="231"/>
      <c r="AG80" s="231"/>
      <c r="AH80" s="231"/>
    </row>
    <row r="81" spans="1:34" s="203" customFormat="1">
      <c r="A81" s="120">
        <v>8</v>
      </c>
      <c r="B81" s="47" t="s">
        <v>95</v>
      </c>
      <c r="C81" s="47"/>
      <c r="D81" s="47"/>
      <c r="E81" s="49">
        <v>53033</v>
      </c>
      <c r="F81" s="247">
        <v>58263</v>
      </c>
      <c r="G81" s="113">
        <v>53027</v>
      </c>
      <c r="H81" s="123">
        <v>54988</v>
      </c>
      <c r="I81" s="113">
        <v>50047</v>
      </c>
      <c r="J81" s="231"/>
      <c r="K81" s="231"/>
      <c r="L81" s="231"/>
      <c r="M81" s="231"/>
      <c r="N81" s="231"/>
      <c r="O81" s="231"/>
      <c r="P81" s="231"/>
      <c r="Q81" s="231"/>
      <c r="R81" s="231"/>
      <c r="S81" s="231"/>
      <c r="T81" s="231"/>
      <c r="U81" s="231"/>
      <c r="V81" s="231"/>
      <c r="W81" s="231"/>
      <c r="X81" s="231"/>
      <c r="Y81" s="231"/>
      <c r="Z81" s="231"/>
      <c r="AA81" s="231"/>
      <c r="AB81" s="231"/>
      <c r="AC81" s="231"/>
      <c r="AD81" s="231"/>
      <c r="AE81" s="231"/>
      <c r="AF81" s="231"/>
      <c r="AG81" s="231"/>
      <c r="AH81" s="231"/>
    </row>
    <row r="82" spans="1:34" s="203" customFormat="1">
      <c r="A82" s="120">
        <v>9</v>
      </c>
      <c r="B82" s="47" t="s">
        <v>96</v>
      </c>
      <c r="C82" s="47"/>
      <c r="D82" s="47"/>
      <c r="E82" s="49">
        <v>57594</v>
      </c>
      <c r="F82" s="247">
        <v>61804</v>
      </c>
      <c r="G82" s="113">
        <v>60118</v>
      </c>
      <c r="H82" s="123">
        <v>58326</v>
      </c>
      <c r="I82" s="113">
        <v>56734</v>
      </c>
      <c r="J82" s="231"/>
      <c r="K82" s="231"/>
      <c r="L82" s="231"/>
      <c r="M82" s="231"/>
      <c r="N82" s="231"/>
      <c r="O82" s="231"/>
      <c r="P82" s="231"/>
      <c r="Q82" s="231"/>
      <c r="R82" s="231"/>
      <c r="S82" s="231"/>
      <c r="T82" s="231"/>
      <c r="U82" s="231"/>
      <c r="V82" s="231"/>
      <c r="W82" s="231"/>
      <c r="X82" s="231"/>
      <c r="Y82" s="231"/>
      <c r="Z82" s="231"/>
      <c r="AA82" s="231"/>
      <c r="AB82" s="231"/>
      <c r="AC82" s="231"/>
      <c r="AD82" s="231"/>
      <c r="AE82" s="231"/>
      <c r="AF82" s="231"/>
      <c r="AG82" s="231"/>
      <c r="AH82" s="231"/>
    </row>
    <row r="83" spans="1:34" s="203" customFormat="1">
      <c r="A83" s="120">
        <v>10</v>
      </c>
      <c r="B83" s="90" t="s">
        <v>97</v>
      </c>
      <c r="C83" s="47"/>
      <c r="D83" s="47"/>
      <c r="E83" s="49">
        <v>40046</v>
      </c>
      <c r="F83" s="247">
        <v>42524</v>
      </c>
      <c r="G83" s="113">
        <v>3854</v>
      </c>
      <c r="H83" s="123">
        <v>37100</v>
      </c>
      <c r="I83" s="113">
        <v>3362</v>
      </c>
      <c r="J83" s="231"/>
      <c r="K83" s="231"/>
      <c r="L83" s="231"/>
      <c r="M83" s="231"/>
      <c r="N83" s="231"/>
      <c r="O83" s="231"/>
      <c r="P83" s="231"/>
      <c r="Q83" s="231"/>
      <c r="R83" s="231"/>
      <c r="S83" s="231"/>
      <c r="T83" s="231"/>
      <c r="U83" s="231"/>
      <c r="V83" s="231"/>
      <c r="W83" s="231"/>
      <c r="X83" s="231"/>
      <c r="Y83" s="231"/>
      <c r="Z83" s="231"/>
      <c r="AA83" s="231"/>
      <c r="AB83" s="231"/>
      <c r="AC83" s="231"/>
      <c r="AD83" s="231"/>
      <c r="AE83" s="231"/>
      <c r="AF83" s="231"/>
      <c r="AG83" s="231"/>
      <c r="AH83" s="231"/>
    </row>
    <row r="84" spans="1:34" s="203" customFormat="1">
      <c r="A84" s="120">
        <v>11</v>
      </c>
      <c r="B84" s="90" t="s">
        <v>98</v>
      </c>
      <c r="C84" s="47"/>
      <c r="D84" s="47"/>
      <c r="E84" s="49">
        <v>12428</v>
      </c>
      <c r="F84" s="247">
        <v>10620</v>
      </c>
      <c r="G84" s="113">
        <v>0</v>
      </c>
      <c r="H84" s="123">
        <v>9051</v>
      </c>
      <c r="I84" s="113">
        <v>0</v>
      </c>
      <c r="J84" s="231"/>
      <c r="K84" s="231"/>
      <c r="L84" s="231"/>
      <c r="M84" s="231"/>
      <c r="N84" s="231"/>
      <c r="O84" s="231"/>
      <c r="P84" s="231"/>
      <c r="Q84" s="231"/>
      <c r="R84" s="231"/>
      <c r="S84" s="231"/>
      <c r="T84" s="231"/>
      <c r="U84" s="231"/>
      <c r="V84" s="231"/>
      <c r="W84" s="231"/>
      <c r="X84" s="231"/>
      <c r="Y84" s="231"/>
      <c r="Z84" s="231"/>
      <c r="AA84" s="231"/>
      <c r="AB84" s="231"/>
      <c r="AC84" s="231"/>
      <c r="AD84" s="231"/>
      <c r="AE84" s="231"/>
      <c r="AF84" s="231"/>
      <c r="AG84" s="231"/>
      <c r="AH84" s="231"/>
    </row>
    <row r="85" spans="1:34" s="203" customFormat="1">
      <c r="A85" s="120">
        <v>12</v>
      </c>
      <c r="B85" s="47" t="s">
        <v>99</v>
      </c>
      <c r="C85" s="47"/>
      <c r="D85" s="47"/>
      <c r="E85" s="49">
        <v>7316</v>
      </c>
      <c r="F85" s="247">
        <v>7534</v>
      </c>
      <c r="G85" s="113">
        <v>0</v>
      </c>
      <c r="H85" s="123">
        <v>7484</v>
      </c>
      <c r="I85" s="113">
        <v>0</v>
      </c>
      <c r="J85" s="231"/>
      <c r="K85" s="231"/>
      <c r="L85" s="231"/>
      <c r="M85" s="231"/>
      <c r="N85" s="231"/>
      <c r="O85" s="231"/>
      <c r="P85" s="231"/>
      <c r="Q85" s="231"/>
      <c r="R85" s="231"/>
      <c r="S85" s="231"/>
      <c r="T85" s="231"/>
      <c r="U85" s="231"/>
      <c r="V85" s="231"/>
      <c r="W85" s="231"/>
      <c r="X85" s="231"/>
      <c r="Y85" s="231"/>
      <c r="Z85" s="231"/>
      <c r="AA85" s="231"/>
      <c r="AB85" s="231"/>
      <c r="AC85" s="231"/>
      <c r="AD85" s="231"/>
      <c r="AE85" s="231"/>
      <c r="AF85" s="231"/>
      <c r="AG85" s="231"/>
      <c r="AH85" s="231"/>
    </row>
    <row r="86" spans="1:34" s="203" customFormat="1">
      <c r="A86" s="120">
        <v>13</v>
      </c>
      <c r="B86" s="47" t="s">
        <v>100</v>
      </c>
      <c r="C86" s="47"/>
      <c r="D86" s="47"/>
      <c r="E86" s="49">
        <v>58083</v>
      </c>
      <c r="F86" s="247">
        <v>63830</v>
      </c>
      <c r="G86" s="113">
        <v>18215</v>
      </c>
      <c r="H86" s="123">
        <v>62243</v>
      </c>
      <c r="I86" s="113">
        <v>17762</v>
      </c>
      <c r="J86" s="231"/>
      <c r="K86" s="231"/>
      <c r="L86" s="231"/>
      <c r="M86" s="231"/>
      <c r="N86" s="231"/>
      <c r="O86" s="231"/>
      <c r="P86" s="231"/>
      <c r="Q86" s="231"/>
      <c r="R86" s="231"/>
      <c r="S86" s="231"/>
      <c r="T86" s="231"/>
      <c r="U86" s="231"/>
      <c r="V86" s="231"/>
      <c r="W86" s="231"/>
      <c r="X86" s="231"/>
      <c r="Y86" s="231"/>
      <c r="Z86" s="231"/>
      <c r="AA86" s="231"/>
      <c r="AB86" s="231"/>
      <c r="AC86" s="231"/>
      <c r="AD86" s="231"/>
      <c r="AE86" s="231"/>
      <c r="AF86" s="231"/>
      <c r="AG86" s="231"/>
      <c r="AH86" s="231"/>
    </row>
    <row r="87" spans="1:34" s="203" customFormat="1">
      <c r="A87" s="120">
        <v>14</v>
      </c>
      <c r="B87" s="47" t="s">
        <v>101</v>
      </c>
      <c r="C87" s="47"/>
      <c r="D87" s="47"/>
      <c r="E87" s="49">
        <v>1013</v>
      </c>
      <c r="F87" s="247">
        <v>998</v>
      </c>
      <c r="G87" s="113">
        <v>0</v>
      </c>
      <c r="H87" s="123">
        <v>998</v>
      </c>
      <c r="I87" s="113">
        <v>0</v>
      </c>
      <c r="J87" s="231"/>
      <c r="K87" s="231"/>
      <c r="L87" s="231"/>
      <c r="M87" s="231"/>
      <c r="N87" s="231"/>
      <c r="O87" s="231"/>
      <c r="P87" s="231"/>
      <c r="Q87" s="231"/>
      <c r="R87" s="231"/>
      <c r="S87" s="231"/>
      <c r="T87" s="231"/>
      <c r="U87" s="231"/>
      <c r="V87" s="231"/>
      <c r="W87" s="231"/>
      <c r="X87" s="231"/>
      <c r="Y87" s="231"/>
      <c r="Z87" s="231"/>
      <c r="AA87" s="231"/>
      <c r="AB87" s="231"/>
      <c r="AC87" s="231"/>
      <c r="AD87" s="231"/>
      <c r="AE87" s="231"/>
      <c r="AF87" s="231"/>
      <c r="AG87" s="231"/>
      <c r="AH87" s="231"/>
    </row>
    <row r="88" spans="1:34" s="203" customFormat="1">
      <c r="A88" s="124">
        <v>15</v>
      </c>
      <c r="B88" s="125" t="s">
        <v>102</v>
      </c>
      <c r="C88" s="54"/>
      <c r="D88" s="54"/>
      <c r="E88" s="56">
        <v>0</v>
      </c>
      <c r="F88" s="254">
        <v>0</v>
      </c>
      <c r="G88" s="127">
        <v>0</v>
      </c>
      <c r="H88" s="255">
        <v>0</v>
      </c>
      <c r="I88" s="127">
        <v>0</v>
      </c>
      <c r="J88" s="231"/>
      <c r="K88" s="231"/>
      <c r="L88" s="231"/>
      <c r="M88" s="231"/>
      <c r="N88" s="231"/>
      <c r="O88" s="231"/>
      <c r="P88" s="231"/>
      <c r="Q88" s="231"/>
      <c r="R88" s="231"/>
      <c r="S88" s="231"/>
      <c r="T88" s="231"/>
      <c r="U88" s="231"/>
      <c r="V88" s="231"/>
      <c r="W88" s="231"/>
      <c r="X88" s="231"/>
      <c r="Y88" s="231"/>
      <c r="Z88" s="231"/>
      <c r="AA88" s="231"/>
      <c r="AB88" s="231"/>
      <c r="AC88" s="231"/>
      <c r="AD88" s="231"/>
      <c r="AE88" s="231"/>
      <c r="AF88" s="231"/>
      <c r="AG88" s="231"/>
      <c r="AH88" s="231"/>
    </row>
    <row r="89" spans="1:34" s="203" customFormat="1">
      <c r="A89" s="128"/>
      <c r="B89" s="129"/>
      <c r="C89" s="129"/>
      <c r="D89" s="129"/>
      <c r="E89" s="15"/>
      <c r="F89" s="130"/>
      <c r="G89" s="29"/>
      <c r="H89" s="207"/>
      <c r="I89" s="29"/>
      <c r="J89" s="231"/>
      <c r="K89" s="231"/>
      <c r="L89" s="231"/>
      <c r="M89" s="231"/>
      <c r="N89" s="231"/>
      <c r="O89" s="231"/>
      <c r="P89" s="231"/>
      <c r="Q89" s="231"/>
      <c r="R89" s="231"/>
      <c r="S89" s="231"/>
      <c r="T89" s="231"/>
      <c r="U89" s="231"/>
      <c r="V89" s="231"/>
      <c r="W89" s="231"/>
      <c r="X89" s="231"/>
      <c r="Y89" s="231"/>
      <c r="Z89" s="231"/>
      <c r="AA89" s="231"/>
      <c r="AB89" s="231"/>
      <c r="AC89" s="231"/>
      <c r="AD89" s="231"/>
      <c r="AE89" s="231"/>
      <c r="AF89" s="231"/>
      <c r="AG89" s="231"/>
      <c r="AH89" s="231"/>
    </row>
    <row r="90" spans="1:34" s="203" customFormat="1">
      <c r="A90" s="128"/>
      <c r="B90" s="129"/>
      <c r="C90" s="129"/>
      <c r="D90" s="129"/>
      <c r="E90" s="105"/>
      <c r="F90" s="130"/>
      <c r="G90" s="29"/>
      <c r="H90" s="131" t="s">
        <v>27</v>
      </c>
      <c r="I90" s="29"/>
      <c r="J90" s="231"/>
      <c r="K90" s="231"/>
      <c r="L90" s="231"/>
      <c r="M90" s="231"/>
      <c r="N90" s="231"/>
      <c r="O90" s="231"/>
      <c r="P90" s="231"/>
      <c r="Q90" s="231"/>
      <c r="R90" s="231"/>
      <c r="S90" s="231"/>
      <c r="T90" s="231"/>
      <c r="U90" s="231"/>
      <c r="V90" s="231"/>
      <c r="W90" s="231"/>
      <c r="X90" s="231"/>
      <c r="Y90" s="231"/>
      <c r="Z90" s="231"/>
      <c r="AA90" s="231"/>
      <c r="AB90" s="231"/>
      <c r="AC90" s="231"/>
      <c r="AD90" s="231"/>
      <c r="AE90" s="231"/>
      <c r="AF90" s="231"/>
      <c r="AG90" s="231"/>
      <c r="AH90" s="231"/>
    </row>
    <row r="91" spans="1:34" s="203" customFormat="1">
      <c r="A91" s="106" t="s">
        <v>17</v>
      </c>
      <c r="B91" s="107"/>
      <c r="C91" s="107"/>
      <c r="D91" s="107"/>
      <c r="E91" s="856" t="s">
        <v>421</v>
      </c>
      <c r="F91" s="856" t="s">
        <v>402</v>
      </c>
      <c r="G91" s="257"/>
      <c r="H91" s="856" t="s">
        <v>403</v>
      </c>
      <c r="I91" s="29"/>
      <c r="J91" s="231"/>
      <c r="K91" s="231"/>
      <c r="L91" s="231"/>
      <c r="M91" s="231"/>
      <c r="N91" s="231"/>
      <c r="O91" s="231"/>
      <c r="P91" s="231"/>
      <c r="Q91" s="231"/>
      <c r="R91" s="231"/>
      <c r="S91" s="231"/>
      <c r="T91" s="231"/>
      <c r="U91" s="231"/>
      <c r="V91" s="231"/>
      <c r="W91" s="231"/>
      <c r="X91" s="231"/>
      <c r="Y91" s="231"/>
      <c r="Z91" s="231"/>
      <c r="AA91" s="231"/>
      <c r="AB91" s="231"/>
      <c r="AC91" s="231"/>
      <c r="AD91" s="231"/>
      <c r="AE91" s="231"/>
      <c r="AF91" s="231"/>
      <c r="AG91" s="231"/>
      <c r="AH91" s="231"/>
    </row>
    <row r="92" spans="1:34" s="203" customFormat="1" ht="12.75" customHeight="1">
      <c r="A92" s="109"/>
      <c r="B92" s="132"/>
      <c r="C92" s="132"/>
      <c r="D92" s="132"/>
      <c r="E92" s="859"/>
      <c r="F92" s="859"/>
      <c r="G92" s="29"/>
      <c r="H92" s="859"/>
      <c r="I92" s="29"/>
      <c r="J92" s="231"/>
      <c r="K92" s="231"/>
      <c r="L92" s="231"/>
      <c r="M92" s="231"/>
      <c r="N92" s="231"/>
      <c r="O92" s="231"/>
      <c r="P92" s="231"/>
      <c r="Q92" s="231"/>
      <c r="R92" s="231"/>
      <c r="S92" s="231"/>
      <c r="T92" s="231"/>
      <c r="U92" s="231"/>
      <c r="V92" s="231"/>
      <c r="W92" s="231"/>
      <c r="X92" s="231"/>
      <c r="Y92" s="231"/>
      <c r="Z92" s="231"/>
      <c r="AA92" s="231"/>
      <c r="AB92" s="231"/>
      <c r="AC92" s="231"/>
      <c r="AD92" s="231"/>
      <c r="AE92" s="231"/>
      <c r="AF92" s="231"/>
      <c r="AG92" s="231"/>
      <c r="AH92" s="231"/>
    </row>
    <row r="93" spans="1:34" s="203" customFormat="1">
      <c r="A93" s="109" t="s">
        <v>103</v>
      </c>
      <c r="B93" s="132"/>
      <c r="C93" s="132"/>
      <c r="D93" s="132"/>
      <c r="E93" s="859"/>
      <c r="F93" s="859"/>
      <c r="G93" s="29"/>
      <c r="H93" s="859"/>
      <c r="I93" s="29"/>
      <c r="J93" s="231"/>
      <c r="K93" s="231"/>
      <c r="L93" s="231"/>
      <c r="M93" s="231"/>
      <c r="N93" s="231"/>
      <c r="O93" s="231"/>
      <c r="P93" s="231"/>
      <c r="Q93" s="231"/>
      <c r="R93" s="231"/>
      <c r="S93" s="231"/>
      <c r="T93" s="231"/>
      <c r="U93" s="231"/>
      <c r="V93" s="231"/>
      <c r="W93" s="231"/>
      <c r="X93" s="231"/>
      <c r="Y93" s="231"/>
      <c r="Z93" s="231"/>
      <c r="AA93" s="231"/>
      <c r="AB93" s="231"/>
      <c r="AC93" s="231"/>
      <c r="AD93" s="231"/>
      <c r="AE93" s="231"/>
      <c r="AF93" s="231"/>
      <c r="AG93" s="231"/>
      <c r="AH93" s="231"/>
    </row>
    <row r="94" spans="1:34" s="203" customFormat="1">
      <c r="A94" s="109" t="s">
        <v>83</v>
      </c>
      <c r="B94" s="132"/>
      <c r="C94" s="132"/>
      <c r="D94" s="132"/>
      <c r="E94" s="859"/>
      <c r="F94" s="859"/>
      <c r="G94" s="130"/>
      <c r="H94" s="859"/>
      <c r="I94" s="29"/>
      <c r="J94" s="231"/>
      <c r="K94" s="231"/>
      <c r="L94" s="231"/>
      <c r="M94" s="231"/>
      <c r="N94" s="231"/>
      <c r="O94" s="231"/>
      <c r="P94" s="231"/>
      <c r="Q94" s="231"/>
      <c r="R94" s="231"/>
      <c r="S94" s="231"/>
      <c r="T94" s="231"/>
      <c r="U94" s="231"/>
      <c r="V94" s="231"/>
      <c r="W94" s="231"/>
      <c r="X94" s="231"/>
      <c r="Y94" s="231"/>
      <c r="Z94" s="231"/>
      <c r="AA94" s="231"/>
      <c r="AB94" s="231"/>
      <c r="AC94" s="231"/>
      <c r="AD94" s="231"/>
      <c r="AE94" s="231"/>
      <c r="AF94" s="231"/>
      <c r="AG94" s="231"/>
      <c r="AH94" s="231"/>
    </row>
    <row r="95" spans="1:34" s="203" customFormat="1">
      <c r="A95" s="110" t="s">
        <v>84</v>
      </c>
      <c r="B95" s="132"/>
      <c r="C95" s="132"/>
      <c r="D95" s="132"/>
      <c r="E95" s="860"/>
      <c r="F95" s="860"/>
      <c r="G95" s="130"/>
      <c r="H95" s="860"/>
      <c r="I95" s="130"/>
      <c r="J95" s="231"/>
      <c r="K95" s="231"/>
      <c r="L95" s="231"/>
      <c r="M95" s="231"/>
      <c r="N95" s="231"/>
      <c r="O95" s="231"/>
      <c r="P95" s="231"/>
      <c r="Q95" s="231"/>
      <c r="R95" s="231"/>
      <c r="S95" s="231"/>
      <c r="T95" s="231"/>
      <c r="U95" s="231"/>
      <c r="V95" s="231"/>
      <c r="W95" s="231"/>
      <c r="X95" s="231"/>
      <c r="Y95" s="231"/>
      <c r="Z95" s="231"/>
      <c r="AA95" s="231"/>
      <c r="AB95" s="231"/>
      <c r="AC95" s="231"/>
      <c r="AD95" s="231"/>
      <c r="AE95" s="231"/>
      <c r="AF95" s="231"/>
      <c r="AG95" s="231"/>
      <c r="AH95" s="231"/>
    </row>
    <row r="96" spans="1:34" s="203" customFormat="1">
      <c r="A96" s="120">
        <v>1</v>
      </c>
      <c r="B96" s="47" t="s">
        <v>104</v>
      </c>
      <c r="C96" s="47"/>
      <c r="D96" s="47"/>
      <c r="E96" s="41">
        <v>634</v>
      </c>
      <c r="F96" s="52">
        <v>568</v>
      </c>
      <c r="G96" s="118"/>
      <c r="H96" s="133">
        <v>566</v>
      </c>
      <c r="I96" s="139"/>
      <c r="J96" s="231"/>
      <c r="K96" s="231"/>
      <c r="L96" s="231"/>
      <c r="M96" s="231"/>
      <c r="N96" s="231"/>
      <c r="O96" s="231"/>
      <c r="P96" s="231"/>
      <c r="Q96" s="231"/>
      <c r="R96" s="231"/>
      <c r="S96" s="231"/>
      <c r="T96" s="231"/>
      <c r="U96" s="231"/>
      <c r="V96" s="231"/>
      <c r="W96" s="231"/>
      <c r="X96" s="231"/>
      <c r="Y96" s="231"/>
      <c r="Z96" s="231"/>
      <c r="AA96" s="231"/>
      <c r="AB96" s="231"/>
      <c r="AC96" s="231"/>
      <c r="AD96" s="231"/>
      <c r="AE96" s="231"/>
      <c r="AF96" s="231"/>
      <c r="AG96" s="231"/>
      <c r="AH96" s="231"/>
    </row>
    <row r="97" spans="1:34" s="203" customFormat="1">
      <c r="A97" s="120">
        <v>2</v>
      </c>
      <c r="B97" s="47" t="s">
        <v>105</v>
      </c>
      <c r="C97" s="47"/>
      <c r="D97" s="47"/>
      <c r="E97" s="49">
        <v>69</v>
      </c>
      <c r="F97" s="52">
        <v>60</v>
      </c>
      <c r="G97" s="118"/>
      <c r="H97" s="122">
        <v>60</v>
      </c>
      <c r="I97" s="139"/>
      <c r="J97" s="231"/>
      <c r="K97" s="231"/>
      <c r="L97" s="231"/>
      <c r="M97" s="231"/>
      <c r="N97" s="231"/>
      <c r="O97" s="231"/>
      <c r="P97" s="231"/>
      <c r="Q97" s="231"/>
      <c r="R97" s="231"/>
      <c r="S97" s="231"/>
      <c r="T97" s="231"/>
      <c r="U97" s="231"/>
      <c r="V97" s="231"/>
      <c r="W97" s="231"/>
      <c r="X97" s="231"/>
      <c r="Y97" s="231"/>
      <c r="Z97" s="231"/>
      <c r="AA97" s="231"/>
      <c r="AB97" s="231"/>
      <c r="AC97" s="231"/>
      <c r="AD97" s="231"/>
      <c r="AE97" s="231"/>
      <c r="AF97" s="231"/>
      <c r="AG97" s="231"/>
      <c r="AH97" s="231"/>
    </row>
    <row r="98" spans="1:34" s="203" customFormat="1">
      <c r="A98" s="120">
        <v>3</v>
      </c>
      <c r="B98" s="47" t="s">
        <v>106</v>
      </c>
      <c r="C98" s="47"/>
      <c r="D98" s="47"/>
      <c r="E98" s="114">
        <v>37231</v>
      </c>
      <c r="F98" s="50">
        <f>F115</f>
        <v>41410</v>
      </c>
      <c r="G98" s="118"/>
      <c r="H98" s="50">
        <f>H115</f>
        <v>40714</v>
      </c>
      <c r="I98" s="139"/>
      <c r="J98" s="231"/>
      <c r="K98" s="231"/>
      <c r="L98" s="231"/>
      <c r="M98" s="231"/>
      <c r="N98" s="231"/>
      <c r="O98" s="231"/>
      <c r="P98" s="231"/>
      <c r="Q98" s="231"/>
      <c r="R98" s="231"/>
      <c r="S98" s="231"/>
      <c r="T98" s="231"/>
      <c r="U98" s="231"/>
      <c r="V98" s="231"/>
      <c r="W98" s="231"/>
      <c r="X98" s="231"/>
      <c r="Y98" s="231"/>
      <c r="Z98" s="231"/>
      <c r="AA98" s="231"/>
      <c r="AB98" s="231"/>
      <c r="AC98" s="231"/>
      <c r="AD98" s="231"/>
      <c r="AE98" s="231"/>
      <c r="AF98" s="231"/>
      <c r="AG98" s="231"/>
      <c r="AH98" s="231"/>
    </row>
    <row r="99" spans="1:34" s="203" customFormat="1">
      <c r="A99" s="120">
        <v>4</v>
      </c>
      <c r="B99" s="47" t="s">
        <v>107</v>
      </c>
      <c r="C99" s="47"/>
      <c r="D99" s="47"/>
      <c r="E99" s="114">
        <v>64898</v>
      </c>
      <c r="F99" s="50">
        <f>F125</f>
        <v>60248</v>
      </c>
      <c r="G99" s="118"/>
      <c r="H99" s="50">
        <f>H125</f>
        <v>63016</v>
      </c>
      <c r="I99" s="139"/>
      <c r="J99" s="231"/>
      <c r="K99" s="231"/>
      <c r="L99" s="231"/>
      <c r="M99" s="231"/>
      <c r="N99" s="231"/>
      <c r="O99" s="231"/>
      <c r="P99" s="231"/>
      <c r="Q99" s="231"/>
      <c r="R99" s="231"/>
      <c r="S99" s="231"/>
      <c r="T99" s="231"/>
      <c r="U99" s="231"/>
      <c r="V99" s="231"/>
      <c r="W99" s="231"/>
      <c r="X99" s="231"/>
      <c r="Y99" s="231"/>
      <c r="Z99" s="231"/>
      <c r="AA99" s="231"/>
      <c r="AB99" s="231"/>
      <c r="AC99" s="231"/>
      <c r="AD99" s="231"/>
      <c r="AE99" s="231"/>
      <c r="AF99" s="231"/>
      <c r="AG99" s="231"/>
      <c r="AH99" s="231"/>
    </row>
    <row r="100" spans="1:34" s="203" customFormat="1">
      <c r="A100" s="120">
        <v>5</v>
      </c>
      <c r="B100" s="47" t="s">
        <v>108</v>
      </c>
      <c r="C100" s="47"/>
      <c r="D100" s="47"/>
      <c r="E100" s="114">
        <v>7210</v>
      </c>
      <c r="F100" s="50">
        <f>F135</f>
        <v>6564</v>
      </c>
      <c r="G100" s="118"/>
      <c r="H100" s="50">
        <f>H135</f>
        <v>6866</v>
      </c>
      <c r="I100" s="139"/>
      <c r="J100" s="231"/>
      <c r="K100" s="231"/>
      <c r="L100" s="231"/>
      <c r="M100" s="231"/>
      <c r="N100" s="231"/>
      <c r="O100" s="231"/>
      <c r="P100" s="231"/>
      <c r="Q100" s="231"/>
      <c r="R100" s="231"/>
      <c r="S100" s="231"/>
      <c r="T100" s="231"/>
      <c r="U100" s="231"/>
      <c r="V100" s="231"/>
      <c r="W100" s="231"/>
      <c r="X100" s="231"/>
      <c r="Y100" s="231"/>
      <c r="Z100" s="231"/>
      <c r="AA100" s="231"/>
      <c r="AB100" s="231"/>
      <c r="AC100" s="231"/>
      <c r="AD100" s="231"/>
      <c r="AE100" s="231"/>
      <c r="AF100" s="231"/>
      <c r="AG100" s="231"/>
      <c r="AH100" s="231"/>
    </row>
    <row r="101" spans="1:34" s="203" customFormat="1">
      <c r="A101" s="120">
        <v>6</v>
      </c>
      <c r="B101" s="47" t="s">
        <v>109</v>
      </c>
      <c r="C101" s="47"/>
      <c r="D101" s="47"/>
      <c r="E101" s="114">
        <v>26390</v>
      </c>
      <c r="F101" s="50">
        <f>F143</f>
        <v>28518</v>
      </c>
      <c r="G101" s="118"/>
      <c r="H101" s="50">
        <f>H143</f>
        <v>29829</v>
      </c>
      <c r="I101" s="139"/>
      <c r="J101" s="231"/>
      <c r="K101" s="231"/>
      <c r="L101" s="231"/>
      <c r="M101" s="231"/>
      <c r="N101" s="231"/>
      <c r="O101" s="231"/>
      <c r="P101" s="231"/>
      <c r="Q101" s="231"/>
      <c r="R101" s="231"/>
      <c r="S101" s="231"/>
      <c r="T101" s="231"/>
      <c r="U101" s="231"/>
      <c r="V101" s="231"/>
      <c r="W101" s="231"/>
      <c r="X101" s="231"/>
      <c r="Y101" s="231"/>
      <c r="Z101" s="231"/>
      <c r="AA101" s="231"/>
      <c r="AB101" s="231"/>
      <c r="AC101" s="231"/>
      <c r="AD101" s="231"/>
      <c r="AE101" s="231"/>
      <c r="AF101" s="231"/>
      <c r="AG101" s="231"/>
      <c r="AH101" s="231"/>
    </row>
    <row r="102" spans="1:34" s="203" customFormat="1">
      <c r="A102" s="120">
        <v>7</v>
      </c>
      <c r="B102" s="47" t="s">
        <v>110</v>
      </c>
      <c r="C102" s="47"/>
      <c r="D102" s="47"/>
      <c r="E102" s="114">
        <v>5709</v>
      </c>
      <c r="F102" s="50">
        <f>F150</f>
        <v>5924</v>
      </c>
      <c r="G102" s="118"/>
      <c r="H102" s="50">
        <f>H150</f>
        <v>6197</v>
      </c>
      <c r="I102" s="139"/>
      <c r="J102" s="231"/>
      <c r="K102" s="231"/>
      <c r="L102" s="231"/>
      <c r="M102" s="231"/>
      <c r="N102" s="231"/>
      <c r="O102" s="231"/>
      <c r="P102" s="231"/>
      <c r="Q102" s="231"/>
      <c r="R102" s="231"/>
      <c r="S102" s="231"/>
      <c r="T102" s="231"/>
      <c r="U102" s="231"/>
      <c r="V102" s="231"/>
      <c r="W102" s="231"/>
      <c r="X102" s="231"/>
      <c r="Y102" s="231"/>
      <c r="Z102" s="231"/>
      <c r="AA102" s="231"/>
      <c r="AB102" s="231"/>
      <c r="AC102" s="231"/>
      <c r="AD102" s="231"/>
      <c r="AE102" s="231"/>
      <c r="AF102" s="231"/>
      <c r="AG102" s="231"/>
      <c r="AH102" s="231"/>
    </row>
    <row r="103" spans="1:34" s="203" customFormat="1">
      <c r="A103" s="120">
        <v>8</v>
      </c>
      <c r="B103" s="47" t="s">
        <v>111</v>
      </c>
      <c r="C103" s="47"/>
      <c r="D103" s="47"/>
      <c r="E103" s="114">
        <v>84</v>
      </c>
      <c r="F103" s="52">
        <v>218</v>
      </c>
      <c r="G103" s="118"/>
      <c r="H103" s="122">
        <v>228</v>
      </c>
      <c r="I103" s="139"/>
      <c r="J103" s="231"/>
      <c r="K103" s="231"/>
      <c r="L103" s="231"/>
      <c r="M103" s="231"/>
      <c r="N103" s="231"/>
      <c r="O103" s="231"/>
      <c r="P103" s="231"/>
      <c r="Q103" s="231"/>
      <c r="R103" s="231"/>
      <c r="S103" s="231"/>
      <c r="T103" s="231"/>
      <c r="U103" s="231"/>
      <c r="V103" s="231"/>
      <c r="W103" s="231"/>
      <c r="X103" s="231"/>
      <c r="Y103" s="231"/>
      <c r="Z103" s="231"/>
      <c r="AA103" s="231"/>
      <c r="AB103" s="231"/>
      <c r="AC103" s="231"/>
      <c r="AD103" s="231"/>
      <c r="AE103" s="231"/>
      <c r="AF103" s="231"/>
      <c r="AG103" s="231"/>
      <c r="AH103" s="231"/>
    </row>
    <row r="104" spans="1:34" s="203" customFormat="1">
      <c r="A104" s="120">
        <v>9</v>
      </c>
      <c r="B104" s="47" t="s">
        <v>112</v>
      </c>
      <c r="C104" s="47"/>
      <c r="D104" s="47"/>
      <c r="E104" s="114">
        <v>3363</v>
      </c>
      <c r="F104" s="52">
        <v>3198</v>
      </c>
      <c r="G104" s="118"/>
      <c r="H104" s="122">
        <v>3183</v>
      </c>
      <c r="I104" s="139"/>
      <c r="J104" s="231"/>
      <c r="K104" s="231"/>
      <c r="L104" s="231"/>
      <c r="M104" s="231"/>
      <c r="N104" s="231"/>
      <c r="O104" s="231"/>
      <c r="P104" s="231"/>
      <c r="Q104" s="231"/>
      <c r="R104" s="231"/>
      <c r="S104" s="231"/>
      <c r="T104" s="231"/>
      <c r="U104" s="231"/>
      <c r="V104" s="231"/>
      <c r="W104" s="231"/>
      <c r="X104" s="231"/>
      <c r="Y104" s="231"/>
      <c r="Z104" s="231"/>
      <c r="AA104" s="231"/>
      <c r="AB104" s="231"/>
      <c r="AC104" s="231"/>
      <c r="AD104" s="231"/>
      <c r="AE104" s="231"/>
      <c r="AF104" s="231"/>
      <c r="AG104" s="231"/>
      <c r="AH104" s="231"/>
    </row>
    <row r="105" spans="1:34" s="203" customFormat="1">
      <c r="A105" s="111" t="s">
        <v>113</v>
      </c>
      <c r="B105" s="116" t="s">
        <v>114</v>
      </c>
      <c r="C105" s="116"/>
      <c r="D105" s="47"/>
      <c r="E105" s="134">
        <v>145588</v>
      </c>
      <c r="F105" s="61">
        <f>SUM(F96:F104)</f>
        <v>146708</v>
      </c>
      <c r="G105" s="118"/>
      <c r="H105" s="61">
        <f>SUM(H96:H104)</f>
        <v>150659</v>
      </c>
      <c r="I105" s="139"/>
      <c r="J105" s="231"/>
      <c r="K105" s="231"/>
      <c r="L105" s="231"/>
      <c r="M105" s="231"/>
      <c r="N105" s="231"/>
      <c r="O105" s="231"/>
      <c r="P105" s="231"/>
      <c r="Q105" s="231"/>
      <c r="R105" s="231"/>
      <c r="S105" s="231"/>
      <c r="T105" s="231"/>
      <c r="U105" s="231"/>
      <c r="V105" s="231"/>
      <c r="W105" s="231"/>
      <c r="X105" s="231"/>
      <c r="Y105" s="231"/>
      <c r="Z105" s="231"/>
      <c r="AA105" s="231"/>
      <c r="AB105" s="231"/>
      <c r="AC105" s="231"/>
      <c r="AD105" s="231"/>
      <c r="AE105" s="231"/>
      <c r="AF105" s="231"/>
      <c r="AG105" s="231"/>
      <c r="AH105" s="231"/>
    </row>
    <row r="106" spans="1:34" s="203" customFormat="1">
      <c r="A106" s="120">
        <v>11</v>
      </c>
      <c r="B106" s="90" t="s">
        <v>115</v>
      </c>
      <c r="C106" s="47"/>
      <c r="D106" s="47"/>
      <c r="E106" s="135">
        <v>0</v>
      </c>
      <c r="F106" s="136">
        <v>0</v>
      </c>
      <c r="G106" s="118"/>
      <c r="H106" s="137">
        <v>0</v>
      </c>
      <c r="I106" s="139"/>
      <c r="J106" s="231"/>
      <c r="K106" s="231"/>
      <c r="L106" s="231"/>
      <c r="M106" s="231"/>
      <c r="N106" s="231"/>
      <c r="O106" s="231"/>
      <c r="P106" s="231"/>
      <c r="Q106" s="231"/>
      <c r="R106" s="231"/>
      <c r="S106" s="231"/>
      <c r="T106" s="231"/>
      <c r="U106" s="231"/>
      <c r="V106" s="231"/>
      <c r="W106" s="231"/>
      <c r="X106" s="231"/>
      <c r="Y106" s="231"/>
      <c r="Z106" s="231"/>
      <c r="AA106" s="231"/>
      <c r="AB106" s="231"/>
      <c r="AC106" s="231"/>
      <c r="AD106" s="231"/>
      <c r="AE106" s="231"/>
      <c r="AF106" s="231"/>
      <c r="AG106" s="231"/>
      <c r="AH106" s="231"/>
    </row>
    <row r="107" spans="1:34" s="203" customFormat="1">
      <c r="A107" s="111"/>
      <c r="B107" s="47"/>
      <c r="C107" s="47"/>
      <c r="D107" s="138"/>
      <c r="E107" s="117"/>
      <c r="F107" s="139"/>
      <c r="G107" s="139"/>
      <c r="H107" s="139"/>
      <c r="I107" s="139"/>
      <c r="J107" s="231"/>
      <c r="K107" s="231"/>
      <c r="L107" s="231"/>
      <c r="M107" s="231"/>
      <c r="N107" s="231"/>
      <c r="O107" s="231"/>
      <c r="P107" s="231"/>
      <c r="Q107" s="231"/>
      <c r="R107" s="231"/>
      <c r="S107" s="231"/>
      <c r="T107" s="231"/>
      <c r="U107" s="231"/>
      <c r="V107" s="231"/>
      <c r="W107" s="231"/>
      <c r="X107" s="231"/>
      <c r="Y107" s="231"/>
      <c r="Z107" s="231"/>
      <c r="AA107" s="231"/>
      <c r="AB107" s="231"/>
      <c r="AC107" s="231"/>
      <c r="AD107" s="231"/>
      <c r="AE107" s="231"/>
      <c r="AF107" s="231"/>
      <c r="AG107" s="231"/>
      <c r="AH107" s="231"/>
    </row>
    <row r="108" spans="1:34" s="203" customFormat="1">
      <c r="A108" s="119" t="s">
        <v>116</v>
      </c>
      <c r="B108" s="47"/>
      <c r="C108" s="47"/>
      <c r="D108" s="47"/>
      <c r="E108" s="117"/>
      <c r="F108" s="139"/>
      <c r="G108" s="139"/>
      <c r="H108" s="139"/>
      <c r="I108" s="139"/>
      <c r="J108" s="231"/>
      <c r="K108" s="231"/>
      <c r="L108" s="231"/>
      <c r="M108" s="231"/>
      <c r="N108" s="231"/>
      <c r="O108" s="231"/>
      <c r="P108" s="231"/>
      <c r="Q108" s="231"/>
      <c r="R108" s="231"/>
      <c r="S108" s="231"/>
      <c r="T108" s="231"/>
      <c r="U108" s="231"/>
      <c r="V108" s="231"/>
      <c r="W108" s="231"/>
      <c r="X108" s="231"/>
      <c r="Y108" s="231"/>
      <c r="Z108" s="231"/>
      <c r="AA108" s="231"/>
      <c r="AB108" s="231"/>
      <c r="AC108" s="231"/>
      <c r="AD108" s="231"/>
      <c r="AE108" s="231"/>
      <c r="AF108" s="231"/>
      <c r="AG108" s="231"/>
      <c r="AH108" s="231"/>
    </row>
    <row r="109" spans="1:34" s="203" customFormat="1">
      <c r="A109" s="119" t="s">
        <v>106</v>
      </c>
      <c r="B109" s="47"/>
      <c r="C109" s="47"/>
      <c r="D109" s="47"/>
      <c r="E109" s="140"/>
      <c r="F109" s="141"/>
      <c r="G109" s="139"/>
      <c r="H109" s="141"/>
      <c r="I109" s="139"/>
      <c r="J109" s="231"/>
      <c r="K109" s="231"/>
      <c r="L109" s="231"/>
      <c r="M109" s="231"/>
      <c r="N109" s="231"/>
      <c r="O109" s="231"/>
      <c r="P109" s="231"/>
      <c r="Q109" s="231"/>
      <c r="R109" s="231"/>
      <c r="S109" s="231"/>
      <c r="T109" s="231"/>
      <c r="U109" s="231"/>
      <c r="V109" s="231"/>
      <c r="W109" s="231"/>
      <c r="X109" s="231"/>
      <c r="Y109" s="231"/>
      <c r="Z109" s="231"/>
      <c r="AA109" s="231"/>
      <c r="AB109" s="231"/>
      <c r="AC109" s="231"/>
      <c r="AD109" s="231"/>
      <c r="AE109" s="231"/>
      <c r="AF109" s="231"/>
      <c r="AG109" s="231"/>
      <c r="AH109" s="231"/>
    </row>
    <row r="110" spans="1:34" s="203" customFormat="1">
      <c r="A110" s="120">
        <v>12</v>
      </c>
      <c r="B110" s="47" t="s">
        <v>117</v>
      </c>
      <c r="C110" s="47"/>
      <c r="D110" s="47"/>
      <c r="E110" s="49">
        <v>17598</v>
      </c>
      <c r="F110" s="52">
        <v>18294</v>
      </c>
      <c r="G110" s="118"/>
      <c r="H110" s="122">
        <v>18083</v>
      </c>
      <c r="I110" s="139"/>
      <c r="J110" s="231"/>
      <c r="K110" s="231"/>
      <c r="L110" s="231"/>
      <c r="M110" s="231"/>
      <c r="N110" s="231"/>
      <c r="O110" s="231"/>
      <c r="P110" s="231"/>
      <c r="Q110" s="231"/>
      <c r="R110" s="231"/>
      <c r="S110" s="231"/>
      <c r="T110" s="231"/>
      <c r="U110" s="231"/>
      <c r="V110" s="231"/>
      <c r="W110" s="231"/>
      <c r="X110" s="231"/>
      <c r="Y110" s="231"/>
      <c r="Z110" s="231"/>
      <c r="AA110" s="231"/>
      <c r="AB110" s="231"/>
      <c r="AC110" s="231"/>
      <c r="AD110" s="231"/>
      <c r="AE110" s="231"/>
      <c r="AF110" s="231"/>
      <c r="AG110" s="231"/>
      <c r="AH110" s="231"/>
    </row>
    <row r="111" spans="1:34" s="203" customFormat="1">
      <c r="A111" s="120">
        <v>13</v>
      </c>
      <c r="B111" s="47" t="s">
        <v>118</v>
      </c>
      <c r="C111" s="47"/>
      <c r="D111" s="47"/>
      <c r="E111" s="49">
        <v>3203</v>
      </c>
      <c r="F111" s="52">
        <v>3474</v>
      </c>
      <c r="G111" s="118"/>
      <c r="H111" s="122">
        <v>3458</v>
      </c>
      <c r="I111" s="139"/>
      <c r="J111" s="231"/>
      <c r="K111" s="231"/>
      <c r="L111" s="231"/>
      <c r="M111" s="231"/>
      <c r="N111" s="231"/>
      <c r="O111" s="231"/>
      <c r="P111" s="231"/>
      <c r="Q111" s="231"/>
      <c r="R111" s="231"/>
      <c r="S111" s="231"/>
      <c r="T111" s="231"/>
      <c r="U111" s="231"/>
      <c r="V111" s="231"/>
      <c r="W111" s="231"/>
      <c r="X111" s="231"/>
      <c r="Y111" s="231"/>
      <c r="Z111" s="231"/>
      <c r="AA111" s="231"/>
      <c r="AB111" s="231"/>
      <c r="AC111" s="231"/>
      <c r="AD111" s="231"/>
      <c r="AE111" s="231"/>
      <c r="AF111" s="231"/>
      <c r="AG111" s="231"/>
      <c r="AH111" s="231"/>
    </row>
    <row r="112" spans="1:34" s="203" customFormat="1">
      <c r="A112" s="120">
        <v>14</v>
      </c>
      <c r="B112" s="47" t="s">
        <v>119</v>
      </c>
      <c r="C112" s="47"/>
      <c r="D112" s="47"/>
      <c r="E112" s="49">
        <v>11472</v>
      </c>
      <c r="F112" s="52">
        <v>14462</v>
      </c>
      <c r="G112" s="118"/>
      <c r="H112" s="122">
        <v>14017</v>
      </c>
      <c r="I112" s="139"/>
      <c r="J112" s="231"/>
      <c r="K112" s="231"/>
      <c r="L112" s="231"/>
      <c r="M112" s="231"/>
      <c r="N112" s="231"/>
      <c r="O112" s="231"/>
      <c r="P112" s="231"/>
      <c r="Q112" s="231"/>
      <c r="R112" s="231"/>
      <c r="S112" s="231"/>
      <c r="T112" s="231"/>
      <c r="U112" s="231"/>
      <c r="V112" s="231"/>
      <c r="W112" s="231"/>
      <c r="X112" s="231"/>
      <c r="Y112" s="231"/>
      <c r="Z112" s="231"/>
      <c r="AA112" s="231"/>
      <c r="AB112" s="231"/>
      <c r="AC112" s="231"/>
      <c r="AD112" s="231"/>
      <c r="AE112" s="231"/>
      <c r="AF112" s="231"/>
      <c r="AG112" s="231"/>
      <c r="AH112" s="231"/>
    </row>
    <row r="113" spans="1:34" s="203" customFormat="1">
      <c r="A113" s="120">
        <v>15</v>
      </c>
      <c r="B113" s="47" t="s">
        <v>120</v>
      </c>
      <c r="C113" s="47"/>
      <c r="D113" s="47"/>
      <c r="E113" s="49">
        <v>1602</v>
      </c>
      <c r="F113" s="52">
        <v>1526</v>
      </c>
      <c r="G113" s="118"/>
      <c r="H113" s="122">
        <v>1518</v>
      </c>
      <c r="I113" s="139"/>
      <c r="J113" s="231"/>
      <c r="K113" s="231"/>
      <c r="L113" s="231"/>
      <c r="M113" s="231"/>
      <c r="N113" s="231"/>
      <c r="O113" s="231"/>
      <c r="P113" s="231"/>
      <c r="Q113" s="231"/>
      <c r="R113" s="231"/>
      <c r="S113" s="231"/>
      <c r="T113" s="231"/>
      <c r="U113" s="231"/>
      <c r="V113" s="231"/>
      <c r="W113" s="231"/>
      <c r="X113" s="231"/>
      <c r="Y113" s="231"/>
      <c r="Z113" s="231"/>
      <c r="AA113" s="231"/>
      <c r="AB113" s="231"/>
      <c r="AC113" s="231"/>
      <c r="AD113" s="231"/>
      <c r="AE113" s="231"/>
      <c r="AF113" s="231"/>
      <c r="AG113" s="231"/>
      <c r="AH113" s="231"/>
    </row>
    <row r="114" spans="1:34" s="203" customFormat="1">
      <c r="A114" s="120">
        <v>16</v>
      </c>
      <c r="B114" s="47" t="s">
        <v>121</v>
      </c>
      <c r="C114" s="47"/>
      <c r="D114" s="47"/>
      <c r="E114" s="49">
        <v>3356</v>
      </c>
      <c r="F114" s="52">
        <v>3654</v>
      </c>
      <c r="G114" s="118"/>
      <c r="H114" s="100">
        <v>3638</v>
      </c>
      <c r="I114" s="139"/>
      <c r="J114" s="231"/>
      <c r="K114" s="231"/>
      <c r="L114" s="231"/>
      <c r="M114" s="231"/>
      <c r="N114" s="231"/>
      <c r="O114" s="231"/>
      <c r="P114" s="231"/>
      <c r="Q114" s="231"/>
      <c r="R114" s="231"/>
      <c r="S114" s="231"/>
      <c r="T114" s="231"/>
      <c r="U114" s="231"/>
      <c r="V114" s="231"/>
      <c r="W114" s="231"/>
      <c r="X114" s="231"/>
      <c r="Y114" s="231"/>
      <c r="Z114" s="231"/>
      <c r="AA114" s="231"/>
      <c r="AB114" s="231"/>
      <c r="AC114" s="231"/>
      <c r="AD114" s="231"/>
      <c r="AE114" s="231"/>
      <c r="AF114" s="231"/>
      <c r="AG114" s="231"/>
      <c r="AH114" s="231"/>
    </row>
    <row r="115" spans="1:34" s="203" customFormat="1">
      <c r="A115" s="120">
        <v>17</v>
      </c>
      <c r="B115" s="116" t="s">
        <v>122</v>
      </c>
      <c r="C115" s="116"/>
      <c r="D115" s="116"/>
      <c r="E115" s="80">
        <v>37231</v>
      </c>
      <c r="F115" s="142">
        <f>SUM(F110:F114)</f>
        <v>41410</v>
      </c>
      <c r="G115" s="118"/>
      <c r="H115" s="142">
        <f>SUM(H110:H114)</f>
        <v>40714</v>
      </c>
      <c r="I115" s="139"/>
      <c r="J115" s="231"/>
      <c r="K115" s="231"/>
      <c r="L115" s="231"/>
      <c r="M115" s="231"/>
      <c r="N115" s="231"/>
      <c r="O115" s="231"/>
      <c r="P115" s="231"/>
      <c r="Q115" s="231"/>
      <c r="R115" s="231"/>
      <c r="S115" s="231"/>
      <c r="T115" s="231"/>
      <c r="U115" s="231"/>
      <c r="V115" s="231"/>
      <c r="W115" s="231"/>
      <c r="X115" s="231"/>
      <c r="Y115" s="231"/>
      <c r="Z115" s="231"/>
      <c r="AA115" s="231"/>
      <c r="AB115" s="231"/>
      <c r="AC115" s="231"/>
      <c r="AD115" s="231"/>
      <c r="AE115" s="231"/>
      <c r="AF115" s="231"/>
      <c r="AG115" s="231"/>
      <c r="AH115" s="231"/>
    </row>
    <row r="116" spans="1:34" s="203" customFormat="1">
      <c r="A116" s="111"/>
      <c r="B116" s="116"/>
      <c r="C116" s="116"/>
      <c r="D116" s="116"/>
      <c r="E116" s="143"/>
      <c r="F116" s="118"/>
      <c r="G116" s="118"/>
      <c r="H116" s="118"/>
      <c r="I116" s="139"/>
      <c r="J116" s="231"/>
      <c r="K116" s="231"/>
      <c r="L116" s="231"/>
      <c r="M116" s="231"/>
      <c r="N116" s="231"/>
      <c r="O116" s="231"/>
      <c r="P116" s="231"/>
      <c r="Q116" s="231"/>
      <c r="R116" s="231"/>
      <c r="S116" s="231"/>
      <c r="T116" s="231"/>
      <c r="U116" s="231"/>
      <c r="V116" s="231"/>
      <c r="W116" s="231"/>
      <c r="X116" s="231"/>
      <c r="Y116" s="231"/>
      <c r="Z116" s="231"/>
      <c r="AA116" s="231"/>
      <c r="AB116" s="231"/>
      <c r="AC116" s="231"/>
      <c r="AD116" s="231"/>
      <c r="AE116" s="231"/>
      <c r="AF116" s="231"/>
      <c r="AG116" s="231"/>
      <c r="AH116" s="231"/>
    </row>
    <row r="117" spans="1:34" s="203" customFormat="1">
      <c r="A117" s="144" t="s">
        <v>107</v>
      </c>
      <c r="B117" s="116"/>
      <c r="C117" s="116"/>
      <c r="D117" s="116"/>
      <c r="E117" s="145"/>
      <c r="F117" s="146"/>
      <c r="G117" s="118"/>
      <c r="H117" s="146"/>
      <c r="I117" s="139"/>
      <c r="J117" s="231"/>
      <c r="K117" s="231"/>
      <c r="L117" s="231"/>
      <c r="M117" s="231"/>
      <c r="N117" s="231"/>
      <c r="O117" s="231"/>
      <c r="P117" s="231"/>
      <c r="Q117" s="231"/>
      <c r="R117" s="231"/>
      <c r="S117" s="231"/>
      <c r="T117" s="231"/>
      <c r="U117" s="231"/>
      <c r="V117" s="231"/>
      <c r="W117" s="231"/>
      <c r="X117" s="231"/>
      <c r="Y117" s="231"/>
      <c r="Z117" s="231"/>
      <c r="AA117" s="231"/>
      <c r="AB117" s="231"/>
      <c r="AC117" s="231"/>
      <c r="AD117" s="231"/>
      <c r="AE117" s="231"/>
      <c r="AF117" s="231"/>
      <c r="AG117" s="231"/>
      <c r="AH117" s="231"/>
    </row>
    <row r="118" spans="1:34" s="203" customFormat="1">
      <c r="A118" s="120">
        <v>18</v>
      </c>
      <c r="B118" s="47" t="s">
        <v>123</v>
      </c>
      <c r="C118" s="47"/>
      <c r="D118" s="47"/>
      <c r="E118" s="49">
        <v>0</v>
      </c>
      <c r="F118" s="52"/>
      <c r="G118" s="118"/>
      <c r="H118" s="122"/>
      <c r="I118" s="139"/>
      <c r="J118" s="231"/>
      <c r="K118" s="231"/>
      <c r="L118" s="231"/>
      <c r="M118" s="231"/>
      <c r="N118" s="231"/>
      <c r="O118" s="231"/>
      <c r="P118" s="231"/>
      <c r="Q118" s="231"/>
      <c r="R118" s="231"/>
      <c r="S118" s="231"/>
      <c r="T118" s="231"/>
      <c r="U118" s="231"/>
      <c r="V118" s="231"/>
      <c r="W118" s="231"/>
      <c r="X118" s="231"/>
      <c r="Y118" s="231"/>
      <c r="Z118" s="231"/>
      <c r="AA118" s="231"/>
      <c r="AB118" s="231"/>
      <c r="AC118" s="231"/>
      <c r="AD118" s="231"/>
      <c r="AE118" s="231"/>
      <c r="AF118" s="231"/>
      <c r="AG118" s="231"/>
      <c r="AH118" s="231"/>
    </row>
    <row r="119" spans="1:34" s="203" customFormat="1">
      <c r="A119" s="120">
        <v>19</v>
      </c>
      <c r="B119" s="47" t="s">
        <v>124</v>
      </c>
      <c r="C119" s="47"/>
      <c r="D119" s="47"/>
      <c r="E119" s="49">
        <v>0</v>
      </c>
      <c r="F119" s="52"/>
      <c r="G119" s="118"/>
      <c r="H119" s="122"/>
      <c r="I119" s="139"/>
      <c r="J119" s="231"/>
      <c r="K119" s="231"/>
      <c r="L119" s="231"/>
      <c r="M119" s="231"/>
      <c r="N119" s="231"/>
      <c r="O119" s="231"/>
      <c r="P119" s="231"/>
      <c r="Q119" s="231"/>
      <c r="R119" s="231"/>
      <c r="S119" s="231"/>
      <c r="T119" s="231"/>
      <c r="U119" s="231"/>
      <c r="V119" s="231"/>
      <c r="W119" s="231"/>
      <c r="X119" s="231"/>
      <c r="Y119" s="231"/>
      <c r="Z119" s="231"/>
      <c r="AA119" s="231"/>
      <c r="AB119" s="231"/>
      <c r="AC119" s="231"/>
      <c r="AD119" s="231"/>
      <c r="AE119" s="231"/>
      <c r="AF119" s="231"/>
      <c r="AG119" s="231"/>
      <c r="AH119" s="231"/>
    </row>
    <row r="120" spans="1:34" s="203" customFormat="1">
      <c r="A120" s="120">
        <v>20</v>
      </c>
      <c r="B120" s="47" t="s">
        <v>119</v>
      </c>
      <c r="C120" s="47"/>
      <c r="D120" s="47"/>
      <c r="E120" s="49">
        <v>0</v>
      </c>
      <c r="F120" s="52"/>
      <c r="G120" s="118"/>
      <c r="H120" s="122"/>
      <c r="I120" s="139"/>
      <c r="J120" s="231"/>
      <c r="K120" s="231"/>
      <c r="L120" s="231"/>
      <c r="M120" s="231"/>
      <c r="N120" s="231"/>
      <c r="O120" s="231"/>
      <c r="P120" s="231"/>
      <c r="Q120" s="231"/>
      <c r="R120" s="231"/>
      <c r="S120" s="231"/>
      <c r="T120" s="231"/>
      <c r="U120" s="231"/>
      <c r="V120" s="231"/>
      <c r="W120" s="231"/>
      <c r="X120" s="231"/>
      <c r="Y120" s="231"/>
      <c r="Z120" s="231"/>
      <c r="AA120" s="231"/>
      <c r="AB120" s="231"/>
      <c r="AC120" s="231"/>
      <c r="AD120" s="231"/>
      <c r="AE120" s="231"/>
      <c r="AF120" s="231"/>
      <c r="AG120" s="231"/>
      <c r="AH120" s="231"/>
    </row>
    <row r="121" spans="1:34" s="203" customFormat="1">
      <c r="A121" s="120">
        <v>21</v>
      </c>
      <c r="B121" s="47" t="s">
        <v>120</v>
      </c>
      <c r="C121" s="47"/>
      <c r="D121" s="47"/>
      <c r="E121" s="49">
        <v>0</v>
      </c>
      <c r="F121" s="52"/>
      <c r="G121" s="118"/>
      <c r="H121" s="122"/>
      <c r="I121" s="139"/>
      <c r="J121" s="231"/>
      <c r="K121" s="231"/>
      <c r="L121" s="231"/>
      <c r="M121" s="231"/>
      <c r="N121" s="231"/>
      <c r="O121" s="231"/>
      <c r="P121" s="231"/>
      <c r="Q121" s="231"/>
      <c r="R121" s="231"/>
      <c r="S121" s="231"/>
      <c r="T121" s="231"/>
      <c r="U121" s="231"/>
      <c r="V121" s="231"/>
      <c r="W121" s="231"/>
      <c r="X121" s="231"/>
      <c r="Y121" s="231"/>
      <c r="Z121" s="231"/>
      <c r="AA121" s="231"/>
      <c r="AB121" s="231"/>
      <c r="AC121" s="231"/>
      <c r="AD121" s="231"/>
      <c r="AE121" s="231"/>
      <c r="AF121" s="231"/>
      <c r="AG121" s="231"/>
      <c r="AH121" s="231"/>
    </row>
    <row r="122" spans="1:34" s="203" customFormat="1">
      <c r="A122" s="120">
        <v>22</v>
      </c>
      <c r="B122" s="47" t="s">
        <v>125</v>
      </c>
      <c r="C122" s="47"/>
      <c r="D122" s="47"/>
      <c r="E122" s="49">
        <v>0</v>
      </c>
      <c r="F122" s="52"/>
      <c r="G122" s="118"/>
      <c r="H122" s="122"/>
      <c r="I122" s="139"/>
      <c r="J122" s="231"/>
      <c r="K122" s="231"/>
      <c r="L122" s="231"/>
      <c r="M122" s="231"/>
      <c r="N122" s="231"/>
      <c r="O122" s="231"/>
      <c r="P122" s="231"/>
      <c r="Q122" s="231"/>
      <c r="R122" s="231"/>
      <c r="S122" s="231"/>
      <c r="T122" s="231"/>
      <c r="U122" s="231"/>
      <c r="V122" s="231"/>
      <c r="W122" s="231"/>
      <c r="X122" s="231"/>
      <c r="Y122" s="231"/>
      <c r="Z122" s="231"/>
      <c r="AA122" s="231"/>
      <c r="AB122" s="231"/>
      <c r="AC122" s="231"/>
      <c r="AD122" s="231"/>
      <c r="AE122" s="231"/>
      <c r="AF122" s="231"/>
      <c r="AG122" s="231"/>
      <c r="AH122" s="231"/>
    </row>
    <row r="123" spans="1:34" s="203" customFormat="1">
      <c r="A123" s="120">
        <v>23</v>
      </c>
      <c r="B123" s="90" t="s">
        <v>126</v>
      </c>
      <c r="C123" s="47"/>
      <c r="D123" s="47"/>
      <c r="E123" s="49">
        <v>0</v>
      </c>
      <c r="F123" s="52"/>
      <c r="G123" s="118"/>
      <c r="H123" s="99"/>
      <c r="I123" s="139"/>
      <c r="J123" s="231"/>
      <c r="K123" s="231"/>
      <c r="L123" s="231"/>
      <c r="M123" s="231"/>
      <c r="N123" s="231"/>
      <c r="O123" s="231"/>
      <c r="P123" s="231"/>
      <c r="Q123" s="231"/>
      <c r="R123" s="231"/>
      <c r="S123" s="231"/>
      <c r="T123" s="231"/>
      <c r="U123" s="231"/>
      <c r="V123" s="231"/>
      <c r="W123" s="231"/>
      <c r="X123" s="231"/>
      <c r="Y123" s="231"/>
      <c r="Z123" s="231"/>
      <c r="AA123" s="231"/>
      <c r="AB123" s="231"/>
      <c r="AC123" s="231"/>
      <c r="AD123" s="231"/>
      <c r="AE123" s="231"/>
      <c r="AF123" s="231"/>
      <c r="AG123" s="231"/>
      <c r="AH123" s="231"/>
    </row>
    <row r="124" spans="1:34" s="203" customFormat="1">
      <c r="A124" s="120">
        <v>24</v>
      </c>
      <c r="B124" s="47" t="s">
        <v>121</v>
      </c>
      <c r="C124" s="47"/>
      <c r="D124" s="47"/>
      <c r="E124" s="49">
        <v>64898</v>
      </c>
      <c r="F124" s="52">
        <v>60248</v>
      </c>
      <c r="G124" s="118"/>
      <c r="H124" s="100">
        <v>63016</v>
      </c>
      <c r="I124" s="139"/>
      <c r="J124" s="231"/>
      <c r="K124" s="231"/>
      <c r="L124" s="231"/>
      <c r="M124" s="231"/>
      <c r="N124" s="231"/>
      <c r="O124" s="231"/>
      <c r="P124" s="231"/>
      <c r="Q124" s="231"/>
      <c r="R124" s="231"/>
      <c r="S124" s="231"/>
      <c r="T124" s="231"/>
      <c r="U124" s="231"/>
      <c r="V124" s="231"/>
      <c r="W124" s="231"/>
      <c r="X124" s="231"/>
      <c r="Y124" s="231"/>
      <c r="Z124" s="231"/>
      <c r="AA124" s="231"/>
      <c r="AB124" s="231"/>
      <c r="AC124" s="231"/>
      <c r="AD124" s="231"/>
      <c r="AE124" s="231"/>
      <c r="AF124" s="231"/>
      <c r="AG124" s="231"/>
      <c r="AH124" s="231"/>
    </row>
    <row r="125" spans="1:34" s="203" customFormat="1">
      <c r="A125" s="120">
        <v>25</v>
      </c>
      <c r="B125" s="147" t="s">
        <v>127</v>
      </c>
      <c r="C125" s="147"/>
      <c r="D125" s="147"/>
      <c r="E125" s="80">
        <v>64898</v>
      </c>
      <c r="F125" s="142">
        <f>SUM(F118:F124)</f>
        <v>60248</v>
      </c>
      <c r="G125" s="118"/>
      <c r="H125" s="142">
        <f>SUM(H118:H124)</f>
        <v>63016</v>
      </c>
      <c r="I125" s="139"/>
      <c r="J125" s="231"/>
      <c r="K125" s="231"/>
      <c r="L125" s="231"/>
      <c r="M125" s="231"/>
      <c r="N125" s="231"/>
      <c r="O125" s="231"/>
      <c r="P125" s="231"/>
      <c r="Q125" s="231"/>
      <c r="R125" s="231"/>
      <c r="S125" s="231"/>
      <c r="T125" s="231"/>
      <c r="U125" s="231"/>
      <c r="V125" s="231"/>
      <c r="W125" s="231"/>
      <c r="X125" s="231"/>
      <c r="Y125" s="231"/>
      <c r="Z125" s="231"/>
      <c r="AA125" s="231"/>
      <c r="AB125" s="231"/>
      <c r="AC125" s="231"/>
      <c r="AD125" s="231"/>
      <c r="AE125" s="231"/>
      <c r="AF125" s="231"/>
      <c r="AG125" s="231"/>
      <c r="AH125" s="231"/>
    </row>
    <row r="126" spans="1:34" s="203" customFormat="1">
      <c r="A126" s="111"/>
      <c r="B126" s="47"/>
      <c r="C126" s="47"/>
      <c r="D126" s="47"/>
      <c r="E126" s="117"/>
      <c r="F126" s="118"/>
      <c r="G126" s="118"/>
      <c r="H126" s="118"/>
      <c r="I126" s="139"/>
      <c r="J126" s="231"/>
      <c r="K126" s="231"/>
      <c r="L126" s="231"/>
      <c r="M126" s="231"/>
      <c r="N126" s="231"/>
      <c r="O126" s="231"/>
      <c r="P126" s="231"/>
      <c r="Q126" s="231"/>
      <c r="R126" s="231"/>
      <c r="S126" s="231"/>
      <c r="T126" s="231"/>
      <c r="U126" s="231"/>
      <c r="V126" s="231"/>
      <c r="W126" s="231"/>
      <c r="X126" s="231"/>
      <c r="Y126" s="231"/>
      <c r="Z126" s="231"/>
      <c r="AA126" s="231"/>
      <c r="AB126" s="231"/>
      <c r="AC126" s="231"/>
      <c r="AD126" s="231"/>
      <c r="AE126" s="231"/>
      <c r="AF126" s="231"/>
      <c r="AG126" s="231"/>
      <c r="AH126" s="231"/>
    </row>
    <row r="127" spans="1:34" s="203" customFormat="1">
      <c r="A127" s="119" t="s">
        <v>108</v>
      </c>
      <c r="B127" s="147"/>
      <c r="C127" s="147"/>
      <c r="D127" s="147"/>
      <c r="E127" s="140"/>
      <c r="F127" s="146"/>
      <c r="G127" s="118"/>
      <c r="H127" s="146"/>
      <c r="I127" s="139"/>
      <c r="J127" s="231"/>
      <c r="K127" s="231"/>
      <c r="L127" s="231"/>
      <c r="M127" s="231"/>
      <c r="N127" s="231"/>
      <c r="O127" s="231"/>
      <c r="P127" s="231"/>
      <c r="Q127" s="231"/>
      <c r="R127" s="231"/>
      <c r="S127" s="231"/>
      <c r="T127" s="231"/>
      <c r="U127" s="231"/>
      <c r="V127" s="231"/>
      <c r="W127" s="231"/>
      <c r="X127" s="231"/>
      <c r="Y127" s="231"/>
      <c r="Z127" s="231"/>
      <c r="AA127" s="231"/>
      <c r="AB127" s="231"/>
      <c r="AC127" s="231"/>
      <c r="AD127" s="231"/>
      <c r="AE127" s="231"/>
      <c r="AF127" s="231"/>
      <c r="AG127" s="231"/>
      <c r="AH127" s="231"/>
    </row>
    <row r="128" spans="1:34" s="203" customFormat="1">
      <c r="A128" s="120">
        <v>26</v>
      </c>
      <c r="B128" s="47" t="s">
        <v>123</v>
      </c>
      <c r="C128" s="47"/>
      <c r="D128" s="47"/>
      <c r="E128" s="74">
        <v>0</v>
      </c>
      <c r="F128" s="52"/>
      <c r="G128" s="118"/>
      <c r="H128" s="122"/>
      <c r="I128" s="139"/>
      <c r="J128" s="231"/>
      <c r="K128" s="231"/>
      <c r="L128" s="231"/>
      <c r="M128" s="231"/>
      <c r="N128" s="231"/>
      <c r="O128" s="231"/>
      <c r="P128" s="231"/>
      <c r="Q128" s="231"/>
      <c r="R128" s="231"/>
      <c r="S128" s="231"/>
      <c r="T128" s="231"/>
      <c r="U128" s="231"/>
      <c r="V128" s="231"/>
      <c r="W128" s="231"/>
      <c r="X128" s="231"/>
      <c r="Y128" s="231"/>
      <c r="Z128" s="231"/>
      <c r="AA128" s="231"/>
      <c r="AB128" s="231"/>
      <c r="AC128" s="231"/>
      <c r="AD128" s="231"/>
      <c r="AE128" s="231"/>
      <c r="AF128" s="231"/>
      <c r="AG128" s="231"/>
      <c r="AH128" s="231"/>
    </row>
    <row r="129" spans="1:34" s="203" customFormat="1">
      <c r="A129" s="120">
        <v>27</v>
      </c>
      <c r="B129" s="47" t="s">
        <v>124</v>
      </c>
      <c r="C129" s="47"/>
      <c r="D129" s="47"/>
      <c r="E129" s="49">
        <v>0</v>
      </c>
      <c r="F129" s="52"/>
      <c r="G129" s="118"/>
      <c r="H129" s="122"/>
      <c r="I129" s="139"/>
      <c r="J129" s="231"/>
      <c r="K129" s="231"/>
      <c r="L129" s="231"/>
      <c r="M129" s="231"/>
      <c r="N129" s="231"/>
      <c r="O129" s="231"/>
      <c r="P129" s="231"/>
      <c r="Q129" s="231"/>
      <c r="R129" s="231"/>
      <c r="S129" s="231"/>
      <c r="T129" s="231"/>
      <c r="U129" s="231"/>
      <c r="V129" s="231"/>
      <c r="W129" s="231"/>
      <c r="X129" s="231"/>
      <c r="Y129" s="231"/>
      <c r="Z129" s="231"/>
      <c r="AA129" s="231"/>
      <c r="AB129" s="231"/>
      <c r="AC129" s="231"/>
      <c r="AD129" s="231"/>
      <c r="AE129" s="231"/>
      <c r="AF129" s="231"/>
      <c r="AG129" s="231"/>
      <c r="AH129" s="231"/>
    </row>
    <row r="130" spans="1:34" s="203" customFormat="1">
      <c r="A130" s="120">
        <v>28</v>
      </c>
      <c r="B130" s="47" t="s">
        <v>119</v>
      </c>
      <c r="C130" s="47"/>
      <c r="D130" s="47"/>
      <c r="E130" s="49">
        <v>0</v>
      </c>
      <c r="F130" s="52"/>
      <c r="G130" s="118"/>
      <c r="H130" s="122"/>
      <c r="I130" s="139"/>
      <c r="J130" s="231"/>
      <c r="K130" s="231"/>
      <c r="L130" s="231"/>
      <c r="M130" s="231"/>
      <c r="N130" s="231"/>
      <c r="O130" s="231"/>
      <c r="P130" s="231"/>
      <c r="Q130" s="231"/>
      <c r="R130" s="231"/>
      <c r="S130" s="231"/>
      <c r="T130" s="231"/>
      <c r="U130" s="231"/>
      <c r="V130" s="231"/>
      <c r="W130" s="231"/>
      <c r="X130" s="231"/>
      <c r="Y130" s="231"/>
      <c r="Z130" s="231"/>
      <c r="AA130" s="231"/>
      <c r="AB130" s="231"/>
      <c r="AC130" s="231"/>
      <c r="AD130" s="231"/>
      <c r="AE130" s="231"/>
      <c r="AF130" s="231"/>
      <c r="AG130" s="231"/>
      <c r="AH130" s="231"/>
    </row>
    <row r="131" spans="1:34" s="203" customFormat="1">
      <c r="A131" s="120">
        <v>29</v>
      </c>
      <c r="B131" s="47" t="s">
        <v>120</v>
      </c>
      <c r="C131" s="47"/>
      <c r="D131" s="47"/>
      <c r="E131" s="49">
        <v>0</v>
      </c>
      <c r="F131" s="52"/>
      <c r="G131" s="118"/>
      <c r="H131" s="122"/>
      <c r="I131" s="139"/>
      <c r="J131" s="231"/>
      <c r="K131" s="231"/>
      <c r="L131" s="231"/>
      <c r="M131" s="231"/>
      <c r="N131" s="231"/>
      <c r="O131" s="231"/>
      <c r="P131" s="231"/>
      <c r="Q131" s="231"/>
      <c r="R131" s="231"/>
      <c r="S131" s="231"/>
      <c r="T131" s="231"/>
      <c r="U131" s="231"/>
      <c r="V131" s="231"/>
      <c r="W131" s="231"/>
      <c r="X131" s="231"/>
      <c r="Y131" s="231"/>
      <c r="Z131" s="231"/>
      <c r="AA131" s="231"/>
      <c r="AB131" s="231"/>
      <c r="AC131" s="231"/>
      <c r="AD131" s="231"/>
      <c r="AE131" s="231"/>
      <c r="AF131" s="231"/>
      <c r="AG131" s="231"/>
      <c r="AH131" s="231"/>
    </row>
    <row r="132" spans="1:34" s="203" customFormat="1">
      <c r="A132" s="120">
        <v>30</v>
      </c>
      <c r="B132" s="47" t="s">
        <v>125</v>
      </c>
      <c r="C132" s="47"/>
      <c r="D132" s="47"/>
      <c r="E132" s="49">
        <v>0</v>
      </c>
      <c r="F132" s="52"/>
      <c r="G132" s="118"/>
      <c r="H132" s="122"/>
      <c r="I132" s="139"/>
      <c r="J132" s="231"/>
      <c r="K132" s="231"/>
      <c r="L132" s="231"/>
      <c r="M132" s="231"/>
      <c r="N132" s="231"/>
      <c r="O132" s="231"/>
      <c r="P132" s="231"/>
      <c r="Q132" s="231"/>
      <c r="R132" s="231"/>
      <c r="S132" s="231"/>
      <c r="T132" s="231"/>
      <c r="U132" s="231"/>
      <c r="V132" s="231"/>
      <c r="W132" s="231"/>
      <c r="X132" s="231"/>
      <c r="Y132" s="231"/>
      <c r="Z132" s="231"/>
      <c r="AA132" s="231"/>
      <c r="AB132" s="231"/>
      <c r="AC132" s="231"/>
      <c r="AD132" s="231"/>
      <c r="AE132" s="231"/>
      <c r="AF132" s="231"/>
      <c r="AG132" s="231"/>
      <c r="AH132" s="231"/>
    </row>
    <row r="133" spans="1:34" s="203" customFormat="1">
      <c r="A133" s="120">
        <v>31</v>
      </c>
      <c r="B133" s="90" t="s">
        <v>126</v>
      </c>
      <c r="C133" s="47"/>
      <c r="D133" s="47"/>
      <c r="E133" s="49">
        <v>0</v>
      </c>
      <c r="F133" s="52"/>
      <c r="G133" s="118"/>
      <c r="H133" s="122"/>
      <c r="I133" s="139"/>
      <c r="J133" s="231"/>
      <c r="K133" s="231"/>
      <c r="L133" s="231"/>
      <c r="M133" s="231"/>
      <c r="N133" s="231"/>
      <c r="O133" s="231"/>
      <c r="P133" s="231"/>
      <c r="Q133" s="231"/>
      <c r="R133" s="231"/>
      <c r="S133" s="231"/>
      <c r="T133" s="231"/>
      <c r="U133" s="231"/>
      <c r="V133" s="231"/>
      <c r="W133" s="231"/>
      <c r="X133" s="231"/>
      <c r="Y133" s="231"/>
      <c r="Z133" s="231"/>
      <c r="AA133" s="231"/>
      <c r="AB133" s="231"/>
      <c r="AC133" s="231"/>
      <c r="AD133" s="231"/>
      <c r="AE133" s="231"/>
      <c r="AF133" s="231"/>
      <c r="AG133" s="231"/>
      <c r="AH133" s="231"/>
    </row>
    <row r="134" spans="1:34" s="203" customFormat="1">
      <c r="A134" s="120">
        <v>32</v>
      </c>
      <c r="B134" s="47" t="s">
        <v>121</v>
      </c>
      <c r="C134" s="47"/>
      <c r="D134" s="47"/>
      <c r="E134" s="49">
        <v>7210</v>
      </c>
      <c r="F134" s="52">
        <v>6564</v>
      </c>
      <c r="G134" s="118"/>
      <c r="H134" s="100">
        <v>6866</v>
      </c>
      <c r="I134" s="139"/>
      <c r="J134" s="231"/>
      <c r="K134" s="231"/>
      <c r="L134" s="231"/>
      <c r="M134" s="231"/>
      <c r="N134" s="231"/>
      <c r="O134" s="231"/>
      <c r="P134" s="231"/>
      <c r="Q134" s="231"/>
      <c r="R134" s="231"/>
      <c r="S134" s="231"/>
      <c r="T134" s="231"/>
      <c r="U134" s="231"/>
      <c r="V134" s="231"/>
      <c r="W134" s="231"/>
      <c r="X134" s="231"/>
      <c r="Y134" s="231"/>
      <c r="Z134" s="231"/>
      <c r="AA134" s="231"/>
      <c r="AB134" s="231"/>
      <c r="AC134" s="231"/>
      <c r="AD134" s="231"/>
      <c r="AE134" s="231"/>
      <c r="AF134" s="231"/>
      <c r="AG134" s="231"/>
      <c r="AH134" s="231"/>
    </row>
    <row r="135" spans="1:34" s="203" customFormat="1">
      <c r="A135" s="120">
        <v>33</v>
      </c>
      <c r="B135" s="116" t="s">
        <v>128</v>
      </c>
      <c r="C135" s="116"/>
      <c r="D135" s="116"/>
      <c r="E135" s="80">
        <v>7210</v>
      </c>
      <c r="F135" s="142">
        <f>SUM(F128:F134)</f>
        <v>6564</v>
      </c>
      <c r="G135" s="118"/>
      <c r="H135" s="142">
        <f>SUM(H128:H134)</f>
        <v>6866</v>
      </c>
      <c r="I135" s="139"/>
      <c r="J135" s="231"/>
      <c r="K135" s="231"/>
      <c r="L135" s="231"/>
      <c r="M135" s="231"/>
      <c r="N135" s="231"/>
      <c r="O135" s="231"/>
      <c r="P135" s="231"/>
      <c r="Q135" s="231"/>
      <c r="R135" s="231"/>
      <c r="S135" s="231"/>
      <c r="T135" s="231"/>
      <c r="U135" s="231"/>
      <c r="V135" s="231"/>
      <c r="W135" s="231"/>
      <c r="X135" s="231"/>
      <c r="Y135" s="231"/>
      <c r="Z135" s="231"/>
      <c r="AA135" s="231"/>
      <c r="AB135" s="231"/>
      <c r="AC135" s="231"/>
      <c r="AD135" s="231"/>
      <c r="AE135" s="231"/>
      <c r="AF135" s="231"/>
      <c r="AG135" s="231"/>
      <c r="AH135" s="231"/>
    </row>
    <row r="136" spans="1:34" s="203" customFormat="1">
      <c r="A136" s="111"/>
      <c r="B136" s="47"/>
      <c r="C136" s="47"/>
      <c r="D136" s="138"/>
      <c r="E136" s="117"/>
      <c r="F136" s="118"/>
      <c r="G136" s="118"/>
      <c r="H136" s="118"/>
      <c r="I136" s="139"/>
      <c r="J136" s="231"/>
      <c r="K136" s="231"/>
      <c r="L136" s="231"/>
      <c r="M136" s="231"/>
      <c r="N136" s="231"/>
      <c r="O136" s="231"/>
      <c r="P136" s="231"/>
      <c r="Q136" s="231"/>
      <c r="R136" s="231"/>
      <c r="S136" s="231"/>
      <c r="T136" s="231"/>
      <c r="U136" s="231"/>
      <c r="V136" s="231"/>
      <c r="W136" s="231"/>
      <c r="X136" s="231"/>
      <c r="Y136" s="231"/>
      <c r="Z136" s="231"/>
      <c r="AA136" s="231"/>
      <c r="AB136" s="231"/>
      <c r="AC136" s="231"/>
      <c r="AD136" s="231"/>
      <c r="AE136" s="231"/>
      <c r="AF136" s="231"/>
      <c r="AG136" s="231"/>
      <c r="AH136" s="231"/>
    </row>
    <row r="137" spans="1:34" s="203" customFormat="1">
      <c r="A137" s="119" t="s">
        <v>109</v>
      </c>
      <c r="B137" s="116"/>
      <c r="C137" s="116"/>
      <c r="D137" s="116"/>
      <c r="E137" s="140"/>
      <c r="F137" s="146"/>
      <c r="G137" s="118"/>
      <c r="H137" s="146"/>
      <c r="I137" s="139"/>
      <c r="J137" s="231"/>
      <c r="K137" s="231"/>
      <c r="L137" s="231"/>
      <c r="M137" s="231"/>
      <c r="N137" s="231"/>
      <c r="O137" s="231"/>
      <c r="P137" s="231"/>
      <c r="Q137" s="231"/>
      <c r="R137" s="231"/>
      <c r="S137" s="231"/>
      <c r="T137" s="231"/>
      <c r="U137" s="231"/>
      <c r="V137" s="231"/>
      <c r="W137" s="231"/>
      <c r="X137" s="231"/>
      <c r="Y137" s="231"/>
      <c r="Z137" s="231"/>
      <c r="AA137" s="231"/>
      <c r="AB137" s="231"/>
      <c r="AC137" s="231"/>
      <c r="AD137" s="231"/>
      <c r="AE137" s="231"/>
      <c r="AF137" s="231"/>
      <c r="AG137" s="231"/>
      <c r="AH137" s="231"/>
    </row>
    <row r="138" spans="1:34" s="203" customFormat="1">
      <c r="A138" s="120">
        <v>34</v>
      </c>
      <c r="B138" s="47" t="s">
        <v>123</v>
      </c>
      <c r="C138" s="47"/>
      <c r="D138" s="47"/>
      <c r="E138" s="49">
        <v>0</v>
      </c>
      <c r="F138" s="52"/>
      <c r="G138" s="118"/>
      <c r="H138" s="122"/>
      <c r="I138" s="139"/>
      <c r="J138" s="231"/>
      <c r="K138" s="231"/>
      <c r="L138" s="231"/>
      <c r="M138" s="231"/>
      <c r="N138" s="231"/>
      <c r="O138" s="231"/>
      <c r="P138" s="231"/>
      <c r="Q138" s="231"/>
      <c r="R138" s="231"/>
      <c r="S138" s="231"/>
      <c r="T138" s="231"/>
      <c r="U138" s="231"/>
      <c r="V138" s="231"/>
      <c r="W138" s="231"/>
      <c r="X138" s="231"/>
      <c r="Y138" s="231"/>
      <c r="Z138" s="231"/>
      <c r="AA138" s="231"/>
      <c r="AB138" s="231"/>
      <c r="AC138" s="231"/>
      <c r="AD138" s="231"/>
      <c r="AE138" s="231"/>
      <c r="AF138" s="231"/>
      <c r="AG138" s="231"/>
      <c r="AH138" s="231"/>
    </row>
    <row r="139" spans="1:34" s="203" customFormat="1">
      <c r="A139" s="120">
        <v>35</v>
      </c>
      <c r="B139" s="47" t="s">
        <v>119</v>
      </c>
      <c r="C139" s="47"/>
      <c r="D139" s="47"/>
      <c r="E139" s="49">
        <v>0</v>
      </c>
      <c r="F139" s="52"/>
      <c r="G139" s="118"/>
      <c r="H139" s="122"/>
      <c r="I139" s="139"/>
      <c r="J139" s="231"/>
      <c r="K139" s="231"/>
      <c r="L139" s="231"/>
      <c r="M139" s="231"/>
      <c r="N139" s="231"/>
      <c r="O139" s="231"/>
      <c r="P139" s="231"/>
      <c r="Q139" s="231"/>
      <c r="R139" s="231"/>
      <c r="S139" s="231"/>
      <c r="T139" s="231"/>
      <c r="U139" s="231"/>
      <c r="V139" s="231"/>
      <c r="W139" s="231"/>
      <c r="X139" s="231"/>
      <c r="Y139" s="231"/>
      <c r="Z139" s="231"/>
      <c r="AA139" s="231"/>
      <c r="AB139" s="231"/>
      <c r="AC139" s="231"/>
      <c r="AD139" s="231"/>
      <c r="AE139" s="231"/>
      <c r="AF139" s="231"/>
      <c r="AG139" s="231"/>
      <c r="AH139" s="231"/>
    </row>
    <row r="140" spans="1:34" s="203" customFormat="1">
      <c r="A140" s="120">
        <v>36</v>
      </c>
      <c r="B140" s="47" t="s">
        <v>120</v>
      </c>
      <c r="C140" s="47"/>
      <c r="D140" s="47"/>
      <c r="E140" s="49">
        <v>0</v>
      </c>
      <c r="F140" s="52"/>
      <c r="G140" s="118"/>
      <c r="H140" s="122"/>
      <c r="I140" s="139"/>
      <c r="J140" s="231"/>
      <c r="K140" s="231"/>
      <c r="L140" s="231"/>
      <c r="M140" s="231"/>
      <c r="N140" s="231"/>
      <c r="O140" s="231"/>
      <c r="P140" s="231"/>
      <c r="Q140" s="231"/>
      <c r="R140" s="231"/>
      <c r="S140" s="231"/>
      <c r="T140" s="231"/>
      <c r="U140" s="231"/>
      <c r="V140" s="231"/>
      <c r="W140" s="231"/>
      <c r="X140" s="231"/>
      <c r="Y140" s="231"/>
      <c r="Z140" s="231"/>
      <c r="AA140" s="231"/>
      <c r="AB140" s="231"/>
      <c r="AC140" s="231"/>
      <c r="AD140" s="231"/>
      <c r="AE140" s="231"/>
      <c r="AF140" s="231"/>
      <c r="AG140" s="231"/>
      <c r="AH140" s="231"/>
    </row>
    <row r="141" spans="1:34" s="203" customFormat="1">
      <c r="A141" s="120">
        <v>37</v>
      </c>
      <c r="B141" s="90" t="s">
        <v>126</v>
      </c>
      <c r="C141" s="47"/>
      <c r="D141" s="47"/>
      <c r="E141" s="49">
        <v>0</v>
      </c>
      <c r="F141" s="52"/>
      <c r="G141" s="118"/>
      <c r="H141" s="99"/>
      <c r="I141" s="139"/>
      <c r="J141" s="231"/>
      <c r="K141" s="231"/>
      <c r="L141" s="231"/>
      <c r="M141" s="231"/>
      <c r="N141" s="231"/>
      <c r="O141" s="231"/>
      <c r="P141" s="231"/>
      <c r="Q141" s="231"/>
      <c r="R141" s="231"/>
      <c r="S141" s="231"/>
      <c r="T141" s="231"/>
      <c r="U141" s="231"/>
      <c r="V141" s="231"/>
      <c r="W141" s="231"/>
      <c r="X141" s="231"/>
      <c r="Y141" s="231"/>
      <c r="Z141" s="231"/>
      <c r="AA141" s="231"/>
      <c r="AB141" s="231"/>
      <c r="AC141" s="231"/>
      <c r="AD141" s="231"/>
      <c r="AE141" s="231"/>
      <c r="AF141" s="231"/>
      <c r="AG141" s="231"/>
      <c r="AH141" s="231"/>
    </row>
    <row r="142" spans="1:34" s="203" customFormat="1">
      <c r="A142" s="120">
        <v>38</v>
      </c>
      <c r="B142" s="47" t="s">
        <v>121</v>
      </c>
      <c r="C142" s="47"/>
      <c r="D142" s="47"/>
      <c r="E142" s="49">
        <v>26390</v>
      </c>
      <c r="F142" s="52">
        <v>28518</v>
      </c>
      <c r="G142" s="118"/>
      <c r="H142" s="100">
        <v>29829</v>
      </c>
      <c r="I142" s="139"/>
      <c r="J142" s="231"/>
      <c r="K142" s="231"/>
      <c r="L142" s="231"/>
      <c r="M142" s="231"/>
      <c r="N142" s="231"/>
      <c r="O142" s="231"/>
      <c r="P142" s="231"/>
      <c r="Q142" s="231"/>
      <c r="R142" s="231"/>
      <c r="S142" s="231"/>
      <c r="T142" s="231"/>
      <c r="U142" s="231"/>
      <c r="V142" s="231"/>
      <c r="W142" s="231"/>
      <c r="X142" s="231"/>
      <c r="Y142" s="231"/>
      <c r="Z142" s="231"/>
      <c r="AA142" s="231"/>
      <c r="AB142" s="231"/>
      <c r="AC142" s="231"/>
      <c r="AD142" s="231"/>
      <c r="AE142" s="231"/>
      <c r="AF142" s="231"/>
      <c r="AG142" s="231"/>
      <c r="AH142" s="231"/>
    </row>
    <row r="143" spans="1:34" s="203" customFormat="1">
      <c r="A143" s="120">
        <v>39</v>
      </c>
      <c r="B143" s="116" t="s">
        <v>129</v>
      </c>
      <c r="C143" s="116"/>
      <c r="D143" s="116"/>
      <c r="E143" s="80">
        <v>26390</v>
      </c>
      <c r="F143" s="142">
        <f>SUM(F138:F142)</f>
        <v>28518</v>
      </c>
      <c r="G143" s="118"/>
      <c r="H143" s="142">
        <f>SUM(H138:H142)</f>
        <v>29829</v>
      </c>
      <c r="I143" s="139"/>
      <c r="J143" s="231"/>
      <c r="K143" s="231"/>
      <c r="L143" s="231"/>
      <c r="M143" s="231"/>
      <c r="N143" s="231"/>
      <c r="O143" s="231"/>
      <c r="P143" s="231"/>
      <c r="Q143" s="231"/>
      <c r="R143" s="231"/>
      <c r="S143" s="231"/>
      <c r="T143" s="231"/>
      <c r="U143" s="231"/>
      <c r="V143" s="231"/>
      <c r="W143" s="231"/>
      <c r="X143" s="231"/>
      <c r="Y143" s="231"/>
      <c r="Z143" s="231"/>
      <c r="AA143" s="231"/>
      <c r="AB143" s="231"/>
      <c r="AC143" s="231"/>
      <c r="AD143" s="231"/>
      <c r="AE143" s="231"/>
      <c r="AF143" s="231"/>
      <c r="AG143" s="231"/>
      <c r="AH143" s="231"/>
    </row>
    <row r="144" spans="1:34" s="203" customFormat="1">
      <c r="A144" s="111"/>
      <c r="B144" s="47"/>
      <c r="C144" s="47"/>
      <c r="D144" s="47"/>
      <c r="E144" s="117"/>
      <c r="F144" s="118"/>
      <c r="G144" s="118"/>
      <c r="H144" s="118"/>
      <c r="I144" s="139"/>
      <c r="J144" s="231"/>
      <c r="K144" s="231"/>
      <c r="L144" s="231"/>
      <c r="M144" s="231"/>
      <c r="N144" s="231"/>
      <c r="O144" s="231"/>
      <c r="P144" s="231"/>
      <c r="Q144" s="231"/>
      <c r="R144" s="231"/>
      <c r="S144" s="231"/>
      <c r="T144" s="231"/>
      <c r="U144" s="231"/>
      <c r="V144" s="231"/>
      <c r="W144" s="231"/>
      <c r="X144" s="231"/>
      <c r="Y144" s="231"/>
      <c r="Z144" s="231"/>
      <c r="AA144" s="231"/>
      <c r="AB144" s="231"/>
      <c r="AC144" s="231"/>
      <c r="AD144" s="231"/>
      <c r="AE144" s="231"/>
      <c r="AF144" s="231"/>
      <c r="AG144" s="231"/>
      <c r="AH144" s="231"/>
    </row>
    <row r="145" spans="1:34" s="203" customFormat="1">
      <c r="A145" s="119" t="s">
        <v>110</v>
      </c>
      <c r="B145" s="116"/>
      <c r="C145" s="116"/>
      <c r="D145" s="116"/>
      <c r="E145" s="140"/>
      <c r="F145" s="146"/>
      <c r="G145" s="118"/>
      <c r="H145" s="146"/>
      <c r="I145" s="139"/>
      <c r="J145" s="231"/>
      <c r="K145" s="231"/>
      <c r="L145" s="231"/>
      <c r="M145" s="231"/>
      <c r="N145" s="231"/>
      <c r="O145" s="231"/>
      <c r="P145" s="231"/>
      <c r="Q145" s="231"/>
      <c r="R145" s="231"/>
      <c r="S145" s="231"/>
      <c r="T145" s="231"/>
      <c r="U145" s="231"/>
      <c r="V145" s="231"/>
      <c r="W145" s="231"/>
      <c r="X145" s="231"/>
      <c r="Y145" s="231"/>
      <c r="Z145" s="231"/>
      <c r="AA145" s="231"/>
      <c r="AB145" s="231"/>
      <c r="AC145" s="231"/>
      <c r="AD145" s="231"/>
      <c r="AE145" s="231"/>
      <c r="AF145" s="231"/>
      <c r="AG145" s="231"/>
      <c r="AH145" s="231"/>
    </row>
    <row r="146" spans="1:34" s="203" customFormat="1">
      <c r="A146" s="120">
        <v>40</v>
      </c>
      <c r="B146" s="47" t="s">
        <v>123</v>
      </c>
      <c r="C146" s="47"/>
      <c r="D146" s="47"/>
      <c r="E146" s="49">
        <v>0</v>
      </c>
      <c r="F146" s="52"/>
      <c r="G146" s="118"/>
      <c r="H146" s="122"/>
      <c r="I146" s="139"/>
      <c r="J146" s="231"/>
      <c r="K146" s="231"/>
      <c r="L146" s="231"/>
      <c r="M146" s="231"/>
      <c r="N146" s="231"/>
      <c r="O146" s="231"/>
      <c r="P146" s="231"/>
      <c r="Q146" s="231"/>
      <c r="R146" s="231"/>
      <c r="S146" s="231"/>
      <c r="T146" s="231"/>
      <c r="U146" s="231"/>
      <c r="V146" s="231"/>
      <c r="W146" s="231"/>
      <c r="X146" s="231"/>
      <c r="Y146" s="231"/>
      <c r="Z146" s="231"/>
      <c r="AA146" s="231"/>
      <c r="AB146" s="231"/>
      <c r="AC146" s="231"/>
      <c r="AD146" s="231"/>
      <c r="AE146" s="231"/>
      <c r="AF146" s="231"/>
      <c r="AG146" s="231"/>
      <c r="AH146" s="231"/>
    </row>
    <row r="147" spans="1:34" s="203" customFormat="1">
      <c r="A147" s="120">
        <v>41</v>
      </c>
      <c r="B147" s="47" t="s">
        <v>119</v>
      </c>
      <c r="C147" s="47"/>
      <c r="D147" s="47"/>
      <c r="E147" s="49">
        <v>0</v>
      </c>
      <c r="F147" s="52"/>
      <c r="G147" s="118"/>
      <c r="H147" s="122"/>
      <c r="I147" s="139"/>
      <c r="J147" s="231"/>
      <c r="K147" s="231"/>
      <c r="L147" s="231"/>
      <c r="M147" s="231"/>
      <c r="N147" s="231"/>
      <c r="O147" s="231"/>
      <c r="P147" s="231"/>
      <c r="Q147" s="231"/>
      <c r="R147" s="231"/>
      <c r="S147" s="231"/>
      <c r="T147" s="231"/>
      <c r="U147" s="231"/>
      <c r="V147" s="231"/>
      <c r="W147" s="231"/>
      <c r="X147" s="231"/>
      <c r="Y147" s="231"/>
      <c r="Z147" s="231"/>
      <c r="AA147" s="231"/>
      <c r="AB147" s="231"/>
      <c r="AC147" s="231"/>
      <c r="AD147" s="231"/>
      <c r="AE147" s="231"/>
      <c r="AF147" s="231"/>
      <c r="AG147" s="231"/>
      <c r="AH147" s="231"/>
    </row>
    <row r="148" spans="1:34" s="203" customFormat="1">
      <c r="A148" s="120">
        <v>42</v>
      </c>
      <c r="B148" s="47" t="s">
        <v>120</v>
      </c>
      <c r="C148" s="47"/>
      <c r="D148" s="47"/>
      <c r="E148" s="49">
        <v>0</v>
      </c>
      <c r="F148" s="52"/>
      <c r="G148" s="118"/>
      <c r="H148" s="122"/>
      <c r="I148" s="139"/>
      <c r="J148" s="231"/>
      <c r="K148" s="231"/>
      <c r="L148" s="231"/>
      <c r="M148" s="231"/>
      <c r="N148" s="231"/>
      <c r="O148" s="231"/>
      <c r="P148" s="231"/>
      <c r="Q148" s="231"/>
      <c r="R148" s="231"/>
      <c r="S148" s="231"/>
      <c r="T148" s="231"/>
      <c r="U148" s="231"/>
      <c r="V148" s="231"/>
      <c r="W148" s="231"/>
      <c r="X148" s="231"/>
      <c r="Y148" s="231"/>
      <c r="Z148" s="231"/>
      <c r="AA148" s="231"/>
      <c r="AB148" s="231"/>
      <c r="AC148" s="231"/>
      <c r="AD148" s="231"/>
      <c r="AE148" s="231"/>
      <c r="AF148" s="231"/>
      <c r="AG148" s="231"/>
      <c r="AH148" s="231"/>
    </row>
    <row r="149" spans="1:34" s="203" customFormat="1">
      <c r="A149" s="120">
        <v>43</v>
      </c>
      <c r="B149" s="47" t="s">
        <v>121</v>
      </c>
      <c r="C149" s="47"/>
      <c r="D149" s="47"/>
      <c r="E149" s="49">
        <v>5709</v>
      </c>
      <c r="F149" s="52">
        <v>5924</v>
      </c>
      <c r="G149" s="118"/>
      <c r="H149" s="100">
        <v>6197</v>
      </c>
      <c r="I149" s="139"/>
      <c r="J149" s="231"/>
      <c r="K149" s="231"/>
      <c r="L149" s="231"/>
      <c r="M149" s="231"/>
      <c r="N149" s="231"/>
      <c r="O149" s="231"/>
      <c r="P149" s="231"/>
      <c r="Q149" s="231"/>
      <c r="R149" s="231"/>
      <c r="S149" s="231"/>
      <c r="T149" s="231"/>
      <c r="U149" s="231"/>
      <c r="V149" s="231"/>
      <c r="W149" s="231"/>
      <c r="X149" s="231"/>
      <c r="Y149" s="231"/>
      <c r="Z149" s="231"/>
      <c r="AA149" s="231"/>
      <c r="AB149" s="231"/>
      <c r="AC149" s="231"/>
      <c r="AD149" s="231"/>
      <c r="AE149" s="231"/>
      <c r="AF149" s="231"/>
      <c r="AG149" s="231"/>
      <c r="AH149" s="231"/>
    </row>
    <row r="150" spans="1:34" s="203" customFormat="1">
      <c r="A150" s="124">
        <v>44</v>
      </c>
      <c r="B150" s="94" t="s">
        <v>130</v>
      </c>
      <c r="C150" s="94"/>
      <c r="D150" s="94"/>
      <c r="E150" s="80">
        <v>5709</v>
      </c>
      <c r="F150" s="142">
        <f>SUM(F146:F149)</f>
        <v>5924</v>
      </c>
      <c r="G150" s="259"/>
      <c r="H150" s="142">
        <f>SUM(H146:H149)</f>
        <v>6197</v>
      </c>
      <c r="I150" s="139"/>
      <c r="J150" s="231"/>
      <c r="K150" s="231"/>
      <c r="L150" s="231"/>
      <c r="M150" s="231"/>
      <c r="N150" s="231"/>
      <c r="O150" s="231"/>
      <c r="P150" s="231"/>
      <c r="Q150" s="231"/>
      <c r="R150" s="231"/>
      <c r="S150" s="231"/>
      <c r="T150" s="231"/>
      <c r="U150" s="231"/>
      <c r="V150" s="231"/>
      <c r="W150" s="231"/>
      <c r="X150" s="231"/>
      <c r="Y150" s="231"/>
      <c r="Z150" s="231"/>
      <c r="AA150" s="231"/>
      <c r="AB150" s="231"/>
      <c r="AC150" s="231"/>
      <c r="AD150" s="231"/>
      <c r="AE150" s="231"/>
      <c r="AF150" s="231"/>
      <c r="AG150" s="231"/>
      <c r="AH150" s="231"/>
    </row>
    <row r="151" spans="1:34" s="203" customFormat="1">
      <c r="A151" s="148"/>
      <c r="B151" s="129"/>
      <c r="C151" s="129"/>
      <c r="D151" s="149"/>
      <c r="E151" s="150"/>
      <c r="F151" s="29"/>
      <c r="G151" s="29"/>
      <c r="H151" s="207"/>
      <c r="I151" s="29"/>
      <c r="J151" s="231"/>
      <c r="K151" s="231"/>
      <c r="L151" s="231"/>
      <c r="M151" s="231"/>
      <c r="N151" s="231"/>
      <c r="O151" s="231"/>
      <c r="P151" s="231"/>
      <c r="Q151" s="231"/>
      <c r="R151" s="231"/>
      <c r="S151" s="231"/>
      <c r="T151" s="231"/>
      <c r="U151" s="231"/>
      <c r="V151" s="231"/>
      <c r="W151" s="231"/>
      <c r="X151" s="231"/>
      <c r="Y151" s="231"/>
      <c r="Z151" s="231"/>
      <c r="AA151" s="231"/>
      <c r="AB151" s="231"/>
      <c r="AC151" s="231"/>
      <c r="AD151" s="231"/>
      <c r="AE151" s="231"/>
      <c r="AF151" s="231"/>
      <c r="AG151" s="231"/>
      <c r="AH151" s="231"/>
    </row>
    <row r="152" spans="1:34" s="203" customFormat="1">
      <c r="A152" s="148"/>
      <c r="B152" s="129"/>
      <c r="C152" s="129"/>
      <c r="D152" s="151"/>
      <c r="E152" s="152"/>
      <c r="F152" s="29"/>
      <c r="G152" s="29"/>
      <c r="H152" s="131" t="s">
        <v>27</v>
      </c>
      <c r="I152" s="29"/>
      <c r="J152" s="231"/>
      <c r="K152" s="231"/>
      <c r="L152" s="231"/>
      <c r="M152" s="231"/>
      <c r="N152" s="231"/>
      <c r="O152" s="231"/>
      <c r="P152" s="231"/>
      <c r="Q152" s="231"/>
      <c r="R152" s="231"/>
      <c r="S152" s="231"/>
      <c r="T152" s="231"/>
      <c r="U152" s="231"/>
      <c r="V152" s="231"/>
      <c r="W152" s="231"/>
      <c r="X152" s="231"/>
      <c r="Y152" s="231"/>
      <c r="Z152" s="231"/>
      <c r="AA152" s="231"/>
      <c r="AB152" s="231"/>
      <c r="AC152" s="231"/>
      <c r="AD152" s="231"/>
      <c r="AE152" s="231"/>
      <c r="AF152" s="231"/>
      <c r="AG152" s="231"/>
      <c r="AH152" s="231"/>
    </row>
    <row r="153" spans="1:34" s="203" customFormat="1">
      <c r="A153" s="106" t="s">
        <v>20</v>
      </c>
      <c r="B153" s="107"/>
      <c r="C153" s="107"/>
      <c r="D153" s="107"/>
      <c r="E153" s="856" t="s">
        <v>377</v>
      </c>
      <c r="F153" s="856" t="s">
        <v>402</v>
      </c>
      <c r="G153" s="130"/>
      <c r="H153" s="856" t="s">
        <v>403</v>
      </c>
      <c r="I153" s="130"/>
      <c r="J153" s="231"/>
      <c r="K153" s="231"/>
      <c r="L153" s="231"/>
      <c r="M153" s="231"/>
      <c r="N153" s="231"/>
      <c r="O153" s="231"/>
      <c r="P153" s="231"/>
      <c r="Q153" s="231"/>
      <c r="R153" s="231"/>
      <c r="S153" s="231"/>
      <c r="T153" s="231"/>
      <c r="U153" s="231"/>
      <c r="V153" s="231"/>
      <c r="W153" s="231"/>
      <c r="X153" s="231"/>
      <c r="Y153" s="231"/>
      <c r="Z153" s="231"/>
      <c r="AA153" s="231"/>
      <c r="AB153" s="231"/>
      <c r="AC153" s="231"/>
      <c r="AD153" s="231"/>
      <c r="AE153" s="231"/>
      <c r="AF153" s="231"/>
      <c r="AG153" s="231"/>
      <c r="AH153" s="231"/>
    </row>
    <row r="154" spans="1:34" s="203" customFormat="1">
      <c r="A154" s="153"/>
      <c r="B154" s="132"/>
      <c r="C154" s="132"/>
      <c r="D154" s="132"/>
      <c r="E154" s="859"/>
      <c r="F154" s="859"/>
      <c r="G154" s="130"/>
      <c r="H154" s="859"/>
      <c r="I154" s="130"/>
      <c r="J154" s="231"/>
      <c r="K154" s="231"/>
      <c r="L154" s="231"/>
      <c r="M154" s="231"/>
      <c r="N154" s="231"/>
      <c r="O154" s="231"/>
      <c r="P154" s="231"/>
      <c r="Q154" s="231"/>
      <c r="R154" s="231"/>
      <c r="S154" s="231"/>
      <c r="T154" s="231"/>
      <c r="U154" s="231"/>
      <c r="V154" s="231"/>
      <c r="W154" s="231"/>
      <c r="X154" s="231"/>
      <c r="Y154" s="231"/>
      <c r="Z154" s="231"/>
      <c r="AA154" s="231"/>
      <c r="AB154" s="231"/>
      <c r="AC154" s="231"/>
      <c r="AD154" s="231"/>
      <c r="AE154" s="231"/>
      <c r="AF154" s="231"/>
      <c r="AG154" s="231"/>
      <c r="AH154" s="231"/>
    </row>
    <row r="155" spans="1:34" s="203" customFormat="1">
      <c r="A155" s="154" t="s">
        <v>131</v>
      </c>
      <c r="B155" s="116"/>
      <c r="C155" s="116"/>
      <c r="D155" s="116"/>
      <c r="E155" s="859"/>
      <c r="F155" s="859"/>
      <c r="G155" s="130"/>
      <c r="H155" s="859"/>
      <c r="I155" s="130"/>
      <c r="J155" s="231"/>
      <c r="K155" s="231"/>
      <c r="L155" s="231"/>
      <c r="M155" s="231"/>
      <c r="N155" s="231"/>
      <c r="O155" s="231"/>
      <c r="P155" s="231"/>
      <c r="Q155" s="231"/>
      <c r="R155" s="231"/>
      <c r="S155" s="231"/>
      <c r="T155" s="231"/>
      <c r="U155" s="231"/>
      <c r="V155" s="231"/>
      <c r="W155" s="231"/>
      <c r="X155" s="231"/>
      <c r="Y155" s="231"/>
      <c r="Z155" s="231"/>
      <c r="AA155" s="231"/>
      <c r="AB155" s="231"/>
      <c r="AC155" s="231"/>
      <c r="AD155" s="231"/>
      <c r="AE155" s="231"/>
      <c r="AF155" s="231"/>
      <c r="AG155" s="231"/>
      <c r="AH155" s="231"/>
    </row>
    <row r="156" spans="1:34" s="203" customFormat="1" ht="12.75" customHeight="1">
      <c r="A156" s="109" t="s">
        <v>83</v>
      </c>
      <c r="B156" s="47"/>
      <c r="C156" s="47"/>
      <c r="D156" s="47"/>
      <c r="E156" s="859"/>
      <c r="F156" s="859"/>
      <c r="G156" s="130"/>
      <c r="H156" s="859"/>
      <c r="I156" s="130"/>
      <c r="J156" s="231"/>
      <c r="K156" s="231"/>
      <c r="L156" s="231"/>
      <c r="M156" s="231"/>
      <c r="N156" s="231"/>
      <c r="O156" s="231"/>
      <c r="P156" s="231"/>
      <c r="Q156" s="231"/>
      <c r="R156" s="231"/>
      <c r="S156" s="231"/>
      <c r="T156" s="231"/>
      <c r="U156" s="231"/>
      <c r="V156" s="231"/>
      <c r="W156" s="231"/>
      <c r="X156" s="231"/>
      <c r="Y156" s="231"/>
      <c r="Z156" s="231"/>
      <c r="AA156" s="231"/>
      <c r="AB156" s="231"/>
      <c r="AC156" s="231"/>
      <c r="AD156" s="231"/>
      <c r="AE156" s="231"/>
      <c r="AF156" s="231"/>
      <c r="AG156" s="231"/>
      <c r="AH156" s="231"/>
    </row>
    <row r="157" spans="1:34" s="203" customFormat="1">
      <c r="A157" s="110" t="s">
        <v>84</v>
      </c>
      <c r="B157" s="132"/>
      <c r="C157" s="132"/>
      <c r="D157" s="132"/>
      <c r="E157" s="860"/>
      <c r="F157" s="860"/>
      <c r="G157" s="130"/>
      <c r="H157" s="860"/>
      <c r="I157" s="130"/>
      <c r="J157" s="231"/>
      <c r="K157" s="231"/>
      <c r="L157" s="231"/>
      <c r="M157" s="231"/>
      <c r="N157" s="231"/>
      <c r="O157" s="231"/>
      <c r="P157" s="231"/>
      <c r="Q157" s="231"/>
      <c r="R157" s="231"/>
      <c r="S157" s="231"/>
      <c r="T157" s="231"/>
      <c r="U157" s="231"/>
      <c r="V157" s="231"/>
      <c r="W157" s="231"/>
      <c r="X157" s="231"/>
      <c r="Y157" s="231"/>
      <c r="Z157" s="231"/>
      <c r="AA157" s="231"/>
      <c r="AB157" s="231"/>
      <c r="AC157" s="231"/>
      <c r="AD157" s="231"/>
      <c r="AE157" s="231"/>
      <c r="AF157" s="231"/>
      <c r="AG157" s="231"/>
      <c r="AH157" s="231"/>
    </row>
    <row r="158" spans="1:34" s="203" customFormat="1">
      <c r="A158" s="119" t="s">
        <v>132</v>
      </c>
      <c r="B158" s="47"/>
      <c r="C158" s="47"/>
      <c r="D158" s="47"/>
      <c r="E158" s="155"/>
      <c r="F158" s="146" t="s">
        <v>133</v>
      </c>
      <c r="G158" s="118"/>
      <c r="H158" s="146"/>
      <c r="I158" s="29"/>
      <c r="J158" s="231"/>
      <c r="K158" s="231"/>
      <c r="L158" s="231"/>
      <c r="M158" s="231"/>
      <c r="N158" s="231"/>
      <c r="O158" s="231"/>
      <c r="P158" s="231"/>
      <c r="Q158" s="231"/>
      <c r="R158" s="231"/>
      <c r="S158" s="231"/>
      <c r="T158" s="231"/>
      <c r="U158" s="231"/>
      <c r="V158" s="231"/>
      <c r="W158" s="231"/>
      <c r="X158" s="231"/>
      <c r="Y158" s="231"/>
      <c r="Z158" s="231"/>
      <c r="AA158" s="231"/>
      <c r="AB158" s="231"/>
      <c r="AC158" s="231"/>
      <c r="AD158" s="231"/>
      <c r="AE158" s="231"/>
      <c r="AF158" s="231"/>
      <c r="AG158" s="231"/>
      <c r="AH158" s="231"/>
    </row>
    <row r="159" spans="1:34" s="203" customFormat="1">
      <c r="A159" s="120">
        <v>1</v>
      </c>
      <c r="B159" s="47" t="s">
        <v>134</v>
      </c>
      <c r="C159" s="47"/>
      <c r="D159" s="47"/>
      <c r="E159" s="74">
        <v>0</v>
      </c>
      <c r="F159" s="52">
        <v>0</v>
      </c>
      <c r="G159" s="118"/>
      <c r="H159" s="122">
        <v>0</v>
      </c>
      <c r="I159" s="29"/>
      <c r="J159" s="231"/>
      <c r="K159" s="231"/>
      <c r="L159" s="231"/>
      <c r="M159" s="231"/>
      <c r="N159" s="231"/>
      <c r="O159" s="231"/>
      <c r="P159" s="231"/>
      <c r="Q159" s="231"/>
      <c r="R159" s="231"/>
      <c r="S159" s="231"/>
      <c r="T159" s="231"/>
      <c r="U159" s="231"/>
      <c r="V159" s="231"/>
      <c r="W159" s="231"/>
      <c r="X159" s="231"/>
      <c r="Y159" s="231"/>
      <c r="Z159" s="231"/>
      <c r="AA159" s="231"/>
      <c r="AB159" s="231"/>
      <c r="AC159" s="231"/>
      <c r="AD159" s="231"/>
      <c r="AE159" s="231"/>
      <c r="AF159" s="231"/>
      <c r="AG159" s="231"/>
      <c r="AH159" s="231"/>
    </row>
    <row r="160" spans="1:34" s="203" customFormat="1">
      <c r="A160" s="120">
        <v>2</v>
      </c>
      <c r="B160" s="47" t="s">
        <v>135</v>
      </c>
      <c r="C160" s="47"/>
      <c r="D160" s="47"/>
      <c r="E160" s="49">
        <v>5424</v>
      </c>
      <c r="F160" s="52">
        <v>5125</v>
      </c>
      <c r="G160" s="118"/>
      <c r="H160" s="122">
        <v>5875</v>
      </c>
      <c r="I160" s="29"/>
      <c r="J160" s="231"/>
      <c r="K160" s="231"/>
      <c r="L160" s="231"/>
      <c r="M160" s="231"/>
      <c r="N160" s="231"/>
      <c r="O160" s="231"/>
      <c r="P160" s="231"/>
      <c r="Q160" s="231"/>
      <c r="R160" s="231"/>
      <c r="S160" s="231"/>
      <c r="T160" s="231"/>
      <c r="U160" s="231"/>
      <c r="V160" s="231"/>
      <c r="W160" s="231"/>
      <c r="X160" s="231"/>
      <c r="Y160" s="231"/>
      <c r="Z160" s="231"/>
      <c r="AA160" s="231"/>
      <c r="AB160" s="231"/>
      <c r="AC160" s="231"/>
      <c r="AD160" s="231"/>
      <c r="AE160" s="231"/>
      <c r="AF160" s="231"/>
      <c r="AG160" s="231"/>
      <c r="AH160" s="231"/>
    </row>
    <row r="161" spans="1:34" s="203" customFormat="1">
      <c r="A161" s="120">
        <v>3</v>
      </c>
      <c r="B161" s="47" t="s">
        <v>136</v>
      </c>
      <c r="C161" s="47"/>
      <c r="D161" s="47"/>
      <c r="E161" s="114">
        <v>8200</v>
      </c>
      <c r="F161" s="52">
        <v>7319</v>
      </c>
      <c r="G161" s="118"/>
      <c r="H161" s="122">
        <v>9611</v>
      </c>
      <c r="I161" s="29"/>
      <c r="J161" s="231"/>
      <c r="K161" s="231"/>
      <c r="L161" s="231"/>
      <c r="M161" s="231"/>
      <c r="N161" s="231"/>
      <c r="O161" s="231"/>
      <c r="P161" s="231"/>
      <c r="Q161" s="231"/>
      <c r="R161" s="231"/>
      <c r="S161" s="231"/>
      <c r="T161" s="231"/>
      <c r="U161" s="231"/>
      <c r="V161" s="231"/>
      <c r="W161" s="231"/>
      <c r="X161" s="231"/>
      <c r="Y161" s="231"/>
      <c r="Z161" s="231"/>
      <c r="AA161" s="231"/>
      <c r="AB161" s="231"/>
      <c r="AC161" s="231"/>
      <c r="AD161" s="231"/>
      <c r="AE161" s="231"/>
      <c r="AF161" s="231"/>
      <c r="AG161" s="231"/>
      <c r="AH161" s="231"/>
    </row>
    <row r="162" spans="1:34" s="203" customFormat="1">
      <c r="A162" s="120">
        <v>4</v>
      </c>
      <c r="B162" s="47" t="s">
        <v>137</v>
      </c>
      <c r="C162" s="47"/>
      <c r="D162" s="47"/>
      <c r="E162" s="114">
        <v>3655</v>
      </c>
      <c r="F162" s="52">
        <v>3662</v>
      </c>
      <c r="G162" s="118"/>
      <c r="H162" s="100">
        <v>3694</v>
      </c>
      <c r="I162" s="29"/>
      <c r="J162" s="231"/>
      <c r="K162" s="231"/>
      <c r="L162" s="231"/>
      <c r="M162" s="231"/>
      <c r="N162" s="231"/>
      <c r="O162" s="231"/>
      <c r="P162" s="231"/>
      <c r="Q162" s="231"/>
      <c r="R162" s="231"/>
      <c r="S162" s="231"/>
      <c r="T162" s="231"/>
      <c r="U162" s="231"/>
      <c r="V162" s="231"/>
      <c r="W162" s="231"/>
      <c r="X162" s="231"/>
      <c r="Y162" s="231"/>
      <c r="Z162" s="231"/>
      <c r="AA162" s="231"/>
      <c r="AB162" s="231"/>
      <c r="AC162" s="231"/>
      <c r="AD162" s="231"/>
      <c r="AE162" s="231"/>
      <c r="AF162" s="231"/>
      <c r="AG162" s="231"/>
      <c r="AH162" s="231"/>
    </row>
    <row r="163" spans="1:34" s="203" customFormat="1">
      <c r="A163" s="120">
        <v>5</v>
      </c>
      <c r="B163" s="116" t="s">
        <v>138</v>
      </c>
      <c r="C163" s="116"/>
      <c r="D163" s="116"/>
      <c r="E163" s="80">
        <v>17279</v>
      </c>
      <c r="F163" s="142">
        <f>SUM(F159:F162)</f>
        <v>16106</v>
      </c>
      <c r="G163" s="118"/>
      <c r="H163" s="142">
        <f>SUM(H159:H162)</f>
        <v>19180</v>
      </c>
      <c r="I163" s="29"/>
      <c r="J163" s="231"/>
      <c r="K163" s="231"/>
      <c r="L163" s="231"/>
      <c r="M163" s="231"/>
      <c r="N163" s="231"/>
      <c r="O163" s="231"/>
      <c r="P163" s="231"/>
      <c r="Q163" s="231"/>
      <c r="R163" s="231"/>
      <c r="S163" s="231"/>
      <c r="T163" s="231"/>
      <c r="U163" s="231"/>
      <c r="V163" s="231"/>
      <c r="W163" s="231"/>
      <c r="X163" s="231"/>
      <c r="Y163" s="231"/>
      <c r="Z163" s="231"/>
      <c r="AA163" s="231"/>
      <c r="AB163" s="231"/>
      <c r="AC163" s="231"/>
      <c r="AD163" s="231"/>
      <c r="AE163" s="231"/>
      <c r="AF163" s="231"/>
      <c r="AG163" s="231"/>
      <c r="AH163" s="231"/>
    </row>
    <row r="164" spans="1:34" s="203" customFormat="1">
      <c r="A164" s="46"/>
      <c r="B164" s="132"/>
      <c r="C164" s="132"/>
      <c r="D164" s="132"/>
      <c r="E164" s="156"/>
      <c r="F164" s="139"/>
      <c r="G164" s="139"/>
      <c r="H164" s="139"/>
      <c r="I164" s="29"/>
      <c r="J164" s="231"/>
      <c r="K164" s="231"/>
      <c r="L164" s="231"/>
      <c r="M164" s="231"/>
      <c r="N164" s="231"/>
      <c r="O164" s="231"/>
      <c r="P164" s="231"/>
      <c r="Q164" s="231"/>
      <c r="R164" s="231"/>
      <c r="S164" s="231"/>
      <c r="T164" s="231"/>
      <c r="U164" s="231"/>
      <c r="V164" s="231"/>
      <c r="W164" s="231"/>
      <c r="X164" s="231"/>
      <c r="Y164" s="231"/>
      <c r="Z164" s="231"/>
      <c r="AA164" s="231"/>
      <c r="AB164" s="231"/>
      <c r="AC164" s="231"/>
      <c r="AD164" s="231"/>
      <c r="AE164" s="231"/>
      <c r="AF164" s="231"/>
      <c r="AG164" s="231"/>
      <c r="AH164" s="231"/>
    </row>
    <row r="165" spans="1:34" s="203" customFormat="1">
      <c r="A165" s="119" t="s">
        <v>139</v>
      </c>
      <c r="B165" s="47"/>
      <c r="C165" s="47"/>
      <c r="D165" s="47"/>
      <c r="E165" s="140"/>
      <c r="F165" s="146"/>
      <c r="G165" s="118"/>
      <c r="H165" s="146"/>
      <c r="I165" s="29"/>
      <c r="J165" s="231"/>
      <c r="K165" s="231"/>
      <c r="L165" s="231"/>
      <c r="M165" s="231"/>
      <c r="N165" s="231"/>
      <c r="O165" s="231"/>
      <c r="P165" s="231"/>
      <c r="Q165" s="231"/>
      <c r="R165" s="231"/>
      <c r="S165" s="231"/>
      <c r="T165" s="231"/>
      <c r="U165" s="231"/>
      <c r="V165" s="231"/>
      <c r="W165" s="231"/>
      <c r="X165" s="231"/>
      <c r="Y165" s="231"/>
      <c r="Z165" s="231"/>
      <c r="AA165" s="231"/>
      <c r="AB165" s="231"/>
      <c r="AC165" s="231"/>
      <c r="AD165" s="231"/>
      <c r="AE165" s="231"/>
      <c r="AF165" s="231"/>
      <c r="AG165" s="231"/>
      <c r="AH165" s="231"/>
    </row>
    <row r="166" spans="1:34" s="203" customFormat="1">
      <c r="A166" s="120">
        <v>6</v>
      </c>
      <c r="B166" s="47" t="s">
        <v>140</v>
      </c>
      <c r="C166" s="47"/>
      <c r="D166" s="47"/>
      <c r="E166" s="74">
        <v>334</v>
      </c>
      <c r="F166" s="52">
        <v>334</v>
      </c>
      <c r="G166" s="118"/>
      <c r="H166" s="122">
        <v>343</v>
      </c>
      <c r="I166" s="29"/>
      <c r="J166" s="231"/>
      <c r="K166" s="231"/>
      <c r="L166" s="231"/>
      <c r="M166" s="231"/>
      <c r="N166" s="231"/>
      <c r="O166" s="231"/>
      <c r="P166" s="231"/>
      <c r="Q166" s="231"/>
      <c r="R166" s="231"/>
      <c r="S166" s="231"/>
      <c r="T166" s="231"/>
      <c r="U166" s="231"/>
      <c r="V166" s="231"/>
      <c r="W166" s="231"/>
      <c r="X166" s="231"/>
      <c r="Y166" s="231"/>
      <c r="Z166" s="231"/>
      <c r="AA166" s="231"/>
      <c r="AB166" s="231"/>
      <c r="AC166" s="231"/>
      <c r="AD166" s="231"/>
      <c r="AE166" s="231"/>
      <c r="AF166" s="231"/>
      <c r="AG166" s="231"/>
      <c r="AH166" s="231"/>
    </row>
    <row r="167" spans="1:34" s="203" customFormat="1">
      <c r="A167" s="120">
        <v>7</v>
      </c>
      <c r="B167" s="47" t="s">
        <v>141</v>
      </c>
      <c r="C167" s="47"/>
      <c r="D167" s="47"/>
      <c r="E167" s="49">
        <v>414</v>
      </c>
      <c r="F167" s="52">
        <v>475</v>
      </c>
      <c r="G167" s="118"/>
      <c r="H167" s="122">
        <v>266</v>
      </c>
      <c r="I167" s="29"/>
      <c r="J167" s="231"/>
      <c r="K167" s="231"/>
      <c r="L167" s="231"/>
      <c r="M167" s="231"/>
      <c r="N167" s="231"/>
      <c r="O167" s="231"/>
      <c r="P167" s="231"/>
      <c r="Q167" s="231"/>
      <c r="R167" s="231"/>
      <c r="S167" s="231"/>
      <c r="T167" s="231"/>
      <c r="U167" s="231"/>
      <c r="V167" s="231"/>
      <c r="W167" s="231"/>
      <c r="X167" s="231"/>
      <c r="Y167" s="231"/>
      <c r="Z167" s="231"/>
      <c r="AA167" s="231"/>
      <c r="AB167" s="231"/>
      <c r="AC167" s="231"/>
      <c r="AD167" s="231"/>
      <c r="AE167" s="231"/>
      <c r="AF167" s="231"/>
      <c r="AG167" s="231"/>
      <c r="AH167" s="231"/>
    </row>
    <row r="168" spans="1:34" s="203" customFormat="1">
      <c r="A168" s="120">
        <v>8</v>
      </c>
      <c r="B168" s="47" t="s">
        <v>121</v>
      </c>
      <c r="C168" s="47"/>
      <c r="D168" s="47"/>
      <c r="E168" s="49">
        <v>622</v>
      </c>
      <c r="F168" s="52">
        <v>676</v>
      </c>
      <c r="G168" s="118"/>
      <c r="H168" s="100">
        <v>653</v>
      </c>
      <c r="I168" s="29"/>
      <c r="J168" s="231"/>
      <c r="K168" s="231"/>
      <c r="L168" s="231"/>
      <c r="M168" s="231"/>
      <c r="N168" s="231"/>
      <c r="O168" s="231"/>
      <c r="P168" s="231"/>
      <c r="Q168" s="231"/>
      <c r="R168" s="231"/>
      <c r="S168" s="231"/>
      <c r="T168" s="231"/>
      <c r="U168" s="231"/>
      <c r="V168" s="231"/>
      <c r="W168" s="231"/>
      <c r="X168" s="231"/>
      <c r="Y168" s="231"/>
      <c r="Z168" s="231"/>
      <c r="AA168" s="231"/>
      <c r="AB168" s="231"/>
      <c r="AC168" s="231"/>
      <c r="AD168" s="231"/>
      <c r="AE168" s="231"/>
      <c r="AF168" s="231"/>
      <c r="AG168" s="231"/>
      <c r="AH168" s="231"/>
    </row>
    <row r="169" spans="1:34" s="203" customFormat="1">
      <c r="A169" s="120">
        <v>9</v>
      </c>
      <c r="B169" s="116" t="s">
        <v>142</v>
      </c>
      <c r="C169" s="116"/>
      <c r="D169" s="116"/>
      <c r="E169" s="80">
        <v>1370</v>
      </c>
      <c r="F169" s="142">
        <f>SUM(F166:F168)</f>
        <v>1485</v>
      </c>
      <c r="G169" s="118"/>
      <c r="H169" s="142">
        <f>SUM(H166:H168)</f>
        <v>1262</v>
      </c>
      <c r="I169" s="29"/>
      <c r="J169" s="231"/>
      <c r="K169" s="231"/>
      <c r="L169" s="231"/>
      <c r="M169" s="231"/>
      <c r="N169" s="231"/>
      <c r="O169" s="231"/>
      <c r="P169" s="231"/>
      <c r="Q169" s="231"/>
      <c r="R169" s="231"/>
      <c r="S169" s="231"/>
      <c r="T169" s="231"/>
      <c r="U169" s="231"/>
      <c r="V169" s="231"/>
      <c r="W169" s="231"/>
      <c r="X169" s="231"/>
      <c r="Y169" s="231"/>
      <c r="Z169" s="231"/>
      <c r="AA169" s="231"/>
      <c r="AB169" s="231"/>
      <c r="AC169" s="231"/>
      <c r="AD169" s="231"/>
      <c r="AE169" s="231"/>
      <c r="AF169" s="231"/>
      <c r="AG169" s="231"/>
      <c r="AH169" s="231"/>
    </row>
    <row r="170" spans="1:34" s="203" customFormat="1">
      <c r="A170" s="46"/>
      <c r="B170" s="132"/>
      <c r="C170" s="132"/>
      <c r="D170" s="132"/>
      <c r="E170" s="156"/>
      <c r="F170" s="139"/>
      <c r="G170" s="139"/>
      <c r="H170" s="139"/>
      <c r="I170" s="29"/>
      <c r="J170" s="231"/>
      <c r="K170" s="231"/>
      <c r="L170" s="231"/>
      <c r="M170" s="231"/>
      <c r="N170" s="231"/>
      <c r="O170" s="231"/>
      <c r="P170" s="231"/>
      <c r="Q170" s="231"/>
      <c r="R170" s="231"/>
      <c r="S170" s="231"/>
      <c r="T170" s="231"/>
      <c r="U170" s="231"/>
      <c r="V170" s="231"/>
      <c r="W170" s="231"/>
      <c r="X170" s="231"/>
      <c r="Y170" s="231"/>
      <c r="Z170" s="231"/>
      <c r="AA170" s="231"/>
      <c r="AB170" s="231"/>
      <c r="AC170" s="231"/>
      <c r="AD170" s="231"/>
      <c r="AE170" s="231"/>
      <c r="AF170" s="231"/>
      <c r="AG170" s="231"/>
      <c r="AH170" s="231"/>
    </row>
    <row r="171" spans="1:34" s="203" customFormat="1">
      <c r="A171" s="120">
        <v>10</v>
      </c>
      <c r="B171" s="47" t="s">
        <v>143</v>
      </c>
      <c r="C171" s="47"/>
      <c r="D171" s="47"/>
      <c r="E171" s="41">
        <v>-2383</v>
      </c>
      <c r="F171" s="121">
        <v>-1421</v>
      </c>
      <c r="G171" s="118"/>
      <c r="H171" s="133">
        <v>-2034</v>
      </c>
      <c r="I171" s="29"/>
      <c r="J171" s="231"/>
      <c r="K171" s="231"/>
      <c r="L171" s="231"/>
      <c r="M171" s="231"/>
      <c r="N171" s="231"/>
      <c r="O171" s="231"/>
      <c r="P171" s="231"/>
      <c r="Q171" s="231"/>
      <c r="R171" s="231"/>
      <c r="S171" s="231"/>
      <c r="T171" s="231"/>
      <c r="U171" s="231"/>
      <c r="V171" s="231"/>
      <c r="W171" s="231"/>
      <c r="X171" s="231"/>
      <c r="Y171" s="231"/>
      <c r="Z171" s="231"/>
      <c r="AA171" s="231"/>
      <c r="AB171" s="231"/>
      <c r="AC171" s="231"/>
      <c r="AD171" s="231"/>
      <c r="AE171" s="231"/>
      <c r="AF171" s="231"/>
      <c r="AG171" s="231"/>
      <c r="AH171" s="231"/>
    </row>
    <row r="172" spans="1:34" s="203" customFormat="1">
      <c r="A172" s="120">
        <v>11</v>
      </c>
      <c r="B172" s="47" t="s">
        <v>144</v>
      </c>
      <c r="C172" s="47"/>
      <c r="D172" s="47"/>
      <c r="E172" s="56">
        <v>356</v>
      </c>
      <c r="F172" s="126">
        <v>373</v>
      </c>
      <c r="G172" s="118"/>
      <c r="H172" s="100">
        <v>120</v>
      </c>
      <c r="I172" s="29"/>
      <c r="J172" s="231"/>
      <c r="K172" s="231"/>
      <c r="L172" s="231"/>
      <c r="M172" s="231"/>
      <c r="N172" s="231"/>
      <c r="O172" s="231"/>
      <c r="P172" s="231"/>
      <c r="Q172" s="231"/>
      <c r="R172" s="231"/>
      <c r="S172" s="231"/>
      <c r="T172" s="231"/>
      <c r="U172" s="231"/>
      <c r="V172" s="231"/>
      <c r="W172" s="231"/>
      <c r="X172" s="231"/>
      <c r="Y172" s="231"/>
      <c r="Z172" s="231"/>
      <c r="AA172" s="231"/>
      <c r="AB172" s="231"/>
      <c r="AC172" s="231"/>
      <c r="AD172" s="231"/>
      <c r="AE172" s="231"/>
      <c r="AF172" s="231"/>
      <c r="AG172" s="231"/>
      <c r="AH172" s="231"/>
    </row>
    <row r="173" spans="1:34" s="203" customFormat="1">
      <c r="A173" s="46"/>
      <c r="B173" s="132"/>
      <c r="C173" s="132"/>
      <c r="D173" s="132"/>
      <c r="E173" s="156"/>
      <c r="F173" s="139"/>
      <c r="G173" s="139"/>
      <c r="H173" s="139"/>
      <c r="I173" s="29"/>
      <c r="J173" s="231"/>
      <c r="K173" s="231"/>
      <c r="L173" s="231"/>
      <c r="M173" s="231"/>
      <c r="N173" s="231"/>
      <c r="O173" s="231"/>
      <c r="P173" s="231"/>
      <c r="Q173" s="231"/>
      <c r="R173" s="231"/>
      <c r="S173" s="231"/>
      <c r="T173" s="231"/>
      <c r="U173" s="231"/>
      <c r="V173" s="231"/>
      <c r="W173" s="231"/>
      <c r="X173" s="231"/>
      <c r="Y173" s="231"/>
      <c r="Z173" s="231"/>
      <c r="AA173" s="231"/>
      <c r="AB173" s="231"/>
      <c r="AC173" s="231"/>
      <c r="AD173" s="231"/>
      <c r="AE173" s="231"/>
      <c r="AF173" s="231"/>
      <c r="AG173" s="231"/>
      <c r="AH173" s="231"/>
    </row>
    <row r="174" spans="1:34" s="203" customFormat="1">
      <c r="A174" s="119" t="s">
        <v>145</v>
      </c>
      <c r="B174" s="47"/>
      <c r="C174" s="47"/>
      <c r="D174" s="47"/>
      <c r="E174" s="157"/>
      <c r="F174" s="146"/>
      <c r="G174" s="118"/>
      <c r="H174" s="146"/>
      <c r="I174" s="29"/>
      <c r="J174" s="231"/>
      <c r="K174" s="231"/>
      <c r="L174" s="231"/>
      <c r="M174" s="231"/>
      <c r="N174" s="231"/>
      <c r="O174" s="231"/>
      <c r="P174" s="231"/>
      <c r="Q174" s="231"/>
      <c r="R174" s="231"/>
      <c r="S174" s="231"/>
      <c r="T174" s="231"/>
      <c r="U174" s="231"/>
      <c r="V174" s="231"/>
      <c r="W174" s="231"/>
      <c r="X174" s="231"/>
      <c r="Y174" s="231"/>
      <c r="Z174" s="231"/>
      <c r="AA174" s="231"/>
      <c r="AB174" s="231"/>
      <c r="AC174" s="231"/>
      <c r="AD174" s="231"/>
      <c r="AE174" s="231"/>
      <c r="AF174" s="231"/>
      <c r="AG174" s="231"/>
      <c r="AH174" s="231"/>
    </row>
    <row r="175" spans="1:34" s="203" customFormat="1">
      <c r="A175" s="120">
        <v>12</v>
      </c>
      <c r="B175" s="47" t="s">
        <v>146</v>
      </c>
      <c r="C175" s="47"/>
      <c r="D175" s="47"/>
      <c r="E175" s="74">
        <v>89</v>
      </c>
      <c r="F175" s="52">
        <v>94</v>
      </c>
      <c r="G175" s="118"/>
      <c r="H175" s="122">
        <v>102</v>
      </c>
      <c r="I175" s="29"/>
      <c r="J175" s="231"/>
      <c r="K175" s="231"/>
      <c r="L175" s="231"/>
      <c r="M175" s="231"/>
      <c r="N175" s="231"/>
      <c r="O175" s="231"/>
      <c r="P175" s="231"/>
      <c r="Q175" s="231"/>
      <c r="R175" s="231"/>
      <c r="S175" s="231"/>
      <c r="T175" s="231"/>
      <c r="U175" s="231"/>
      <c r="V175" s="231"/>
      <c r="W175" s="231"/>
      <c r="X175" s="231"/>
      <c r="Y175" s="231"/>
      <c r="Z175" s="231"/>
      <c r="AA175" s="231"/>
      <c r="AB175" s="231"/>
      <c r="AC175" s="231"/>
      <c r="AD175" s="231"/>
      <c r="AE175" s="231"/>
      <c r="AF175" s="231"/>
      <c r="AG175" s="231"/>
      <c r="AH175" s="231"/>
    </row>
    <row r="176" spans="1:34" s="203" customFormat="1">
      <c r="A176" s="120">
        <v>13</v>
      </c>
      <c r="B176" s="47" t="s">
        <v>147</v>
      </c>
      <c r="C176" s="47"/>
      <c r="D176" s="47"/>
      <c r="E176" s="49">
        <v>5707</v>
      </c>
      <c r="F176" s="52">
        <v>5942</v>
      </c>
      <c r="G176" s="118"/>
      <c r="H176" s="122">
        <v>7052</v>
      </c>
      <c r="I176" s="29"/>
      <c r="J176" s="231"/>
      <c r="K176" s="231"/>
      <c r="L176" s="231"/>
      <c r="M176" s="231"/>
      <c r="N176" s="231"/>
      <c r="O176" s="231"/>
      <c r="P176" s="231"/>
      <c r="Q176" s="231"/>
      <c r="R176" s="231"/>
      <c r="S176" s="231"/>
      <c r="T176" s="231"/>
      <c r="U176" s="231"/>
      <c r="V176" s="231"/>
      <c r="W176" s="231"/>
      <c r="X176" s="231"/>
      <c r="Y176" s="231"/>
      <c r="Z176" s="231"/>
      <c r="AA176" s="231"/>
      <c r="AB176" s="231"/>
      <c r="AC176" s="231"/>
      <c r="AD176" s="231"/>
      <c r="AE176" s="231"/>
      <c r="AF176" s="231"/>
      <c r="AG176" s="231"/>
      <c r="AH176" s="231"/>
    </row>
    <row r="177" spans="1:34" s="203" customFormat="1">
      <c r="A177" s="120">
        <v>14</v>
      </c>
      <c r="B177" s="47" t="s">
        <v>148</v>
      </c>
      <c r="C177" s="47"/>
      <c r="D177" s="47"/>
      <c r="E177" s="56">
        <v>1206</v>
      </c>
      <c r="F177" s="52">
        <v>1149</v>
      </c>
      <c r="G177" s="118"/>
      <c r="H177" s="100">
        <v>969</v>
      </c>
      <c r="I177" s="29"/>
      <c r="J177" s="231"/>
      <c r="K177" s="231"/>
      <c r="L177" s="231"/>
      <c r="M177" s="231"/>
      <c r="N177" s="231"/>
      <c r="O177" s="231"/>
      <c r="P177" s="231"/>
      <c r="Q177" s="231"/>
      <c r="R177" s="231"/>
      <c r="S177" s="231"/>
      <c r="T177" s="231"/>
      <c r="U177" s="231"/>
      <c r="V177" s="231"/>
      <c r="W177" s="231"/>
      <c r="X177" s="231"/>
      <c r="Y177" s="231"/>
      <c r="Z177" s="231"/>
      <c r="AA177" s="231"/>
      <c r="AB177" s="231"/>
      <c r="AC177" s="231"/>
      <c r="AD177" s="231"/>
      <c r="AE177" s="231"/>
      <c r="AF177" s="231"/>
      <c r="AG177" s="231"/>
      <c r="AH177" s="231"/>
    </row>
    <row r="178" spans="1:34" s="203" customFormat="1">
      <c r="A178" s="120">
        <v>15</v>
      </c>
      <c r="B178" s="116" t="s">
        <v>149</v>
      </c>
      <c r="C178" s="116"/>
      <c r="D178" s="116"/>
      <c r="E178" s="80">
        <v>7002</v>
      </c>
      <c r="F178" s="142">
        <f>SUM(F175:F177)</f>
        <v>7185</v>
      </c>
      <c r="G178" s="118"/>
      <c r="H178" s="142">
        <f>SUM(H175:H177)</f>
        <v>8123</v>
      </c>
      <c r="I178" s="29"/>
      <c r="J178" s="231"/>
      <c r="K178" s="231"/>
      <c r="L178" s="231"/>
      <c r="M178" s="231"/>
      <c r="N178" s="231"/>
      <c r="O178" s="231"/>
      <c r="P178" s="231"/>
      <c r="Q178" s="231"/>
      <c r="R178" s="231"/>
      <c r="S178" s="231"/>
      <c r="T178" s="231"/>
      <c r="U178" s="231"/>
      <c r="V178" s="231"/>
      <c r="W178" s="231"/>
      <c r="X178" s="231"/>
      <c r="Y178" s="231"/>
      <c r="Z178" s="231"/>
      <c r="AA178" s="231"/>
      <c r="AB178" s="231"/>
      <c r="AC178" s="231"/>
      <c r="AD178" s="231"/>
      <c r="AE178" s="231"/>
      <c r="AF178" s="231"/>
      <c r="AG178" s="231"/>
      <c r="AH178" s="231"/>
    </row>
    <row r="179" spans="1:34" s="203" customFormat="1">
      <c r="A179" s="120">
        <v>16</v>
      </c>
      <c r="B179" s="116" t="s">
        <v>150</v>
      </c>
      <c r="C179" s="116"/>
      <c r="D179" s="116"/>
      <c r="E179" s="80">
        <v>7358</v>
      </c>
      <c r="F179" s="158">
        <f>F172+F178</f>
        <v>7558</v>
      </c>
      <c r="G179" s="118"/>
      <c r="H179" s="158">
        <f>H172+H178</f>
        <v>8243</v>
      </c>
      <c r="I179" s="29"/>
      <c r="J179" s="231"/>
      <c r="K179" s="231"/>
      <c r="L179" s="231"/>
      <c r="M179" s="231"/>
      <c r="N179" s="231"/>
      <c r="O179" s="231"/>
      <c r="P179" s="231"/>
      <c r="Q179" s="231"/>
      <c r="R179" s="231"/>
      <c r="S179" s="231"/>
      <c r="T179" s="231"/>
      <c r="U179" s="231"/>
      <c r="V179" s="231"/>
      <c r="W179" s="231"/>
      <c r="X179" s="231"/>
      <c r="Y179" s="231"/>
      <c r="Z179" s="231"/>
      <c r="AA179" s="231"/>
      <c r="AB179" s="231"/>
      <c r="AC179" s="231"/>
      <c r="AD179" s="231"/>
      <c r="AE179" s="231"/>
      <c r="AF179" s="231"/>
      <c r="AG179" s="231"/>
      <c r="AH179" s="231"/>
    </row>
    <row r="180" spans="1:34" s="203" customFormat="1">
      <c r="A180" s="120">
        <v>17</v>
      </c>
      <c r="B180" s="116" t="s">
        <v>151</v>
      </c>
      <c r="C180" s="116"/>
      <c r="D180" s="116"/>
      <c r="E180" s="159">
        <v>23624</v>
      </c>
      <c r="F180" s="61">
        <f>SUM(F163+F169+F171+F179)</f>
        <v>23728</v>
      </c>
      <c r="G180" s="118"/>
      <c r="H180" s="61">
        <f>SUM(H163+H169+H171+H179)</f>
        <v>26651</v>
      </c>
      <c r="I180" s="29"/>
      <c r="J180" s="231"/>
      <c r="K180" s="231"/>
      <c r="L180" s="231"/>
      <c r="M180" s="231"/>
      <c r="N180" s="231"/>
      <c r="O180" s="231"/>
      <c r="P180" s="231"/>
      <c r="Q180" s="231"/>
      <c r="R180" s="231"/>
      <c r="S180" s="231"/>
      <c r="T180" s="231"/>
      <c r="U180" s="231"/>
      <c r="V180" s="231"/>
      <c r="W180" s="231"/>
      <c r="X180" s="231"/>
      <c r="Y180" s="231"/>
      <c r="Z180" s="231"/>
      <c r="AA180" s="231"/>
      <c r="AB180" s="231"/>
      <c r="AC180" s="231"/>
      <c r="AD180" s="231"/>
      <c r="AE180" s="231"/>
      <c r="AF180" s="231"/>
      <c r="AG180" s="231"/>
      <c r="AH180" s="231"/>
    </row>
    <row r="181" spans="1:34" s="203" customFormat="1">
      <c r="A181" s="46"/>
      <c r="B181" s="132"/>
      <c r="C181" s="132"/>
      <c r="D181" s="132"/>
      <c r="E181" s="156"/>
      <c r="F181" s="139"/>
      <c r="G181" s="139"/>
      <c r="H181" s="139"/>
      <c r="I181" s="29"/>
      <c r="J181" s="231"/>
      <c r="K181" s="231"/>
      <c r="L181" s="231"/>
      <c r="M181" s="231"/>
      <c r="N181" s="231"/>
      <c r="O181" s="231"/>
      <c r="P181" s="231"/>
      <c r="Q181" s="231"/>
      <c r="R181" s="231"/>
      <c r="S181" s="231"/>
      <c r="T181" s="231"/>
      <c r="U181" s="231"/>
      <c r="V181" s="231"/>
      <c r="W181" s="231"/>
      <c r="X181" s="231"/>
      <c r="Y181" s="231"/>
      <c r="Z181" s="231"/>
      <c r="AA181" s="231"/>
      <c r="AB181" s="231"/>
      <c r="AC181" s="231"/>
      <c r="AD181" s="231"/>
      <c r="AE181" s="231"/>
      <c r="AF181" s="231"/>
      <c r="AG181" s="231"/>
      <c r="AH181" s="231"/>
    </row>
    <row r="182" spans="1:34" s="203" customFormat="1">
      <c r="A182" s="119" t="s">
        <v>152</v>
      </c>
      <c r="B182" s="47"/>
      <c r="C182" s="47"/>
      <c r="D182" s="116"/>
      <c r="E182" s="117"/>
      <c r="F182" s="118"/>
      <c r="G182" s="118"/>
      <c r="H182" s="118"/>
      <c r="I182" s="29"/>
      <c r="J182" s="231"/>
      <c r="K182" s="231"/>
      <c r="L182" s="231"/>
      <c r="M182" s="231"/>
      <c r="N182" s="231"/>
      <c r="O182" s="231"/>
      <c r="P182" s="231"/>
      <c r="Q182" s="231"/>
      <c r="R182" s="231"/>
      <c r="S182" s="231"/>
      <c r="T182" s="231"/>
      <c r="U182" s="231"/>
      <c r="V182" s="231"/>
      <c r="W182" s="231"/>
      <c r="X182" s="231"/>
      <c r="Y182" s="231"/>
      <c r="Z182" s="231"/>
      <c r="AA182" s="231"/>
      <c r="AB182" s="231"/>
      <c r="AC182" s="231"/>
      <c r="AD182" s="231"/>
      <c r="AE182" s="231"/>
      <c r="AF182" s="231"/>
      <c r="AG182" s="231"/>
      <c r="AH182" s="231"/>
    </row>
    <row r="183" spans="1:34" s="203" customFormat="1">
      <c r="A183" s="120">
        <v>18</v>
      </c>
      <c r="B183" s="47" t="s">
        <v>153</v>
      </c>
      <c r="C183" s="47"/>
      <c r="D183" s="47"/>
      <c r="E183" s="41">
        <v>4942</v>
      </c>
      <c r="F183" s="121">
        <v>4942</v>
      </c>
      <c r="G183" s="118"/>
      <c r="H183" s="133">
        <v>5115</v>
      </c>
      <c r="I183" s="29"/>
      <c r="J183" s="231"/>
      <c r="K183" s="231"/>
      <c r="L183" s="231"/>
      <c r="M183" s="231"/>
      <c r="N183" s="231"/>
      <c r="O183" s="231"/>
      <c r="P183" s="231"/>
      <c r="Q183" s="231"/>
      <c r="R183" s="231"/>
      <c r="S183" s="231"/>
      <c r="T183" s="231"/>
      <c r="U183" s="231"/>
      <c r="V183" s="231"/>
      <c r="W183" s="231"/>
      <c r="X183" s="231"/>
      <c r="Y183" s="231"/>
      <c r="Z183" s="231"/>
      <c r="AA183" s="231"/>
      <c r="AB183" s="231"/>
      <c r="AC183" s="231"/>
      <c r="AD183" s="231"/>
      <c r="AE183" s="231"/>
      <c r="AF183" s="231"/>
      <c r="AG183" s="231"/>
      <c r="AH183" s="231"/>
    </row>
    <row r="184" spans="1:34" s="203" customFormat="1">
      <c r="A184" s="120">
        <v>19</v>
      </c>
      <c r="B184" s="47" t="s">
        <v>154</v>
      </c>
      <c r="C184" s="47"/>
      <c r="D184" s="47"/>
      <c r="E184" s="49">
        <v>453</v>
      </c>
      <c r="F184" s="52">
        <v>453</v>
      </c>
      <c r="G184" s="118"/>
      <c r="H184" s="122">
        <v>453</v>
      </c>
      <c r="I184" s="29"/>
      <c r="J184" s="231"/>
      <c r="K184" s="231"/>
      <c r="L184" s="231"/>
      <c r="M184" s="231"/>
      <c r="N184" s="231"/>
      <c r="O184" s="231"/>
      <c r="P184" s="231"/>
      <c r="Q184" s="231"/>
      <c r="R184" s="231"/>
      <c r="S184" s="231"/>
      <c r="T184" s="231"/>
      <c r="U184" s="231"/>
      <c r="V184" s="231"/>
      <c r="W184" s="231"/>
      <c r="X184" s="231"/>
      <c r="Y184" s="231"/>
      <c r="Z184" s="231"/>
      <c r="AA184" s="231"/>
      <c r="AB184" s="231"/>
      <c r="AC184" s="231"/>
      <c r="AD184" s="231"/>
      <c r="AE184" s="231"/>
      <c r="AF184" s="231"/>
      <c r="AG184" s="231"/>
      <c r="AH184" s="231"/>
    </row>
    <row r="185" spans="1:34" s="203" customFormat="1">
      <c r="A185" s="120">
        <v>20</v>
      </c>
      <c r="B185" s="47" t="s">
        <v>155</v>
      </c>
      <c r="C185" s="47"/>
      <c r="D185" s="47"/>
      <c r="E185" s="49">
        <v>0</v>
      </c>
      <c r="F185" s="52">
        <v>0</v>
      </c>
      <c r="G185" s="118"/>
      <c r="H185" s="122">
        <v>0</v>
      </c>
      <c r="I185" s="29"/>
      <c r="J185" s="231"/>
      <c r="K185" s="231"/>
      <c r="L185" s="231"/>
      <c r="M185" s="231"/>
      <c r="N185" s="231"/>
      <c r="O185" s="231"/>
      <c r="P185" s="231"/>
      <c r="Q185" s="231"/>
      <c r="R185" s="231"/>
      <c r="S185" s="231"/>
      <c r="T185" s="231"/>
      <c r="U185" s="231"/>
      <c r="V185" s="231"/>
      <c r="W185" s="231"/>
      <c r="X185" s="231"/>
      <c r="Y185" s="231"/>
      <c r="Z185" s="231"/>
      <c r="AA185" s="231"/>
      <c r="AB185" s="231"/>
      <c r="AC185" s="231"/>
      <c r="AD185" s="231"/>
      <c r="AE185" s="231"/>
      <c r="AF185" s="231"/>
      <c r="AG185" s="231"/>
      <c r="AH185" s="231"/>
    </row>
    <row r="186" spans="1:34" s="203" customFormat="1">
      <c r="A186" s="120">
        <v>21</v>
      </c>
      <c r="B186" s="47" t="s">
        <v>156</v>
      </c>
      <c r="C186" s="47"/>
      <c r="D186" s="47"/>
      <c r="E186" s="49">
        <v>150</v>
      </c>
      <c r="F186" s="52">
        <v>150</v>
      </c>
      <c r="G186" s="118"/>
      <c r="H186" s="122">
        <v>155</v>
      </c>
      <c r="I186" s="29"/>
      <c r="J186" s="231"/>
      <c r="K186" s="231"/>
      <c r="L186" s="231"/>
      <c r="M186" s="231"/>
      <c r="N186" s="231"/>
      <c r="O186" s="231"/>
      <c r="P186" s="231"/>
      <c r="Q186" s="231"/>
      <c r="R186" s="231"/>
      <c r="S186" s="231"/>
      <c r="T186" s="231"/>
      <c r="U186" s="231"/>
      <c r="V186" s="231"/>
      <c r="W186" s="231"/>
      <c r="X186" s="231"/>
      <c r="Y186" s="231"/>
      <c r="Z186" s="231"/>
      <c r="AA186" s="231"/>
      <c r="AB186" s="231"/>
      <c r="AC186" s="231"/>
      <c r="AD186" s="231"/>
      <c r="AE186" s="231"/>
      <c r="AF186" s="231"/>
      <c r="AG186" s="231"/>
      <c r="AH186" s="231"/>
    </row>
    <row r="187" spans="1:34" s="203" customFormat="1">
      <c r="A187" s="120">
        <v>22</v>
      </c>
      <c r="B187" s="47" t="s">
        <v>157</v>
      </c>
      <c r="C187" s="47"/>
      <c r="D187" s="47"/>
      <c r="E187" s="49">
        <v>0</v>
      </c>
      <c r="F187" s="52">
        <v>0</v>
      </c>
      <c r="G187" s="118"/>
      <c r="H187" s="122">
        <v>0</v>
      </c>
      <c r="I187" s="29"/>
      <c r="J187" s="231"/>
      <c r="K187" s="231"/>
      <c r="L187" s="231"/>
      <c r="M187" s="231"/>
      <c r="N187" s="231"/>
      <c r="O187" s="231"/>
      <c r="P187" s="231"/>
      <c r="Q187" s="231"/>
      <c r="R187" s="231"/>
      <c r="S187" s="231"/>
      <c r="T187" s="231"/>
      <c r="U187" s="231"/>
      <c r="V187" s="231"/>
      <c r="W187" s="231"/>
      <c r="X187" s="231"/>
      <c r="Y187" s="231"/>
      <c r="Z187" s="231"/>
      <c r="AA187" s="231"/>
      <c r="AB187" s="231"/>
      <c r="AC187" s="231"/>
      <c r="AD187" s="231"/>
      <c r="AE187" s="231"/>
      <c r="AF187" s="231"/>
      <c r="AG187" s="231"/>
      <c r="AH187" s="231"/>
    </row>
    <row r="188" spans="1:34" s="203" customFormat="1">
      <c r="A188" s="120">
        <v>23</v>
      </c>
      <c r="B188" s="47" t="s">
        <v>158</v>
      </c>
      <c r="C188" s="47"/>
      <c r="D188" s="47"/>
      <c r="E188" s="49">
        <v>0</v>
      </c>
      <c r="F188" s="52">
        <v>0</v>
      </c>
      <c r="G188" s="118"/>
      <c r="H188" s="122">
        <v>0</v>
      </c>
      <c r="I188" s="29"/>
      <c r="J188" s="231"/>
      <c r="K188" s="231"/>
      <c r="L188" s="231"/>
      <c r="M188" s="231"/>
      <c r="N188" s="231"/>
      <c r="O188" s="231"/>
      <c r="P188" s="231"/>
      <c r="Q188" s="231"/>
      <c r="R188" s="231"/>
      <c r="S188" s="231"/>
      <c r="T188" s="231"/>
      <c r="U188" s="231"/>
      <c r="V188" s="231"/>
      <c r="W188" s="231"/>
      <c r="X188" s="231"/>
      <c r="Y188" s="231"/>
      <c r="Z188" s="231"/>
      <c r="AA188" s="231"/>
      <c r="AB188" s="231"/>
      <c r="AC188" s="231"/>
      <c r="AD188" s="231"/>
      <c r="AE188" s="231"/>
      <c r="AF188" s="231"/>
      <c r="AG188" s="231"/>
      <c r="AH188" s="231"/>
    </row>
    <row r="189" spans="1:34" s="203" customFormat="1">
      <c r="A189" s="120">
        <v>24</v>
      </c>
      <c r="B189" s="47" t="s">
        <v>159</v>
      </c>
      <c r="C189" s="47"/>
      <c r="D189" s="47"/>
      <c r="E189" s="49">
        <v>0</v>
      </c>
      <c r="F189" s="52">
        <v>0</v>
      </c>
      <c r="G189" s="118"/>
      <c r="H189" s="122">
        <v>0</v>
      </c>
      <c r="I189" s="29"/>
      <c r="J189" s="231"/>
      <c r="K189" s="231"/>
      <c r="L189" s="231"/>
      <c r="M189" s="231"/>
      <c r="N189" s="231"/>
      <c r="O189" s="231"/>
      <c r="P189" s="231"/>
      <c r="Q189" s="231"/>
      <c r="R189" s="231"/>
      <c r="S189" s="231"/>
      <c r="T189" s="231"/>
      <c r="U189" s="231"/>
      <c r="V189" s="231"/>
      <c r="W189" s="231"/>
      <c r="X189" s="231"/>
      <c r="Y189" s="231"/>
      <c r="Z189" s="231"/>
      <c r="AA189" s="231"/>
      <c r="AB189" s="231"/>
      <c r="AC189" s="231"/>
      <c r="AD189" s="231"/>
      <c r="AE189" s="231"/>
      <c r="AF189" s="231"/>
      <c r="AG189" s="231"/>
      <c r="AH189" s="231"/>
    </row>
    <row r="190" spans="1:34" s="203" customFormat="1">
      <c r="A190" s="124">
        <v>25</v>
      </c>
      <c r="B190" s="54" t="s">
        <v>160</v>
      </c>
      <c r="C190" s="54"/>
      <c r="D190" s="54"/>
      <c r="E190" s="56">
        <v>0</v>
      </c>
      <c r="F190" s="126">
        <v>0</v>
      </c>
      <c r="G190" s="118"/>
      <c r="H190" s="100">
        <v>0</v>
      </c>
      <c r="I190" s="24"/>
      <c r="J190" s="231"/>
      <c r="K190" s="231"/>
      <c r="L190" s="231"/>
      <c r="M190" s="231"/>
      <c r="N190" s="231"/>
      <c r="O190" s="231"/>
      <c r="P190" s="231"/>
      <c r="Q190" s="231"/>
      <c r="R190" s="231"/>
      <c r="S190" s="231"/>
      <c r="T190" s="231"/>
      <c r="U190" s="231"/>
      <c r="V190" s="231"/>
      <c r="W190" s="231"/>
      <c r="X190" s="231"/>
      <c r="Y190" s="231"/>
      <c r="Z190" s="231"/>
      <c r="AA190" s="231"/>
      <c r="AB190" s="231"/>
      <c r="AC190" s="231"/>
      <c r="AD190" s="231"/>
      <c r="AE190" s="231"/>
      <c r="AF190" s="231"/>
      <c r="AG190" s="231"/>
      <c r="AH190" s="231"/>
    </row>
    <row r="191" spans="1:34" s="203" customFormat="1">
      <c r="A191" s="161"/>
      <c r="B191" s="129"/>
      <c r="C191" s="129"/>
      <c r="D191" s="149"/>
      <c r="E191" s="162"/>
      <c r="F191" s="29"/>
      <c r="G191" s="29"/>
      <c r="H191" s="207"/>
      <c r="I191" s="29"/>
      <c r="J191" s="231"/>
      <c r="K191" s="231"/>
      <c r="L191" s="231"/>
      <c r="M191" s="231"/>
      <c r="N191" s="231"/>
      <c r="O191" s="231"/>
      <c r="P191" s="231"/>
      <c r="Q191" s="231"/>
      <c r="R191" s="231"/>
      <c r="S191" s="231"/>
      <c r="T191" s="231"/>
      <c r="U191" s="231"/>
      <c r="V191" s="231"/>
      <c r="W191" s="231"/>
      <c r="X191" s="231"/>
      <c r="Y191" s="231"/>
      <c r="Z191" s="231"/>
      <c r="AA191" s="231"/>
      <c r="AB191" s="231"/>
      <c r="AC191" s="231"/>
      <c r="AD191" s="231"/>
      <c r="AE191" s="231"/>
      <c r="AF191" s="231"/>
      <c r="AG191" s="231"/>
      <c r="AH191" s="231"/>
    </row>
    <row r="192" spans="1:34" s="203" customFormat="1">
      <c r="A192" s="161"/>
      <c r="B192" s="129"/>
      <c r="C192" s="129"/>
      <c r="D192" s="151"/>
      <c r="E192" s="163"/>
      <c r="F192" s="29"/>
      <c r="G192" s="29"/>
      <c r="H192" s="131" t="s">
        <v>27</v>
      </c>
      <c r="I192" s="29"/>
      <c r="J192" s="231"/>
      <c r="K192" s="231"/>
      <c r="L192" s="231"/>
      <c r="M192" s="231"/>
      <c r="N192" s="231"/>
      <c r="O192" s="231"/>
      <c r="P192" s="231"/>
      <c r="Q192" s="231"/>
      <c r="R192" s="231"/>
      <c r="S192" s="231"/>
      <c r="T192" s="231"/>
      <c r="U192" s="231"/>
      <c r="V192" s="231"/>
      <c r="W192" s="231"/>
      <c r="X192" s="231"/>
      <c r="Y192" s="231"/>
      <c r="Z192" s="231"/>
      <c r="AA192" s="231"/>
      <c r="AB192" s="231"/>
      <c r="AC192" s="231"/>
      <c r="AD192" s="231"/>
      <c r="AE192" s="231"/>
      <c r="AF192" s="231"/>
      <c r="AG192" s="231"/>
      <c r="AH192" s="231"/>
    </row>
    <row r="193" spans="1:34" s="203" customFormat="1" ht="12.75" customHeight="1">
      <c r="A193" s="106" t="s">
        <v>23</v>
      </c>
      <c r="B193" s="164"/>
      <c r="C193" s="164"/>
      <c r="D193" s="164"/>
      <c r="E193" s="856" t="s">
        <v>377</v>
      </c>
      <c r="F193" s="856" t="s">
        <v>402</v>
      </c>
      <c r="G193" s="130"/>
      <c r="H193" s="856" t="s">
        <v>403</v>
      </c>
      <c r="I193" s="130"/>
      <c r="J193" s="231"/>
      <c r="K193" s="231"/>
      <c r="L193" s="231"/>
      <c r="M193" s="231"/>
      <c r="N193" s="231"/>
      <c r="O193" s="231"/>
      <c r="P193" s="231"/>
      <c r="Q193" s="231"/>
      <c r="R193" s="231"/>
      <c r="S193" s="231"/>
      <c r="T193" s="231"/>
      <c r="U193" s="231"/>
      <c r="V193" s="231"/>
      <c r="W193" s="231"/>
      <c r="X193" s="231"/>
      <c r="Y193" s="231"/>
      <c r="Z193" s="231"/>
      <c r="AA193" s="231"/>
      <c r="AB193" s="231"/>
      <c r="AC193" s="231"/>
      <c r="AD193" s="231"/>
      <c r="AE193" s="231"/>
      <c r="AF193" s="231"/>
      <c r="AG193" s="231"/>
      <c r="AH193" s="231"/>
    </row>
    <row r="194" spans="1:34" s="203" customFormat="1" ht="23.25" customHeight="1">
      <c r="A194" s="165"/>
      <c r="B194" s="132"/>
      <c r="C194" s="132"/>
      <c r="D194" s="132"/>
      <c r="E194" s="859"/>
      <c r="F194" s="859"/>
      <c r="G194" s="130"/>
      <c r="H194" s="859"/>
      <c r="I194" s="130"/>
      <c r="J194" s="231"/>
      <c r="K194" s="231"/>
      <c r="L194" s="231"/>
      <c r="M194" s="231"/>
      <c r="N194" s="231"/>
      <c r="O194" s="231"/>
      <c r="P194" s="231"/>
      <c r="Q194" s="231"/>
      <c r="R194" s="231"/>
      <c r="S194" s="231"/>
      <c r="T194" s="231"/>
      <c r="U194" s="231"/>
      <c r="V194" s="231"/>
      <c r="W194" s="231"/>
      <c r="X194" s="231"/>
      <c r="Y194" s="231"/>
      <c r="Z194" s="231"/>
      <c r="AA194" s="231"/>
      <c r="AB194" s="231"/>
      <c r="AC194" s="231"/>
      <c r="AD194" s="231"/>
      <c r="AE194" s="231"/>
      <c r="AF194" s="231"/>
      <c r="AG194" s="231"/>
      <c r="AH194" s="231"/>
    </row>
    <row r="195" spans="1:34" s="203" customFormat="1">
      <c r="A195" s="154" t="s">
        <v>161</v>
      </c>
      <c r="B195" s="116"/>
      <c r="C195" s="116"/>
      <c r="D195" s="116"/>
      <c r="E195" s="859"/>
      <c r="F195" s="859"/>
      <c r="G195" s="130"/>
      <c r="H195" s="859"/>
      <c r="I195" s="130"/>
      <c r="J195" s="231"/>
      <c r="K195" s="231"/>
      <c r="L195" s="231"/>
      <c r="M195" s="231"/>
      <c r="N195" s="231"/>
      <c r="O195" s="231"/>
      <c r="P195" s="231"/>
      <c r="Q195" s="231"/>
      <c r="R195" s="231"/>
      <c r="S195" s="231"/>
      <c r="T195" s="231"/>
      <c r="U195" s="231"/>
      <c r="V195" s="231"/>
      <c r="W195" s="231"/>
      <c r="X195" s="231"/>
      <c r="Y195" s="231"/>
      <c r="Z195" s="231"/>
      <c r="AA195" s="231"/>
      <c r="AB195" s="231"/>
      <c r="AC195" s="231"/>
      <c r="AD195" s="231"/>
      <c r="AE195" s="231"/>
      <c r="AF195" s="231"/>
      <c r="AG195" s="231"/>
      <c r="AH195" s="231"/>
    </row>
    <row r="196" spans="1:34" s="203" customFormat="1">
      <c r="A196" s="109" t="s">
        <v>83</v>
      </c>
      <c r="B196" s="47"/>
      <c r="C196" s="47"/>
      <c r="D196" s="47"/>
      <c r="E196" s="859"/>
      <c r="F196" s="859"/>
      <c r="G196" s="130"/>
      <c r="H196" s="859"/>
      <c r="I196" s="130"/>
      <c r="J196" s="231"/>
      <c r="K196" s="231"/>
      <c r="L196" s="231"/>
      <c r="M196" s="231"/>
      <c r="N196" s="231"/>
      <c r="O196" s="231"/>
      <c r="P196" s="231"/>
      <c r="Q196" s="231"/>
      <c r="R196" s="231"/>
      <c r="S196" s="231"/>
      <c r="T196" s="231"/>
      <c r="U196" s="231"/>
      <c r="V196" s="231"/>
      <c r="W196" s="231"/>
      <c r="X196" s="231"/>
      <c r="Y196" s="231"/>
      <c r="Z196" s="231"/>
      <c r="AA196" s="231"/>
      <c r="AB196" s="231"/>
      <c r="AC196" s="231"/>
      <c r="AD196" s="231"/>
      <c r="AE196" s="231"/>
      <c r="AF196" s="231"/>
      <c r="AG196" s="231"/>
      <c r="AH196" s="231"/>
    </row>
    <row r="197" spans="1:34" s="203" customFormat="1">
      <c r="A197" s="110" t="s">
        <v>84</v>
      </c>
      <c r="B197" s="132"/>
      <c r="C197" s="132"/>
      <c r="D197" s="132"/>
      <c r="E197" s="860"/>
      <c r="F197" s="860"/>
      <c r="G197" s="130"/>
      <c r="H197" s="860"/>
      <c r="I197" s="130"/>
      <c r="J197" s="231"/>
      <c r="K197" s="231"/>
      <c r="L197" s="231"/>
      <c r="M197" s="231"/>
      <c r="N197" s="231"/>
      <c r="O197" s="231"/>
      <c r="P197" s="231"/>
      <c r="Q197" s="231"/>
      <c r="R197" s="231"/>
      <c r="S197" s="231"/>
      <c r="T197" s="231"/>
      <c r="U197" s="231"/>
      <c r="V197" s="231"/>
      <c r="W197" s="231"/>
      <c r="X197" s="231"/>
      <c r="Y197" s="231"/>
      <c r="Z197" s="231"/>
      <c r="AA197" s="231"/>
      <c r="AB197" s="231"/>
      <c r="AC197" s="231"/>
      <c r="AD197" s="231"/>
      <c r="AE197" s="231"/>
      <c r="AF197" s="231"/>
      <c r="AG197" s="231"/>
      <c r="AH197" s="231"/>
    </row>
    <row r="198" spans="1:34" s="203" customFormat="1">
      <c r="A198" s="153" t="s">
        <v>162</v>
      </c>
      <c r="B198" s="166"/>
      <c r="C198" s="166"/>
      <c r="D198" s="166"/>
      <c r="E198" s="167"/>
      <c r="F198" s="146"/>
      <c r="G198" s="118"/>
      <c r="H198" s="146"/>
      <c r="I198" s="29"/>
      <c r="J198" s="231"/>
      <c r="K198" s="231"/>
      <c r="L198" s="231"/>
      <c r="M198" s="231"/>
      <c r="N198" s="231"/>
      <c r="O198" s="231"/>
      <c r="P198" s="231"/>
      <c r="Q198" s="231"/>
      <c r="R198" s="231"/>
      <c r="S198" s="231"/>
      <c r="T198" s="231"/>
      <c r="U198" s="231"/>
      <c r="V198" s="231"/>
      <c r="W198" s="231"/>
      <c r="X198" s="231"/>
      <c r="Y198" s="231"/>
      <c r="Z198" s="231"/>
      <c r="AA198" s="231"/>
      <c r="AB198" s="231"/>
      <c r="AC198" s="231"/>
      <c r="AD198" s="231"/>
      <c r="AE198" s="231"/>
      <c r="AF198" s="231"/>
      <c r="AG198" s="231"/>
      <c r="AH198" s="231"/>
    </row>
    <row r="199" spans="1:34" s="203" customFormat="1">
      <c r="A199" s="120">
        <v>1</v>
      </c>
      <c r="B199" s="47" t="s">
        <v>163</v>
      </c>
      <c r="C199" s="47"/>
      <c r="D199" s="47"/>
      <c r="E199" s="74">
        <v>242</v>
      </c>
      <c r="F199" s="52">
        <v>243</v>
      </c>
      <c r="G199" s="118"/>
      <c r="H199" s="122">
        <v>176</v>
      </c>
      <c r="I199" s="118"/>
      <c r="J199" s="231"/>
      <c r="K199" s="231"/>
      <c r="L199" s="231"/>
      <c r="M199" s="231"/>
      <c r="N199" s="231"/>
      <c r="O199" s="231"/>
      <c r="P199" s="231"/>
      <c r="Q199" s="231"/>
      <c r="R199" s="231"/>
      <c r="S199" s="231"/>
      <c r="T199" s="231"/>
      <c r="U199" s="231"/>
      <c r="V199" s="231"/>
      <c r="W199" s="231"/>
      <c r="X199" s="231"/>
      <c r="Y199" s="231"/>
      <c r="Z199" s="231"/>
      <c r="AA199" s="231"/>
      <c r="AB199" s="231"/>
      <c r="AC199" s="231"/>
      <c r="AD199" s="231"/>
      <c r="AE199" s="231"/>
      <c r="AF199" s="231"/>
      <c r="AG199" s="231"/>
      <c r="AH199" s="231"/>
    </row>
    <row r="200" spans="1:34" s="203" customFormat="1">
      <c r="A200" s="120">
        <v>2</v>
      </c>
      <c r="B200" s="47" t="s">
        <v>164</v>
      </c>
      <c r="C200" s="47"/>
      <c r="D200" s="47"/>
      <c r="E200" s="56">
        <v>672</v>
      </c>
      <c r="F200" s="52">
        <v>617</v>
      </c>
      <c r="G200" s="118"/>
      <c r="H200" s="100">
        <v>489</v>
      </c>
      <c r="I200" s="118"/>
      <c r="J200" s="231"/>
      <c r="K200" s="231"/>
      <c r="L200" s="231"/>
      <c r="M200" s="231"/>
      <c r="N200" s="231"/>
      <c r="O200" s="231"/>
      <c r="P200" s="231"/>
      <c r="Q200" s="231"/>
      <c r="R200" s="231"/>
      <c r="S200" s="231"/>
      <c r="T200" s="231"/>
      <c r="U200" s="231"/>
      <c r="V200" s="231"/>
      <c r="W200" s="231"/>
      <c r="X200" s="231"/>
      <c r="Y200" s="231"/>
      <c r="Z200" s="231"/>
      <c r="AA200" s="231"/>
      <c r="AB200" s="231"/>
      <c r="AC200" s="231"/>
      <c r="AD200" s="231"/>
      <c r="AE200" s="231"/>
      <c r="AF200" s="231"/>
      <c r="AG200" s="231"/>
      <c r="AH200" s="231"/>
    </row>
    <row r="201" spans="1:34" s="203" customFormat="1">
      <c r="A201" s="120">
        <v>3</v>
      </c>
      <c r="B201" s="116" t="s">
        <v>165</v>
      </c>
      <c r="C201" s="116"/>
      <c r="D201" s="116"/>
      <c r="E201" s="80">
        <v>914</v>
      </c>
      <c r="F201" s="142">
        <f>SUM(F199:F200)</f>
        <v>860</v>
      </c>
      <c r="G201" s="118"/>
      <c r="H201" s="142">
        <f>SUM(H199:H200)</f>
        <v>665</v>
      </c>
      <c r="I201" s="118"/>
      <c r="J201" s="231"/>
      <c r="K201" s="231"/>
      <c r="L201" s="231"/>
      <c r="M201" s="231"/>
      <c r="N201" s="231"/>
      <c r="O201" s="231"/>
      <c r="P201" s="231"/>
      <c r="Q201" s="231"/>
      <c r="R201" s="231"/>
      <c r="S201" s="231"/>
      <c r="T201" s="231"/>
      <c r="U201" s="231"/>
      <c r="V201" s="231"/>
      <c r="W201" s="231"/>
      <c r="X201" s="231"/>
      <c r="Y201" s="231"/>
      <c r="Z201" s="231"/>
      <c r="AA201" s="231"/>
      <c r="AB201" s="231"/>
      <c r="AC201" s="231"/>
      <c r="AD201" s="231"/>
      <c r="AE201" s="231"/>
      <c r="AF201" s="231"/>
      <c r="AG201" s="231"/>
      <c r="AH201" s="231"/>
    </row>
    <row r="202" spans="1:34" s="203" customFormat="1">
      <c r="A202" s="46"/>
      <c r="B202" s="132"/>
      <c r="C202" s="132"/>
      <c r="D202" s="132"/>
      <c r="E202" s="156"/>
      <c r="F202" s="139"/>
      <c r="G202" s="118"/>
      <c r="H202" s="139"/>
      <c r="I202" s="118"/>
      <c r="J202" s="231"/>
      <c r="K202" s="231"/>
      <c r="L202" s="231"/>
      <c r="M202" s="231"/>
      <c r="N202" s="231"/>
      <c r="O202" s="231"/>
      <c r="P202" s="231"/>
      <c r="Q202" s="231"/>
      <c r="R202" s="231"/>
      <c r="S202" s="231"/>
      <c r="T202" s="231"/>
      <c r="U202" s="231"/>
      <c r="V202" s="231"/>
      <c r="W202" s="231"/>
      <c r="X202" s="231"/>
      <c r="Y202" s="231"/>
      <c r="Z202" s="231"/>
      <c r="AA202" s="231"/>
      <c r="AB202" s="231"/>
      <c r="AC202" s="231"/>
      <c r="AD202" s="231"/>
      <c r="AE202" s="231"/>
      <c r="AF202" s="231"/>
      <c r="AG202" s="231"/>
      <c r="AH202" s="231"/>
    </row>
    <row r="203" spans="1:34" s="203" customFormat="1">
      <c r="A203" s="153" t="s">
        <v>166</v>
      </c>
      <c r="B203" s="116"/>
      <c r="C203" s="116"/>
      <c r="D203" s="116"/>
      <c r="E203" s="140"/>
      <c r="F203" s="146"/>
      <c r="G203" s="118"/>
      <c r="H203" s="146"/>
      <c r="I203" s="118"/>
      <c r="J203" s="231"/>
      <c r="K203" s="231"/>
      <c r="L203" s="231"/>
      <c r="M203" s="231"/>
      <c r="N203" s="231"/>
      <c r="O203" s="231"/>
      <c r="P203" s="231"/>
      <c r="Q203" s="231"/>
      <c r="R203" s="231"/>
      <c r="S203" s="231"/>
      <c r="T203" s="231"/>
      <c r="U203" s="231"/>
      <c r="V203" s="231"/>
      <c r="W203" s="231"/>
      <c r="X203" s="231"/>
      <c r="Y203" s="231"/>
      <c r="Z203" s="231"/>
      <c r="AA203" s="231"/>
      <c r="AB203" s="231"/>
      <c r="AC203" s="231"/>
      <c r="AD203" s="231"/>
      <c r="AE203" s="231"/>
      <c r="AF203" s="231"/>
      <c r="AG203" s="231"/>
      <c r="AH203" s="231"/>
    </row>
    <row r="204" spans="1:34" s="203" customFormat="1">
      <c r="A204" s="120">
        <v>4</v>
      </c>
      <c r="B204" s="47" t="s">
        <v>167</v>
      </c>
      <c r="C204" s="47"/>
      <c r="D204" s="47"/>
      <c r="E204" s="74">
        <v>12869</v>
      </c>
      <c r="F204" s="52">
        <v>11113</v>
      </c>
      <c r="G204" s="118"/>
      <c r="H204" s="122">
        <v>11985</v>
      </c>
      <c r="I204" s="118"/>
      <c r="J204" s="231"/>
      <c r="K204" s="231"/>
      <c r="L204" s="231"/>
      <c r="M204" s="231"/>
      <c r="N204" s="231"/>
      <c r="O204" s="231"/>
      <c r="P204" s="231"/>
      <c r="Q204" s="231"/>
      <c r="R204" s="231"/>
      <c r="S204" s="231"/>
      <c r="T204" s="231"/>
      <c r="U204" s="231"/>
      <c r="V204" s="231"/>
      <c r="W204" s="231"/>
      <c r="X204" s="231"/>
      <c r="Y204" s="231"/>
      <c r="Z204" s="231"/>
      <c r="AA204" s="231"/>
      <c r="AB204" s="231"/>
      <c r="AC204" s="231"/>
      <c r="AD204" s="231"/>
      <c r="AE204" s="231"/>
      <c r="AF204" s="231"/>
      <c r="AG204" s="231"/>
      <c r="AH204" s="231"/>
    </row>
    <row r="205" spans="1:34" s="203" customFormat="1">
      <c r="A205" s="120">
        <v>5</v>
      </c>
      <c r="B205" s="47" t="s">
        <v>168</v>
      </c>
      <c r="C205" s="47"/>
      <c r="D205" s="47"/>
      <c r="E205" s="49">
        <v>14136</v>
      </c>
      <c r="F205" s="52">
        <v>12202</v>
      </c>
      <c r="G205" s="118"/>
      <c r="H205" s="122">
        <v>13491</v>
      </c>
      <c r="I205" s="118"/>
      <c r="J205" s="231"/>
      <c r="K205" s="231"/>
      <c r="L205" s="231"/>
      <c r="M205" s="231"/>
      <c r="N205" s="231"/>
      <c r="O205" s="231"/>
      <c r="P205" s="231"/>
      <c r="Q205" s="231"/>
      <c r="R205" s="231"/>
      <c r="S205" s="231"/>
      <c r="T205" s="231"/>
      <c r="U205" s="231"/>
      <c r="V205" s="231"/>
      <c r="W205" s="231"/>
      <c r="X205" s="231"/>
      <c r="Y205" s="231"/>
      <c r="Z205" s="231"/>
      <c r="AA205" s="231"/>
      <c r="AB205" s="231"/>
      <c r="AC205" s="231"/>
      <c r="AD205" s="231"/>
      <c r="AE205" s="231"/>
      <c r="AF205" s="231"/>
      <c r="AG205" s="231"/>
      <c r="AH205" s="231"/>
    </row>
    <row r="206" spans="1:34" s="203" customFormat="1">
      <c r="A206" s="120">
        <v>6</v>
      </c>
      <c r="B206" s="47" t="s">
        <v>169</v>
      </c>
      <c r="C206" s="47"/>
      <c r="D206" s="47"/>
      <c r="E206" s="49">
        <v>2733</v>
      </c>
      <c r="F206" s="52">
        <v>2406</v>
      </c>
      <c r="G206" s="118"/>
      <c r="H206" s="100">
        <v>2268</v>
      </c>
      <c r="I206" s="118"/>
      <c r="J206" s="231"/>
      <c r="K206" s="231"/>
      <c r="L206" s="231"/>
      <c r="M206" s="231"/>
      <c r="N206" s="231"/>
      <c r="O206" s="231"/>
      <c r="P206" s="231"/>
      <c r="Q206" s="231"/>
      <c r="R206" s="231"/>
      <c r="S206" s="231"/>
      <c r="T206" s="231"/>
      <c r="U206" s="231"/>
      <c r="V206" s="231"/>
      <c r="W206" s="231"/>
      <c r="X206" s="231"/>
      <c r="Y206" s="231"/>
      <c r="Z206" s="231"/>
      <c r="AA206" s="231"/>
      <c r="AB206" s="231"/>
      <c r="AC206" s="231"/>
      <c r="AD206" s="231"/>
      <c r="AE206" s="231"/>
      <c r="AF206" s="231"/>
      <c r="AG206" s="231"/>
      <c r="AH206" s="231"/>
    </row>
    <row r="207" spans="1:34" s="203" customFormat="1">
      <c r="A207" s="120">
        <v>7</v>
      </c>
      <c r="B207" s="116" t="s">
        <v>170</v>
      </c>
      <c r="C207" s="116"/>
      <c r="D207" s="116"/>
      <c r="E207" s="80">
        <v>29738</v>
      </c>
      <c r="F207" s="142">
        <f>SUM(F204:F206)</f>
        <v>25721</v>
      </c>
      <c r="G207" s="118"/>
      <c r="H207" s="142">
        <f>SUM(H204:H206)</f>
        <v>27744</v>
      </c>
      <c r="I207" s="118"/>
      <c r="J207" s="231"/>
      <c r="K207" s="231"/>
      <c r="L207" s="231"/>
      <c r="M207" s="231"/>
      <c r="N207" s="231"/>
      <c r="O207" s="231"/>
      <c r="P207" s="231"/>
      <c r="Q207" s="231"/>
      <c r="R207" s="231"/>
      <c r="S207" s="231"/>
      <c r="T207" s="231"/>
      <c r="U207" s="231"/>
      <c r="V207" s="231"/>
      <c r="W207" s="231"/>
      <c r="X207" s="231"/>
      <c r="Y207" s="231"/>
      <c r="Z207" s="231"/>
      <c r="AA207" s="231"/>
      <c r="AB207" s="231"/>
      <c r="AC207" s="231"/>
      <c r="AD207" s="231"/>
      <c r="AE207" s="231"/>
      <c r="AF207" s="231"/>
      <c r="AG207" s="231"/>
      <c r="AH207" s="231"/>
    </row>
    <row r="208" spans="1:34" s="203" customFormat="1">
      <c r="A208" s="46"/>
      <c r="B208" s="132"/>
      <c r="C208" s="132"/>
      <c r="D208" s="132"/>
      <c r="E208" s="156"/>
      <c r="F208" s="139"/>
      <c r="G208" s="118"/>
      <c r="H208" s="139"/>
      <c r="I208" s="118"/>
      <c r="J208" s="231"/>
      <c r="K208" s="231"/>
      <c r="L208" s="231"/>
      <c r="M208" s="231"/>
      <c r="N208" s="231"/>
      <c r="O208" s="231"/>
      <c r="P208" s="231"/>
      <c r="Q208" s="231"/>
      <c r="R208" s="231"/>
      <c r="S208" s="231"/>
      <c r="T208" s="231"/>
      <c r="U208" s="231"/>
      <c r="V208" s="231"/>
      <c r="W208" s="231"/>
      <c r="X208" s="231"/>
      <c r="Y208" s="231"/>
      <c r="Z208" s="231"/>
      <c r="AA208" s="231"/>
      <c r="AB208" s="231"/>
      <c r="AC208" s="231"/>
      <c r="AD208" s="231"/>
      <c r="AE208" s="231"/>
      <c r="AF208" s="231"/>
      <c r="AG208" s="231"/>
      <c r="AH208" s="231"/>
    </row>
    <row r="209" spans="1:34" s="203" customFormat="1">
      <c r="A209" s="153" t="s">
        <v>121</v>
      </c>
      <c r="B209" s="168"/>
      <c r="C209" s="168"/>
      <c r="D209" s="168"/>
      <c r="E209" s="140"/>
      <c r="F209" s="146"/>
      <c r="G209" s="118"/>
      <c r="H209" s="146"/>
      <c r="I209" s="118"/>
      <c r="J209" s="231"/>
      <c r="K209" s="231"/>
      <c r="L209" s="231"/>
      <c r="M209" s="231"/>
      <c r="N209" s="231"/>
      <c r="O209" s="231"/>
      <c r="P209" s="231"/>
      <c r="Q209" s="231"/>
      <c r="R209" s="231"/>
      <c r="S209" s="231"/>
      <c r="T209" s="231"/>
      <c r="U209" s="231"/>
      <c r="V209" s="231"/>
      <c r="W209" s="231"/>
      <c r="X209" s="231"/>
      <c r="Y209" s="231"/>
      <c r="Z209" s="231"/>
      <c r="AA209" s="231"/>
      <c r="AB209" s="231"/>
      <c r="AC209" s="231"/>
      <c r="AD209" s="231"/>
      <c r="AE209" s="231"/>
      <c r="AF209" s="231"/>
      <c r="AG209" s="231"/>
      <c r="AH209" s="231"/>
    </row>
    <row r="210" spans="1:34" s="203" customFormat="1">
      <c r="A210" s="120">
        <v>8</v>
      </c>
      <c r="B210" s="47" t="s">
        <v>171</v>
      </c>
      <c r="C210" s="47"/>
      <c r="D210" s="47"/>
      <c r="E210" s="74">
        <v>-953</v>
      </c>
      <c r="F210" s="52">
        <v>-869</v>
      </c>
      <c r="G210" s="118"/>
      <c r="H210" s="122">
        <v>-1088</v>
      </c>
      <c r="I210" s="118"/>
      <c r="J210" s="231"/>
      <c r="K210" s="231"/>
      <c r="L210" s="231"/>
      <c r="M210" s="231"/>
      <c r="N210" s="231"/>
      <c r="O210" s="231"/>
      <c r="P210" s="231"/>
      <c r="Q210" s="231"/>
      <c r="R210" s="231"/>
      <c r="S210" s="231"/>
      <c r="T210" s="231"/>
      <c r="U210" s="231"/>
      <c r="V210" s="231"/>
      <c r="W210" s="231"/>
      <c r="X210" s="231"/>
      <c r="Y210" s="231"/>
      <c r="Z210" s="231"/>
      <c r="AA210" s="231"/>
      <c r="AB210" s="231"/>
      <c r="AC210" s="231"/>
      <c r="AD210" s="231"/>
      <c r="AE210" s="231"/>
      <c r="AF210" s="231"/>
      <c r="AG210" s="231"/>
      <c r="AH210" s="231"/>
    </row>
    <row r="211" spans="1:34" s="203" customFormat="1">
      <c r="A211" s="120">
        <v>9</v>
      </c>
      <c r="B211" s="47" t="s">
        <v>172</v>
      </c>
      <c r="C211" s="47"/>
      <c r="D211" s="47"/>
      <c r="E211" s="49">
        <v>0</v>
      </c>
      <c r="F211" s="52">
        <v>0</v>
      </c>
      <c r="G211" s="118"/>
      <c r="H211" s="122">
        <v>0</v>
      </c>
      <c r="I211" s="118"/>
      <c r="J211" s="231"/>
      <c r="K211" s="231"/>
      <c r="L211" s="231"/>
      <c r="M211" s="231"/>
      <c r="N211" s="231"/>
      <c r="O211" s="231"/>
      <c r="P211" s="231"/>
      <c r="Q211" s="231"/>
      <c r="R211" s="231"/>
      <c r="S211" s="231"/>
      <c r="T211" s="231"/>
      <c r="U211" s="231"/>
      <c r="V211" s="231"/>
      <c r="W211" s="231"/>
      <c r="X211" s="231"/>
      <c r="Y211" s="231"/>
      <c r="Z211" s="231"/>
      <c r="AA211" s="231"/>
      <c r="AB211" s="231"/>
      <c r="AC211" s="231"/>
      <c r="AD211" s="231"/>
      <c r="AE211" s="231"/>
      <c r="AF211" s="231"/>
      <c r="AG211" s="231"/>
      <c r="AH211" s="231"/>
    </row>
    <row r="212" spans="1:34" s="203" customFormat="1">
      <c r="A212" s="120">
        <v>10</v>
      </c>
      <c r="B212" s="47" t="s">
        <v>173</v>
      </c>
      <c r="C212" s="47"/>
      <c r="D212" s="47"/>
      <c r="E212" s="49">
        <v>47</v>
      </c>
      <c r="F212" s="52">
        <v>69</v>
      </c>
      <c r="G212" s="118"/>
      <c r="H212" s="122">
        <v>31</v>
      </c>
      <c r="I212" s="118"/>
      <c r="J212" s="231"/>
      <c r="K212" s="231"/>
      <c r="L212" s="231"/>
      <c r="M212" s="231"/>
      <c r="N212" s="231"/>
      <c r="O212" s="231"/>
      <c r="P212" s="231"/>
      <c r="Q212" s="231"/>
      <c r="R212" s="231"/>
      <c r="S212" s="231"/>
      <c r="T212" s="231"/>
      <c r="U212" s="231"/>
      <c r="V212" s="231"/>
      <c r="W212" s="231"/>
      <c r="X212" s="231"/>
      <c r="Y212" s="231"/>
      <c r="Z212" s="231"/>
      <c r="AA212" s="231"/>
      <c r="AB212" s="231"/>
      <c r="AC212" s="231"/>
      <c r="AD212" s="231"/>
      <c r="AE212" s="231"/>
      <c r="AF212" s="231"/>
      <c r="AG212" s="231"/>
      <c r="AH212" s="231"/>
    </row>
    <row r="213" spans="1:34" s="203" customFormat="1">
      <c r="A213" s="120">
        <v>11</v>
      </c>
      <c r="B213" s="47" t="s">
        <v>174</v>
      </c>
      <c r="C213" s="47"/>
      <c r="D213" s="47"/>
      <c r="E213" s="49">
        <v>2608</v>
      </c>
      <c r="F213" s="52">
        <v>3243</v>
      </c>
      <c r="G213" s="118"/>
      <c r="H213" s="99">
        <v>3225</v>
      </c>
      <c r="I213" s="118"/>
      <c r="J213" s="231"/>
      <c r="K213" s="231"/>
      <c r="L213" s="231"/>
      <c r="M213" s="231"/>
      <c r="N213" s="231"/>
      <c r="O213" s="231"/>
      <c r="P213" s="231"/>
      <c r="Q213" s="231"/>
      <c r="R213" s="231"/>
      <c r="S213" s="231"/>
      <c r="T213" s="231"/>
      <c r="U213" s="231"/>
      <c r="V213" s="231"/>
      <c r="W213" s="231"/>
      <c r="X213" s="231"/>
      <c r="Y213" s="231"/>
      <c r="Z213" s="231"/>
      <c r="AA213" s="231"/>
      <c r="AB213" s="231"/>
      <c r="AC213" s="231"/>
      <c r="AD213" s="231"/>
      <c r="AE213" s="231"/>
      <c r="AF213" s="231"/>
      <c r="AG213" s="231"/>
      <c r="AH213" s="231"/>
    </row>
    <row r="214" spans="1:34" s="203" customFormat="1">
      <c r="A214" s="120">
        <v>12</v>
      </c>
      <c r="B214" s="116" t="s">
        <v>175</v>
      </c>
      <c r="C214" s="116"/>
      <c r="D214" s="116"/>
      <c r="E214" s="159">
        <v>32354</v>
      </c>
      <c r="F214" s="61">
        <f>F201+F207+SUM(F210:F213)</f>
        <v>29024</v>
      </c>
      <c r="G214" s="118"/>
      <c r="H214" s="61">
        <f>H201+H207+SUM(H210:H213)</f>
        <v>30577</v>
      </c>
      <c r="I214" s="118"/>
      <c r="J214" s="231"/>
      <c r="K214" s="231"/>
      <c r="L214" s="231"/>
      <c r="M214" s="231"/>
      <c r="N214" s="231"/>
      <c r="O214" s="231"/>
      <c r="P214" s="231"/>
      <c r="Q214" s="231"/>
      <c r="R214" s="231"/>
      <c r="S214" s="231"/>
      <c r="T214" s="231"/>
      <c r="U214" s="231"/>
      <c r="V214" s="231"/>
      <c r="W214" s="231"/>
      <c r="X214" s="231"/>
      <c r="Y214" s="231"/>
      <c r="Z214" s="231"/>
      <c r="AA214" s="231"/>
      <c r="AB214" s="231"/>
      <c r="AC214" s="231"/>
      <c r="AD214" s="231"/>
      <c r="AE214" s="231"/>
      <c r="AF214" s="231"/>
      <c r="AG214" s="231"/>
      <c r="AH214" s="231"/>
    </row>
    <row r="215" spans="1:34" s="203" customFormat="1">
      <c r="A215" s="111"/>
      <c r="B215" s="47"/>
      <c r="C215" s="47"/>
      <c r="D215" s="47"/>
      <c r="E215" s="117"/>
      <c r="F215" s="118"/>
      <c r="G215" s="118"/>
      <c r="H215" s="118"/>
      <c r="I215" s="118"/>
      <c r="J215" s="231"/>
      <c r="K215" s="231"/>
      <c r="L215" s="231"/>
      <c r="M215" s="231"/>
      <c r="N215" s="231"/>
      <c r="O215" s="231"/>
      <c r="P215" s="231"/>
      <c r="Q215" s="231"/>
      <c r="R215" s="231"/>
      <c r="S215" s="231"/>
      <c r="T215" s="231"/>
      <c r="U215" s="231"/>
      <c r="V215" s="231"/>
      <c r="W215" s="231"/>
      <c r="X215" s="231"/>
      <c r="Y215" s="231"/>
      <c r="Z215" s="231"/>
      <c r="AA215" s="231"/>
      <c r="AB215" s="231"/>
      <c r="AC215" s="231"/>
      <c r="AD215" s="231"/>
      <c r="AE215" s="231"/>
      <c r="AF215" s="231"/>
      <c r="AG215" s="231"/>
      <c r="AH215" s="231"/>
    </row>
    <row r="216" spans="1:34" s="203" customFormat="1">
      <c r="A216" s="119" t="s">
        <v>176</v>
      </c>
      <c r="B216" s="116"/>
      <c r="C216" s="116"/>
      <c r="D216" s="116"/>
      <c r="E216" s="117"/>
      <c r="F216" s="160"/>
      <c r="G216" s="118"/>
      <c r="H216" s="160"/>
      <c r="I216" s="118"/>
      <c r="J216" s="231"/>
      <c r="K216" s="231"/>
      <c r="L216" s="231"/>
      <c r="M216" s="231"/>
      <c r="N216" s="231"/>
      <c r="O216" s="231"/>
      <c r="P216" s="231"/>
      <c r="Q216" s="231"/>
      <c r="R216" s="231"/>
      <c r="S216" s="231"/>
      <c r="T216" s="231"/>
      <c r="U216" s="231"/>
      <c r="V216" s="231"/>
      <c r="W216" s="231"/>
      <c r="X216" s="231"/>
      <c r="Y216" s="231"/>
      <c r="Z216" s="231"/>
      <c r="AA216" s="231"/>
      <c r="AB216" s="231"/>
      <c r="AC216" s="231"/>
      <c r="AD216" s="231"/>
      <c r="AE216" s="231"/>
      <c r="AF216" s="231"/>
      <c r="AG216" s="231"/>
      <c r="AH216" s="231"/>
    </row>
    <row r="217" spans="1:34" s="203" customFormat="1">
      <c r="A217" s="120">
        <v>13</v>
      </c>
      <c r="B217" s="47" t="s">
        <v>177</v>
      </c>
      <c r="C217" s="47"/>
      <c r="D217" s="47"/>
      <c r="E217" s="41">
        <v>810</v>
      </c>
      <c r="F217" s="121">
        <v>1492</v>
      </c>
      <c r="G217" s="118"/>
      <c r="H217" s="169">
        <v>751</v>
      </c>
      <c r="I217" s="118"/>
      <c r="J217" s="231"/>
      <c r="K217" s="231"/>
      <c r="L217" s="231"/>
      <c r="M217" s="231"/>
      <c r="N217" s="231"/>
      <c r="O217" s="231"/>
      <c r="P217" s="231"/>
      <c r="Q217" s="231"/>
      <c r="R217" s="231"/>
      <c r="S217" s="231"/>
      <c r="T217" s="231"/>
      <c r="U217" s="231"/>
      <c r="V217" s="231"/>
      <c r="W217" s="231"/>
      <c r="X217" s="231"/>
      <c r="Y217" s="231"/>
      <c r="Z217" s="231"/>
      <c r="AA217" s="231"/>
      <c r="AB217" s="231"/>
      <c r="AC217" s="231"/>
      <c r="AD217" s="231"/>
      <c r="AE217" s="231"/>
      <c r="AF217" s="231"/>
      <c r="AG217" s="231"/>
      <c r="AH217" s="231"/>
    </row>
    <row r="218" spans="1:34" s="203" customFormat="1">
      <c r="A218" s="124">
        <v>14</v>
      </c>
      <c r="B218" s="54" t="s">
        <v>178</v>
      </c>
      <c r="C218" s="54"/>
      <c r="D218" s="54"/>
      <c r="E218" s="56">
        <v>2873</v>
      </c>
      <c r="F218" s="126">
        <v>2546</v>
      </c>
      <c r="G218" s="118"/>
      <c r="H218" s="100">
        <v>2268</v>
      </c>
      <c r="I218" s="118"/>
      <c r="J218" s="231"/>
      <c r="K218" s="231"/>
      <c r="L218" s="231"/>
      <c r="M218" s="231"/>
      <c r="N218" s="231"/>
      <c r="O218" s="231"/>
      <c r="P218" s="231"/>
      <c r="Q218" s="231"/>
      <c r="R218" s="231"/>
      <c r="S218" s="231"/>
      <c r="T218" s="231"/>
      <c r="U218" s="231"/>
      <c r="V218" s="231"/>
      <c r="W218" s="231"/>
      <c r="X218" s="231"/>
      <c r="Y218" s="231"/>
      <c r="Z218" s="231"/>
      <c r="AA218" s="231"/>
      <c r="AB218" s="231"/>
      <c r="AC218" s="231"/>
      <c r="AD218" s="231"/>
      <c r="AE218" s="231"/>
      <c r="AF218" s="231"/>
      <c r="AG218" s="231"/>
      <c r="AH218" s="231"/>
    </row>
    <row r="219" spans="1:34" s="203" customFormat="1">
      <c r="A219" s="148"/>
      <c r="B219" s="29"/>
      <c r="C219" s="29"/>
      <c r="D219" s="170"/>
      <c r="E219" s="171"/>
      <c r="F219" s="29"/>
      <c r="G219" s="29"/>
      <c r="H219" s="207"/>
      <c r="I219" s="118"/>
      <c r="J219" s="231"/>
      <c r="K219" s="231"/>
      <c r="L219" s="231"/>
      <c r="M219" s="231"/>
      <c r="N219" s="231"/>
      <c r="O219" s="231"/>
      <c r="P219" s="231"/>
      <c r="Q219" s="231"/>
      <c r="R219" s="231"/>
      <c r="S219" s="231"/>
      <c r="T219" s="231"/>
      <c r="U219" s="231"/>
      <c r="V219" s="231"/>
      <c r="W219" s="231"/>
      <c r="X219" s="231"/>
      <c r="Y219" s="231"/>
      <c r="Z219" s="231"/>
      <c r="AA219" s="231"/>
      <c r="AB219" s="231"/>
      <c r="AC219" s="231"/>
      <c r="AD219" s="231"/>
      <c r="AE219" s="231"/>
      <c r="AF219" s="231"/>
      <c r="AG219" s="231"/>
      <c r="AH219" s="231"/>
    </row>
    <row r="220" spans="1:34" s="203" customFormat="1">
      <c r="A220" s="148"/>
      <c r="B220" s="29"/>
      <c r="C220" s="29"/>
      <c r="D220" s="172"/>
      <c r="E220" s="152"/>
      <c r="F220" s="29"/>
      <c r="G220" s="29"/>
      <c r="H220" s="131" t="s">
        <v>27</v>
      </c>
      <c r="I220" s="29"/>
      <c r="J220" s="231"/>
      <c r="K220" s="231"/>
      <c r="L220" s="231"/>
      <c r="M220" s="231"/>
      <c r="N220" s="231"/>
      <c r="O220" s="231"/>
      <c r="P220" s="231"/>
      <c r="Q220" s="231"/>
      <c r="R220" s="231"/>
      <c r="S220" s="231"/>
      <c r="T220" s="231"/>
      <c r="U220" s="231"/>
      <c r="V220" s="231"/>
      <c r="W220" s="231"/>
      <c r="X220" s="231"/>
      <c r="Y220" s="231"/>
      <c r="Z220" s="231"/>
      <c r="AA220" s="231"/>
      <c r="AB220" s="231"/>
      <c r="AC220" s="231"/>
      <c r="AD220" s="231"/>
      <c r="AE220" s="231"/>
      <c r="AF220" s="231"/>
      <c r="AG220" s="231"/>
      <c r="AH220" s="231"/>
    </row>
    <row r="221" spans="1:34" s="203" customFormat="1" ht="12.75" customHeight="1">
      <c r="A221" s="106" t="s">
        <v>10</v>
      </c>
      <c r="B221" s="164"/>
      <c r="C221" s="164"/>
      <c r="D221" s="164"/>
      <c r="E221" s="856" t="s">
        <v>377</v>
      </c>
      <c r="F221" s="856" t="s">
        <v>402</v>
      </c>
      <c r="G221" s="130"/>
      <c r="H221" s="856" t="s">
        <v>403</v>
      </c>
      <c r="I221" s="130"/>
      <c r="J221" s="231"/>
      <c r="K221" s="231"/>
      <c r="L221" s="231"/>
      <c r="M221" s="231"/>
      <c r="N221" s="231"/>
      <c r="O221" s="231"/>
      <c r="P221" s="231"/>
      <c r="Q221" s="231"/>
      <c r="R221" s="231"/>
      <c r="S221" s="231"/>
      <c r="T221" s="231"/>
      <c r="U221" s="231"/>
      <c r="V221" s="231"/>
      <c r="W221" s="231"/>
      <c r="X221" s="231"/>
      <c r="Y221" s="231"/>
      <c r="Z221" s="231"/>
      <c r="AA221" s="231"/>
      <c r="AB221" s="231"/>
      <c r="AC221" s="231"/>
      <c r="AD221" s="231"/>
      <c r="AE221" s="231"/>
      <c r="AF221" s="231"/>
      <c r="AG221" s="231"/>
      <c r="AH221" s="231"/>
    </row>
    <row r="222" spans="1:34" s="203" customFormat="1">
      <c r="A222" s="109"/>
      <c r="B222" s="132"/>
      <c r="C222" s="132"/>
      <c r="D222" s="132"/>
      <c r="E222" s="859"/>
      <c r="F222" s="859"/>
      <c r="G222" s="130"/>
      <c r="H222" s="859"/>
      <c r="I222" s="130"/>
      <c r="J222" s="231"/>
      <c r="K222" s="231"/>
      <c r="L222" s="231"/>
      <c r="M222" s="231"/>
      <c r="N222" s="231"/>
      <c r="O222" s="231"/>
      <c r="P222" s="231"/>
      <c r="Q222" s="231"/>
      <c r="R222" s="231"/>
      <c r="S222" s="231"/>
      <c r="T222" s="231"/>
      <c r="U222" s="231"/>
      <c r="V222" s="231"/>
      <c r="W222" s="231"/>
      <c r="X222" s="231"/>
      <c r="Y222" s="231"/>
      <c r="Z222" s="231"/>
      <c r="AA222" s="231"/>
      <c r="AB222" s="231"/>
      <c r="AC222" s="231"/>
      <c r="AD222" s="231"/>
      <c r="AE222" s="231"/>
      <c r="AF222" s="231"/>
      <c r="AG222" s="231"/>
      <c r="AH222" s="231"/>
    </row>
    <row r="223" spans="1:34" s="203" customFormat="1">
      <c r="A223" s="154" t="s">
        <v>179</v>
      </c>
      <c r="B223" s="116"/>
      <c r="C223" s="116"/>
      <c r="D223" s="116"/>
      <c r="E223" s="859"/>
      <c r="F223" s="859"/>
      <c r="G223" s="130"/>
      <c r="H223" s="859"/>
      <c r="I223" s="130"/>
      <c r="J223" s="231"/>
      <c r="K223" s="231"/>
      <c r="L223" s="231"/>
      <c r="M223" s="231"/>
      <c r="N223" s="231"/>
      <c r="O223" s="231"/>
      <c r="P223" s="231"/>
      <c r="Q223" s="231"/>
      <c r="R223" s="231"/>
      <c r="S223" s="231"/>
      <c r="T223" s="231"/>
      <c r="U223" s="231"/>
      <c r="V223" s="231"/>
      <c r="W223" s="231"/>
      <c r="X223" s="231"/>
      <c r="Y223" s="231"/>
      <c r="Z223" s="231"/>
      <c r="AA223" s="231"/>
      <c r="AB223" s="231"/>
      <c r="AC223" s="231"/>
      <c r="AD223" s="231"/>
      <c r="AE223" s="231"/>
      <c r="AF223" s="231"/>
      <c r="AG223" s="231"/>
      <c r="AH223" s="231"/>
    </row>
    <row r="224" spans="1:34" s="203" customFormat="1">
      <c r="A224" s="109" t="s">
        <v>83</v>
      </c>
      <c r="B224" s="47"/>
      <c r="C224" s="47"/>
      <c r="D224" s="47"/>
      <c r="E224" s="859"/>
      <c r="F224" s="859"/>
      <c r="G224" s="130"/>
      <c r="H224" s="859"/>
      <c r="I224" s="130"/>
      <c r="J224" s="231"/>
      <c r="K224" s="231"/>
      <c r="L224" s="231"/>
      <c r="M224" s="231"/>
      <c r="N224" s="231"/>
      <c r="O224" s="231"/>
      <c r="P224" s="231"/>
      <c r="Q224" s="231"/>
      <c r="R224" s="231"/>
      <c r="S224" s="231"/>
      <c r="T224" s="231"/>
      <c r="U224" s="231"/>
      <c r="V224" s="231"/>
      <c r="W224" s="231"/>
      <c r="X224" s="231"/>
      <c r="Y224" s="231"/>
      <c r="Z224" s="231"/>
      <c r="AA224" s="231"/>
      <c r="AB224" s="231"/>
      <c r="AC224" s="231"/>
      <c r="AD224" s="231"/>
      <c r="AE224" s="231"/>
      <c r="AF224" s="231"/>
      <c r="AG224" s="231"/>
      <c r="AH224" s="231"/>
    </row>
    <row r="225" spans="1:34" s="203" customFormat="1">
      <c r="A225" s="110" t="s">
        <v>84</v>
      </c>
      <c r="B225" s="132"/>
      <c r="C225" s="132"/>
      <c r="D225" s="132"/>
      <c r="E225" s="860"/>
      <c r="F225" s="860"/>
      <c r="G225" s="130"/>
      <c r="H225" s="860"/>
      <c r="I225" s="130"/>
      <c r="J225" s="231"/>
      <c r="K225" s="231"/>
      <c r="L225" s="231"/>
      <c r="M225" s="231"/>
      <c r="N225" s="231"/>
      <c r="O225" s="231"/>
      <c r="P225" s="231"/>
      <c r="Q225" s="231"/>
      <c r="R225" s="231"/>
      <c r="S225" s="231"/>
      <c r="T225" s="231"/>
      <c r="U225" s="231"/>
      <c r="V225" s="231"/>
      <c r="W225" s="231"/>
      <c r="X225" s="231"/>
      <c r="Y225" s="231"/>
      <c r="Z225" s="231"/>
      <c r="AA225" s="231"/>
      <c r="AB225" s="231"/>
      <c r="AC225" s="231"/>
      <c r="AD225" s="231"/>
      <c r="AE225" s="231"/>
      <c r="AF225" s="231"/>
      <c r="AG225" s="231"/>
      <c r="AH225" s="231"/>
    </row>
    <row r="226" spans="1:34" s="203" customFormat="1">
      <c r="A226" s="120">
        <v>1</v>
      </c>
      <c r="B226" s="47" t="s">
        <v>180</v>
      </c>
      <c r="C226" s="47"/>
      <c r="D226" s="47"/>
      <c r="E226" s="41">
        <v>-763</v>
      </c>
      <c r="F226" s="52">
        <v>-1234</v>
      </c>
      <c r="G226" s="118"/>
      <c r="H226" s="133">
        <v>-991</v>
      </c>
      <c r="I226" s="29"/>
      <c r="J226" s="231"/>
      <c r="K226" s="231"/>
      <c r="L226" s="231"/>
      <c r="M226" s="231"/>
      <c r="N226" s="231"/>
      <c r="O226" s="231"/>
      <c r="P226" s="231"/>
      <c r="Q226" s="231"/>
      <c r="R226" s="231"/>
      <c r="S226" s="231"/>
      <c r="T226" s="231"/>
      <c r="U226" s="231"/>
      <c r="V226" s="231"/>
      <c r="W226" s="231"/>
      <c r="X226" s="231"/>
      <c r="Y226" s="231"/>
      <c r="Z226" s="231"/>
      <c r="AA226" s="231"/>
      <c r="AB226" s="231"/>
      <c r="AC226" s="231"/>
      <c r="AD226" s="231"/>
      <c r="AE226" s="231"/>
      <c r="AF226" s="231"/>
      <c r="AG226" s="231"/>
      <c r="AH226" s="231"/>
    </row>
    <row r="227" spans="1:34" s="203" customFormat="1">
      <c r="A227" s="120">
        <v>2</v>
      </c>
      <c r="B227" s="47" t="s">
        <v>181</v>
      </c>
      <c r="C227" s="47"/>
      <c r="D227" s="47"/>
      <c r="E227" s="49">
        <v>1828</v>
      </c>
      <c r="F227" s="52">
        <v>1622</v>
      </c>
      <c r="G227" s="118"/>
      <c r="H227" s="122">
        <v>1301</v>
      </c>
      <c r="I227" s="29"/>
      <c r="J227" s="231"/>
      <c r="K227" s="231"/>
      <c r="L227" s="231"/>
      <c r="M227" s="231"/>
      <c r="N227" s="231"/>
      <c r="O227" s="231"/>
      <c r="P227" s="231"/>
      <c r="Q227" s="231"/>
      <c r="R227" s="231"/>
      <c r="S227" s="231"/>
      <c r="T227" s="231"/>
      <c r="U227" s="231"/>
      <c r="V227" s="231"/>
      <c r="W227" s="231"/>
      <c r="X227" s="231"/>
      <c r="Y227" s="231"/>
      <c r="Z227" s="231"/>
      <c r="AA227" s="231"/>
      <c r="AB227" s="231"/>
      <c r="AC227" s="231"/>
      <c r="AD227" s="231"/>
      <c r="AE227" s="231"/>
      <c r="AF227" s="231"/>
      <c r="AG227" s="231"/>
      <c r="AH227" s="231"/>
    </row>
    <row r="228" spans="1:34" s="203" customFormat="1">
      <c r="A228" s="120">
        <v>3</v>
      </c>
      <c r="B228" s="47" t="s">
        <v>182</v>
      </c>
      <c r="C228" s="47"/>
      <c r="D228" s="47"/>
      <c r="E228" s="114">
        <v>1516</v>
      </c>
      <c r="F228" s="52">
        <v>1603</v>
      </c>
      <c r="G228" s="118"/>
      <c r="H228" s="122">
        <v>1287</v>
      </c>
      <c r="I228" s="29"/>
      <c r="J228" s="231"/>
      <c r="K228" s="231"/>
      <c r="L228" s="231"/>
      <c r="M228" s="231"/>
      <c r="N228" s="231"/>
      <c r="O228" s="231"/>
      <c r="P228" s="231"/>
      <c r="Q228" s="231"/>
      <c r="R228" s="231"/>
      <c r="S228" s="231"/>
      <c r="T228" s="231"/>
      <c r="U228" s="231"/>
      <c r="V228" s="231"/>
      <c r="W228" s="231"/>
      <c r="X228" s="231"/>
      <c r="Y228" s="231"/>
      <c r="Z228" s="231"/>
      <c r="AA228" s="231"/>
      <c r="AB228" s="231"/>
      <c r="AC228" s="231"/>
      <c r="AD228" s="231"/>
      <c r="AE228" s="231"/>
      <c r="AF228" s="231"/>
      <c r="AG228" s="231"/>
      <c r="AH228" s="231"/>
    </row>
    <row r="229" spans="1:34" s="203" customFormat="1">
      <c r="A229" s="120">
        <v>4</v>
      </c>
      <c r="B229" s="47" t="s">
        <v>183</v>
      </c>
      <c r="C229" s="47"/>
      <c r="D229" s="47"/>
      <c r="E229" s="114">
        <v>678</v>
      </c>
      <c r="F229" s="52">
        <v>829</v>
      </c>
      <c r="G229" s="118"/>
      <c r="H229" s="122">
        <v>665</v>
      </c>
      <c r="I229" s="29"/>
      <c r="J229" s="231"/>
      <c r="K229" s="231"/>
      <c r="L229" s="231"/>
      <c r="M229" s="231"/>
      <c r="N229" s="231"/>
      <c r="O229" s="231"/>
      <c r="P229" s="231"/>
      <c r="Q229" s="231"/>
      <c r="R229" s="231"/>
      <c r="S229" s="231"/>
      <c r="T229" s="231"/>
      <c r="U229" s="231"/>
      <c r="V229" s="231"/>
      <c r="W229" s="231"/>
      <c r="X229" s="231"/>
      <c r="Y229" s="231"/>
      <c r="Z229" s="231"/>
      <c r="AA229" s="231"/>
      <c r="AB229" s="231"/>
      <c r="AC229" s="231"/>
      <c r="AD229" s="231"/>
      <c r="AE229" s="231"/>
      <c r="AF229" s="231"/>
      <c r="AG229" s="231"/>
      <c r="AH229" s="231"/>
    </row>
    <row r="230" spans="1:34" s="203" customFormat="1">
      <c r="A230" s="120">
        <v>5</v>
      </c>
      <c r="B230" s="47" t="s">
        <v>184</v>
      </c>
      <c r="C230" s="47"/>
      <c r="D230" s="47"/>
      <c r="E230" s="114">
        <v>964</v>
      </c>
      <c r="F230" s="52">
        <v>544</v>
      </c>
      <c r="G230" s="118"/>
      <c r="H230" s="99">
        <v>438</v>
      </c>
      <c r="I230" s="29"/>
      <c r="J230" s="231"/>
      <c r="K230" s="231"/>
      <c r="L230" s="231"/>
      <c r="M230" s="231"/>
      <c r="N230" s="231"/>
      <c r="O230" s="231"/>
      <c r="P230" s="231"/>
      <c r="Q230" s="231"/>
      <c r="R230" s="231"/>
      <c r="S230" s="231"/>
      <c r="T230" s="231"/>
      <c r="U230" s="231"/>
      <c r="V230" s="231"/>
      <c r="W230" s="231"/>
      <c r="X230" s="231"/>
      <c r="Y230" s="231"/>
      <c r="Z230" s="231"/>
      <c r="AA230" s="231"/>
      <c r="AB230" s="231"/>
      <c r="AC230" s="231"/>
      <c r="AD230" s="231"/>
      <c r="AE230" s="231"/>
      <c r="AF230" s="231"/>
      <c r="AG230" s="231"/>
      <c r="AH230" s="231"/>
    </row>
    <row r="231" spans="1:34" s="203" customFormat="1">
      <c r="A231" s="124">
        <v>6</v>
      </c>
      <c r="B231" s="173" t="s">
        <v>185</v>
      </c>
      <c r="C231" s="173"/>
      <c r="D231" s="173"/>
      <c r="E231" s="159">
        <v>4223</v>
      </c>
      <c r="F231" s="61">
        <f>SUM(F226:F230)</f>
        <v>3364</v>
      </c>
      <c r="G231" s="118"/>
      <c r="H231" s="61">
        <f>SUM(H226:H230)</f>
        <v>2700</v>
      </c>
      <c r="I231" s="29"/>
      <c r="J231" s="231"/>
      <c r="K231" s="231"/>
      <c r="L231" s="231"/>
      <c r="M231" s="231"/>
      <c r="N231" s="231"/>
      <c r="O231" s="231"/>
      <c r="P231" s="231"/>
      <c r="Q231" s="231"/>
      <c r="R231" s="231"/>
      <c r="S231" s="231"/>
      <c r="T231" s="231"/>
      <c r="U231" s="231"/>
      <c r="V231" s="231"/>
      <c r="W231" s="231"/>
      <c r="X231" s="231"/>
      <c r="Y231" s="231"/>
      <c r="Z231" s="231"/>
      <c r="AA231" s="231"/>
      <c r="AB231" s="231"/>
      <c r="AC231" s="231"/>
      <c r="AD231" s="231"/>
      <c r="AE231" s="231"/>
      <c r="AF231" s="231"/>
      <c r="AG231" s="231"/>
      <c r="AH231" s="231"/>
    </row>
    <row r="232" spans="1:34" s="203" customFormat="1">
      <c r="A232" s="148"/>
      <c r="B232" s="29"/>
      <c r="C232" s="29"/>
      <c r="D232" s="170"/>
      <c r="E232" s="150"/>
      <c r="F232" s="29"/>
      <c r="G232" s="29"/>
      <c r="H232" s="207"/>
      <c r="I232" s="29"/>
      <c r="J232" s="231"/>
      <c r="K232" s="231"/>
      <c r="L232" s="231"/>
      <c r="M232" s="231"/>
      <c r="N232" s="231"/>
      <c r="O232" s="231"/>
      <c r="P232" s="231"/>
      <c r="Q232" s="231"/>
      <c r="R232" s="231"/>
      <c r="S232" s="231"/>
      <c r="T232" s="231"/>
      <c r="U232" s="231"/>
      <c r="V232" s="231"/>
      <c r="W232" s="231"/>
      <c r="X232" s="231"/>
      <c r="Y232" s="231"/>
      <c r="Z232" s="231"/>
      <c r="AA232" s="231"/>
      <c r="AB232" s="231"/>
      <c r="AC232" s="231"/>
      <c r="AD232" s="231"/>
      <c r="AE232" s="231"/>
      <c r="AF232" s="231"/>
      <c r="AG232" s="231"/>
      <c r="AH232" s="231"/>
    </row>
    <row r="233" spans="1:34" s="203" customFormat="1">
      <c r="A233" s="148"/>
      <c r="B233" s="29"/>
      <c r="C233" s="29"/>
      <c r="D233" s="172"/>
      <c r="E233" s="152"/>
      <c r="F233" s="29"/>
      <c r="G233" s="29"/>
      <c r="H233" s="131" t="s">
        <v>27</v>
      </c>
      <c r="I233" s="29"/>
      <c r="J233" s="231"/>
      <c r="K233" s="231"/>
      <c r="L233" s="231"/>
      <c r="M233" s="231"/>
      <c r="N233" s="231"/>
      <c r="O233" s="231"/>
      <c r="P233" s="231"/>
      <c r="Q233" s="231"/>
      <c r="R233" s="231"/>
      <c r="S233" s="231"/>
      <c r="T233" s="231"/>
      <c r="U233" s="231"/>
      <c r="V233" s="231"/>
      <c r="W233" s="231"/>
      <c r="X233" s="231"/>
      <c r="Y233" s="231"/>
      <c r="Z233" s="231"/>
      <c r="AA233" s="231"/>
      <c r="AB233" s="231"/>
      <c r="AC233" s="231"/>
      <c r="AD233" s="231"/>
      <c r="AE233" s="231"/>
      <c r="AF233" s="231"/>
      <c r="AG233" s="231"/>
      <c r="AH233" s="231"/>
    </row>
    <row r="234" spans="1:34" s="203" customFormat="1" ht="12.75" customHeight="1">
      <c r="A234" s="106" t="s">
        <v>12</v>
      </c>
      <c r="B234" s="164"/>
      <c r="C234" s="164"/>
      <c r="D234" s="164"/>
      <c r="E234" s="856" t="s">
        <v>377</v>
      </c>
      <c r="F234" s="856" t="s">
        <v>402</v>
      </c>
      <c r="G234" s="130"/>
      <c r="H234" s="856" t="s">
        <v>403</v>
      </c>
      <c r="I234" s="130"/>
      <c r="J234" s="231"/>
      <c r="K234" s="231"/>
      <c r="L234" s="231"/>
      <c r="M234" s="231"/>
      <c r="N234" s="231"/>
      <c r="O234" s="231"/>
      <c r="P234" s="231"/>
      <c r="Q234" s="231"/>
      <c r="R234" s="231"/>
      <c r="S234" s="231"/>
      <c r="T234" s="231"/>
      <c r="U234" s="231"/>
      <c r="V234" s="231"/>
      <c r="W234" s="231"/>
      <c r="X234" s="231"/>
      <c r="Y234" s="231"/>
      <c r="Z234" s="231"/>
      <c r="AA234" s="231"/>
      <c r="AB234" s="231"/>
      <c r="AC234" s="231"/>
      <c r="AD234" s="231"/>
      <c r="AE234" s="231"/>
      <c r="AF234" s="231"/>
      <c r="AG234" s="231"/>
      <c r="AH234" s="231"/>
    </row>
    <row r="235" spans="1:34" s="203" customFormat="1">
      <c r="A235" s="165"/>
      <c r="B235" s="47"/>
      <c r="C235" s="47"/>
      <c r="D235" s="47"/>
      <c r="E235" s="859"/>
      <c r="F235" s="859"/>
      <c r="G235" s="130"/>
      <c r="H235" s="859"/>
      <c r="I235" s="130"/>
      <c r="J235" s="231"/>
      <c r="K235" s="231"/>
      <c r="L235" s="231"/>
      <c r="M235" s="231"/>
      <c r="N235" s="231"/>
      <c r="O235" s="231"/>
      <c r="P235" s="231"/>
      <c r="Q235" s="231"/>
      <c r="R235" s="231"/>
      <c r="S235" s="231"/>
      <c r="T235" s="231"/>
      <c r="U235" s="231"/>
      <c r="V235" s="231"/>
      <c r="W235" s="231"/>
      <c r="X235" s="231"/>
      <c r="Y235" s="231"/>
      <c r="Z235" s="231"/>
      <c r="AA235" s="231"/>
      <c r="AB235" s="231"/>
      <c r="AC235" s="231"/>
      <c r="AD235" s="231"/>
      <c r="AE235" s="231"/>
      <c r="AF235" s="231"/>
      <c r="AG235" s="231"/>
      <c r="AH235" s="231"/>
    </row>
    <row r="236" spans="1:34" s="203" customFormat="1">
      <c r="A236" s="154" t="s">
        <v>186</v>
      </c>
      <c r="B236" s="174"/>
      <c r="C236" s="174"/>
      <c r="D236" s="174"/>
      <c r="E236" s="859"/>
      <c r="F236" s="859"/>
      <c r="G236" s="130"/>
      <c r="H236" s="859"/>
      <c r="I236" s="130"/>
      <c r="J236" s="231"/>
      <c r="K236" s="231"/>
      <c r="L236" s="231"/>
      <c r="M236" s="231"/>
      <c r="N236" s="231"/>
      <c r="O236" s="231"/>
      <c r="P236" s="231"/>
      <c r="Q236" s="231"/>
      <c r="R236" s="231"/>
      <c r="S236" s="231"/>
      <c r="T236" s="231"/>
      <c r="U236" s="231"/>
      <c r="V236" s="231"/>
      <c r="W236" s="231"/>
      <c r="X236" s="231"/>
      <c r="Y236" s="231"/>
      <c r="Z236" s="231"/>
      <c r="AA236" s="231"/>
      <c r="AB236" s="231"/>
      <c r="AC236" s="231"/>
      <c r="AD236" s="231"/>
      <c r="AE236" s="231"/>
      <c r="AF236" s="231"/>
      <c r="AG236" s="231"/>
      <c r="AH236" s="231"/>
    </row>
    <row r="237" spans="1:34" s="203" customFormat="1">
      <c r="A237" s="109" t="s">
        <v>83</v>
      </c>
      <c r="B237" s="47"/>
      <c r="C237" s="47"/>
      <c r="D237" s="47"/>
      <c r="E237" s="859"/>
      <c r="F237" s="859"/>
      <c r="G237" s="130"/>
      <c r="H237" s="859"/>
      <c r="I237" s="130"/>
      <c r="J237" s="231"/>
      <c r="K237" s="231"/>
      <c r="L237" s="231"/>
      <c r="M237" s="231"/>
      <c r="N237" s="231"/>
      <c r="O237" s="231"/>
      <c r="P237" s="231"/>
      <c r="Q237" s="231"/>
      <c r="R237" s="231"/>
      <c r="S237" s="231"/>
      <c r="T237" s="231"/>
      <c r="U237" s="231"/>
      <c r="V237" s="231"/>
      <c r="W237" s="231"/>
      <c r="X237" s="231"/>
      <c r="Y237" s="231"/>
      <c r="Z237" s="231"/>
      <c r="AA237" s="231"/>
      <c r="AB237" s="231"/>
      <c r="AC237" s="231"/>
      <c r="AD237" s="231"/>
      <c r="AE237" s="231"/>
      <c r="AF237" s="231"/>
      <c r="AG237" s="231"/>
      <c r="AH237" s="231"/>
    </row>
    <row r="238" spans="1:34" s="203" customFormat="1">
      <c r="A238" s="110" t="s">
        <v>84</v>
      </c>
      <c r="B238" s="174"/>
      <c r="C238" s="174"/>
      <c r="D238" s="174"/>
      <c r="E238" s="860"/>
      <c r="F238" s="860"/>
      <c r="G238" s="130"/>
      <c r="H238" s="860"/>
      <c r="I238" s="130"/>
      <c r="J238" s="231"/>
      <c r="K238" s="231"/>
      <c r="L238" s="231"/>
      <c r="M238" s="231"/>
      <c r="N238" s="231"/>
      <c r="O238" s="231"/>
      <c r="P238" s="231"/>
      <c r="Q238" s="231"/>
      <c r="R238" s="231"/>
      <c r="S238" s="231"/>
      <c r="T238" s="231"/>
      <c r="U238" s="231"/>
      <c r="V238" s="231"/>
      <c r="W238" s="231"/>
      <c r="X238" s="231"/>
      <c r="Y238" s="231"/>
      <c r="Z238" s="231"/>
      <c r="AA238" s="231"/>
      <c r="AB238" s="231"/>
      <c r="AC238" s="231"/>
      <c r="AD238" s="231"/>
      <c r="AE238" s="231"/>
      <c r="AF238" s="231"/>
      <c r="AG238" s="231"/>
      <c r="AH238" s="231"/>
    </row>
    <row r="239" spans="1:34" s="203" customFormat="1">
      <c r="A239" s="153" t="s">
        <v>187</v>
      </c>
      <c r="B239" s="116"/>
      <c r="C239" s="116"/>
      <c r="D239" s="116"/>
      <c r="E239" s="167"/>
      <c r="F239" s="146"/>
      <c r="G239" s="118"/>
      <c r="H239" s="146"/>
      <c r="I239" s="29"/>
      <c r="J239" s="231"/>
      <c r="K239" s="231"/>
      <c r="L239" s="231"/>
      <c r="M239" s="231"/>
      <c r="N239" s="231"/>
      <c r="O239" s="231"/>
      <c r="P239" s="231"/>
      <c r="Q239" s="231"/>
      <c r="R239" s="231"/>
      <c r="S239" s="231"/>
      <c r="T239" s="231"/>
      <c r="U239" s="231"/>
      <c r="V239" s="231"/>
      <c r="W239" s="231"/>
      <c r="X239" s="231"/>
      <c r="Y239" s="231"/>
      <c r="Z239" s="231"/>
      <c r="AA239" s="231"/>
      <c r="AB239" s="231"/>
      <c r="AC239" s="231"/>
      <c r="AD239" s="231"/>
      <c r="AE239" s="231"/>
      <c r="AF239" s="231"/>
      <c r="AG239" s="231"/>
      <c r="AH239" s="231"/>
    </row>
    <row r="240" spans="1:34" s="203" customFormat="1">
      <c r="A240" s="120">
        <v>1</v>
      </c>
      <c r="B240" s="47" t="s">
        <v>188</v>
      </c>
      <c r="C240" s="47"/>
      <c r="D240" s="47"/>
      <c r="E240" s="74">
        <v>1045</v>
      </c>
      <c r="F240" s="52">
        <v>1534</v>
      </c>
      <c r="G240" s="118"/>
      <c r="H240" s="122">
        <v>1481</v>
      </c>
      <c r="I240" s="29"/>
      <c r="J240" s="231"/>
      <c r="K240" s="231"/>
      <c r="L240" s="231"/>
      <c r="M240" s="231"/>
      <c r="N240" s="231"/>
      <c r="O240" s="231"/>
      <c r="P240" s="231"/>
      <c r="Q240" s="231"/>
      <c r="R240" s="231"/>
      <c r="S240" s="231"/>
      <c r="T240" s="231"/>
      <c r="U240" s="231"/>
      <c r="V240" s="231"/>
      <c r="W240" s="231"/>
      <c r="X240" s="231"/>
      <c r="Y240" s="231"/>
      <c r="Z240" s="231"/>
      <c r="AA240" s="231"/>
      <c r="AB240" s="231"/>
      <c r="AC240" s="231"/>
      <c r="AD240" s="231"/>
      <c r="AE240" s="231"/>
      <c r="AF240" s="231"/>
      <c r="AG240" s="231"/>
      <c r="AH240" s="231"/>
    </row>
    <row r="241" spans="1:34" s="203" customFormat="1">
      <c r="A241" s="665">
        <v>2</v>
      </c>
      <c r="B241" s="47" t="s">
        <v>189</v>
      </c>
      <c r="C241" s="47"/>
      <c r="D241" s="47"/>
      <c r="E241" s="114">
        <v>1483</v>
      </c>
      <c r="F241" s="52">
        <v>1764</v>
      </c>
      <c r="G241" s="118"/>
      <c r="H241" s="100">
        <v>1704</v>
      </c>
      <c r="I241" s="29"/>
      <c r="J241" s="231"/>
      <c r="K241" s="231"/>
      <c r="L241" s="231"/>
      <c r="M241" s="231"/>
      <c r="N241" s="231"/>
      <c r="O241" s="231"/>
      <c r="P241" s="231"/>
      <c r="Q241" s="231"/>
      <c r="R241" s="231"/>
      <c r="S241" s="231"/>
      <c r="T241" s="231"/>
      <c r="U241" s="231"/>
      <c r="V241" s="231"/>
      <c r="W241" s="231"/>
      <c r="X241" s="231"/>
      <c r="Y241" s="231"/>
      <c r="Z241" s="231"/>
      <c r="AA241" s="231"/>
      <c r="AB241" s="231"/>
      <c r="AC241" s="231"/>
      <c r="AD241" s="231"/>
      <c r="AE241" s="231"/>
      <c r="AF241" s="231"/>
      <c r="AG241" s="231"/>
      <c r="AH241" s="231"/>
    </row>
    <row r="242" spans="1:34" s="203" customFormat="1">
      <c r="A242" s="665">
        <v>3</v>
      </c>
      <c r="B242" s="168" t="s">
        <v>190</v>
      </c>
      <c r="C242" s="168"/>
      <c r="D242" s="168"/>
      <c r="E242" s="80">
        <v>2528</v>
      </c>
      <c r="F242" s="142">
        <f>SUM(F240:F241)</f>
        <v>3298</v>
      </c>
      <c r="G242" s="118"/>
      <c r="H242" s="142">
        <f>SUM(H240:H241)</f>
        <v>3185</v>
      </c>
      <c r="I242" s="29"/>
      <c r="J242" s="231"/>
      <c r="K242" s="231"/>
      <c r="L242" s="231"/>
      <c r="M242" s="231"/>
      <c r="N242" s="231"/>
      <c r="O242" s="231"/>
      <c r="P242" s="231"/>
      <c r="Q242" s="231"/>
      <c r="R242" s="231"/>
      <c r="S242" s="231"/>
      <c r="T242" s="231"/>
      <c r="U242" s="231"/>
      <c r="V242" s="231"/>
      <c r="W242" s="231"/>
      <c r="X242" s="231"/>
      <c r="Y242" s="231"/>
      <c r="Z242" s="231"/>
      <c r="AA242" s="231"/>
      <c r="AB242" s="231"/>
      <c r="AC242" s="231"/>
      <c r="AD242" s="231"/>
      <c r="AE242" s="231"/>
      <c r="AF242" s="231"/>
      <c r="AG242" s="231"/>
      <c r="AH242" s="231"/>
    </row>
    <row r="243" spans="1:34" s="203" customFormat="1">
      <c r="A243" s="665"/>
      <c r="B243" s="116"/>
      <c r="C243" s="116"/>
      <c r="D243" s="116"/>
      <c r="E243" s="117"/>
      <c r="F243" s="118"/>
      <c r="G243" s="118"/>
      <c r="H243" s="118"/>
      <c r="I243" s="29"/>
      <c r="J243" s="231"/>
      <c r="K243" s="231"/>
      <c r="L243" s="231"/>
      <c r="M243" s="231"/>
      <c r="N243" s="231"/>
      <c r="O243" s="231"/>
      <c r="P243" s="231"/>
      <c r="Q243" s="231"/>
      <c r="R243" s="231"/>
      <c r="S243" s="231"/>
      <c r="T243" s="231"/>
      <c r="U243" s="231"/>
      <c r="V243" s="231"/>
      <c r="W243" s="231"/>
      <c r="X243" s="231"/>
      <c r="Y243" s="231"/>
      <c r="Z243" s="231"/>
      <c r="AA243" s="231"/>
      <c r="AB243" s="231"/>
      <c r="AC243" s="231"/>
      <c r="AD243" s="231"/>
      <c r="AE243" s="231"/>
      <c r="AF243" s="231"/>
      <c r="AG243" s="231"/>
      <c r="AH243" s="231"/>
    </row>
    <row r="244" spans="1:34" s="203" customFormat="1">
      <c r="A244" s="108" t="s">
        <v>191</v>
      </c>
      <c r="B244" s="47"/>
      <c r="C244" s="47"/>
      <c r="D244" s="47"/>
      <c r="E244" s="140"/>
      <c r="F244" s="146"/>
      <c r="G244" s="118"/>
      <c r="H244" s="146"/>
      <c r="I244" s="29"/>
      <c r="J244" s="231"/>
      <c r="K244" s="231"/>
      <c r="L244" s="231"/>
      <c r="M244" s="231"/>
      <c r="N244" s="231"/>
      <c r="O244" s="231"/>
      <c r="P244" s="231"/>
      <c r="Q244" s="231"/>
      <c r="R244" s="231"/>
      <c r="S244" s="231"/>
      <c r="T244" s="231"/>
      <c r="U244" s="231"/>
      <c r="V244" s="231"/>
      <c r="W244" s="231"/>
      <c r="X244" s="231"/>
      <c r="Y244" s="231"/>
      <c r="Z244" s="231"/>
      <c r="AA244" s="231"/>
      <c r="AB244" s="231"/>
      <c r="AC244" s="231"/>
      <c r="AD244" s="231"/>
      <c r="AE244" s="231"/>
      <c r="AF244" s="231"/>
      <c r="AG244" s="231"/>
      <c r="AH244" s="231"/>
    </row>
    <row r="245" spans="1:34" s="203" customFormat="1">
      <c r="A245" s="665">
        <v>4</v>
      </c>
      <c r="B245" s="47" t="s">
        <v>192</v>
      </c>
      <c r="C245" s="47"/>
      <c r="D245" s="47"/>
      <c r="E245" s="74">
        <v>0</v>
      </c>
      <c r="F245" s="52">
        <v>0</v>
      </c>
      <c r="G245" s="118"/>
      <c r="H245" s="122">
        <v>0</v>
      </c>
      <c r="I245" s="29"/>
      <c r="J245" s="231"/>
      <c r="K245" s="231"/>
      <c r="L245" s="231"/>
      <c r="M245" s="231"/>
      <c r="N245" s="231"/>
      <c r="O245" s="231"/>
      <c r="P245" s="231"/>
      <c r="Q245" s="231"/>
      <c r="R245" s="231"/>
      <c r="S245" s="231"/>
      <c r="T245" s="231"/>
      <c r="U245" s="231"/>
      <c r="V245" s="231"/>
      <c r="W245" s="231"/>
      <c r="X245" s="231"/>
      <c r="Y245" s="231"/>
      <c r="Z245" s="231"/>
      <c r="AA245" s="231"/>
      <c r="AB245" s="231"/>
      <c r="AC245" s="231"/>
      <c r="AD245" s="231"/>
      <c r="AE245" s="231"/>
      <c r="AF245" s="231"/>
      <c r="AG245" s="231"/>
      <c r="AH245" s="231"/>
    </row>
    <row r="246" spans="1:34" s="203" customFormat="1">
      <c r="A246" s="665">
        <v>5</v>
      </c>
      <c r="B246" s="47" t="s">
        <v>193</v>
      </c>
      <c r="C246" s="47"/>
      <c r="D246" s="47"/>
      <c r="E246" s="49">
        <v>337</v>
      </c>
      <c r="F246" s="52">
        <v>13</v>
      </c>
      <c r="G246" s="118"/>
      <c r="H246" s="100">
        <v>13</v>
      </c>
      <c r="I246" s="29"/>
      <c r="J246" s="231"/>
      <c r="K246" s="231"/>
      <c r="L246" s="231"/>
      <c r="M246" s="231"/>
      <c r="N246" s="231"/>
      <c r="O246" s="231"/>
      <c r="P246" s="231"/>
      <c r="Q246" s="231"/>
      <c r="R246" s="231"/>
      <c r="S246" s="231"/>
      <c r="T246" s="231"/>
      <c r="U246" s="231"/>
      <c r="V246" s="231"/>
      <c r="W246" s="231"/>
      <c r="X246" s="231"/>
      <c r="Y246" s="231"/>
      <c r="Z246" s="231"/>
      <c r="AA246" s="231"/>
      <c r="AB246" s="231"/>
      <c r="AC246" s="231"/>
      <c r="AD246" s="231"/>
      <c r="AE246" s="231"/>
      <c r="AF246" s="231"/>
      <c r="AG246" s="231"/>
      <c r="AH246" s="231"/>
    </row>
    <row r="247" spans="1:34" s="203" customFormat="1">
      <c r="A247" s="665">
        <v>6</v>
      </c>
      <c r="B247" s="116" t="s">
        <v>194</v>
      </c>
      <c r="C247" s="116"/>
      <c r="D247" s="116"/>
      <c r="E247" s="80">
        <v>337</v>
      </c>
      <c r="F247" s="142">
        <f>SUM(F245:F246)</f>
        <v>13</v>
      </c>
      <c r="G247" s="118"/>
      <c r="H247" s="142">
        <f>SUM(H245:H246)</f>
        <v>13</v>
      </c>
      <c r="I247" s="29"/>
      <c r="J247" s="231"/>
      <c r="K247" s="231"/>
      <c r="L247" s="231"/>
      <c r="M247" s="231"/>
      <c r="N247" s="231"/>
      <c r="O247" s="231"/>
      <c r="P247" s="231"/>
      <c r="Q247" s="231"/>
      <c r="R247" s="231"/>
      <c r="S247" s="231"/>
      <c r="T247" s="231"/>
      <c r="U247" s="231"/>
      <c r="V247" s="231"/>
      <c r="W247" s="231"/>
      <c r="X247" s="231"/>
      <c r="Y247" s="231"/>
      <c r="Z247" s="231"/>
      <c r="AA247" s="231"/>
      <c r="AB247" s="231"/>
      <c r="AC247" s="231"/>
      <c r="AD247" s="231"/>
      <c r="AE247" s="231"/>
      <c r="AF247" s="231"/>
      <c r="AG247" s="231"/>
      <c r="AH247" s="231"/>
    </row>
    <row r="248" spans="1:34" s="203" customFormat="1">
      <c r="A248" s="665"/>
      <c r="B248" s="116"/>
      <c r="C248" s="116"/>
      <c r="D248" s="116"/>
      <c r="E248" s="117"/>
      <c r="F248" s="118"/>
      <c r="G248" s="118"/>
      <c r="H248" s="118"/>
      <c r="I248" s="29"/>
      <c r="J248" s="231"/>
      <c r="K248" s="231"/>
      <c r="L248" s="231"/>
      <c r="M248" s="231"/>
      <c r="N248" s="231"/>
      <c r="O248" s="231"/>
      <c r="P248" s="231"/>
      <c r="Q248" s="231"/>
      <c r="R248" s="231"/>
      <c r="S248" s="231"/>
      <c r="T248" s="231"/>
      <c r="U248" s="231"/>
      <c r="V248" s="231"/>
      <c r="W248" s="231"/>
      <c r="X248" s="231"/>
      <c r="Y248" s="231"/>
      <c r="Z248" s="231"/>
      <c r="AA248" s="231"/>
      <c r="AB248" s="231"/>
      <c r="AC248" s="231"/>
      <c r="AD248" s="231"/>
      <c r="AE248" s="231"/>
      <c r="AF248" s="231"/>
      <c r="AG248" s="231"/>
      <c r="AH248" s="231"/>
    </row>
    <row r="249" spans="1:34" s="203" customFormat="1">
      <c r="A249" s="108" t="s">
        <v>195</v>
      </c>
      <c r="B249" s="116"/>
      <c r="C249" s="116"/>
      <c r="D249" s="116"/>
      <c r="E249" s="140"/>
      <c r="F249" s="146"/>
      <c r="G249" s="118"/>
      <c r="H249" s="146"/>
      <c r="I249" s="29"/>
      <c r="J249" s="231"/>
      <c r="K249" s="231"/>
      <c r="L249" s="231"/>
      <c r="M249" s="231"/>
      <c r="N249" s="231"/>
      <c r="O249" s="231"/>
      <c r="P249" s="231"/>
      <c r="Q249" s="231"/>
      <c r="R249" s="231"/>
      <c r="S249" s="231"/>
      <c r="T249" s="231"/>
      <c r="U249" s="231"/>
      <c r="V249" s="231"/>
      <c r="W249" s="231"/>
      <c r="X249" s="231"/>
      <c r="Y249" s="231"/>
      <c r="Z249" s="231"/>
      <c r="AA249" s="231"/>
      <c r="AB249" s="231"/>
      <c r="AC249" s="231"/>
      <c r="AD249" s="231"/>
      <c r="AE249" s="231"/>
      <c r="AF249" s="231"/>
      <c r="AG249" s="231"/>
      <c r="AH249" s="231"/>
    </row>
    <row r="250" spans="1:34" s="203" customFormat="1">
      <c r="A250" s="665">
        <v>7</v>
      </c>
      <c r="B250" s="47" t="s">
        <v>196</v>
      </c>
      <c r="C250" s="47"/>
      <c r="D250" s="47"/>
      <c r="E250" s="74">
        <v>1542</v>
      </c>
      <c r="F250" s="52">
        <v>1245</v>
      </c>
      <c r="G250" s="118"/>
      <c r="H250" s="52">
        <v>1202</v>
      </c>
      <c r="I250" s="29"/>
      <c r="J250" s="231"/>
      <c r="K250" s="231"/>
      <c r="L250" s="231"/>
      <c r="M250" s="231"/>
      <c r="N250" s="231"/>
      <c r="O250" s="231"/>
      <c r="P250" s="231"/>
      <c r="Q250" s="231"/>
      <c r="R250" s="231"/>
      <c r="S250" s="231"/>
      <c r="T250" s="231"/>
      <c r="U250" s="231"/>
      <c r="V250" s="231"/>
      <c r="W250" s="231"/>
      <c r="X250" s="231"/>
      <c r="Y250" s="231"/>
      <c r="Z250" s="231"/>
      <c r="AA250" s="231"/>
      <c r="AB250" s="231"/>
      <c r="AC250" s="231"/>
      <c r="AD250" s="231"/>
      <c r="AE250" s="231"/>
      <c r="AF250" s="231"/>
      <c r="AG250" s="231"/>
      <c r="AH250" s="231"/>
    </row>
    <row r="251" spans="1:34" s="203" customFormat="1">
      <c r="A251" s="665">
        <v>8</v>
      </c>
      <c r="B251" s="47" t="s">
        <v>197</v>
      </c>
      <c r="C251" s="47"/>
      <c r="D251" s="47"/>
      <c r="E251" s="49">
        <v>4198</v>
      </c>
      <c r="F251" s="52">
        <v>4216</v>
      </c>
      <c r="G251" s="118"/>
      <c r="H251" s="122">
        <v>4091</v>
      </c>
      <c r="I251" s="29"/>
      <c r="J251" s="231"/>
      <c r="K251" s="231"/>
      <c r="L251" s="231"/>
      <c r="M251" s="231"/>
      <c r="N251" s="231"/>
      <c r="O251" s="231"/>
      <c r="P251" s="231"/>
      <c r="Q251" s="231"/>
      <c r="R251" s="231"/>
      <c r="S251" s="231"/>
      <c r="T251" s="231"/>
      <c r="U251" s="231"/>
      <c r="V251" s="231"/>
      <c r="W251" s="231"/>
      <c r="X251" s="231"/>
      <c r="Y251" s="231"/>
      <c r="Z251" s="231"/>
      <c r="AA251" s="231"/>
      <c r="AB251" s="231"/>
      <c r="AC251" s="231"/>
      <c r="AD251" s="231"/>
      <c r="AE251" s="231"/>
      <c r="AF251" s="231"/>
      <c r="AG251" s="231"/>
      <c r="AH251" s="231"/>
    </row>
    <row r="252" spans="1:34" s="203" customFormat="1">
      <c r="A252" s="665">
        <v>9</v>
      </c>
      <c r="B252" s="47" t="s">
        <v>198</v>
      </c>
      <c r="C252" s="47"/>
      <c r="D252" s="47"/>
      <c r="E252" s="49">
        <v>2243</v>
      </c>
      <c r="F252" s="52">
        <v>1968</v>
      </c>
      <c r="G252" s="118"/>
      <c r="H252" s="122">
        <v>1910</v>
      </c>
      <c r="I252" s="29"/>
      <c r="J252" s="231"/>
      <c r="K252" s="231"/>
      <c r="L252" s="231"/>
      <c r="M252" s="231"/>
      <c r="N252" s="231"/>
      <c r="O252" s="231"/>
      <c r="P252" s="231"/>
      <c r="Q252" s="231"/>
      <c r="R252" s="231"/>
      <c r="S252" s="231"/>
      <c r="T252" s="231"/>
      <c r="U252" s="231"/>
      <c r="V252" s="231"/>
      <c r="W252" s="231"/>
      <c r="X252" s="231"/>
      <c r="Y252" s="231"/>
      <c r="Z252" s="231"/>
      <c r="AA252" s="231"/>
      <c r="AB252" s="231"/>
      <c r="AC252" s="231"/>
      <c r="AD252" s="231"/>
      <c r="AE252" s="231"/>
      <c r="AF252" s="231"/>
      <c r="AG252" s="231"/>
      <c r="AH252" s="231"/>
    </row>
    <row r="253" spans="1:34" s="203" customFormat="1">
      <c r="A253" s="665">
        <v>10</v>
      </c>
      <c r="B253" s="47" t="s">
        <v>199</v>
      </c>
      <c r="C253" s="47"/>
      <c r="D253" s="47"/>
      <c r="E253" s="49">
        <v>2593</v>
      </c>
      <c r="F253" s="52">
        <v>2777</v>
      </c>
      <c r="G253" s="118"/>
      <c r="H253" s="100">
        <v>2701</v>
      </c>
      <c r="I253" s="29"/>
      <c r="J253" s="231"/>
      <c r="K253" s="231"/>
      <c r="L253" s="231"/>
      <c r="M253" s="231"/>
      <c r="N253" s="231"/>
      <c r="O253" s="231"/>
      <c r="P253" s="231"/>
      <c r="Q253" s="231"/>
      <c r="R253" s="231"/>
      <c r="S253" s="231"/>
      <c r="T253" s="231"/>
      <c r="U253" s="231"/>
      <c r="V253" s="231"/>
      <c r="W253" s="231"/>
      <c r="X253" s="231"/>
      <c r="Y253" s="231"/>
      <c r="Z253" s="231"/>
      <c r="AA253" s="231"/>
      <c r="AB253" s="231"/>
      <c r="AC253" s="231"/>
      <c r="AD253" s="231"/>
      <c r="AE253" s="231"/>
      <c r="AF253" s="231"/>
      <c r="AG253" s="231"/>
      <c r="AH253" s="231"/>
    </row>
    <row r="254" spans="1:34" s="203" customFormat="1">
      <c r="A254" s="665">
        <v>11</v>
      </c>
      <c r="B254" s="116" t="s">
        <v>200</v>
      </c>
      <c r="C254" s="116"/>
      <c r="D254" s="116"/>
      <c r="E254" s="80">
        <v>10576</v>
      </c>
      <c r="F254" s="142">
        <f>SUM(F250:F253)</f>
        <v>10206</v>
      </c>
      <c r="G254" s="118"/>
      <c r="H254" s="142">
        <f>SUM(H250:H253)</f>
        <v>9904</v>
      </c>
      <c r="I254" s="260"/>
      <c r="J254" s="231"/>
      <c r="K254" s="231"/>
      <c r="L254" s="231"/>
      <c r="M254" s="231"/>
      <c r="N254" s="231"/>
      <c r="O254" s="231"/>
      <c r="P254" s="231"/>
      <c r="Q254" s="231"/>
      <c r="R254" s="231"/>
      <c r="S254" s="231"/>
      <c r="T254" s="231"/>
      <c r="U254" s="231"/>
      <c r="V254" s="231"/>
      <c r="W254" s="231"/>
      <c r="X254" s="231"/>
      <c r="Y254" s="231"/>
      <c r="Z254" s="231"/>
      <c r="AA254" s="231"/>
      <c r="AB254" s="231"/>
      <c r="AC254" s="231"/>
      <c r="AD254" s="231"/>
      <c r="AE254" s="231"/>
      <c r="AF254" s="231"/>
      <c r="AG254" s="231"/>
      <c r="AH254" s="231"/>
    </row>
    <row r="255" spans="1:34" s="203" customFormat="1">
      <c r="A255" s="665"/>
      <c r="B255" s="116"/>
      <c r="C255" s="116"/>
      <c r="D255" s="116"/>
      <c r="E255" s="117"/>
      <c r="F255" s="118"/>
      <c r="G255" s="118"/>
      <c r="H255" s="118"/>
      <c r="I255" s="29"/>
      <c r="J255" s="231"/>
      <c r="K255" s="231"/>
      <c r="L255" s="231"/>
      <c r="M255" s="231"/>
      <c r="N255" s="231"/>
      <c r="O255" s="231"/>
      <c r="P255" s="231"/>
      <c r="Q255" s="231"/>
      <c r="R255" s="231"/>
      <c r="S255" s="231"/>
      <c r="T255" s="231"/>
      <c r="U255" s="231"/>
      <c r="V255" s="231"/>
      <c r="W255" s="231"/>
      <c r="X255" s="231"/>
      <c r="Y255" s="231"/>
      <c r="Z255" s="231"/>
      <c r="AA255" s="231"/>
      <c r="AB255" s="231"/>
      <c r="AC255" s="231"/>
      <c r="AD255" s="231"/>
      <c r="AE255" s="231"/>
      <c r="AF255" s="231"/>
      <c r="AG255" s="231"/>
      <c r="AH255" s="231"/>
    </row>
    <row r="256" spans="1:34" s="203" customFormat="1">
      <c r="A256" s="665">
        <v>12</v>
      </c>
      <c r="B256" s="47" t="s">
        <v>201</v>
      </c>
      <c r="C256" s="47"/>
      <c r="D256" s="47"/>
      <c r="E256" s="176">
        <v>6300</v>
      </c>
      <c r="F256" s="136">
        <v>6653</v>
      </c>
      <c r="G256" s="118"/>
      <c r="H256" s="177">
        <v>6573</v>
      </c>
      <c r="I256" s="260"/>
      <c r="J256" s="231"/>
      <c r="K256" s="231"/>
      <c r="L256" s="231"/>
      <c r="M256" s="231"/>
      <c r="N256" s="231"/>
      <c r="O256" s="231"/>
      <c r="P256" s="231"/>
      <c r="Q256" s="231"/>
      <c r="R256" s="231"/>
      <c r="S256" s="231"/>
      <c r="T256" s="231"/>
      <c r="U256" s="231"/>
      <c r="V256" s="231"/>
      <c r="W256" s="231"/>
      <c r="X256" s="231"/>
      <c r="Y256" s="231"/>
      <c r="Z256" s="231"/>
      <c r="AA256" s="231"/>
      <c r="AB256" s="231"/>
      <c r="AC256" s="231"/>
      <c r="AD256" s="231"/>
      <c r="AE256" s="231"/>
      <c r="AF256" s="231"/>
      <c r="AG256" s="231"/>
      <c r="AH256" s="231"/>
    </row>
    <row r="257" spans="1:34" s="203" customFormat="1">
      <c r="A257" s="124">
        <v>13</v>
      </c>
      <c r="B257" s="94" t="s">
        <v>202</v>
      </c>
      <c r="C257" s="94"/>
      <c r="D257" s="94"/>
      <c r="E257" s="159">
        <v>19741</v>
      </c>
      <c r="F257" s="61">
        <f>F242+F247+F254+F256</f>
        <v>20170</v>
      </c>
      <c r="G257" s="118"/>
      <c r="H257" s="61">
        <f>H242+H247+H254+H256</f>
        <v>19675</v>
      </c>
      <c r="I257" s="21"/>
      <c r="J257" s="231"/>
      <c r="K257" s="231"/>
      <c r="L257" s="231"/>
      <c r="M257" s="231"/>
      <c r="N257" s="231"/>
      <c r="O257" s="231"/>
      <c r="P257" s="231"/>
      <c r="Q257" s="231"/>
      <c r="R257" s="231"/>
      <c r="S257" s="231"/>
      <c r="T257" s="231"/>
      <c r="U257" s="231"/>
      <c r="V257" s="231"/>
      <c r="W257" s="231"/>
      <c r="X257" s="231"/>
      <c r="Y257" s="231"/>
      <c r="Z257" s="231"/>
      <c r="AA257" s="231"/>
      <c r="AB257" s="231"/>
      <c r="AC257" s="231"/>
      <c r="AD257" s="231"/>
      <c r="AE257" s="231"/>
      <c r="AF257" s="231"/>
      <c r="AG257" s="231"/>
      <c r="AH257" s="231"/>
    </row>
    <row r="258" spans="1:34" s="203" customFormat="1">
      <c r="A258" s="207"/>
      <c r="B258" s="207"/>
      <c r="C258" s="207"/>
      <c r="D258" s="208"/>
      <c r="E258" s="208"/>
      <c r="F258" s="207"/>
      <c r="G258" s="207"/>
      <c r="H258" s="207"/>
      <c r="I258" s="21"/>
      <c r="J258" s="231"/>
      <c r="K258" s="231"/>
      <c r="L258" s="231"/>
      <c r="M258" s="231"/>
      <c r="N258" s="231"/>
      <c r="O258" s="231"/>
      <c r="P258" s="231"/>
      <c r="Q258" s="231"/>
      <c r="R258" s="231"/>
      <c r="S258" s="231"/>
      <c r="T258" s="231"/>
      <c r="U258" s="231"/>
      <c r="V258" s="231"/>
      <c r="W258" s="231"/>
      <c r="X258" s="231"/>
      <c r="Y258" s="231"/>
      <c r="Z258" s="231"/>
      <c r="AA258" s="231"/>
      <c r="AB258" s="231"/>
      <c r="AC258" s="231"/>
      <c r="AD258" s="231"/>
      <c r="AE258" s="231"/>
      <c r="AF258" s="231"/>
      <c r="AG258" s="231"/>
      <c r="AH258" s="231"/>
    </row>
    <row r="259" spans="1:34" s="203" customFormat="1">
      <c r="A259" s="23"/>
      <c r="B259" s="207"/>
      <c r="C259" s="207"/>
      <c r="D259" s="207"/>
      <c r="E259" s="207"/>
      <c r="F259" s="207"/>
      <c r="G259" s="207"/>
      <c r="H259" s="21"/>
      <c r="I259" s="21"/>
      <c r="J259" s="231"/>
      <c r="K259" s="231"/>
      <c r="L259" s="231"/>
      <c r="M259" s="231"/>
      <c r="N259" s="231"/>
      <c r="O259" s="231"/>
      <c r="P259" s="231"/>
      <c r="Q259" s="231"/>
      <c r="R259" s="231"/>
      <c r="S259" s="231"/>
      <c r="T259" s="231"/>
      <c r="U259" s="231"/>
      <c r="V259" s="231"/>
      <c r="W259" s="231"/>
      <c r="X259" s="231"/>
      <c r="Y259" s="231"/>
      <c r="Z259" s="231"/>
      <c r="AA259" s="231"/>
      <c r="AB259" s="231"/>
      <c r="AC259" s="231"/>
      <c r="AD259" s="231"/>
      <c r="AE259" s="231"/>
      <c r="AF259" s="231"/>
      <c r="AG259" s="231"/>
      <c r="AH259" s="231"/>
    </row>
    <row r="260" spans="1:34" s="203" customFormat="1">
      <c r="A260" s="148"/>
      <c r="B260" s="29"/>
      <c r="C260" s="29"/>
      <c r="D260" s="172"/>
      <c r="E260" s="152"/>
      <c r="F260" s="29"/>
      <c r="G260" s="29"/>
      <c r="H260" s="131" t="s">
        <v>27</v>
      </c>
      <c r="I260" s="21"/>
      <c r="J260" s="231"/>
      <c r="K260" s="231"/>
      <c r="L260" s="231"/>
      <c r="M260" s="231"/>
      <c r="N260" s="231"/>
      <c r="O260" s="231"/>
      <c r="P260" s="231"/>
      <c r="Q260" s="231"/>
      <c r="R260" s="231"/>
      <c r="S260" s="231"/>
      <c r="T260" s="231"/>
      <c r="U260" s="231"/>
      <c r="V260" s="231"/>
      <c r="W260" s="231"/>
      <c r="X260" s="231"/>
      <c r="Y260" s="231"/>
      <c r="Z260" s="231"/>
      <c r="AA260" s="231"/>
      <c r="AB260" s="231"/>
      <c r="AC260" s="231"/>
      <c r="AD260" s="231"/>
      <c r="AE260" s="231"/>
      <c r="AF260" s="231"/>
      <c r="AG260" s="231"/>
      <c r="AH260" s="231"/>
    </row>
    <row r="261" spans="1:34" s="203" customFormat="1" ht="12.75" customHeight="1">
      <c r="A261" s="106" t="s">
        <v>15</v>
      </c>
      <c r="B261" s="164"/>
      <c r="C261" s="164"/>
      <c r="D261" s="164"/>
      <c r="E261" s="856" t="s">
        <v>377</v>
      </c>
      <c r="F261" s="856" t="s">
        <v>402</v>
      </c>
      <c r="G261" s="130"/>
      <c r="H261" s="856" t="s">
        <v>403</v>
      </c>
      <c r="I261" s="21"/>
      <c r="J261" s="231"/>
      <c r="K261" s="231"/>
      <c r="L261" s="231"/>
      <c r="M261" s="231"/>
      <c r="N261" s="231"/>
      <c r="O261" s="231"/>
      <c r="P261" s="231"/>
      <c r="Q261" s="231"/>
      <c r="R261" s="231"/>
      <c r="S261" s="231"/>
      <c r="T261" s="231"/>
      <c r="U261" s="231"/>
      <c r="V261" s="231"/>
      <c r="W261" s="231"/>
      <c r="X261" s="231"/>
      <c r="Y261" s="231"/>
      <c r="Z261" s="231"/>
      <c r="AA261" s="231"/>
      <c r="AB261" s="231"/>
      <c r="AC261" s="231"/>
      <c r="AD261" s="231"/>
      <c r="AE261" s="231"/>
      <c r="AF261" s="231"/>
      <c r="AG261" s="231"/>
      <c r="AH261" s="231"/>
    </row>
    <row r="262" spans="1:34" s="203" customFormat="1">
      <c r="A262" s="165"/>
      <c r="B262" s="47"/>
      <c r="C262" s="47"/>
      <c r="D262" s="47"/>
      <c r="E262" s="859"/>
      <c r="F262" s="859"/>
      <c r="G262" s="130"/>
      <c r="H262" s="859"/>
      <c r="I262" s="21"/>
      <c r="J262" s="231"/>
      <c r="K262" s="231"/>
      <c r="L262" s="231"/>
      <c r="M262" s="231"/>
      <c r="N262" s="231"/>
      <c r="O262" s="231"/>
      <c r="P262" s="231"/>
      <c r="Q262" s="231"/>
      <c r="R262" s="231"/>
      <c r="S262" s="231"/>
      <c r="T262" s="231"/>
      <c r="U262" s="231"/>
      <c r="V262" s="231"/>
      <c r="W262" s="231"/>
      <c r="X262" s="231"/>
      <c r="Y262" s="231"/>
      <c r="Z262" s="231"/>
      <c r="AA262" s="231"/>
      <c r="AB262" s="231"/>
      <c r="AC262" s="231"/>
      <c r="AD262" s="231"/>
      <c r="AE262" s="231"/>
      <c r="AF262" s="231"/>
      <c r="AG262" s="231"/>
      <c r="AH262" s="231"/>
    </row>
    <row r="263" spans="1:34" s="203" customFormat="1">
      <c r="A263" s="109"/>
      <c r="B263" s="174"/>
      <c r="C263" s="174"/>
      <c r="D263" s="174"/>
      <c r="E263" s="859"/>
      <c r="F263" s="859"/>
      <c r="G263" s="130"/>
      <c r="H263" s="859"/>
      <c r="I263" s="21"/>
      <c r="J263" s="231"/>
      <c r="K263" s="231"/>
      <c r="L263" s="231"/>
      <c r="M263" s="231"/>
      <c r="N263" s="231"/>
      <c r="O263" s="231"/>
      <c r="P263" s="231"/>
      <c r="Q263" s="231"/>
      <c r="R263" s="231"/>
      <c r="S263" s="231"/>
      <c r="T263" s="231"/>
      <c r="U263" s="231"/>
      <c r="V263" s="231"/>
      <c r="W263" s="231"/>
      <c r="X263" s="231"/>
      <c r="Y263" s="231"/>
      <c r="Z263" s="231"/>
      <c r="AA263" s="231"/>
      <c r="AB263" s="231"/>
      <c r="AC263" s="231"/>
      <c r="AD263" s="231"/>
      <c r="AE263" s="231"/>
      <c r="AF263" s="231"/>
      <c r="AG263" s="231"/>
      <c r="AH263" s="231"/>
    </row>
    <row r="264" spans="1:34" s="203" customFormat="1">
      <c r="A264" s="154" t="s">
        <v>203</v>
      </c>
      <c r="B264" s="47"/>
      <c r="C264" s="47"/>
      <c r="D264" s="47"/>
      <c r="E264" s="859"/>
      <c r="F264" s="859"/>
      <c r="G264" s="130"/>
      <c r="H264" s="859"/>
      <c r="I264" s="21"/>
      <c r="J264" s="231"/>
      <c r="K264" s="231"/>
      <c r="L264" s="231"/>
      <c r="M264" s="231"/>
      <c r="N264" s="231"/>
      <c r="O264" s="231"/>
      <c r="P264" s="231"/>
      <c r="Q264" s="231"/>
      <c r="R264" s="231"/>
      <c r="S264" s="231"/>
      <c r="T264" s="231"/>
      <c r="U264" s="231"/>
      <c r="V264" s="231"/>
      <c r="W264" s="231"/>
      <c r="X264" s="231"/>
      <c r="Y264" s="231"/>
      <c r="Z264" s="231"/>
      <c r="AA264" s="231"/>
      <c r="AB264" s="231"/>
      <c r="AC264" s="231"/>
      <c r="AD264" s="231"/>
      <c r="AE264" s="231"/>
      <c r="AF264" s="231"/>
      <c r="AG264" s="231"/>
      <c r="AH264" s="231"/>
    </row>
    <row r="265" spans="1:34" s="203" customFormat="1">
      <c r="A265" s="109" t="s">
        <v>83</v>
      </c>
      <c r="B265" s="174"/>
      <c r="C265" s="174"/>
      <c r="D265" s="174"/>
      <c r="E265" s="860"/>
      <c r="F265" s="860"/>
      <c r="G265" s="130"/>
      <c r="H265" s="860"/>
      <c r="I265" s="21"/>
      <c r="J265" s="231"/>
      <c r="K265" s="231"/>
      <c r="L265" s="231"/>
      <c r="M265" s="231"/>
      <c r="N265" s="231"/>
      <c r="O265" s="231"/>
      <c r="P265" s="231"/>
      <c r="Q265" s="231"/>
      <c r="R265" s="231"/>
      <c r="S265" s="231"/>
      <c r="T265" s="231"/>
      <c r="U265" s="231"/>
      <c r="V265" s="231"/>
      <c r="W265" s="231"/>
      <c r="X265" s="231"/>
      <c r="Y265" s="231"/>
      <c r="Z265" s="231"/>
      <c r="AA265" s="231"/>
      <c r="AB265" s="231"/>
      <c r="AC265" s="231"/>
      <c r="AD265" s="231"/>
      <c r="AE265" s="231"/>
      <c r="AF265" s="231"/>
      <c r="AG265" s="231"/>
      <c r="AH265" s="231"/>
    </row>
    <row r="266" spans="1:34" s="203" customFormat="1">
      <c r="A266" s="110" t="s">
        <v>84</v>
      </c>
      <c r="B266" s="116"/>
      <c r="C266" s="116"/>
      <c r="D266" s="116"/>
      <c r="E266" s="178"/>
      <c r="F266" s="146"/>
      <c r="G266" s="118"/>
      <c r="H266" s="146"/>
      <c r="I266" s="21"/>
      <c r="J266" s="231"/>
      <c r="K266" s="231"/>
      <c r="L266" s="231"/>
      <c r="M266" s="231"/>
      <c r="N266" s="231"/>
      <c r="O266" s="231"/>
      <c r="P266" s="231"/>
      <c r="Q266" s="231"/>
      <c r="R266" s="231"/>
      <c r="S266" s="231"/>
      <c r="T266" s="231"/>
      <c r="U266" s="231"/>
      <c r="V266" s="231"/>
      <c r="W266" s="231"/>
      <c r="X266" s="231"/>
      <c r="Y266" s="231"/>
      <c r="Z266" s="231"/>
      <c r="AA266" s="231"/>
      <c r="AB266" s="231"/>
      <c r="AC266" s="231"/>
      <c r="AD266" s="231"/>
      <c r="AE266" s="231"/>
      <c r="AF266" s="231"/>
      <c r="AG266" s="231"/>
      <c r="AH266" s="231"/>
    </row>
    <row r="267" spans="1:34" s="203" customFormat="1">
      <c r="A267" s="120">
        <v>1</v>
      </c>
      <c r="B267" s="47" t="s">
        <v>204</v>
      </c>
      <c r="C267" s="47"/>
      <c r="D267" s="47"/>
      <c r="E267" s="74">
        <v>0</v>
      </c>
      <c r="F267" s="52">
        <v>0</v>
      </c>
      <c r="G267" s="118"/>
      <c r="H267" s="122">
        <v>0</v>
      </c>
      <c r="I267" s="21"/>
      <c r="J267" s="231"/>
      <c r="K267" s="231"/>
      <c r="L267" s="231"/>
      <c r="M267" s="231"/>
      <c r="N267" s="231"/>
      <c r="O267" s="231"/>
      <c r="P267" s="231"/>
      <c r="Q267" s="231"/>
      <c r="R267" s="231"/>
      <c r="S267" s="231"/>
      <c r="T267" s="231"/>
      <c r="U267" s="231"/>
      <c r="V267" s="231"/>
      <c r="W267" s="231"/>
      <c r="X267" s="231"/>
      <c r="Y267" s="231"/>
      <c r="Z267" s="231"/>
      <c r="AA267" s="231"/>
      <c r="AB267" s="231"/>
      <c r="AC267" s="231"/>
      <c r="AD267" s="231"/>
      <c r="AE267" s="231"/>
      <c r="AF267" s="231"/>
      <c r="AG267" s="231"/>
      <c r="AH267" s="231"/>
    </row>
    <row r="268" spans="1:34" s="203" customFormat="1">
      <c r="A268" s="665">
        <v>2</v>
      </c>
      <c r="B268" s="166" t="s">
        <v>205</v>
      </c>
      <c r="C268" s="166"/>
      <c r="D268" s="47"/>
      <c r="E268" s="114">
        <v>0</v>
      </c>
      <c r="F268" s="52">
        <v>0</v>
      </c>
      <c r="G268" s="118"/>
      <c r="H268" s="122">
        <v>0</v>
      </c>
      <c r="I268" s="21"/>
      <c r="J268" s="231"/>
      <c r="K268" s="231"/>
      <c r="L268" s="231"/>
      <c r="M268" s="231"/>
      <c r="N268" s="231"/>
      <c r="O268" s="231"/>
      <c r="P268" s="231"/>
      <c r="Q268" s="231"/>
      <c r="R268" s="231"/>
      <c r="S268" s="231"/>
      <c r="T268" s="231"/>
      <c r="U268" s="231"/>
      <c r="V268" s="231"/>
      <c r="W268" s="231"/>
      <c r="X268" s="231"/>
      <c r="Y268" s="231"/>
      <c r="Z268" s="231"/>
      <c r="AA268" s="231"/>
      <c r="AB268" s="231"/>
      <c r="AC268" s="231"/>
      <c r="AD268" s="231"/>
      <c r="AE268" s="231"/>
      <c r="AF268" s="231"/>
      <c r="AG268" s="231"/>
      <c r="AH268" s="231"/>
    </row>
    <row r="269" spans="1:34" s="203" customFormat="1">
      <c r="A269" s="120">
        <v>3</v>
      </c>
      <c r="B269" s="47" t="s">
        <v>206</v>
      </c>
      <c r="C269" s="47"/>
      <c r="D269" s="168"/>
      <c r="E269" s="114">
        <v>320</v>
      </c>
      <c r="F269" s="52">
        <v>320</v>
      </c>
      <c r="G269" s="118"/>
      <c r="H269" s="122">
        <v>357</v>
      </c>
      <c r="I269" s="21"/>
      <c r="J269" s="231"/>
      <c r="K269" s="231"/>
      <c r="L269" s="231"/>
      <c r="M269" s="231"/>
      <c r="N269" s="231"/>
      <c r="O269" s="231"/>
      <c r="P269" s="231"/>
      <c r="Q269" s="231"/>
      <c r="R269" s="231"/>
      <c r="S269" s="231"/>
      <c r="T269" s="231"/>
      <c r="U269" s="231"/>
      <c r="V269" s="231"/>
      <c r="W269" s="231"/>
      <c r="X269" s="231"/>
      <c r="Y269" s="231"/>
      <c r="Z269" s="231"/>
      <c r="AA269" s="231"/>
      <c r="AB269" s="231"/>
      <c r="AC269" s="231"/>
      <c r="AD269" s="231"/>
      <c r="AE269" s="231"/>
      <c r="AF269" s="231"/>
      <c r="AG269" s="231"/>
      <c r="AH269" s="231"/>
    </row>
    <row r="270" spans="1:34" s="203" customFormat="1">
      <c r="A270" s="665">
        <v>4</v>
      </c>
      <c r="B270" s="47" t="s">
        <v>207</v>
      </c>
      <c r="C270" s="47"/>
      <c r="D270" s="116"/>
      <c r="E270" s="114">
        <v>1259</v>
      </c>
      <c r="F270" s="52">
        <v>1259</v>
      </c>
      <c r="G270" s="118"/>
      <c r="H270" s="122">
        <v>1222</v>
      </c>
      <c r="I270" s="21"/>
      <c r="J270" s="231"/>
      <c r="K270" s="231"/>
      <c r="L270" s="231"/>
      <c r="M270" s="231"/>
      <c r="N270" s="231"/>
      <c r="O270" s="231"/>
      <c r="P270" s="231"/>
      <c r="Q270" s="231"/>
      <c r="R270" s="231"/>
      <c r="S270" s="231"/>
      <c r="T270" s="231"/>
      <c r="U270" s="231"/>
      <c r="V270" s="231"/>
      <c r="W270" s="231"/>
      <c r="X270" s="231"/>
      <c r="Y270" s="231"/>
      <c r="Z270" s="231"/>
      <c r="AA270" s="231"/>
      <c r="AB270" s="231"/>
      <c r="AC270" s="231"/>
      <c r="AD270" s="231"/>
      <c r="AE270" s="231"/>
      <c r="AF270" s="231"/>
      <c r="AG270" s="231"/>
      <c r="AH270" s="231"/>
    </row>
    <row r="271" spans="1:34" s="203" customFormat="1">
      <c r="A271" s="120">
        <v>5</v>
      </c>
      <c r="B271" s="47" t="s">
        <v>208</v>
      </c>
      <c r="C271" s="47"/>
      <c r="D271" s="47"/>
      <c r="E271" s="114">
        <v>411</v>
      </c>
      <c r="F271" s="52">
        <v>107</v>
      </c>
      <c r="G271" s="118"/>
      <c r="H271" s="122">
        <v>166</v>
      </c>
      <c r="I271" s="21"/>
      <c r="J271" s="231"/>
      <c r="K271" s="231"/>
      <c r="L271" s="231"/>
      <c r="M271" s="231"/>
      <c r="N271" s="231"/>
      <c r="O271" s="231"/>
      <c r="P271" s="231"/>
      <c r="Q271" s="231"/>
      <c r="R271" s="231"/>
      <c r="S271" s="231"/>
      <c r="T271" s="231"/>
      <c r="U271" s="231"/>
      <c r="V271" s="231"/>
      <c r="W271" s="231"/>
      <c r="X271" s="231"/>
      <c r="Y271" s="231"/>
      <c r="Z271" s="231"/>
      <c r="AA271" s="231"/>
      <c r="AB271" s="231"/>
      <c r="AC271" s="231"/>
      <c r="AD271" s="231"/>
      <c r="AE271" s="231"/>
      <c r="AF271" s="231"/>
      <c r="AG271" s="231"/>
      <c r="AH271" s="231"/>
    </row>
    <row r="272" spans="1:34" s="203" customFormat="1">
      <c r="A272" s="665">
        <v>6</v>
      </c>
      <c r="B272" s="47" t="s">
        <v>209</v>
      </c>
      <c r="C272" s="47"/>
      <c r="D272" s="47"/>
      <c r="E272" s="114">
        <v>680</v>
      </c>
      <c r="F272" s="52">
        <v>408</v>
      </c>
      <c r="G272" s="118"/>
      <c r="H272" s="122">
        <v>349</v>
      </c>
      <c r="I272" s="21"/>
      <c r="J272" s="231"/>
      <c r="K272" s="231"/>
      <c r="L272" s="231"/>
      <c r="M272" s="231"/>
      <c r="N272" s="231"/>
      <c r="O272" s="231"/>
      <c r="P272" s="231"/>
      <c r="Q272" s="231"/>
      <c r="R272" s="231"/>
      <c r="S272" s="231"/>
      <c r="T272" s="231"/>
      <c r="U272" s="231"/>
      <c r="V272" s="231"/>
      <c r="W272" s="231"/>
      <c r="X272" s="231"/>
      <c r="Y272" s="231"/>
      <c r="Z272" s="231"/>
      <c r="AA272" s="231"/>
      <c r="AB272" s="231"/>
      <c r="AC272" s="231"/>
      <c r="AD272" s="231"/>
      <c r="AE272" s="231"/>
      <c r="AF272" s="231"/>
      <c r="AG272" s="231"/>
      <c r="AH272" s="231"/>
    </row>
    <row r="273" spans="1:34" s="203" customFormat="1">
      <c r="A273" s="120">
        <v>7</v>
      </c>
      <c r="B273" s="47" t="s">
        <v>210</v>
      </c>
      <c r="C273" s="47"/>
      <c r="D273" s="47"/>
      <c r="E273" s="114">
        <v>1881</v>
      </c>
      <c r="F273" s="52">
        <v>1974</v>
      </c>
      <c r="G273" s="118"/>
      <c r="H273" s="122">
        <v>1959</v>
      </c>
      <c r="I273" s="21"/>
      <c r="J273" s="231"/>
      <c r="K273" s="231"/>
      <c r="L273" s="231"/>
      <c r="M273" s="231"/>
      <c r="N273" s="231"/>
      <c r="O273" s="231"/>
      <c r="P273" s="231"/>
      <c r="Q273" s="231"/>
      <c r="R273" s="231"/>
      <c r="S273" s="231"/>
      <c r="T273" s="231"/>
      <c r="U273" s="231"/>
      <c r="V273" s="231"/>
      <c r="W273" s="231"/>
      <c r="X273" s="231"/>
      <c r="Y273" s="231"/>
      <c r="Z273" s="231"/>
      <c r="AA273" s="231"/>
      <c r="AB273" s="231"/>
      <c r="AC273" s="231"/>
      <c r="AD273" s="231"/>
      <c r="AE273" s="231"/>
      <c r="AF273" s="231"/>
      <c r="AG273" s="231"/>
      <c r="AH273" s="231"/>
    </row>
    <row r="274" spans="1:34" s="203" customFormat="1">
      <c r="A274" s="665">
        <v>8</v>
      </c>
      <c r="B274" s="47" t="s">
        <v>211</v>
      </c>
      <c r="C274" s="47"/>
      <c r="D274" s="47"/>
      <c r="E274" s="114">
        <v>1544</v>
      </c>
      <c r="F274" s="52">
        <v>1544</v>
      </c>
      <c r="G274" s="118"/>
      <c r="H274" s="122">
        <v>1544</v>
      </c>
      <c r="I274" s="21"/>
      <c r="J274" s="231"/>
      <c r="K274" s="231"/>
      <c r="L274" s="231"/>
      <c r="M274" s="231"/>
      <c r="N274" s="231"/>
      <c r="O274" s="231"/>
      <c r="P274" s="231"/>
      <c r="Q274" s="231"/>
      <c r="R274" s="231"/>
      <c r="S274" s="231"/>
      <c r="T274" s="231"/>
      <c r="U274" s="231"/>
      <c r="V274" s="231"/>
      <c r="W274" s="231"/>
      <c r="X274" s="231"/>
      <c r="Y274" s="231"/>
      <c r="Z274" s="231"/>
      <c r="AA274" s="231"/>
      <c r="AB274" s="231"/>
      <c r="AC274" s="231"/>
      <c r="AD274" s="231"/>
      <c r="AE274" s="231"/>
      <c r="AF274" s="231"/>
      <c r="AG274" s="231"/>
      <c r="AH274" s="231"/>
    </row>
    <row r="275" spans="1:34" s="203" customFormat="1">
      <c r="A275" s="120">
        <v>9</v>
      </c>
      <c r="B275" s="47" t="s">
        <v>212</v>
      </c>
      <c r="C275" s="47"/>
      <c r="D275" s="47"/>
      <c r="E275" s="114">
        <v>0</v>
      </c>
      <c r="F275" s="52">
        <v>0</v>
      </c>
      <c r="G275" s="118"/>
      <c r="H275" s="122">
        <v>0</v>
      </c>
      <c r="I275" s="21"/>
      <c r="J275" s="231"/>
      <c r="K275" s="231"/>
      <c r="L275" s="231"/>
      <c r="M275" s="231"/>
      <c r="N275" s="231"/>
      <c r="O275" s="231"/>
      <c r="P275" s="231"/>
      <c r="Q275" s="231"/>
      <c r="R275" s="231"/>
      <c r="S275" s="231"/>
      <c r="T275" s="231"/>
      <c r="U275" s="231"/>
      <c r="V275" s="231"/>
      <c r="W275" s="231"/>
      <c r="X275" s="231"/>
      <c r="Y275" s="231"/>
      <c r="Z275" s="231"/>
      <c r="AA275" s="231"/>
      <c r="AB275" s="231"/>
      <c r="AC275" s="231"/>
      <c r="AD275" s="231"/>
      <c r="AE275" s="231"/>
      <c r="AF275" s="231"/>
      <c r="AG275" s="231"/>
      <c r="AH275" s="231"/>
    </row>
    <row r="276" spans="1:34" s="203" customFormat="1">
      <c r="A276" s="665">
        <v>10</v>
      </c>
      <c r="B276" s="47" t="s">
        <v>213</v>
      </c>
      <c r="C276" s="47"/>
      <c r="D276" s="47"/>
      <c r="E276" s="114">
        <v>5925</v>
      </c>
      <c r="F276" s="52">
        <v>6677</v>
      </c>
      <c r="G276" s="118"/>
      <c r="H276" s="99">
        <v>3872</v>
      </c>
      <c r="I276" s="21"/>
      <c r="J276" s="231"/>
      <c r="K276" s="231"/>
      <c r="L276" s="231"/>
      <c r="M276" s="231"/>
      <c r="N276" s="231"/>
      <c r="O276" s="231"/>
      <c r="P276" s="231"/>
      <c r="Q276" s="231"/>
      <c r="R276" s="231"/>
      <c r="S276" s="231"/>
      <c r="T276" s="231"/>
      <c r="U276" s="231"/>
      <c r="V276" s="231"/>
      <c r="W276" s="231"/>
      <c r="X276" s="231"/>
      <c r="Y276" s="231"/>
      <c r="Z276" s="231"/>
      <c r="AA276" s="231"/>
      <c r="AB276" s="231"/>
      <c r="AC276" s="231"/>
      <c r="AD276" s="231"/>
      <c r="AE276" s="231"/>
      <c r="AF276" s="231"/>
      <c r="AG276" s="231"/>
      <c r="AH276" s="231"/>
    </row>
    <row r="277" spans="1:34" s="203" customFormat="1">
      <c r="A277" s="124">
        <v>11</v>
      </c>
      <c r="B277" s="94" t="s">
        <v>214</v>
      </c>
      <c r="C277" s="94"/>
      <c r="D277" s="94"/>
      <c r="E277" s="159">
        <v>12020</v>
      </c>
      <c r="F277" s="61">
        <f>SUM(F267:F276)</f>
        <v>12289</v>
      </c>
      <c r="G277" s="118"/>
      <c r="H277" s="61">
        <f>SUM(H267:H276)</f>
        <v>9469</v>
      </c>
      <c r="I277" s="21"/>
      <c r="J277" s="231"/>
      <c r="K277" s="231"/>
      <c r="L277" s="231"/>
      <c r="M277" s="231"/>
      <c r="N277" s="231"/>
      <c r="O277" s="231"/>
      <c r="P277" s="231"/>
      <c r="Q277" s="231"/>
      <c r="R277" s="231"/>
      <c r="S277" s="231"/>
      <c r="T277" s="231"/>
      <c r="U277" s="231"/>
      <c r="V277" s="231"/>
      <c r="W277" s="231"/>
      <c r="X277" s="231"/>
      <c r="Y277" s="231"/>
      <c r="Z277" s="231"/>
      <c r="AA277" s="231"/>
      <c r="AB277" s="231"/>
      <c r="AC277" s="231"/>
      <c r="AD277" s="231"/>
      <c r="AE277" s="231"/>
      <c r="AF277" s="231"/>
      <c r="AG277" s="231"/>
      <c r="AH277" s="231"/>
    </row>
    <row r="278" spans="1:34" s="203" customFormat="1">
      <c r="A278" s="207"/>
      <c r="B278" s="207"/>
      <c r="C278" s="207"/>
      <c r="D278" s="207"/>
      <c r="E278" s="207"/>
      <c r="F278" s="207"/>
      <c r="G278" s="207"/>
      <c r="H278" s="207"/>
      <c r="I278" s="21"/>
      <c r="J278" s="231"/>
      <c r="K278" s="231"/>
      <c r="L278" s="231"/>
      <c r="M278" s="231"/>
      <c r="N278" s="231"/>
      <c r="O278" s="231"/>
      <c r="P278" s="231"/>
      <c r="Q278" s="231"/>
      <c r="R278" s="231"/>
      <c r="S278" s="231"/>
      <c r="T278" s="231"/>
      <c r="U278" s="231"/>
      <c r="V278" s="231"/>
      <c r="W278" s="231"/>
      <c r="X278" s="231"/>
      <c r="Y278" s="231"/>
      <c r="Z278" s="231"/>
      <c r="AA278" s="231"/>
      <c r="AB278" s="231"/>
      <c r="AC278" s="231"/>
      <c r="AD278" s="231"/>
      <c r="AE278" s="231"/>
      <c r="AF278" s="231"/>
      <c r="AG278" s="231"/>
      <c r="AH278" s="231"/>
    </row>
    <row r="279" spans="1:34" s="203" customFormat="1">
      <c r="A279" s="207"/>
      <c r="B279" s="207"/>
      <c r="C279" s="207"/>
      <c r="D279" s="207"/>
      <c r="E279" s="207"/>
      <c r="F279" s="207"/>
      <c r="G279" s="207"/>
      <c r="H279" s="131" t="s">
        <v>27</v>
      </c>
      <c r="I279" s="21"/>
      <c r="J279" s="231"/>
      <c r="K279" s="231"/>
      <c r="L279" s="231"/>
      <c r="M279" s="231"/>
      <c r="N279" s="231"/>
      <c r="O279" s="231"/>
      <c r="P279" s="231"/>
      <c r="Q279" s="231"/>
      <c r="R279" s="231"/>
      <c r="S279" s="231"/>
      <c r="T279" s="231"/>
      <c r="U279" s="231"/>
      <c r="V279" s="231"/>
      <c r="W279" s="231"/>
      <c r="X279" s="231"/>
      <c r="Y279" s="231"/>
      <c r="Z279" s="231"/>
      <c r="AA279" s="231"/>
      <c r="AB279" s="231"/>
      <c r="AC279" s="231"/>
      <c r="AD279" s="231"/>
      <c r="AE279" s="231"/>
      <c r="AF279" s="231"/>
      <c r="AG279" s="231"/>
      <c r="AH279" s="231"/>
    </row>
    <row r="280" spans="1:34" s="203" customFormat="1" ht="12.75" customHeight="1">
      <c r="A280" s="106" t="s">
        <v>18</v>
      </c>
      <c r="B280" s="164"/>
      <c r="C280" s="164"/>
      <c r="D280" s="164"/>
      <c r="E280" s="856" t="s">
        <v>377</v>
      </c>
      <c r="F280" s="856" t="s">
        <v>402</v>
      </c>
      <c r="G280" s="130"/>
      <c r="H280" s="856" t="s">
        <v>403</v>
      </c>
      <c r="I280" s="21"/>
      <c r="J280" s="231"/>
      <c r="K280" s="231"/>
      <c r="L280" s="231"/>
      <c r="M280" s="231"/>
      <c r="N280" s="231"/>
      <c r="O280" s="231"/>
      <c r="P280" s="231"/>
      <c r="Q280" s="231"/>
      <c r="R280" s="231"/>
      <c r="S280" s="231"/>
      <c r="T280" s="231"/>
      <c r="U280" s="231"/>
      <c r="V280" s="231"/>
      <c r="W280" s="231"/>
      <c r="X280" s="231"/>
      <c r="Y280" s="231"/>
      <c r="Z280" s="231"/>
      <c r="AA280" s="231"/>
      <c r="AB280" s="231"/>
      <c r="AC280" s="231"/>
      <c r="AD280" s="231"/>
      <c r="AE280" s="231"/>
      <c r="AF280" s="231"/>
      <c r="AG280" s="231"/>
      <c r="AH280" s="231"/>
    </row>
    <row r="281" spans="1:34" s="203" customFormat="1">
      <c r="A281" s="165"/>
      <c r="B281" s="47"/>
      <c r="C281" s="47"/>
      <c r="D281" s="47"/>
      <c r="E281" s="859"/>
      <c r="F281" s="859"/>
      <c r="G281" s="130"/>
      <c r="H281" s="859"/>
      <c r="I281" s="21"/>
      <c r="J281" s="231"/>
      <c r="K281" s="231"/>
      <c r="L281" s="231"/>
      <c r="M281" s="231"/>
      <c r="N281" s="231"/>
      <c r="O281" s="231"/>
      <c r="P281" s="231"/>
      <c r="Q281" s="231"/>
      <c r="R281" s="231"/>
      <c r="S281" s="231"/>
      <c r="T281" s="231"/>
      <c r="U281" s="231"/>
      <c r="V281" s="231"/>
      <c r="W281" s="231"/>
      <c r="X281" s="231"/>
      <c r="Y281" s="231"/>
      <c r="Z281" s="231"/>
      <c r="AA281" s="231"/>
      <c r="AB281" s="231"/>
      <c r="AC281" s="231"/>
      <c r="AD281" s="231"/>
      <c r="AE281" s="231"/>
      <c r="AF281" s="231"/>
      <c r="AG281" s="231"/>
      <c r="AH281" s="231"/>
    </row>
    <row r="282" spans="1:34" s="203" customFormat="1" ht="21.75" customHeight="1">
      <c r="A282" s="109"/>
      <c r="B282" s="174"/>
      <c r="C282" s="174"/>
      <c r="D282" s="174"/>
      <c r="E282" s="859"/>
      <c r="F282" s="859"/>
      <c r="G282" s="130"/>
      <c r="H282" s="859"/>
      <c r="I282" s="21"/>
      <c r="J282" s="231"/>
      <c r="K282" s="231"/>
      <c r="L282" s="231"/>
      <c r="M282" s="231"/>
      <c r="N282" s="231"/>
      <c r="O282" s="231"/>
      <c r="P282" s="231"/>
      <c r="Q282" s="231"/>
      <c r="R282" s="231"/>
      <c r="S282" s="231"/>
      <c r="T282" s="231"/>
      <c r="U282" s="231"/>
      <c r="V282" s="231"/>
      <c r="W282" s="231"/>
      <c r="X282" s="231"/>
      <c r="Y282" s="231"/>
      <c r="Z282" s="231"/>
      <c r="AA282" s="231"/>
      <c r="AB282" s="231"/>
      <c r="AC282" s="231"/>
      <c r="AD282" s="231"/>
      <c r="AE282" s="231"/>
      <c r="AF282" s="231"/>
      <c r="AG282" s="231"/>
      <c r="AH282" s="231"/>
    </row>
    <row r="283" spans="1:34" s="203" customFormat="1">
      <c r="A283" s="154" t="s">
        <v>215</v>
      </c>
      <c r="B283" s="47"/>
      <c r="C283" s="47"/>
      <c r="D283" s="47"/>
      <c r="E283" s="859"/>
      <c r="F283" s="859"/>
      <c r="G283" s="130"/>
      <c r="H283" s="859"/>
      <c r="I283" s="21"/>
      <c r="J283" s="231"/>
      <c r="K283" s="231"/>
      <c r="L283" s="231"/>
      <c r="M283" s="231"/>
      <c r="N283" s="231"/>
      <c r="O283" s="231"/>
      <c r="P283" s="231"/>
      <c r="Q283" s="231"/>
      <c r="R283" s="231"/>
      <c r="S283" s="231"/>
      <c r="T283" s="231"/>
      <c r="U283" s="231"/>
      <c r="V283" s="231"/>
      <c r="W283" s="231"/>
      <c r="X283" s="231"/>
      <c r="Y283" s="231"/>
      <c r="Z283" s="231"/>
      <c r="AA283" s="231"/>
      <c r="AB283" s="231"/>
      <c r="AC283" s="231"/>
      <c r="AD283" s="231"/>
      <c r="AE283" s="231"/>
      <c r="AF283" s="231"/>
      <c r="AG283" s="231"/>
      <c r="AH283" s="231"/>
    </row>
    <row r="284" spans="1:34" s="203" customFormat="1">
      <c r="A284" s="109" t="s">
        <v>83</v>
      </c>
      <c r="B284" s="174"/>
      <c r="C284" s="174"/>
      <c r="D284" s="174"/>
      <c r="E284" s="860"/>
      <c r="F284" s="860"/>
      <c r="G284" s="130"/>
      <c r="H284" s="860"/>
      <c r="I284" s="21"/>
      <c r="J284" s="231"/>
      <c r="K284" s="231"/>
      <c r="L284" s="231"/>
      <c r="M284" s="231"/>
      <c r="N284" s="231"/>
      <c r="O284" s="231"/>
      <c r="P284" s="231"/>
      <c r="Q284" s="231"/>
      <c r="R284" s="231"/>
      <c r="S284" s="231"/>
      <c r="T284" s="231"/>
      <c r="U284" s="231"/>
      <c r="V284" s="231"/>
      <c r="W284" s="231"/>
      <c r="X284" s="231"/>
      <c r="Y284" s="231"/>
      <c r="Z284" s="231"/>
      <c r="AA284" s="231"/>
      <c r="AB284" s="231"/>
      <c r="AC284" s="231"/>
      <c r="AD284" s="231"/>
      <c r="AE284" s="231"/>
      <c r="AF284" s="231"/>
      <c r="AG284" s="231"/>
      <c r="AH284" s="231"/>
    </row>
    <row r="285" spans="1:34" s="203" customFormat="1">
      <c r="A285" s="110" t="s">
        <v>84</v>
      </c>
      <c r="B285" s="116"/>
      <c r="C285" s="116"/>
      <c r="D285" s="116"/>
      <c r="E285" s="178"/>
      <c r="F285" s="146"/>
      <c r="G285" s="118"/>
      <c r="H285" s="146"/>
      <c r="I285" s="21"/>
      <c r="J285" s="231"/>
      <c r="K285" s="231"/>
      <c r="L285" s="231"/>
      <c r="M285" s="231"/>
      <c r="N285" s="231"/>
      <c r="O285" s="231"/>
      <c r="P285" s="231"/>
      <c r="Q285" s="231"/>
      <c r="R285" s="231"/>
      <c r="S285" s="231"/>
      <c r="T285" s="231"/>
      <c r="U285" s="231"/>
      <c r="V285" s="231"/>
      <c r="W285" s="231"/>
      <c r="X285" s="231"/>
      <c r="Y285" s="231"/>
      <c r="Z285" s="231"/>
      <c r="AA285" s="231"/>
      <c r="AB285" s="231"/>
      <c r="AC285" s="231"/>
      <c r="AD285" s="231"/>
      <c r="AE285" s="231"/>
      <c r="AF285" s="231"/>
      <c r="AG285" s="231"/>
      <c r="AH285" s="231"/>
    </row>
    <row r="286" spans="1:34" s="203" customFormat="1">
      <c r="A286" s="120">
        <v>1</v>
      </c>
      <c r="B286" s="47" t="s">
        <v>216</v>
      </c>
      <c r="C286" s="47"/>
      <c r="D286" s="47"/>
      <c r="E286" s="74">
        <v>846</v>
      </c>
      <c r="F286" s="52">
        <v>892</v>
      </c>
      <c r="G286" s="118"/>
      <c r="H286" s="122">
        <v>822</v>
      </c>
      <c r="I286" s="21"/>
      <c r="J286" s="231"/>
      <c r="K286" s="231"/>
      <c r="L286" s="231"/>
      <c r="M286" s="231"/>
      <c r="N286" s="231"/>
      <c r="O286" s="231"/>
      <c r="P286" s="231"/>
      <c r="Q286" s="231"/>
      <c r="R286" s="231"/>
      <c r="S286" s="231"/>
      <c r="T286" s="231"/>
      <c r="U286" s="231"/>
      <c r="V286" s="231"/>
      <c r="W286" s="231"/>
      <c r="X286" s="231"/>
      <c r="Y286" s="231"/>
      <c r="Z286" s="231"/>
      <c r="AA286" s="231"/>
      <c r="AB286" s="231"/>
      <c r="AC286" s="231"/>
      <c r="AD286" s="231"/>
      <c r="AE286" s="231"/>
      <c r="AF286" s="231"/>
      <c r="AG286" s="231"/>
      <c r="AH286" s="231"/>
    </row>
    <row r="287" spans="1:34" s="203" customFormat="1">
      <c r="A287" s="665">
        <v>2</v>
      </c>
      <c r="B287" s="47" t="s">
        <v>217</v>
      </c>
      <c r="C287" s="47"/>
      <c r="D287" s="47"/>
      <c r="E287" s="114">
        <v>982</v>
      </c>
      <c r="F287" s="52">
        <v>999</v>
      </c>
      <c r="G287" s="118"/>
      <c r="H287" s="122">
        <v>973</v>
      </c>
      <c r="I287" s="21"/>
      <c r="J287" s="231"/>
      <c r="K287" s="231"/>
      <c r="L287" s="231"/>
      <c r="M287" s="231"/>
      <c r="N287" s="231"/>
      <c r="O287" s="231"/>
      <c r="P287" s="231"/>
      <c r="Q287" s="231"/>
      <c r="R287" s="231"/>
      <c r="S287" s="231"/>
      <c r="T287" s="231"/>
      <c r="U287" s="231"/>
      <c r="V287" s="231"/>
      <c r="W287" s="231"/>
      <c r="X287" s="231"/>
      <c r="Y287" s="231"/>
      <c r="Z287" s="231"/>
      <c r="AA287" s="231"/>
      <c r="AB287" s="231"/>
      <c r="AC287" s="231"/>
      <c r="AD287" s="231"/>
      <c r="AE287" s="231"/>
      <c r="AF287" s="231"/>
      <c r="AG287" s="231"/>
      <c r="AH287" s="231"/>
    </row>
    <row r="288" spans="1:34" s="203" customFormat="1">
      <c r="A288" s="120">
        <v>3</v>
      </c>
      <c r="B288" s="90" t="s">
        <v>218</v>
      </c>
      <c r="C288" s="166"/>
      <c r="D288" s="168"/>
      <c r="E288" s="114">
        <v>990</v>
      </c>
      <c r="F288" s="52">
        <v>1044</v>
      </c>
      <c r="G288" s="118"/>
      <c r="H288" s="122">
        <v>962</v>
      </c>
      <c r="I288" s="21"/>
      <c r="J288" s="231"/>
      <c r="K288" s="231"/>
      <c r="L288" s="231"/>
      <c r="M288" s="231"/>
      <c r="N288" s="231"/>
      <c r="O288" s="231"/>
      <c r="P288" s="231"/>
      <c r="Q288" s="231"/>
      <c r="R288" s="231"/>
      <c r="S288" s="231"/>
      <c r="T288" s="231"/>
      <c r="U288" s="231"/>
      <c r="V288" s="231"/>
      <c r="W288" s="231"/>
      <c r="X288" s="231"/>
      <c r="Y288" s="231"/>
      <c r="Z288" s="231"/>
      <c r="AA288" s="231"/>
      <c r="AB288" s="231"/>
      <c r="AC288" s="231"/>
      <c r="AD288" s="231"/>
      <c r="AE288" s="231"/>
      <c r="AF288" s="231"/>
      <c r="AG288" s="231"/>
      <c r="AH288" s="231"/>
    </row>
    <row r="289" spans="1:34" s="203" customFormat="1">
      <c r="A289" s="665">
        <v>4</v>
      </c>
      <c r="B289" s="47" t="s">
        <v>219</v>
      </c>
      <c r="C289" s="47"/>
      <c r="D289" s="116"/>
      <c r="E289" s="114">
        <v>63</v>
      </c>
      <c r="F289" s="52">
        <v>56</v>
      </c>
      <c r="G289" s="118"/>
      <c r="H289" s="122">
        <v>61</v>
      </c>
      <c r="I289" s="21"/>
      <c r="J289" s="231"/>
      <c r="K289" s="231"/>
      <c r="L289" s="231"/>
      <c r="M289" s="231"/>
      <c r="N289" s="231"/>
      <c r="O289" s="231"/>
      <c r="P289" s="231"/>
      <c r="Q289" s="231"/>
      <c r="R289" s="231"/>
      <c r="S289" s="231"/>
      <c r="T289" s="231"/>
      <c r="U289" s="231"/>
      <c r="V289" s="231"/>
      <c r="W289" s="231"/>
      <c r="X289" s="231"/>
      <c r="Y289" s="231"/>
      <c r="Z289" s="231"/>
      <c r="AA289" s="231"/>
      <c r="AB289" s="231"/>
      <c r="AC289" s="231"/>
      <c r="AD289" s="231"/>
      <c r="AE289" s="231"/>
      <c r="AF289" s="231"/>
      <c r="AG289" s="231"/>
      <c r="AH289" s="231"/>
    </row>
    <row r="290" spans="1:34" s="203" customFormat="1">
      <c r="A290" s="665">
        <v>5</v>
      </c>
      <c r="B290" s="47" t="s">
        <v>220</v>
      </c>
      <c r="C290" s="47"/>
      <c r="D290" s="47"/>
      <c r="E290" s="114">
        <v>-519</v>
      </c>
      <c r="F290" s="52">
        <v>-567</v>
      </c>
      <c r="G290" s="118"/>
      <c r="H290" s="122">
        <v>-519</v>
      </c>
      <c r="I290" s="21"/>
      <c r="J290" s="231"/>
      <c r="K290" s="231"/>
      <c r="L290" s="231"/>
      <c r="M290" s="231"/>
      <c r="N290" s="231"/>
      <c r="O290" s="231"/>
      <c r="P290" s="231"/>
      <c r="Q290" s="231"/>
      <c r="R290" s="231"/>
      <c r="S290" s="231"/>
      <c r="T290" s="231"/>
      <c r="U290" s="231"/>
      <c r="V290" s="231"/>
      <c r="W290" s="231"/>
      <c r="X290" s="231"/>
      <c r="Y290" s="231"/>
      <c r="Z290" s="231"/>
      <c r="AA290" s="231"/>
      <c r="AB290" s="231"/>
      <c r="AC290" s="231"/>
      <c r="AD290" s="231"/>
      <c r="AE290" s="231"/>
      <c r="AF290" s="231"/>
      <c r="AG290" s="231"/>
      <c r="AH290" s="231"/>
    </row>
    <row r="291" spans="1:34" s="203" customFormat="1">
      <c r="A291" s="120">
        <v>6</v>
      </c>
      <c r="B291" s="47" t="s">
        <v>221</v>
      </c>
      <c r="C291" s="47"/>
      <c r="D291" s="47"/>
      <c r="E291" s="114">
        <v>105</v>
      </c>
      <c r="F291" s="52">
        <v>162</v>
      </c>
      <c r="G291" s="118"/>
      <c r="H291" s="122">
        <v>105</v>
      </c>
      <c r="I291" s="21"/>
      <c r="J291" s="231"/>
      <c r="K291" s="231"/>
      <c r="L291" s="231"/>
      <c r="M291" s="231"/>
      <c r="N291" s="231"/>
      <c r="O291" s="231"/>
      <c r="P291" s="231"/>
      <c r="Q291" s="231"/>
      <c r="R291" s="231"/>
      <c r="S291" s="231"/>
      <c r="T291" s="231"/>
      <c r="U291" s="231"/>
      <c r="V291" s="231"/>
      <c r="W291" s="231"/>
      <c r="X291" s="231"/>
      <c r="Y291" s="231"/>
      <c r="Z291" s="231"/>
      <c r="AA291" s="231"/>
      <c r="AB291" s="231"/>
      <c r="AC291" s="231"/>
      <c r="AD291" s="231"/>
      <c r="AE291" s="231"/>
      <c r="AF291" s="231"/>
      <c r="AG291" s="231"/>
      <c r="AH291" s="231"/>
    </row>
    <row r="292" spans="1:34" s="203" customFormat="1">
      <c r="A292" s="665">
        <v>7</v>
      </c>
      <c r="B292" s="47" t="s">
        <v>222</v>
      </c>
      <c r="C292" s="47"/>
      <c r="D292" s="116"/>
      <c r="E292" s="114">
        <v>791</v>
      </c>
      <c r="F292" s="52">
        <v>791</v>
      </c>
      <c r="G292" s="118"/>
      <c r="H292" s="122">
        <v>791</v>
      </c>
      <c r="I292" s="21"/>
      <c r="J292" s="231"/>
      <c r="K292" s="231"/>
      <c r="L292" s="231"/>
      <c r="M292" s="231"/>
      <c r="N292" s="231"/>
      <c r="O292" s="231"/>
      <c r="P292" s="231"/>
      <c r="Q292" s="231"/>
      <c r="R292" s="231"/>
      <c r="S292" s="231"/>
      <c r="T292" s="231"/>
      <c r="U292" s="231"/>
      <c r="V292" s="231"/>
      <c r="W292" s="231"/>
      <c r="X292" s="231"/>
      <c r="Y292" s="231"/>
      <c r="Z292" s="231"/>
      <c r="AA292" s="231"/>
      <c r="AB292" s="231"/>
      <c r="AC292" s="231"/>
      <c r="AD292" s="231"/>
      <c r="AE292" s="231"/>
      <c r="AF292" s="231"/>
      <c r="AG292" s="231"/>
      <c r="AH292" s="231"/>
    </row>
    <row r="293" spans="1:34" s="203" customFormat="1">
      <c r="A293" s="120">
        <v>8</v>
      </c>
      <c r="B293" s="47" t="s">
        <v>223</v>
      </c>
      <c r="C293" s="47"/>
      <c r="D293" s="116"/>
      <c r="E293" s="114">
        <v>842</v>
      </c>
      <c r="F293" s="52">
        <v>842</v>
      </c>
      <c r="G293" s="118"/>
      <c r="H293" s="122">
        <v>842</v>
      </c>
      <c r="I293" s="21"/>
      <c r="J293" s="231"/>
      <c r="K293" s="231"/>
      <c r="L293" s="231"/>
      <c r="M293" s="231"/>
      <c r="N293" s="231"/>
      <c r="O293" s="231"/>
      <c r="P293" s="231"/>
      <c r="Q293" s="231"/>
      <c r="R293" s="231"/>
      <c r="S293" s="231"/>
      <c r="T293" s="231"/>
      <c r="U293" s="231"/>
      <c r="V293" s="231"/>
      <c r="W293" s="231"/>
      <c r="X293" s="231"/>
      <c r="Y293" s="231"/>
      <c r="Z293" s="231"/>
      <c r="AA293" s="231"/>
      <c r="AB293" s="231"/>
      <c r="AC293" s="231"/>
      <c r="AD293" s="231"/>
      <c r="AE293" s="231"/>
      <c r="AF293" s="231"/>
      <c r="AG293" s="231"/>
      <c r="AH293" s="231"/>
    </row>
    <row r="294" spans="1:34" s="203" customFormat="1">
      <c r="A294" s="665">
        <v>9</v>
      </c>
      <c r="B294" s="47" t="s">
        <v>224</v>
      </c>
      <c r="C294" s="47"/>
      <c r="D294" s="116"/>
      <c r="E294" s="114">
        <v>918</v>
      </c>
      <c r="F294" s="52">
        <v>918</v>
      </c>
      <c r="G294" s="118"/>
      <c r="H294" s="122">
        <v>918</v>
      </c>
      <c r="I294" s="21"/>
      <c r="J294" s="231"/>
      <c r="K294" s="231"/>
      <c r="L294" s="231"/>
      <c r="M294" s="231"/>
      <c r="N294" s="231"/>
      <c r="O294" s="231"/>
      <c r="P294" s="231"/>
      <c r="Q294" s="231"/>
      <c r="R294" s="231"/>
      <c r="S294" s="231"/>
      <c r="T294" s="231"/>
      <c r="U294" s="231"/>
      <c r="V294" s="231"/>
      <c r="W294" s="231"/>
      <c r="X294" s="231"/>
      <c r="Y294" s="231"/>
      <c r="Z294" s="231"/>
      <c r="AA294" s="231"/>
      <c r="AB294" s="231"/>
      <c r="AC294" s="231"/>
      <c r="AD294" s="231"/>
      <c r="AE294" s="231"/>
      <c r="AF294" s="231"/>
      <c r="AG294" s="231"/>
      <c r="AH294" s="231"/>
    </row>
    <row r="295" spans="1:34" s="203" customFormat="1">
      <c r="A295" s="120">
        <v>10</v>
      </c>
      <c r="B295" s="47" t="s">
        <v>225</v>
      </c>
      <c r="C295" s="47"/>
      <c r="D295" s="47"/>
      <c r="E295" s="114">
        <v>497</v>
      </c>
      <c r="F295" s="52">
        <v>497</v>
      </c>
      <c r="G295" s="118"/>
      <c r="H295" s="122">
        <v>528</v>
      </c>
      <c r="I295" s="21"/>
      <c r="J295" s="231"/>
      <c r="K295" s="231"/>
      <c r="L295" s="231"/>
      <c r="M295" s="231"/>
      <c r="N295" s="231"/>
      <c r="O295" s="231"/>
      <c r="P295" s="231"/>
      <c r="Q295" s="231"/>
      <c r="R295" s="231"/>
      <c r="S295" s="231"/>
      <c r="T295" s="231"/>
      <c r="U295" s="231"/>
      <c r="V295" s="231"/>
      <c r="W295" s="231"/>
      <c r="X295" s="231"/>
      <c r="Y295" s="231"/>
      <c r="Z295" s="231"/>
      <c r="AA295" s="231"/>
      <c r="AB295" s="231"/>
      <c r="AC295" s="231"/>
      <c r="AD295" s="231"/>
      <c r="AE295" s="231"/>
      <c r="AF295" s="231"/>
      <c r="AG295" s="231"/>
      <c r="AH295" s="231"/>
    </row>
    <row r="296" spans="1:34" s="203" customFormat="1">
      <c r="A296" s="665">
        <v>11</v>
      </c>
      <c r="B296" s="47" t="s">
        <v>226</v>
      </c>
      <c r="C296" s="47"/>
      <c r="D296" s="47"/>
      <c r="E296" s="114">
        <v>0</v>
      </c>
      <c r="F296" s="52">
        <v>0</v>
      </c>
      <c r="G296" s="118"/>
      <c r="H296" s="122">
        <v>0</v>
      </c>
      <c r="I296" s="21"/>
      <c r="J296" s="231"/>
      <c r="K296" s="231"/>
      <c r="L296" s="231"/>
      <c r="M296" s="231"/>
      <c r="N296" s="231"/>
      <c r="O296" s="231"/>
      <c r="P296" s="231"/>
      <c r="Q296" s="231"/>
      <c r="R296" s="231"/>
      <c r="S296" s="231"/>
      <c r="T296" s="231"/>
      <c r="U296" s="231"/>
      <c r="V296" s="231"/>
      <c r="W296" s="231"/>
      <c r="X296" s="231"/>
      <c r="Y296" s="231"/>
      <c r="Z296" s="231"/>
      <c r="AA296" s="231"/>
      <c r="AB296" s="231"/>
      <c r="AC296" s="231"/>
      <c r="AD296" s="231"/>
      <c r="AE296" s="231"/>
      <c r="AF296" s="231"/>
      <c r="AG296" s="231"/>
      <c r="AH296" s="231"/>
    </row>
    <row r="297" spans="1:34" s="203" customFormat="1">
      <c r="A297" s="120">
        <v>12</v>
      </c>
      <c r="B297" s="47" t="s">
        <v>227</v>
      </c>
      <c r="C297" s="47"/>
      <c r="D297" s="47"/>
      <c r="E297" s="114">
        <v>-73</v>
      </c>
      <c r="F297" s="52">
        <v>-70</v>
      </c>
      <c r="G297" s="118"/>
      <c r="H297" s="122">
        <v>-15</v>
      </c>
      <c r="I297" s="21"/>
      <c r="J297" s="231"/>
      <c r="K297" s="231"/>
      <c r="L297" s="231"/>
      <c r="M297" s="231"/>
      <c r="N297" s="231"/>
      <c r="O297" s="231"/>
      <c r="P297" s="231"/>
      <c r="Q297" s="231"/>
      <c r="R297" s="231"/>
      <c r="S297" s="231"/>
      <c r="T297" s="231"/>
      <c r="U297" s="231"/>
      <c r="V297" s="231"/>
      <c r="W297" s="231"/>
      <c r="X297" s="231"/>
      <c r="Y297" s="231"/>
      <c r="Z297" s="231"/>
      <c r="AA297" s="231"/>
      <c r="AB297" s="231"/>
      <c r="AC297" s="231"/>
      <c r="AD297" s="231"/>
      <c r="AE297" s="231"/>
      <c r="AF297" s="231"/>
      <c r="AG297" s="231"/>
      <c r="AH297" s="231"/>
    </row>
    <row r="298" spans="1:34" s="203" customFormat="1">
      <c r="A298" s="665">
        <v>13</v>
      </c>
      <c r="B298" s="47" t="s">
        <v>228</v>
      </c>
      <c r="C298" s="47"/>
      <c r="D298" s="47"/>
      <c r="E298" s="114">
        <v>6136</v>
      </c>
      <c r="F298" s="52">
        <f>6835-1-1</f>
        <v>6833</v>
      </c>
      <c r="G298" s="118"/>
      <c r="H298" s="122">
        <f>5962-1</f>
        <v>5961</v>
      </c>
      <c r="I298" s="21"/>
      <c r="J298" s="231"/>
      <c r="K298" s="231"/>
      <c r="L298" s="231"/>
      <c r="M298" s="231"/>
      <c r="N298" s="231"/>
      <c r="O298" s="231"/>
      <c r="P298" s="231"/>
      <c r="Q298" s="231"/>
      <c r="R298" s="231"/>
      <c r="S298" s="231"/>
      <c r="T298" s="231"/>
      <c r="U298" s="231"/>
      <c r="V298" s="231"/>
      <c r="W298" s="231"/>
      <c r="X298" s="231"/>
      <c r="Y298" s="231"/>
      <c r="Z298" s="231"/>
      <c r="AA298" s="231"/>
      <c r="AB298" s="231"/>
      <c r="AC298" s="231"/>
      <c r="AD298" s="231"/>
      <c r="AE298" s="231"/>
      <c r="AF298" s="231"/>
      <c r="AG298" s="231"/>
      <c r="AH298" s="231"/>
    </row>
    <row r="299" spans="1:34" s="203" customFormat="1">
      <c r="A299" s="120">
        <v>14</v>
      </c>
      <c r="B299" s="47" t="s">
        <v>229</v>
      </c>
      <c r="C299" s="47"/>
      <c r="D299" s="116"/>
      <c r="E299" s="114">
        <v>0</v>
      </c>
      <c r="F299" s="52">
        <v>0</v>
      </c>
      <c r="G299" s="118"/>
      <c r="H299" s="122">
        <v>0</v>
      </c>
      <c r="I299" s="21"/>
      <c r="J299" s="231"/>
      <c r="K299" s="231"/>
      <c r="L299" s="231"/>
      <c r="M299" s="231"/>
      <c r="N299" s="231"/>
      <c r="O299" s="231"/>
      <c r="P299" s="231"/>
      <c r="Q299" s="231"/>
      <c r="R299" s="231"/>
      <c r="S299" s="231"/>
      <c r="T299" s="231"/>
      <c r="U299" s="231"/>
      <c r="V299" s="231"/>
      <c r="W299" s="231"/>
      <c r="X299" s="231"/>
      <c r="Y299" s="231"/>
      <c r="Z299" s="231"/>
      <c r="AA299" s="231"/>
      <c r="AB299" s="231"/>
      <c r="AC299" s="231"/>
      <c r="AD299" s="231"/>
      <c r="AE299" s="231"/>
      <c r="AF299" s="231"/>
      <c r="AG299" s="231"/>
      <c r="AH299" s="231"/>
    </row>
    <row r="300" spans="1:34" s="203" customFormat="1">
      <c r="A300" s="665">
        <v>15</v>
      </c>
      <c r="B300" s="47" t="s">
        <v>230</v>
      </c>
      <c r="C300" s="47"/>
      <c r="D300" s="116"/>
      <c r="E300" s="114">
        <v>381</v>
      </c>
      <c r="F300" s="52">
        <v>381</v>
      </c>
      <c r="G300" s="118"/>
      <c r="H300" s="122">
        <v>271</v>
      </c>
      <c r="I300" s="21"/>
      <c r="J300" s="231"/>
      <c r="K300" s="231"/>
      <c r="L300" s="231"/>
      <c r="M300" s="231"/>
      <c r="N300" s="231"/>
      <c r="O300" s="231"/>
      <c r="P300" s="231"/>
      <c r="Q300" s="231"/>
      <c r="R300" s="231"/>
      <c r="S300" s="231"/>
      <c r="T300" s="231"/>
      <c r="U300" s="231"/>
      <c r="V300" s="231"/>
      <c r="W300" s="231"/>
      <c r="X300" s="231"/>
      <c r="Y300" s="231"/>
      <c r="Z300" s="231"/>
      <c r="AA300" s="231"/>
      <c r="AB300" s="231"/>
      <c r="AC300" s="231"/>
      <c r="AD300" s="231"/>
      <c r="AE300" s="231"/>
      <c r="AF300" s="231"/>
      <c r="AG300" s="231"/>
      <c r="AH300" s="231"/>
    </row>
    <row r="301" spans="1:34" s="203" customFormat="1">
      <c r="A301" s="120">
        <v>17</v>
      </c>
      <c r="B301" s="47" t="s">
        <v>231</v>
      </c>
      <c r="C301" s="47"/>
      <c r="D301" s="47"/>
      <c r="E301" s="114">
        <v>1117</v>
      </c>
      <c r="F301" s="52">
        <v>1038</v>
      </c>
      <c r="G301" s="118"/>
      <c r="H301" s="99">
        <v>1116</v>
      </c>
      <c r="I301" s="21"/>
      <c r="J301" s="231"/>
      <c r="K301" s="231"/>
      <c r="L301" s="231"/>
      <c r="M301" s="231"/>
      <c r="N301" s="231"/>
      <c r="O301" s="231"/>
      <c r="P301" s="231"/>
      <c r="Q301" s="231"/>
      <c r="R301" s="231"/>
      <c r="S301" s="231"/>
      <c r="T301" s="231"/>
      <c r="U301" s="231"/>
      <c r="V301" s="231"/>
      <c r="W301" s="231"/>
      <c r="X301" s="231"/>
      <c r="Y301" s="231"/>
      <c r="Z301" s="231"/>
      <c r="AA301" s="231"/>
      <c r="AB301" s="231"/>
      <c r="AC301" s="231"/>
      <c r="AD301" s="231"/>
      <c r="AE301" s="231"/>
      <c r="AF301" s="231"/>
      <c r="AG301" s="231"/>
      <c r="AH301" s="231"/>
    </row>
    <row r="302" spans="1:34" s="203" customFormat="1">
      <c r="A302" s="666">
        <v>18</v>
      </c>
      <c r="B302" s="94" t="s">
        <v>232</v>
      </c>
      <c r="C302" s="94"/>
      <c r="D302" s="94"/>
      <c r="E302" s="159">
        <v>13076</v>
      </c>
      <c r="F302" s="61">
        <f>SUM(F286:F301)</f>
        <v>13816</v>
      </c>
      <c r="G302" s="118"/>
      <c r="H302" s="61">
        <f>SUM(H286:H301)</f>
        <v>12816</v>
      </c>
      <c r="I302" s="21"/>
      <c r="J302" s="231"/>
      <c r="K302" s="231"/>
      <c r="L302" s="231"/>
      <c r="M302" s="231"/>
      <c r="N302" s="231"/>
      <c r="O302" s="231"/>
      <c r="P302" s="231"/>
      <c r="Q302" s="231"/>
      <c r="R302" s="231"/>
      <c r="S302" s="231"/>
      <c r="T302" s="231"/>
      <c r="U302" s="231"/>
      <c r="V302" s="231"/>
      <c r="W302" s="231"/>
      <c r="X302" s="231"/>
      <c r="Y302" s="231"/>
      <c r="Z302" s="231"/>
      <c r="AA302" s="231"/>
      <c r="AB302" s="231"/>
      <c r="AC302" s="231"/>
      <c r="AD302" s="231"/>
      <c r="AE302" s="231"/>
      <c r="AF302" s="231"/>
      <c r="AG302" s="231"/>
      <c r="AH302" s="231"/>
    </row>
    <row r="303" spans="1:34" s="203" customFormat="1">
      <c r="A303" s="179"/>
      <c r="B303" s="180"/>
      <c r="C303" s="180"/>
      <c r="D303" s="181"/>
      <c r="E303" s="182"/>
      <c r="F303" s="183"/>
      <c r="G303" s="21"/>
      <c r="H303" s="183"/>
      <c r="I303" s="21"/>
      <c r="J303" s="231"/>
      <c r="K303" s="231"/>
      <c r="L303" s="231"/>
      <c r="M303" s="231"/>
      <c r="N303" s="231"/>
      <c r="O303" s="231"/>
      <c r="P303" s="231"/>
      <c r="Q303" s="231"/>
      <c r="R303" s="231"/>
      <c r="S303" s="231"/>
      <c r="T303" s="231"/>
      <c r="U303" s="231"/>
      <c r="V303" s="231"/>
      <c r="W303" s="231"/>
      <c r="X303" s="231"/>
      <c r="Y303" s="231"/>
      <c r="Z303" s="231"/>
      <c r="AA303" s="231"/>
      <c r="AB303" s="231"/>
      <c r="AC303" s="231"/>
      <c r="AD303" s="231"/>
      <c r="AE303" s="231"/>
      <c r="AF303" s="231"/>
      <c r="AG303" s="231"/>
      <c r="AH303" s="231"/>
    </row>
    <row r="304" spans="1:34" s="203" customFormat="1">
      <c r="A304" s="184"/>
      <c r="B304" s="207"/>
      <c r="C304" s="207"/>
      <c r="D304" s="209"/>
      <c r="E304" s="185"/>
      <c r="F304" s="207"/>
      <c r="G304" s="207"/>
      <c r="H304" s="131" t="s">
        <v>27</v>
      </c>
      <c r="I304" s="21"/>
      <c r="J304" s="231"/>
      <c r="K304" s="231"/>
      <c r="L304" s="231"/>
      <c r="M304" s="231"/>
      <c r="N304" s="231"/>
      <c r="O304" s="231"/>
      <c r="P304" s="231"/>
      <c r="Q304" s="231"/>
      <c r="R304" s="231"/>
      <c r="S304" s="231"/>
      <c r="T304" s="231"/>
      <c r="U304" s="231"/>
      <c r="V304" s="231"/>
      <c r="W304" s="231"/>
      <c r="X304" s="231"/>
      <c r="Y304" s="231"/>
      <c r="Z304" s="231"/>
      <c r="AA304" s="231"/>
      <c r="AB304" s="231"/>
      <c r="AC304" s="231"/>
      <c r="AD304" s="231"/>
      <c r="AE304" s="231"/>
      <c r="AF304" s="231"/>
      <c r="AG304" s="231"/>
      <c r="AH304" s="231"/>
    </row>
    <row r="305" spans="1:34" s="203" customFormat="1" ht="12.75" customHeight="1">
      <c r="A305" s="106" t="s">
        <v>21</v>
      </c>
      <c r="B305" s="164"/>
      <c r="C305" s="164"/>
      <c r="D305" s="164"/>
      <c r="E305" s="856" t="s">
        <v>377</v>
      </c>
      <c r="F305" s="856" t="s">
        <v>402</v>
      </c>
      <c r="G305" s="130"/>
      <c r="H305" s="856" t="s">
        <v>403</v>
      </c>
      <c r="I305" s="21"/>
      <c r="J305" s="231"/>
      <c r="K305" s="231"/>
      <c r="L305" s="231"/>
      <c r="M305" s="231"/>
      <c r="N305" s="231"/>
      <c r="O305" s="231"/>
      <c r="P305" s="231"/>
      <c r="Q305" s="231"/>
      <c r="R305" s="231"/>
      <c r="S305" s="231"/>
      <c r="T305" s="231"/>
      <c r="U305" s="231"/>
      <c r="V305" s="231"/>
      <c r="W305" s="231"/>
      <c r="X305" s="231"/>
      <c r="Y305" s="231"/>
      <c r="Z305" s="231"/>
      <c r="AA305" s="231"/>
      <c r="AB305" s="231"/>
      <c r="AC305" s="231"/>
      <c r="AD305" s="231"/>
      <c r="AE305" s="231"/>
      <c r="AF305" s="231"/>
      <c r="AG305" s="231"/>
      <c r="AH305" s="231"/>
    </row>
    <row r="306" spans="1:34" s="203" customFormat="1">
      <c r="A306" s="165"/>
      <c r="B306" s="47"/>
      <c r="C306" s="47"/>
      <c r="D306" s="47"/>
      <c r="E306" s="859"/>
      <c r="F306" s="859"/>
      <c r="G306" s="130"/>
      <c r="H306" s="859"/>
      <c r="I306" s="21"/>
      <c r="J306" s="231"/>
      <c r="K306" s="231"/>
      <c r="L306" s="231"/>
      <c r="M306" s="231"/>
      <c r="N306" s="231"/>
      <c r="O306" s="231"/>
      <c r="P306" s="231"/>
      <c r="Q306" s="231"/>
      <c r="R306" s="231"/>
      <c r="S306" s="231"/>
      <c r="T306" s="231"/>
      <c r="U306" s="231"/>
      <c r="V306" s="231"/>
      <c r="W306" s="231"/>
      <c r="X306" s="231"/>
      <c r="Y306" s="231"/>
      <c r="Z306" s="231"/>
      <c r="AA306" s="231"/>
      <c r="AB306" s="231"/>
      <c r="AC306" s="231"/>
      <c r="AD306" s="231"/>
      <c r="AE306" s="231"/>
      <c r="AF306" s="231"/>
      <c r="AG306" s="231"/>
      <c r="AH306" s="231"/>
    </row>
    <row r="307" spans="1:34" s="203" customFormat="1" ht="12.75" customHeight="1">
      <c r="A307" s="109"/>
      <c r="B307" s="174"/>
      <c r="C307" s="174"/>
      <c r="D307" s="174"/>
      <c r="E307" s="859"/>
      <c r="F307" s="859"/>
      <c r="G307" s="130"/>
      <c r="H307" s="859"/>
      <c r="I307" s="21"/>
      <c r="J307" s="231"/>
      <c r="K307" s="231"/>
      <c r="L307" s="231"/>
      <c r="M307" s="231"/>
      <c r="N307" s="231"/>
      <c r="O307" s="231"/>
      <c r="P307" s="231"/>
      <c r="Q307" s="231"/>
      <c r="R307" s="231"/>
      <c r="S307" s="231"/>
      <c r="T307" s="231"/>
      <c r="U307" s="231"/>
      <c r="V307" s="231"/>
      <c r="W307" s="231"/>
      <c r="X307" s="231"/>
      <c r="Y307" s="231"/>
      <c r="Z307" s="231"/>
      <c r="AA307" s="231"/>
      <c r="AB307" s="231"/>
      <c r="AC307" s="231"/>
      <c r="AD307" s="231"/>
      <c r="AE307" s="231"/>
      <c r="AF307" s="231"/>
      <c r="AG307" s="231"/>
      <c r="AH307" s="231"/>
    </row>
    <row r="308" spans="1:34" s="203" customFormat="1">
      <c r="A308" s="154" t="s">
        <v>233</v>
      </c>
      <c r="B308" s="47"/>
      <c r="C308" s="47"/>
      <c r="D308" s="47"/>
      <c r="E308" s="859"/>
      <c r="F308" s="859"/>
      <c r="G308" s="130"/>
      <c r="H308" s="859"/>
      <c r="I308" s="21"/>
      <c r="J308" s="231"/>
      <c r="K308" s="231"/>
      <c r="L308" s="231"/>
      <c r="M308" s="231"/>
      <c r="N308" s="231"/>
      <c r="O308" s="231"/>
      <c r="P308" s="231"/>
      <c r="Q308" s="231"/>
      <c r="R308" s="231"/>
      <c r="S308" s="231"/>
      <c r="T308" s="231"/>
      <c r="U308" s="231"/>
      <c r="V308" s="231"/>
      <c r="W308" s="231"/>
      <c r="X308" s="231"/>
      <c r="Y308" s="231"/>
      <c r="Z308" s="231"/>
      <c r="AA308" s="231"/>
      <c r="AB308" s="231"/>
      <c r="AC308" s="231"/>
      <c r="AD308" s="231"/>
      <c r="AE308" s="231"/>
      <c r="AF308" s="231"/>
      <c r="AG308" s="231"/>
      <c r="AH308" s="231"/>
    </row>
    <row r="309" spans="1:34" s="203" customFormat="1">
      <c r="A309" s="109" t="s">
        <v>83</v>
      </c>
      <c r="B309" s="174"/>
      <c r="C309" s="174"/>
      <c r="D309" s="174"/>
      <c r="E309" s="860"/>
      <c r="F309" s="860"/>
      <c r="G309" s="130"/>
      <c r="H309" s="860"/>
      <c r="I309" s="21"/>
      <c r="J309" s="231"/>
      <c r="K309" s="231"/>
      <c r="L309" s="231"/>
      <c r="M309" s="231"/>
      <c r="N309" s="231"/>
      <c r="O309" s="231"/>
      <c r="P309" s="231"/>
      <c r="Q309" s="231"/>
      <c r="R309" s="231"/>
      <c r="S309" s="231"/>
      <c r="T309" s="231"/>
      <c r="U309" s="231"/>
      <c r="V309" s="231"/>
      <c r="W309" s="231"/>
      <c r="X309" s="231"/>
      <c r="Y309" s="231"/>
      <c r="Z309" s="231"/>
      <c r="AA309" s="231"/>
      <c r="AB309" s="231"/>
      <c r="AC309" s="231"/>
      <c r="AD309" s="231"/>
      <c r="AE309" s="231"/>
      <c r="AF309" s="231"/>
      <c r="AG309" s="231"/>
      <c r="AH309" s="231"/>
    </row>
    <row r="310" spans="1:34" s="203" customFormat="1">
      <c r="A310" s="110" t="s">
        <v>84</v>
      </c>
      <c r="B310" s="116"/>
      <c r="C310" s="116"/>
      <c r="D310" s="116"/>
      <c r="E310" s="262"/>
      <c r="F310" s="146"/>
      <c r="G310" s="118"/>
      <c r="H310" s="146"/>
      <c r="I310" s="21"/>
      <c r="J310" s="231"/>
      <c r="K310" s="231"/>
      <c r="L310" s="231"/>
      <c r="M310" s="231"/>
      <c r="N310" s="231"/>
      <c r="O310" s="231"/>
      <c r="P310" s="231"/>
      <c r="Q310" s="231"/>
      <c r="R310" s="231"/>
      <c r="S310" s="231"/>
      <c r="T310" s="231"/>
      <c r="U310" s="231"/>
      <c r="V310" s="231"/>
      <c r="W310" s="231"/>
      <c r="X310" s="231"/>
      <c r="Y310" s="231"/>
      <c r="Z310" s="231"/>
      <c r="AA310" s="231"/>
      <c r="AB310" s="231"/>
      <c r="AC310" s="231"/>
      <c r="AD310" s="231"/>
      <c r="AE310" s="231"/>
      <c r="AF310" s="231"/>
      <c r="AG310" s="231"/>
      <c r="AH310" s="231"/>
    </row>
    <row r="311" spans="1:34" s="203" customFormat="1">
      <c r="A311" s="120">
        <v>1</v>
      </c>
      <c r="B311" s="47" t="s">
        <v>258</v>
      </c>
      <c r="C311" s="47"/>
      <c r="D311" s="186"/>
      <c r="E311" s="74">
        <v>-5444</v>
      </c>
      <c r="F311" s="52">
        <v>0</v>
      </c>
      <c r="G311" s="43"/>
      <c r="H311" s="52">
        <v>0</v>
      </c>
      <c r="I311" s="21"/>
      <c r="J311" s="231"/>
      <c r="K311" s="231"/>
      <c r="L311" s="231"/>
      <c r="M311" s="231"/>
      <c r="N311" s="231"/>
      <c r="O311" s="231"/>
      <c r="P311" s="231"/>
      <c r="Q311" s="231"/>
      <c r="R311" s="231"/>
      <c r="S311" s="231"/>
      <c r="T311" s="231"/>
      <c r="U311" s="231"/>
      <c r="V311" s="231"/>
      <c r="W311" s="231"/>
      <c r="X311" s="231"/>
      <c r="Y311" s="231"/>
      <c r="Z311" s="231"/>
      <c r="AA311" s="231"/>
      <c r="AB311" s="231"/>
      <c r="AC311" s="231"/>
      <c r="AD311" s="231"/>
      <c r="AE311" s="231"/>
      <c r="AF311" s="231"/>
      <c r="AG311" s="231"/>
      <c r="AH311" s="231"/>
    </row>
    <row r="312" spans="1:34" s="203" customFormat="1">
      <c r="A312" s="120">
        <v>2</v>
      </c>
      <c r="B312" s="47" t="s">
        <v>234</v>
      </c>
      <c r="C312" s="47"/>
      <c r="D312" s="186"/>
      <c r="E312" s="114">
        <v>0</v>
      </c>
      <c r="F312" s="52">
        <v>0</v>
      </c>
      <c r="G312" s="43"/>
      <c r="H312" s="52">
        <v>0</v>
      </c>
      <c r="I312" s="21"/>
      <c r="J312" s="231"/>
      <c r="K312" s="231"/>
      <c r="L312" s="231"/>
      <c r="M312" s="231"/>
      <c r="N312" s="231"/>
      <c r="O312" s="231"/>
      <c r="P312" s="231"/>
      <c r="Q312" s="231"/>
      <c r="R312" s="231"/>
      <c r="S312" s="231"/>
      <c r="T312" s="231"/>
      <c r="U312" s="231"/>
      <c r="V312" s="231"/>
      <c r="W312" s="231"/>
      <c r="X312" s="231"/>
      <c r="Y312" s="231"/>
      <c r="Z312" s="231"/>
      <c r="AA312" s="231"/>
      <c r="AB312" s="231"/>
      <c r="AC312" s="231"/>
      <c r="AD312" s="231"/>
      <c r="AE312" s="231"/>
      <c r="AF312" s="231"/>
      <c r="AG312" s="231"/>
      <c r="AH312" s="231"/>
    </row>
    <row r="313" spans="1:34" s="203" customFormat="1">
      <c r="A313" s="120">
        <v>3</v>
      </c>
      <c r="B313" s="47" t="s">
        <v>259</v>
      </c>
      <c r="C313" s="47"/>
      <c r="D313" s="186"/>
      <c r="E313" s="114">
        <v>-330</v>
      </c>
      <c r="F313" s="52">
        <v>-330</v>
      </c>
      <c r="G313" s="43"/>
      <c r="H313" s="52">
        <v>-330</v>
      </c>
      <c r="I313" s="21"/>
      <c r="J313" s="231"/>
      <c r="K313" s="231"/>
      <c r="L313" s="231"/>
      <c r="M313" s="231"/>
      <c r="N313" s="231"/>
      <c r="O313" s="231"/>
      <c r="P313" s="231"/>
      <c r="Q313" s="231"/>
      <c r="R313" s="231"/>
      <c r="S313" s="231"/>
      <c r="T313" s="231"/>
      <c r="U313" s="231"/>
      <c r="V313" s="231"/>
      <c r="W313" s="231"/>
      <c r="X313" s="231"/>
      <c r="Y313" s="231"/>
      <c r="Z313" s="231"/>
      <c r="AA313" s="231"/>
      <c r="AB313" s="231"/>
      <c r="AC313" s="231"/>
      <c r="AD313" s="231"/>
      <c r="AE313" s="231"/>
      <c r="AF313" s="231"/>
      <c r="AG313" s="231"/>
      <c r="AH313" s="231"/>
    </row>
    <row r="314" spans="1:34" s="203" customFormat="1">
      <c r="A314" s="120">
        <v>4</v>
      </c>
      <c r="B314" s="47" t="s">
        <v>235</v>
      </c>
      <c r="C314" s="47"/>
      <c r="D314" s="186"/>
      <c r="E314" s="114">
        <v>26127</v>
      </c>
      <c r="F314" s="52">
        <v>26127</v>
      </c>
      <c r="G314" s="43"/>
      <c r="H314" s="52">
        <v>26280</v>
      </c>
      <c r="I314" s="21"/>
      <c r="J314" s="231"/>
      <c r="K314" s="231"/>
      <c r="L314" s="231"/>
      <c r="M314" s="231"/>
      <c r="N314" s="231"/>
      <c r="O314" s="231"/>
      <c r="P314" s="231"/>
      <c r="Q314" s="231"/>
      <c r="R314" s="231"/>
      <c r="S314" s="231"/>
      <c r="T314" s="231"/>
      <c r="U314" s="231"/>
      <c r="V314" s="231"/>
      <c r="W314" s="231"/>
      <c r="X314" s="231"/>
      <c r="Y314" s="231"/>
      <c r="Z314" s="231"/>
      <c r="AA314" s="231"/>
      <c r="AB314" s="231"/>
      <c r="AC314" s="231"/>
      <c r="AD314" s="231"/>
      <c r="AE314" s="231"/>
      <c r="AF314" s="231"/>
      <c r="AG314" s="231"/>
      <c r="AH314" s="231"/>
    </row>
    <row r="315" spans="1:34" s="203" customFormat="1">
      <c r="A315" s="120">
        <v>5</v>
      </c>
      <c r="B315" s="47" t="s">
        <v>236</v>
      </c>
      <c r="C315" s="47"/>
      <c r="D315" s="186"/>
      <c r="E315" s="114">
        <v>4224</v>
      </c>
      <c r="F315" s="52">
        <v>4224</v>
      </c>
      <c r="G315" s="187"/>
      <c r="H315" s="52">
        <v>4585</v>
      </c>
      <c r="I315" s="21"/>
      <c r="J315" s="231"/>
      <c r="K315" s="231"/>
      <c r="L315" s="231"/>
      <c r="M315" s="231"/>
      <c r="N315" s="231"/>
      <c r="O315" s="231"/>
      <c r="P315" s="231"/>
      <c r="Q315" s="231"/>
      <c r="R315" s="231"/>
      <c r="S315" s="231"/>
      <c r="T315" s="231"/>
      <c r="U315" s="231"/>
      <c r="V315" s="231"/>
      <c r="W315" s="231"/>
      <c r="X315" s="231"/>
      <c r="Y315" s="231"/>
      <c r="Z315" s="231"/>
      <c r="AA315" s="231"/>
      <c r="AB315" s="231"/>
      <c r="AC315" s="231"/>
      <c r="AD315" s="231"/>
      <c r="AE315" s="231"/>
      <c r="AF315" s="231"/>
      <c r="AG315" s="231"/>
      <c r="AH315" s="231"/>
    </row>
    <row r="316" spans="1:34" s="203" customFormat="1">
      <c r="A316" s="120">
        <v>6</v>
      </c>
      <c r="B316" s="47" t="s">
        <v>237</v>
      </c>
      <c r="C316" s="47"/>
      <c r="D316" s="186"/>
      <c r="E316" s="114">
        <v>37590</v>
      </c>
      <c r="F316" s="52">
        <v>37591</v>
      </c>
      <c r="G316" s="43"/>
      <c r="H316" s="52">
        <v>37343</v>
      </c>
      <c r="I316" s="21"/>
      <c r="J316" s="231"/>
      <c r="K316" s="231"/>
      <c r="L316" s="231"/>
      <c r="M316" s="231"/>
      <c r="N316" s="231"/>
      <c r="O316" s="231"/>
      <c r="P316" s="231"/>
      <c r="Q316" s="231"/>
      <c r="R316" s="231"/>
      <c r="S316" s="231"/>
      <c r="T316" s="231"/>
      <c r="U316" s="231"/>
      <c r="V316" s="231"/>
      <c r="W316" s="231"/>
      <c r="X316" s="231"/>
      <c r="Y316" s="231"/>
      <c r="Z316" s="231"/>
      <c r="AA316" s="231"/>
      <c r="AB316" s="231"/>
      <c r="AC316" s="231"/>
      <c r="AD316" s="231"/>
      <c r="AE316" s="231"/>
      <c r="AF316" s="231"/>
      <c r="AG316" s="231"/>
      <c r="AH316" s="231"/>
    </row>
    <row r="317" spans="1:34" s="203" customFormat="1">
      <c r="A317" s="120">
        <v>7</v>
      </c>
      <c r="B317" s="47" t="s">
        <v>238</v>
      </c>
      <c r="C317" s="47"/>
      <c r="D317" s="186"/>
      <c r="E317" s="114">
        <v>1952</v>
      </c>
      <c r="F317" s="52">
        <v>1952</v>
      </c>
      <c r="G317" s="43"/>
      <c r="H317" s="52">
        <v>1952</v>
      </c>
      <c r="I317" s="21"/>
      <c r="J317" s="231"/>
      <c r="K317" s="231"/>
      <c r="L317" s="231"/>
      <c r="M317" s="231"/>
      <c r="N317" s="231"/>
      <c r="O317" s="231"/>
      <c r="P317" s="231"/>
      <c r="Q317" s="231"/>
      <c r="R317" s="231"/>
      <c r="S317" s="231"/>
      <c r="T317" s="231"/>
      <c r="U317" s="231"/>
      <c r="V317" s="231"/>
      <c r="W317" s="231"/>
      <c r="X317" s="231"/>
      <c r="Y317" s="231"/>
      <c r="Z317" s="231"/>
      <c r="AA317" s="231"/>
      <c r="AB317" s="231"/>
      <c r="AC317" s="231"/>
      <c r="AD317" s="231"/>
      <c r="AE317" s="231"/>
      <c r="AF317" s="231"/>
      <c r="AG317" s="231"/>
      <c r="AH317" s="231"/>
    </row>
    <row r="318" spans="1:34" s="203" customFormat="1">
      <c r="A318" s="120">
        <v>8</v>
      </c>
      <c r="B318" s="47" t="s">
        <v>239</v>
      </c>
      <c r="C318" s="47"/>
      <c r="D318" s="186"/>
      <c r="E318" s="114">
        <v>82</v>
      </c>
      <c r="F318" s="52">
        <v>82</v>
      </c>
      <c r="G318" s="43"/>
      <c r="H318" s="52">
        <v>166</v>
      </c>
      <c r="I318" s="21"/>
      <c r="J318" s="231"/>
      <c r="K318" s="231"/>
      <c r="L318" s="231"/>
      <c r="M318" s="231"/>
      <c r="N318" s="231"/>
      <c r="O318" s="231"/>
      <c r="P318" s="231"/>
      <c r="Q318" s="231"/>
      <c r="R318" s="231"/>
      <c r="S318" s="231"/>
      <c r="T318" s="231"/>
      <c r="U318" s="231"/>
      <c r="V318" s="231"/>
      <c r="W318" s="231"/>
      <c r="X318" s="231"/>
      <c r="Y318" s="231"/>
      <c r="Z318" s="231"/>
      <c r="AA318" s="231"/>
      <c r="AB318" s="231"/>
      <c r="AC318" s="231"/>
      <c r="AD318" s="231"/>
      <c r="AE318" s="231"/>
      <c r="AF318" s="231"/>
      <c r="AG318" s="231"/>
      <c r="AH318" s="231"/>
    </row>
    <row r="319" spans="1:34" s="203" customFormat="1">
      <c r="A319" s="665">
        <v>9</v>
      </c>
      <c r="B319" s="90" t="s">
        <v>260</v>
      </c>
      <c r="C319" s="47"/>
      <c r="D319" s="47"/>
      <c r="E319" s="114">
        <v>176</v>
      </c>
      <c r="F319" s="188"/>
      <c r="G319" s="43"/>
      <c r="H319" s="189">
        <v>1409</v>
      </c>
      <c r="I319" s="21"/>
      <c r="J319" s="231"/>
      <c r="K319" s="231"/>
      <c r="L319" s="231"/>
      <c r="M319" s="231"/>
      <c r="N319" s="231"/>
      <c r="O319" s="231"/>
      <c r="P319" s="231"/>
      <c r="Q319" s="231"/>
      <c r="R319" s="231"/>
      <c r="S319" s="231"/>
      <c r="T319" s="231"/>
      <c r="U319" s="231"/>
      <c r="V319" s="231"/>
      <c r="W319" s="231"/>
      <c r="X319" s="231"/>
      <c r="Y319" s="231"/>
      <c r="Z319" s="231"/>
      <c r="AA319" s="231"/>
      <c r="AB319" s="231"/>
      <c r="AC319" s="231"/>
      <c r="AD319" s="231"/>
      <c r="AE319" s="231"/>
      <c r="AF319" s="231"/>
      <c r="AG319" s="231"/>
      <c r="AH319" s="231"/>
    </row>
    <row r="320" spans="1:34" s="203" customFormat="1">
      <c r="A320" s="124">
        <v>10</v>
      </c>
      <c r="B320" s="94" t="s">
        <v>62</v>
      </c>
      <c r="C320" s="94"/>
      <c r="D320" s="94"/>
      <c r="E320" s="159">
        <v>64377</v>
      </c>
      <c r="F320" s="61">
        <f>F311+F312+F313+F314+F315+F316+F317+F318</f>
        <v>69646</v>
      </c>
      <c r="G320" s="118"/>
      <c r="H320" s="61">
        <f>H311+H312+H313+H314+H315+H316+H317+H318+H319</f>
        <v>71405</v>
      </c>
      <c r="I320" s="183"/>
      <c r="J320" s="231"/>
      <c r="K320" s="231"/>
      <c r="L320" s="231"/>
      <c r="M320" s="231"/>
      <c r="N320" s="231"/>
      <c r="O320" s="231"/>
      <c r="P320" s="231"/>
      <c r="Q320" s="231"/>
      <c r="R320" s="231"/>
      <c r="S320" s="231"/>
      <c r="T320" s="231"/>
      <c r="U320" s="231"/>
      <c r="V320" s="231"/>
      <c r="W320" s="231"/>
      <c r="X320" s="231"/>
      <c r="Y320" s="231"/>
      <c r="Z320" s="231"/>
      <c r="AA320" s="231"/>
      <c r="AB320" s="231"/>
      <c r="AC320" s="231"/>
      <c r="AD320" s="231"/>
      <c r="AE320" s="231"/>
      <c r="AF320" s="231"/>
      <c r="AG320" s="231"/>
      <c r="AH320" s="231"/>
    </row>
    <row r="321" spans="1:34" s="203" customFormat="1">
      <c r="A321" s="179"/>
      <c r="B321" s="180"/>
      <c r="C321" s="180"/>
      <c r="D321" s="180"/>
      <c r="E321" s="180"/>
      <c r="F321" s="183"/>
      <c r="G321" s="21"/>
      <c r="H321" s="183"/>
      <c r="I321" s="183"/>
      <c r="J321" s="231"/>
      <c r="K321" s="231"/>
      <c r="L321" s="231"/>
      <c r="M321" s="231"/>
      <c r="N321" s="231"/>
      <c r="O321" s="231"/>
      <c r="P321" s="231"/>
      <c r="Q321" s="231"/>
      <c r="R321" s="231"/>
      <c r="S321" s="231"/>
      <c r="T321" s="231"/>
      <c r="U321" s="231"/>
      <c r="V321" s="231"/>
      <c r="W321" s="231"/>
      <c r="X321" s="231"/>
      <c r="Y321" s="231"/>
      <c r="Z321" s="231"/>
      <c r="AA321" s="231"/>
      <c r="AB321" s="231"/>
      <c r="AC321" s="231"/>
      <c r="AD321" s="231"/>
      <c r="AE321" s="231"/>
      <c r="AF321" s="231"/>
      <c r="AG321" s="231"/>
      <c r="AH321" s="231"/>
    </row>
    <row r="322" spans="1:34" s="203" customFormat="1">
      <c r="A322" s="148"/>
      <c r="B322" s="207"/>
      <c r="C322" s="207"/>
      <c r="D322" s="29"/>
      <c r="E322" s="29"/>
      <c r="F322" s="29"/>
      <c r="G322" s="29"/>
      <c r="H322" s="31" t="s">
        <v>27</v>
      </c>
      <c r="I322" s="2"/>
      <c r="J322" s="231"/>
      <c r="K322" s="231"/>
      <c r="L322" s="231"/>
      <c r="M322" s="231"/>
      <c r="N322" s="231"/>
      <c r="O322" s="231"/>
      <c r="P322" s="231"/>
      <c r="Q322" s="231"/>
      <c r="R322" s="231"/>
      <c r="S322" s="231"/>
      <c r="T322" s="231"/>
      <c r="U322" s="231"/>
      <c r="V322" s="231"/>
      <c r="W322" s="231"/>
      <c r="X322" s="231"/>
      <c r="Y322" s="231"/>
      <c r="Z322" s="231"/>
      <c r="AA322" s="231"/>
      <c r="AB322" s="231"/>
      <c r="AC322" s="231"/>
      <c r="AD322" s="231"/>
      <c r="AE322" s="231"/>
      <c r="AF322" s="231"/>
      <c r="AG322" s="231"/>
      <c r="AH322" s="231"/>
    </row>
    <row r="323" spans="1:34" s="203" customFormat="1">
      <c r="A323" s="190" t="s">
        <v>240</v>
      </c>
      <c r="B323" s="263"/>
      <c r="C323" s="861" t="s">
        <v>405</v>
      </c>
      <c r="D323" s="862"/>
      <c r="E323" s="862"/>
      <c r="F323" s="862"/>
      <c r="G323" s="862"/>
      <c r="H323" s="863"/>
      <c r="I323" s="210"/>
      <c r="J323" s="231"/>
      <c r="K323" s="231"/>
      <c r="L323" s="231"/>
      <c r="M323" s="231"/>
      <c r="N323" s="231"/>
      <c r="O323" s="231"/>
      <c r="P323" s="231"/>
      <c r="Q323" s="231"/>
      <c r="R323" s="231"/>
      <c r="S323" s="231"/>
      <c r="T323" s="231"/>
      <c r="U323" s="231"/>
      <c r="V323" s="231"/>
      <c r="W323" s="231"/>
      <c r="X323" s="231"/>
      <c r="Y323" s="231"/>
      <c r="Z323" s="231"/>
      <c r="AA323" s="231"/>
      <c r="AB323" s="231"/>
      <c r="AC323" s="231"/>
      <c r="AD323" s="231"/>
      <c r="AE323" s="231"/>
      <c r="AF323" s="231"/>
      <c r="AG323" s="231"/>
      <c r="AH323" s="231"/>
    </row>
    <row r="324" spans="1:34" s="203" customFormat="1" ht="39" thickBot="1">
      <c r="A324" s="110" t="s">
        <v>84</v>
      </c>
      <c r="B324" s="116"/>
      <c r="C324" s="35" t="s">
        <v>52</v>
      </c>
      <c r="D324" s="35" t="s">
        <v>53</v>
      </c>
      <c r="E324" s="37" t="s">
        <v>54</v>
      </c>
      <c r="F324" s="37" t="s">
        <v>55</v>
      </c>
      <c r="G324" s="37" t="s">
        <v>241</v>
      </c>
      <c r="H324" s="35" t="s">
        <v>121</v>
      </c>
      <c r="I324" s="29"/>
      <c r="J324" s="231"/>
      <c r="K324" s="231"/>
      <c r="L324" s="231"/>
      <c r="M324" s="231"/>
      <c r="N324" s="231"/>
      <c r="O324" s="231"/>
      <c r="P324" s="231"/>
      <c r="Q324" s="231"/>
      <c r="R324" s="231"/>
      <c r="S324" s="231"/>
      <c r="T324" s="231"/>
      <c r="U324" s="231"/>
      <c r="V324" s="231"/>
      <c r="W324" s="231"/>
      <c r="X324" s="231"/>
      <c r="Y324" s="231"/>
      <c r="Z324" s="231"/>
      <c r="AA324" s="231"/>
      <c r="AB324" s="231"/>
      <c r="AC324" s="231"/>
      <c r="AD324" s="231"/>
      <c r="AE324" s="231"/>
      <c r="AF324" s="231"/>
      <c r="AG324" s="231"/>
      <c r="AH324" s="231"/>
    </row>
    <row r="325" spans="1:34" s="203" customFormat="1" ht="13.5" thickBot="1">
      <c r="A325" s="665">
        <v>1</v>
      </c>
      <c r="B325" s="116" t="s">
        <v>242</v>
      </c>
      <c r="C325" s="193">
        <f t="shared" ref="C325:H325" si="0">SUM(C326:C329)</f>
        <v>24363</v>
      </c>
      <c r="D325" s="193">
        <f t="shared" si="0"/>
        <v>0</v>
      </c>
      <c r="E325" s="193">
        <v>0</v>
      </c>
      <c r="F325" s="193">
        <f t="shared" si="0"/>
        <v>0</v>
      </c>
      <c r="G325" s="193">
        <f>SUM(G326:G329)</f>
        <v>0</v>
      </c>
      <c r="H325" s="193">
        <f t="shared" si="0"/>
        <v>0</v>
      </c>
      <c r="I325" s="207"/>
      <c r="J325" s="231"/>
      <c r="K325" s="231"/>
      <c r="L325" s="231"/>
      <c r="M325" s="231"/>
      <c r="N325" s="231"/>
      <c r="O325" s="231"/>
      <c r="P325" s="231"/>
      <c r="Q325" s="231"/>
      <c r="R325" s="231"/>
      <c r="S325" s="231"/>
      <c r="T325" s="231"/>
      <c r="U325" s="231"/>
      <c r="V325" s="231"/>
      <c r="W325" s="231"/>
      <c r="X325" s="231"/>
      <c r="Y325" s="231"/>
      <c r="Z325" s="231"/>
      <c r="AA325" s="231"/>
      <c r="AB325" s="231"/>
      <c r="AC325" s="231"/>
      <c r="AD325" s="231"/>
      <c r="AE325" s="231"/>
      <c r="AF325" s="231"/>
      <c r="AG325" s="231"/>
      <c r="AH325" s="231"/>
    </row>
    <row r="326" spans="1:34" s="203" customFormat="1">
      <c r="A326" s="665">
        <v>2</v>
      </c>
      <c r="B326" s="47" t="s">
        <v>243</v>
      </c>
      <c r="C326" s="169">
        <v>8900</v>
      </c>
      <c r="D326" s="169"/>
      <c r="E326" s="169"/>
      <c r="F326" s="169"/>
      <c r="G326" s="169"/>
      <c r="H326" s="169"/>
      <c r="I326" s="207"/>
      <c r="J326" s="231"/>
      <c r="K326" s="231"/>
      <c r="L326" s="231"/>
      <c r="M326" s="231"/>
      <c r="N326" s="231"/>
      <c r="O326" s="231"/>
      <c r="P326" s="231"/>
      <c r="Q326" s="231"/>
      <c r="R326" s="231"/>
      <c r="S326" s="231"/>
      <c r="T326" s="231"/>
      <c r="U326" s="231"/>
      <c r="V326" s="231"/>
      <c r="W326" s="231"/>
      <c r="X326" s="231"/>
      <c r="Y326" s="231"/>
      <c r="Z326" s="231"/>
      <c r="AA326" s="231"/>
      <c r="AB326" s="231"/>
      <c r="AC326" s="231"/>
      <c r="AD326" s="231"/>
      <c r="AE326" s="231"/>
      <c r="AF326" s="231"/>
      <c r="AG326" s="231"/>
      <c r="AH326" s="231"/>
    </row>
    <row r="327" spans="1:34" s="203" customFormat="1">
      <c r="A327" s="665">
        <v>3</v>
      </c>
      <c r="B327" s="47" t="s">
        <v>244</v>
      </c>
      <c r="C327" s="99">
        <v>11239</v>
      </c>
      <c r="D327" s="99"/>
      <c r="E327" s="99"/>
      <c r="F327" s="99"/>
      <c r="G327" s="99"/>
      <c r="H327" s="99"/>
      <c r="I327" s="207"/>
      <c r="J327" s="231"/>
      <c r="K327" s="231"/>
      <c r="L327" s="231"/>
      <c r="M327" s="231"/>
      <c r="N327" s="231"/>
      <c r="O327" s="231"/>
      <c r="P327" s="231"/>
      <c r="Q327" s="231"/>
      <c r="R327" s="231"/>
      <c r="S327" s="231"/>
      <c r="T327" s="231"/>
      <c r="U327" s="231"/>
      <c r="V327" s="231"/>
      <c r="W327" s="231"/>
      <c r="X327" s="231"/>
      <c r="Y327" s="231"/>
      <c r="Z327" s="231"/>
      <c r="AA327" s="231"/>
      <c r="AB327" s="231"/>
      <c r="AC327" s="231"/>
      <c r="AD327" s="231"/>
      <c r="AE327" s="231"/>
      <c r="AF327" s="231"/>
      <c r="AG327" s="231"/>
      <c r="AH327" s="231"/>
    </row>
    <row r="328" spans="1:34" s="203" customFormat="1">
      <c r="A328" s="665">
        <v>4</v>
      </c>
      <c r="B328" s="47" t="s">
        <v>245</v>
      </c>
      <c r="C328" s="99">
        <v>4224</v>
      </c>
      <c r="D328" s="99"/>
      <c r="E328" s="99"/>
      <c r="F328" s="99"/>
      <c r="G328" s="99"/>
      <c r="H328" s="99"/>
      <c r="I328" s="207"/>
      <c r="J328" s="231"/>
      <c r="K328" s="231"/>
      <c r="L328" s="231"/>
      <c r="M328" s="231"/>
      <c r="N328" s="231"/>
      <c r="O328" s="231"/>
      <c r="P328" s="231"/>
      <c r="Q328" s="231"/>
      <c r="R328" s="231"/>
      <c r="S328" s="231"/>
      <c r="T328" s="231"/>
      <c r="U328" s="231"/>
      <c r="V328" s="231"/>
      <c r="W328" s="231"/>
      <c r="X328" s="231"/>
      <c r="Y328" s="231"/>
      <c r="Z328" s="231"/>
      <c r="AA328" s="231"/>
      <c r="AB328" s="231"/>
      <c r="AC328" s="231"/>
      <c r="AD328" s="231"/>
      <c r="AE328" s="231"/>
      <c r="AF328" s="231"/>
      <c r="AG328" s="231"/>
      <c r="AH328" s="231"/>
    </row>
    <row r="329" spans="1:34" s="203" customFormat="1">
      <c r="A329" s="666">
        <v>5</v>
      </c>
      <c r="B329" s="54" t="s">
        <v>246</v>
      </c>
      <c r="C329" s="100"/>
      <c r="D329" s="100"/>
      <c r="E329" s="100"/>
      <c r="F329" s="100"/>
      <c r="G329" s="100"/>
      <c r="H329" s="100"/>
      <c r="I329" s="207"/>
      <c r="J329" s="231"/>
      <c r="K329" s="231"/>
      <c r="L329" s="231"/>
      <c r="M329" s="231"/>
      <c r="N329" s="231"/>
      <c r="O329" s="231"/>
      <c r="P329" s="231"/>
      <c r="Q329" s="231"/>
      <c r="R329" s="231"/>
      <c r="S329" s="231"/>
      <c r="T329" s="231"/>
      <c r="U329" s="231"/>
      <c r="V329" s="231"/>
      <c r="W329" s="231"/>
      <c r="X329" s="231"/>
      <c r="Y329" s="231"/>
      <c r="Z329" s="231"/>
      <c r="AA329" s="231"/>
      <c r="AB329" s="231"/>
      <c r="AC329" s="231"/>
      <c r="AD329" s="231"/>
      <c r="AE329" s="231"/>
      <c r="AF329" s="231"/>
      <c r="AG329" s="231"/>
      <c r="AH329" s="231"/>
    </row>
    <row r="330" spans="1:34" s="203" customFormat="1">
      <c r="A330" s="665"/>
      <c r="B330" s="47"/>
      <c r="C330" s="864" t="s">
        <v>404</v>
      </c>
      <c r="D330" s="865"/>
      <c r="E330" s="865"/>
      <c r="F330" s="865"/>
      <c r="G330" s="865"/>
      <c r="H330" s="866"/>
      <c r="I330" s="207"/>
      <c r="J330" s="231"/>
      <c r="K330" s="231"/>
      <c r="L330" s="231"/>
      <c r="M330" s="231"/>
      <c r="N330" s="231"/>
      <c r="O330" s="231"/>
      <c r="P330" s="231"/>
      <c r="Q330" s="231"/>
      <c r="R330" s="231"/>
      <c r="S330" s="231"/>
      <c r="T330" s="231"/>
      <c r="U330" s="231"/>
      <c r="V330" s="231"/>
      <c r="W330" s="231"/>
      <c r="X330" s="231"/>
      <c r="Y330" s="231"/>
      <c r="Z330" s="231"/>
      <c r="AA330" s="231"/>
      <c r="AB330" s="231"/>
      <c r="AC330" s="231"/>
      <c r="AD330" s="231"/>
      <c r="AE330" s="231"/>
      <c r="AF330" s="231"/>
      <c r="AG330" s="231"/>
      <c r="AH330" s="231"/>
    </row>
    <row r="331" spans="1:34" s="203" customFormat="1" ht="39" thickBot="1">
      <c r="A331" s="110" t="s">
        <v>84</v>
      </c>
      <c r="B331" s="116"/>
      <c r="C331" s="35" t="s">
        <v>52</v>
      </c>
      <c r="D331" s="35" t="s">
        <v>53</v>
      </c>
      <c r="E331" s="37" t="s">
        <v>54</v>
      </c>
      <c r="F331" s="37" t="s">
        <v>55</v>
      </c>
      <c r="G331" s="37" t="s">
        <v>241</v>
      </c>
      <c r="H331" s="35" t="s">
        <v>121</v>
      </c>
      <c r="I331" s="207"/>
      <c r="J331" s="231"/>
      <c r="K331" s="231"/>
      <c r="L331" s="231"/>
      <c r="M331" s="231"/>
      <c r="N331" s="231"/>
      <c r="O331" s="231"/>
      <c r="P331" s="231"/>
      <c r="Q331" s="231"/>
      <c r="R331" s="231"/>
      <c r="S331" s="231"/>
      <c r="T331" s="231"/>
      <c r="U331" s="231"/>
      <c r="V331" s="231"/>
      <c r="W331" s="231"/>
      <c r="X331" s="231"/>
      <c r="Y331" s="231"/>
      <c r="Z331" s="231"/>
      <c r="AA331" s="231"/>
      <c r="AB331" s="231"/>
      <c r="AC331" s="231"/>
      <c r="AD331" s="231"/>
      <c r="AE331" s="231"/>
      <c r="AF331" s="231"/>
      <c r="AG331" s="231"/>
      <c r="AH331" s="231"/>
    </row>
    <row r="332" spans="1:34" s="203" customFormat="1" ht="13.5" thickBot="1">
      <c r="A332" s="665">
        <v>1</v>
      </c>
      <c r="B332" s="116" t="s">
        <v>242</v>
      </c>
      <c r="C332" s="193">
        <f t="shared" ref="C332:H332" si="1">SUM(C333:C336)</f>
        <v>24659</v>
      </c>
      <c r="D332" s="193">
        <f t="shared" si="1"/>
        <v>0</v>
      </c>
      <c r="E332" s="193">
        <v>0</v>
      </c>
      <c r="F332" s="193">
        <f t="shared" si="1"/>
        <v>0</v>
      </c>
      <c r="G332" s="193">
        <f>SUM(G333:G336)</f>
        <v>0</v>
      </c>
      <c r="H332" s="193">
        <f t="shared" si="1"/>
        <v>0</v>
      </c>
      <c r="I332" s="207"/>
      <c r="J332" s="231"/>
      <c r="K332" s="231"/>
      <c r="L332" s="231"/>
      <c r="M332" s="231"/>
      <c r="N332" s="231"/>
      <c r="O332" s="231"/>
      <c r="P332" s="231"/>
      <c r="Q332" s="231"/>
      <c r="R332" s="231"/>
      <c r="S332" s="231"/>
      <c r="T332" s="231"/>
      <c r="U332" s="231"/>
      <c r="V332" s="231"/>
      <c r="W332" s="231"/>
      <c r="X332" s="231"/>
      <c r="Y332" s="231"/>
      <c r="Z332" s="231"/>
      <c r="AA332" s="231"/>
      <c r="AB332" s="231"/>
      <c r="AC332" s="231"/>
      <c r="AD332" s="231"/>
      <c r="AE332" s="231"/>
      <c r="AF332" s="231"/>
      <c r="AG332" s="231"/>
      <c r="AH332" s="231"/>
    </row>
    <row r="333" spans="1:34" s="203" customFormat="1">
      <c r="A333" s="665">
        <v>2</v>
      </c>
      <c r="B333" s="47" t="s">
        <v>243</v>
      </c>
      <c r="C333" s="169">
        <v>8985</v>
      </c>
      <c r="D333" s="169"/>
      <c r="E333" s="169"/>
      <c r="F333" s="169"/>
      <c r="G333" s="169"/>
      <c r="H333" s="169"/>
      <c r="I333" s="207"/>
      <c r="J333" s="231"/>
      <c r="K333" s="231"/>
      <c r="L333" s="231"/>
      <c r="M333" s="231"/>
      <c r="N333" s="231"/>
      <c r="O333" s="231"/>
      <c r="P333" s="231"/>
      <c r="Q333" s="231"/>
      <c r="R333" s="231"/>
      <c r="S333" s="231"/>
      <c r="T333" s="231"/>
      <c r="U333" s="231"/>
      <c r="V333" s="231"/>
      <c r="W333" s="231"/>
      <c r="X333" s="231"/>
      <c r="Y333" s="231"/>
      <c r="Z333" s="231"/>
      <c r="AA333" s="231"/>
      <c r="AB333" s="231"/>
      <c r="AC333" s="231"/>
      <c r="AD333" s="231"/>
      <c r="AE333" s="231"/>
      <c r="AF333" s="231"/>
      <c r="AG333" s="231"/>
      <c r="AH333" s="231"/>
    </row>
    <row r="334" spans="1:34" s="203" customFormat="1">
      <c r="A334" s="665">
        <v>3</v>
      </c>
      <c r="B334" s="47" t="s">
        <v>244</v>
      </c>
      <c r="C334" s="99">
        <v>11088</v>
      </c>
      <c r="D334" s="99"/>
      <c r="E334" s="99"/>
      <c r="F334" s="99"/>
      <c r="G334" s="99"/>
      <c r="H334" s="99"/>
      <c r="I334" s="207"/>
      <c r="J334" s="231"/>
      <c r="K334" s="231"/>
      <c r="L334" s="231"/>
      <c r="M334" s="231"/>
      <c r="N334" s="231"/>
      <c r="O334" s="231"/>
      <c r="P334" s="231"/>
      <c r="Q334" s="231"/>
      <c r="R334" s="231"/>
      <c r="S334" s="231"/>
      <c r="T334" s="231"/>
      <c r="U334" s="231"/>
      <c r="V334" s="231"/>
      <c r="W334" s="231"/>
      <c r="X334" s="231"/>
      <c r="Y334" s="231"/>
      <c r="Z334" s="231"/>
      <c r="AA334" s="231"/>
      <c r="AB334" s="231"/>
      <c r="AC334" s="231"/>
      <c r="AD334" s="231"/>
      <c r="AE334" s="231"/>
      <c r="AF334" s="231"/>
      <c r="AG334" s="231"/>
      <c r="AH334" s="231"/>
    </row>
    <row r="335" spans="1:34" s="203" customFormat="1">
      <c r="A335" s="665">
        <v>4</v>
      </c>
      <c r="B335" s="47" t="s">
        <v>245</v>
      </c>
      <c r="C335" s="99">
        <v>4586</v>
      </c>
      <c r="D335" s="99"/>
      <c r="E335" s="99"/>
      <c r="F335" s="99"/>
      <c r="G335" s="99"/>
      <c r="H335" s="99"/>
      <c r="I335" s="207"/>
      <c r="J335" s="231"/>
      <c r="K335" s="231"/>
      <c r="L335" s="231"/>
      <c r="M335" s="231"/>
      <c r="N335" s="231"/>
      <c r="O335" s="231"/>
      <c r="P335" s="231"/>
      <c r="Q335" s="231"/>
      <c r="R335" s="231"/>
      <c r="S335" s="231"/>
      <c r="T335" s="231"/>
      <c r="U335" s="231"/>
      <c r="V335" s="231"/>
      <c r="W335" s="231"/>
      <c r="X335" s="231"/>
      <c r="Y335" s="231"/>
      <c r="Z335" s="231"/>
      <c r="AA335" s="231"/>
      <c r="AB335" s="231"/>
      <c r="AC335" s="231"/>
      <c r="AD335" s="231"/>
      <c r="AE335" s="231"/>
      <c r="AF335" s="231"/>
      <c r="AG335" s="231"/>
      <c r="AH335" s="231"/>
    </row>
    <row r="336" spans="1:34" s="203" customFormat="1">
      <c r="A336" s="666">
        <v>5</v>
      </c>
      <c r="B336" s="54" t="s">
        <v>246</v>
      </c>
      <c r="C336" s="100"/>
      <c r="D336" s="100"/>
      <c r="E336" s="100"/>
      <c r="F336" s="100"/>
      <c r="G336" s="100"/>
      <c r="H336" s="100"/>
      <c r="I336" s="207"/>
      <c r="J336" s="231"/>
      <c r="K336" s="231"/>
      <c r="L336" s="231"/>
      <c r="M336" s="231"/>
      <c r="N336" s="231"/>
      <c r="O336" s="231"/>
      <c r="P336" s="231"/>
      <c r="Q336" s="231"/>
      <c r="R336" s="231"/>
      <c r="S336" s="231"/>
      <c r="T336" s="231"/>
      <c r="U336" s="231"/>
      <c r="V336" s="231"/>
      <c r="W336" s="231"/>
      <c r="X336" s="231"/>
      <c r="Y336" s="231"/>
      <c r="Z336" s="231"/>
      <c r="AA336" s="231"/>
      <c r="AB336" s="231"/>
      <c r="AC336" s="231"/>
      <c r="AD336" s="231"/>
      <c r="AE336" s="231"/>
      <c r="AF336" s="231"/>
      <c r="AG336" s="231"/>
      <c r="AH336" s="231"/>
    </row>
    <row r="337" spans="1:34" s="203" customFormat="1">
      <c r="A337" s="23"/>
      <c r="B337" s="207"/>
      <c r="C337" s="207"/>
      <c r="D337" s="207"/>
      <c r="E337" s="207"/>
      <c r="F337" s="207"/>
      <c r="G337" s="207"/>
      <c r="H337" s="21"/>
      <c r="I337" s="21"/>
      <c r="J337" s="231"/>
      <c r="K337" s="231"/>
      <c r="L337" s="231"/>
      <c r="M337" s="231"/>
      <c r="N337" s="231"/>
      <c r="O337" s="231"/>
      <c r="P337" s="231"/>
      <c r="Q337" s="231"/>
      <c r="R337" s="231"/>
      <c r="S337" s="231"/>
      <c r="T337" s="231"/>
      <c r="U337" s="231"/>
      <c r="V337" s="231"/>
      <c r="W337" s="231"/>
      <c r="X337" s="231"/>
      <c r="Y337" s="231"/>
      <c r="Z337" s="231"/>
      <c r="AA337" s="231"/>
      <c r="AB337" s="231"/>
      <c r="AC337" s="231"/>
      <c r="AD337" s="231"/>
      <c r="AE337" s="231"/>
      <c r="AF337" s="231"/>
      <c r="AG337" s="231"/>
      <c r="AH337" s="231"/>
    </row>
    <row r="338" spans="1:34" s="203" customFormat="1" ht="12.75" customHeight="1">
      <c r="A338" s="23"/>
      <c r="B338" s="207"/>
      <c r="C338" s="207"/>
      <c r="D338" s="207"/>
      <c r="E338" s="207"/>
      <c r="F338" s="207"/>
      <c r="G338" s="207"/>
      <c r="H338" s="21"/>
      <c r="I338" s="21"/>
      <c r="J338" s="231"/>
      <c r="K338" s="231"/>
      <c r="L338" s="231"/>
      <c r="M338" s="231"/>
      <c r="N338" s="231"/>
      <c r="O338" s="231"/>
      <c r="P338" s="231"/>
      <c r="Q338" s="231"/>
      <c r="R338" s="231"/>
      <c r="S338" s="231"/>
      <c r="T338" s="231"/>
      <c r="U338" s="231"/>
      <c r="V338" s="231"/>
      <c r="W338" s="231"/>
      <c r="X338" s="231"/>
      <c r="Y338" s="231"/>
      <c r="Z338" s="231"/>
      <c r="AA338" s="231"/>
      <c r="AB338" s="231"/>
      <c r="AC338" s="231"/>
      <c r="AD338" s="231"/>
      <c r="AE338" s="231"/>
      <c r="AF338" s="231"/>
      <c r="AG338" s="231"/>
      <c r="AH338" s="231"/>
    </row>
    <row r="339" spans="1:34" s="203" customFormat="1">
      <c r="A339" s="23"/>
      <c r="B339" s="207"/>
      <c r="C339" s="207"/>
      <c r="D339" s="207"/>
      <c r="E339" s="207"/>
      <c r="F339" s="207"/>
      <c r="G339" s="207"/>
      <c r="H339" s="21"/>
      <c r="I339" s="21"/>
      <c r="J339" s="231"/>
      <c r="K339" s="231"/>
      <c r="L339" s="231"/>
      <c r="M339" s="231"/>
      <c r="N339" s="231"/>
      <c r="O339" s="231"/>
      <c r="P339" s="231"/>
      <c r="Q339" s="231"/>
      <c r="R339" s="231"/>
      <c r="S339" s="231"/>
      <c r="T339" s="231"/>
      <c r="U339" s="231"/>
      <c r="V339" s="231"/>
      <c r="W339" s="231"/>
      <c r="X339" s="231"/>
      <c r="Y339" s="231"/>
      <c r="Z339" s="231"/>
      <c r="AA339" s="231"/>
      <c r="AB339" s="231"/>
      <c r="AC339" s="231"/>
      <c r="AD339" s="231"/>
      <c r="AE339" s="231"/>
      <c r="AF339" s="231"/>
      <c r="AG339" s="231"/>
      <c r="AH339" s="231"/>
    </row>
    <row r="340" spans="1:34" s="203" customFormat="1">
      <c r="A340" s="23"/>
      <c r="B340" s="207"/>
      <c r="C340" s="207"/>
      <c r="D340" s="207"/>
      <c r="E340" s="207"/>
      <c r="F340" s="207"/>
      <c r="G340" s="207"/>
      <c r="H340" s="131" t="s">
        <v>27</v>
      </c>
      <c r="I340" s="21"/>
      <c r="J340" s="231"/>
      <c r="K340" s="231"/>
      <c r="L340" s="231"/>
      <c r="M340" s="231"/>
      <c r="N340" s="231"/>
      <c r="O340" s="231"/>
      <c r="P340" s="231"/>
      <c r="Q340" s="231"/>
      <c r="R340" s="231"/>
      <c r="S340" s="231"/>
      <c r="T340" s="231"/>
      <c r="U340" s="231"/>
      <c r="V340" s="231"/>
      <c r="W340" s="231"/>
      <c r="X340" s="231"/>
      <c r="Y340" s="231"/>
      <c r="Z340" s="231"/>
      <c r="AA340" s="231"/>
      <c r="AB340" s="231"/>
      <c r="AC340" s="231"/>
      <c r="AD340" s="231"/>
      <c r="AE340" s="231"/>
      <c r="AF340" s="231"/>
      <c r="AG340" s="231"/>
      <c r="AH340" s="231"/>
    </row>
    <row r="341" spans="1:34" s="203" customFormat="1">
      <c r="A341" s="197"/>
      <c r="B341" s="69"/>
      <c r="C341" s="69"/>
      <c r="D341" s="69"/>
      <c r="E341" s="856" t="s">
        <v>377</v>
      </c>
      <c r="F341" s="853" t="s">
        <v>402</v>
      </c>
      <c r="G341" s="207"/>
      <c r="H341" s="856" t="s">
        <v>403</v>
      </c>
      <c r="I341" s="21"/>
      <c r="J341" s="231"/>
      <c r="K341" s="231"/>
      <c r="L341" s="231"/>
      <c r="M341" s="231"/>
      <c r="N341" s="231"/>
      <c r="O341" s="231"/>
      <c r="P341" s="231"/>
      <c r="Q341" s="231"/>
      <c r="R341" s="231"/>
      <c r="S341" s="231"/>
      <c r="T341" s="231"/>
      <c r="U341" s="231"/>
      <c r="V341" s="231"/>
      <c r="W341" s="231"/>
      <c r="X341" s="231"/>
      <c r="Y341" s="231"/>
      <c r="Z341" s="231"/>
      <c r="AA341" s="231"/>
      <c r="AB341" s="231"/>
      <c r="AC341" s="231"/>
      <c r="AD341" s="231"/>
      <c r="AE341" s="231"/>
      <c r="AF341" s="231"/>
      <c r="AG341" s="231"/>
      <c r="AH341" s="231"/>
    </row>
    <row r="342" spans="1:34" s="203" customFormat="1">
      <c r="A342" s="144" t="s">
        <v>261</v>
      </c>
      <c r="B342" s="116"/>
      <c r="C342" s="116"/>
      <c r="D342" s="116"/>
      <c r="E342" s="859"/>
      <c r="F342" s="854"/>
      <c r="G342" s="207"/>
      <c r="H342" s="857"/>
      <c r="I342" s="21"/>
      <c r="J342" s="231"/>
      <c r="K342" s="231"/>
      <c r="L342" s="231"/>
      <c r="M342" s="231"/>
      <c r="N342" s="231"/>
      <c r="O342" s="231"/>
      <c r="P342" s="231"/>
      <c r="Q342" s="231"/>
      <c r="R342" s="231"/>
      <c r="S342" s="231"/>
      <c r="T342" s="231"/>
      <c r="U342" s="231"/>
      <c r="V342" s="231"/>
      <c r="W342" s="231"/>
      <c r="X342" s="231"/>
      <c r="Y342" s="231"/>
      <c r="Z342" s="231"/>
      <c r="AA342" s="231"/>
      <c r="AB342" s="231"/>
      <c r="AC342" s="231"/>
      <c r="AD342" s="231"/>
      <c r="AE342" s="231"/>
      <c r="AF342" s="231"/>
      <c r="AG342" s="231"/>
      <c r="AH342" s="231"/>
    </row>
    <row r="343" spans="1:34" s="203" customFormat="1">
      <c r="A343" s="119"/>
      <c r="B343" s="116"/>
      <c r="C343" s="116"/>
      <c r="D343" s="116"/>
      <c r="E343" s="859"/>
      <c r="F343" s="854"/>
      <c r="G343" s="207"/>
      <c r="H343" s="857"/>
      <c r="I343" s="21"/>
      <c r="J343" s="231"/>
      <c r="K343" s="231"/>
      <c r="L343" s="231"/>
      <c r="M343" s="231"/>
      <c r="N343" s="231"/>
      <c r="O343" s="231"/>
      <c r="P343" s="231"/>
      <c r="Q343" s="231"/>
      <c r="R343" s="231"/>
      <c r="S343" s="231"/>
      <c r="T343" s="231"/>
      <c r="U343" s="231"/>
      <c r="V343" s="231"/>
      <c r="W343" s="231"/>
      <c r="X343" s="231"/>
      <c r="Y343" s="231"/>
      <c r="Z343" s="231"/>
      <c r="AA343" s="231"/>
      <c r="AB343" s="231"/>
      <c r="AC343" s="231"/>
      <c r="AD343" s="231"/>
      <c r="AE343" s="231"/>
      <c r="AF343" s="231"/>
      <c r="AG343" s="231"/>
      <c r="AH343" s="231"/>
    </row>
    <row r="344" spans="1:34" s="203" customFormat="1">
      <c r="A344" s="198" t="s">
        <v>262</v>
      </c>
      <c r="B344" s="116"/>
      <c r="C344" s="116"/>
      <c r="D344" s="116"/>
      <c r="E344" s="859"/>
      <c r="F344" s="854"/>
      <c r="G344" s="207"/>
      <c r="H344" s="857"/>
      <c r="I344" s="21"/>
      <c r="J344" s="231"/>
      <c r="K344" s="231"/>
      <c r="L344" s="231"/>
      <c r="M344" s="231"/>
      <c r="N344" s="231"/>
      <c r="O344" s="231"/>
      <c r="P344" s="231"/>
      <c r="Q344" s="231"/>
      <c r="R344" s="231"/>
      <c r="S344" s="231"/>
      <c r="T344" s="231"/>
      <c r="U344" s="231"/>
      <c r="V344" s="231"/>
      <c r="W344" s="231"/>
      <c r="X344" s="231"/>
      <c r="Y344" s="231"/>
      <c r="Z344" s="231"/>
      <c r="AA344" s="231"/>
      <c r="AB344" s="231"/>
      <c r="AC344" s="231"/>
      <c r="AD344" s="231"/>
      <c r="AE344" s="231"/>
      <c r="AF344" s="231"/>
      <c r="AG344" s="231"/>
      <c r="AH344" s="231"/>
    </row>
    <row r="345" spans="1:34" s="203" customFormat="1">
      <c r="A345" s="198" t="s">
        <v>330</v>
      </c>
      <c r="B345" s="116"/>
      <c r="C345" s="116"/>
      <c r="D345" s="116"/>
      <c r="E345" s="860"/>
      <c r="F345" s="855"/>
      <c r="G345" s="207"/>
      <c r="H345" s="858"/>
      <c r="I345" s="21"/>
      <c r="J345" s="231"/>
      <c r="K345" s="231"/>
      <c r="L345" s="231"/>
      <c r="M345" s="231"/>
      <c r="N345" s="231"/>
      <c r="O345" s="231"/>
      <c r="P345" s="231"/>
      <c r="Q345" s="231"/>
      <c r="R345" s="231"/>
      <c r="S345" s="231"/>
      <c r="T345" s="231"/>
      <c r="U345" s="231"/>
      <c r="V345" s="231"/>
      <c r="W345" s="231"/>
      <c r="X345" s="231"/>
      <c r="Y345" s="231"/>
      <c r="Z345" s="231"/>
      <c r="AA345" s="231"/>
      <c r="AB345" s="231"/>
      <c r="AC345" s="231"/>
      <c r="AD345" s="231"/>
      <c r="AE345" s="231"/>
      <c r="AF345" s="231"/>
      <c r="AG345" s="231"/>
      <c r="AH345" s="231"/>
    </row>
    <row r="346" spans="1:34" s="203" customFormat="1">
      <c r="A346" s="119"/>
      <c r="B346" s="47"/>
      <c r="C346" s="116"/>
      <c r="D346" s="116"/>
      <c r="E346" s="178"/>
      <c r="F346" s="146"/>
      <c r="G346" s="23"/>
      <c r="H346" s="264"/>
      <c r="I346" s="21"/>
      <c r="J346" s="231"/>
      <c r="K346" s="231"/>
      <c r="L346" s="231"/>
      <c r="M346" s="231"/>
      <c r="N346" s="231"/>
      <c r="O346" s="231"/>
      <c r="P346" s="231"/>
      <c r="Q346" s="231"/>
      <c r="R346" s="231"/>
      <c r="S346" s="231"/>
      <c r="T346" s="231"/>
      <c r="U346" s="231"/>
      <c r="V346" s="231"/>
      <c r="W346" s="231"/>
      <c r="X346" s="231"/>
      <c r="Y346" s="231"/>
      <c r="Z346" s="231"/>
      <c r="AA346" s="231"/>
      <c r="AB346" s="231"/>
      <c r="AC346" s="231"/>
      <c r="AD346" s="231"/>
      <c r="AE346" s="231"/>
      <c r="AF346" s="231"/>
      <c r="AG346" s="231"/>
      <c r="AH346" s="231"/>
    </row>
    <row r="347" spans="1:34" s="203" customFormat="1">
      <c r="A347" s="665">
        <v>1</v>
      </c>
      <c r="B347" s="47" t="s">
        <v>263</v>
      </c>
      <c r="C347" s="116"/>
      <c r="D347" s="116"/>
      <c r="E347" s="354">
        <v>12566</v>
      </c>
      <c r="F347" s="265">
        <v>12366</v>
      </c>
      <c r="G347" s="43"/>
      <c r="H347" s="126">
        <v>12572</v>
      </c>
      <c r="I347" s="86"/>
      <c r="J347" s="231"/>
      <c r="K347" s="231"/>
      <c r="L347" s="231"/>
      <c r="M347" s="231"/>
      <c r="N347" s="231"/>
      <c r="O347" s="231"/>
      <c r="P347" s="231"/>
      <c r="Q347" s="231"/>
      <c r="R347" s="231"/>
      <c r="S347" s="231"/>
      <c r="T347" s="231"/>
      <c r="U347" s="231"/>
      <c r="V347" s="231"/>
      <c r="W347" s="231"/>
      <c r="X347" s="231"/>
      <c r="Y347" s="231"/>
      <c r="Z347" s="231"/>
      <c r="AA347" s="231"/>
      <c r="AB347" s="231"/>
      <c r="AC347" s="231"/>
      <c r="AD347" s="231"/>
      <c r="AE347" s="231"/>
      <c r="AF347" s="231"/>
      <c r="AG347" s="231"/>
      <c r="AH347" s="231"/>
    </row>
    <row r="348" spans="1:34" s="203" customFormat="1">
      <c r="A348" s="665"/>
      <c r="B348" s="47"/>
      <c r="C348" s="116"/>
      <c r="D348" s="116"/>
      <c r="E348" s="355"/>
      <c r="F348" s="188"/>
      <c r="G348" s="43"/>
      <c r="H348" s="188"/>
      <c r="I348" s="86"/>
      <c r="J348" s="231"/>
      <c r="K348" s="231"/>
      <c r="L348" s="231"/>
      <c r="M348" s="231"/>
      <c r="N348" s="231"/>
      <c r="O348" s="231"/>
      <c r="P348" s="231"/>
      <c r="Q348" s="231"/>
      <c r="R348" s="231"/>
      <c r="S348" s="231"/>
      <c r="T348" s="231"/>
      <c r="U348" s="231"/>
      <c r="V348" s="231"/>
      <c r="W348" s="231"/>
      <c r="X348" s="231"/>
      <c r="Y348" s="231"/>
      <c r="Z348" s="231"/>
      <c r="AA348" s="231"/>
      <c r="AB348" s="231"/>
      <c r="AC348" s="231"/>
      <c r="AD348" s="231"/>
      <c r="AE348" s="231"/>
      <c r="AF348" s="231"/>
      <c r="AG348" s="231"/>
      <c r="AH348" s="231"/>
    </row>
    <row r="349" spans="1:34" s="203" customFormat="1">
      <c r="A349" s="108" t="s">
        <v>378</v>
      </c>
      <c r="B349" s="47"/>
      <c r="C349" s="116"/>
      <c r="D349" s="116"/>
      <c r="E349" s="355"/>
      <c r="F349" s="188"/>
      <c r="G349" s="43"/>
      <c r="H349" s="188"/>
      <c r="I349" s="86"/>
      <c r="J349" s="231"/>
      <c r="K349" s="231"/>
      <c r="L349" s="231"/>
      <c r="M349" s="231"/>
      <c r="N349" s="231"/>
      <c r="O349" s="231"/>
      <c r="P349" s="231"/>
      <c r="Q349" s="231"/>
      <c r="R349" s="231"/>
      <c r="S349" s="231"/>
      <c r="T349" s="231"/>
      <c r="U349" s="231"/>
      <c r="V349" s="231"/>
      <c r="W349" s="231"/>
      <c r="X349" s="231"/>
      <c r="Y349" s="231"/>
      <c r="Z349" s="231"/>
      <c r="AA349" s="231"/>
      <c r="AB349" s="231"/>
      <c r="AC349" s="231"/>
      <c r="AD349" s="231"/>
      <c r="AE349" s="231"/>
      <c r="AF349" s="231"/>
      <c r="AG349" s="231"/>
      <c r="AH349" s="231"/>
    </row>
    <row r="350" spans="1:34" s="203" customFormat="1">
      <c r="A350" s="665"/>
      <c r="B350" s="47"/>
      <c r="C350" s="116"/>
      <c r="D350" s="116"/>
      <c r="E350" s="355"/>
      <c r="F350" s="188"/>
      <c r="G350" s="43"/>
      <c r="H350" s="188"/>
      <c r="I350" s="86"/>
      <c r="J350" s="231"/>
      <c r="K350" s="231"/>
      <c r="L350" s="231"/>
      <c r="M350" s="231"/>
      <c r="N350" s="231"/>
      <c r="O350" s="231"/>
      <c r="P350" s="231"/>
      <c r="Q350" s="231"/>
      <c r="R350" s="231"/>
      <c r="S350" s="231"/>
      <c r="T350" s="231"/>
      <c r="U350" s="231"/>
      <c r="V350" s="231"/>
      <c r="W350" s="231"/>
      <c r="X350" s="231"/>
      <c r="Y350" s="231"/>
      <c r="Z350" s="231"/>
      <c r="AA350" s="231"/>
      <c r="AB350" s="231"/>
      <c r="AC350" s="231"/>
      <c r="AD350" s="231"/>
      <c r="AE350" s="231"/>
      <c r="AF350" s="231"/>
      <c r="AG350" s="231"/>
      <c r="AH350" s="231"/>
    </row>
    <row r="351" spans="1:34" s="203" customFormat="1">
      <c r="A351" s="198" t="s">
        <v>379</v>
      </c>
      <c r="B351" s="47"/>
      <c r="C351" s="116"/>
      <c r="D351" s="116"/>
      <c r="E351" s="355"/>
      <c r="F351" s="188"/>
      <c r="G351" s="43"/>
      <c r="H351" s="188"/>
      <c r="I351" s="86"/>
      <c r="J351" s="231"/>
      <c r="K351" s="231"/>
      <c r="L351" s="231"/>
      <c r="M351" s="231"/>
      <c r="N351" s="231"/>
      <c r="O351" s="231"/>
      <c r="P351" s="231"/>
      <c r="Q351" s="231"/>
      <c r="R351" s="231"/>
      <c r="S351" s="231"/>
      <c r="T351" s="231"/>
      <c r="U351" s="231"/>
      <c r="V351" s="231"/>
      <c r="W351" s="231"/>
      <c r="X351" s="231"/>
      <c r="Y351" s="231"/>
      <c r="Z351" s="231"/>
      <c r="AA351" s="231"/>
      <c r="AB351" s="231"/>
      <c r="AC351" s="231"/>
      <c r="AD351" s="231"/>
      <c r="AE351" s="231"/>
      <c r="AF351" s="231"/>
      <c r="AG351" s="231"/>
      <c r="AH351" s="231"/>
    </row>
    <row r="352" spans="1:34" s="203" customFormat="1">
      <c r="A352" s="665"/>
      <c r="B352" s="47"/>
      <c r="C352" s="116"/>
      <c r="D352" s="116"/>
      <c r="E352" s="355"/>
      <c r="F352" s="188"/>
      <c r="G352" s="43"/>
      <c r="H352" s="188"/>
      <c r="I352" s="86"/>
      <c r="J352" s="231"/>
      <c r="K352" s="231"/>
      <c r="L352" s="231"/>
      <c r="M352" s="231"/>
      <c r="N352" s="231"/>
      <c r="O352" s="231"/>
      <c r="P352" s="231"/>
      <c r="Q352" s="231"/>
      <c r="R352" s="231"/>
      <c r="S352" s="231"/>
      <c r="T352" s="231"/>
      <c r="U352" s="231"/>
      <c r="V352" s="231"/>
      <c r="W352" s="231"/>
      <c r="X352" s="231"/>
      <c r="Y352" s="231"/>
      <c r="Z352" s="231"/>
      <c r="AA352" s="231"/>
      <c r="AB352" s="231"/>
      <c r="AC352" s="231"/>
      <c r="AD352" s="231"/>
      <c r="AE352" s="231"/>
      <c r="AF352" s="231"/>
      <c r="AG352" s="231"/>
      <c r="AH352" s="231"/>
    </row>
    <row r="353" spans="1:34" s="203" customFormat="1">
      <c r="A353" s="665">
        <v>2</v>
      </c>
      <c r="B353" s="47" t="s">
        <v>52</v>
      </c>
      <c r="C353" s="116"/>
      <c r="D353" s="116"/>
      <c r="E353" s="74">
        <v>0</v>
      </c>
      <c r="F353" s="265"/>
      <c r="G353" s="43"/>
      <c r="H353" s="126"/>
      <c r="I353" s="86"/>
      <c r="J353" s="231"/>
      <c r="K353" s="231"/>
      <c r="L353" s="231"/>
      <c r="M353" s="231"/>
      <c r="N353" s="231"/>
      <c r="O353" s="231"/>
      <c r="P353" s="231"/>
      <c r="Q353" s="231"/>
      <c r="R353" s="231"/>
      <c r="S353" s="231"/>
      <c r="T353" s="231"/>
      <c r="U353" s="231"/>
      <c r="V353" s="231"/>
      <c r="W353" s="231"/>
      <c r="X353" s="231"/>
      <c r="Y353" s="231"/>
      <c r="Z353" s="231"/>
      <c r="AA353" s="231"/>
      <c r="AB353" s="231"/>
      <c r="AC353" s="231"/>
      <c r="AD353" s="231"/>
      <c r="AE353" s="231"/>
      <c r="AF353" s="231"/>
      <c r="AG353" s="231"/>
      <c r="AH353" s="231"/>
    </row>
    <row r="354" spans="1:34" s="203" customFormat="1">
      <c r="A354" s="665">
        <v>3</v>
      </c>
      <c r="B354" s="47" t="s">
        <v>53</v>
      </c>
      <c r="C354" s="116"/>
      <c r="D354" s="116"/>
      <c r="E354" s="49">
        <v>0</v>
      </c>
      <c r="F354" s="265"/>
      <c r="G354" s="43"/>
      <c r="H354" s="126"/>
      <c r="I354" s="86"/>
      <c r="J354" s="231"/>
      <c r="K354" s="231"/>
      <c r="L354" s="231"/>
      <c r="M354" s="231"/>
      <c r="N354" s="231"/>
      <c r="O354" s="231"/>
      <c r="P354" s="231"/>
      <c r="Q354" s="231"/>
      <c r="R354" s="231"/>
      <c r="S354" s="231"/>
      <c r="T354" s="231"/>
      <c r="U354" s="231"/>
      <c r="V354" s="231"/>
      <c r="W354" s="231"/>
      <c r="X354" s="231"/>
      <c r="Y354" s="231"/>
      <c r="Z354" s="231"/>
      <c r="AA354" s="231"/>
      <c r="AB354" s="231"/>
      <c r="AC354" s="231"/>
      <c r="AD354" s="231"/>
      <c r="AE354" s="231"/>
      <c r="AF354" s="231"/>
      <c r="AG354" s="231"/>
      <c r="AH354" s="231"/>
    </row>
    <row r="355" spans="1:34" s="203" customFormat="1">
      <c r="A355" s="665">
        <v>4</v>
      </c>
      <c r="B355" s="47" t="s">
        <v>54</v>
      </c>
      <c r="C355" s="116"/>
      <c r="D355" s="116"/>
      <c r="E355" s="49">
        <v>0</v>
      </c>
      <c r="F355" s="265"/>
      <c r="G355" s="43"/>
      <c r="H355" s="126"/>
      <c r="I355" s="86"/>
      <c r="J355" s="231"/>
      <c r="K355" s="231"/>
      <c r="L355" s="231"/>
      <c r="M355" s="231"/>
      <c r="N355" s="231"/>
      <c r="O355" s="231"/>
      <c r="P355" s="231"/>
      <c r="Q355" s="231"/>
      <c r="R355" s="231"/>
      <c r="S355" s="231"/>
      <c r="T355" s="231"/>
      <c r="U355" s="231"/>
      <c r="V355" s="231"/>
      <c r="W355" s="231"/>
      <c r="X355" s="231"/>
      <c r="Y355" s="231"/>
      <c r="Z355" s="231"/>
      <c r="AA355" s="231"/>
      <c r="AB355" s="231"/>
      <c r="AC355" s="231"/>
      <c r="AD355" s="231"/>
      <c r="AE355" s="231"/>
      <c r="AF355" s="231"/>
      <c r="AG355" s="231"/>
      <c r="AH355" s="231"/>
    </row>
    <row r="356" spans="1:34" s="203" customFormat="1">
      <c r="A356" s="665">
        <v>5</v>
      </c>
      <c r="B356" s="47" t="s">
        <v>55</v>
      </c>
      <c r="C356" s="116"/>
      <c r="D356" s="116"/>
      <c r="E356" s="49">
        <v>0</v>
      </c>
      <c r="F356" s="265"/>
      <c r="G356" s="43"/>
      <c r="H356" s="126"/>
      <c r="I356" s="86"/>
      <c r="J356" s="231"/>
      <c r="K356" s="231"/>
      <c r="L356" s="231"/>
      <c r="M356" s="231"/>
      <c r="N356" s="231"/>
      <c r="O356" s="231"/>
      <c r="P356" s="231"/>
      <c r="Q356" s="231"/>
      <c r="R356" s="231"/>
      <c r="S356" s="231"/>
      <c r="T356" s="231"/>
      <c r="U356" s="231"/>
      <c r="V356" s="231"/>
      <c r="W356" s="231"/>
      <c r="X356" s="231"/>
      <c r="Y356" s="231"/>
      <c r="Z356" s="231"/>
      <c r="AA356" s="231"/>
      <c r="AB356" s="231"/>
      <c r="AC356" s="231"/>
      <c r="AD356" s="231"/>
      <c r="AE356" s="231"/>
      <c r="AF356" s="231"/>
      <c r="AG356" s="231"/>
      <c r="AH356" s="231"/>
    </row>
    <row r="357" spans="1:34" s="203" customFormat="1">
      <c r="A357" s="665">
        <v>6</v>
      </c>
      <c r="B357" s="47" t="s">
        <v>56</v>
      </c>
      <c r="C357" s="116"/>
      <c r="D357" s="116"/>
      <c r="E357" s="49">
        <v>0</v>
      </c>
      <c r="F357" s="265"/>
      <c r="G357" s="43"/>
      <c r="H357" s="126"/>
      <c r="I357" s="86"/>
      <c r="J357" s="231"/>
      <c r="K357" s="231"/>
      <c r="L357" s="231"/>
      <c r="M357" s="231"/>
      <c r="N357" s="231"/>
      <c r="O357" s="231"/>
      <c r="P357" s="231"/>
      <c r="Q357" s="231"/>
      <c r="R357" s="231"/>
      <c r="S357" s="231"/>
      <c r="T357" s="231"/>
      <c r="U357" s="231"/>
      <c r="V357" s="231"/>
      <c r="W357" s="231"/>
      <c r="X357" s="231"/>
      <c r="Y357" s="231"/>
      <c r="Z357" s="231"/>
      <c r="AA357" s="231"/>
      <c r="AB357" s="231"/>
      <c r="AC357" s="231"/>
      <c r="AD357" s="231"/>
      <c r="AE357" s="231"/>
      <c r="AF357" s="231"/>
      <c r="AG357" s="231"/>
      <c r="AH357" s="231"/>
    </row>
    <row r="358" spans="1:34" s="203" customFormat="1">
      <c r="A358" s="665">
        <v>7</v>
      </c>
      <c r="B358" s="47" t="s">
        <v>57</v>
      </c>
      <c r="C358" s="116"/>
      <c r="D358" s="116"/>
      <c r="E358" s="49">
        <v>0</v>
      </c>
      <c r="F358" s="265"/>
      <c r="G358" s="43"/>
      <c r="H358" s="126"/>
      <c r="I358" s="86"/>
      <c r="J358" s="231"/>
      <c r="K358" s="231"/>
      <c r="L358" s="231"/>
      <c r="M358" s="231"/>
      <c r="N358" s="231"/>
      <c r="O358" s="231"/>
      <c r="P358" s="231"/>
      <c r="Q358" s="231"/>
      <c r="R358" s="231"/>
      <c r="S358" s="231"/>
      <c r="T358" s="231"/>
      <c r="U358" s="231"/>
      <c r="V358" s="231"/>
      <c r="W358" s="231"/>
      <c r="X358" s="231"/>
      <c r="Y358" s="231"/>
      <c r="Z358" s="231"/>
      <c r="AA358" s="231"/>
      <c r="AB358" s="231"/>
      <c r="AC358" s="231"/>
      <c r="AD358" s="231"/>
      <c r="AE358" s="231"/>
      <c r="AF358" s="231"/>
      <c r="AG358" s="231"/>
      <c r="AH358" s="231"/>
    </row>
    <row r="359" spans="1:34" s="203" customFormat="1">
      <c r="A359" s="665">
        <v>8</v>
      </c>
      <c r="B359" s="47" t="s">
        <v>58</v>
      </c>
      <c r="C359" s="116"/>
      <c r="D359" s="116"/>
      <c r="E359" s="49">
        <v>0</v>
      </c>
      <c r="F359" s="265"/>
      <c r="G359" s="43"/>
      <c r="H359" s="126"/>
      <c r="I359" s="86"/>
      <c r="J359" s="231"/>
      <c r="K359" s="231"/>
      <c r="L359" s="231"/>
      <c r="M359" s="231"/>
      <c r="N359" s="231"/>
      <c r="O359" s="231"/>
      <c r="P359" s="231"/>
      <c r="Q359" s="231"/>
      <c r="R359" s="231"/>
      <c r="S359" s="231"/>
      <c r="T359" s="231"/>
      <c r="U359" s="231"/>
      <c r="V359" s="231"/>
      <c r="W359" s="231"/>
      <c r="X359" s="231"/>
      <c r="Y359" s="231"/>
      <c r="Z359" s="231"/>
      <c r="AA359" s="231"/>
      <c r="AB359" s="231"/>
      <c r="AC359" s="231"/>
      <c r="AD359" s="231"/>
      <c r="AE359" s="231"/>
      <c r="AF359" s="231"/>
      <c r="AG359" s="231"/>
      <c r="AH359" s="231"/>
    </row>
    <row r="360" spans="1:34" s="203" customFormat="1">
      <c r="A360" s="665">
        <v>9</v>
      </c>
      <c r="B360" s="47" t="s">
        <v>59</v>
      </c>
      <c r="C360" s="116"/>
      <c r="D360" s="116"/>
      <c r="E360" s="49">
        <v>0</v>
      </c>
      <c r="F360" s="265"/>
      <c r="G360" s="43"/>
      <c r="H360" s="126"/>
      <c r="I360" s="86"/>
      <c r="J360" s="231"/>
      <c r="K360" s="231"/>
      <c r="L360" s="231"/>
      <c r="M360" s="231"/>
      <c r="N360" s="231"/>
      <c r="O360" s="231"/>
      <c r="P360" s="231"/>
      <c r="Q360" s="231"/>
      <c r="R360" s="231"/>
      <c r="S360" s="231"/>
      <c r="T360" s="231"/>
      <c r="U360" s="231"/>
      <c r="V360" s="231"/>
      <c r="W360" s="231"/>
      <c r="X360" s="231"/>
      <c r="Y360" s="231"/>
      <c r="Z360" s="231"/>
      <c r="AA360" s="231"/>
      <c r="AB360" s="231"/>
      <c r="AC360" s="231"/>
      <c r="AD360" s="231"/>
      <c r="AE360" s="231"/>
      <c r="AF360" s="231"/>
      <c r="AG360" s="231"/>
      <c r="AH360" s="231"/>
    </row>
    <row r="361" spans="1:34" s="203" customFormat="1">
      <c r="A361" s="665">
        <v>10</v>
      </c>
      <c r="B361" s="47" t="s">
        <v>60</v>
      </c>
      <c r="C361" s="116"/>
      <c r="D361" s="116"/>
      <c r="E361" s="49">
        <v>0</v>
      </c>
      <c r="F361" s="265"/>
      <c r="G361" s="43"/>
      <c r="H361" s="126"/>
      <c r="I361" s="86"/>
      <c r="J361" s="231"/>
      <c r="K361" s="231"/>
      <c r="L361" s="231"/>
      <c r="M361" s="231"/>
      <c r="N361" s="231"/>
      <c r="O361" s="231"/>
      <c r="P361" s="231"/>
      <c r="Q361" s="231"/>
      <c r="R361" s="231"/>
      <c r="S361" s="231"/>
      <c r="T361" s="231"/>
      <c r="U361" s="231"/>
      <c r="V361" s="231"/>
      <c r="W361" s="231"/>
      <c r="X361" s="231"/>
      <c r="Y361" s="231"/>
      <c r="Z361" s="231"/>
      <c r="AA361" s="231"/>
      <c r="AB361" s="231"/>
      <c r="AC361" s="231"/>
      <c r="AD361" s="231"/>
      <c r="AE361" s="231"/>
      <c r="AF361" s="231"/>
      <c r="AG361" s="231"/>
      <c r="AH361" s="231"/>
    </row>
    <row r="362" spans="1:34" s="203" customFormat="1">
      <c r="A362" s="665">
        <v>11</v>
      </c>
      <c r="B362" s="47" t="s">
        <v>61</v>
      </c>
      <c r="C362" s="116"/>
      <c r="D362" s="116"/>
      <c r="E362" s="49">
        <v>0</v>
      </c>
      <c r="F362" s="265"/>
      <c r="G362" s="43"/>
      <c r="H362" s="126"/>
      <c r="I362" s="86"/>
      <c r="J362" s="231"/>
      <c r="K362" s="231"/>
      <c r="L362" s="231"/>
      <c r="M362" s="231"/>
      <c r="N362" s="231"/>
      <c r="O362" s="231"/>
      <c r="P362" s="231"/>
      <c r="Q362" s="231"/>
      <c r="R362" s="231"/>
      <c r="S362" s="231"/>
      <c r="T362" s="231"/>
      <c r="U362" s="231"/>
      <c r="V362" s="231"/>
      <c r="W362" s="231"/>
      <c r="X362" s="231"/>
      <c r="Y362" s="231"/>
      <c r="Z362" s="231"/>
      <c r="AA362" s="231"/>
      <c r="AB362" s="231"/>
      <c r="AC362" s="231"/>
      <c r="AD362" s="231"/>
      <c r="AE362" s="231"/>
      <c r="AF362" s="231"/>
      <c r="AG362" s="231"/>
      <c r="AH362" s="231"/>
    </row>
    <row r="363" spans="1:34" s="203" customFormat="1">
      <c r="A363" s="666">
        <v>12</v>
      </c>
      <c r="B363" s="54" t="s">
        <v>380</v>
      </c>
      <c r="C363" s="94"/>
      <c r="D363" s="94"/>
      <c r="E363" s="135">
        <v>0</v>
      </c>
      <c r="F363" s="61">
        <f>SUM(F353:F362)</f>
        <v>0</v>
      </c>
      <c r="G363" s="43"/>
      <c r="H363" s="61">
        <f>SUM(H353:H362)</f>
        <v>0</v>
      </c>
      <c r="I363" s="86"/>
      <c r="J363" s="231"/>
      <c r="K363" s="231"/>
      <c r="L363" s="231"/>
      <c r="M363" s="231"/>
      <c r="N363" s="231"/>
      <c r="O363" s="231"/>
      <c r="P363" s="231"/>
      <c r="Q363" s="231"/>
      <c r="R363" s="231"/>
      <c r="S363" s="231"/>
      <c r="T363" s="231"/>
      <c r="U363" s="231"/>
      <c r="V363" s="231"/>
      <c r="W363" s="231"/>
      <c r="X363" s="231"/>
      <c r="Y363" s="231"/>
      <c r="Z363" s="231"/>
      <c r="AA363" s="231"/>
      <c r="AB363" s="231"/>
      <c r="AC363" s="231"/>
      <c r="AD363" s="231"/>
      <c r="AE363" s="231"/>
      <c r="AF363" s="231"/>
      <c r="AG363" s="231"/>
      <c r="AH363" s="231"/>
    </row>
    <row r="364" spans="1:34" s="203" customFormat="1">
      <c r="A364" s="199"/>
      <c r="B364" s="15"/>
      <c r="C364" s="15"/>
      <c r="D364" s="15"/>
      <c r="E364" s="15"/>
      <c r="F364" s="15"/>
      <c r="G364" s="15"/>
      <c r="H364" s="15"/>
      <c r="I364" s="86"/>
      <c r="J364" s="231"/>
      <c r="K364" s="231"/>
      <c r="L364" s="231"/>
      <c r="M364" s="231"/>
      <c r="N364" s="231"/>
      <c r="O364" s="231"/>
      <c r="P364" s="231"/>
      <c r="Q364" s="231"/>
      <c r="R364" s="231"/>
      <c r="S364" s="231"/>
      <c r="T364" s="231"/>
      <c r="U364" s="231"/>
      <c r="V364" s="231"/>
      <c r="W364" s="231"/>
      <c r="X364" s="231"/>
      <c r="Y364" s="231"/>
      <c r="Z364" s="231"/>
      <c r="AA364" s="231"/>
      <c r="AB364" s="231"/>
      <c r="AC364" s="231"/>
      <c r="AD364" s="231"/>
      <c r="AE364" s="231"/>
      <c r="AF364" s="231"/>
      <c r="AG364" s="231"/>
      <c r="AH364" s="231"/>
    </row>
    <row r="365" spans="1:34" s="203" customFormat="1">
      <c r="A365" s="199"/>
      <c r="B365" s="15"/>
      <c r="C365" s="15"/>
      <c r="D365" s="15"/>
      <c r="E365" s="15"/>
      <c r="F365" s="15"/>
      <c r="G365" s="15"/>
      <c r="H365" s="86"/>
      <c r="I365" s="86"/>
      <c r="J365" s="231"/>
      <c r="K365" s="231"/>
      <c r="L365" s="231"/>
      <c r="M365" s="231"/>
      <c r="N365" s="231"/>
      <c r="O365" s="231"/>
      <c r="P365" s="231"/>
      <c r="Q365" s="231"/>
      <c r="R365" s="231"/>
      <c r="S365" s="231"/>
      <c r="T365" s="231"/>
      <c r="U365" s="231"/>
      <c r="V365" s="231"/>
      <c r="W365" s="231"/>
      <c r="X365" s="231"/>
      <c r="Y365" s="231"/>
      <c r="Z365" s="231"/>
      <c r="AA365" s="231"/>
      <c r="AB365" s="231"/>
      <c r="AC365" s="231"/>
      <c r="AD365" s="231"/>
      <c r="AE365" s="231"/>
      <c r="AF365" s="231"/>
      <c r="AG365" s="231"/>
      <c r="AH365" s="231"/>
    </row>
    <row r="366" spans="1:34" s="203" customFormat="1">
      <c r="A366" s="199"/>
      <c r="B366" s="15"/>
      <c r="C366" s="15"/>
      <c r="D366" s="15"/>
      <c r="E366" s="15"/>
      <c r="F366" s="15"/>
      <c r="G366" s="15"/>
      <c r="H366" s="86"/>
      <c r="I366" s="86"/>
      <c r="J366" s="231"/>
      <c r="K366" s="231"/>
      <c r="L366" s="231"/>
      <c r="M366" s="231"/>
      <c r="N366" s="231"/>
      <c r="O366" s="231"/>
      <c r="P366" s="231"/>
      <c r="Q366" s="231"/>
      <c r="R366" s="231"/>
      <c r="S366" s="231"/>
      <c r="T366" s="231"/>
      <c r="U366" s="231"/>
      <c r="V366" s="231"/>
      <c r="W366" s="231"/>
      <c r="X366" s="231"/>
      <c r="Y366" s="231"/>
      <c r="Z366" s="231"/>
      <c r="AA366" s="231"/>
      <c r="AB366" s="231"/>
      <c r="AC366" s="231"/>
      <c r="AD366" s="231"/>
      <c r="AE366" s="231"/>
      <c r="AF366" s="231"/>
      <c r="AG366" s="231"/>
      <c r="AH366" s="231"/>
    </row>
    <row r="367" spans="1:34" s="8" customFormat="1"/>
    <row r="368" spans="1:34" s="8" customFormat="1"/>
    <row r="369" s="8" customFormat="1"/>
    <row r="370" s="8" customFormat="1"/>
    <row r="371" s="8" customFormat="1"/>
    <row r="372" s="8" customFormat="1"/>
    <row r="373" s="8" customFormat="1"/>
    <row r="374" s="8" customFormat="1"/>
    <row r="375" s="8" customFormat="1"/>
    <row r="376" s="8" customFormat="1"/>
    <row r="377" s="8" customFormat="1"/>
    <row r="378" s="8" customFormat="1"/>
    <row r="379" s="8" customFormat="1"/>
    <row r="380" s="8" customFormat="1"/>
    <row r="381" s="8" customFormat="1"/>
    <row r="382" s="8" customFormat="1"/>
    <row r="383" s="8" customFormat="1"/>
    <row r="384" s="8" customFormat="1"/>
    <row r="385" spans="1:9" s="8" customFormat="1"/>
    <row r="386" spans="1:9" s="8" customFormat="1"/>
    <row r="387" spans="1:9" s="8" customFormat="1"/>
    <row r="388" spans="1:9" s="8" customFormat="1"/>
    <row r="389" spans="1:9" s="8" customFormat="1"/>
    <row r="390" spans="1:9" s="8" customFormat="1"/>
    <row r="391" spans="1:9" s="8" customFormat="1"/>
    <row r="392" spans="1:9" s="8" customFormat="1"/>
    <row r="393" spans="1:9" s="8" customFormat="1"/>
    <row r="394" spans="1:9" s="8" customFormat="1"/>
    <row r="395" spans="1:9" s="8" customFormat="1"/>
    <row r="396" spans="1:9" s="8" customFormat="1"/>
    <row r="397" spans="1:9" s="8" customFormat="1"/>
    <row r="398" spans="1:9" s="8" customFormat="1"/>
    <row r="399" spans="1:9">
      <c r="A399" s="8"/>
      <c r="B399" s="8"/>
      <c r="C399" s="8"/>
      <c r="D399" s="8"/>
      <c r="E399" s="8"/>
      <c r="F399" s="8"/>
      <c r="G399" s="8"/>
      <c r="H399" s="8"/>
      <c r="I399" s="8"/>
    </row>
    <row r="400" spans="1:9">
      <c r="A400" s="8"/>
      <c r="B400" s="8"/>
      <c r="C400" s="8"/>
      <c r="D400" s="8"/>
      <c r="E400" s="8"/>
      <c r="F400" s="8"/>
      <c r="G400" s="8"/>
      <c r="H400" s="8"/>
      <c r="I400" s="8"/>
    </row>
    <row r="401" spans="1:9">
      <c r="A401" s="8"/>
      <c r="B401" s="8"/>
      <c r="C401" s="8"/>
      <c r="D401" s="8"/>
      <c r="E401" s="8"/>
      <c r="F401" s="8"/>
      <c r="G401" s="8"/>
      <c r="H401" s="8"/>
      <c r="I401" s="8"/>
    </row>
    <row r="402" spans="1:9">
      <c r="A402" s="8"/>
      <c r="B402" s="8"/>
      <c r="C402" s="8"/>
      <c r="D402" s="8"/>
      <c r="E402" s="8"/>
      <c r="F402" s="8"/>
      <c r="G402" s="8"/>
      <c r="H402" s="8"/>
      <c r="I402" s="8"/>
    </row>
    <row r="403" spans="1:9">
      <c r="A403" s="8"/>
      <c r="B403" s="8"/>
      <c r="C403" s="8"/>
      <c r="D403" s="8"/>
      <c r="E403" s="8"/>
      <c r="F403" s="8"/>
      <c r="G403" s="8"/>
      <c r="H403" s="8"/>
      <c r="I403" s="8"/>
    </row>
    <row r="404" spans="1:9">
      <c r="A404" s="8"/>
      <c r="B404" s="8"/>
      <c r="C404" s="8"/>
      <c r="D404" s="8"/>
      <c r="E404" s="8"/>
      <c r="F404" s="8"/>
      <c r="G404" s="8"/>
      <c r="H404" s="8"/>
      <c r="I404" s="8"/>
    </row>
    <row r="405" spans="1:9">
      <c r="A405" s="8"/>
      <c r="B405" s="8"/>
      <c r="C405" s="8"/>
      <c r="D405" s="8"/>
      <c r="E405" s="8"/>
      <c r="F405" s="8"/>
      <c r="G405" s="8"/>
      <c r="H405" s="8"/>
      <c r="I405" s="8"/>
    </row>
    <row r="406" spans="1:9">
      <c r="A406" s="8"/>
      <c r="B406" s="8"/>
      <c r="C406" s="8"/>
      <c r="D406" s="8"/>
      <c r="E406" s="8"/>
      <c r="F406" s="8"/>
      <c r="G406" s="8"/>
      <c r="H406" s="8"/>
      <c r="I406" s="8"/>
    </row>
    <row r="407" spans="1:9">
      <c r="A407" s="8"/>
      <c r="B407" s="8"/>
      <c r="C407" s="8"/>
      <c r="D407" s="8"/>
      <c r="E407" s="8"/>
      <c r="F407" s="8"/>
      <c r="G407" s="8"/>
      <c r="H407" s="8"/>
      <c r="I407" s="8"/>
    </row>
    <row r="408" spans="1:9">
      <c r="A408" s="8"/>
      <c r="B408" s="8"/>
      <c r="C408" s="8"/>
      <c r="D408" s="8"/>
      <c r="E408" s="8"/>
      <c r="F408" s="8"/>
      <c r="G408" s="8"/>
      <c r="H408" s="8"/>
      <c r="I408" s="8"/>
    </row>
    <row r="409" spans="1:9">
      <c r="A409" s="8"/>
      <c r="B409" s="8"/>
      <c r="C409" s="8"/>
      <c r="D409" s="8"/>
      <c r="E409" s="8"/>
      <c r="F409" s="8"/>
      <c r="G409" s="8"/>
      <c r="H409" s="8"/>
      <c r="I409" s="8"/>
    </row>
    <row r="410" spans="1:9">
      <c r="A410" s="8"/>
      <c r="B410" s="8"/>
      <c r="C410" s="8"/>
      <c r="D410" s="8"/>
      <c r="E410" s="8"/>
      <c r="F410" s="8"/>
      <c r="G410" s="8"/>
      <c r="H410" s="8"/>
      <c r="I410" s="8"/>
    </row>
    <row r="411" spans="1:9">
      <c r="A411" s="8"/>
      <c r="B411" s="8"/>
      <c r="C411" s="8"/>
      <c r="D411" s="8"/>
      <c r="E411" s="8"/>
      <c r="F411" s="8"/>
      <c r="G411" s="8"/>
      <c r="H411" s="8"/>
      <c r="I411" s="8"/>
    </row>
    <row r="412" spans="1:9">
      <c r="A412" s="8"/>
      <c r="B412" s="8"/>
      <c r="C412" s="8"/>
      <c r="D412" s="8"/>
      <c r="E412" s="8"/>
      <c r="F412" s="8"/>
      <c r="G412" s="8"/>
      <c r="H412" s="8"/>
      <c r="I412" s="8"/>
    </row>
    <row r="413" spans="1:9">
      <c r="A413" s="8"/>
      <c r="B413" s="8"/>
      <c r="C413" s="8"/>
      <c r="D413" s="8"/>
      <c r="E413" s="8"/>
      <c r="F413" s="8"/>
      <c r="G413" s="8"/>
      <c r="H413" s="8"/>
      <c r="I413" s="8"/>
    </row>
  </sheetData>
  <mergeCells count="59">
    <mergeCell ref="C19:F19"/>
    <mergeCell ref="B3:B4"/>
    <mergeCell ref="C3:D4"/>
    <mergeCell ref="A5:B5"/>
    <mergeCell ref="D6:H6"/>
    <mergeCell ref="A9:I9"/>
    <mergeCell ref="D10:F10"/>
    <mergeCell ref="C14:F14"/>
    <mergeCell ref="C15:F15"/>
    <mergeCell ref="C16:F16"/>
    <mergeCell ref="C17:F17"/>
    <mergeCell ref="C18:F18"/>
    <mergeCell ref="A23:D24"/>
    <mergeCell ref="E23:E24"/>
    <mergeCell ref="F23:F24"/>
    <mergeCell ref="H23:H24"/>
    <mergeCell ref="A25:A27"/>
    <mergeCell ref="B25:D27"/>
    <mergeCell ref="E25:E27"/>
    <mergeCell ref="F25:F27"/>
    <mergeCell ref="H25:H27"/>
    <mergeCell ref="A40:D41"/>
    <mergeCell ref="E40:E41"/>
    <mergeCell ref="F40:F41"/>
    <mergeCell ref="H40:H41"/>
    <mergeCell ref="E66:E70"/>
    <mergeCell ref="F66:F70"/>
    <mergeCell ref="G66:G70"/>
    <mergeCell ref="H66:H70"/>
    <mergeCell ref="I66:I70"/>
    <mergeCell ref="F91:F95"/>
    <mergeCell ref="H91:H95"/>
    <mergeCell ref="E193:E197"/>
    <mergeCell ref="F193:F197"/>
    <mergeCell ref="H193:H197"/>
    <mergeCell ref="E153:E157"/>
    <mergeCell ref="F153:F157"/>
    <mergeCell ref="H153:H157"/>
    <mergeCell ref="E91:E95"/>
    <mergeCell ref="E221:E225"/>
    <mergeCell ref="F221:F225"/>
    <mergeCell ref="H221:H225"/>
    <mergeCell ref="E234:E238"/>
    <mergeCell ref="F234:F238"/>
    <mergeCell ref="H234:H238"/>
    <mergeCell ref="E261:E265"/>
    <mergeCell ref="F261:F265"/>
    <mergeCell ref="H261:H265"/>
    <mergeCell ref="E280:E284"/>
    <mergeCell ref="F280:F284"/>
    <mergeCell ref="H280:H284"/>
    <mergeCell ref="E341:E345"/>
    <mergeCell ref="F341:F345"/>
    <mergeCell ref="H341:H345"/>
    <mergeCell ref="E305:E309"/>
    <mergeCell ref="F305:F309"/>
    <mergeCell ref="H305:H309"/>
    <mergeCell ref="C323:H323"/>
    <mergeCell ref="C330:H330"/>
  </mergeCells>
  <phoneticPr fontId="10" type="noConversion"/>
  <conditionalFormatting sqref="F71:F76 F286:F301 F311:F318 F80:F88 F96:F97 F103:F104 F106 F110:F114 F118:F124 F128:F134 F138:F142 F146:F149 F159:F162 F166:F168 F171:F172 F175:F177 F183:F190 F199:F200 F204:F206 F210:F213 F217:F218 F226:F230 F240:F241 F245:F246 F250:F253 F256 F267:F276 H250">
    <cfRule type="expression" dxfId="32" priority="277" stopIfTrue="1">
      <formula>ISBLANK(F71)</formula>
    </cfRule>
    <cfRule type="expression" dxfId="31" priority="278" stopIfTrue="1">
      <formula>IF(AND(OR(F71-E71&gt;500,F71-E71&lt;-500),OR(#REF!&gt;0.1,#REF!&lt;-0.1)),TRUE,FALSE)</formula>
    </cfRule>
  </conditionalFormatting>
  <dataValidations count="1">
    <dataValidation type="list" errorStyle="information" allowBlank="1" showInputMessage="1" showErrorMessage="1" errorTitle="POBE 2006" error="Please select from the drop-down menu..." prompt="Please select your Authority from the drop-down menu..." sqref="C3:D4">
      <formula1>#REF!</formula1>
    </dataValidation>
  </dataValidations>
  <hyperlinks>
    <hyperlink ref="F7" r:id="rId1" display="lgfstats@scotland.gsi.gov.uk"/>
    <hyperlink ref="D6" r:id="rId2"/>
    <hyperlink ref="D10" r:id="rId3" display="^lgfstats@gov.scot"/>
    <hyperlink ref="B14" location="'POBE 2017'!A28" display="PART 1 - Expenditure"/>
    <hyperlink ref="C19:F19" location="'POBE 2017'!A323" display="Sheet 10. - PUBLIC PRIVATE PARTNERSHIPS/PRIVATE FINANCE INITIATIVES"/>
    <hyperlink ref="B15" location="'POBE 2017'!A40" display="PART 2 - Income and Balances"/>
    <hyperlink ref="B16" location="'POBE 2017'!A66" display="Sheet 1. EDUCATION"/>
    <hyperlink ref="B17" location="'POBE 2017'!A91" display="Sheet 2. SOCIAL WORK"/>
    <hyperlink ref="B18" location="'POBE 2017'!A153" display="Sheet 3. ROADS AND TRANSPORT"/>
    <hyperlink ref="B19" location="'POBE 2017'!A193" display="Sheet 4. ENVIRONMENTAL SERVICES"/>
    <hyperlink ref="C14:F14" location="'POBE 2017'!A221" display="Sheet 5. PLANNING AND DEVELOPMENT SERVICES"/>
    <hyperlink ref="C15:F15" location="'POBE 2017'!A234" display="Sheet 6. CULTURAL AND RELATED SERVICES"/>
    <hyperlink ref="C16:F16" location="'POBE 2017'!A261" display="Sheet 7. HOUSING"/>
    <hyperlink ref="C17:F17" location="'POBE 2017'!A280" display="Sheet 8. CENTRAL SERVICES"/>
    <hyperlink ref="C18:F18" location="'POBE 2017'!A305" display="Sheet 9. OTHER EXPENDITURE"/>
  </hyperlinks>
  <pageMargins left="0.75" right="0.75" top="1" bottom="1" header="0.5" footer="0.5"/>
  <pageSetup paperSize="9" orientation="portrait" r:id="rId4"/>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AF409"/>
  <sheetViews>
    <sheetView topLeftCell="A187" zoomScale="80" zoomScaleNormal="80" workbookViewId="0">
      <selection activeCell="F211" sqref="F211"/>
    </sheetView>
  </sheetViews>
  <sheetFormatPr defaultColWidth="9.140625" defaultRowHeight="12.75"/>
  <cols>
    <col min="1" max="1" width="10.5703125" style="1" customWidth="1"/>
    <col min="2" max="2" width="43" style="1" customWidth="1"/>
    <col min="3" max="3" width="24.5703125" style="1" customWidth="1"/>
    <col min="4" max="4" width="14.7109375" style="1" customWidth="1"/>
    <col min="5" max="5" width="21.5703125" style="1" customWidth="1"/>
    <col min="6" max="6" width="19.140625" style="1" customWidth="1"/>
    <col min="7" max="7" width="17.42578125" style="1" customWidth="1"/>
    <col min="8" max="8" width="19.28515625" style="1" customWidth="1"/>
    <col min="9" max="9" width="17.85546875" style="1" customWidth="1"/>
    <col min="10" max="14" width="9.140625" style="8" customWidth="1"/>
    <col min="15" max="25" width="9.140625" style="8"/>
    <col min="26" max="26" width="0" style="8" hidden="1" customWidth="1"/>
    <col min="27" max="32" width="9.140625" style="8"/>
    <col min="33" max="16384" width="9.140625" style="1"/>
  </cols>
  <sheetData>
    <row r="1" spans="1:32" s="203" customFormat="1" ht="51" customHeight="1">
      <c r="A1" s="3" t="s">
        <v>410</v>
      </c>
      <c r="B1" s="4"/>
      <c r="C1" s="224"/>
      <c r="D1" s="224"/>
      <c r="E1" s="224"/>
      <c r="F1" s="224"/>
      <c r="G1" s="225"/>
      <c r="H1" s="226"/>
      <c r="I1" s="227"/>
      <c r="J1" s="231"/>
      <c r="K1" s="231"/>
      <c r="L1" s="231"/>
      <c r="M1" s="231"/>
      <c r="N1" s="231"/>
      <c r="O1" s="231"/>
      <c r="P1" s="231"/>
      <c r="Q1" s="231"/>
      <c r="R1" s="231"/>
      <c r="S1" s="231"/>
      <c r="T1" s="231"/>
      <c r="U1" s="231"/>
      <c r="V1" s="231"/>
      <c r="W1" s="231"/>
      <c r="X1" s="231"/>
      <c r="Y1" s="231"/>
      <c r="Z1" s="231"/>
      <c r="AA1" s="231"/>
      <c r="AB1" s="231"/>
      <c r="AC1" s="231"/>
      <c r="AD1" s="231"/>
      <c r="AE1" s="231"/>
      <c r="AF1" s="231"/>
    </row>
    <row r="2" spans="1:32" s="203" customFormat="1" ht="35.25">
      <c r="A2" s="9"/>
      <c r="B2" s="10"/>
      <c r="C2" s="232"/>
      <c r="D2" s="232"/>
      <c r="E2" s="232"/>
      <c r="F2" s="11"/>
      <c r="G2" s="11"/>
      <c r="H2" s="11"/>
      <c r="I2" s="11"/>
      <c r="J2" s="231"/>
      <c r="K2" s="231"/>
      <c r="L2" s="231"/>
      <c r="M2" s="231"/>
      <c r="N2" s="231"/>
      <c r="O2" s="231"/>
      <c r="P2" s="231"/>
      <c r="Q2" s="231"/>
      <c r="R2" s="231"/>
      <c r="S2" s="231"/>
      <c r="T2" s="231"/>
      <c r="U2" s="231"/>
      <c r="V2" s="231"/>
      <c r="W2" s="231"/>
      <c r="X2" s="231"/>
      <c r="Y2" s="231"/>
      <c r="Z2" s="231"/>
      <c r="AA2" s="231"/>
      <c r="AB2" s="231"/>
      <c r="AC2" s="231"/>
      <c r="AD2" s="231"/>
      <c r="AE2" s="231"/>
      <c r="AF2" s="231"/>
    </row>
    <row r="3" spans="1:32" s="203" customFormat="1" ht="15">
      <c r="A3" s="12"/>
      <c r="B3" s="882" t="s">
        <v>0</v>
      </c>
      <c r="C3" s="884" t="s">
        <v>33</v>
      </c>
      <c r="D3" s="885"/>
      <c r="E3" s="13"/>
      <c r="F3" s="14"/>
      <c r="G3" s="14"/>
      <c r="H3" s="15"/>
      <c r="I3" s="14"/>
      <c r="J3" s="231"/>
      <c r="K3" s="231"/>
      <c r="L3" s="231"/>
      <c r="M3" s="231"/>
      <c r="N3" s="231"/>
      <c r="O3" s="231"/>
      <c r="P3" s="231"/>
      <c r="Q3" s="231"/>
      <c r="R3" s="231"/>
      <c r="S3" s="231"/>
      <c r="T3" s="231"/>
      <c r="U3" s="231"/>
      <c r="V3" s="231"/>
      <c r="W3" s="231"/>
      <c r="X3" s="231"/>
      <c r="Y3" s="231"/>
      <c r="Z3" s="231"/>
      <c r="AA3" s="231"/>
      <c r="AB3" s="231"/>
      <c r="AC3" s="231"/>
      <c r="AD3" s="231"/>
      <c r="AE3" s="231"/>
      <c r="AF3" s="231"/>
    </row>
    <row r="4" spans="1:32" s="203" customFormat="1" ht="15">
      <c r="A4" s="17"/>
      <c r="B4" s="883"/>
      <c r="C4" s="886"/>
      <c r="D4" s="887"/>
      <c r="E4" s="13"/>
      <c r="F4" s="14"/>
      <c r="G4" s="14"/>
      <c r="H4" s="15"/>
      <c r="I4" s="14"/>
      <c r="J4" s="231"/>
      <c r="K4" s="231"/>
      <c r="L4" s="231"/>
      <c r="M4" s="231"/>
      <c r="N4" s="231"/>
      <c r="O4" s="231"/>
      <c r="P4" s="231"/>
      <c r="Q4" s="231"/>
      <c r="R4" s="231"/>
      <c r="S4" s="231"/>
      <c r="T4" s="231"/>
      <c r="U4" s="231"/>
      <c r="V4" s="231"/>
      <c r="W4" s="231"/>
      <c r="X4" s="231"/>
      <c r="Y4" s="231"/>
      <c r="Z4" s="231"/>
      <c r="AA4" s="231"/>
      <c r="AB4" s="231"/>
      <c r="AC4" s="231"/>
      <c r="AD4" s="231"/>
      <c r="AE4" s="231"/>
      <c r="AF4" s="231"/>
    </row>
    <row r="5" spans="1:32" s="203" customFormat="1" ht="15">
      <c r="A5" s="888"/>
      <c r="B5" s="889"/>
      <c r="C5" s="18"/>
      <c r="D5" s="206"/>
      <c r="E5" s="206"/>
      <c r="F5" s="14"/>
      <c r="G5" s="14"/>
      <c r="H5" s="14"/>
      <c r="I5" s="234"/>
      <c r="J5" s="231"/>
      <c r="K5" s="231"/>
      <c r="L5" s="231"/>
      <c r="M5" s="231"/>
      <c r="N5" s="231"/>
      <c r="O5" s="231"/>
      <c r="P5" s="231"/>
      <c r="Q5" s="231"/>
      <c r="R5" s="231"/>
      <c r="S5" s="231"/>
      <c r="T5" s="231"/>
      <c r="U5" s="231"/>
      <c r="V5" s="231"/>
      <c r="W5" s="231"/>
      <c r="X5" s="231"/>
      <c r="Y5" s="231"/>
      <c r="Z5" s="231"/>
      <c r="AA5" s="231"/>
      <c r="AB5" s="231"/>
      <c r="AC5" s="231"/>
      <c r="AD5" s="231"/>
      <c r="AE5" s="231"/>
      <c r="AF5" s="231"/>
    </row>
    <row r="6" spans="1:32" s="203" customFormat="1" ht="23.25" customHeight="1">
      <c r="A6" s="19" t="s">
        <v>1</v>
      </c>
      <c r="B6" s="207"/>
      <c r="C6" s="20"/>
      <c r="D6" s="890" t="s">
        <v>249</v>
      </c>
      <c r="E6" s="890"/>
      <c r="F6" s="890"/>
      <c r="G6" s="890"/>
      <c r="H6" s="890"/>
      <c r="I6" s="29"/>
      <c r="J6" s="231"/>
      <c r="K6" s="231"/>
      <c r="L6" s="231"/>
      <c r="M6" s="231"/>
      <c r="N6" s="231"/>
      <c r="O6" s="231"/>
      <c r="P6" s="231"/>
      <c r="Q6" s="231"/>
      <c r="R6" s="231"/>
      <c r="S6" s="231"/>
      <c r="T6" s="231"/>
      <c r="U6" s="231"/>
      <c r="V6" s="231"/>
      <c r="W6" s="231"/>
      <c r="X6" s="231"/>
      <c r="Y6" s="231"/>
      <c r="Z6" s="231"/>
      <c r="AA6" s="231"/>
      <c r="AB6" s="231"/>
      <c r="AC6" s="231"/>
      <c r="AD6" s="231"/>
      <c r="AE6" s="231"/>
      <c r="AF6" s="231"/>
    </row>
    <row r="7" spans="1:32" s="203" customFormat="1" ht="18.75" customHeight="1">
      <c r="A7" s="19" t="s">
        <v>419</v>
      </c>
      <c r="B7" s="207"/>
      <c r="C7" s="207"/>
      <c r="D7" s="207"/>
      <c r="E7" s="207"/>
      <c r="F7" s="362" t="s">
        <v>250</v>
      </c>
      <c r="G7" s="1"/>
      <c r="H7" s="21"/>
      <c r="I7" s="29"/>
      <c r="J7" s="231"/>
      <c r="K7" s="231"/>
      <c r="L7" s="231"/>
      <c r="M7" s="231"/>
      <c r="N7" s="231"/>
      <c r="O7" s="231"/>
      <c r="P7" s="231"/>
      <c r="Q7" s="231"/>
      <c r="R7" s="231"/>
      <c r="S7" s="231"/>
      <c r="T7" s="231"/>
      <c r="U7" s="231"/>
      <c r="V7" s="231"/>
      <c r="W7" s="231"/>
      <c r="X7" s="231"/>
      <c r="Y7" s="231"/>
      <c r="Z7" s="231"/>
      <c r="AA7" s="231"/>
      <c r="AB7" s="231"/>
      <c r="AC7" s="231"/>
      <c r="AD7" s="231"/>
      <c r="AE7" s="231"/>
      <c r="AF7" s="231"/>
    </row>
    <row r="8" spans="1:32" s="203" customFormat="1" ht="24" customHeight="1">
      <c r="A8" s="22" t="s">
        <v>408</v>
      </c>
      <c r="B8" s="207"/>
      <c r="C8" s="207"/>
      <c r="D8" s="207"/>
      <c r="E8" s="207"/>
      <c r="F8" s="207"/>
      <c r="G8" s="682"/>
      <c r="H8" s="21"/>
      <c r="I8" s="29"/>
      <c r="J8" s="231"/>
      <c r="K8" s="231"/>
      <c r="L8" s="231"/>
      <c r="M8" s="231"/>
      <c r="N8" s="231"/>
      <c r="O8" s="231"/>
      <c r="P8" s="231"/>
      <c r="Q8" s="231"/>
      <c r="R8" s="231"/>
      <c r="S8" s="231"/>
      <c r="T8" s="231"/>
      <c r="U8" s="231"/>
      <c r="V8" s="231"/>
      <c r="W8" s="231"/>
      <c r="X8" s="231"/>
      <c r="Y8" s="231"/>
      <c r="Z8" s="231"/>
      <c r="AA8" s="231"/>
      <c r="AB8" s="231"/>
      <c r="AC8" s="231"/>
      <c r="AD8" s="231"/>
      <c r="AE8" s="231"/>
      <c r="AF8" s="231"/>
    </row>
    <row r="9" spans="1:32" s="203" customFormat="1" ht="30.75" customHeight="1">
      <c r="A9" s="891" t="s">
        <v>420</v>
      </c>
      <c r="B9" s="892"/>
      <c r="C9" s="892"/>
      <c r="D9" s="892"/>
      <c r="E9" s="892"/>
      <c r="F9" s="892"/>
      <c r="G9" s="892"/>
      <c r="H9" s="892"/>
      <c r="I9" s="892"/>
      <c r="J9" s="231"/>
      <c r="K9" s="231"/>
      <c r="L9" s="231"/>
      <c r="M9" s="231"/>
      <c r="N9" s="231"/>
      <c r="O9" s="231"/>
      <c r="P9" s="231"/>
      <c r="Q9" s="231"/>
      <c r="R9" s="231"/>
      <c r="S9" s="231"/>
      <c r="T9" s="231"/>
      <c r="U9" s="231"/>
      <c r="V9" s="231"/>
      <c r="W9" s="231"/>
      <c r="X9" s="231"/>
      <c r="Y9" s="231"/>
      <c r="Z9" s="231"/>
      <c r="AA9" s="231"/>
      <c r="AB9" s="231"/>
      <c r="AC9" s="231"/>
      <c r="AD9" s="231"/>
      <c r="AE9" s="231"/>
      <c r="AF9" s="231"/>
    </row>
    <row r="10" spans="1:32" s="203" customFormat="1" ht="12.75" customHeight="1">
      <c r="A10" s="22" t="s">
        <v>409</v>
      </c>
      <c r="B10" s="19"/>
      <c r="C10" s="1"/>
      <c r="D10" s="880" t="s">
        <v>250</v>
      </c>
      <c r="E10" s="881"/>
      <c r="F10" s="881"/>
      <c r="G10" s="207"/>
      <c r="H10" s="207"/>
      <c r="I10" s="29"/>
      <c r="J10" s="231"/>
      <c r="K10" s="231"/>
      <c r="L10" s="231"/>
      <c r="M10" s="231"/>
      <c r="N10" s="231"/>
      <c r="O10" s="231"/>
      <c r="P10" s="231"/>
      <c r="Q10" s="231"/>
      <c r="R10" s="231"/>
      <c r="S10" s="231"/>
      <c r="T10" s="231"/>
      <c r="U10" s="231"/>
      <c r="V10" s="231"/>
      <c r="W10" s="231"/>
      <c r="X10" s="231"/>
      <c r="Y10" s="231"/>
      <c r="Z10" s="231"/>
      <c r="AA10" s="231"/>
      <c r="AB10" s="231"/>
      <c r="AC10" s="231"/>
      <c r="AD10" s="231"/>
      <c r="AE10" s="231"/>
      <c r="AF10" s="231"/>
    </row>
    <row r="11" spans="1:32" s="203" customFormat="1">
      <c r="A11" s="23"/>
      <c r="B11" s="207"/>
      <c r="C11" s="207"/>
      <c r="D11" s="207"/>
      <c r="E11" s="207"/>
      <c r="F11" s="207"/>
      <c r="G11" s="21"/>
      <c r="H11" s="21"/>
      <c r="I11" s="29"/>
      <c r="J11" s="231"/>
      <c r="K11" s="231"/>
      <c r="L11" s="231"/>
      <c r="M11" s="231"/>
      <c r="N11" s="231"/>
      <c r="O11" s="231"/>
      <c r="P11" s="231"/>
      <c r="Q11" s="231"/>
      <c r="R11" s="231"/>
      <c r="S11" s="231"/>
      <c r="T11" s="231"/>
      <c r="U11" s="231"/>
      <c r="V11" s="231"/>
      <c r="W11" s="231"/>
      <c r="X11" s="231"/>
      <c r="Y11" s="231"/>
      <c r="Z11" s="231"/>
      <c r="AA11" s="231"/>
      <c r="AB11" s="231"/>
      <c r="AC11" s="231"/>
      <c r="AD11" s="231"/>
      <c r="AE11" s="231"/>
      <c r="AF11" s="231"/>
    </row>
    <row r="12" spans="1:32" s="203" customFormat="1">
      <c r="A12" s="24"/>
      <c r="B12" s="25" t="s">
        <v>7</v>
      </c>
      <c r="C12" s="26"/>
      <c r="D12" s="356"/>
      <c r="E12" s="356"/>
      <c r="F12" s="357"/>
      <c r="G12" s="21"/>
      <c r="H12" s="21"/>
      <c r="I12" s="29"/>
      <c r="J12" s="231"/>
      <c r="K12" s="231"/>
      <c r="L12" s="231"/>
      <c r="M12" s="231"/>
      <c r="N12" s="231"/>
      <c r="O12" s="231"/>
      <c r="P12" s="231"/>
      <c r="Q12" s="231"/>
      <c r="R12" s="231"/>
      <c r="S12" s="231"/>
      <c r="T12" s="231"/>
      <c r="U12" s="231"/>
      <c r="V12" s="231"/>
      <c r="W12" s="231"/>
      <c r="X12" s="231"/>
      <c r="Y12" s="231"/>
      <c r="Z12" s="231"/>
      <c r="AA12" s="231"/>
      <c r="AB12" s="231"/>
      <c r="AC12" s="231"/>
      <c r="AD12" s="231"/>
      <c r="AE12" s="231"/>
      <c r="AF12" s="231"/>
    </row>
    <row r="13" spans="1:32" s="203" customFormat="1">
      <c r="A13" s="23"/>
      <c r="B13" s="27"/>
      <c r="C13" s="358"/>
      <c r="D13" s="15"/>
      <c r="E13" s="15"/>
      <c r="F13" s="359"/>
      <c r="G13" s="207"/>
      <c r="H13" s="21"/>
      <c r="I13" s="29"/>
      <c r="J13" s="231"/>
      <c r="K13" s="231"/>
      <c r="L13" s="231"/>
      <c r="M13" s="231"/>
      <c r="N13" s="231"/>
      <c r="O13" s="231"/>
      <c r="P13" s="231"/>
      <c r="Q13" s="231"/>
      <c r="R13" s="231"/>
      <c r="S13" s="231"/>
      <c r="T13" s="231"/>
      <c r="U13" s="231"/>
      <c r="V13" s="231"/>
      <c r="W13" s="231"/>
      <c r="X13" s="231"/>
      <c r="Y13" s="231"/>
      <c r="Z13" s="231"/>
      <c r="AA13" s="231"/>
      <c r="AB13" s="231"/>
      <c r="AC13" s="231"/>
      <c r="AD13" s="231"/>
      <c r="AE13" s="231"/>
      <c r="AF13" s="231"/>
    </row>
    <row r="14" spans="1:32" s="203" customFormat="1">
      <c r="A14" s="23"/>
      <c r="B14" s="363" t="s">
        <v>328</v>
      </c>
      <c r="C14" s="870" t="s">
        <v>10</v>
      </c>
      <c r="D14" s="870"/>
      <c r="E14" s="870"/>
      <c r="F14" s="871"/>
      <c r="G14" s="207"/>
      <c r="H14" s="21"/>
      <c r="I14" s="29"/>
      <c r="J14" s="231"/>
      <c r="K14" s="231"/>
      <c r="L14" s="231"/>
      <c r="M14" s="231"/>
      <c r="N14" s="231"/>
      <c r="O14" s="231"/>
      <c r="P14" s="231"/>
      <c r="Q14" s="231"/>
      <c r="R14" s="231"/>
      <c r="S14" s="231"/>
      <c r="T14" s="231"/>
      <c r="U14" s="231"/>
      <c r="V14" s="231"/>
      <c r="W14" s="231"/>
      <c r="X14" s="231"/>
      <c r="Y14" s="231"/>
      <c r="Z14" s="231"/>
      <c r="AA14" s="231"/>
      <c r="AB14" s="231"/>
      <c r="AC14" s="231"/>
      <c r="AD14" s="231"/>
      <c r="AE14" s="231"/>
      <c r="AF14" s="231"/>
    </row>
    <row r="15" spans="1:32" s="203" customFormat="1">
      <c r="A15" s="23"/>
      <c r="B15" s="363" t="s">
        <v>329</v>
      </c>
      <c r="C15" s="870" t="s">
        <v>12</v>
      </c>
      <c r="D15" s="870"/>
      <c r="E15" s="870"/>
      <c r="F15" s="871"/>
      <c r="G15" s="207"/>
      <c r="H15" s="21"/>
      <c r="I15" s="29"/>
      <c r="J15" s="231"/>
      <c r="K15" s="231"/>
      <c r="L15" s="231"/>
      <c r="M15" s="231"/>
      <c r="N15" s="231"/>
      <c r="O15" s="231"/>
      <c r="P15" s="231"/>
      <c r="Q15" s="231"/>
      <c r="R15" s="231"/>
      <c r="S15" s="231"/>
      <c r="T15" s="231"/>
      <c r="U15" s="231"/>
      <c r="V15" s="231"/>
      <c r="W15" s="231"/>
      <c r="X15" s="231"/>
      <c r="Y15" s="231"/>
      <c r="Z15" s="231"/>
      <c r="AA15" s="231"/>
      <c r="AB15" s="231"/>
      <c r="AC15" s="231"/>
      <c r="AD15" s="231"/>
      <c r="AE15" s="231"/>
      <c r="AF15" s="231"/>
    </row>
    <row r="16" spans="1:32" s="203" customFormat="1">
      <c r="A16" s="23"/>
      <c r="B16" s="360" t="s">
        <v>14</v>
      </c>
      <c r="C16" s="870" t="s">
        <v>15</v>
      </c>
      <c r="D16" s="870"/>
      <c r="E16" s="870"/>
      <c r="F16" s="871"/>
      <c r="G16" s="207"/>
      <c r="H16" s="21"/>
      <c r="I16" s="29"/>
      <c r="J16" s="231"/>
      <c r="K16" s="231"/>
      <c r="L16" s="231"/>
      <c r="M16" s="231"/>
      <c r="N16" s="231"/>
      <c r="O16" s="231"/>
      <c r="P16" s="231"/>
      <c r="Q16" s="231"/>
      <c r="R16" s="231"/>
      <c r="S16" s="231"/>
      <c r="T16" s="231"/>
      <c r="U16" s="231"/>
      <c r="V16" s="231"/>
      <c r="W16" s="231"/>
      <c r="X16" s="231"/>
      <c r="Y16" s="231"/>
      <c r="Z16" s="231"/>
      <c r="AA16" s="231"/>
      <c r="AB16" s="231"/>
      <c r="AC16" s="231"/>
      <c r="AD16" s="231"/>
      <c r="AE16" s="231"/>
      <c r="AF16" s="231"/>
    </row>
    <row r="17" spans="1:32" s="203" customFormat="1">
      <c r="A17" s="23"/>
      <c r="B17" s="360" t="s">
        <v>17</v>
      </c>
      <c r="C17" s="870" t="s">
        <v>18</v>
      </c>
      <c r="D17" s="870"/>
      <c r="E17" s="870"/>
      <c r="F17" s="871"/>
      <c r="G17" s="207"/>
      <c r="H17" s="21"/>
      <c r="I17" s="29"/>
      <c r="J17" s="231"/>
      <c r="K17" s="231"/>
      <c r="L17" s="231"/>
      <c r="M17" s="231"/>
      <c r="N17" s="231"/>
      <c r="O17" s="231"/>
      <c r="P17" s="231"/>
      <c r="Q17" s="231"/>
      <c r="R17" s="231"/>
      <c r="S17" s="231"/>
      <c r="T17" s="231"/>
      <c r="U17" s="231"/>
      <c r="V17" s="231"/>
      <c r="W17" s="231"/>
      <c r="X17" s="231"/>
      <c r="Y17" s="231"/>
      <c r="Z17" s="231"/>
      <c r="AA17" s="231"/>
      <c r="AB17" s="231"/>
      <c r="AC17" s="231"/>
      <c r="AD17" s="231"/>
      <c r="AE17" s="231"/>
      <c r="AF17" s="231"/>
    </row>
    <row r="18" spans="1:32" s="203" customFormat="1">
      <c r="A18" s="23"/>
      <c r="B18" s="360" t="s">
        <v>20</v>
      </c>
      <c r="C18" s="870" t="s">
        <v>21</v>
      </c>
      <c r="D18" s="870"/>
      <c r="E18" s="870"/>
      <c r="F18" s="871"/>
      <c r="G18" s="207"/>
      <c r="H18" s="21"/>
      <c r="I18" s="29"/>
      <c r="J18" s="231"/>
      <c r="K18" s="231"/>
      <c r="L18" s="231"/>
      <c r="M18" s="231"/>
      <c r="N18" s="231"/>
      <c r="O18" s="231"/>
      <c r="P18" s="231"/>
      <c r="Q18" s="231"/>
      <c r="R18" s="231"/>
      <c r="S18" s="231"/>
      <c r="T18" s="231"/>
      <c r="U18" s="231"/>
      <c r="V18" s="231"/>
      <c r="W18" s="231"/>
      <c r="X18" s="231"/>
      <c r="Y18" s="231"/>
      <c r="Z18" s="231"/>
      <c r="AA18" s="231"/>
      <c r="AB18" s="231"/>
      <c r="AC18" s="231"/>
      <c r="AD18" s="231"/>
      <c r="AE18" s="231"/>
      <c r="AF18" s="231"/>
    </row>
    <row r="19" spans="1:32" s="203" customFormat="1">
      <c r="A19" s="23"/>
      <c r="B19" s="361" t="s">
        <v>23</v>
      </c>
      <c r="C19" s="872" t="s">
        <v>24</v>
      </c>
      <c r="D19" s="872"/>
      <c r="E19" s="872"/>
      <c r="F19" s="873"/>
      <c r="G19" s="21"/>
      <c r="H19" s="21"/>
      <c r="I19" s="29"/>
      <c r="J19" s="231"/>
      <c r="K19" s="231"/>
      <c r="L19" s="231"/>
      <c r="M19" s="231"/>
      <c r="N19" s="231"/>
      <c r="O19" s="231"/>
      <c r="P19" s="231"/>
      <c r="Q19" s="231"/>
      <c r="R19" s="231"/>
      <c r="S19" s="231"/>
      <c r="T19" s="231"/>
      <c r="U19" s="231"/>
      <c r="V19" s="231"/>
      <c r="W19" s="231"/>
      <c r="X19" s="231"/>
      <c r="Y19" s="231"/>
      <c r="Z19" s="231"/>
      <c r="AA19" s="231"/>
      <c r="AB19" s="231"/>
      <c r="AC19" s="231"/>
      <c r="AD19" s="231"/>
      <c r="AE19" s="231"/>
      <c r="AF19" s="231"/>
    </row>
    <row r="20" spans="1:32" s="203" customFormat="1">
      <c r="A20" s="236"/>
      <c r="B20" s="206"/>
      <c r="C20" s="206"/>
      <c r="D20" s="206"/>
      <c r="E20" s="206"/>
      <c r="F20" s="206"/>
      <c r="G20" s="206"/>
      <c r="H20" s="206"/>
      <c r="I20" s="206"/>
      <c r="J20" s="231"/>
      <c r="K20" s="231"/>
      <c r="L20" s="231"/>
      <c r="M20" s="231"/>
      <c r="N20" s="231"/>
      <c r="O20" s="231"/>
      <c r="P20" s="231"/>
      <c r="Q20" s="231"/>
      <c r="R20" s="231"/>
      <c r="S20" s="231"/>
      <c r="T20" s="231"/>
      <c r="U20" s="231"/>
      <c r="V20" s="231"/>
      <c r="W20" s="231"/>
      <c r="X20" s="231"/>
      <c r="Y20" s="231"/>
      <c r="Z20" s="231"/>
      <c r="AA20" s="231"/>
      <c r="AB20" s="231"/>
      <c r="AC20" s="231"/>
      <c r="AD20" s="231"/>
      <c r="AE20" s="231"/>
      <c r="AF20" s="231"/>
    </row>
    <row r="21" spans="1:32" s="203" customFormat="1" ht="19.5">
      <c r="A21" s="30"/>
      <c r="B21" s="13"/>
      <c r="C21" s="13"/>
      <c r="D21" s="13"/>
      <c r="E21" s="13"/>
      <c r="F21" s="13"/>
      <c r="G21" s="13"/>
      <c r="H21" s="31" t="s">
        <v>27</v>
      </c>
      <c r="I21" s="237"/>
      <c r="J21" s="231"/>
      <c r="K21" s="231"/>
      <c r="L21" s="231"/>
      <c r="M21" s="231"/>
      <c r="N21" s="231"/>
      <c r="O21" s="231"/>
      <c r="P21" s="231"/>
      <c r="Q21" s="231"/>
      <c r="R21" s="231"/>
      <c r="S21" s="231"/>
      <c r="T21" s="231"/>
      <c r="U21" s="231"/>
      <c r="V21" s="231"/>
      <c r="W21" s="231"/>
      <c r="X21" s="231"/>
      <c r="Y21" s="231"/>
      <c r="Z21" s="231"/>
      <c r="AA21" s="231"/>
      <c r="AB21" s="231"/>
      <c r="AC21" s="231"/>
      <c r="AD21" s="231"/>
      <c r="AE21" s="231"/>
      <c r="AF21" s="231"/>
    </row>
    <row r="22" spans="1:32" s="203" customFormat="1" ht="18.75" customHeight="1">
      <c r="A22" s="32"/>
      <c r="B22" s="29"/>
      <c r="C22" s="29"/>
      <c r="D22" s="29"/>
      <c r="E22" s="29"/>
      <c r="F22" s="33">
        <v>1</v>
      </c>
      <c r="G22" s="34"/>
      <c r="H22" s="33">
        <v>2</v>
      </c>
      <c r="I22" s="34"/>
      <c r="J22" s="231"/>
      <c r="K22" s="231"/>
      <c r="L22" s="231"/>
      <c r="M22" s="231"/>
      <c r="N22" s="231"/>
      <c r="O22" s="231"/>
      <c r="P22" s="231"/>
      <c r="Q22" s="231"/>
      <c r="R22" s="231"/>
      <c r="S22" s="231"/>
      <c r="T22" s="231"/>
      <c r="U22" s="231"/>
      <c r="V22" s="231"/>
      <c r="W22" s="231"/>
      <c r="X22" s="231"/>
      <c r="Y22" s="231"/>
      <c r="Z22" s="231"/>
      <c r="AA22" s="231"/>
      <c r="AB22" s="231"/>
      <c r="AC22" s="231"/>
      <c r="AD22" s="231"/>
      <c r="AE22" s="231"/>
      <c r="AF22" s="231"/>
    </row>
    <row r="23" spans="1:32" s="203" customFormat="1" ht="21.95" customHeight="1">
      <c r="A23" s="874" t="s">
        <v>30</v>
      </c>
      <c r="B23" s="875"/>
      <c r="C23" s="875"/>
      <c r="D23" s="875"/>
      <c r="E23" s="878" t="s">
        <v>376</v>
      </c>
      <c r="F23" s="856" t="s">
        <v>407</v>
      </c>
      <c r="G23" s="36"/>
      <c r="H23" s="878" t="s">
        <v>406</v>
      </c>
      <c r="I23" s="36"/>
      <c r="J23" s="231"/>
      <c r="K23" s="231"/>
      <c r="L23" s="231"/>
      <c r="M23" s="231"/>
      <c r="N23" s="231"/>
      <c r="O23" s="231"/>
      <c r="P23" s="231"/>
      <c r="Q23" s="231"/>
      <c r="R23" s="231"/>
      <c r="S23" s="231"/>
      <c r="T23" s="231"/>
      <c r="U23" s="231"/>
      <c r="V23" s="231"/>
      <c r="W23" s="231"/>
      <c r="X23" s="231"/>
      <c r="Y23" s="231"/>
      <c r="Z23" s="231"/>
      <c r="AA23" s="231"/>
      <c r="AB23" s="231"/>
      <c r="AC23" s="231"/>
      <c r="AD23" s="231"/>
      <c r="AE23" s="231"/>
      <c r="AF23" s="231"/>
    </row>
    <row r="24" spans="1:32" s="203" customFormat="1" ht="21.95" customHeight="1">
      <c r="A24" s="876"/>
      <c r="B24" s="877"/>
      <c r="C24" s="877"/>
      <c r="D24" s="877"/>
      <c r="E24" s="879"/>
      <c r="F24" s="860"/>
      <c r="G24" s="23"/>
      <c r="H24" s="879"/>
      <c r="I24" s="36"/>
      <c r="J24" s="231"/>
      <c r="K24" s="231"/>
      <c r="L24" s="231"/>
      <c r="M24" s="231"/>
      <c r="N24" s="231"/>
      <c r="O24" s="231"/>
      <c r="P24" s="231"/>
      <c r="Q24" s="231"/>
      <c r="R24" s="231"/>
      <c r="S24" s="231"/>
      <c r="T24" s="231"/>
      <c r="U24" s="231"/>
      <c r="V24" s="231"/>
      <c r="W24" s="231"/>
      <c r="X24" s="231"/>
      <c r="Y24" s="231"/>
      <c r="Z24" s="231"/>
      <c r="AA24" s="231"/>
      <c r="AB24" s="231"/>
      <c r="AC24" s="231"/>
      <c r="AD24" s="231"/>
      <c r="AE24" s="231"/>
      <c r="AF24" s="231"/>
    </row>
    <row r="25" spans="1:32" s="203" customFormat="1" ht="21.95" customHeight="1">
      <c r="A25" s="898" t="s">
        <v>48</v>
      </c>
      <c r="B25" s="901" t="s">
        <v>49</v>
      </c>
      <c r="C25" s="901"/>
      <c r="D25" s="902"/>
      <c r="E25" s="907" t="s">
        <v>50</v>
      </c>
      <c r="F25" s="909" t="s">
        <v>51</v>
      </c>
      <c r="G25" s="34"/>
      <c r="H25" s="907" t="s">
        <v>50</v>
      </c>
      <c r="I25" s="36"/>
      <c r="J25" s="231"/>
      <c r="K25" s="231"/>
      <c r="L25" s="231"/>
      <c r="M25" s="231"/>
      <c r="N25" s="231"/>
      <c r="O25" s="231"/>
      <c r="P25" s="231"/>
      <c r="Q25" s="231"/>
      <c r="R25" s="231"/>
      <c r="S25" s="231"/>
      <c r="T25" s="231"/>
      <c r="U25" s="231"/>
      <c r="V25" s="231"/>
      <c r="W25" s="231"/>
      <c r="X25" s="231"/>
      <c r="Y25" s="231"/>
      <c r="Z25" s="231"/>
      <c r="AA25" s="231"/>
      <c r="AB25" s="231"/>
      <c r="AC25" s="231"/>
      <c r="AD25" s="231"/>
      <c r="AE25" s="231"/>
      <c r="AF25" s="231"/>
    </row>
    <row r="26" spans="1:32" s="203" customFormat="1" ht="21.95" customHeight="1">
      <c r="A26" s="899"/>
      <c r="B26" s="903"/>
      <c r="C26" s="903"/>
      <c r="D26" s="904"/>
      <c r="E26" s="908"/>
      <c r="F26" s="859"/>
      <c r="G26" s="34"/>
      <c r="H26" s="908"/>
      <c r="I26" s="36"/>
      <c r="J26" s="231"/>
      <c r="K26" s="231"/>
      <c r="L26" s="231"/>
      <c r="M26" s="231"/>
      <c r="N26" s="231"/>
      <c r="O26" s="231"/>
      <c r="P26" s="231"/>
      <c r="Q26" s="231"/>
      <c r="R26" s="231"/>
      <c r="S26" s="231"/>
      <c r="T26" s="231"/>
      <c r="U26" s="231"/>
      <c r="V26" s="231"/>
      <c r="W26" s="231"/>
      <c r="X26" s="231"/>
      <c r="Y26" s="231"/>
      <c r="Z26" s="231"/>
      <c r="AA26" s="231"/>
      <c r="AB26" s="231"/>
      <c r="AC26" s="231"/>
      <c r="AD26" s="231"/>
      <c r="AE26" s="231"/>
      <c r="AF26" s="231"/>
    </row>
    <row r="27" spans="1:32" s="203" customFormat="1" ht="21.95" customHeight="1">
      <c r="A27" s="900"/>
      <c r="B27" s="905"/>
      <c r="C27" s="905"/>
      <c r="D27" s="906"/>
      <c r="E27" s="879"/>
      <c r="F27" s="860"/>
      <c r="G27" s="34"/>
      <c r="H27" s="879"/>
      <c r="I27" s="36"/>
      <c r="J27" s="231"/>
      <c r="K27" s="231"/>
      <c r="L27" s="231"/>
      <c r="M27" s="231"/>
      <c r="N27" s="231"/>
      <c r="O27" s="231"/>
      <c r="P27" s="231"/>
      <c r="Q27" s="231"/>
      <c r="R27" s="231"/>
      <c r="S27" s="231"/>
      <c r="T27" s="231"/>
      <c r="U27" s="231"/>
      <c r="V27" s="231"/>
      <c r="W27" s="231"/>
      <c r="X27" s="231"/>
      <c r="Y27" s="231"/>
      <c r="Z27" s="231"/>
      <c r="AA27" s="231"/>
      <c r="AB27" s="231"/>
      <c r="AC27" s="231"/>
      <c r="AD27" s="231"/>
      <c r="AE27" s="231"/>
      <c r="AF27" s="231"/>
    </row>
    <row r="28" spans="1:32" s="203" customFormat="1">
      <c r="A28" s="38">
        <v>1</v>
      </c>
      <c r="B28" s="39" t="s">
        <v>52</v>
      </c>
      <c r="C28" s="39"/>
      <c r="D28" s="40"/>
      <c r="E28" s="41">
        <v>83080</v>
      </c>
      <c r="F28" s="42">
        <f>F77</f>
        <v>84750</v>
      </c>
      <c r="G28" s="43"/>
      <c r="H28" s="44">
        <f>H77</f>
        <v>89985</v>
      </c>
      <c r="I28" s="43"/>
      <c r="J28" s="231"/>
      <c r="K28" s="231"/>
      <c r="L28" s="231"/>
      <c r="M28" s="231"/>
      <c r="N28" s="231"/>
      <c r="O28" s="231"/>
      <c r="P28" s="231"/>
      <c r="Q28" s="231"/>
      <c r="R28" s="231"/>
      <c r="S28" s="231"/>
      <c r="T28" s="231"/>
      <c r="U28" s="231"/>
      <c r="V28" s="231"/>
      <c r="W28" s="231"/>
      <c r="X28" s="231"/>
      <c r="Y28" s="231"/>
      <c r="Z28" s="231"/>
      <c r="AA28" s="231"/>
      <c r="AB28" s="231"/>
      <c r="AC28" s="231"/>
      <c r="AD28" s="231"/>
      <c r="AE28" s="231"/>
      <c r="AF28" s="231"/>
    </row>
    <row r="29" spans="1:32" s="203" customFormat="1">
      <c r="A29" s="46">
        <v>2</v>
      </c>
      <c r="B29" s="47" t="s">
        <v>53</v>
      </c>
      <c r="C29" s="47"/>
      <c r="D29" s="48"/>
      <c r="E29" s="49">
        <v>46619</v>
      </c>
      <c r="F29" s="50">
        <f>F105</f>
        <v>47351.03</v>
      </c>
      <c r="G29" s="43"/>
      <c r="H29" s="51">
        <f>H105</f>
        <v>49554.529819166666</v>
      </c>
      <c r="I29" s="43"/>
      <c r="J29" s="231"/>
      <c r="K29" s="231"/>
      <c r="L29" s="231"/>
      <c r="M29" s="231"/>
      <c r="N29" s="231"/>
      <c r="O29" s="231"/>
      <c r="P29" s="231"/>
      <c r="Q29" s="231"/>
      <c r="R29" s="231"/>
      <c r="S29" s="231"/>
      <c r="T29" s="231"/>
      <c r="U29" s="231"/>
      <c r="V29" s="231"/>
      <c r="W29" s="231"/>
      <c r="X29" s="231"/>
      <c r="Y29" s="231"/>
      <c r="Z29" s="231"/>
      <c r="AA29" s="231"/>
      <c r="AB29" s="231"/>
      <c r="AC29" s="231"/>
      <c r="AD29" s="231"/>
      <c r="AE29" s="231"/>
      <c r="AF29" s="231"/>
    </row>
    <row r="30" spans="1:32" s="203" customFormat="1">
      <c r="A30" s="46">
        <v>3</v>
      </c>
      <c r="B30" s="47" t="s">
        <v>54</v>
      </c>
      <c r="C30" s="47"/>
      <c r="D30" s="48"/>
      <c r="E30" s="49">
        <v>4521</v>
      </c>
      <c r="F30" s="50">
        <f>F180</f>
        <v>4440</v>
      </c>
      <c r="G30" s="43"/>
      <c r="H30" s="51">
        <f>H180</f>
        <v>4221</v>
      </c>
      <c r="I30" s="43"/>
      <c r="J30" s="231"/>
      <c r="K30" s="231"/>
      <c r="L30" s="231"/>
      <c r="M30" s="231"/>
      <c r="N30" s="231"/>
      <c r="O30" s="231"/>
      <c r="P30" s="231"/>
      <c r="Q30" s="231"/>
      <c r="R30" s="231"/>
      <c r="S30" s="231"/>
      <c r="T30" s="231"/>
      <c r="U30" s="231"/>
      <c r="V30" s="231"/>
      <c r="W30" s="231"/>
      <c r="X30" s="231"/>
      <c r="Y30" s="231"/>
      <c r="Z30" s="231"/>
      <c r="AA30" s="231"/>
      <c r="AB30" s="231"/>
      <c r="AC30" s="231"/>
      <c r="AD30" s="231"/>
      <c r="AE30" s="231"/>
      <c r="AF30" s="231"/>
    </row>
    <row r="31" spans="1:32" s="203" customFormat="1">
      <c r="A31" s="46">
        <v>4</v>
      </c>
      <c r="B31" s="47" t="s">
        <v>55</v>
      </c>
      <c r="C31" s="47"/>
      <c r="D31" s="48"/>
      <c r="E31" s="49">
        <v>10451</v>
      </c>
      <c r="F31" s="50">
        <f>F214</f>
        <v>10768</v>
      </c>
      <c r="G31" s="43"/>
      <c r="H31" s="51">
        <f>H214</f>
        <v>11032.794841237113</v>
      </c>
      <c r="I31" s="43"/>
      <c r="J31" s="231"/>
      <c r="K31" s="231"/>
      <c r="L31" s="231"/>
      <c r="M31" s="231"/>
      <c r="N31" s="231"/>
      <c r="O31" s="231"/>
      <c r="P31" s="231"/>
      <c r="Q31" s="231"/>
      <c r="R31" s="231"/>
      <c r="S31" s="231"/>
      <c r="T31" s="231"/>
      <c r="U31" s="231"/>
      <c r="V31" s="231"/>
      <c r="W31" s="231"/>
      <c r="X31" s="231"/>
      <c r="Y31" s="231"/>
      <c r="Z31" s="231"/>
      <c r="AA31" s="231"/>
      <c r="AB31" s="231"/>
      <c r="AC31" s="231"/>
      <c r="AD31" s="231"/>
      <c r="AE31" s="231"/>
      <c r="AF31" s="231"/>
    </row>
    <row r="32" spans="1:32" s="203" customFormat="1">
      <c r="A32" s="46">
        <v>5</v>
      </c>
      <c r="B32" s="47" t="s">
        <v>56</v>
      </c>
      <c r="C32" s="47"/>
      <c r="D32" s="48"/>
      <c r="E32" s="49">
        <v>5606</v>
      </c>
      <c r="F32" s="50">
        <f>F231</f>
        <v>5328</v>
      </c>
      <c r="G32" s="43"/>
      <c r="H32" s="51">
        <f>H231</f>
        <v>5512</v>
      </c>
      <c r="I32" s="43"/>
      <c r="J32" s="231"/>
      <c r="K32" s="231"/>
      <c r="L32" s="231"/>
      <c r="M32" s="231"/>
      <c r="N32" s="231"/>
      <c r="O32" s="231"/>
      <c r="P32" s="231"/>
      <c r="Q32" s="231"/>
      <c r="R32" s="231"/>
      <c r="S32" s="231"/>
      <c r="T32" s="231"/>
      <c r="U32" s="231"/>
      <c r="V32" s="231"/>
      <c r="W32" s="231"/>
      <c r="X32" s="231"/>
      <c r="Y32" s="231"/>
      <c r="Z32" s="231"/>
      <c r="AA32" s="231"/>
      <c r="AB32" s="231"/>
      <c r="AC32" s="231"/>
      <c r="AD32" s="231"/>
      <c r="AE32" s="231"/>
      <c r="AF32" s="231"/>
    </row>
    <row r="33" spans="1:32" s="203" customFormat="1">
      <c r="A33" s="46">
        <v>6</v>
      </c>
      <c r="B33" s="47" t="s">
        <v>57</v>
      </c>
      <c r="C33" s="47"/>
      <c r="D33" s="48"/>
      <c r="E33" s="49">
        <v>6780</v>
      </c>
      <c r="F33" s="50">
        <f>F257</f>
        <v>6534</v>
      </c>
      <c r="G33" s="43"/>
      <c r="H33" s="51">
        <f>H257</f>
        <v>6424</v>
      </c>
      <c r="I33" s="43"/>
      <c r="J33" s="231"/>
      <c r="K33" s="231"/>
      <c r="L33" s="231"/>
      <c r="M33" s="231"/>
      <c r="N33" s="231"/>
      <c r="O33" s="231"/>
      <c r="P33" s="231"/>
      <c r="Q33" s="231"/>
      <c r="R33" s="231"/>
      <c r="S33" s="231"/>
      <c r="T33" s="231"/>
      <c r="U33" s="231"/>
      <c r="V33" s="231"/>
      <c r="W33" s="231"/>
      <c r="X33" s="231"/>
      <c r="Y33" s="231"/>
      <c r="Z33" s="231"/>
      <c r="AA33" s="231"/>
      <c r="AB33" s="231"/>
      <c r="AC33" s="231"/>
      <c r="AD33" s="231"/>
      <c r="AE33" s="231"/>
      <c r="AF33" s="231"/>
    </row>
    <row r="34" spans="1:32" s="203" customFormat="1">
      <c r="A34" s="46">
        <v>7</v>
      </c>
      <c r="B34" s="47" t="s">
        <v>58</v>
      </c>
      <c r="C34" s="47"/>
      <c r="D34" s="48"/>
      <c r="E34" s="49">
        <v>7723</v>
      </c>
      <c r="F34" s="50">
        <f>F277</f>
        <v>7721</v>
      </c>
      <c r="G34" s="43"/>
      <c r="H34" s="50">
        <f>H277</f>
        <v>7936</v>
      </c>
      <c r="I34" s="43"/>
      <c r="J34" s="231"/>
      <c r="K34" s="231"/>
      <c r="L34" s="231"/>
      <c r="M34" s="231"/>
      <c r="N34" s="231"/>
      <c r="O34" s="231"/>
      <c r="P34" s="231"/>
      <c r="Q34" s="231"/>
      <c r="R34" s="231"/>
      <c r="S34" s="231"/>
      <c r="T34" s="231"/>
      <c r="U34" s="231"/>
      <c r="V34" s="231"/>
      <c r="W34" s="231"/>
      <c r="X34" s="231"/>
      <c r="Y34" s="231"/>
      <c r="Z34" s="231"/>
      <c r="AA34" s="231"/>
      <c r="AB34" s="231"/>
      <c r="AC34" s="231"/>
      <c r="AD34" s="231"/>
      <c r="AE34" s="231"/>
      <c r="AF34" s="231"/>
    </row>
    <row r="35" spans="1:32" s="203" customFormat="1">
      <c r="A35" s="46">
        <v>8</v>
      </c>
      <c r="B35" s="47" t="s">
        <v>59</v>
      </c>
      <c r="C35" s="47"/>
      <c r="D35" s="48"/>
      <c r="E35" s="49">
        <v>12112</v>
      </c>
      <c r="F35" s="50">
        <f>F302</f>
        <v>9834</v>
      </c>
      <c r="G35" s="43"/>
      <c r="H35" s="50">
        <f>H302</f>
        <v>9315</v>
      </c>
      <c r="I35" s="21"/>
      <c r="J35" s="231"/>
      <c r="K35" s="231"/>
      <c r="L35" s="231"/>
      <c r="M35" s="231"/>
      <c r="N35" s="231"/>
      <c r="O35" s="231"/>
      <c r="P35" s="231"/>
      <c r="Q35" s="231"/>
      <c r="R35" s="231"/>
      <c r="S35" s="231"/>
      <c r="T35" s="231"/>
      <c r="U35" s="231"/>
      <c r="V35" s="231"/>
      <c r="W35" s="231"/>
      <c r="X35" s="231"/>
      <c r="Y35" s="231"/>
      <c r="Z35" s="231"/>
      <c r="AA35" s="231"/>
      <c r="AB35" s="231"/>
      <c r="AC35" s="231"/>
      <c r="AD35" s="231"/>
      <c r="AE35" s="231"/>
      <c r="AF35" s="231"/>
    </row>
    <row r="36" spans="1:32" s="203" customFormat="1">
      <c r="A36" s="46">
        <v>9</v>
      </c>
      <c r="B36" s="47" t="s">
        <v>60</v>
      </c>
      <c r="C36" s="47"/>
      <c r="D36" s="48"/>
      <c r="E36" s="49">
        <v>0</v>
      </c>
      <c r="F36" s="52"/>
      <c r="G36" s="43"/>
      <c r="H36" s="52"/>
      <c r="I36" s="21"/>
      <c r="J36" s="231"/>
      <c r="K36" s="231"/>
      <c r="L36" s="231"/>
      <c r="M36" s="231"/>
      <c r="N36" s="231"/>
      <c r="O36" s="231"/>
      <c r="P36" s="231"/>
      <c r="Q36" s="231"/>
      <c r="R36" s="231"/>
      <c r="S36" s="231"/>
      <c r="T36" s="231"/>
      <c r="U36" s="231"/>
      <c r="V36" s="231"/>
      <c r="W36" s="231"/>
      <c r="X36" s="231"/>
      <c r="Y36" s="231"/>
      <c r="Z36" s="231"/>
      <c r="AA36" s="231"/>
      <c r="AB36" s="231"/>
      <c r="AC36" s="231"/>
      <c r="AD36" s="231"/>
      <c r="AE36" s="231"/>
      <c r="AF36" s="231"/>
    </row>
    <row r="37" spans="1:32" s="203" customFormat="1">
      <c r="A37" s="53">
        <v>10</v>
      </c>
      <c r="B37" s="54" t="s">
        <v>61</v>
      </c>
      <c r="C37" s="54"/>
      <c r="D37" s="55"/>
      <c r="E37" s="56">
        <v>18623</v>
      </c>
      <c r="F37" s="57">
        <f>F320</f>
        <v>18452</v>
      </c>
      <c r="G37" s="43"/>
      <c r="H37" s="57">
        <f>H320</f>
        <v>17642</v>
      </c>
      <c r="I37" s="21"/>
      <c r="J37" s="231"/>
      <c r="K37" s="231"/>
      <c r="L37" s="231"/>
      <c r="M37" s="231"/>
      <c r="N37" s="231"/>
      <c r="O37" s="231"/>
      <c r="P37" s="231"/>
      <c r="Q37" s="231"/>
      <c r="R37" s="231"/>
      <c r="S37" s="231"/>
      <c r="T37" s="231"/>
      <c r="U37" s="231"/>
      <c r="V37" s="231"/>
      <c r="W37" s="231"/>
      <c r="X37" s="231"/>
      <c r="Y37" s="231"/>
      <c r="Z37" s="231"/>
      <c r="AA37" s="231"/>
      <c r="AB37" s="231"/>
      <c r="AC37" s="231"/>
      <c r="AD37" s="231"/>
      <c r="AE37" s="231"/>
      <c r="AF37" s="231"/>
    </row>
    <row r="38" spans="1:32" s="203" customFormat="1">
      <c r="A38" s="33">
        <v>11</v>
      </c>
      <c r="B38" s="58" t="s">
        <v>62</v>
      </c>
      <c r="C38" s="58"/>
      <c r="D38" s="59"/>
      <c r="E38" s="60">
        <v>195515</v>
      </c>
      <c r="F38" s="61">
        <f>SUM(F28:F37)</f>
        <v>195178.03</v>
      </c>
      <c r="G38" s="43"/>
      <c r="H38" s="61">
        <f>SUM(H28:H37)</f>
        <v>201622.32466040377</v>
      </c>
      <c r="I38" s="68"/>
      <c r="J38" s="231"/>
      <c r="K38" s="231"/>
      <c r="L38" s="231"/>
      <c r="M38" s="231"/>
      <c r="N38" s="231"/>
      <c r="O38" s="231"/>
      <c r="P38" s="231"/>
      <c r="Q38" s="231"/>
      <c r="R38" s="231"/>
      <c r="S38" s="231"/>
      <c r="T38" s="231"/>
      <c r="U38" s="231"/>
      <c r="V38" s="231"/>
      <c r="W38" s="231"/>
      <c r="X38" s="231"/>
      <c r="Y38" s="231"/>
      <c r="Z38" s="231"/>
      <c r="AA38" s="231"/>
      <c r="AB38" s="231"/>
      <c r="AC38" s="231"/>
      <c r="AD38" s="231"/>
      <c r="AE38" s="231"/>
      <c r="AF38" s="231"/>
    </row>
    <row r="39" spans="1:32" s="203" customFormat="1" ht="12.75" customHeight="1">
      <c r="A39" s="63"/>
      <c r="B39" s="64"/>
      <c r="C39" s="64"/>
      <c r="D39" s="65"/>
      <c r="E39" s="66"/>
      <c r="F39" s="67"/>
      <c r="G39" s="21"/>
      <c r="H39" s="67"/>
      <c r="I39" s="68"/>
      <c r="J39" s="231"/>
      <c r="K39" s="231"/>
      <c r="L39" s="231"/>
      <c r="M39" s="231"/>
      <c r="N39" s="231"/>
      <c r="O39" s="231"/>
      <c r="P39" s="231"/>
      <c r="Q39" s="231"/>
      <c r="R39" s="231"/>
      <c r="S39" s="231"/>
      <c r="T39" s="231"/>
      <c r="U39" s="231"/>
      <c r="V39" s="231"/>
      <c r="W39" s="231"/>
      <c r="X39" s="231"/>
      <c r="Y39" s="231"/>
      <c r="Z39" s="231"/>
      <c r="AA39" s="231"/>
      <c r="AB39" s="231"/>
      <c r="AC39" s="231"/>
      <c r="AD39" s="231"/>
      <c r="AE39" s="231"/>
      <c r="AF39" s="231"/>
    </row>
    <row r="40" spans="1:32" s="203" customFormat="1" ht="12.75" customHeight="1">
      <c r="A40" s="893" t="s">
        <v>63</v>
      </c>
      <c r="B40" s="894"/>
      <c r="C40" s="894"/>
      <c r="D40" s="895"/>
      <c r="E40" s="878" t="s">
        <v>376</v>
      </c>
      <c r="F40" s="856" t="s">
        <v>407</v>
      </c>
      <c r="G40" s="36"/>
      <c r="H40" s="878" t="s">
        <v>406</v>
      </c>
      <c r="I40" s="43"/>
      <c r="J40" s="231"/>
      <c r="K40" s="231"/>
      <c r="L40" s="231"/>
      <c r="M40" s="231"/>
      <c r="N40" s="231"/>
      <c r="O40" s="231"/>
      <c r="P40" s="231"/>
      <c r="Q40" s="231"/>
      <c r="R40" s="231"/>
      <c r="S40" s="231"/>
      <c r="T40" s="231"/>
      <c r="U40" s="231"/>
      <c r="V40" s="231"/>
      <c r="W40" s="231"/>
      <c r="X40" s="231"/>
      <c r="Y40" s="231"/>
      <c r="Z40" s="231"/>
      <c r="AA40" s="231"/>
      <c r="AB40" s="231"/>
      <c r="AC40" s="231"/>
      <c r="AD40" s="231"/>
      <c r="AE40" s="231"/>
      <c r="AF40" s="231"/>
    </row>
    <row r="41" spans="1:32" s="203" customFormat="1" ht="27.75" customHeight="1">
      <c r="A41" s="876"/>
      <c r="B41" s="877"/>
      <c r="C41" s="877"/>
      <c r="D41" s="896"/>
      <c r="E41" s="879"/>
      <c r="F41" s="860"/>
      <c r="G41" s="23"/>
      <c r="H41" s="879"/>
      <c r="I41" s="43"/>
      <c r="J41" s="231"/>
      <c r="K41" s="231"/>
      <c r="L41" s="231"/>
      <c r="M41" s="231"/>
      <c r="N41" s="231"/>
      <c r="O41" s="231"/>
      <c r="P41" s="231"/>
      <c r="Q41" s="231"/>
      <c r="R41" s="231"/>
      <c r="S41" s="231"/>
      <c r="T41" s="231"/>
      <c r="U41" s="231"/>
      <c r="V41" s="231"/>
      <c r="W41" s="231"/>
      <c r="X41" s="231"/>
      <c r="Y41" s="231"/>
      <c r="Z41" s="231"/>
      <c r="AA41" s="231"/>
      <c r="AB41" s="231"/>
      <c r="AC41" s="231"/>
      <c r="AD41" s="231"/>
      <c r="AE41" s="231"/>
      <c r="AF41" s="231"/>
    </row>
    <row r="42" spans="1:32" s="203" customFormat="1">
      <c r="A42" s="678" t="s">
        <v>64</v>
      </c>
      <c r="B42" s="69" t="s">
        <v>65</v>
      </c>
      <c r="C42" s="69"/>
      <c r="D42" s="70"/>
      <c r="E42" s="71"/>
      <c r="F42" s="72" t="str">
        <f>IF(OR(F43&lt;0,F44&lt;0,F47&lt;0,F48&lt;0,H43&lt;0,H44&lt;0,H47&lt;0,H48&lt;0),"Funding should be recorded as positive figures",".")</f>
        <v>.</v>
      </c>
      <c r="G42" s="45"/>
      <c r="H42" s="73"/>
      <c r="I42" s="43"/>
      <c r="J42" s="231"/>
      <c r="K42" s="231"/>
      <c r="L42" s="231"/>
      <c r="M42" s="231"/>
      <c r="N42" s="231"/>
      <c r="O42" s="231"/>
      <c r="P42" s="231"/>
      <c r="Q42" s="231"/>
      <c r="R42" s="231"/>
      <c r="S42" s="231"/>
      <c r="T42" s="231"/>
      <c r="U42" s="231"/>
      <c r="V42" s="231"/>
      <c r="W42" s="231"/>
      <c r="X42" s="231"/>
      <c r="Y42" s="231"/>
      <c r="Z42" s="231"/>
      <c r="AA42" s="231"/>
      <c r="AB42" s="231"/>
      <c r="AC42" s="231"/>
      <c r="AD42" s="231"/>
      <c r="AE42" s="231"/>
      <c r="AF42" s="231"/>
    </row>
    <row r="43" spans="1:32" s="203" customFormat="1">
      <c r="A43" s="46">
        <v>1</v>
      </c>
      <c r="B43" s="47" t="s">
        <v>66</v>
      </c>
      <c r="C43" s="47"/>
      <c r="D43" s="48"/>
      <c r="E43" s="74">
        <v>141667</v>
      </c>
      <c r="F43" s="241">
        <v>142616</v>
      </c>
      <c r="G43" s="45"/>
      <c r="H43" s="75">
        <v>140741</v>
      </c>
      <c r="I43" s="43"/>
      <c r="J43" s="231"/>
      <c r="K43" s="231"/>
      <c r="L43" s="231"/>
      <c r="M43" s="231"/>
      <c r="N43" s="231"/>
      <c r="O43" s="231"/>
      <c r="P43" s="231"/>
      <c r="Q43" s="231"/>
      <c r="R43" s="231"/>
      <c r="S43" s="231"/>
      <c r="T43" s="231"/>
      <c r="U43" s="231"/>
      <c r="V43" s="231"/>
      <c r="W43" s="231"/>
      <c r="X43" s="231"/>
      <c r="Y43" s="231"/>
      <c r="Z43" s="231"/>
      <c r="AA43" s="231"/>
      <c r="AB43" s="231"/>
      <c r="AC43" s="231"/>
      <c r="AD43" s="231"/>
      <c r="AE43" s="231"/>
      <c r="AF43" s="231"/>
    </row>
    <row r="44" spans="1:32" s="203" customFormat="1">
      <c r="A44" s="46">
        <v>2</v>
      </c>
      <c r="B44" s="47" t="s">
        <v>67</v>
      </c>
      <c r="C44" s="47"/>
      <c r="D44" s="48"/>
      <c r="E44" s="49">
        <v>18363</v>
      </c>
      <c r="F44" s="241">
        <v>18363</v>
      </c>
      <c r="G44" s="45"/>
      <c r="H44" s="75">
        <v>19834</v>
      </c>
      <c r="I44" s="43"/>
      <c r="J44" s="231"/>
      <c r="K44" s="231"/>
      <c r="L44" s="231"/>
      <c r="M44" s="231"/>
      <c r="N44" s="231"/>
      <c r="O44" s="231"/>
      <c r="P44" s="231"/>
      <c r="Q44" s="231"/>
      <c r="R44" s="231"/>
      <c r="S44" s="231"/>
      <c r="T44" s="231"/>
      <c r="U44" s="231"/>
      <c r="V44" s="231"/>
      <c r="W44" s="231"/>
      <c r="X44" s="231"/>
      <c r="Y44" s="231"/>
      <c r="Z44" s="231"/>
      <c r="AA44" s="231"/>
      <c r="AB44" s="231"/>
      <c r="AC44" s="231"/>
      <c r="AD44" s="231"/>
      <c r="AE44" s="231"/>
      <c r="AF44" s="231"/>
    </row>
    <row r="45" spans="1:32" s="203" customFormat="1">
      <c r="A45" s="46">
        <v>3</v>
      </c>
      <c r="B45" s="47" t="s">
        <v>68</v>
      </c>
      <c r="C45" s="47"/>
      <c r="D45" s="48"/>
      <c r="E45" s="49">
        <v>0</v>
      </c>
      <c r="F45" s="52"/>
      <c r="G45" s="45"/>
      <c r="H45" s="75"/>
      <c r="I45" s="43"/>
      <c r="J45" s="231"/>
      <c r="K45" s="231"/>
      <c r="L45" s="231"/>
      <c r="M45" s="231"/>
      <c r="N45" s="231"/>
      <c r="O45" s="231"/>
      <c r="P45" s="231"/>
      <c r="Q45" s="231"/>
      <c r="R45" s="231"/>
      <c r="S45" s="231"/>
      <c r="T45" s="231"/>
      <c r="U45" s="231"/>
      <c r="V45" s="231"/>
      <c r="W45" s="231"/>
      <c r="X45" s="231"/>
      <c r="Y45" s="231"/>
      <c r="Z45" s="231"/>
      <c r="AA45" s="231"/>
      <c r="AB45" s="231"/>
      <c r="AC45" s="231"/>
      <c r="AD45" s="231"/>
      <c r="AE45" s="231"/>
      <c r="AF45" s="231"/>
    </row>
    <row r="46" spans="1:32" s="203" customFormat="1">
      <c r="A46" s="46">
        <v>4</v>
      </c>
      <c r="B46" s="47" t="s">
        <v>70</v>
      </c>
      <c r="C46" s="47"/>
      <c r="D46" s="48"/>
      <c r="E46" s="49">
        <v>0</v>
      </c>
      <c r="F46" s="52"/>
      <c r="G46" s="45"/>
      <c r="H46" s="75"/>
      <c r="I46" s="43"/>
      <c r="J46" s="231"/>
      <c r="K46" s="231"/>
      <c r="L46" s="231"/>
      <c r="M46" s="231"/>
      <c r="N46" s="231"/>
      <c r="O46" s="231"/>
      <c r="P46" s="231"/>
      <c r="Q46" s="231"/>
      <c r="R46" s="231"/>
      <c r="S46" s="231"/>
      <c r="T46" s="231"/>
      <c r="U46" s="231"/>
      <c r="V46" s="231"/>
      <c r="W46" s="231"/>
      <c r="X46" s="231"/>
      <c r="Y46" s="231"/>
      <c r="Z46" s="231"/>
      <c r="AA46" s="231"/>
      <c r="AB46" s="231"/>
      <c r="AC46" s="231"/>
      <c r="AD46" s="231"/>
      <c r="AE46" s="231"/>
      <c r="AF46" s="231"/>
    </row>
    <row r="47" spans="1:32" s="203" customFormat="1">
      <c r="A47" s="46">
        <v>5</v>
      </c>
      <c r="B47" s="47" t="s">
        <v>69</v>
      </c>
      <c r="C47" s="47"/>
      <c r="D47" s="48"/>
      <c r="E47" s="49">
        <v>4540</v>
      </c>
      <c r="F47" s="52">
        <v>4540</v>
      </c>
      <c r="G47" s="45"/>
      <c r="H47" s="76">
        <v>8334</v>
      </c>
      <c r="I47" s="43"/>
      <c r="J47" s="231"/>
      <c r="K47" s="231"/>
      <c r="L47" s="231"/>
      <c r="M47" s="231"/>
      <c r="N47" s="231"/>
      <c r="O47" s="231"/>
      <c r="P47" s="231"/>
      <c r="Q47" s="231"/>
      <c r="R47" s="231"/>
      <c r="S47" s="231"/>
      <c r="T47" s="231"/>
      <c r="U47" s="231"/>
      <c r="V47" s="231"/>
      <c r="W47" s="231"/>
      <c r="X47" s="231"/>
      <c r="Y47" s="231"/>
      <c r="Z47" s="231"/>
      <c r="AA47" s="231"/>
      <c r="AB47" s="231"/>
      <c r="AC47" s="231"/>
      <c r="AD47" s="231"/>
      <c r="AE47" s="231"/>
      <c r="AF47" s="231"/>
    </row>
    <row r="48" spans="1:32" s="203" customFormat="1">
      <c r="A48" s="46">
        <v>6</v>
      </c>
      <c r="B48" s="90" t="s">
        <v>253</v>
      </c>
      <c r="C48" s="47"/>
      <c r="D48" s="195"/>
      <c r="E48" s="49">
        <v>30182</v>
      </c>
      <c r="F48" s="52">
        <v>30132</v>
      </c>
      <c r="G48" s="45"/>
      <c r="H48" s="52">
        <v>31650</v>
      </c>
      <c r="I48" s="43"/>
      <c r="J48" s="231"/>
      <c r="K48" s="231"/>
      <c r="L48" s="231"/>
      <c r="M48" s="231"/>
      <c r="N48" s="231"/>
      <c r="O48" s="231"/>
      <c r="P48" s="231"/>
      <c r="Q48" s="231"/>
      <c r="R48" s="231"/>
      <c r="S48" s="231"/>
      <c r="T48" s="231"/>
      <c r="U48" s="231"/>
      <c r="V48" s="231"/>
      <c r="W48" s="231"/>
      <c r="X48" s="231"/>
      <c r="Y48" s="231"/>
      <c r="Z48" s="231"/>
      <c r="AA48" s="231"/>
      <c r="AB48" s="231"/>
      <c r="AC48" s="231"/>
      <c r="AD48" s="231"/>
      <c r="AE48" s="231"/>
      <c r="AF48" s="231"/>
    </row>
    <row r="49" spans="1:32" s="203" customFormat="1">
      <c r="A49" s="77">
        <v>7</v>
      </c>
      <c r="B49" s="78" t="s">
        <v>71</v>
      </c>
      <c r="C49" s="58"/>
      <c r="D49" s="79"/>
      <c r="E49" s="80">
        <v>194752</v>
      </c>
      <c r="F49" s="81">
        <f>SUM(F43:F48)</f>
        <v>195651</v>
      </c>
      <c r="G49" s="82"/>
      <c r="H49" s="62">
        <f>SUM(H43:H48)</f>
        <v>200559</v>
      </c>
      <c r="I49" s="242"/>
      <c r="J49" s="231"/>
      <c r="K49" s="231"/>
      <c r="L49" s="231"/>
      <c r="M49" s="231"/>
      <c r="N49" s="231"/>
      <c r="O49" s="231"/>
      <c r="P49" s="231"/>
      <c r="Q49" s="231"/>
      <c r="R49" s="231"/>
      <c r="S49" s="231"/>
      <c r="T49" s="231"/>
      <c r="U49" s="231"/>
      <c r="V49" s="231"/>
      <c r="W49" s="231"/>
      <c r="X49" s="231"/>
      <c r="Y49" s="231"/>
      <c r="Z49" s="231"/>
      <c r="AA49" s="231"/>
      <c r="AB49" s="231"/>
      <c r="AC49" s="231"/>
      <c r="AD49" s="231"/>
      <c r="AE49" s="231"/>
      <c r="AF49" s="231"/>
    </row>
    <row r="50" spans="1:32" s="203" customFormat="1">
      <c r="A50" s="83"/>
      <c r="B50" s="244"/>
      <c r="C50" s="244"/>
      <c r="D50" s="244"/>
      <c r="E50" s="85"/>
      <c r="F50" s="244"/>
      <c r="G50" s="86"/>
      <c r="H50" s="86"/>
      <c r="I50" s="21"/>
      <c r="J50" s="231"/>
      <c r="K50" s="231"/>
      <c r="L50" s="231"/>
      <c r="M50" s="231"/>
      <c r="N50" s="231"/>
      <c r="O50" s="231"/>
      <c r="P50" s="231"/>
      <c r="Q50" s="231"/>
      <c r="R50" s="231"/>
      <c r="S50" s="231"/>
      <c r="T50" s="231"/>
      <c r="U50" s="231"/>
      <c r="V50" s="231"/>
      <c r="W50" s="231"/>
      <c r="X50" s="231"/>
      <c r="Y50" s="231"/>
      <c r="Z50" s="231"/>
      <c r="AA50" s="231"/>
      <c r="AB50" s="231"/>
      <c r="AC50" s="231"/>
      <c r="AD50" s="231"/>
      <c r="AE50" s="231"/>
      <c r="AF50" s="231"/>
    </row>
    <row r="51" spans="1:32" s="203" customFormat="1">
      <c r="A51" s="678" t="s">
        <v>72</v>
      </c>
      <c r="B51" s="196" t="s">
        <v>254</v>
      </c>
      <c r="C51" s="69"/>
      <c r="D51" s="70"/>
      <c r="E51" s="87"/>
      <c r="F51" s="88"/>
      <c r="G51" s="45"/>
      <c r="H51" s="89"/>
      <c r="I51" s="43"/>
      <c r="J51" s="231"/>
      <c r="K51" s="231"/>
      <c r="L51" s="231"/>
      <c r="M51" s="231"/>
      <c r="N51" s="231"/>
      <c r="O51" s="231"/>
      <c r="P51" s="231"/>
      <c r="Q51" s="231"/>
      <c r="R51" s="231"/>
      <c r="S51" s="231"/>
      <c r="T51" s="231"/>
      <c r="U51" s="231"/>
      <c r="V51" s="231"/>
      <c r="W51" s="231"/>
      <c r="X51" s="231"/>
      <c r="Y51" s="231"/>
      <c r="Z51" s="231"/>
      <c r="AA51" s="231"/>
      <c r="AB51" s="231"/>
      <c r="AC51" s="231"/>
      <c r="AD51" s="231"/>
      <c r="AE51" s="231"/>
      <c r="AF51" s="231"/>
    </row>
    <row r="52" spans="1:32" s="203" customFormat="1">
      <c r="A52" s="46">
        <v>8</v>
      </c>
      <c r="B52" s="90" t="s">
        <v>73</v>
      </c>
      <c r="C52" s="47"/>
      <c r="D52" s="48"/>
      <c r="E52" s="74">
        <v>195515</v>
      </c>
      <c r="F52" s="50">
        <f>F38</f>
        <v>195178.03</v>
      </c>
      <c r="G52" s="45"/>
      <c r="H52" s="91">
        <f>H38</f>
        <v>201622.32466040377</v>
      </c>
      <c r="I52" s="43"/>
      <c r="J52" s="231"/>
      <c r="K52" s="231"/>
      <c r="L52" s="231"/>
      <c r="M52" s="231"/>
      <c r="N52" s="231"/>
      <c r="O52" s="231"/>
      <c r="P52" s="231"/>
      <c r="Q52" s="231"/>
      <c r="R52" s="231"/>
      <c r="S52" s="231"/>
      <c r="T52" s="231"/>
      <c r="U52" s="231"/>
      <c r="V52" s="231"/>
      <c r="W52" s="231"/>
      <c r="X52" s="231"/>
      <c r="Y52" s="231"/>
      <c r="Z52" s="231"/>
      <c r="AA52" s="231"/>
      <c r="AB52" s="231"/>
      <c r="AC52" s="231"/>
      <c r="AD52" s="231"/>
      <c r="AE52" s="231"/>
      <c r="AF52" s="231"/>
    </row>
    <row r="53" spans="1:32" s="203" customFormat="1">
      <c r="A53" s="46">
        <v>9</v>
      </c>
      <c r="B53" s="90" t="s">
        <v>74</v>
      </c>
      <c r="C53" s="47"/>
      <c r="D53" s="48"/>
      <c r="E53" s="49">
        <v>194752</v>
      </c>
      <c r="F53" s="92">
        <f>F49</f>
        <v>195651</v>
      </c>
      <c r="G53" s="45"/>
      <c r="H53" s="91">
        <f>H49</f>
        <v>200559</v>
      </c>
      <c r="I53" s="43"/>
      <c r="J53" s="231"/>
      <c r="K53" s="231"/>
      <c r="L53" s="231"/>
      <c r="M53" s="231"/>
      <c r="N53" s="231"/>
      <c r="O53" s="231"/>
      <c r="P53" s="231"/>
      <c r="Q53" s="231"/>
      <c r="R53" s="231"/>
      <c r="S53" s="231"/>
      <c r="T53" s="231"/>
      <c r="U53" s="231"/>
      <c r="V53" s="231"/>
      <c r="W53" s="231"/>
      <c r="X53" s="231"/>
      <c r="Y53" s="231"/>
      <c r="Z53" s="231"/>
      <c r="AA53" s="231"/>
      <c r="AB53" s="231"/>
      <c r="AC53" s="231"/>
      <c r="AD53" s="231"/>
      <c r="AE53" s="231"/>
      <c r="AF53" s="231"/>
    </row>
    <row r="54" spans="1:32" s="203" customFormat="1">
      <c r="A54" s="680">
        <v>10</v>
      </c>
      <c r="B54" s="93" t="s">
        <v>255</v>
      </c>
      <c r="C54" s="94"/>
      <c r="D54" s="55"/>
      <c r="E54" s="95">
        <v>-763</v>
      </c>
      <c r="F54" s="96">
        <f>F53-F52</f>
        <v>472.97000000000116</v>
      </c>
      <c r="G54" s="45"/>
      <c r="H54" s="97">
        <f>H53-H52</f>
        <v>-1063.3246604037704</v>
      </c>
      <c r="I54" s="43"/>
      <c r="J54" s="231"/>
      <c r="K54" s="231"/>
      <c r="L54" s="231"/>
      <c r="M54" s="231"/>
      <c r="N54" s="231"/>
      <c r="O54" s="231"/>
      <c r="P54" s="231"/>
      <c r="Q54" s="231"/>
      <c r="R54" s="231"/>
      <c r="S54" s="231"/>
      <c r="T54" s="231"/>
      <c r="U54" s="231"/>
      <c r="V54" s="231"/>
      <c r="W54" s="231"/>
      <c r="X54" s="231"/>
      <c r="Y54" s="231"/>
      <c r="Z54" s="231"/>
      <c r="AA54" s="231"/>
      <c r="AB54" s="231"/>
      <c r="AC54" s="231"/>
      <c r="AD54" s="231"/>
      <c r="AE54" s="231"/>
      <c r="AF54" s="231"/>
    </row>
    <row r="55" spans="1:32" s="203" customFormat="1">
      <c r="A55" s="83"/>
      <c r="B55" s="244"/>
      <c r="C55" s="244"/>
      <c r="D55" s="244"/>
      <c r="E55" s="85"/>
      <c r="F55" s="244"/>
      <c r="G55" s="86"/>
      <c r="H55" s="86"/>
      <c r="I55" s="21"/>
      <c r="J55" s="231"/>
      <c r="K55" s="231"/>
      <c r="L55" s="231"/>
      <c r="M55" s="231"/>
      <c r="N55" s="231"/>
      <c r="O55" s="231"/>
      <c r="P55" s="231"/>
      <c r="Q55" s="231"/>
      <c r="R55" s="231"/>
      <c r="S55" s="231"/>
      <c r="T55" s="231"/>
      <c r="U55" s="231"/>
      <c r="V55" s="231"/>
      <c r="W55" s="231"/>
      <c r="X55" s="231"/>
      <c r="Y55" s="231"/>
      <c r="Z55" s="231"/>
      <c r="AA55" s="231"/>
      <c r="AB55" s="231"/>
      <c r="AC55" s="231"/>
      <c r="AD55" s="231"/>
      <c r="AE55" s="231"/>
      <c r="AF55" s="231"/>
    </row>
    <row r="56" spans="1:32" s="203" customFormat="1">
      <c r="A56" s="678" t="s">
        <v>75</v>
      </c>
      <c r="B56" s="69" t="s">
        <v>256</v>
      </c>
      <c r="C56" s="69"/>
      <c r="D56" s="70"/>
      <c r="E56" s="87"/>
      <c r="F56" s="88"/>
      <c r="G56" s="45"/>
      <c r="H56" s="89"/>
      <c r="I56" s="43"/>
      <c r="J56" s="231"/>
      <c r="K56" s="231"/>
      <c r="L56" s="231"/>
      <c r="M56" s="231"/>
      <c r="N56" s="231"/>
      <c r="O56" s="231"/>
      <c r="P56" s="231"/>
      <c r="Q56" s="231"/>
      <c r="R56" s="231"/>
      <c r="S56" s="231"/>
      <c r="T56" s="231"/>
      <c r="U56" s="231"/>
      <c r="V56" s="231"/>
      <c r="W56" s="231"/>
      <c r="X56" s="231"/>
      <c r="Y56" s="231"/>
      <c r="Z56" s="231"/>
      <c r="AA56" s="231"/>
      <c r="AB56" s="231"/>
      <c r="AC56" s="231"/>
      <c r="AD56" s="231"/>
      <c r="AE56" s="231"/>
      <c r="AF56" s="231"/>
    </row>
    <row r="57" spans="1:32" s="203" customFormat="1">
      <c r="A57" s="46">
        <v>11</v>
      </c>
      <c r="B57" s="47" t="s">
        <v>76</v>
      </c>
      <c r="C57" s="47"/>
      <c r="D57" s="48"/>
      <c r="E57" s="74">
        <v>52938</v>
      </c>
      <c r="F57" s="52">
        <v>41210</v>
      </c>
      <c r="G57" s="45"/>
      <c r="H57" s="91">
        <f>F61</f>
        <v>42445.97</v>
      </c>
      <c r="I57" s="43"/>
      <c r="J57" s="231"/>
      <c r="K57" s="231"/>
      <c r="L57" s="231"/>
      <c r="M57" s="231"/>
      <c r="N57" s="231"/>
      <c r="O57" s="231"/>
      <c r="P57" s="231"/>
      <c r="Q57" s="231"/>
      <c r="R57" s="231"/>
      <c r="S57" s="231"/>
      <c r="T57" s="231"/>
      <c r="U57" s="231"/>
      <c r="V57" s="231"/>
      <c r="W57" s="231"/>
      <c r="X57" s="231"/>
      <c r="Y57" s="231"/>
      <c r="Z57" s="231"/>
      <c r="AA57" s="231"/>
      <c r="AB57" s="231"/>
      <c r="AC57" s="231"/>
      <c r="AD57" s="231"/>
      <c r="AE57" s="231"/>
      <c r="AF57" s="231"/>
    </row>
    <row r="58" spans="1:32" s="203" customFormat="1">
      <c r="A58" s="46">
        <v>12</v>
      </c>
      <c r="B58" s="90" t="s">
        <v>257</v>
      </c>
      <c r="C58" s="47"/>
      <c r="D58" s="48"/>
      <c r="E58" s="49">
        <v>-763</v>
      </c>
      <c r="F58" s="92">
        <f>F54</f>
        <v>472.97000000000116</v>
      </c>
      <c r="G58" s="45"/>
      <c r="H58" s="98">
        <f>H54</f>
        <v>-1063.3246604037704</v>
      </c>
      <c r="I58" s="43"/>
      <c r="J58" s="231"/>
      <c r="K58" s="231"/>
      <c r="L58" s="231"/>
      <c r="M58" s="231"/>
      <c r="N58" s="231"/>
      <c r="O58" s="231"/>
      <c r="P58" s="231"/>
      <c r="Q58" s="231"/>
      <c r="R58" s="231"/>
      <c r="S58" s="231"/>
      <c r="T58" s="231"/>
      <c r="U58" s="231"/>
      <c r="V58" s="231"/>
      <c r="W58" s="231"/>
      <c r="X58" s="231"/>
      <c r="Y58" s="231"/>
      <c r="Z58" s="231"/>
      <c r="AA58" s="231"/>
      <c r="AB58" s="231"/>
      <c r="AC58" s="231"/>
      <c r="AD58" s="231"/>
      <c r="AE58" s="231"/>
      <c r="AF58" s="231"/>
    </row>
    <row r="59" spans="1:32" s="203" customFormat="1">
      <c r="A59" s="46">
        <v>13</v>
      </c>
      <c r="B59" s="47" t="s">
        <v>77</v>
      </c>
      <c r="C59" s="47"/>
      <c r="D59" s="48"/>
      <c r="E59" s="49">
        <v>0</v>
      </c>
      <c r="F59" s="52"/>
      <c r="G59" s="45"/>
      <c r="H59" s="99"/>
      <c r="I59" s="43"/>
      <c r="J59" s="231"/>
      <c r="K59" s="231"/>
      <c r="L59" s="231"/>
      <c r="M59" s="231"/>
      <c r="N59" s="231"/>
      <c r="O59" s="231"/>
      <c r="P59" s="231"/>
      <c r="Q59" s="231"/>
      <c r="R59" s="231"/>
      <c r="S59" s="231"/>
      <c r="T59" s="231"/>
      <c r="U59" s="231"/>
      <c r="V59" s="231"/>
      <c r="W59" s="231"/>
      <c r="X59" s="231"/>
      <c r="Y59" s="231"/>
      <c r="Z59" s="231"/>
      <c r="AA59" s="231"/>
      <c r="AB59" s="231"/>
      <c r="AC59" s="231"/>
      <c r="AD59" s="231"/>
      <c r="AE59" s="231"/>
      <c r="AF59" s="231"/>
    </row>
    <row r="60" spans="1:32" s="203" customFormat="1">
      <c r="A60" s="46">
        <v>14</v>
      </c>
      <c r="B60" s="47" t="s">
        <v>78</v>
      </c>
      <c r="C60" s="47"/>
      <c r="D60" s="48"/>
      <c r="E60" s="49">
        <v>763</v>
      </c>
      <c r="F60" s="52">
        <v>763</v>
      </c>
      <c r="G60" s="45"/>
      <c r="H60" s="100">
        <v>1063</v>
      </c>
      <c r="I60" s="43"/>
      <c r="J60" s="231"/>
      <c r="K60" s="231"/>
      <c r="L60" s="231"/>
      <c r="M60" s="231"/>
      <c r="N60" s="231"/>
      <c r="O60" s="231"/>
      <c r="P60" s="231"/>
      <c r="Q60" s="231"/>
      <c r="R60" s="231"/>
      <c r="S60" s="231"/>
      <c r="T60" s="231"/>
      <c r="U60" s="231"/>
      <c r="V60" s="231"/>
      <c r="W60" s="231"/>
      <c r="X60" s="231"/>
      <c r="Y60" s="231"/>
      <c r="Z60" s="231"/>
      <c r="AA60" s="231"/>
      <c r="AB60" s="231"/>
      <c r="AC60" s="231"/>
      <c r="AD60" s="231"/>
      <c r="AE60" s="231"/>
      <c r="AF60" s="231"/>
    </row>
    <row r="61" spans="1:32" s="203" customFormat="1">
      <c r="A61" s="53">
        <v>15</v>
      </c>
      <c r="B61" s="54" t="s">
        <v>79</v>
      </c>
      <c r="C61" s="54"/>
      <c r="D61" s="55"/>
      <c r="E61" s="56">
        <v>52938</v>
      </c>
      <c r="F61" s="96">
        <f>F57+F58+F59+F60</f>
        <v>42445.97</v>
      </c>
      <c r="G61" s="45"/>
      <c r="H61" s="101">
        <f>H57+H58+H59+H60</f>
        <v>42445.645339596231</v>
      </c>
      <c r="I61" s="43"/>
      <c r="J61" s="231"/>
      <c r="K61" s="231"/>
      <c r="L61" s="231"/>
      <c r="M61" s="231"/>
      <c r="N61" s="231"/>
      <c r="O61" s="231"/>
      <c r="P61" s="231"/>
      <c r="Q61" s="231"/>
      <c r="R61" s="231"/>
      <c r="S61" s="231"/>
      <c r="T61" s="231"/>
      <c r="U61" s="231"/>
      <c r="V61" s="231"/>
      <c r="W61" s="231"/>
      <c r="X61" s="231"/>
      <c r="Y61" s="231"/>
      <c r="Z61" s="231"/>
      <c r="AA61" s="231"/>
      <c r="AB61" s="231"/>
      <c r="AC61" s="231"/>
      <c r="AD61" s="231"/>
      <c r="AE61" s="231"/>
      <c r="AF61" s="231"/>
    </row>
    <row r="62" spans="1:32" s="203" customFormat="1">
      <c r="A62" s="102"/>
      <c r="B62" s="207"/>
      <c r="C62" s="207"/>
      <c r="D62" s="207"/>
      <c r="E62" s="103"/>
      <c r="F62" s="21"/>
      <c r="G62" s="21"/>
      <c r="H62" s="21"/>
      <c r="I62" s="21"/>
      <c r="J62" s="231"/>
      <c r="K62" s="231"/>
      <c r="L62" s="231"/>
      <c r="M62" s="231"/>
      <c r="N62" s="231"/>
      <c r="O62" s="231"/>
      <c r="P62" s="231"/>
      <c r="Q62" s="231"/>
      <c r="R62" s="231"/>
      <c r="S62" s="231"/>
      <c r="T62" s="231"/>
      <c r="U62" s="231"/>
      <c r="V62" s="231"/>
      <c r="W62" s="231"/>
      <c r="X62" s="231"/>
      <c r="Y62" s="231"/>
      <c r="Z62" s="231"/>
      <c r="AA62" s="231"/>
      <c r="AB62" s="231"/>
      <c r="AC62" s="231"/>
      <c r="AD62" s="231"/>
      <c r="AE62" s="231"/>
      <c r="AF62" s="231"/>
    </row>
    <row r="63" spans="1:32" s="203" customFormat="1" ht="12.75" customHeight="1">
      <c r="A63" s="23"/>
      <c r="B63" s="207"/>
      <c r="C63" s="207"/>
      <c r="D63" s="207"/>
      <c r="E63" s="15"/>
      <c r="F63" s="207"/>
      <c r="G63" s="207"/>
      <c r="H63" s="21"/>
      <c r="I63" s="21"/>
      <c r="J63" s="231"/>
      <c r="K63" s="231"/>
      <c r="L63" s="231"/>
      <c r="M63" s="231"/>
      <c r="N63" s="231"/>
      <c r="O63" s="231"/>
      <c r="P63" s="231"/>
      <c r="Q63" s="231"/>
      <c r="R63" s="231"/>
      <c r="S63" s="231"/>
      <c r="T63" s="231"/>
      <c r="U63" s="231"/>
      <c r="V63" s="231"/>
      <c r="W63" s="231"/>
      <c r="X63" s="231"/>
      <c r="Y63" s="231"/>
      <c r="Z63" s="231"/>
      <c r="AA63" s="231"/>
      <c r="AB63" s="231"/>
      <c r="AC63" s="231"/>
      <c r="AD63" s="231"/>
      <c r="AE63" s="231"/>
      <c r="AF63" s="231"/>
    </row>
    <row r="64" spans="1:32" s="203" customFormat="1" ht="15">
      <c r="A64" s="104" t="s">
        <v>80</v>
      </c>
      <c r="B64" s="29"/>
      <c r="C64" s="29"/>
      <c r="D64" s="29"/>
      <c r="E64" s="15"/>
      <c r="F64" s="29"/>
      <c r="G64" s="29"/>
      <c r="H64" s="29"/>
      <c r="I64" s="29"/>
      <c r="J64" s="231"/>
      <c r="K64" s="231"/>
      <c r="L64" s="231"/>
      <c r="M64" s="231"/>
      <c r="N64" s="231"/>
      <c r="O64" s="231"/>
      <c r="P64" s="231"/>
      <c r="Q64" s="231"/>
      <c r="R64" s="231"/>
      <c r="S64" s="231"/>
      <c r="T64" s="231"/>
      <c r="U64" s="231"/>
      <c r="V64" s="231"/>
      <c r="W64" s="231"/>
      <c r="X64" s="231"/>
      <c r="Y64" s="231"/>
      <c r="Z64" s="231"/>
      <c r="AA64" s="231"/>
      <c r="AB64" s="231"/>
      <c r="AC64" s="231"/>
      <c r="AD64" s="231"/>
      <c r="AE64" s="231"/>
      <c r="AF64" s="231"/>
    </row>
    <row r="65" spans="1:32" s="203" customFormat="1">
      <c r="A65" s="32"/>
      <c r="B65" s="29"/>
      <c r="C65" s="29"/>
      <c r="D65" s="29"/>
      <c r="E65" s="105"/>
      <c r="F65" s="29"/>
      <c r="G65" s="29"/>
      <c r="H65" s="29"/>
      <c r="I65" s="131" t="s">
        <v>27</v>
      </c>
      <c r="J65" s="231"/>
      <c r="K65" s="231"/>
      <c r="L65" s="231"/>
      <c r="M65" s="231"/>
      <c r="N65" s="231"/>
      <c r="O65" s="231"/>
      <c r="P65" s="231"/>
      <c r="Q65" s="231"/>
      <c r="R65" s="231"/>
      <c r="S65" s="231"/>
      <c r="T65" s="231"/>
      <c r="U65" s="231"/>
      <c r="V65" s="231"/>
      <c r="W65" s="231"/>
      <c r="X65" s="231"/>
      <c r="Y65" s="231"/>
      <c r="Z65" s="231"/>
      <c r="AA65" s="231"/>
      <c r="AB65" s="231"/>
      <c r="AC65" s="231"/>
      <c r="AD65" s="231"/>
      <c r="AE65" s="231"/>
      <c r="AF65" s="231"/>
    </row>
    <row r="66" spans="1:32" s="203" customFormat="1">
      <c r="A66" s="106" t="s">
        <v>14</v>
      </c>
      <c r="B66" s="107"/>
      <c r="C66" s="107"/>
      <c r="D66" s="107"/>
      <c r="E66" s="856" t="s">
        <v>377</v>
      </c>
      <c r="F66" s="962" t="s">
        <v>402</v>
      </c>
      <c r="G66" s="867" t="s">
        <v>81</v>
      </c>
      <c r="H66" s="962" t="s">
        <v>403</v>
      </c>
      <c r="I66" s="867" t="s">
        <v>81</v>
      </c>
      <c r="J66" s="231"/>
      <c r="K66" s="231"/>
      <c r="L66" s="231"/>
      <c r="M66" s="231"/>
      <c r="N66" s="231"/>
      <c r="O66" s="231"/>
      <c r="P66" s="231"/>
      <c r="Q66" s="231"/>
      <c r="R66" s="231"/>
      <c r="S66" s="231"/>
      <c r="T66" s="231"/>
      <c r="U66" s="231"/>
      <c r="V66" s="231"/>
      <c r="W66" s="231"/>
      <c r="X66" s="231"/>
      <c r="Y66" s="231"/>
      <c r="Z66" s="231"/>
      <c r="AA66" s="231"/>
      <c r="AB66" s="231"/>
      <c r="AC66" s="231"/>
      <c r="AD66" s="231"/>
      <c r="AE66" s="231"/>
      <c r="AF66" s="231"/>
    </row>
    <row r="67" spans="1:32" s="203" customFormat="1" ht="21" customHeight="1">
      <c r="A67" s="108"/>
      <c r="B67" s="47"/>
      <c r="C67" s="47"/>
      <c r="D67" s="47"/>
      <c r="E67" s="859"/>
      <c r="F67" s="963"/>
      <c r="G67" s="868"/>
      <c r="H67" s="963"/>
      <c r="I67" s="868"/>
      <c r="J67" s="231"/>
      <c r="K67" s="231"/>
      <c r="L67" s="231"/>
      <c r="M67" s="231"/>
      <c r="N67" s="231"/>
      <c r="O67" s="231"/>
      <c r="P67" s="231"/>
      <c r="Q67" s="231"/>
      <c r="R67" s="231"/>
      <c r="S67" s="231"/>
      <c r="T67" s="231"/>
      <c r="U67" s="231"/>
      <c r="V67" s="231"/>
      <c r="W67" s="231"/>
      <c r="X67" s="231"/>
      <c r="Y67" s="231"/>
      <c r="Z67" s="231"/>
      <c r="AA67" s="231"/>
      <c r="AB67" s="231"/>
      <c r="AC67" s="231"/>
      <c r="AD67" s="231"/>
      <c r="AE67" s="231"/>
      <c r="AF67" s="231"/>
    </row>
    <row r="68" spans="1:32" s="203" customFormat="1">
      <c r="A68" s="109" t="s">
        <v>82</v>
      </c>
      <c r="B68" s="47"/>
      <c r="C68" s="47"/>
      <c r="D68" s="47"/>
      <c r="E68" s="859"/>
      <c r="F68" s="963"/>
      <c r="G68" s="868"/>
      <c r="H68" s="963"/>
      <c r="I68" s="868"/>
      <c r="J68" s="231"/>
      <c r="K68" s="231"/>
      <c r="L68" s="231"/>
      <c r="M68" s="231"/>
      <c r="N68" s="231"/>
      <c r="O68" s="231"/>
      <c r="P68" s="231"/>
      <c r="Q68" s="231"/>
      <c r="R68" s="231"/>
      <c r="S68" s="231"/>
      <c r="T68" s="231"/>
      <c r="U68" s="231"/>
      <c r="V68" s="231"/>
      <c r="W68" s="231"/>
      <c r="X68" s="231"/>
      <c r="Y68" s="231"/>
      <c r="Z68" s="231"/>
      <c r="AA68" s="231"/>
      <c r="AB68" s="231"/>
      <c r="AC68" s="231"/>
      <c r="AD68" s="231"/>
      <c r="AE68" s="231"/>
      <c r="AF68" s="231"/>
    </row>
    <row r="69" spans="1:32" s="203" customFormat="1">
      <c r="A69" s="109" t="s">
        <v>83</v>
      </c>
      <c r="B69" s="47"/>
      <c r="C69" s="47"/>
      <c r="D69" s="47"/>
      <c r="E69" s="859"/>
      <c r="F69" s="963"/>
      <c r="G69" s="868"/>
      <c r="H69" s="963"/>
      <c r="I69" s="868"/>
      <c r="J69" s="231"/>
      <c r="K69" s="231"/>
      <c r="L69" s="231"/>
      <c r="M69" s="231"/>
      <c r="N69" s="231"/>
      <c r="O69" s="231"/>
      <c r="P69" s="231"/>
      <c r="Q69" s="231"/>
      <c r="R69" s="231"/>
      <c r="S69" s="231"/>
      <c r="T69" s="231"/>
      <c r="U69" s="231"/>
      <c r="V69" s="231"/>
      <c r="W69" s="231"/>
      <c r="X69" s="231"/>
      <c r="Y69" s="231"/>
      <c r="Z69" s="231"/>
      <c r="AA69" s="231"/>
      <c r="AB69" s="231"/>
      <c r="AC69" s="231"/>
      <c r="AD69" s="231"/>
      <c r="AE69" s="231"/>
      <c r="AF69" s="231"/>
    </row>
    <row r="70" spans="1:32" s="203" customFormat="1">
      <c r="A70" s="110" t="s">
        <v>84</v>
      </c>
      <c r="B70" s="47"/>
      <c r="C70" s="47"/>
      <c r="D70" s="47"/>
      <c r="E70" s="860"/>
      <c r="F70" s="964"/>
      <c r="G70" s="869"/>
      <c r="H70" s="964"/>
      <c r="I70" s="869"/>
      <c r="J70" s="231"/>
      <c r="K70" s="231"/>
      <c r="L70" s="231"/>
      <c r="M70" s="231"/>
      <c r="N70" s="231"/>
      <c r="O70" s="231"/>
      <c r="P70" s="231"/>
      <c r="Q70" s="231"/>
      <c r="R70" s="231"/>
      <c r="S70" s="231"/>
      <c r="T70" s="231"/>
      <c r="U70" s="231"/>
      <c r="V70" s="231"/>
      <c r="W70" s="231"/>
      <c r="X70" s="231"/>
      <c r="Y70" s="231"/>
      <c r="Z70" s="231"/>
      <c r="AA70" s="231"/>
      <c r="AB70" s="231"/>
      <c r="AC70" s="231"/>
      <c r="AD70" s="231"/>
      <c r="AE70" s="231"/>
      <c r="AF70" s="231"/>
    </row>
    <row r="71" spans="1:32" s="203" customFormat="1">
      <c r="A71" s="111">
        <v>1</v>
      </c>
      <c r="B71" s="47" t="s">
        <v>85</v>
      </c>
      <c r="C71" s="47"/>
      <c r="D71" s="47"/>
      <c r="E71" s="41">
        <v>8433</v>
      </c>
      <c r="F71" s="247">
        <v>8243</v>
      </c>
      <c r="G71" s="112">
        <v>165</v>
      </c>
      <c r="H71" s="248">
        <v>12665</v>
      </c>
      <c r="I71" s="112">
        <v>253</v>
      </c>
      <c r="J71" s="231"/>
      <c r="K71" s="231"/>
      <c r="L71" s="231"/>
      <c r="M71" s="231"/>
      <c r="N71" s="231"/>
      <c r="O71" s="231"/>
      <c r="P71" s="231"/>
      <c r="Q71" s="231"/>
      <c r="R71" s="231"/>
      <c r="S71" s="231"/>
      <c r="T71" s="231"/>
      <c r="U71" s="231"/>
      <c r="V71" s="231"/>
      <c r="W71" s="231"/>
      <c r="X71" s="231"/>
      <c r="Y71" s="231"/>
      <c r="Z71" s="231"/>
      <c r="AA71" s="231"/>
      <c r="AB71" s="231"/>
      <c r="AC71" s="231"/>
      <c r="AD71" s="231"/>
      <c r="AE71" s="231"/>
      <c r="AF71" s="231"/>
    </row>
    <row r="72" spans="1:32" s="203" customFormat="1">
      <c r="A72" s="111">
        <v>2</v>
      </c>
      <c r="B72" s="47" t="s">
        <v>86</v>
      </c>
      <c r="C72" s="47"/>
      <c r="D72" s="47"/>
      <c r="E72" s="49">
        <v>26740</v>
      </c>
      <c r="F72" s="247">
        <v>27331</v>
      </c>
      <c r="G72" s="113">
        <v>23231</v>
      </c>
      <c r="H72" s="123">
        <v>27543</v>
      </c>
      <c r="I72" s="113">
        <v>23411</v>
      </c>
      <c r="J72" s="231"/>
      <c r="K72" s="231"/>
      <c r="L72" s="231"/>
      <c r="M72" s="231"/>
      <c r="N72" s="231"/>
      <c r="O72" s="231"/>
      <c r="P72" s="231"/>
      <c r="Q72" s="231"/>
      <c r="R72" s="231"/>
      <c r="S72" s="231"/>
      <c r="T72" s="231"/>
      <c r="U72" s="231"/>
      <c r="V72" s="231"/>
      <c r="W72" s="231"/>
      <c r="X72" s="231"/>
      <c r="Y72" s="231"/>
      <c r="Z72" s="231"/>
      <c r="AA72" s="231"/>
      <c r="AB72" s="231"/>
      <c r="AC72" s="231"/>
      <c r="AD72" s="231"/>
      <c r="AE72" s="231"/>
      <c r="AF72" s="231"/>
    </row>
    <row r="73" spans="1:32" s="203" customFormat="1">
      <c r="A73" s="111">
        <v>3</v>
      </c>
      <c r="B73" s="47" t="s">
        <v>87</v>
      </c>
      <c r="C73" s="47"/>
      <c r="D73" s="47"/>
      <c r="E73" s="114">
        <v>29569</v>
      </c>
      <c r="F73" s="247">
        <v>31089</v>
      </c>
      <c r="G73" s="113">
        <v>26425</v>
      </c>
      <c r="H73" s="123">
        <v>30526</v>
      </c>
      <c r="I73" s="113">
        <v>25957</v>
      </c>
      <c r="J73" s="231"/>
      <c r="K73" s="231"/>
      <c r="L73" s="231"/>
      <c r="M73" s="231"/>
      <c r="N73" s="231"/>
      <c r="O73" s="231"/>
      <c r="P73" s="231"/>
      <c r="Q73" s="231"/>
      <c r="R73" s="231"/>
      <c r="S73" s="231"/>
      <c r="T73" s="231"/>
      <c r="U73" s="231"/>
      <c r="V73" s="231"/>
      <c r="W73" s="231"/>
      <c r="X73" s="231"/>
      <c r="Y73" s="231"/>
      <c r="Z73" s="231"/>
      <c r="AA73" s="231"/>
      <c r="AB73" s="231"/>
      <c r="AC73" s="231"/>
      <c r="AD73" s="231"/>
      <c r="AE73" s="231"/>
      <c r="AF73" s="231"/>
    </row>
    <row r="74" spans="1:32" s="203" customFormat="1">
      <c r="A74" s="111">
        <v>4</v>
      </c>
      <c r="B74" s="47" t="s">
        <v>88</v>
      </c>
      <c r="C74" s="47"/>
      <c r="D74" s="47"/>
      <c r="E74" s="114">
        <v>9233</v>
      </c>
      <c r="F74" s="247">
        <v>9434</v>
      </c>
      <c r="G74" s="113">
        <v>4717</v>
      </c>
      <c r="H74" s="123">
        <v>9896</v>
      </c>
      <c r="I74" s="113">
        <v>4948</v>
      </c>
      <c r="J74" s="231"/>
      <c r="K74" s="231"/>
      <c r="L74" s="231"/>
      <c r="M74" s="231"/>
      <c r="N74" s="231"/>
      <c r="O74" s="231"/>
      <c r="P74" s="231"/>
      <c r="Q74" s="231"/>
      <c r="R74" s="231"/>
      <c r="S74" s="231"/>
      <c r="T74" s="231"/>
      <c r="U74" s="231"/>
      <c r="V74" s="231"/>
      <c r="W74" s="231"/>
      <c r="X74" s="231"/>
      <c r="Y74" s="231"/>
      <c r="Z74" s="231"/>
      <c r="AA74" s="231"/>
      <c r="AB74" s="231"/>
      <c r="AC74" s="231"/>
      <c r="AD74" s="231"/>
      <c r="AE74" s="231"/>
      <c r="AF74" s="231"/>
    </row>
    <row r="75" spans="1:32" s="203" customFormat="1">
      <c r="A75" s="111">
        <v>5</v>
      </c>
      <c r="B75" s="47" t="s">
        <v>89</v>
      </c>
      <c r="C75" s="47" t="s">
        <v>90</v>
      </c>
      <c r="D75" s="47"/>
      <c r="E75" s="114">
        <v>1635</v>
      </c>
      <c r="F75" s="247">
        <v>1707</v>
      </c>
      <c r="G75" s="113">
        <v>0</v>
      </c>
      <c r="H75" s="123">
        <v>1782</v>
      </c>
      <c r="I75" s="113">
        <v>0</v>
      </c>
      <c r="J75" s="231"/>
      <c r="K75" s="231"/>
      <c r="L75" s="231"/>
      <c r="M75" s="231"/>
      <c r="N75" s="231"/>
      <c r="O75" s="231"/>
      <c r="P75" s="231"/>
      <c r="Q75" s="231"/>
      <c r="R75" s="231"/>
      <c r="S75" s="231"/>
      <c r="T75" s="231"/>
      <c r="U75" s="231"/>
      <c r="V75" s="231"/>
      <c r="W75" s="231"/>
      <c r="X75" s="231"/>
      <c r="Y75" s="231"/>
      <c r="Z75" s="231"/>
      <c r="AA75" s="231"/>
      <c r="AB75" s="231"/>
      <c r="AC75" s="231"/>
      <c r="AD75" s="231"/>
      <c r="AE75" s="231"/>
      <c r="AF75" s="231"/>
    </row>
    <row r="76" spans="1:32" s="203" customFormat="1">
      <c r="A76" s="679"/>
      <c r="B76" s="681"/>
      <c r="C76" s="47" t="s">
        <v>91</v>
      </c>
      <c r="D76" s="47"/>
      <c r="E76" s="114">
        <v>7470</v>
      </c>
      <c r="F76" s="247">
        <v>6946</v>
      </c>
      <c r="G76" s="115">
        <v>0</v>
      </c>
      <c r="H76" s="249">
        <v>7573</v>
      </c>
      <c r="I76" s="115">
        <v>0</v>
      </c>
      <c r="J76" s="231"/>
      <c r="K76" s="231"/>
      <c r="L76" s="231"/>
      <c r="M76" s="231"/>
      <c r="N76" s="231"/>
      <c r="O76" s="231"/>
      <c r="P76" s="231"/>
      <c r="Q76" s="231"/>
      <c r="R76" s="231"/>
      <c r="S76" s="231"/>
      <c r="T76" s="231"/>
      <c r="U76" s="231"/>
      <c r="V76" s="231"/>
      <c r="W76" s="231"/>
      <c r="X76" s="231"/>
      <c r="Y76" s="231"/>
      <c r="Z76" s="231"/>
      <c r="AA76" s="231"/>
      <c r="AB76" s="231"/>
      <c r="AC76" s="231"/>
      <c r="AD76" s="231"/>
      <c r="AE76" s="231"/>
      <c r="AF76" s="231"/>
    </row>
    <row r="77" spans="1:32" s="203" customFormat="1">
      <c r="A77" s="111">
        <v>6</v>
      </c>
      <c r="B77" s="116" t="s">
        <v>92</v>
      </c>
      <c r="C77" s="116"/>
      <c r="D77" s="47"/>
      <c r="E77" s="80">
        <v>83080</v>
      </c>
      <c r="F77" s="250">
        <f>SUM(F71:F76)</f>
        <v>84750</v>
      </c>
      <c r="G77" s="251">
        <f>SUM(G71:G76)</f>
        <v>54538</v>
      </c>
      <c r="H77" s="252">
        <f>SUM(H71:H76)</f>
        <v>89985</v>
      </c>
      <c r="I77" s="251">
        <f>SUM(I71:I76)</f>
        <v>54569</v>
      </c>
      <c r="J77" s="231"/>
      <c r="K77" s="231"/>
      <c r="L77" s="231"/>
      <c r="M77" s="231"/>
      <c r="N77" s="231"/>
      <c r="O77" s="231"/>
      <c r="P77" s="231"/>
      <c r="Q77" s="231"/>
      <c r="R77" s="231"/>
      <c r="S77" s="231"/>
      <c r="T77" s="231"/>
      <c r="U77" s="231"/>
      <c r="V77" s="231"/>
      <c r="W77" s="231"/>
      <c r="X77" s="231"/>
      <c r="Y77" s="231"/>
      <c r="Z77" s="231"/>
      <c r="AA77" s="231"/>
      <c r="AB77" s="231"/>
      <c r="AC77" s="231"/>
      <c r="AD77" s="231"/>
      <c r="AE77" s="231"/>
      <c r="AF77" s="231"/>
    </row>
    <row r="78" spans="1:32" s="203" customFormat="1">
      <c r="A78" s="679"/>
      <c r="B78" s="47"/>
      <c r="C78" s="47"/>
      <c r="D78" s="47"/>
      <c r="E78" s="117"/>
      <c r="F78" s="118"/>
      <c r="G78" s="118"/>
      <c r="H78" s="118"/>
      <c r="I78" s="118"/>
      <c r="J78" s="231"/>
      <c r="K78" s="231"/>
      <c r="L78" s="231"/>
      <c r="M78" s="231"/>
      <c r="N78" s="231"/>
      <c r="O78" s="231"/>
      <c r="P78" s="231"/>
      <c r="Q78" s="231"/>
      <c r="R78" s="231"/>
      <c r="S78" s="231"/>
      <c r="T78" s="231"/>
      <c r="U78" s="231"/>
      <c r="V78" s="231"/>
      <c r="W78" s="231"/>
      <c r="X78" s="231"/>
      <c r="Y78" s="231"/>
      <c r="Z78" s="231"/>
      <c r="AA78" s="231"/>
      <c r="AB78" s="231"/>
      <c r="AC78" s="231"/>
      <c r="AD78" s="231"/>
      <c r="AE78" s="231"/>
      <c r="AF78" s="231"/>
    </row>
    <row r="79" spans="1:32" s="203" customFormat="1">
      <c r="A79" s="119" t="s">
        <v>93</v>
      </c>
      <c r="B79" s="116"/>
      <c r="C79" s="116"/>
      <c r="D79" s="116"/>
      <c r="E79" s="117"/>
      <c r="F79" s="118"/>
      <c r="G79" s="118"/>
      <c r="H79" s="118"/>
      <c r="I79" s="118"/>
      <c r="J79" s="231"/>
      <c r="K79" s="231"/>
      <c r="L79" s="231"/>
      <c r="M79" s="231"/>
      <c r="N79" s="231"/>
      <c r="O79" s="231"/>
      <c r="P79" s="231"/>
      <c r="Q79" s="231"/>
      <c r="R79" s="231"/>
      <c r="S79" s="231"/>
      <c r="T79" s="231"/>
      <c r="U79" s="231"/>
      <c r="V79" s="231"/>
      <c r="W79" s="231"/>
      <c r="X79" s="231"/>
      <c r="Y79" s="231"/>
      <c r="Z79" s="231"/>
      <c r="AA79" s="231"/>
      <c r="AB79" s="231"/>
      <c r="AC79" s="231"/>
      <c r="AD79" s="231"/>
      <c r="AE79" s="231"/>
      <c r="AF79" s="231"/>
    </row>
    <row r="80" spans="1:32" s="203" customFormat="1">
      <c r="A80" s="120">
        <v>7</v>
      </c>
      <c r="B80" s="47" t="s">
        <v>94</v>
      </c>
      <c r="C80" s="47"/>
      <c r="D80" s="47"/>
      <c r="E80" s="41">
        <v>362</v>
      </c>
      <c r="F80" s="253">
        <v>303</v>
      </c>
      <c r="G80" s="112"/>
      <c r="H80" s="248">
        <v>299</v>
      </c>
      <c r="I80" s="112"/>
      <c r="J80" s="231"/>
      <c r="K80" s="231"/>
      <c r="L80" s="231"/>
      <c r="M80" s="231"/>
      <c r="N80" s="231"/>
      <c r="O80" s="231"/>
      <c r="P80" s="231"/>
      <c r="Q80" s="231"/>
      <c r="R80" s="231"/>
      <c r="S80" s="231"/>
      <c r="T80" s="231"/>
      <c r="U80" s="231"/>
      <c r="V80" s="231"/>
      <c r="W80" s="231"/>
      <c r="X80" s="231"/>
      <c r="Y80" s="231"/>
      <c r="Z80" s="231"/>
      <c r="AA80" s="231"/>
      <c r="AB80" s="231"/>
      <c r="AC80" s="231"/>
      <c r="AD80" s="231"/>
      <c r="AE80" s="231"/>
      <c r="AF80" s="231"/>
    </row>
    <row r="81" spans="1:32" s="203" customFormat="1">
      <c r="A81" s="120">
        <v>8</v>
      </c>
      <c r="B81" s="47" t="s">
        <v>95</v>
      </c>
      <c r="C81" s="47"/>
      <c r="D81" s="47"/>
      <c r="E81" s="49">
        <v>15255</v>
      </c>
      <c r="F81" s="247">
        <v>15033</v>
      </c>
      <c r="G81" s="113"/>
      <c r="H81" s="123">
        <v>15623</v>
      </c>
      <c r="I81" s="113"/>
      <c r="J81" s="231"/>
      <c r="K81" s="231"/>
      <c r="L81" s="231"/>
      <c r="M81" s="231"/>
      <c r="N81" s="231"/>
      <c r="O81" s="231"/>
      <c r="P81" s="231"/>
      <c r="Q81" s="231"/>
      <c r="R81" s="231"/>
      <c r="S81" s="231"/>
      <c r="T81" s="231"/>
      <c r="U81" s="231"/>
      <c r="V81" s="231"/>
      <c r="W81" s="231"/>
      <c r="X81" s="231"/>
      <c r="Y81" s="231"/>
      <c r="Z81" s="231"/>
      <c r="AA81" s="231"/>
      <c r="AB81" s="231"/>
      <c r="AC81" s="231"/>
      <c r="AD81" s="231"/>
      <c r="AE81" s="231"/>
      <c r="AF81" s="231"/>
    </row>
    <row r="82" spans="1:32" s="203" customFormat="1">
      <c r="A82" s="120">
        <v>9</v>
      </c>
      <c r="B82" s="47" t="s">
        <v>96</v>
      </c>
      <c r="C82" s="47"/>
      <c r="D82" s="47"/>
      <c r="E82" s="49">
        <v>17722</v>
      </c>
      <c r="F82" s="247">
        <v>17685</v>
      </c>
      <c r="G82" s="113"/>
      <c r="H82" s="123">
        <v>17744</v>
      </c>
      <c r="I82" s="113"/>
      <c r="J82" s="231"/>
      <c r="K82" s="231"/>
      <c r="L82" s="231"/>
      <c r="M82" s="231"/>
      <c r="N82" s="231"/>
      <c r="O82" s="231"/>
      <c r="P82" s="231"/>
      <c r="Q82" s="231"/>
      <c r="R82" s="231"/>
      <c r="S82" s="231"/>
      <c r="T82" s="231"/>
      <c r="U82" s="231"/>
      <c r="V82" s="231"/>
      <c r="W82" s="231"/>
      <c r="X82" s="231"/>
      <c r="Y82" s="231"/>
      <c r="Z82" s="231"/>
      <c r="AA82" s="231"/>
      <c r="AB82" s="231"/>
      <c r="AC82" s="231"/>
      <c r="AD82" s="231"/>
      <c r="AE82" s="231"/>
      <c r="AF82" s="231"/>
    </row>
    <row r="83" spans="1:32" s="203" customFormat="1">
      <c r="A83" s="120">
        <v>10</v>
      </c>
      <c r="B83" s="90" t="s">
        <v>97</v>
      </c>
      <c r="C83" s="47"/>
      <c r="D83" s="47"/>
      <c r="E83" s="49">
        <v>8813</v>
      </c>
      <c r="F83" s="247">
        <v>9631</v>
      </c>
      <c r="G83" s="113"/>
      <c r="H83" s="123">
        <v>9217</v>
      </c>
      <c r="I83" s="113"/>
      <c r="J83" s="231"/>
      <c r="K83" s="231"/>
      <c r="L83" s="231"/>
      <c r="M83" s="231"/>
      <c r="N83" s="231"/>
      <c r="O83" s="231"/>
      <c r="P83" s="231"/>
      <c r="Q83" s="231"/>
      <c r="R83" s="231"/>
      <c r="S83" s="231"/>
      <c r="T83" s="231"/>
      <c r="U83" s="231"/>
      <c r="V83" s="231"/>
      <c r="W83" s="231"/>
      <c r="X83" s="231"/>
      <c r="Y83" s="231"/>
      <c r="Z83" s="231"/>
      <c r="AA83" s="231"/>
      <c r="AB83" s="231"/>
      <c r="AC83" s="231"/>
      <c r="AD83" s="231"/>
      <c r="AE83" s="231"/>
      <c r="AF83" s="231"/>
    </row>
    <row r="84" spans="1:32" s="203" customFormat="1">
      <c r="A84" s="120">
        <v>11</v>
      </c>
      <c r="B84" s="90" t="s">
        <v>98</v>
      </c>
      <c r="C84" s="47"/>
      <c r="D84" s="47"/>
      <c r="E84" s="49">
        <v>1563</v>
      </c>
      <c r="F84" s="247">
        <v>1562</v>
      </c>
      <c r="G84" s="113"/>
      <c r="H84" s="123">
        <v>1376</v>
      </c>
      <c r="I84" s="113"/>
      <c r="J84" s="231"/>
      <c r="K84" s="231"/>
      <c r="L84" s="231"/>
      <c r="M84" s="231"/>
      <c r="N84" s="231"/>
      <c r="O84" s="231"/>
      <c r="P84" s="231"/>
      <c r="Q84" s="231"/>
      <c r="R84" s="231"/>
      <c r="S84" s="231"/>
      <c r="T84" s="231"/>
      <c r="U84" s="231"/>
      <c r="V84" s="231"/>
      <c r="W84" s="231"/>
      <c r="X84" s="231"/>
      <c r="Y84" s="231"/>
      <c r="Z84" s="231"/>
      <c r="AA84" s="231"/>
      <c r="AB84" s="231"/>
      <c r="AC84" s="231"/>
      <c r="AD84" s="231"/>
      <c r="AE84" s="231"/>
      <c r="AF84" s="231"/>
    </row>
    <row r="85" spans="1:32" s="203" customFormat="1">
      <c r="A85" s="120">
        <v>12</v>
      </c>
      <c r="B85" s="47" t="s">
        <v>99</v>
      </c>
      <c r="C85" s="47"/>
      <c r="D85" s="47"/>
      <c r="E85" s="49">
        <v>2976</v>
      </c>
      <c r="F85" s="247">
        <v>2952</v>
      </c>
      <c r="G85" s="113"/>
      <c r="H85" s="123">
        <v>3158</v>
      </c>
      <c r="I85" s="113"/>
      <c r="J85" s="231"/>
      <c r="K85" s="231"/>
      <c r="L85" s="231"/>
      <c r="M85" s="231"/>
      <c r="N85" s="231"/>
      <c r="O85" s="231"/>
      <c r="P85" s="231"/>
      <c r="Q85" s="231"/>
      <c r="R85" s="231"/>
      <c r="S85" s="231"/>
      <c r="T85" s="231"/>
      <c r="U85" s="231"/>
      <c r="V85" s="231"/>
      <c r="W85" s="231"/>
      <c r="X85" s="231"/>
      <c r="Y85" s="231"/>
      <c r="Z85" s="231"/>
      <c r="AA85" s="231"/>
      <c r="AB85" s="231"/>
      <c r="AC85" s="231"/>
      <c r="AD85" s="231"/>
      <c r="AE85" s="231"/>
      <c r="AF85" s="231"/>
    </row>
    <row r="86" spans="1:32" s="203" customFormat="1">
      <c r="A86" s="120">
        <v>13</v>
      </c>
      <c r="B86" s="47" t="s">
        <v>100</v>
      </c>
      <c r="C86" s="47"/>
      <c r="D86" s="47"/>
      <c r="E86" s="49">
        <v>12367</v>
      </c>
      <c r="F86" s="247">
        <v>13430</v>
      </c>
      <c r="G86" s="113"/>
      <c r="H86" s="123">
        <v>14053</v>
      </c>
      <c r="I86" s="113"/>
      <c r="J86" s="231"/>
      <c r="K86" s="231"/>
      <c r="L86" s="231"/>
      <c r="M86" s="231"/>
      <c r="N86" s="231"/>
      <c r="O86" s="231"/>
      <c r="P86" s="231"/>
      <c r="Q86" s="231"/>
      <c r="R86" s="231"/>
      <c r="S86" s="231"/>
      <c r="T86" s="231"/>
      <c r="U86" s="231"/>
      <c r="V86" s="231"/>
      <c r="W86" s="231"/>
      <c r="X86" s="231"/>
      <c r="Y86" s="231"/>
      <c r="Z86" s="231"/>
      <c r="AA86" s="231"/>
      <c r="AB86" s="231"/>
      <c r="AC86" s="231"/>
      <c r="AD86" s="231"/>
      <c r="AE86" s="231"/>
      <c r="AF86" s="231"/>
    </row>
    <row r="87" spans="1:32" s="203" customFormat="1">
      <c r="A87" s="120">
        <v>14</v>
      </c>
      <c r="B87" s="47" t="s">
        <v>101</v>
      </c>
      <c r="C87" s="47"/>
      <c r="D87" s="47"/>
      <c r="E87" s="49">
        <v>0</v>
      </c>
      <c r="F87" s="247"/>
      <c r="G87" s="113"/>
      <c r="H87" s="123"/>
      <c r="I87" s="113"/>
      <c r="J87" s="231"/>
      <c r="K87" s="231"/>
      <c r="L87" s="231"/>
      <c r="M87" s="231"/>
      <c r="N87" s="231"/>
      <c r="O87" s="231"/>
      <c r="P87" s="231"/>
      <c r="Q87" s="231"/>
      <c r="R87" s="231"/>
      <c r="S87" s="231"/>
      <c r="T87" s="231"/>
      <c r="U87" s="231"/>
      <c r="V87" s="231"/>
      <c r="W87" s="231"/>
      <c r="X87" s="231"/>
      <c r="Y87" s="231"/>
      <c r="Z87" s="231"/>
      <c r="AA87" s="231"/>
      <c r="AB87" s="231"/>
      <c r="AC87" s="231"/>
      <c r="AD87" s="231"/>
      <c r="AE87" s="231"/>
      <c r="AF87" s="231"/>
    </row>
    <row r="88" spans="1:32" s="203" customFormat="1">
      <c r="A88" s="124">
        <v>15</v>
      </c>
      <c r="B88" s="125" t="s">
        <v>102</v>
      </c>
      <c r="C88" s="54"/>
      <c r="D88" s="54"/>
      <c r="E88" s="56">
        <v>0</v>
      </c>
      <c r="F88" s="254"/>
      <c r="G88" s="127"/>
      <c r="H88" s="255"/>
      <c r="I88" s="127"/>
      <c r="J88" s="231"/>
      <c r="K88" s="231"/>
      <c r="L88" s="231"/>
      <c r="M88" s="231"/>
      <c r="N88" s="231"/>
      <c r="O88" s="231"/>
      <c r="P88" s="231"/>
      <c r="Q88" s="231"/>
      <c r="R88" s="231"/>
      <c r="S88" s="231"/>
      <c r="T88" s="231"/>
      <c r="U88" s="231"/>
      <c r="V88" s="231"/>
      <c r="W88" s="231"/>
      <c r="X88" s="231"/>
      <c r="Y88" s="231"/>
      <c r="Z88" s="231"/>
      <c r="AA88" s="231"/>
      <c r="AB88" s="231"/>
      <c r="AC88" s="231"/>
      <c r="AD88" s="231"/>
      <c r="AE88" s="231"/>
      <c r="AF88" s="231"/>
    </row>
    <row r="89" spans="1:32" s="203" customFormat="1">
      <c r="A89" s="128"/>
      <c r="B89" s="129"/>
      <c r="C89" s="129"/>
      <c r="D89" s="129"/>
      <c r="E89" s="15"/>
      <c r="F89" s="130"/>
      <c r="G89" s="29"/>
      <c r="H89" s="207"/>
      <c r="I89" s="29"/>
      <c r="J89" s="231"/>
      <c r="K89" s="231"/>
      <c r="L89" s="231"/>
      <c r="M89" s="231"/>
      <c r="N89" s="231"/>
      <c r="O89" s="231"/>
      <c r="P89" s="231"/>
      <c r="Q89" s="231"/>
      <c r="R89" s="231"/>
      <c r="S89" s="231"/>
      <c r="T89" s="231"/>
      <c r="U89" s="231"/>
      <c r="V89" s="231"/>
      <c r="W89" s="231"/>
      <c r="X89" s="231"/>
      <c r="Y89" s="231"/>
      <c r="Z89" s="231"/>
      <c r="AA89" s="231"/>
      <c r="AB89" s="231"/>
      <c r="AC89" s="231"/>
      <c r="AD89" s="231"/>
      <c r="AE89" s="231"/>
      <c r="AF89" s="231"/>
    </row>
    <row r="90" spans="1:32" s="203" customFormat="1">
      <c r="A90" s="128"/>
      <c r="B90" s="129"/>
      <c r="C90" s="129"/>
      <c r="D90" s="129"/>
      <c r="E90" s="105"/>
      <c r="F90" s="130"/>
      <c r="G90" s="29"/>
      <c r="H90" s="131" t="s">
        <v>27</v>
      </c>
      <c r="I90" s="29"/>
      <c r="J90" s="231"/>
      <c r="K90" s="231"/>
      <c r="L90" s="231"/>
      <c r="M90" s="231"/>
      <c r="N90" s="231"/>
      <c r="O90" s="231"/>
      <c r="P90" s="231"/>
      <c r="Q90" s="231"/>
      <c r="R90" s="231"/>
      <c r="S90" s="231"/>
      <c r="T90" s="231"/>
      <c r="U90" s="231"/>
      <c r="V90" s="231"/>
      <c r="W90" s="231"/>
      <c r="X90" s="231"/>
      <c r="Y90" s="231"/>
      <c r="Z90" s="231"/>
      <c r="AA90" s="231"/>
      <c r="AB90" s="231"/>
      <c r="AC90" s="231"/>
      <c r="AD90" s="231"/>
      <c r="AE90" s="231"/>
      <c r="AF90" s="231"/>
    </row>
    <row r="91" spans="1:32" s="203" customFormat="1">
      <c r="A91" s="106" t="s">
        <v>17</v>
      </c>
      <c r="B91" s="107"/>
      <c r="C91" s="107"/>
      <c r="D91" s="107"/>
      <c r="E91" s="856" t="s">
        <v>421</v>
      </c>
      <c r="F91" s="856" t="s">
        <v>402</v>
      </c>
      <c r="G91" s="257"/>
      <c r="H91" s="856" t="s">
        <v>403</v>
      </c>
      <c r="I91" s="29"/>
      <c r="J91" s="231"/>
      <c r="K91" s="231"/>
      <c r="L91" s="231"/>
      <c r="M91" s="231"/>
      <c r="N91" s="231"/>
      <c r="O91" s="231"/>
      <c r="P91" s="231"/>
      <c r="Q91" s="231"/>
      <c r="R91" s="231"/>
      <c r="S91" s="231"/>
      <c r="T91" s="231"/>
      <c r="U91" s="231"/>
      <c r="V91" s="231"/>
      <c r="W91" s="231"/>
      <c r="X91" s="231"/>
      <c r="Y91" s="231"/>
      <c r="Z91" s="231"/>
      <c r="AA91" s="231"/>
      <c r="AB91" s="231"/>
      <c r="AC91" s="231"/>
      <c r="AD91" s="231"/>
      <c r="AE91" s="231"/>
      <c r="AF91" s="231"/>
    </row>
    <row r="92" spans="1:32" s="203" customFormat="1" ht="12.75" customHeight="1">
      <c r="A92" s="109"/>
      <c r="B92" s="132"/>
      <c r="C92" s="132"/>
      <c r="D92" s="132"/>
      <c r="E92" s="859"/>
      <c r="F92" s="859"/>
      <c r="G92" s="29"/>
      <c r="H92" s="859"/>
      <c r="I92" s="29"/>
      <c r="J92" s="231"/>
      <c r="K92" s="231"/>
      <c r="L92" s="231"/>
      <c r="M92" s="231"/>
      <c r="N92" s="231"/>
      <c r="O92" s="231"/>
      <c r="P92" s="231"/>
      <c r="Q92" s="231"/>
      <c r="R92" s="231"/>
      <c r="S92" s="231"/>
      <c r="T92" s="231"/>
      <c r="U92" s="231"/>
      <c r="V92" s="231"/>
      <c r="W92" s="231"/>
      <c r="X92" s="231"/>
      <c r="Y92" s="231"/>
      <c r="Z92" s="231"/>
      <c r="AA92" s="231"/>
      <c r="AB92" s="231"/>
      <c r="AC92" s="231"/>
      <c r="AD92" s="231"/>
      <c r="AE92" s="231"/>
      <c r="AF92" s="231"/>
    </row>
    <row r="93" spans="1:32" s="203" customFormat="1">
      <c r="A93" s="109" t="s">
        <v>103</v>
      </c>
      <c r="B93" s="132"/>
      <c r="C93" s="132"/>
      <c r="D93" s="132"/>
      <c r="E93" s="859"/>
      <c r="F93" s="859"/>
      <c r="G93" s="29"/>
      <c r="H93" s="859"/>
      <c r="I93" s="29"/>
      <c r="J93" s="231"/>
      <c r="K93" s="231"/>
      <c r="L93" s="231"/>
      <c r="M93" s="231"/>
      <c r="N93" s="231"/>
      <c r="O93" s="231"/>
      <c r="P93" s="231"/>
      <c r="Q93" s="231"/>
      <c r="R93" s="231"/>
      <c r="S93" s="231"/>
      <c r="T93" s="231"/>
      <c r="U93" s="231"/>
      <c r="V93" s="231"/>
      <c r="W93" s="231"/>
      <c r="X93" s="231"/>
      <c r="Y93" s="231"/>
      <c r="Z93" s="231"/>
      <c r="AA93" s="231"/>
      <c r="AB93" s="231"/>
      <c r="AC93" s="231"/>
      <c r="AD93" s="231"/>
      <c r="AE93" s="231"/>
      <c r="AF93" s="231"/>
    </row>
    <row r="94" spans="1:32" s="203" customFormat="1">
      <c r="A94" s="109" t="s">
        <v>83</v>
      </c>
      <c r="B94" s="132"/>
      <c r="C94" s="132"/>
      <c r="D94" s="132"/>
      <c r="E94" s="859"/>
      <c r="F94" s="859"/>
      <c r="G94" s="130"/>
      <c r="H94" s="859"/>
      <c r="I94" s="29"/>
      <c r="J94" s="231"/>
      <c r="K94" s="231"/>
      <c r="L94" s="231"/>
      <c r="M94" s="231"/>
      <c r="N94" s="231"/>
      <c r="O94" s="231"/>
      <c r="P94" s="231"/>
      <c r="Q94" s="231"/>
      <c r="R94" s="231"/>
      <c r="S94" s="231"/>
      <c r="T94" s="231"/>
      <c r="U94" s="231"/>
      <c r="V94" s="231"/>
      <c r="W94" s="231"/>
      <c r="X94" s="231"/>
      <c r="Y94" s="231"/>
      <c r="Z94" s="231"/>
      <c r="AA94" s="231"/>
      <c r="AB94" s="231"/>
      <c r="AC94" s="231"/>
      <c r="AD94" s="231"/>
      <c r="AE94" s="231"/>
      <c r="AF94" s="231"/>
    </row>
    <row r="95" spans="1:32" s="203" customFormat="1">
      <c r="A95" s="110" t="s">
        <v>84</v>
      </c>
      <c r="B95" s="132"/>
      <c r="C95" s="132"/>
      <c r="D95" s="132"/>
      <c r="E95" s="860"/>
      <c r="F95" s="860"/>
      <c r="G95" s="130"/>
      <c r="H95" s="860"/>
      <c r="I95" s="130"/>
      <c r="J95" s="231"/>
      <c r="K95" s="231"/>
      <c r="L95" s="231"/>
      <c r="M95" s="231"/>
      <c r="N95" s="231"/>
      <c r="O95" s="231"/>
      <c r="P95" s="231"/>
      <c r="Q95" s="231"/>
      <c r="R95" s="231"/>
      <c r="S95" s="231"/>
      <c r="T95" s="231"/>
      <c r="U95" s="231"/>
      <c r="V95" s="231"/>
      <c r="W95" s="231"/>
      <c r="X95" s="231"/>
      <c r="Y95" s="231"/>
      <c r="Z95" s="231"/>
      <c r="AA95" s="231"/>
      <c r="AB95" s="231"/>
      <c r="AC95" s="231"/>
      <c r="AD95" s="231"/>
      <c r="AE95" s="231"/>
      <c r="AF95" s="231"/>
    </row>
    <row r="96" spans="1:32" s="203" customFormat="1">
      <c r="A96" s="120">
        <v>1</v>
      </c>
      <c r="B96" s="47" t="s">
        <v>104</v>
      </c>
      <c r="C96" s="47"/>
      <c r="D96" s="47"/>
      <c r="E96" s="41">
        <v>1080</v>
      </c>
      <c r="F96" s="52">
        <v>869.17</v>
      </c>
      <c r="G96" s="118"/>
      <c r="H96" s="133">
        <v>925.19981916666666</v>
      </c>
      <c r="I96" s="139"/>
      <c r="J96" s="231"/>
      <c r="K96" s="231"/>
      <c r="L96" s="231"/>
      <c r="M96" s="231"/>
      <c r="N96" s="231"/>
      <c r="O96" s="231"/>
      <c r="P96" s="231"/>
      <c r="Q96" s="231"/>
      <c r="R96" s="231"/>
      <c r="S96" s="231"/>
      <c r="T96" s="231"/>
      <c r="U96" s="231"/>
      <c r="V96" s="231"/>
      <c r="W96" s="231"/>
      <c r="X96" s="231"/>
      <c r="Y96" s="231"/>
      <c r="Z96" s="231"/>
      <c r="AA96" s="231"/>
      <c r="AB96" s="231"/>
      <c r="AC96" s="231"/>
      <c r="AD96" s="231"/>
      <c r="AE96" s="231"/>
      <c r="AF96" s="231"/>
    </row>
    <row r="97" spans="1:32" s="203" customFormat="1">
      <c r="A97" s="120">
        <v>2</v>
      </c>
      <c r="B97" s="47" t="s">
        <v>105</v>
      </c>
      <c r="C97" s="47"/>
      <c r="D97" s="47"/>
      <c r="E97" s="49">
        <v>1</v>
      </c>
      <c r="F97" s="52">
        <v>0.67</v>
      </c>
      <c r="G97" s="118"/>
      <c r="H97" s="122">
        <v>0.67</v>
      </c>
      <c r="I97" s="139"/>
      <c r="J97" s="231"/>
      <c r="K97" s="231"/>
      <c r="L97" s="231"/>
      <c r="M97" s="231"/>
      <c r="N97" s="231"/>
      <c r="O97" s="231"/>
      <c r="P97" s="231"/>
      <c r="Q97" s="231"/>
      <c r="R97" s="231"/>
      <c r="S97" s="231"/>
      <c r="T97" s="231"/>
      <c r="U97" s="231"/>
      <c r="V97" s="231"/>
      <c r="W97" s="231"/>
      <c r="X97" s="231"/>
      <c r="Y97" s="231"/>
      <c r="Z97" s="231"/>
      <c r="AA97" s="231"/>
      <c r="AB97" s="231"/>
      <c r="AC97" s="231"/>
      <c r="AD97" s="231"/>
      <c r="AE97" s="231"/>
      <c r="AF97" s="231"/>
    </row>
    <row r="98" spans="1:32" s="203" customFormat="1">
      <c r="A98" s="120">
        <v>3</v>
      </c>
      <c r="B98" s="47" t="s">
        <v>106</v>
      </c>
      <c r="C98" s="47"/>
      <c r="D98" s="47"/>
      <c r="E98" s="114">
        <v>11361</v>
      </c>
      <c r="F98" s="50">
        <f>F115</f>
        <v>11106</v>
      </c>
      <c r="G98" s="118"/>
      <c r="H98" s="50">
        <f>H115</f>
        <v>11448.57</v>
      </c>
      <c r="I98" s="139"/>
      <c r="J98" s="231"/>
      <c r="K98" s="231"/>
      <c r="L98" s="231"/>
      <c r="M98" s="231"/>
      <c r="N98" s="231"/>
      <c r="O98" s="231"/>
      <c r="P98" s="231"/>
      <c r="Q98" s="231"/>
      <c r="R98" s="231"/>
      <c r="S98" s="231"/>
      <c r="T98" s="231"/>
      <c r="U98" s="231"/>
      <c r="V98" s="231"/>
      <c r="W98" s="231"/>
      <c r="X98" s="231"/>
      <c r="Y98" s="231"/>
      <c r="Z98" s="231"/>
      <c r="AA98" s="231"/>
      <c r="AB98" s="231"/>
      <c r="AC98" s="231"/>
      <c r="AD98" s="231"/>
      <c r="AE98" s="231"/>
      <c r="AF98" s="231"/>
    </row>
    <row r="99" spans="1:32" s="203" customFormat="1">
      <c r="A99" s="120">
        <v>4</v>
      </c>
      <c r="B99" s="47" t="s">
        <v>107</v>
      </c>
      <c r="C99" s="47"/>
      <c r="D99" s="47"/>
      <c r="E99" s="114">
        <v>25028</v>
      </c>
      <c r="F99" s="50">
        <f>F125</f>
        <v>25763</v>
      </c>
      <c r="G99" s="118"/>
      <c r="H99" s="50">
        <f>H125</f>
        <v>26916</v>
      </c>
      <c r="I99" s="139"/>
      <c r="J99" s="231"/>
      <c r="K99" s="231"/>
      <c r="L99" s="231"/>
      <c r="M99" s="231"/>
      <c r="N99" s="231"/>
      <c r="O99" s="231"/>
      <c r="P99" s="231"/>
      <c r="Q99" s="231"/>
      <c r="R99" s="231"/>
      <c r="S99" s="231"/>
      <c r="T99" s="231"/>
      <c r="U99" s="231"/>
      <c r="V99" s="231"/>
      <c r="W99" s="231"/>
      <c r="X99" s="231"/>
      <c r="Y99" s="231"/>
      <c r="Z99" s="231"/>
      <c r="AA99" s="231"/>
      <c r="AB99" s="231"/>
      <c r="AC99" s="231"/>
      <c r="AD99" s="231"/>
      <c r="AE99" s="231"/>
      <c r="AF99" s="231"/>
    </row>
    <row r="100" spans="1:32" s="203" customFormat="1">
      <c r="A100" s="120">
        <v>5</v>
      </c>
      <c r="B100" s="47" t="s">
        <v>108</v>
      </c>
      <c r="C100" s="47"/>
      <c r="D100" s="47"/>
      <c r="E100" s="114">
        <v>2370</v>
      </c>
      <c r="F100" s="50">
        <f>F135</f>
        <v>2348</v>
      </c>
      <c r="G100" s="118"/>
      <c r="H100" s="50">
        <f>H135</f>
        <v>2447</v>
      </c>
      <c r="I100" s="139"/>
      <c r="J100" s="231"/>
      <c r="K100" s="231"/>
      <c r="L100" s="231"/>
      <c r="M100" s="231"/>
      <c r="N100" s="231"/>
      <c r="O100" s="231"/>
      <c r="P100" s="231"/>
      <c r="Q100" s="231"/>
      <c r="R100" s="231"/>
      <c r="S100" s="231"/>
      <c r="T100" s="231"/>
      <c r="U100" s="231"/>
      <c r="V100" s="231"/>
      <c r="W100" s="231"/>
      <c r="X100" s="231"/>
      <c r="Y100" s="231"/>
      <c r="Z100" s="231"/>
      <c r="AA100" s="231"/>
      <c r="AB100" s="231"/>
      <c r="AC100" s="231"/>
      <c r="AD100" s="231"/>
      <c r="AE100" s="231"/>
      <c r="AF100" s="231"/>
    </row>
    <row r="101" spans="1:32" s="203" customFormat="1">
      <c r="A101" s="120">
        <v>6</v>
      </c>
      <c r="B101" s="47" t="s">
        <v>109</v>
      </c>
      <c r="C101" s="47"/>
      <c r="D101" s="47"/>
      <c r="E101" s="114">
        <v>4044</v>
      </c>
      <c r="F101" s="50">
        <f>F143</f>
        <v>4409</v>
      </c>
      <c r="G101" s="118"/>
      <c r="H101" s="50">
        <f>H143</f>
        <v>4847</v>
      </c>
      <c r="I101" s="139"/>
      <c r="J101" s="231"/>
      <c r="K101" s="231"/>
      <c r="L101" s="231"/>
      <c r="M101" s="231"/>
      <c r="N101" s="231"/>
      <c r="O101" s="231"/>
      <c r="P101" s="231"/>
      <c r="Q101" s="231"/>
      <c r="R101" s="231"/>
      <c r="S101" s="231"/>
      <c r="T101" s="231"/>
      <c r="U101" s="231"/>
      <c r="V101" s="231"/>
      <c r="W101" s="231"/>
      <c r="X101" s="231"/>
      <c r="Y101" s="231"/>
      <c r="Z101" s="231"/>
      <c r="AA101" s="231"/>
      <c r="AB101" s="231"/>
      <c r="AC101" s="231"/>
      <c r="AD101" s="231"/>
      <c r="AE101" s="231"/>
      <c r="AF101" s="231"/>
    </row>
    <row r="102" spans="1:32" s="203" customFormat="1">
      <c r="A102" s="120">
        <v>7</v>
      </c>
      <c r="B102" s="47" t="s">
        <v>110</v>
      </c>
      <c r="C102" s="47"/>
      <c r="D102" s="47"/>
      <c r="E102" s="114">
        <v>548</v>
      </c>
      <c r="F102" s="50">
        <f>F150</f>
        <v>616</v>
      </c>
      <c r="G102" s="118"/>
      <c r="H102" s="50">
        <f>H150</f>
        <v>745</v>
      </c>
      <c r="I102" s="139"/>
      <c r="J102" s="231"/>
      <c r="K102" s="231"/>
      <c r="L102" s="231"/>
      <c r="M102" s="231"/>
      <c r="N102" s="231"/>
      <c r="O102" s="231"/>
      <c r="P102" s="231"/>
      <c r="Q102" s="231"/>
      <c r="R102" s="231"/>
      <c r="S102" s="231"/>
      <c r="T102" s="231"/>
      <c r="U102" s="231"/>
      <c r="V102" s="231"/>
      <c r="W102" s="231"/>
      <c r="X102" s="231"/>
      <c r="Y102" s="231"/>
      <c r="Z102" s="231"/>
      <c r="AA102" s="231"/>
      <c r="AB102" s="231"/>
      <c r="AC102" s="231"/>
      <c r="AD102" s="231"/>
      <c r="AE102" s="231"/>
      <c r="AF102" s="231"/>
    </row>
    <row r="103" spans="1:32" s="203" customFormat="1">
      <c r="A103" s="120">
        <v>8</v>
      </c>
      <c r="B103" s="47" t="s">
        <v>111</v>
      </c>
      <c r="C103" s="47"/>
      <c r="D103" s="47"/>
      <c r="E103" s="114">
        <v>824</v>
      </c>
      <c r="F103" s="52">
        <v>876.19</v>
      </c>
      <c r="G103" s="118"/>
      <c r="H103" s="122">
        <v>887.09</v>
      </c>
      <c r="I103" s="139"/>
      <c r="J103" s="231"/>
      <c r="K103" s="231"/>
      <c r="L103" s="231"/>
      <c r="M103" s="231"/>
      <c r="N103" s="231"/>
      <c r="O103" s="231"/>
      <c r="P103" s="231"/>
      <c r="Q103" s="231"/>
      <c r="R103" s="231"/>
      <c r="S103" s="231"/>
      <c r="T103" s="231"/>
      <c r="U103" s="231"/>
      <c r="V103" s="231"/>
      <c r="W103" s="231"/>
      <c r="X103" s="231"/>
      <c r="Y103" s="231"/>
      <c r="Z103" s="231"/>
      <c r="AA103" s="231"/>
      <c r="AB103" s="231"/>
      <c r="AC103" s="231"/>
      <c r="AD103" s="231"/>
      <c r="AE103" s="231"/>
      <c r="AF103" s="231"/>
    </row>
    <row r="104" spans="1:32" s="203" customFormat="1">
      <c r="A104" s="120">
        <v>9</v>
      </c>
      <c r="B104" s="47" t="s">
        <v>112</v>
      </c>
      <c r="C104" s="47"/>
      <c r="D104" s="47"/>
      <c r="E104" s="114">
        <v>1363</v>
      </c>
      <c r="F104" s="52">
        <v>1363</v>
      </c>
      <c r="G104" s="118"/>
      <c r="H104" s="122">
        <v>1338</v>
      </c>
      <c r="I104" s="139"/>
      <c r="J104" s="231"/>
      <c r="K104" s="231"/>
      <c r="L104" s="231"/>
      <c r="M104" s="231"/>
      <c r="N104" s="231"/>
      <c r="O104" s="231"/>
      <c r="P104" s="231"/>
      <c r="Q104" s="231"/>
      <c r="R104" s="231"/>
      <c r="S104" s="231"/>
      <c r="T104" s="231"/>
      <c r="U104" s="231"/>
      <c r="V104" s="231"/>
      <c r="W104" s="231"/>
      <c r="X104" s="231"/>
      <c r="Y104" s="231"/>
      <c r="Z104" s="231"/>
      <c r="AA104" s="231"/>
      <c r="AB104" s="231"/>
      <c r="AC104" s="231"/>
      <c r="AD104" s="231"/>
      <c r="AE104" s="231"/>
      <c r="AF104" s="231"/>
    </row>
    <row r="105" spans="1:32" s="203" customFormat="1">
      <c r="A105" s="111" t="s">
        <v>113</v>
      </c>
      <c r="B105" s="116" t="s">
        <v>114</v>
      </c>
      <c r="C105" s="116"/>
      <c r="D105" s="47"/>
      <c r="E105" s="134">
        <v>46619</v>
      </c>
      <c r="F105" s="61">
        <f>SUM(F96:F104)</f>
        <v>47351.03</v>
      </c>
      <c r="G105" s="118"/>
      <c r="H105" s="61">
        <f>SUM(H96:H104)</f>
        <v>49554.529819166666</v>
      </c>
      <c r="I105" s="139"/>
      <c r="J105" s="231"/>
      <c r="K105" s="231"/>
      <c r="L105" s="231"/>
      <c r="M105" s="231"/>
      <c r="N105" s="231"/>
      <c r="O105" s="231"/>
      <c r="P105" s="231"/>
      <c r="Q105" s="231"/>
      <c r="R105" s="231"/>
      <c r="S105" s="231"/>
      <c r="T105" s="231"/>
      <c r="U105" s="231"/>
      <c r="V105" s="231"/>
      <c r="W105" s="231"/>
      <c r="X105" s="231"/>
      <c r="Y105" s="231"/>
      <c r="Z105" s="231"/>
      <c r="AA105" s="231"/>
      <c r="AB105" s="231"/>
      <c r="AC105" s="231"/>
      <c r="AD105" s="231"/>
      <c r="AE105" s="231"/>
      <c r="AF105" s="231"/>
    </row>
    <row r="106" spans="1:32" s="203" customFormat="1">
      <c r="A106" s="120">
        <v>11</v>
      </c>
      <c r="B106" s="90" t="s">
        <v>115</v>
      </c>
      <c r="C106" s="47"/>
      <c r="D106" s="47"/>
      <c r="E106" s="135">
        <v>262</v>
      </c>
      <c r="F106" s="136">
        <v>270</v>
      </c>
      <c r="G106" s="118"/>
      <c r="H106" s="137">
        <v>270</v>
      </c>
      <c r="I106" s="139"/>
      <c r="J106" s="231"/>
      <c r="K106" s="231"/>
      <c r="L106" s="231"/>
      <c r="M106" s="231"/>
      <c r="N106" s="231"/>
      <c r="O106" s="231"/>
      <c r="P106" s="231"/>
      <c r="Q106" s="231"/>
      <c r="R106" s="231"/>
      <c r="S106" s="231"/>
      <c r="T106" s="231"/>
      <c r="U106" s="231"/>
      <c r="V106" s="231"/>
      <c r="W106" s="231"/>
      <c r="X106" s="231"/>
      <c r="Y106" s="231"/>
      <c r="Z106" s="231"/>
      <c r="AA106" s="231"/>
      <c r="AB106" s="231"/>
      <c r="AC106" s="231"/>
      <c r="AD106" s="231"/>
      <c r="AE106" s="231"/>
      <c r="AF106" s="231"/>
    </row>
    <row r="107" spans="1:32" s="203" customFormat="1">
      <c r="A107" s="111"/>
      <c r="B107" s="47"/>
      <c r="C107" s="47"/>
      <c r="D107" s="138"/>
      <c r="E107" s="117"/>
      <c r="F107" s="139"/>
      <c r="G107" s="139"/>
      <c r="H107" s="139"/>
      <c r="I107" s="139"/>
      <c r="J107" s="231"/>
      <c r="K107" s="231"/>
      <c r="L107" s="231"/>
      <c r="M107" s="231"/>
      <c r="N107" s="231"/>
      <c r="O107" s="231"/>
      <c r="P107" s="231"/>
      <c r="Q107" s="231"/>
      <c r="R107" s="231"/>
      <c r="S107" s="231"/>
      <c r="T107" s="231"/>
      <c r="U107" s="231"/>
      <c r="V107" s="231"/>
      <c r="W107" s="231"/>
      <c r="X107" s="231"/>
      <c r="Y107" s="231"/>
      <c r="Z107" s="231"/>
      <c r="AA107" s="231"/>
      <c r="AB107" s="231"/>
      <c r="AC107" s="231"/>
      <c r="AD107" s="231"/>
      <c r="AE107" s="231"/>
      <c r="AF107" s="231"/>
    </row>
    <row r="108" spans="1:32" s="203" customFormat="1">
      <c r="A108" s="119" t="s">
        <v>116</v>
      </c>
      <c r="B108" s="47"/>
      <c r="C108" s="47"/>
      <c r="D108" s="47"/>
      <c r="E108" s="117"/>
      <c r="F108" s="139"/>
      <c r="G108" s="139"/>
      <c r="H108" s="139"/>
      <c r="I108" s="139"/>
      <c r="J108" s="231"/>
      <c r="K108" s="231"/>
      <c r="L108" s="231"/>
      <c r="M108" s="231"/>
      <c r="N108" s="231"/>
      <c r="O108" s="231"/>
      <c r="P108" s="231"/>
      <c r="Q108" s="231"/>
      <c r="R108" s="231"/>
      <c r="S108" s="231"/>
      <c r="T108" s="231"/>
      <c r="U108" s="231"/>
      <c r="V108" s="231"/>
      <c r="W108" s="231"/>
      <c r="X108" s="231"/>
      <c r="Y108" s="231"/>
      <c r="Z108" s="231"/>
      <c r="AA108" s="231"/>
      <c r="AB108" s="231"/>
      <c r="AC108" s="231"/>
      <c r="AD108" s="231"/>
      <c r="AE108" s="231"/>
      <c r="AF108" s="231"/>
    </row>
    <row r="109" spans="1:32" s="203" customFormat="1">
      <c r="A109" s="119" t="s">
        <v>106</v>
      </c>
      <c r="B109" s="47"/>
      <c r="C109" s="47"/>
      <c r="D109" s="47"/>
      <c r="E109" s="140"/>
      <c r="F109" s="141"/>
      <c r="G109" s="139"/>
      <c r="H109" s="141"/>
      <c r="I109" s="139"/>
      <c r="J109" s="231"/>
      <c r="K109" s="231"/>
      <c r="L109" s="231"/>
      <c r="M109" s="231"/>
      <c r="N109" s="231"/>
      <c r="O109" s="231"/>
      <c r="P109" s="231"/>
      <c r="Q109" s="231"/>
      <c r="R109" s="231"/>
      <c r="S109" s="231"/>
      <c r="T109" s="231"/>
      <c r="U109" s="231"/>
      <c r="V109" s="231"/>
      <c r="W109" s="231"/>
      <c r="X109" s="231"/>
      <c r="Y109" s="231"/>
      <c r="Z109" s="231"/>
      <c r="AA109" s="231"/>
      <c r="AB109" s="231"/>
      <c r="AC109" s="231"/>
      <c r="AD109" s="231"/>
      <c r="AE109" s="231"/>
      <c r="AF109" s="231"/>
    </row>
    <row r="110" spans="1:32" s="203" customFormat="1">
      <c r="A110" s="120">
        <v>12</v>
      </c>
      <c r="B110" s="47" t="s">
        <v>117</v>
      </c>
      <c r="C110" s="47"/>
      <c r="D110" s="47"/>
      <c r="E110" s="49">
        <v>2953</v>
      </c>
      <c r="F110" s="683">
        <v>2717</v>
      </c>
      <c r="G110" s="118"/>
      <c r="H110" s="122">
        <v>3041.12</v>
      </c>
      <c r="I110" s="139"/>
      <c r="J110" s="231"/>
      <c r="K110" s="231"/>
      <c r="L110" s="231"/>
      <c r="M110" s="231"/>
      <c r="N110" s="231"/>
      <c r="O110" s="231"/>
      <c r="P110" s="231"/>
      <c r="Q110" s="231"/>
      <c r="R110" s="231"/>
      <c r="S110" s="231"/>
      <c r="T110" s="231"/>
      <c r="U110" s="231"/>
      <c r="V110" s="231"/>
      <c r="W110" s="231"/>
      <c r="X110" s="231"/>
      <c r="Y110" s="231"/>
      <c r="Z110" s="231"/>
      <c r="AA110" s="231"/>
      <c r="AB110" s="231"/>
      <c r="AC110" s="231"/>
      <c r="AD110" s="231"/>
      <c r="AE110" s="231"/>
      <c r="AF110" s="231"/>
    </row>
    <row r="111" spans="1:32" s="203" customFormat="1">
      <c r="A111" s="120">
        <v>13</v>
      </c>
      <c r="B111" s="47" t="s">
        <v>118</v>
      </c>
      <c r="C111" s="47"/>
      <c r="D111" s="47"/>
      <c r="E111" s="49">
        <v>3424</v>
      </c>
      <c r="F111" s="683">
        <f>3477-3</f>
        <v>3474</v>
      </c>
      <c r="G111" s="118"/>
      <c r="H111" s="122">
        <v>3603.72</v>
      </c>
      <c r="I111" s="139"/>
      <c r="J111" s="231"/>
      <c r="K111" s="231"/>
      <c r="L111" s="231"/>
      <c r="M111" s="231"/>
      <c r="N111" s="231"/>
      <c r="O111" s="231"/>
      <c r="P111" s="231"/>
      <c r="Q111" s="231"/>
      <c r="R111" s="231"/>
      <c r="S111" s="231"/>
      <c r="T111" s="231"/>
      <c r="U111" s="231"/>
      <c r="V111" s="231"/>
      <c r="W111" s="231"/>
      <c r="X111" s="231"/>
      <c r="Y111" s="231"/>
      <c r="Z111" s="231"/>
      <c r="AA111" s="231"/>
      <c r="AB111" s="231"/>
      <c r="AC111" s="231"/>
      <c r="AD111" s="231"/>
      <c r="AE111" s="231"/>
      <c r="AF111" s="231"/>
    </row>
    <row r="112" spans="1:32" s="203" customFormat="1">
      <c r="A112" s="120">
        <v>14</v>
      </c>
      <c r="B112" s="47" t="s">
        <v>119</v>
      </c>
      <c r="C112" s="47"/>
      <c r="D112" s="47"/>
      <c r="E112" s="49">
        <v>3698</v>
      </c>
      <c r="F112" s="683">
        <v>3459</v>
      </c>
      <c r="G112" s="118"/>
      <c r="H112" s="122">
        <v>3476.93</v>
      </c>
      <c r="I112" s="139"/>
      <c r="J112" s="231"/>
      <c r="K112" s="231"/>
      <c r="L112" s="231"/>
      <c r="M112" s="231"/>
      <c r="N112" s="231"/>
      <c r="O112" s="231"/>
      <c r="P112" s="231"/>
      <c r="Q112" s="231"/>
      <c r="R112" s="231"/>
      <c r="S112" s="231"/>
      <c r="T112" s="231"/>
      <c r="U112" s="231"/>
      <c r="V112" s="231"/>
      <c r="W112" s="231"/>
      <c r="X112" s="231"/>
      <c r="Y112" s="231"/>
      <c r="Z112" s="231"/>
      <c r="AA112" s="231"/>
      <c r="AB112" s="231"/>
      <c r="AC112" s="231"/>
      <c r="AD112" s="231"/>
      <c r="AE112" s="231"/>
      <c r="AF112" s="231"/>
    </row>
    <row r="113" spans="1:32" s="203" customFormat="1">
      <c r="A113" s="120">
        <v>15</v>
      </c>
      <c r="B113" s="47" t="s">
        <v>120</v>
      </c>
      <c r="C113" s="47"/>
      <c r="D113" s="47"/>
      <c r="E113" s="49">
        <v>0</v>
      </c>
      <c r="F113" s="683">
        <v>0</v>
      </c>
      <c r="G113" s="118"/>
      <c r="H113" s="122">
        <v>0</v>
      </c>
      <c r="I113" s="139"/>
      <c r="J113" s="231"/>
      <c r="K113" s="231"/>
      <c r="L113" s="231"/>
      <c r="M113" s="231"/>
      <c r="N113" s="231"/>
      <c r="O113" s="231"/>
      <c r="P113" s="231"/>
      <c r="Q113" s="231"/>
      <c r="R113" s="231"/>
      <c r="S113" s="231"/>
      <c r="T113" s="231"/>
      <c r="U113" s="231"/>
      <c r="V113" s="231"/>
      <c r="W113" s="231"/>
      <c r="X113" s="231"/>
      <c r="Y113" s="231"/>
      <c r="Z113" s="231"/>
      <c r="AA113" s="231"/>
      <c r="AB113" s="231"/>
      <c r="AC113" s="231"/>
      <c r="AD113" s="231"/>
      <c r="AE113" s="231"/>
      <c r="AF113" s="231"/>
    </row>
    <row r="114" spans="1:32" s="203" customFormat="1">
      <c r="A114" s="120">
        <v>16</v>
      </c>
      <c r="B114" s="47" t="s">
        <v>121</v>
      </c>
      <c r="C114" s="47"/>
      <c r="D114" s="47"/>
      <c r="E114" s="49">
        <v>1286</v>
      </c>
      <c r="F114" s="683">
        <v>1456</v>
      </c>
      <c r="G114" s="118"/>
      <c r="H114" s="100">
        <v>1326.8</v>
      </c>
      <c r="I114" s="139"/>
      <c r="J114" s="231"/>
      <c r="K114" s="231"/>
      <c r="L114" s="231"/>
      <c r="M114" s="231"/>
      <c r="N114" s="231"/>
      <c r="O114" s="231"/>
      <c r="P114" s="231"/>
      <c r="Q114" s="231"/>
      <c r="R114" s="231"/>
      <c r="S114" s="231"/>
      <c r="T114" s="231"/>
      <c r="U114" s="231"/>
      <c r="V114" s="231"/>
      <c r="W114" s="231"/>
      <c r="X114" s="231"/>
      <c r="Y114" s="231"/>
      <c r="Z114" s="231"/>
      <c r="AA114" s="231"/>
      <c r="AB114" s="231"/>
      <c r="AC114" s="231"/>
      <c r="AD114" s="231"/>
      <c r="AE114" s="231"/>
      <c r="AF114" s="231"/>
    </row>
    <row r="115" spans="1:32" s="203" customFormat="1">
      <c r="A115" s="120">
        <v>17</v>
      </c>
      <c r="B115" s="116" t="s">
        <v>122</v>
      </c>
      <c r="C115" s="116"/>
      <c r="D115" s="116"/>
      <c r="E115" s="80">
        <v>11361</v>
      </c>
      <c r="F115" s="142">
        <f>SUM(F110:F114)</f>
        <v>11106</v>
      </c>
      <c r="G115" s="118"/>
      <c r="H115" s="142">
        <f>SUM(H110:H114)</f>
        <v>11448.57</v>
      </c>
      <c r="I115" s="139"/>
      <c r="J115" s="231"/>
      <c r="K115" s="231"/>
      <c r="L115" s="231"/>
      <c r="M115" s="231"/>
      <c r="N115" s="231"/>
      <c r="O115" s="231"/>
      <c r="P115" s="231"/>
      <c r="Q115" s="231"/>
      <c r="R115" s="231"/>
      <c r="S115" s="231"/>
      <c r="T115" s="231"/>
      <c r="U115" s="231"/>
      <c r="V115" s="231"/>
      <c r="W115" s="231"/>
      <c r="X115" s="231"/>
      <c r="Y115" s="231"/>
      <c r="Z115" s="231"/>
      <c r="AA115" s="231"/>
      <c r="AB115" s="231"/>
      <c r="AC115" s="231"/>
      <c r="AD115" s="231"/>
      <c r="AE115" s="231"/>
      <c r="AF115" s="231"/>
    </row>
    <row r="116" spans="1:32" s="203" customFormat="1">
      <c r="A116" s="111"/>
      <c r="B116" s="116"/>
      <c r="C116" s="116"/>
      <c r="D116" s="116"/>
      <c r="E116" s="143"/>
      <c r="F116" s="118"/>
      <c r="G116" s="118"/>
      <c r="H116" s="118"/>
      <c r="I116" s="139"/>
      <c r="J116" s="231"/>
      <c r="K116" s="231"/>
      <c r="L116" s="231"/>
      <c r="M116" s="231"/>
      <c r="N116" s="231"/>
      <c r="O116" s="231"/>
      <c r="P116" s="231"/>
      <c r="Q116" s="231"/>
      <c r="R116" s="231"/>
      <c r="S116" s="231"/>
      <c r="T116" s="231"/>
      <c r="U116" s="231"/>
      <c r="V116" s="231"/>
      <c r="W116" s="231"/>
      <c r="X116" s="231"/>
      <c r="Y116" s="231"/>
      <c r="Z116" s="231"/>
      <c r="AA116" s="231"/>
      <c r="AB116" s="231"/>
      <c r="AC116" s="231"/>
      <c r="AD116" s="231"/>
      <c r="AE116" s="231"/>
      <c r="AF116" s="231"/>
    </row>
    <row r="117" spans="1:32" s="203" customFormat="1">
      <c r="A117" s="144" t="s">
        <v>107</v>
      </c>
      <c r="B117" s="116"/>
      <c r="C117" s="116"/>
      <c r="D117" s="116"/>
      <c r="E117" s="145"/>
      <c r="F117" s="146"/>
      <c r="G117" s="118"/>
      <c r="H117" s="146"/>
      <c r="I117" s="139"/>
      <c r="J117" s="231"/>
      <c r="K117" s="231"/>
      <c r="L117" s="231"/>
      <c r="M117" s="231"/>
      <c r="N117" s="231"/>
      <c r="O117" s="231"/>
      <c r="P117" s="231"/>
      <c r="Q117" s="231"/>
      <c r="R117" s="231"/>
      <c r="S117" s="231"/>
      <c r="T117" s="231"/>
      <c r="U117" s="231"/>
      <c r="V117" s="231"/>
      <c r="W117" s="231"/>
      <c r="X117" s="231"/>
      <c r="Y117" s="231"/>
      <c r="Z117" s="231"/>
      <c r="AA117" s="231"/>
      <c r="AB117" s="231"/>
      <c r="AC117" s="231"/>
      <c r="AD117" s="231"/>
      <c r="AE117" s="231"/>
      <c r="AF117" s="231"/>
    </row>
    <row r="118" spans="1:32" s="203" customFormat="1">
      <c r="A118" s="120">
        <v>18</v>
      </c>
      <c r="B118" s="47" t="s">
        <v>123</v>
      </c>
      <c r="C118" s="47"/>
      <c r="D118" s="47"/>
      <c r="E118" s="49">
        <v>2093</v>
      </c>
      <c r="F118" s="683">
        <v>2130</v>
      </c>
      <c r="G118" s="118"/>
      <c r="H118" s="122">
        <v>2322</v>
      </c>
      <c r="I118" s="139"/>
      <c r="J118" s="231"/>
      <c r="K118" s="231"/>
      <c r="L118" s="231"/>
      <c r="M118" s="231"/>
      <c r="N118" s="231"/>
      <c r="O118" s="231"/>
      <c r="P118" s="231"/>
      <c r="Q118" s="231"/>
      <c r="R118" s="231"/>
      <c r="S118" s="231"/>
      <c r="T118" s="231"/>
      <c r="U118" s="231"/>
      <c r="V118" s="231"/>
      <c r="W118" s="231"/>
      <c r="X118" s="231"/>
      <c r="Y118" s="231"/>
      <c r="Z118" s="231"/>
      <c r="AA118" s="231"/>
      <c r="AB118" s="231"/>
      <c r="AC118" s="231"/>
      <c r="AD118" s="231"/>
      <c r="AE118" s="231"/>
      <c r="AF118" s="231"/>
    </row>
    <row r="119" spans="1:32" s="203" customFormat="1">
      <c r="A119" s="120">
        <v>19</v>
      </c>
      <c r="B119" s="47" t="s">
        <v>124</v>
      </c>
      <c r="C119" s="47"/>
      <c r="D119" s="47"/>
      <c r="E119" s="49">
        <v>9314</v>
      </c>
      <c r="F119" s="683">
        <v>9385</v>
      </c>
      <c r="G119" s="118"/>
      <c r="H119" s="122">
        <v>10144</v>
      </c>
      <c r="I119" s="139"/>
      <c r="J119" s="231"/>
      <c r="K119" s="231"/>
      <c r="L119" s="231"/>
      <c r="M119" s="231"/>
      <c r="N119" s="231"/>
      <c r="O119" s="231"/>
      <c r="P119" s="231"/>
      <c r="Q119" s="231"/>
      <c r="R119" s="231"/>
      <c r="S119" s="231"/>
      <c r="T119" s="231"/>
      <c r="U119" s="231"/>
      <c r="V119" s="231"/>
      <c r="W119" s="231"/>
      <c r="X119" s="231"/>
      <c r="Y119" s="231"/>
      <c r="Z119" s="231"/>
      <c r="AA119" s="231"/>
      <c r="AB119" s="231"/>
      <c r="AC119" s="231"/>
      <c r="AD119" s="231"/>
      <c r="AE119" s="231"/>
      <c r="AF119" s="231"/>
    </row>
    <row r="120" spans="1:32" s="203" customFormat="1">
      <c r="A120" s="120">
        <v>20</v>
      </c>
      <c r="B120" s="47" t="s">
        <v>119</v>
      </c>
      <c r="C120" s="47"/>
      <c r="D120" s="47"/>
      <c r="E120" s="49">
        <v>11646</v>
      </c>
      <c r="F120" s="683">
        <v>12233</v>
      </c>
      <c r="G120" s="118"/>
      <c r="H120" s="122">
        <v>12460</v>
      </c>
      <c r="I120" s="139"/>
      <c r="J120" s="231"/>
      <c r="K120" s="231"/>
      <c r="L120" s="231"/>
      <c r="M120" s="231"/>
      <c r="N120" s="231"/>
      <c r="O120" s="231"/>
      <c r="P120" s="231"/>
      <c r="Q120" s="231"/>
      <c r="R120" s="231"/>
      <c r="S120" s="231"/>
      <c r="T120" s="231"/>
      <c r="U120" s="231"/>
      <c r="V120" s="231"/>
      <c r="W120" s="231"/>
      <c r="X120" s="231"/>
      <c r="Y120" s="231"/>
      <c r="Z120" s="231"/>
      <c r="AA120" s="231"/>
      <c r="AB120" s="231"/>
      <c r="AC120" s="231"/>
      <c r="AD120" s="231"/>
      <c r="AE120" s="231"/>
      <c r="AF120" s="231"/>
    </row>
    <row r="121" spans="1:32" s="203" customFormat="1">
      <c r="A121" s="120">
        <v>21</v>
      </c>
      <c r="B121" s="47" t="s">
        <v>120</v>
      </c>
      <c r="C121" s="47"/>
      <c r="D121" s="47"/>
      <c r="E121" s="49">
        <v>1115</v>
      </c>
      <c r="F121" s="683">
        <v>944</v>
      </c>
      <c r="G121" s="118"/>
      <c r="H121" s="122">
        <v>957</v>
      </c>
      <c r="I121" s="139"/>
      <c r="J121" s="231"/>
      <c r="K121" s="231"/>
      <c r="L121" s="231"/>
      <c r="M121" s="231"/>
      <c r="N121" s="231"/>
      <c r="O121" s="231"/>
      <c r="P121" s="231"/>
      <c r="Q121" s="231"/>
      <c r="R121" s="231"/>
      <c r="S121" s="231"/>
      <c r="T121" s="231"/>
      <c r="U121" s="231"/>
      <c r="V121" s="231"/>
      <c r="W121" s="231"/>
      <c r="X121" s="231"/>
      <c r="Y121" s="231"/>
      <c r="Z121" s="231"/>
      <c r="AA121" s="231"/>
      <c r="AB121" s="231"/>
      <c r="AC121" s="231"/>
      <c r="AD121" s="231"/>
      <c r="AE121" s="231"/>
      <c r="AF121" s="231"/>
    </row>
    <row r="122" spans="1:32" s="203" customFormat="1">
      <c r="A122" s="120">
        <v>22</v>
      </c>
      <c r="B122" s="47" t="s">
        <v>125</v>
      </c>
      <c r="C122" s="47"/>
      <c r="D122" s="47"/>
      <c r="E122" s="49">
        <v>240</v>
      </c>
      <c r="F122" s="683">
        <v>249</v>
      </c>
      <c r="G122" s="118"/>
      <c r="H122" s="122">
        <v>212</v>
      </c>
      <c r="I122" s="139"/>
      <c r="J122" s="231"/>
      <c r="K122" s="231"/>
      <c r="L122" s="231"/>
      <c r="M122" s="231"/>
      <c r="N122" s="231"/>
      <c r="O122" s="231"/>
      <c r="P122" s="231"/>
      <c r="Q122" s="231"/>
      <c r="R122" s="231"/>
      <c r="S122" s="231"/>
      <c r="T122" s="231"/>
      <c r="U122" s="231"/>
      <c r="V122" s="231"/>
      <c r="W122" s="231"/>
      <c r="X122" s="231"/>
      <c r="Y122" s="231"/>
      <c r="Z122" s="231"/>
      <c r="AA122" s="231"/>
      <c r="AB122" s="231"/>
      <c r="AC122" s="231"/>
      <c r="AD122" s="231"/>
      <c r="AE122" s="231"/>
      <c r="AF122" s="231"/>
    </row>
    <row r="123" spans="1:32" s="203" customFormat="1">
      <c r="A123" s="120">
        <v>23</v>
      </c>
      <c r="B123" s="90" t="s">
        <v>126</v>
      </c>
      <c r="C123" s="47"/>
      <c r="D123" s="47"/>
      <c r="E123" s="49">
        <v>379</v>
      </c>
      <c r="F123" s="683">
        <v>583</v>
      </c>
      <c r="G123" s="118"/>
      <c r="H123" s="99">
        <v>583</v>
      </c>
      <c r="I123" s="139"/>
      <c r="J123" s="231"/>
      <c r="K123" s="231"/>
      <c r="L123" s="231"/>
      <c r="M123" s="231"/>
      <c r="N123" s="231"/>
      <c r="O123" s="231"/>
      <c r="P123" s="231"/>
      <c r="Q123" s="231"/>
      <c r="R123" s="231"/>
      <c r="S123" s="231"/>
      <c r="T123" s="231"/>
      <c r="U123" s="231"/>
      <c r="V123" s="231"/>
      <c r="W123" s="231"/>
      <c r="X123" s="231"/>
      <c r="Y123" s="231"/>
      <c r="Z123" s="231"/>
      <c r="AA123" s="231"/>
      <c r="AB123" s="231"/>
      <c r="AC123" s="231"/>
      <c r="AD123" s="231"/>
      <c r="AE123" s="231"/>
      <c r="AF123" s="231"/>
    </row>
    <row r="124" spans="1:32" s="203" customFormat="1">
      <c r="A124" s="120">
        <v>24</v>
      </c>
      <c r="B124" s="47" t="s">
        <v>121</v>
      </c>
      <c r="C124" s="47"/>
      <c r="D124" s="47"/>
      <c r="E124" s="49">
        <v>241</v>
      </c>
      <c r="F124" s="683">
        <v>239</v>
      </c>
      <c r="G124" s="118"/>
      <c r="H124" s="100">
        <v>238</v>
      </c>
      <c r="I124" s="139"/>
      <c r="J124" s="231"/>
      <c r="K124" s="231"/>
      <c r="L124" s="231"/>
      <c r="M124" s="231"/>
      <c r="N124" s="231"/>
      <c r="O124" s="231"/>
      <c r="P124" s="231"/>
      <c r="Q124" s="231"/>
      <c r="R124" s="231"/>
      <c r="S124" s="231"/>
      <c r="T124" s="231"/>
      <c r="U124" s="231"/>
      <c r="V124" s="231"/>
      <c r="W124" s="231"/>
      <c r="X124" s="231"/>
      <c r="Y124" s="231"/>
      <c r="Z124" s="231"/>
      <c r="AA124" s="231"/>
      <c r="AB124" s="231"/>
      <c r="AC124" s="231"/>
      <c r="AD124" s="231"/>
      <c r="AE124" s="231"/>
      <c r="AF124" s="231"/>
    </row>
    <row r="125" spans="1:32" s="203" customFormat="1">
      <c r="A125" s="120">
        <v>25</v>
      </c>
      <c r="B125" s="147" t="s">
        <v>127</v>
      </c>
      <c r="C125" s="147"/>
      <c r="D125" s="147"/>
      <c r="E125" s="80">
        <v>25028</v>
      </c>
      <c r="F125" s="142">
        <f>SUM(F118:F124)</f>
        <v>25763</v>
      </c>
      <c r="G125" s="118"/>
      <c r="H125" s="142">
        <f>SUM(H118:H124)</f>
        <v>26916</v>
      </c>
      <c r="I125" s="139"/>
      <c r="J125" s="231"/>
      <c r="K125" s="231"/>
      <c r="L125" s="231"/>
      <c r="M125" s="231"/>
      <c r="N125" s="231"/>
      <c r="O125" s="231"/>
      <c r="P125" s="231"/>
      <c r="Q125" s="231"/>
      <c r="R125" s="231"/>
      <c r="S125" s="231"/>
      <c r="T125" s="231"/>
      <c r="U125" s="231"/>
      <c r="V125" s="231"/>
      <c r="W125" s="231"/>
      <c r="X125" s="231"/>
      <c r="Y125" s="231"/>
      <c r="Z125" s="231"/>
      <c r="AA125" s="231"/>
      <c r="AB125" s="231"/>
      <c r="AC125" s="231"/>
      <c r="AD125" s="231"/>
      <c r="AE125" s="231"/>
      <c r="AF125" s="231"/>
    </row>
    <row r="126" spans="1:32" s="203" customFormat="1">
      <c r="A126" s="111"/>
      <c r="B126" s="47"/>
      <c r="C126" s="47"/>
      <c r="D126" s="47"/>
      <c r="E126" s="117"/>
      <c r="F126" s="118"/>
      <c r="G126" s="118"/>
      <c r="H126" s="118"/>
      <c r="I126" s="139"/>
      <c r="J126" s="231"/>
      <c r="K126" s="231"/>
      <c r="L126" s="231"/>
      <c r="M126" s="231"/>
      <c r="N126" s="231"/>
      <c r="O126" s="231"/>
      <c r="P126" s="231"/>
      <c r="Q126" s="231"/>
      <c r="R126" s="231"/>
      <c r="S126" s="231"/>
      <c r="T126" s="231"/>
      <c r="U126" s="231"/>
      <c r="V126" s="231"/>
      <c r="W126" s="231"/>
      <c r="X126" s="231"/>
      <c r="Y126" s="231"/>
      <c r="Z126" s="231"/>
      <c r="AA126" s="231"/>
      <c r="AB126" s="231"/>
      <c r="AC126" s="231"/>
      <c r="AD126" s="231"/>
      <c r="AE126" s="231"/>
      <c r="AF126" s="231"/>
    </row>
    <row r="127" spans="1:32" s="203" customFormat="1">
      <c r="A127" s="119" t="s">
        <v>108</v>
      </c>
      <c r="B127" s="147"/>
      <c r="C127" s="147"/>
      <c r="D127" s="147"/>
      <c r="E127" s="140"/>
      <c r="F127" s="146"/>
      <c r="G127" s="118"/>
      <c r="H127" s="146"/>
      <c r="I127" s="139"/>
      <c r="J127" s="231"/>
      <c r="K127" s="231"/>
      <c r="L127" s="231"/>
      <c r="M127" s="231"/>
      <c r="N127" s="231"/>
      <c r="O127" s="231"/>
      <c r="P127" s="231"/>
      <c r="Q127" s="231"/>
      <c r="R127" s="231"/>
      <c r="S127" s="231"/>
      <c r="T127" s="231"/>
      <c r="U127" s="231"/>
      <c r="V127" s="231"/>
      <c r="W127" s="231"/>
      <c r="X127" s="231"/>
      <c r="Y127" s="231"/>
      <c r="Z127" s="231"/>
      <c r="AA127" s="231"/>
      <c r="AB127" s="231"/>
      <c r="AC127" s="231"/>
      <c r="AD127" s="231"/>
      <c r="AE127" s="231"/>
      <c r="AF127" s="231"/>
    </row>
    <row r="128" spans="1:32" s="203" customFormat="1">
      <c r="A128" s="120">
        <v>26</v>
      </c>
      <c r="B128" s="47" t="s">
        <v>123</v>
      </c>
      <c r="C128" s="47"/>
      <c r="D128" s="47"/>
      <c r="E128" s="74">
        <v>1286</v>
      </c>
      <c r="F128" s="683">
        <v>1246</v>
      </c>
      <c r="G128" s="118"/>
      <c r="H128" s="122">
        <v>1320</v>
      </c>
      <c r="I128" s="139"/>
      <c r="J128" s="231"/>
      <c r="K128" s="231"/>
      <c r="L128" s="231"/>
      <c r="M128" s="231"/>
      <c r="N128" s="231"/>
      <c r="O128" s="231"/>
      <c r="P128" s="231"/>
      <c r="Q128" s="231"/>
      <c r="R128" s="231"/>
      <c r="S128" s="231"/>
      <c r="T128" s="231"/>
      <c r="U128" s="231"/>
      <c r="V128" s="231"/>
      <c r="W128" s="231"/>
      <c r="X128" s="231"/>
      <c r="Y128" s="231"/>
      <c r="Z128" s="231"/>
      <c r="AA128" s="231"/>
      <c r="AB128" s="231"/>
      <c r="AC128" s="231"/>
      <c r="AD128" s="231"/>
      <c r="AE128" s="231"/>
      <c r="AF128" s="231"/>
    </row>
    <row r="129" spans="1:32" s="203" customFormat="1">
      <c r="A129" s="120">
        <v>27</v>
      </c>
      <c r="B129" s="47" t="s">
        <v>124</v>
      </c>
      <c r="C129" s="47"/>
      <c r="D129" s="47"/>
      <c r="E129" s="49">
        <v>233</v>
      </c>
      <c r="F129" s="683">
        <v>165</v>
      </c>
      <c r="G129" s="118"/>
      <c r="H129" s="122">
        <v>315</v>
      </c>
      <c r="I129" s="139"/>
      <c r="J129" s="231"/>
      <c r="K129" s="231"/>
      <c r="L129" s="231"/>
      <c r="M129" s="231"/>
      <c r="N129" s="231"/>
      <c r="O129" s="231"/>
      <c r="P129" s="231"/>
      <c r="Q129" s="231"/>
      <c r="R129" s="231"/>
      <c r="S129" s="231"/>
      <c r="T129" s="231"/>
      <c r="U129" s="231"/>
      <c r="V129" s="231"/>
      <c r="W129" s="231"/>
      <c r="X129" s="231"/>
      <c r="Y129" s="231"/>
      <c r="Z129" s="231"/>
      <c r="AA129" s="231"/>
      <c r="AB129" s="231"/>
      <c r="AC129" s="231"/>
      <c r="AD129" s="231"/>
      <c r="AE129" s="231"/>
      <c r="AF129" s="231"/>
    </row>
    <row r="130" spans="1:32" s="203" customFormat="1">
      <c r="A130" s="120">
        <v>28</v>
      </c>
      <c r="B130" s="47" t="s">
        <v>119</v>
      </c>
      <c r="C130" s="47"/>
      <c r="D130" s="47"/>
      <c r="E130" s="49">
        <v>258</v>
      </c>
      <c r="F130" s="683">
        <v>275</v>
      </c>
      <c r="G130" s="118"/>
      <c r="H130" s="122">
        <v>217</v>
      </c>
      <c r="I130" s="139"/>
      <c r="J130" s="231"/>
      <c r="K130" s="231"/>
      <c r="L130" s="231"/>
      <c r="M130" s="231"/>
      <c r="N130" s="231"/>
      <c r="O130" s="231"/>
      <c r="P130" s="231"/>
      <c r="Q130" s="231"/>
      <c r="R130" s="231"/>
      <c r="S130" s="231"/>
      <c r="T130" s="231"/>
      <c r="U130" s="231"/>
      <c r="V130" s="231"/>
      <c r="W130" s="231"/>
      <c r="X130" s="231"/>
      <c r="Y130" s="231"/>
      <c r="Z130" s="231"/>
      <c r="AA130" s="231"/>
      <c r="AB130" s="231"/>
      <c r="AC130" s="231"/>
      <c r="AD130" s="231"/>
      <c r="AE130" s="231"/>
      <c r="AF130" s="231"/>
    </row>
    <row r="131" spans="1:32" s="203" customFormat="1">
      <c r="A131" s="120">
        <v>29</v>
      </c>
      <c r="B131" s="47" t="s">
        <v>120</v>
      </c>
      <c r="C131" s="47"/>
      <c r="D131" s="47"/>
      <c r="E131" s="49">
        <v>0</v>
      </c>
      <c r="F131" s="683">
        <v>0</v>
      </c>
      <c r="G131" s="118"/>
      <c r="H131" s="122">
        <v>0</v>
      </c>
      <c r="I131" s="139"/>
      <c r="J131" s="231"/>
      <c r="K131" s="231"/>
      <c r="L131" s="231"/>
      <c r="M131" s="231"/>
      <c r="N131" s="231"/>
      <c r="O131" s="231"/>
      <c r="P131" s="231"/>
      <c r="Q131" s="231"/>
      <c r="R131" s="231"/>
      <c r="S131" s="231"/>
      <c r="T131" s="231"/>
      <c r="U131" s="231"/>
      <c r="V131" s="231"/>
      <c r="W131" s="231"/>
      <c r="X131" s="231"/>
      <c r="Y131" s="231"/>
      <c r="Z131" s="231"/>
      <c r="AA131" s="231"/>
      <c r="AB131" s="231"/>
      <c r="AC131" s="231"/>
      <c r="AD131" s="231"/>
      <c r="AE131" s="231"/>
      <c r="AF131" s="231"/>
    </row>
    <row r="132" spans="1:32" s="203" customFormat="1">
      <c r="A132" s="120">
        <v>30</v>
      </c>
      <c r="B132" s="47" t="s">
        <v>125</v>
      </c>
      <c r="C132" s="47"/>
      <c r="D132" s="47"/>
      <c r="E132" s="49">
        <v>225</v>
      </c>
      <c r="F132" s="683">
        <v>291</v>
      </c>
      <c r="G132" s="118"/>
      <c r="H132" s="122">
        <v>225</v>
      </c>
      <c r="I132" s="139"/>
      <c r="J132" s="231"/>
      <c r="K132" s="231"/>
      <c r="L132" s="231"/>
      <c r="M132" s="231"/>
      <c r="N132" s="231"/>
      <c r="O132" s="231"/>
      <c r="P132" s="231"/>
      <c r="Q132" s="231"/>
      <c r="R132" s="231"/>
      <c r="S132" s="231"/>
      <c r="T132" s="231"/>
      <c r="U132" s="231"/>
      <c r="V132" s="231"/>
      <c r="W132" s="231"/>
      <c r="X132" s="231"/>
      <c r="Y132" s="231"/>
      <c r="Z132" s="231"/>
      <c r="AA132" s="231"/>
      <c r="AB132" s="231"/>
      <c r="AC132" s="231"/>
      <c r="AD132" s="231"/>
      <c r="AE132" s="231"/>
      <c r="AF132" s="231"/>
    </row>
    <row r="133" spans="1:32" s="203" customFormat="1">
      <c r="A133" s="120">
        <v>31</v>
      </c>
      <c r="B133" s="90" t="s">
        <v>126</v>
      </c>
      <c r="C133" s="47"/>
      <c r="D133" s="47"/>
      <c r="E133" s="49">
        <v>349</v>
      </c>
      <c r="F133" s="683">
        <v>344</v>
      </c>
      <c r="G133" s="118"/>
      <c r="H133" s="122">
        <v>343</v>
      </c>
      <c r="I133" s="139"/>
      <c r="J133" s="231"/>
      <c r="K133" s="231"/>
      <c r="L133" s="231"/>
      <c r="M133" s="231"/>
      <c r="N133" s="231"/>
      <c r="O133" s="231"/>
      <c r="P133" s="231"/>
      <c r="Q133" s="231"/>
      <c r="R133" s="231"/>
      <c r="S133" s="231"/>
      <c r="T133" s="231"/>
      <c r="U133" s="231"/>
      <c r="V133" s="231"/>
      <c r="W133" s="231"/>
      <c r="X133" s="231"/>
      <c r="Y133" s="231"/>
      <c r="Z133" s="231"/>
      <c r="AA133" s="231"/>
      <c r="AB133" s="231"/>
      <c r="AC133" s="231"/>
      <c r="AD133" s="231"/>
      <c r="AE133" s="231"/>
      <c r="AF133" s="231"/>
    </row>
    <row r="134" spans="1:32" s="203" customFormat="1">
      <c r="A134" s="120">
        <v>32</v>
      </c>
      <c r="B134" s="47" t="s">
        <v>121</v>
      </c>
      <c r="C134" s="47"/>
      <c r="D134" s="47"/>
      <c r="E134" s="49">
        <v>19</v>
      </c>
      <c r="F134" s="683">
        <v>27</v>
      </c>
      <c r="G134" s="118"/>
      <c r="H134" s="100">
        <v>27</v>
      </c>
      <c r="I134" s="139"/>
      <c r="J134" s="231"/>
      <c r="K134" s="231"/>
      <c r="L134" s="231"/>
      <c r="M134" s="231"/>
      <c r="N134" s="231"/>
      <c r="O134" s="231"/>
      <c r="P134" s="231"/>
      <c r="Q134" s="231"/>
      <c r="R134" s="231"/>
      <c r="S134" s="231"/>
      <c r="T134" s="231"/>
      <c r="U134" s="231"/>
      <c r="V134" s="231"/>
      <c r="W134" s="231"/>
      <c r="X134" s="231"/>
      <c r="Y134" s="231"/>
      <c r="Z134" s="231"/>
      <c r="AA134" s="231"/>
      <c r="AB134" s="231"/>
      <c r="AC134" s="231"/>
      <c r="AD134" s="231"/>
      <c r="AE134" s="231"/>
      <c r="AF134" s="231"/>
    </row>
    <row r="135" spans="1:32" s="203" customFormat="1">
      <c r="A135" s="120">
        <v>33</v>
      </c>
      <c r="B135" s="116" t="s">
        <v>128</v>
      </c>
      <c r="C135" s="116"/>
      <c r="D135" s="116"/>
      <c r="E135" s="80">
        <v>2370</v>
      </c>
      <c r="F135" s="142">
        <f>SUM(F128:F134)</f>
        <v>2348</v>
      </c>
      <c r="G135" s="118"/>
      <c r="H135" s="142">
        <f>SUM(H128:H134)</f>
        <v>2447</v>
      </c>
      <c r="I135" s="139"/>
      <c r="J135" s="231"/>
      <c r="K135" s="231"/>
      <c r="L135" s="231"/>
      <c r="M135" s="231"/>
      <c r="N135" s="231"/>
      <c r="O135" s="231"/>
      <c r="P135" s="231"/>
      <c r="Q135" s="231"/>
      <c r="R135" s="231"/>
      <c r="S135" s="231"/>
      <c r="T135" s="231"/>
      <c r="U135" s="231"/>
      <c r="V135" s="231"/>
      <c r="W135" s="231"/>
      <c r="X135" s="231"/>
      <c r="Y135" s="231"/>
      <c r="Z135" s="231"/>
      <c r="AA135" s="231"/>
      <c r="AB135" s="231"/>
      <c r="AC135" s="231"/>
      <c r="AD135" s="231"/>
      <c r="AE135" s="231"/>
      <c r="AF135" s="231"/>
    </row>
    <row r="136" spans="1:32" s="203" customFormat="1">
      <c r="A136" s="111"/>
      <c r="B136" s="47"/>
      <c r="C136" s="47"/>
      <c r="D136" s="138"/>
      <c r="E136" s="117"/>
      <c r="F136" s="118"/>
      <c r="G136" s="118"/>
      <c r="H136" s="118"/>
      <c r="I136" s="139"/>
      <c r="J136" s="231"/>
      <c r="K136" s="231"/>
      <c r="L136" s="231"/>
      <c r="M136" s="231"/>
      <c r="N136" s="231"/>
      <c r="O136" s="231"/>
      <c r="P136" s="231"/>
      <c r="Q136" s="231"/>
      <c r="R136" s="231"/>
      <c r="S136" s="231"/>
      <c r="T136" s="231"/>
      <c r="U136" s="231"/>
      <c r="V136" s="231"/>
      <c r="W136" s="231"/>
      <c r="X136" s="231"/>
      <c r="Y136" s="231"/>
      <c r="Z136" s="231"/>
      <c r="AA136" s="231"/>
      <c r="AB136" s="231"/>
      <c r="AC136" s="231"/>
      <c r="AD136" s="231"/>
      <c r="AE136" s="231"/>
      <c r="AF136" s="231"/>
    </row>
    <row r="137" spans="1:32" s="203" customFormat="1">
      <c r="A137" s="119" t="s">
        <v>109</v>
      </c>
      <c r="B137" s="116"/>
      <c r="C137" s="116"/>
      <c r="D137" s="116"/>
      <c r="E137" s="140"/>
      <c r="F137" s="146"/>
      <c r="G137" s="118"/>
      <c r="H137" s="146"/>
      <c r="I137" s="139"/>
      <c r="J137" s="231"/>
      <c r="K137" s="231"/>
      <c r="L137" s="231"/>
      <c r="M137" s="231"/>
      <c r="N137" s="231"/>
      <c r="O137" s="231"/>
      <c r="P137" s="231"/>
      <c r="Q137" s="231"/>
      <c r="R137" s="231"/>
      <c r="S137" s="231"/>
      <c r="T137" s="231"/>
      <c r="U137" s="231"/>
      <c r="V137" s="231"/>
      <c r="W137" s="231"/>
      <c r="X137" s="231"/>
      <c r="Y137" s="231"/>
      <c r="Z137" s="231"/>
      <c r="AA137" s="231"/>
      <c r="AB137" s="231"/>
      <c r="AC137" s="231"/>
      <c r="AD137" s="231"/>
      <c r="AE137" s="231"/>
      <c r="AF137" s="231"/>
    </row>
    <row r="138" spans="1:32" s="203" customFormat="1">
      <c r="A138" s="120">
        <v>34</v>
      </c>
      <c r="B138" s="47" t="s">
        <v>123</v>
      </c>
      <c r="C138" s="47"/>
      <c r="D138" s="47"/>
      <c r="E138" s="49">
        <v>728</v>
      </c>
      <c r="F138" s="683">
        <v>976</v>
      </c>
      <c r="G138" s="118"/>
      <c r="H138" s="122">
        <v>1013</v>
      </c>
      <c r="I138" s="139"/>
      <c r="J138" s="231"/>
      <c r="K138" s="231"/>
      <c r="L138" s="231"/>
      <c r="M138" s="231"/>
      <c r="N138" s="231"/>
      <c r="O138" s="231"/>
      <c r="P138" s="231"/>
      <c r="Q138" s="231"/>
      <c r="R138" s="231"/>
      <c r="S138" s="231"/>
      <c r="T138" s="231"/>
      <c r="U138" s="231"/>
      <c r="V138" s="231"/>
      <c r="W138" s="231"/>
      <c r="X138" s="231"/>
      <c r="Y138" s="231"/>
      <c r="Z138" s="231"/>
      <c r="AA138" s="231"/>
      <c r="AB138" s="231"/>
      <c r="AC138" s="231"/>
      <c r="AD138" s="231"/>
      <c r="AE138" s="231"/>
      <c r="AF138" s="231"/>
    </row>
    <row r="139" spans="1:32" s="203" customFormat="1">
      <c r="A139" s="120">
        <v>35</v>
      </c>
      <c r="B139" s="47" t="s">
        <v>119</v>
      </c>
      <c r="C139" s="47"/>
      <c r="D139" s="47"/>
      <c r="E139" s="49">
        <v>1379</v>
      </c>
      <c r="F139" s="683">
        <v>1577</v>
      </c>
      <c r="G139" s="118"/>
      <c r="H139" s="122">
        <v>1641</v>
      </c>
      <c r="I139" s="139"/>
      <c r="J139" s="231"/>
      <c r="K139" s="231"/>
      <c r="L139" s="231"/>
      <c r="M139" s="231"/>
      <c r="N139" s="231"/>
      <c r="O139" s="231"/>
      <c r="P139" s="231"/>
      <c r="Q139" s="231"/>
      <c r="R139" s="231"/>
      <c r="S139" s="231"/>
      <c r="T139" s="231"/>
      <c r="U139" s="231"/>
      <c r="V139" s="231"/>
      <c r="W139" s="231"/>
      <c r="X139" s="231"/>
      <c r="Y139" s="231"/>
      <c r="Z139" s="231"/>
      <c r="AA139" s="231"/>
      <c r="AB139" s="231"/>
      <c r="AC139" s="231"/>
      <c r="AD139" s="231"/>
      <c r="AE139" s="231"/>
      <c r="AF139" s="231"/>
    </row>
    <row r="140" spans="1:32" s="203" customFormat="1">
      <c r="A140" s="120">
        <v>36</v>
      </c>
      <c r="B140" s="47" t="s">
        <v>120</v>
      </c>
      <c r="C140" s="47"/>
      <c r="D140" s="47"/>
      <c r="E140" s="49">
        <v>1856</v>
      </c>
      <c r="F140" s="683">
        <v>1734</v>
      </c>
      <c r="G140" s="118"/>
      <c r="H140" s="122">
        <v>2071</v>
      </c>
      <c r="I140" s="139"/>
      <c r="J140" s="231"/>
      <c r="K140" s="231"/>
      <c r="L140" s="231"/>
      <c r="M140" s="231"/>
      <c r="N140" s="231"/>
      <c r="O140" s="231"/>
      <c r="P140" s="231"/>
      <c r="Q140" s="231"/>
      <c r="R140" s="231"/>
      <c r="S140" s="231"/>
      <c r="T140" s="231"/>
      <c r="U140" s="231"/>
      <c r="V140" s="231"/>
      <c r="W140" s="231"/>
      <c r="X140" s="231"/>
      <c r="Y140" s="231"/>
      <c r="Z140" s="231"/>
      <c r="AA140" s="231"/>
      <c r="AB140" s="231"/>
      <c r="AC140" s="231"/>
      <c r="AD140" s="231"/>
      <c r="AE140" s="231"/>
      <c r="AF140" s="231"/>
    </row>
    <row r="141" spans="1:32" s="203" customFormat="1">
      <c r="A141" s="120">
        <v>37</v>
      </c>
      <c r="B141" s="90" t="s">
        <v>126</v>
      </c>
      <c r="C141" s="47"/>
      <c r="D141" s="47"/>
      <c r="E141" s="49">
        <v>46</v>
      </c>
      <c r="F141" s="683">
        <v>90</v>
      </c>
      <c r="G141" s="118"/>
      <c r="H141" s="99">
        <v>88</v>
      </c>
      <c r="I141" s="139"/>
      <c r="J141" s="231"/>
      <c r="K141" s="231"/>
      <c r="L141" s="231"/>
      <c r="M141" s="231"/>
      <c r="N141" s="231"/>
      <c r="O141" s="231"/>
      <c r="P141" s="231"/>
      <c r="Q141" s="231"/>
      <c r="R141" s="231"/>
      <c r="S141" s="231"/>
      <c r="T141" s="231"/>
      <c r="U141" s="231"/>
      <c r="V141" s="231"/>
      <c r="W141" s="231"/>
      <c r="X141" s="231"/>
      <c r="Y141" s="231"/>
      <c r="Z141" s="231"/>
      <c r="AA141" s="231"/>
      <c r="AB141" s="231"/>
      <c r="AC141" s="231"/>
      <c r="AD141" s="231"/>
      <c r="AE141" s="231"/>
      <c r="AF141" s="231"/>
    </row>
    <row r="142" spans="1:32" s="203" customFormat="1">
      <c r="A142" s="120">
        <v>38</v>
      </c>
      <c r="B142" s="47" t="s">
        <v>121</v>
      </c>
      <c r="C142" s="47"/>
      <c r="D142" s="47"/>
      <c r="E142" s="49">
        <v>35</v>
      </c>
      <c r="F142" s="683">
        <v>32</v>
      </c>
      <c r="G142" s="118"/>
      <c r="H142" s="100">
        <v>34</v>
      </c>
      <c r="I142" s="139"/>
      <c r="J142" s="231"/>
      <c r="K142" s="231"/>
      <c r="L142" s="231"/>
      <c r="M142" s="231"/>
      <c r="N142" s="231"/>
      <c r="O142" s="231"/>
      <c r="P142" s="231"/>
      <c r="Q142" s="231"/>
      <c r="R142" s="231"/>
      <c r="S142" s="231"/>
      <c r="T142" s="231"/>
      <c r="U142" s="231"/>
      <c r="V142" s="231"/>
      <c r="W142" s="231"/>
      <c r="X142" s="231"/>
      <c r="Y142" s="231"/>
      <c r="Z142" s="231"/>
      <c r="AA142" s="231"/>
      <c r="AB142" s="231"/>
      <c r="AC142" s="231"/>
      <c r="AD142" s="231"/>
      <c r="AE142" s="231"/>
      <c r="AF142" s="231"/>
    </row>
    <row r="143" spans="1:32" s="203" customFormat="1">
      <c r="A143" s="120">
        <v>39</v>
      </c>
      <c r="B143" s="116" t="s">
        <v>129</v>
      </c>
      <c r="C143" s="116"/>
      <c r="D143" s="116"/>
      <c r="E143" s="80">
        <v>4044</v>
      </c>
      <c r="F143" s="142">
        <f>SUM(F138:F142)</f>
        <v>4409</v>
      </c>
      <c r="G143" s="118"/>
      <c r="H143" s="142">
        <f>SUM(H138:H142)</f>
        <v>4847</v>
      </c>
      <c r="I143" s="139"/>
      <c r="J143" s="231"/>
      <c r="K143" s="231"/>
      <c r="L143" s="231"/>
      <c r="M143" s="231"/>
      <c r="N143" s="231"/>
      <c r="O143" s="231"/>
      <c r="P143" s="231"/>
      <c r="Q143" s="231"/>
      <c r="R143" s="231"/>
      <c r="S143" s="231"/>
      <c r="T143" s="231"/>
      <c r="U143" s="231"/>
      <c r="V143" s="231"/>
      <c r="W143" s="231"/>
      <c r="X143" s="231"/>
      <c r="Y143" s="231"/>
      <c r="Z143" s="231"/>
      <c r="AA143" s="231"/>
      <c r="AB143" s="231"/>
      <c r="AC143" s="231"/>
      <c r="AD143" s="231"/>
      <c r="AE143" s="231"/>
      <c r="AF143" s="231"/>
    </row>
    <row r="144" spans="1:32" s="203" customFormat="1">
      <c r="A144" s="111"/>
      <c r="B144" s="47"/>
      <c r="C144" s="47"/>
      <c r="D144" s="47"/>
      <c r="E144" s="117"/>
      <c r="F144" s="118"/>
      <c r="G144" s="118"/>
      <c r="H144" s="118"/>
      <c r="I144" s="139"/>
      <c r="J144" s="231"/>
      <c r="K144" s="231"/>
      <c r="L144" s="231"/>
      <c r="M144" s="231"/>
      <c r="N144" s="231"/>
      <c r="O144" s="231"/>
      <c r="P144" s="231"/>
      <c r="Q144" s="231"/>
      <c r="R144" s="231"/>
      <c r="S144" s="231"/>
      <c r="T144" s="231"/>
      <c r="U144" s="231"/>
      <c r="V144" s="231"/>
      <c r="W144" s="231"/>
      <c r="X144" s="231"/>
      <c r="Y144" s="231"/>
      <c r="Z144" s="231"/>
      <c r="AA144" s="231"/>
      <c r="AB144" s="231"/>
      <c r="AC144" s="231"/>
      <c r="AD144" s="231"/>
      <c r="AE144" s="231"/>
      <c r="AF144" s="231"/>
    </row>
    <row r="145" spans="1:32" s="203" customFormat="1">
      <c r="A145" s="119" t="s">
        <v>110</v>
      </c>
      <c r="B145" s="116"/>
      <c r="C145" s="116"/>
      <c r="D145" s="116"/>
      <c r="E145" s="140"/>
      <c r="F145" s="146"/>
      <c r="G145" s="118"/>
      <c r="H145" s="146"/>
      <c r="I145" s="139"/>
      <c r="J145" s="231"/>
      <c r="K145" s="231"/>
      <c r="L145" s="231"/>
      <c r="M145" s="231"/>
      <c r="N145" s="231"/>
      <c r="O145" s="231"/>
      <c r="P145" s="231"/>
      <c r="Q145" s="231"/>
      <c r="R145" s="231"/>
      <c r="S145" s="231"/>
      <c r="T145" s="231"/>
      <c r="U145" s="231"/>
      <c r="V145" s="231"/>
      <c r="W145" s="231"/>
      <c r="X145" s="231"/>
      <c r="Y145" s="231"/>
      <c r="Z145" s="231"/>
      <c r="AA145" s="231"/>
      <c r="AB145" s="231"/>
      <c r="AC145" s="231"/>
      <c r="AD145" s="231"/>
      <c r="AE145" s="231"/>
      <c r="AF145" s="231"/>
    </row>
    <row r="146" spans="1:32" s="203" customFormat="1">
      <c r="A146" s="120">
        <v>40</v>
      </c>
      <c r="B146" s="47" t="s">
        <v>123</v>
      </c>
      <c r="C146" s="47"/>
      <c r="D146" s="47"/>
      <c r="E146" s="49">
        <v>256</v>
      </c>
      <c r="F146" s="52">
        <v>297</v>
      </c>
      <c r="G146" s="118"/>
      <c r="H146" s="122">
        <v>366</v>
      </c>
      <c r="I146" s="139"/>
      <c r="J146" s="231"/>
      <c r="K146" s="231"/>
      <c r="L146" s="231"/>
      <c r="M146" s="231"/>
      <c r="N146" s="231"/>
      <c r="O146" s="231"/>
      <c r="P146" s="231"/>
      <c r="Q146" s="231"/>
      <c r="R146" s="231"/>
      <c r="S146" s="231"/>
      <c r="T146" s="231"/>
      <c r="U146" s="231"/>
      <c r="V146" s="231"/>
      <c r="W146" s="231"/>
      <c r="X146" s="231"/>
      <c r="Y146" s="231"/>
      <c r="Z146" s="231"/>
      <c r="AA146" s="231"/>
      <c r="AB146" s="231"/>
      <c r="AC146" s="231"/>
      <c r="AD146" s="231"/>
      <c r="AE146" s="231"/>
      <c r="AF146" s="231"/>
    </row>
    <row r="147" spans="1:32" s="203" customFormat="1">
      <c r="A147" s="120">
        <v>41</v>
      </c>
      <c r="B147" s="47" t="s">
        <v>119</v>
      </c>
      <c r="C147" s="47"/>
      <c r="D147" s="47"/>
      <c r="E147" s="49">
        <v>93</v>
      </c>
      <c r="F147" s="52">
        <v>103</v>
      </c>
      <c r="G147" s="118"/>
      <c r="H147" s="122">
        <v>123</v>
      </c>
      <c r="I147" s="139"/>
      <c r="J147" s="231"/>
      <c r="K147" s="231"/>
      <c r="L147" s="231"/>
      <c r="M147" s="231"/>
      <c r="N147" s="231"/>
      <c r="O147" s="231"/>
      <c r="P147" s="231"/>
      <c r="Q147" s="231"/>
      <c r="R147" s="231"/>
      <c r="S147" s="231"/>
      <c r="T147" s="231"/>
      <c r="U147" s="231"/>
      <c r="V147" s="231"/>
      <c r="W147" s="231"/>
      <c r="X147" s="231"/>
      <c r="Y147" s="231"/>
      <c r="Z147" s="231"/>
      <c r="AA147" s="231"/>
      <c r="AB147" s="231"/>
      <c r="AC147" s="231"/>
      <c r="AD147" s="231"/>
      <c r="AE147" s="231"/>
      <c r="AF147" s="231"/>
    </row>
    <row r="148" spans="1:32" s="203" customFormat="1">
      <c r="A148" s="120">
        <v>42</v>
      </c>
      <c r="B148" s="47" t="s">
        <v>120</v>
      </c>
      <c r="C148" s="47"/>
      <c r="D148" s="47"/>
      <c r="E148" s="49">
        <v>187</v>
      </c>
      <c r="F148" s="52">
        <v>203</v>
      </c>
      <c r="G148" s="118"/>
      <c r="H148" s="122">
        <v>240</v>
      </c>
      <c r="I148" s="139"/>
      <c r="J148" s="231"/>
      <c r="K148" s="231"/>
      <c r="L148" s="231"/>
      <c r="M148" s="231"/>
      <c r="N148" s="231"/>
      <c r="O148" s="231"/>
      <c r="P148" s="231"/>
      <c r="Q148" s="231"/>
      <c r="R148" s="231"/>
      <c r="S148" s="231"/>
      <c r="T148" s="231"/>
      <c r="U148" s="231"/>
      <c r="V148" s="231"/>
      <c r="W148" s="231"/>
      <c r="X148" s="231"/>
      <c r="Y148" s="231"/>
      <c r="Z148" s="231"/>
      <c r="AA148" s="231"/>
      <c r="AB148" s="231"/>
      <c r="AC148" s="231"/>
      <c r="AD148" s="231"/>
      <c r="AE148" s="231"/>
      <c r="AF148" s="231"/>
    </row>
    <row r="149" spans="1:32" s="203" customFormat="1">
      <c r="A149" s="120">
        <v>43</v>
      </c>
      <c r="B149" s="47" t="s">
        <v>121</v>
      </c>
      <c r="C149" s="47"/>
      <c r="D149" s="47"/>
      <c r="E149" s="49">
        <v>12</v>
      </c>
      <c r="F149" s="52">
        <v>13</v>
      </c>
      <c r="G149" s="118"/>
      <c r="H149" s="100">
        <v>16</v>
      </c>
      <c r="I149" s="139"/>
      <c r="J149" s="231"/>
      <c r="K149" s="231"/>
      <c r="L149" s="231"/>
      <c r="M149" s="231"/>
      <c r="N149" s="231"/>
      <c r="O149" s="231"/>
      <c r="P149" s="231"/>
      <c r="Q149" s="231"/>
      <c r="R149" s="231"/>
      <c r="S149" s="231"/>
      <c r="T149" s="231"/>
      <c r="U149" s="231"/>
      <c r="V149" s="231"/>
      <c r="W149" s="231"/>
      <c r="X149" s="231"/>
      <c r="Y149" s="231"/>
      <c r="Z149" s="231"/>
      <c r="AA149" s="231"/>
      <c r="AB149" s="231"/>
      <c r="AC149" s="231"/>
      <c r="AD149" s="231"/>
      <c r="AE149" s="231"/>
      <c r="AF149" s="231"/>
    </row>
    <row r="150" spans="1:32" s="203" customFormat="1">
      <c r="A150" s="124">
        <v>44</v>
      </c>
      <c r="B150" s="94" t="s">
        <v>130</v>
      </c>
      <c r="C150" s="94"/>
      <c r="D150" s="94"/>
      <c r="E150" s="80">
        <v>548</v>
      </c>
      <c r="F150" s="142">
        <f>SUM(F146:F149)</f>
        <v>616</v>
      </c>
      <c r="G150" s="259"/>
      <c r="H150" s="142">
        <f>SUM(H146:H149)</f>
        <v>745</v>
      </c>
      <c r="I150" s="139"/>
      <c r="J150" s="231"/>
      <c r="K150" s="231"/>
      <c r="L150" s="231"/>
      <c r="M150" s="231"/>
      <c r="N150" s="231"/>
      <c r="O150" s="231"/>
      <c r="P150" s="231"/>
      <c r="Q150" s="231"/>
      <c r="R150" s="231"/>
      <c r="S150" s="231"/>
      <c r="T150" s="231"/>
      <c r="U150" s="231"/>
      <c r="V150" s="231"/>
      <c r="W150" s="231"/>
      <c r="X150" s="231"/>
      <c r="Y150" s="231"/>
      <c r="Z150" s="231"/>
      <c r="AA150" s="231"/>
      <c r="AB150" s="231"/>
      <c r="AC150" s="231"/>
      <c r="AD150" s="231"/>
      <c r="AE150" s="231"/>
      <c r="AF150" s="231"/>
    </row>
    <row r="151" spans="1:32" s="203" customFormat="1">
      <c r="A151" s="148"/>
      <c r="B151" s="129"/>
      <c r="C151" s="129"/>
      <c r="D151" s="149"/>
      <c r="E151" s="150"/>
      <c r="F151" s="29"/>
      <c r="G151" s="29"/>
      <c r="H151" s="207"/>
      <c r="I151" s="29"/>
      <c r="J151" s="231"/>
      <c r="K151" s="231"/>
      <c r="L151" s="231"/>
      <c r="M151" s="231"/>
      <c r="N151" s="231"/>
      <c r="O151" s="231"/>
      <c r="P151" s="231"/>
      <c r="Q151" s="231"/>
      <c r="R151" s="231"/>
      <c r="S151" s="231"/>
      <c r="T151" s="231"/>
      <c r="U151" s="231"/>
      <c r="V151" s="231"/>
      <c r="W151" s="231"/>
      <c r="X151" s="231"/>
      <c r="Y151" s="231"/>
      <c r="Z151" s="231"/>
      <c r="AA151" s="231"/>
      <c r="AB151" s="231"/>
      <c r="AC151" s="231"/>
      <c r="AD151" s="231"/>
      <c r="AE151" s="231"/>
      <c r="AF151" s="231"/>
    </row>
    <row r="152" spans="1:32" s="203" customFormat="1">
      <c r="A152" s="148"/>
      <c r="B152" s="129"/>
      <c r="C152" s="129"/>
      <c r="D152" s="151"/>
      <c r="E152" s="152"/>
      <c r="F152" s="29"/>
      <c r="G152" s="29"/>
      <c r="H152" s="131" t="s">
        <v>27</v>
      </c>
      <c r="I152" s="29"/>
      <c r="J152" s="231"/>
      <c r="K152" s="231"/>
      <c r="L152" s="231"/>
      <c r="M152" s="231"/>
      <c r="N152" s="231"/>
      <c r="O152" s="231"/>
      <c r="P152" s="231"/>
      <c r="Q152" s="231"/>
      <c r="R152" s="231"/>
      <c r="S152" s="231"/>
      <c r="T152" s="231"/>
      <c r="U152" s="231"/>
      <c r="V152" s="231"/>
      <c r="W152" s="231"/>
      <c r="X152" s="231"/>
      <c r="Y152" s="231"/>
      <c r="Z152" s="231"/>
      <c r="AA152" s="231"/>
      <c r="AB152" s="231"/>
      <c r="AC152" s="231"/>
      <c r="AD152" s="231"/>
      <c r="AE152" s="231"/>
      <c r="AF152" s="231"/>
    </row>
    <row r="153" spans="1:32" s="203" customFormat="1">
      <c r="A153" s="106" t="s">
        <v>20</v>
      </c>
      <c r="B153" s="107"/>
      <c r="C153" s="107"/>
      <c r="D153" s="107"/>
      <c r="E153" s="856" t="s">
        <v>377</v>
      </c>
      <c r="F153" s="856" t="s">
        <v>402</v>
      </c>
      <c r="G153" s="130"/>
      <c r="H153" s="856" t="s">
        <v>403</v>
      </c>
      <c r="I153" s="130"/>
      <c r="J153" s="231"/>
      <c r="K153" s="231"/>
      <c r="L153" s="231"/>
      <c r="M153" s="231"/>
      <c r="N153" s="231"/>
      <c r="O153" s="231"/>
      <c r="P153" s="231"/>
      <c r="Q153" s="231"/>
      <c r="R153" s="231"/>
      <c r="S153" s="231"/>
      <c r="T153" s="231"/>
      <c r="U153" s="231"/>
      <c r="V153" s="231"/>
      <c r="W153" s="231"/>
      <c r="X153" s="231"/>
      <c r="Y153" s="231"/>
      <c r="Z153" s="231"/>
      <c r="AA153" s="231"/>
      <c r="AB153" s="231"/>
      <c r="AC153" s="231"/>
      <c r="AD153" s="231"/>
      <c r="AE153" s="231"/>
      <c r="AF153" s="231"/>
    </row>
    <row r="154" spans="1:32" s="203" customFormat="1">
      <c r="A154" s="153"/>
      <c r="B154" s="132"/>
      <c r="C154" s="132"/>
      <c r="D154" s="132"/>
      <c r="E154" s="859"/>
      <c r="F154" s="859"/>
      <c r="G154" s="130"/>
      <c r="H154" s="859"/>
      <c r="I154" s="130"/>
      <c r="J154" s="231"/>
      <c r="K154" s="231"/>
      <c r="L154" s="231"/>
      <c r="M154" s="231"/>
      <c r="N154" s="231"/>
      <c r="O154" s="231"/>
      <c r="P154" s="231"/>
      <c r="Q154" s="231"/>
      <c r="R154" s="231"/>
      <c r="S154" s="231"/>
      <c r="T154" s="231"/>
      <c r="U154" s="231"/>
      <c r="V154" s="231"/>
      <c r="W154" s="231"/>
      <c r="X154" s="231"/>
      <c r="Y154" s="231"/>
      <c r="Z154" s="231"/>
      <c r="AA154" s="231"/>
      <c r="AB154" s="231"/>
      <c r="AC154" s="231"/>
      <c r="AD154" s="231"/>
      <c r="AE154" s="231"/>
      <c r="AF154" s="231"/>
    </row>
    <row r="155" spans="1:32" s="203" customFormat="1">
      <c r="A155" s="154" t="s">
        <v>131</v>
      </c>
      <c r="B155" s="116"/>
      <c r="C155" s="116"/>
      <c r="D155" s="116"/>
      <c r="E155" s="859"/>
      <c r="F155" s="859"/>
      <c r="G155" s="130"/>
      <c r="H155" s="859"/>
      <c r="I155" s="130"/>
      <c r="J155" s="231"/>
      <c r="K155" s="231"/>
      <c r="L155" s="231"/>
      <c r="M155" s="231"/>
      <c r="N155" s="231"/>
      <c r="O155" s="231"/>
      <c r="P155" s="231"/>
      <c r="Q155" s="231"/>
      <c r="R155" s="231"/>
      <c r="S155" s="231"/>
      <c r="T155" s="231"/>
      <c r="U155" s="231"/>
      <c r="V155" s="231"/>
      <c r="W155" s="231"/>
      <c r="X155" s="231"/>
      <c r="Y155" s="231"/>
      <c r="Z155" s="231"/>
      <c r="AA155" s="231"/>
      <c r="AB155" s="231"/>
      <c r="AC155" s="231"/>
      <c r="AD155" s="231"/>
      <c r="AE155" s="231"/>
      <c r="AF155" s="231"/>
    </row>
    <row r="156" spans="1:32" s="203" customFormat="1" ht="12.75" customHeight="1">
      <c r="A156" s="109" t="s">
        <v>83</v>
      </c>
      <c r="B156" s="47"/>
      <c r="C156" s="47"/>
      <c r="D156" s="47"/>
      <c r="E156" s="859"/>
      <c r="F156" s="859"/>
      <c r="G156" s="130"/>
      <c r="H156" s="859"/>
      <c r="I156" s="130"/>
      <c r="J156" s="231"/>
      <c r="K156" s="231"/>
      <c r="L156" s="231"/>
      <c r="M156" s="231"/>
      <c r="N156" s="231"/>
      <c r="O156" s="231"/>
      <c r="P156" s="231"/>
      <c r="Q156" s="231"/>
      <c r="R156" s="231"/>
      <c r="S156" s="231"/>
      <c r="T156" s="231"/>
      <c r="U156" s="231"/>
      <c r="V156" s="231"/>
      <c r="W156" s="231"/>
      <c r="X156" s="231"/>
      <c r="Y156" s="231"/>
      <c r="Z156" s="231"/>
      <c r="AA156" s="231"/>
      <c r="AB156" s="231"/>
      <c r="AC156" s="231"/>
      <c r="AD156" s="231"/>
      <c r="AE156" s="231"/>
      <c r="AF156" s="231"/>
    </row>
    <row r="157" spans="1:32" s="203" customFormat="1">
      <c r="A157" s="110" t="s">
        <v>84</v>
      </c>
      <c r="B157" s="132"/>
      <c r="C157" s="132"/>
      <c r="D157" s="132"/>
      <c r="E157" s="860"/>
      <c r="F157" s="860"/>
      <c r="G157" s="130"/>
      <c r="H157" s="860"/>
      <c r="I157" s="130"/>
      <c r="J157" s="231"/>
      <c r="K157" s="231"/>
      <c r="L157" s="231"/>
      <c r="M157" s="231"/>
      <c r="N157" s="231"/>
      <c r="O157" s="231"/>
      <c r="P157" s="231"/>
      <c r="Q157" s="231"/>
      <c r="R157" s="231"/>
      <c r="S157" s="231"/>
      <c r="T157" s="231"/>
      <c r="U157" s="231"/>
      <c r="V157" s="231"/>
      <c r="W157" s="231"/>
      <c r="X157" s="231"/>
      <c r="Y157" s="231"/>
      <c r="Z157" s="231"/>
      <c r="AA157" s="231"/>
      <c r="AB157" s="231"/>
      <c r="AC157" s="231"/>
      <c r="AD157" s="231"/>
      <c r="AE157" s="231"/>
      <c r="AF157" s="231"/>
    </row>
    <row r="158" spans="1:32" s="203" customFormat="1">
      <c r="A158" s="119" t="s">
        <v>132</v>
      </c>
      <c r="B158" s="47"/>
      <c r="C158" s="47"/>
      <c r="D158" s="47"/>
      <c r="E158" s="155"/>
      <c r="F158" s="146" t="s">
        <v>133</v>
      </c>
      <c r="G158" s="118"/>
      <c r="H158" s="146"/>
      <c r="I158" s="29"/>
      <c r="J158" s="231"/>
      <c r="K158" s="231"/>
      <c r="L158" s="231"/>
      <c r="M158" s="231"/>
      <c r="N158" s="231"/>
      <c r="O158" s="231"/>
      <c r="P158" s="231"/>
      <c r="Q158" s="231"/>
      <c r="R158" s="231"/>
      <c r="S158" s="231"/>
      <c r="T158" s="231"/>
      <c r="U158" s="231"/>
      <c r="V158" s="231"/>
      <c r="W158" s="231"/>
      <c r="X158" s="231"/>
      <c r="Y158" s="231"/>
      <c r="Z158" s="231"/>
      <c r="AA158" s="231"/>
      <c r="AB158" s="231"/>
      <c r="AC158" s="231"/>
      <c r="AD158" s="231"/>
      <c r="AE158" s="231"/>
      <c r="AF158" s="231"/>
    </row>
    <row r="159" spans="1:32" s="203" customFormat="1">
      <c r="A159" s="120">
        <v>1</v>
      </c>
      <c r="B159" s="47" t="s">
        <v>134</v>
      </c>
      <c r="C159" s="47"/>
      <c r="D159" s="47"/>
      <c r="E159" s="74">
        <v>0</v>
      </c>
      <c r="F159" s="52"/>
      <c r="G159" s="118"/>
      <c r="H159" s="122"/>
      <c r="I159" s="29"/>
      <c r="J159" s="231"/>
      <c r="K159" s="231"/>
      <c r="L159" s="231"/>
      <c r="M159" s="231"/>
      <c r="N159" s="231"/>
      <c r="O159" s="231"/>
      <c r="P159" s="231"/>
      <c r="Q159" s="231"/>
      <c r="R159" s="231"/>
      <c r="S159" s="231"/>
      <c r="T159" s="231"/>
      <c r="U159" s="231"/>
      <c r="V159" s="231"/>
      <c r="W159" s="231"/>
      <c r="X159" s="231"/>
      <c r="Y159" s="231"/>
      <c r="Z159" s="231"/>
      <c r="AA159" s="231"/>
      <c r="AB159" s="231"/>
      <c r="AC159" s="231"/>
      <c r="AD159" s="231"/>
      <c r="AE159" s="231"/>
      <c r="AF159" s="231"/>
    </row>
    <row r="160" spans="1:32" s="203" customFormat="1">
      <c r="A160" s="120">
        <v>2</v>
      </c>
      <c r="B160" s="47" t="s">
        <v>135</v>
      </c>
      <c r="C160" s="47"/>
      <c r="D160" s="47"/>
      <c r="E160" s="49">
        <v>392</v>
      </c>
      <c r="F160" s="52">
        <v>380</v>
      </c>
      <c r="G160" s="118"/>
      <c r="H160" s="122">
        <v>388</v>
      </c>
      <c r="I160" s="29"/>
      <c r="J160" s="231"/>
      <c r="K160" s="231"/>
      <c r="L160" s="231"/>
      <c r="M160" s="231"/>
      <c r="N160" s="231"/>
      <c r="O160" s="231"/>
      <c r="P160" s="231"/>
      <c r="Q160" s="231"/>
      <c r="R160" s="231"/>
      <c r="S160" s="231"/>
      <c r="T160" s="231"/>
      <c r="U160" s="231"/>
      <c r="V160" s="231"/>
      <c r="W160" s="231"/>
      <c r="X160" s="231"/>
      <c r="Y160" s="231"/>
      <c r="Z160" s="231"/>
      <c r="AA160" s="231"/>
      <c r="AB160" s="231"/>
      <c r="AC160" s="231"/>
      <c r="AD160" s="231"/>
      <c r="AE160" s="231"/>
      <c r="AF160" s="231"/>
    </row>
    <row r="161" spans="1:32" s="203" customFormat="1">
      <c r="A161" s="120">
        <v>3</v>
      </c>
      <c r="B161" s="47" t="s">
        <v>136</v>
      </c>
      <c r="C161" s="47"/>
      <c r="D161" s="47"/>
      <c r="E161" s="114">
        <v>1179</v>
      </c>
      <c r="F161" s="52">
        <v>1188</v>
      </c>
      <c r="G161" s="118"/>
      <c r="H161" s="122">
        <v>1154</v>
      </c>
      <c r="I161" s="29"/>
      <c r="J161" s="231"/>
      <c r="K161" s="231"/>
      <c r="L161" s="231"/>
      <c r="M161" s="231"/>
      <c r="N161" s="231"/>
      <c r="O161" s="231"/>
      <c r="P161" s="231"/>
      <c r="Q161" s="231"/>
      <c r="R161" s="231"/>
      <c r="S161" s="231"/>
      <c r="T161" s="231"/>
      <c r="U161" s="231"/>
      <c r="V161" s="231"/>
      <c r="W161" s="231"/>
      <c r="X161" s="231"/>
      <c r="Y161" s="231"/>
      <c r="Z161" s="231"/>
      <c r="AA161" s="231"/>
      <c r="AB161" s="231"/>
      <c r="AC161" s="231"/>
      <c r="AD161" s="231"/>
      <c r="AE161" s="231"/>
      <c r="AF161" s="231"/>
    </row>
    <row r="162" spans="1:32" s="203" customFormat="1">
      <c r="A162" s="120">
        <v>4</v>
      </c>
      <c r="B162" s="47" t="s">
        <v>137</v>
      </c>
      <c r="C162" s="47"/>
      <c r="D162" s="47"/>
      <c r="E162" s="114">
        <v>989</v>
      </c>
      <c r="F162" s="52">
        <v>986</v>
      </c>
      <c r="G162" s="118"/>
      <c r="H162" s="100">
        <v>948</v>
      </c>
      <c r="I162" s="29"/>
      <c r="J162" s="231"/>
      <c r="K162" s="231"/>
      <c r="L162" s="231"/>
      <c r="M162" s="231"/>
      <c r="N162" s="231"/>
      <c r="O162" s="231"/>
      <c r="P162" s="231"/>
      <c r="Q162" s="231"/>
      <c r="R162" s="231"/>
      <c r="S162" s="231"/>
      <c r="T162" s="231"/>
      <c r="U162" s="231"/>
      <c r="V162" s="231"/>
      <c r="W162" s="231"/>
      <c r="X162" s="231"/>
      <c r="Y162" s="231"/>
      <c r="Z162" s="231"/>
      <c r="AA162" s="231"/>
      <c r="AB162" s="231"/>
      <c r="AC162" s="231"/>
      <c r="AD162" s="231"/>
      <c r="AE162" s="231"/>
      <c r="AF162" s="231"/>
    </row>
    <row r="163" spans="1:32" s="203" customFormat="1">
      <c r="A163" s="120">
        <v>5</v>
      </c>
      <c r="B163" s="116" t="s">
        <v>138</v>
      </c>
      <c r="C163" s="116"/>
      <c r="D163" s="116"/>
      <c r="E163" s="80">
        <v>2560</v>
      </c>
      <c r="F163" s="142">
        <f>SUM(F159:F162)</f>
        <v>2554</v>
      </c>
      <c r="G163" s="118"/>
      <c r="H163" s="142">
        <f>SUM(H159:H162)</f>
        <v>2490</v>
      </c>
      <c r="I163" s="29"/>
      <c r="J163" s="231"/>
      <c r="K163" s="231"/>
      <c r="L163" s="231"/>
      <c r="M163" s="231"/>
      <c r="N163" s="231"/>
      <c r="O163" s="231"/>
      <c r="P163" s="231"/>
      <c r="Q163" s="231"/>
      <c r="R163" s="231"/>
      <c r="S163" s="231"/>
      <c r="T163" s="231"/>
      <c r="U163" s="231"/>
      <c r="V163" s="231"/>
      <c r="W163" s="231"/>
      <c r="X163" s="231"/>
      <c r="Y163" s="231"/>
      <c r="Z163" s="231"/>
      <c r="AA163" s="231"/>
      <c r="AB163" s="231"/>
      <c r="AC163" s="231"/>
      <c r="AD163" s="231"/>
      <c r="AE163" s="231"/>
      <c r="AF163" s="231"/>
    </row>
    <row r="164" spans="1:32" s="203" customFormat="1">
      <c r="A164" s="46"/>
      <c r="B164" s="132"/>
      <c r="C164" s="132"/>
      <c r="D164" s="132"/>
      <c r="E164" s="156"/>
      <c r="F164" s="139"/>
      <c r="G164" s="139"/>
      <c r="H164" s="139"/>
      <c r="I164" s="29"/>
      <c r="J164" s="231"/>
      <c r="K164" s="231"/>
      <c r="L164" s="231"/>
      <c r="M164" s="231"/>
      <c r="N164" s="231"/>
      <c r="O164" s="231"/>
      <c r="P164" s="231"/>
      <c r="Q164" s="231"/>
      <c r="R164" s="231"/>
      <c r="S164" s="231"/>
      <c r="T164" s="231"/>
      <c r="U164" s="231"/>
      <c r="V164" s="231"/>
      <c r="W164" s="231"/>
      <c r="X164" s="231"/>
      <c r="Y164" s="231"/>
      <c r="Z164" s="231"/>
      <c r="AA164" s="231"/>
      <c r="AB164" s="231"/>
      <c r="AC164" s="231"/>
      <c r="AD164" s="231"/>
      <c r="AE164" s="231"/>
      <c r="AF164" s="231"/>
    </row>
    <row r="165" spans="1:32" s="203" customFormat="1">
      <c r="A165" s="119" t="s">
        <v>139</v>
      </c>
      <c r="B165" s="47"/>
      <c r="C165" s="47"/>
      <c r="D165" s="47"/>
      <c r="E165" s="140"/>
      <c r="F165" s="146"/>
      <c r="G165" s="118"/>
      <c r="H165" s="146"/>
      <c r="I165" s="29"/>
      <c r="J165" s="231"/>
      <c r="K165" s="231"/>
      <c r="L165" s="231"/>
      <c r="M165" s="231"/>
      <c r="N165" s="231"/>
      <c r="O165" s="231"/>
      <c r="P165" s="231"/>
      <c r="Q165" s="231"/>
      <c r="R165" s="231"/>
      <c r="S165" s="231"/>
      <c r="T165" s="231"/>
      <c r="U165" s="231"/>
      <c r="V165" s="231"/>
      <c r="W165" s="231"/>
      <c r="X165" s="231"/>
      <c r="Y165" s="231"/>
      <c r="Z165" s="231"/>
      <c r="AA165" s="231"/>
      <c r="AB165" s="231"/>
      <c r="AC165" s="231"/>
      <c r="AD165" s="231"/>
      <c r="AE165" s="231"/>
      <c r="AF165" s="231"/>
    </row>
    <row r="166" spans="1:32" s="203" customFormat="1">
      <c r="A166" s="120">
        <v>6</v>
      </c>
      <c r="B166" s="47" t="s">
        <v>140</v>
      </c>
      <c r="C166" s="47"/>
      <c r="D166" s="47"/>
      <c r="E166" s="74">
        <v>187</v>
      </c>
      <c r="F166" s="52">
        <v>177</v>
      </c>
      <c r="G166" s="118"/>
      <c r="H166" s="122">
        <v>185</v>
      </c>
      <c r="I166" s="29"/>
      <c r="J166" s="231"/>
      <c r="K166" s="231"/>
      <c r="L166" s="231"/>
      <c r="M166" s="231"/>
      <c r="N166" s="231"/>
      <c r="O166" s="231"/>
      <c r="P166" s="231"/>
      <c r="Q166" s="231"/>
      <c r="R166" s="231"/>
      <c r="S166" s="231"/>
      <c r="T166" s="231"/>
      <c r="U166" s="231"/>
      <c r="V166" s="231"/>
      <c r="W166" s="231"/>
      <c r="X166" s="231"/>
      <c r="Y166" s="231"/>
      <c r="Z166" s="231"/>
      <c r="AA166" s="231"/>
      <c r="AB166" s="231"/>
      <c r="AC166" s="231"/>
      <c r="AD166" s="231"/>
      <c r="AE166" s="231"/>
      <c r="AF166" s="231"/>
    </row>
    <row r="167" spans="1:32" s="203" customFormat="1">
      <c r="A167" s="120">
        <v>7</v>
      </c>
      <c r="B167" s="47" t="s">
        <v>141</v>
      </c>
      <c r="C167" s="47"/>
      <c r="D167" s="47"/>
      <c r="E167" s="49">
        <v>93</v>
      </c>
      <c r="F167" s="52">
        <v>90</v>
      </c>
      <c r="G167" s="118"/>
      <c r="H167" s="122">
        <v>94</v>
      </c>
      <c r="I167" s="29"/>
      <c r="J167" s="231"/>
      <c r="K167" s="231"/>
      <c r="L167" s="231"/>
      <c r="M167" s="231"/>
      <c r="N167" s="231"/>
      <c r="O167" s="231"/>
      <c r="P167" s="231"/>
      <c r="Q167" s="231"/>
      <c r="R167" s="231"/>
      <c r="S167" s="231"/>
      <c r="T167" s="231"/>
      <c r="U167" s="231"/>
      <c r="V167" s="231"/>
      <c r="W167" s="231"/>
      <c r="X167" s="231"/>
      <c r="Y167" s="231"/>
      <c r="Z167" s="231"/>
      <c r="AA167" s="231"/>
      <c r="AB167" s="231"/>
      <c r="AC167" s="231"/>
      <c r="AD167" s="231"/>
      <c r="AE167" s="231"/>
      <c r="AF167" s="231"/>
    </row>
    <row r="168" spans="1:32" s="203" customFormat="1">
      <c r="A168" s="120">
        <v>8</v>
      </c>
      <c r="B168" s="47" t="s">
        <v>121</v>
      </c>
      <c r="C168" s="47"/>
      <c r="D168" s="47"/>
      <c r="E168" s="49">
        <v>0</v>
      </c>
      <c r="F168" s="52"/>
      <c r="G168" s="118"/>
      <c r="H168" s="100"/>
      <c r="I168" s="29"/>
      <c r="J168" s="231"/>
      <c r="K168" s="231"/>
      <c r="L168" s="231"/>
      <c r="M168" s="231"/>
      <c r="N168" s="231"/>
      <c r="O168" s="231"/>
      <c r="P168" s="231"/>
      <c r="Q168" s="231"/>
      <c r="R168" s="231"/>
      <c r="S168" s="231"/>
      <c r="T168" s="231"/>
      <c r="U168" s="231"/>
      <c r="V168" s="231"/>
      <c r="W168" s="231"/>
      <c r="X168" s="231"/>
      <c r="Y168" s="231"/>
      <c r="Z168" s="231"/>
      <c r="AA168" s="231"/>
      <c r="AB168" s="231"/>
      <c r="AC168" s="231"/>
      <c r="AD168" s="231"/>
      <c r="AE168" s="231"/>
      <c r="AF168" s="231"/>
    </row>
    <row r="169" spans="1:32" s="203" customFormat="1">
      <c r="A169" s="120">
        <v>9</v>
      </c>
      <c r="B169" s="116" t="s">
        <v>142</v>
      </c>
      <c r="C169" s="116"/>
      <c r="D169" s="116"/>
      <c r="E169" s="80">
        <v>280</v>
      </c>
      <c r="F169" s="142">
        <f>SUM(F166:F168)</f>
        <v>267</v>
      </c>
      <c r="G169" s="118"/>
      <c r="H169" s="142">
        <f>SUM(H166:H168)</f>
        <v>279</v>
      </c>
      <c r="I169" s="29"/>
      <c r="J169" s="231"/>
      <c r="K169" s="231"/>
      <c r="L169" s="231"/>
      <c r="M169" s="231"/>
      <c r="N169" s="231"/>
      <c r="O169" s="231"/>
      <c r="P169" s="231"/>
      <c r="Q169" s="231"/>
      <c r="R169" s="231"/>
      <c r="S169" s="231"/>
      <c r="T169" s="231"/>
      <c r="U169" s="231"/>
      <c r="V169" s="231"/>
      <c r="W169" s="231"/>
      <c r="X169" s="231"/>
      <c r="Y169" s="231"/>
      <c r="Z169" s="231"/>
      <c r="AA169" s="231"/>
      <c r="AB169" s="231"/>
      <c r="AC169" s="231"/>
      <c r="AD169" s="231"/>
      <c r="AE169" s="231"/>
      <c r="AF169" s="231"/>
    </row>
    <row r="170" spans="1:32" s="203" customFormat="1">
      <c r="A170" s="46"/>
      <c r="B170" s="132"/>
      <c r="C170" s="132"/>
      <c r="D170" s="132"/>
      <c r="E170" s="156"/>
      <c r="F170" s="139"/>
      <c r="G170" s="139"/>
      <c r="H170" s="139"/>
      <c r="I170" s="29"/>
      <c r="J170" s="231"/>
      <c r="K170" s="231"/>
      <c r="L170" s="231"/>
      <c r="M170" s="231"/>
      <c r="N170" s="231"/>
      <c r="O170" s="231"/>
      <c r="P170" s="231"/>
      <c r="Q170" s="231"/>
      <c r="R170" s="231"/>
      <c r="S170" s="231"/>
      <c r="T170" s="231"/>
      <c r="U170" s="231"/>
      <c r="V170" s="231"/>
      <c r="W170" s="231"/>
      <c r="X170" s="231"/>
      <c r="Y170" s="231"/>
      <c r="Z170" s="231"/>
      <c r="AA170" s="231"/>
      <c r="AB170" s="231"/>
      <c r="AC170" s="231"/>
      <c r="AD170" s="231"/>
      <c r="AE170" s="231"/>
      <c r="AF170" s="231"/>
    </row>
    <row r="171" spans="1:32" s="203" customFormat="1">
      <c r="A171" s="120">
        <v>10</v>
      </c>
      <c r="B171" s="47" t="s">
        <v>143</v>
      </c>
      <c r="C171" s="47"/>
      <c r="D171" s="47"/>
      <c r="E171" s="41">
        <v>58</v>
      </c>
      <c r="F171" s="121">
        <v>-4</v>
      </c>
      <c r="G171" s="118"/>
      <c r="H171" s="133">
        <v>1</v>
      </c>
      <c r="I171" s="29"/>
      <c r="J171" s="231"/>
      <c r="K171" s="231"/>
      <c r="L171" s="231"/>
      <c r="M171" s="231"/>
      <c r="N171" s="231"/>
      <c r="O171" s="231"/>
      <c r="P171" s="231"/>
      <c r="Q171" s="231"/>
      <c r="R171" s="231"/>
      <c r="S171" s="231"/>
      <c r="T171" s="231"/>
      <c r="U171" s="231"/>
      <c r="V171" s="231"/>
      <c r="W171" s="231"/>
      <c r="X171" s="231"/>
      <c r="Y171" s="231"/>
      <c r="Z171" s="231"/>
      <c r="AA171" s="231"/>
      <c r="AB171" s="231"/>
      <c r="AC171" s="231"/>
      <c r="AD171" s="231"/>
      <c r="AE171" s="231"/>
      <c r="AF171" s="231"/>
    </row>
    <row r="172" spans="1:32" s="203" customFormat="1">
      <c r="A172" s="120">
        <v>11</v>
      </c>
      <c r="B172" s="47" t="s">
        <v>144</v>
      </c>
      <c r="C172" s="47"/>
      <c r="D172" s="47"/>
      <c r="E172" s="56">
        <v>0</v>
      </c>
      <c r="F172" s="126"/>
      <c r="G172" s="118"/>
      <c r="H172" s="100"/>
      <c r="I172" s="29"/>
      <c r="J172" s="231"/>
      <c r="K172" s="231"/>
      <c r="L172" s="231"/>
      <c r="M172" s="231"/>
      <c r="N172" s="231"/>
      <c r="O172" s="231"/>
      <c r="P172" s="231"/>
      <c r="Q172" s="231"/>
      <c r="R172" s="231"/>
      <c r="S172" s="231"/>
      <c r="T172" s="231"/>
      <c r="U172" s="231"/>
      <c r="V172" s="231"/>
      <c r="W172" s="231"/>
      <c r="X172" s="231"/>
      <c r="Y172" s="231"/>
      <c r="Z172" s="231"/>
      <c r="AA172" s="231"/>
      <c r="AB172" s="231"/>
      <c r="AC172" s="231"/>
      <c r="AD172" s="231"/>
      <c r="AE172" s="231"/>
      <c r="AF172" s="231"/>
    </row>
    <row r="173" spans="1:32" s="203" customFormat="1">
      <c r="A173" s="46"/>
      <c r="B173" s="132"/>
      <c r="C173" s="132"/>
      <c r="D173" s="132"/>
      <c r="E173" s="156"/>
      <c r="F173" s="139"/>
      <c r="G173" s="139"/>
      <c r="H173" s="139"/>
      <c r="I173" s="29"/>
      <c r="J173" s="231"/>
      <c r="K173" s="231"/>
      <c r="L173" s="231"/>
      <c r="M173" s="231"/>
      <c r="N173" s="231"/>
      <c r="O173" s="231"/>
      <c r="P173" s="231"/>
      <c r="Q173" s="231"/>
      <c r="R173" s="231"/>
      <c r="S173" s="231"/>
      <c r="T173" s="231"/>
      <c r="U173" s="231"/>
      <c r="V173" s="231"/>
      <c r="W173" s="231"/>
      <c r="X173" s="231"/>
      <c r="Y173" s="231"/>
      <c r="Z173" s="231"/>
      <c r="AA173" s="231"/>
      <c r="AB173" s="231"/>
      <c r="AC173" s="231"/>
      <c r="AD173" s="231"/>
      <c r="AE173" s="231"/>
      <c r="AF173" s="231"/>
    </row>
    <row r="174" spans="1:32" s="203" customFormat="1">
      <c r="A174" s="119" t="s">
        <v>145</v>
      </c>
      <c r="B174" s="47"/>
      <c r="C174" s="47"/>
      <c r="D174" s="47"/>
      <c r="E174" s="157"/>
      <c r="F174" s="146"/>
      <c r="G174" s="118"/>
      <c r="H174" s="146"/>
      <c r="I174" s="29"/>
      <c r="J174" s="231"/>
      <c r="K174" s="231"/>
      <c r="L174" s="231"/>
      <c r="M174" s="231"/>
      <c r="N174" s="231"/>
      <c r="O174" s="231"/>
      <c r="P174" s="231"/>
      <c r="Q174" s="231"/>
      <c r="R174" s="231"/>
      <c r="S174" s="231"/>
      <c r="T174" s="231"/>
      <c r="U174" s="231"/>
      <c r="V174" s="231"/>
      <c r="W174" s="231"/>
      <c r="X174" s="231"/>
      <c r="Y174" s="231"/>
      <c r="Z174" s="231"/>
      <c r="AA174" s="231"/>
      <c r="AB174" s="231"/>
      <c r="AC174" s="231"/>
      <c r="AD174" s="231"/>
      <c r="AE174" s="231"/>
      <c r="AF174" s="231"/>
    </row>
    <row r="175" spans="1:32" s="203" customFormat="1">
      <c r="A175" s="120">
        <v>12</v>
      </c>
      <c r="B175" s="47" t="s">
        <v>146</v>
      </c>
      <c r="C175" s="47"/>
      <c r="D175" s="47"/>
      <c r="E175" s="74">
        <v>165</v>
      </c>
      <c r="F175" s="52">
        <v>165</v>
      </c>
      <c r="G175" s="118"/>
      <c r="H175" s="122">
        <v>157</v>
      </c>
      <c r="I175" s="29"/>
      <c r="J175" s="231"/>
      <c r="K175" s="231"/>
      <c r="L175" s="231"/>
      <c r="M175" s="231"/>
      <c r="N175" s="231"/>
      <c r="O175" s="231"/>
      <c r="P175" s="231"/>
      <c r="Q175" s="231"/>
      <c r="R175" s="231"/>
      <c r="S175" s="231"/>
      <c r="T175" s="231"/>
      <c r="U175" s="231"/>
      <c r="V175" s="231"/>
      <c r="W175" s="231"/>
      <c r="X175" s="231"/>
      <c r="Y175" s="231"/>
      <c r="Z175" s="231"/>
      <c r="AA175" s="231"/>
      <c r="AB175" s="231"/>
      <c r="AC175" s="231"/>
      <c r="AD175" s="231"/>
      <c r="AE175" s="231"/>
      <c r="AF175" s="231"/>
    </row>
    <row r="176" spans="1:32" s="203" customFormat="1">
      <c r="A176" s="120">
        <v>13</v>
      </c>
      <c r="B176" s="47" t="s">
        <v>147</v>
      </c>
      <c r="C176" s="47"/>
      <c r="D176" s="47"/>
      <c r="E176" s="49">
        <v>1296</v>
      </c>
      <c r="F176" s="52">
        <v>1328</v>
      </c>
      <c r="G176" s="118"/>
      <c r="H176" s="122">
        <v>1185</v>
      </c>
      <c r="I176" s="29"/>
      <c r="J176" s="231"/>
      <c r="K176" s="231"/>
      <c r="L176" s="231"/>
      <c r="M176" s="231"/>
      <c r="N176" s="231"/>
      <c r="O176" s="231"/>
      <c r="P176" s="231"/>
      <c r="Q176" s="231"/>
      <c r="R176" s="231"/>
      <c r="S176" s="231"/>
      <c r="T176" s="231"/>
      <c r="U176" s="231"/>
      <c r="V176" s="231"/>
      <c r="W176" s="231"/>
      <c r="X176" s="231"/>
      <c r="Y176" s="231"/>
      <c r="Z176" s="231"/>
      <c r="AA176" s="231"/>
      <c r="AB176" s="231"/>
      <c r="AC176" s="231"/>
      <c r="AD176" s="231"/>
      <c r="AE176" s="231"/>
      <c r="AF176" s="231"/>
    </row>
    <row r="177" spans="1:32" s="203" customFormat="1">
      <c r="A177" s="120">
        <v>14</v>
      </c>
      <c r="B177" s="47" t="s">
        <v>148</v>
      </c>
      <c r="C177" s="47"/>
      <c r="D177" s="47"/>
      <c r="E177" s="56">
        <v>162</v>
      </c>
      <c r="F177" s="52">
        <v>130</v>
      </c>
      <c r="G177" s="118"/>
      <c r="H177" s="100">
        <v>109</v>
      </c>
      <c r="I177" s="29"/>
      <c r="J177" s="231"/>
      <c r="K177" s="231"/>
      <c r="L177" s="231"/>
      <c r="M177" s="231"/>
      <c r="N177" s="231"/>
      <c r="O177" s="231"/>
      <c r="P177" s="231"/>
      <c r="Q177" s="231"/>
      <c r="R177" s="231"/>
      <c r="S177" s="231"/>
      <c r="T177" s="231"/>
      <c r="U177" s="231"/>
      <c r="V177" s="231"/>
      <c r="W177" s="231"/>
      <c r="X177" s="231"/>
      <c r="Y177" s="231"/>
      <c r="Z177" s="231"/>
      <c r="AA177" s="231"/>
      <c r="AB177" s="231"/>
      <c r="AC177" s="231"/>
      <c r="AD177" s="231"/>
      <c r="AE177" s="231"/>
      <c r="AF177" s="231"/>
    </row>
    <row r="178" spans="1:32" s="203" customFormat="1">
      <c r="A178" s="120">
        <v>15</v>
      </c>
      <c r="B178" s="116" t="s">
        <v>149</v>
      </c>
      <c r="C178" s="116"/>
      <c r="D178" s="116"/>
      <c r="E178" s="80">
        <v>1623</v>
      </c>
      <c r="F178" s="142">
        <f>SUM(F175:F177)</f>
        <v>1623</v>
      </c>
      <c r="G178" s="118"/>
      <c r="H178" s="142">
        <f>SUM(H175:H177)</f>
        <v>1451</v>
      </c>
      <c r="I178" s="29"/>
      <c r="J178" s="231"/>
      <c r="K178" s="231"/>
      <c r="L178" s="231"/>
      <c r="M178" s="231"/>
      <c r="N178" s="231"/>
      <c r="O178" s="231"/>
      <c r="P178" s="231"/>
      <c r="Q178" s="231"/>
      <c r="R178" s="231"/>
      <c r="S178" s="231"/>
      <c r="T178" s="231"/>
      <c r="U178" s="231"/>
      <c r="V178" s="231"/>
      <c r="W178" s="231"/>
      <c r="X178" s="231"/>
      <c r="Y178" s="231"/>
      <c r="Z178" s="231"/>
      <c r="AA178" s="231"/>
      <c r="AB178" s="231"/>
      <c r="AC178" s="231"/>
      <c r="AD178" s="231"/>
      <c r="AE178" s="231"/>
      <c r="AF178" s="231"/>
    </row>
    <row r="179" spans="1:32" s="203" customFormat="1">
      <c r="A179" s="120">
        <v>16</v>
      </c>
      <c r="B179" s="116" t="s">
        <v>150</v>
      </c>
      <c r="C179" s="116"/>
      <c r="D179" s="116"/>
      <c r="E179" s="80">
        <v>1623</v>
      </c>
      <c r="F179" s="158">
        <f>F172+F178</f>
        <v>1623</v>
      </c>
      <c r="G179" s="118"/>
      <c r="H179" s="158">
        <f>H172+H178</f>
        <v>1451</v>
      </c>
      <c r="I179" s="29"/>
      <c r="J179" s="231"/>
      <c r="K179" s="231"/>
      <c r="L179" s="231"/>
      <c r="M179" s="231"/>
      <c r="N179" s="231"/>
      <c r="O179" s="231"/>
      <c r="P179" s="231"/>
      <c r="Q179" s="231"/>
      <c r="R179" s="231"/>
      <c r="S179" s="231"/>
      <c r="T179" s="231"/>
      <c r="U179" s="231"/>
      <c r="V179" s="231"/>
      <c r="W179" s="231"/>
      <c r="X179" s="231"/>
      <c r="Y179" s="231"/>
      <c r="Z179" s="231"/>
      <c r="AA179" s="231"/>
      <c r="AB179" s="231"/>
      <c r="AC179" s="231"/>
      <c r="AD179" s="231"/>
      <c r="AE179" s="231"/>
      <c r="AF179" s="231"/>
    </row>
    <row r="180" spans="1:32" s="203" customFormat="1">
      <c r="A180" s="120">
        <v>17</v>
      </c>
      <c r="B180" s="116" t="s">
        <v>151</v>
      </c>
      <c r="C180" s="116"/>
      <c r="D180" s="116"/>
      <c r="E180" s="159">
        <v>4521</v>
      </c>
      <c r="F180" s="61">
        <f>SUM(F163+F169+F171+F179)</f>
        <v>4440</v>
      </c>
      <c r="G180" s="118"/>
      <c r="H180" s="61">
        <f>SUM(H163+H169+H171+H179)</f>
        <v>4221</v>
      </c>
      <c r="I180" s="29"/>
      <c r="J180" s="231"/>
      <c r="K180" s="231"/>
      <c r="L180" s="231"/>
      <c r="M180" s="231"/>
      <c r="N180" s="231"/>
      <c r="O180" s="231"/>
      <c r="P180" s="231"/>
      <c r="Q180" s="231"/>
      <c r="R180" s="231"/>
      <c r="S180" s="231"/>
      <c r="T180" s="231"/>
      <c r="U180" s="231"/>
      <c r="V180" s="231"/>
      <c r="W180" s="231"/>
      <c r="X180" s="231"/>
      <c r="Y180" s="231"/>
      <c r="Z180" s="231"/>
      <c r="AA180" s="231"/>
      <c r="AB180" s="231"/>
      <c r="AC180" s="231"/>
      <c r="AD180" s="231"/>
      <c r="AE180" s="231"/>
      <c r="AF180" s="231"/>
    </row>
    <row r="181" spans="1:32" s="203" customFormat="1">
      <c r="A181" s="46"/>
      <c r="B181" s="132"/>
      <c r="C181" s="132"/>
      <c r="D181" s="132"/>
      <c r="E181" s="156"/>
      <c r="F181" s="139"/>
      <c r="G181" s="139"/>
      <c r="H181" s="139"/>
      <c r="I181" s="29"/>
      <c r="J181" s="231"/>
      <c r="K181" s="231"/>
      <c r="L181" s="231"/>
      <c r="M181" s="231"/>
      <c r="N181" s="231"/>
      <c r="O181" s="231"/>
      <c r="P181" s="231"/>
      <c r="Q181" s="231"/>
      <c r="R181" s="231"/>
      <c r="S181" s="231"/>
      <c r="T181" s="231"/>
      <c r="U181" s="231"/>
      <c r="V181" s="231"/>
      <c r="W181" s="231"/>
      <c r="X181" s="231"/>
      <c r="Y181" s="231"/>
      <c r="Z181" s="231"/>
      <c r="AA181" s="231"/>
      <c r="AB181" s="231"/>
      <c r="AC181" s="231"/>
      <c r="AD181" s="231"/>
      <c r="AE181" s="231"/>
      <c r="AF181" s="231"/>
    </row>
    <row r="182" spans="1:32" s="203" customFormat="1">
      <c r="A182" s="119" t="s">
        <v>152</v>
      </c>
      <c r="B182" s="47"/>
      <c r="C182" s="47"/>
      <c r="D182" s="116"/>
      <c r="E182" s="117"/>
      <c r="F182" s="118"/>
      <c r="G182" s="118"/>
      <c r="H182" s="118"/>
      <c r="I182" s="29"/>
      <c r="J182" s="231"/>
      <c r="K182" s="231"/>
      <c r="L182" s="231"/>
      <c r="M182" s="231"/>
      <c r="N182" s="231"/>
      <c r="O182" s="231"/>
      <c r="P182" s="231"/>
      <c r="Q182" s="231"/>
      <c r="R182" s="231"/>
      <c r="S182" s="231"/>
      <c r="T182" s="231"/>
      <c r="U182" s="231"/>
      <c r="V182" s="231"/>
      <c r="W182" s="231"/>
      <c r="X182" s="231"/>
      <c r="Y182" s="231"/>
      <c r="Z182" s="231"/>
      <c r="AA182" s="231"/>
      <c r="AB182" s="231"/>
      <c r="AC182" s="231"/>
      <c r="AD182" s="231"/>
      <c r="AE182" s="231"/>
      <c r="AF182" s="231"/>
    </row>
    <row r="183" spans="1:32" s="203" customFormat="1">
      <c r="A183" s="120">
        <v>18</v>
      </c>
      <c r="B183" s="47" t="s">
        <v>153</v>
      </c>
      <c r="C183" s="47"/>
      <c r="D183" s="47"/>
      <c r="E183" s="41">
        <v>486</v>
      </c>
      <c r="F183" s="121">
        <v>473</v>
      </c>
      <c r="G183" s="118"/>
      <c r="H183" s="133">
        <v>457</v>
      </c>
      <c r="I183" s="29"/>
      <c r="J183" s="231"/>
      <c r="K183" s="231"/>
      <c r="L183" s="231"/>
      <c r="M183" s="231"/>
      <c r="N183" s="231"/>
      <c r="O183" s="231"/>
      <c r="P183" s="231"/>
      <c r="Q183" s="231"/>
      <c r="R183" s="231"/>
      <c r="S183" s="231"/>
      <c r="T183" s="231"/>
      <c r="U183" s="231"/>
      <c r="V183" s="231"/>
      <c r="W183" s="231"/>
      <c r="X183" s="231"/>
      <c r="Y183" s="231"/>
      <c r="Z183" s="231"/>
      <c r="AA183" s="231"/>
      <c r="AB183" s="231"/>
      <c r="AC183" s="231"/>
      <c r="AD183" s="231"/>
      <c r="AE183" s="231"/>
      <c r="AF183" s="231"/>
    </row>
    <row r="184" spans="1:32" s="203" customFormat="1">
      <c r="A184" s="120">
        <v>19</v>
      </c>
      <c r="B184" s="47" t="s">
        <v>154</v>
      </c>
      <c r="C184" s="47"/>
      <c r="D184" s="47"/>
      <c r="E184" s="49">
        <v>162</v>
      </c>
      <c r="F184" s="52">
        <v>130</v>
      </c>
      <c r="G184" s="118"/>
      <c r="H184" s="122">
        <v>109</v>
      </c>
      <c r="I184" s="29"/>
      <c r="J184" s="231"/>
      <c r="K184" s="231"/>
      <c r="L184" s="231"/>
      <c r="M184" s="231"/>
      <c r="N184" s="231"/>
      <c r="O184" s="231"/>
      <c r="P184" s="231"/>
      <c r="Q184" s="231"/>
      <c r="R184" s="231"/>
      <c r="S184" s="231"/>
      <c r="T184" s="231"/>
      <c r="U184" s="231"/>
      <c r="V184" s="231"/>
      <c r="W184" s="231"/>
      <c r="X184" s="231"/>
      <c r="Y184" s="231"/>
      <c r="Z184" s="231"/>
      <c r="AA184" s="231"/>
      <c r="AB184" s="231"/>
      <c r="AC184" s="231"/>
      <c r="AD184" s="231"/>
      <c r="AE184" s="231"/>
      <c r="AF184" s="231"/>
    </row>
    <row r="185" spans="1:32" s="203" customFormat="1">
      <c r="A185" s="120">
        <v>20</v>
      </c>
      <c r="B185" s="47" t="s">
        <v>155</v>
      </c>
      <c r="C185" s="47"/>
      <c r="D185" s="47"/>
      <c r="E185" s="49">
        <v>0</v>
      </c>
      <c r="F185" s="52"/>
      <c r="G185" s="118"/>
      <c r="H185" s="122"/>
      <c r="I185" s="29"/>
      <c r="J185" s="231"/>
      <c r="K185" s="231"/>
      <c r="L185" s="231"/>
      <c r="M185" s="231"/>
      <c r="N185" s="231"/>
      <c r="O185" s="231"/>
      <c r="P185" s="231"/>
      <c r="Q185" s="231"/>
      <c r="R185" s="231"/>
      <c r="S185" s="231"/>
      <c r="T185" s="231"/>
      <c r="U185" s="231"/>
      <c r="V185" s="231"/>
      <c r="W185" s="231"/>
      <c r="X185" s="231"/>
      <c r="Y185" s="231"/>
      <c r="Z185" s="231"/>
      <c r="AA185" s="231"/>
      <c r="AB185" s="231"/>
      <c r="AC185" s="231"/>
      <c r="AD185" s="231"/>
      <c r="AE185" s="231"/>
      <c r="AF185" s="231"/>
    </row>
    <row r="186" spans="1:32" s="203" customFormat="1">
      <c r="A186" s="120">
        <v>21</v>
      </c>
      <c r="B186" s="47" t="s">
        <v>156</v>
      </c>
      <c r="C186" s="47"/>
      <c r="D186" s="47"/>
      <c r="E186" s="49">
        <v>14</v>
      </c>
      <c r="F186" s="52">
        <v>14</v>
      </c>
      <c r="G186" s="118"/>
      <c r="H186" s="122">
        <v>12</v>
      </c>
      <c r="I186" s="29"/>
      <c r="J186" s="231"/>
      <c r="K186" s="231"/>
      <c r="L186" s="231"/>
      <c r="M186" s="231"/>
      <c r="N186" s="231"/>
      <c r="O186" s="231"/>
      <c r="P186" s="231"/>
      <c r="Q186" s="231"/>
      <c r="R186" s="231"/>
      <c r="S186" s="231"/>
      <c r="T186" s="231"/>
      <c r="U186" s="231"/>
      <c r="V186" s="231"/>
      <c r="W186" s="231"/>
      <c r="X186" s="231"/>
      <c r="Y186" s="231"/>
      <c r="Z186" s="231"/>
      <c r="AA186" s="231"/>
      <c r="AB186" s="231"/>
      <c r="AC186" s="231"/>
      <c r="AD186" s="231"/>
      <c r="AE186" s="231"/>
      <c r="AF186" s="231"/>
    </row>
    <row r="187" spans="1:32" s="203" customFormat="1">
      <c r="A187" s="120">
        <v>22</v>
      </c>
      <c r="B187" s="47" t="s">
        <v>157</v>
      </c>
      <c r="C187" s="47"/>
      <c r="D187" s="47"/>
      <c r="E187" s="49">
        <v>434</v>
      </c>
      <c r="F187" s="52">
        <v>519</v>
      </c>
      <c r="G187" s="118"/>
      <c r="H187" s="122">
        <v>416</v>
      </c>
      <c r="I187" s="29"/>
      <c r="J187" s="231"/>
      <c r="K187" s="231"/>
      <c r="L187" s="231"/>
      <c r="M187" s="231"/>
      <c r="N187" s="231"/>
      <c r="O187" s="231"/>
      <c r="P187" s="231"/>
      <c r="Q187" s="231"/>
      <c r="R187" s="231"/>
      <c r="S187" s="231"/>
      <c r="T187" s="231"/>
      <c r="U187" s="231"/>
      <c r="V187" s="231"/>
      <c r="W187" s="231"/>
      <c r="X187" s="231"/>
      <c r="Y187" s="231"/>
      <c r="Z187" s="231"/>
      <c r="AA187" s="231"/>
      <c r="AB187" s="231"/>
      <c r="AC187" s="231"/>
      <c r="AD187" s="231"/>
      <c r="AE187" s="231"/>
      <c r="AF187" s="231"/>
    </row>
    <row r="188" spans="1:32" s="203" customFormat="1">
      <c r="A188" s="120">
        <v>23</v>
      </c>
      <c r="B188" s="47" t="s">
        <v>158</v>
      </c>
      <c r="C188" s="47"/>
      <c r="D188" s="47"/>
      <c r="E188" s="49">
        <v>0</v>
      </c>
      <c r="F188" s="52"/>
      <c r="G188" s="118"/>
      <c r="H188" s="122"/>
      <c r="I188" s="29"/>
      <c r="J188" s="231"/>
      <c r="K188" s="231"/>
      <c r="L188" s="231"/>
      <c r="M188" s="231"/>
      <c r="N188" s="231"/>
      <c r="O188" s="231"/>
      <c r="P188" s="231"/>
      <c r="Q188" s="231"/>
      <c r="R188" s="231"/>
      <c r="S188" s="231"/>
      <c r="T188" s="231"/>
      <c r="U188" s="231"/>
      <c r="V188" s="231"/>
      <c r="W188" s="231"/>
      <c r="X188" s="231"/>
      <c r="Y188" s="231"/>
      <c r="Z188" s="231"/>
      <c r="AA188" s="231"/>
      <c r="AB188" s="231"/>
      <c r="AC188" s="231"/>
      <c r="AD188" s="231"/>
      <c r="AE188" s="231"/>
      <c r="AF188" s="231"/>
    </row>
    <row r="189" spans="1:32" s="203" customFormat="1">
      <c r="A189" s="120">
        <v>24</v>
      </c>
      <c r="B189" s="47" t="s">
        <v>159</v>
      </c>
      <c r="C189" s="47"/>
      <c r="D189" s="47"/>
      <c r="E189" s="49">
        <v>0</v>
      </c>
      <c r="F189" s="52"/>
      <c r="G189" s="118"/>
      <c r="H189" s="122"/>
      <c r="I189" s="29"/>
      <c r="J189" s="231"/>
      <c r="K189" s="231"/>
      <c r="L189" s="231"/>
      <c r="M189" s="231"/>
      <c r="N189" s="231"/>
      <c r="O189" s="231"/>
      <c r="P189" s="231"/>
      <c r="Q189" s="231"/>
      <c r="R189" s="231"/>
      <c r="S189" s="231"/>
      <c r="T189" s="231"/>
      <c r="U189" s="231"/>
      <c r="V189" s="231"/>
      <c r="W189" s="231"/>
      <c r="X189" s="231"/>
      <c r="Y189" s="231"/>
      <c r="Z189" s="231"/>
      <c r="AA189" s="231"/>
      <c r="AB189" s="231"/>
      <c r="AC189" s="231"/>
      <c r="AD189" s="231"/>
      <c r="AE189" s="231"/>
      <c r="AF189" s="231"/>
    </row>
    <row r="190" spans="1:32" s="203" customFormat="1">
      <c r="A190" s="124">
        <v>25</v>
      </c>
      <c r="B190" s="54" t="s">
        <v>160</v>
      </c>
      <c r="C190" s="54"/>
      <c r="D190" s="54"/>
      <c r="E190" s="56">
        <v>324</v>
      </c>
      <c r="F190" s="126">
        <v>284</v>
      </c>
      <c r="G190" s="118"/>
      <c r="H190" s="100">
        <v>262</v>
      </c>
      <c r="I190" s="24"/>
      <c r="J190" s="231"/>
      <c r="K190" s="231"/>
      <c r="L190" s="231"/>
      <c r="M190" s="231"/>
      <c r="N190" s="231"/>
      <c r="O190" s="231"/>
      <c r="P190" s="231"/>
      <c r="Q190" s="231"/>
      <c r="R190" s="231"/>
      <c r="S190" s="231"/>
      <c r="T190" s="231"/>
      <c r="U190" s="231"/>
      <c r="V190" s="231"/>
      <c r="W190" s="231"/>
      <c r="X190" s="231"/>
      <c r="Y190" s="231"/>
      <c r="Z190" s="231"/>
      <c r="AA190" s="231"/>
      <c r="AB190" s="231"/>
      <c r="AC190" s="231"/>
      <c r="AD190" s="231"/>
      <c r="AE190" s="231"/>
      <c r="AF190" s="231"/>
    </row>
    <row r="191" spans="1:32" s="203" customFormat="1">
      <c r="A191" s="161"/>
      <c r="B191" s="129"/>
      <c r="C191" s="129"/>
      <c r="D191" s="149"/>
      <c r="E191" s="162"/>
      <c r="F191" s="29"/>
      <c r="G191" s="29"/>
      <c r="H191" s="207"/>
      <c r="I191" s="29"/>
      <c r="J191" s="231"/>
      <c r="K191" s="231"/>
      <c r="L191" s="231"/>
      <c r="M191" s="231"/>
      <c r="N191" s="231"/>
      <c r="O191" s="231"/>
      <c r="P191" s="231"/>
      <c r="Q191" s="231"/>
      <c r="R191" s="231"/>
      <c r="S191" s="231"/>
      <c r="T191" s="231"/>
      <c r="U191" s="231"/>
      <c r="V191" s="231"/>
      <c r="W191" s="231"/>
      <c r="X191" s="231"/>
      <c r="Y191" s="231"/>
      <c r="Z191" s="231"/>
      <c r="AA191" s="231"/>
      <c r="AB191" s="231"/>
      <c r="AC191" s="231"/>
      <c r="AD191" s="231"/>
      <c r="AE191" s="231"/>
      <c r="AF191" s="231"/>
    </row>
    <row r="192" spans="1:32" s="203" customFormat="1">
      <c r="A192" s="161"/>
      <c r="B192" s="129"/>
      <c r="C192" s="129"/>
      <c r="D192" s="151"/>
      <c r="E192" s="163"/>
      <c r="F192" s="29"/>
      <c r="G192" s="29"/>
      <c r="H192" s="131" t="s">
        <v>27</v>
      </c>
      <c r="I192" s="29"/>
      <c r="J192" s="231"/>
      <c r="K192" s="231"/>
      <c r="L192" s="231"/>
      <c r="M192" s="231"/>
      <c r="N192" s="231"/>
      <c r="O192" s="231"/>
      <c r="P192" s="231"/>
      <c r="Q192" s="231"/>
      <c r="R192" s="231"/>
      <c r="S192" s="231"/>
      <c r="T192" s="231"/>
      <c r="U192" s="231"/>
      <c r="V192" s="231"/>
      <c r="W192" s="231"/>
      <c r="X192" s="231"/>
      <c r="Y192" s="231"/>
      <c r="Z192" s="231"/>
      <c r="AA192" s="231"/>
      <c r="AB192" s="231"/>
      <c r="AC192" s="231"/>
      <c r="AD192" s="231"/>
      <c r="AE192" s="231"/>
      <c r="AF192" s="231"/>
    </row>
    <row r="193" spans="1:32" s="203" customFormat="1" ht="12.75" customHeight="1">
      <c r="A193" s="106" t="s">
        <v>23</v>
      </c>
      <c r="B193" s="164"/>
      <c r="C193" s="164"/>
      <c r="D193" s="164"/>
      <c r="E193" s="856" t="s">
        <v>377</v>
      </c>
      <c r="F193" s="856" t="s">
        <v>402</v>
      </c>
      <c r="G193" s="130"/>
      <c r="H193" s="856" t="s">
        <v>403</v>
      </c>
      <c r="I193" s="130"/>
      <c r="J193" s="231"/>
      <c r="K193" s="231"/>
      <c r="L193" s="231"/>
      <c r="M193" s="231"/>
      <c r="N193" s="231"/>
      <c r="O193" s="231"/>
      <c r="P193" s="231"/>
      <c r="Q193" s="231"/>
      <c r="R193" s="231"/>
      <c r="S193" s="231"/>
      <c r="T193" s="231"/>
      <c r="U193" s="231"/>
      <c r="V193" s="231"/>
      <c r="W193" s="231"/>
      <c r="X193" s="231"/>
      <c r="Y193" s="231"/>
      <c r="Z193" s="231"/>
      <c r="AA193" s="231"/>
      <c r="AB193" s="231"/>
      <c r="AC193" s="231"/>
      <c r="AD193" s="231"/>
      <c r="AE193" s="231"/>
      <c r="AF193" s="231"/>
    </row>
    <row r="194" spans="1:32" s="203" customFormat="1" ht="23.25" customHeight="1">
      <c r="A194" s="165"/>
      <c r="B194" s="132"/>
      <c r="C194" s="132"/>
      <c r="D194" s="132"/>
      <c r="E194" s="859"/>
      <c r="F194" s="859"/>
      <c r="G194" s="130"/>
      <c r="H194" s="859"/>
      <c r="I194" s="130"/>
      <c r="J194" s="231"/>
      <c r="K194" s="231"/>
      <c r="L194" s="231"/>
      <c r="M194" s="231"/>
      <c r="N194" s="231"/>
      <c r="O194" s="231"/>
      <c r="P194" s="231"/>
      <c r="Q194" s="231"/>
      <c r="R194" s="231"/>
      <c r="S194" s="231"/>
      <c r="T194" s="231"/>
      <c r="U194" s="231"/>
      <c r="V194" s="231"/>
      <c r="W194" s="231"/>
      <c r="X194" s="231"/>
      <c r="Y194" s="231"/>
      <c r="Z194" s="231"/>
      <c r="AA194" s="231"/>
      <c r="AB194" s="231"/>
      <c r="AC194" s="231"/>
      <c r="AD194" s="231"/>
      <c r="AE194" s="231"/>
      <c r="AF194" s="231"/>
    </row>
    <row r="195" spans="1:32" s="203" customFormat="1">
      <c r="A195" s="154" t="s">
        <v>161</v>
      </c>
      <c r="B195" s="116"/>
      <c r="C195" s="116"/>
      <c r="D195" s="116"/>
      <c r="E195" s="859"/>
      <c r="F195" s="859"/>
      <c r="G195" s="130"/>
      <c r="H195" s="859"/>
      <c r="I195" s="130"/>
      <c r="J195" s="231"/>
      <c r="K195" s="231"/>
      <c r="L195" s="231"/>
      <c r="M195" s="231"/>
      <c r="N195" s="231"/>
      <c r="O195" s="231"/>
      <c r="P195" s="231"/>
      <c r="Q195" s="231"/>
      <c r="R195" s="231"/>
      <c r="S195" s="231"/>
      <c r="T195" s="231"/>
      <c r="U195" s="231"/>
      <c r="V195" s="231"/>
      <c r="W195" s="231"/>
      <c r="X195" s="231"/>
      <c r="Y195" s="231"/>
      <c r="Z195" s="231"/>
      <c r="AA195" s="231"/>
      <c r="AB195" s="231"/>
      <c r="AC195" s="231"/>
      <c r="AD195" s="231"/>
      <c r="AE195" s="231"/>
      <c r="AF195" s="231"/>
    </row>
    <row r="196" spans="1:32" s="203" customFormat="1">
      <c r="A196" s="109" t="s">
        <v>83</v>
      </c>
      <c r="B196" s="47"/>
      <c r="C196" s="47"/>
      <c r="D196" s="47"/>
      <c r="E196" s="859"/>
      <c r="F196" s="859"/>
      <c r="G196" s="130"/>
      <c r="H196" s="859"/>
      <c r="I196" s="130"/>
      <c r="J196" s="231"/>
      <c r="K196" s="231"/>
      <c r="L196" s="231"/>
      <c r="M196" s="231"/>
      <c r="N196" s="231"/>
      <c r="O196" s="231"/>
      <c r="P196" s="231"/>
      <c r="Q196" s="231"/>
      <c r="R196" s="231"/>
      <c r="S196" s="231"/>
      <c r="T196" s="231"/>
      <c r="U196" s="231"/>
      <c r="V196" s="231"/>
      <c r="W196" s="231"/>
      <c r="X196" s="231"/>
      <c r="Y196" s="231"/>
      <c r="Z196" s="231"/>
      <c r="AA196" s="231"/>
      <c r="AB196" s="231"/>
      <c r="AC196" s="231"/>
      <c r="AD196" s="231"/>
      <c r="AE196" s="231"/>
      <c r="AF196" s="231"/>
    </row>
    <row r="197" spans="1:32" s="203" customFormat="1">
      <c r="A197" s="110" t="s">
        <v>84</v>
      </c>
      <c r="B197" s="132"/>
      <c r="C197" s="132"/>
      <c r="D197" s="132"/>
      <c r="E197" s="860"/>
      <c r="F197" s="860"/>
      <c r="G197" s="130"/>
      <c r="H197" s="860"/>
      <c r="I197" s="130"/>
      <c r="J197" s="231"/>
      <c r="K197" s="231"/>
      <c r="L197" s="231"/>
      <c r="M197" s="231"/>
      <c r="N197" s="231"/>
      <c r="O197" s="231"/>
      <c r="P197" s="231"/>
      <c r="Q197" s="231"/>
      <c r="R197" s="231"/>
      <c r="S197" s="231"/>
      <c r="T197" s="231"/>
      <c r="U197" s="231"/>
      <c r="V197" s="231"/>
      <c r="W197" s="231"/>
      <c r="X197" s="231"/>
      <c r="Y197" s="231"/>
      <c r="Z197" s="231"/>
      <c r="AA197" s="231"/>
      <c r="AB197" s="231"/>
      <c r="AC197" s="231"/>
      <c r="AD197" s="231"/>
      <c r="AE197" s="231"/>
      <c r="AF197" s="231"/>
    </row>
    <row r="198" spans="1:32" s="203" customFormat="1">
      <c r="A198" s="153" t="s">
        <v>162</v>
      </c>
      <c r="B198" s="166"/>
      <c r="C198" s="166"/>
      <c r="D198" s="166"/>
      <c r="E198" s="167"/>
      <c r="F198" s="146"/>
      <c r="G198" s="118"/>
      <c r="H198" s="146"/>
      <c r="I198" s="29"/>
      <c r="J198" s="231"/>
      <c r="K198" s="231"/>
      <c r="L198" s="231"/>
      <c r="M198" s="231"/>
      <c r="N198" s="231"/>
      <c r="O198" s="231"/>
      <c r="P198" s="231"/>
      <c r="Q198" s="231"/>
      <c r="R198" s="231"/>
      <c r="S198" s="231"/>
      <c r="T198" s="231"/>
      <c r="U198" s="231"/>
      <c r="V198" s="231"/>
      <c r="W198" s="231"/>
      <c r="X198" s="231"/>
      <c r="Y198" s="231"/>
      <c r="Z198" s="231"/>
      <c r="AA198" s="231"/>
      <c r="AB198" s="231"/>
      <c r="AC198" s="231"/>
      <c r="AD198" s="231"/>
      <c r="AE198" s="231"/>
      <c r="AF198" s="231"/>
    </row>
    <row r="199" spans="1:32" s="203" customFormat="1">
      <c r="A199" s="120">
        <v>1</v>
      </c>
      <c r="B199" s="47" t="s">
        <v>163</v>
      </c>
      <c r="C199" s="47"/>
      <c r="D199" s="47"/>
      <c r="E199" s="74">
        <v>0</v>
      </c>
      <c r="F199" s="52"/>
      <c r="G199" s="118"/>
      <c r="H199" s="122"/>
      <c r="I199" s="29"/>
      <c r="J199" s="231"/>
      <c r="K199" s="231"/>
      <c r="L199" s="231"/>
      <c r="M199" s="231"/>
      <c r="N199" s="231"/>
      <c r="O199" s="231"/>
      <c r="P199" s="231"/>
      <c r="Q199" s="231"/>
      <c r="R199" s="231"/>
      <c r="S199" s="231"/>
      <c r="T199" s="231"/>
      <c r="U199" s="231"/>
      <c r="V199" s="231"/>
      <c r="W199" s="231"/>
      <c r="X199" s="231"/>
      <c r="Y199" s="231"/>
      <c r="Z199" s="231"/>
      <c r="AA199" s="231"/>
      <c r="AB199" s="231"/>
      <c r="AC199" s="231"/>
      <c r="AD199" s="231"/>
      <c r="AE199" s="231"/>
      <c r="AF199" s="231"/>
    </row>
    <row r="200" spans="1:32" s="203" customFormat="1">
      <c r="A200" s="120">
        <v>2</v>
      </c>
      <c r="B200" s="47" t="s">
        <v>164</v>
      </c>
      <c r="C200" s="47"/>
      <c r="D200" s="47"/>
      <c r="E200" s="56">
        <v>202</v>
      </c>
      <c r="F200" s="52">
        <v>288</v>
      </c>
      <c r="G200" s="118"/>
      <c r="H200" s="100">
        <v>339</v>
      </c>
      <c r="I200" s="29"/>
      <c r="J200" s="231"/>
      <c r="K200" s="231"/>
      <c r="L200" s="231"/>
      <c r="M200" s="231"/>
      <c r="N200" s="231"/>
      <c r="O200" s="231"/>
      <c r="P200" s="231"/>
      <c r="Q200" s="231"/>
      <c r="R200" s="231"/>
      <c r="S200" s="231"/>
      <c r="T200" s="231"/>
      <c r="U200" s="231"/>
      <c r="V200" s="231"/>
      <c r="W200" s="231"/>
      <c r="X200" s="231"/>
      <c r="Y200" s="231"/>
      <c r="Z200" s="231"/>
      <c r="AA200" s="231"/>
      <c r="AB200" s="231"/>
      <c r="AC200" s="231"/>
      <c r="AD200" s="231"/>
      <c r="AE200" s="231"/>
      <c r="AF200" s="231"/>
    </row>
    <row r="201" spans="1:32" s="203" customFormat="1">
      <c r="A201" s="120">
        <v>3</v>
      </c>
      <c r="B201" s="116" t="s">
        <v>165</v>
      </c>
      <c r="C201" s="116"/>
      <c r="D201" s="116"/>
      <c r="E201" s="80">
        <v>202</v>
      </c>
      <c r="F201" s="142">
        <f>SUM(F199:F200)</f>
        <v>288</v>
      </c>
      <c r="G201" s="118"/>
      <c r="H201" s="142">
        <f>SUM(H199:H200)</f>
        <v>339</v>
      </c>
      <c r="I201" s="29"/>
      <c r="J201" s="231"/>
      <c r="K201" s="231"/>
      <c r="L201" s="231"/>
      <c r="M201" s="231"/>
      <c r="N201" s="231"/>
      <c r="O201" s="231"/>
      <c r="P201" s="231"/>
      <c r="Q201" s="231"/>
      <c r="R201" s="231"/>
      <c r="S201" s="231"/>
      <c r="T201" s="231"/>
      <c r="U201" s="231"/>
      <c r="V201" s="231"/>
      <c r="W201" s="231"/>
      <c r="X201" s="231"/>
      <c r="Y201" s="231"/>
      <c r="Z201" s="231"/>
      <c r="AA201" s="231"/>
      <c r="AB201" s="231"/>
      <c r="AC201" s="231"/>
      <c r="AD201" s="231"/>
      <c r="AE201" s="231"/>
      <c r="AF201" s="231"/>
    </row>
    <row r="202" spans="1:32" s="203" customFormat="1">
      <c r="A202" s="46"/>
      <c r="B202" s="132"/>
      <c r="C202" s="132"/>
      <c r="D202" s="132"/>
      <c r="E202" s="156"/>
      <c r="F202" s="139"/>
      <c r="G202" s="139"/>
      <c r="H202" s="139"/>
      <c r="I202" s="29"/>
      <c r="J202" s="231"/>
      <c r="K202" s="231"/>
      <c r="L202" s="231"/>
      <c r="M202" s="231"/>
      <c r="N202" s="231"/>
      <c r="O202" s="231"/>
      <c r="P202" s="231"/>
      <c r="Q202" s="231"/>
      <c r="R202" s="231"/>
      <c r="S202" s="231"/>
      <c r="T202" s="231"/>
      <c r="U202" s="231"/>
      <c r="V202" s="231"/>
      <c r="W202" s="231"/>
      <c r="X202" s="231"/>
      <c r="Y202" s="231"/>
      <c r="Z202" s="231"/>
      <c r="AA202" s="231"/>
      <c r="AB202" s="231"/>
      <c r="AC202" s="231"/>
      <c r="AD202" s="231"/>
      <c r="AE202" s="231"/>
      <c r="AF202" s="231"/>
    </row>
    <row r="203" spans="1:32" s="203" customFormat="1">
      <c r="A203" s="153" t="s">
        <v>166</v>
      </c>
      <c r="B203" s="116"/>
      <c r="C203" s="116"/>
      <c r="D203" s="116"/>
      <c r="E203" s="140"/>
      <c r="F203" s="146"/>
      <c r="G203" s="118"/>
      <c r="H203" s="146"/>
      <c r="I203" s="29"/>
      <c r="J203" s="231"/>
      <c r="K203" s="231"/>
      <c r="L203" s="231"/>
      <c r="M203" s="231"/>
      <c r="N203" s="231"/>
      <c r="O203" s="231"/>
      <c r="P203" s="231"/>
      <c r="Q203" s="231"/>
      <c r="R203" s="231"/>
      <c r="S203" s="231"/>
      <c r="T203" s="231"/>
      <c r="U203" s="231"/>
      <c r="V203" s="231"/>
      <c r="W203" s="231"/>
      <c r="X203" s="231"/>
      <c r="Y203" s="231"/>
      <c r="Z203" s="231"/>
      <c r="AA203" s="231"/>
      <c r="AB203" s="231"/>
      <c r="AC203" s="231"/>
      <c r="AD203" s="231"/>
      <c r="AE203" s="231"/>
      <c r="AF203" s="231"/>
    </row>
    <row r="204" spans="1:32" s="203" customFormat="1">
      <c r="A204" s="120">
        <v>4</v>
      </c>
      <c r="B204" s="47" t="s">
        <v>167</v>
      </c>
      <c r="C204" s="47"/>
      <c r="D204" s="47"/>
      <c r="E204" s="74">
        <v>1763</v>
      </c>
      <c r="F204" s="52">
        <v>1725.9516108247421</v>
      </c>
      <c r="G204" s="118"/>
      <c r="H204" s="122">
        <v>1612.9328479381443</v>
      </c>
      <c r="I204" s="29"/>
      <c r="J204" s="231"/>
      <c r="K204" s="231"/>
      <c r="L204" s="231"/>
      <c r="M204" s="231"/>
      <c r="N204" s="231"/>
      <c r="O204" s="231"/>
      <c r="P204" s="231"/>
      <c r="Q204" s="231"/>
      <c r="R204" s="231"/>
      <c r="S204" s="231"/>
      <c r="T204" s="231"/>
      <c r="U204" s="231"/>
      <c r="V204" s="231"/>
      <c r="W204" s="231"/>
      <c r="X204" s="231"/>
      <c r="Y204" s="231"/>
      <c r="Z204" s="231"/>
      <c r="AA204" s="231"/>
      <c r="AB204" s="231"/>
      <c r="AC204" s="231"/>
      <c r="AD204" s="231"/>
      <c r="AE204" s="231"/>
      <c r="AF204" s="231"/>
    </row>
    <row r="205" spans="1:32" s="203" customFormat="1">
      <c r="A205" s="120">
        <v>5</v>
      </c>
      <c r="B205" s="47" t="s">
        <v>168</v>
      </c>
      <c r="C205" s="47"/>
      <c r="D205" s="47"/>
      <c r="E205" s="49">
        <v>3942</v>
      </c>
      <c r="F205" s="52">
        <v>4088.7848201030934</v>
      </c>
      <c r="G205" s="118"/>
      <c r="H205" s="122">
        <v>4179.420374742268</v>
      </c>
      <c r="I205" s="29"/>
      <c r="J205" s="231"/>
      <c r="K205" s="231"/>
      <c r="L205" s="231"/>
      <c r="M205" s="231"/>
      <c r="N205" s="231"/>
      <c r="O205" s="231"/>
      <c r="P205" s="231"/>
      <c r="Q205" s="231"/>
      <c r="R205" s="231"/>
      <c r="S205" s="231"/>
      <c r="T205" s="231"/>
      <c r="U205" s="231"/>
      <c r="V205" s="231"/>
      <c r="W205" s="231"/>
      <c r="X205" s="231"/>
      <c r="Y205" s="231"/>
      <c r="Z205" s="231"/>
      <c r="AA205" s="231"/>
      <c r="AB205" s="231"/>
      <c r="AC205" s="231"/>
      <c r="AD205" s="231"/>
      <c r="AE205" s="231"/>
      <c r="AF205" s="231"/>
    </row>
    <row r="206" spans="1:32" s="203" customFormat="1">
      <c r="A206" s="120">
        <v>6</v>
      </c>
      <c r="B206" s="47" t="s">
        <v>169</v>
      </c>
      <c r="C206" s="47"/>
      <c r="D206" s="47"/>
      <c r="E206" s="49">
        <v>2686</v>
      </c>
      <c r="F206" s="52">
        <v>2805.8035340206184</v>
      </c>
      <c r="G206" s="118"/>
      <c r="H206" s="100">
        <v>3058.4669649484536</v>
      </c>
      <c r="I206" s="29"/>
      <c r="J206" s="231"/>
      <c r="K206" s="231"/>
      <c r="L206" s="231"/>
      <c r="M206" s="231"/>
      <c r="N206" s="231"/>
      <c r="O206" s="231"/>
      <c r="P206" s="231"/>
      <c r="Q206" s="231"/>
      <c r="R206" s="231"/>
      <c r="S206" s="231"/>
      <c r="T206" s="231"/>
      <c r="U206" s="231"/>
      <c r="V206" s="231"/>
      <c r="W206" s="231"/>
      <c r="X206" s="231"/>
      <c r="Y206" s="231"/>
      <c r="Z206" s="231"/>
      <c r="AA206" s="231"/>
      <c r="AB206" s="231"/>
      <c r="AC206" s="231"/>
      <c r="AD206" s="231"/>
      <c r="AE206" s="231"/>
      <c r="AF206" s="231"/>
    </row>
    <row r="207" spans="1:32" s="203" customFormat="1">
      <c r="A207" s="120">
        <v>7</v>
      </c>
      <c r="B207" s="116" t="s">
        <v>170</v>
      </c>
      <c r="C207" s="116"/>
      <c r="D207" s="116"/>
      <c r="E207" s="80">
        <v>8391</v>
      </c>
      <c r="F207" s="142">
        <f>SUM(F204:F206)</f>
        <v>8620.5399649484534</v>
      </c>
      <c r="G207" s="118"/>
      <c r="H207" s="142">
        <f>SUM(H204:H206)</f>
        <v>8850.8201876288658</v>
      </c>
      <c r="I207" s="29"/>
      <c r="J207" s="231"/>
      <c r="K207" s="231"/>
      <c r="L207" s="231"/>
      <c r="M207" s="231"/>
      <c r="N207" s="231"/>
      <c r="O207" s="231"/>
      <c r="P207" s="231"/>
      <c r="Q207" s="231"/>
      <c r="R207" s="231"/>
      <c r="S207" s="231"/>
      <c r="T207" s="231"/>
      <c r="U207" s="231"/>
      <c r="V207" s="231"/>
      <c r="W207" s="231"/>
      <c r="X207" s="231"/>
      <c r="Y207" s="231"/>
      <c r="Z207" s="231"/>
      <c r="AA207" s="231"/>
      <c r="AB207" s="231"/>
      <c r="AC207" s="231"/>
      <c r="AD207" s="231"/>
      <c r="AE207" s="231"/>
      <c r="AF207" s="231"/>
    </row>
    <row r="208" spans="1:32" s="203" customFormat="1">
      <c r="A208" s="46"/>
      <c r="B208" s="132"/>
      <c r="C208" s="132"/>
      <c r="D208" s="132"/>
      <c r="E208" s="156"/>
      <c r="F208" s="139"/>
      <c r="G208" s="139"/>
      <c r="H208" s="139"/>
      <c r="I208" s="29"/>
      <c r="J208" s="231"/>
      <c r="K208" s="231"/>
      <c r="L208" s="231"/>
      <c r="M208" s="231"/>
      <c r="N208" s="231"/>
      <c r="O208" s="231"/>
      <c r="P208" s="231"/>
      <c r="Q208" s="231"/>
      <c r="R208" s="231"/>
      <c r="S208" s="231"/>
      <c r="T208" s="231"/>
      <c r="U208" s="231"/>
      <c r="V208" s="231"/>
      <c r="W208" s="231"/>
      <c r="X208" s="231"/>
      <c r="Y208" s="231"/>
      <c r="Z208" s="231"/>
      <c r="AA208" s="231"/>
      <c r="AB208" s="231"/>
      <c r="AC208" s="231"/>
      <c r="AD208" s="231"/>
      <c r="AE208" s="231"/>
      <c r="AF208" s="231"/>
    </row>
    <row r="209" spans="1:32" s="203" customFormat="1">
      <c r="A209" s="153" t="s">
        <v>121</v>
      </c>
      <c r="B209" s="168"/>
      <c r="C209" s="168"/>
      <c r="D209" s="168"/>
      <c r="E209" s="140"/>
      <c r="F209" s="146"/>
      <c r="G209" s="118"/>
      <c r="H209" s="146"/>
      <c r="I209" s="29"/>
      <c r="J209" s="231"/>
      <c r="K209" s="231"/>
      <c r="L209" s="231"/>
      <c r="M209" s="231"/>
      <c r="N209" s="231"/>
      <c r="O209" s="231"/>
      <c r="P209" s="231"/>
      <c r="Q209" s="231"/>
      <c r="R209" s="231"/>
      <c r="S209" s="231"/>
      <c r="T209" s="231"/>
      <c r="U209" s="231"/>
      <c r="V209" s="231"/>
      <c r="W209" s="231"/>
      <c r="X209" s="231"/>
      <c r="Y209" s="231"/>
      <c r="Z209" s="231"/>
      <c r="AA209" s="231"/>
      <c r="AB209" s="231"/>
      <c r="AC209" s="231"/>
      <c r="AD209" s="231"/>
      <c r="AE209" s="231"/>
      <c r="AF209" s="231"/>
    </row>
    <row r="210" spans="1:32" s="203" customFormat="1">
      <c r="A210" s="120">
        <v>8</v>
      </c>
      <c r="B210" s="47" t="s">
        <v>171</v>
      </c>
      <c r="C210" s="47"/>
      <c r="D210" s="47"/>
      <c r="E210" s="74">
        <v>219</v>
      </c>
      <c r="F210" s="684">
        <v>6.0475608247423054</v>
      </c>
      <c r="G210" s="118"/>
      <c r="H210" s="122">
        <v>6.7708391752576924</v>
      </c>
      <c r="I210" s="29"/>
      <c r="J210" s="231"/>
      <c r="K210" s="231"/>
      <c r="L210" s="231"/>
      <c r="M210" s="231"/>
      <c r="N210" s="231"/>
      <c r="O210" s="231"/>
      <c r="P210" s="231"/>
      <c r="Q210" s="231"/>
      <c r="R210" s="231"/>
      <c r="S210" s="231"/>
      <c r="T210" s="231"/>
      <c r="U210" s="231"/>
      <c r="V210" s="231"/>
      <c r="W210" s="231"/>
      <c r="X210" s="231"/>
      <c r="Y210" s="231"/>
      <c r="Z210" s="231"/>
      <c r="AA210" s="231"/>
      <c r="AB210" s="231"/>
      <c r="AC210" s="231"/>
      <c r="AD210" s="231"/>
      <c r="AE210" s="231"/>
      <c r="AF210" s="231"/>
    </row>
    <row r="211" spans="1:32" s="203" customFormat="1">
      <c r="A211" s="120">
        <v>9</v>
      </c>
      <c r="B211" s="47" t="s">
        <v>172</v>
      </c>
      <c r="C211" s="47"/>
      <c r="D211" s="47"/>
      <c r="E211" s="49">
        <v>0</v>
      </c>
      <c r="F211" s="52"/>
      <c r="G211" s="118"/>
      <c r="H211" s="122"/>
      <c r="I211" s="29"/>
      <c r="J211" s="231"/>
      <c r="K211" s="231"/>
      <c r="L211" s="231"/>
      <c r="M211" s="231"/>
      <c r="N211" s="231"/>
      <c r="O211" s="231"/>
      <c r="P211" s="231"/>
      <c r="Q211" s="231"/>
      <c r="R211" s="231"/>
      <c r="S211" s="231"/>
      <c r="T211" s="231"/>
      <c r="U211" s="231"/>
      <c r="V211" s="231"/>
      <c r="W211" s="231"/>
      <c r="X211" s="231"/>
      <c r="Y211" s="231"/>
      <c r="Z211" s="231"/>
      <c r="AA211" s="231"/>
      <c r="AB211" s="231"/>
      <c r="AC211" s="231"/>
      <c r="AD211" s="231"/>
      <c r="AE211" s="231"/>
      <c r="AF211" s="231"/>
    </row>
    <row r="212" spans="1:32" s="203" customFormat="1">
      <c r="A212" s="120">
        <v>10</v>
      </c>
      <c r="B212" s="47" t="s">
        <v>173</v>
      </c>
      <c r="C212" s="47"/>
      <c r="D212" s="47"/>
      <c r="E212" s="49">
        <v>0</v>
      </c>
      <c r="F212" s="52"/>
      <c r="G212" s="118"/>
      <c r="H212" s="122"/>
      <c r="I212" s="29"/>
      <c r="J212" s="231"/>
      <c r="K212" s="231"/>
      <c r="L212" s="231"/>
      <c r="M212" s="231"/>
      <c r="N212" s="231"/>
      <c r="O212" s="231"/>
      <c r="P212" s="231"/>
      <c r="Q212" s="231"/>
      <c r="R212" s="231"/>
      <c r="S212" s="231"/>
      <c r="T212" s="231"/>
      <c r="U212" s="231"/>
      <c r="V212" s="231"/>
      <c r="W212" s="231"/>
      <c r="X212" s="231"/>
      <c r="Y212" s="231"/>
      <c r="Z212" s="231"/>
      <c r="AA212" s="231"/>
      <c r="AB212" s="231"/>
      <c r="AC212" s="231"/>
      <c r="AD212" s="231"/>
      <c r="AE212" s="231"/>
      <c r="AF212" s="231"/>
    </row>
    <row r="213" spans="1:32" s="203" customFormat="1">
      <c r="A213" s="120">
        <v>11</v>
      </c>
      <c r="B213" s="47" t="s">
        <v>174</v>
      </c>
      <c r="C213" s="47"/>
      <c r="D213" s="47"/>
      <c r="E213" s="49">
        <v>1639</v>
      </c>
      <c r="F213" s="52">
        <v>1853.4124742268041</v>
      </c>
      <c r="G213" s="118"/>
      <c r="H213" s="99">
        <v>1836.2038144329897</v>
      </c>
      <c r="I213" s="29"/>
      <c r="J213" s="231"/>
      <c r="K213" s="231"/>
      <c r="L213" s="231"/>
      <c r="M213" s="231"/>
      <c r="N213" s="231"/>
      <c r="O213" s="231"/>
      <c r="P213" s="231"/>
      <c r="Q213" s="231"/>
      <c r="R213" s="231"/>
      <c r="S213" s="231"/>
      <c r="T213" s="231"/>
      <c r="U213" s="231"/>
      <c r="V213" s="231"/>
      <c r="W213" s="231"/>
      <c r="X213" s="231"/>
      <c r="Y213" s="231"/>
      <c r="Z213" s="231"/>
      <c r="AA213" s="231"/>
      <c r="AB213" s="231"/>
      <c r="AC213" s="231"/>
      <c r="AD213" s="231"/>
      <c r="AE213" s="231"/>
      <c r="AF213" s="231"/>
    </row>
    <row r="214" spans="1:32" s="203" customFormat="1">
      <c r="A214" s="120">
        <v>12</v>
      </c>
      <c r="B214" s="116" t="s">
        <v>175</v>
      </c>
      <c r="C214" s="116"/>
      <c r="D214" s="116"/>
      <c r="E214" s="159">
        <v>10451</v>
      </c>
      <c r="F214" s="61">
        <f>F201+F207+SUM(F210:F213)</f>
        <v>10768</v>
      </c>
      <c r="G214" s="118"/>
      <c r="H214" s="61">
        <f>H201+H207+SUM(H210:H213)</f>
        <v>11032.794841237113</v>
      </c>
      <c r="I214" s="29"/>
      <c r="J214" s="231"/>
      <c r="K214" s="231"/>
      <c r="L214" s="231"/>
      <c r="M214" s="231"/>
      <c r="N214" s="231"/>
      <c r="O214" s="231"/>
      <c r="P214" s="231"/>
      <c r="Q214" s="231"/>
      <c r="R214" s="231"/>
      <c r="S214" s="231"/>
      <c r="T214" s="231"/>
      <c r="U214" s="231"/>
      <c r="V214" s="231"/>
      <c r="W214" s="231"/>
      <c r="X214" s="231"/>
      <c r="Y214" s="231"/>
      <c r="Z214" s="231"/>
      <c r="AA214" s="231"/>
      <c r="AB214" s="231"/>
      <c r="AC214" s="231"/>
      <c r="AD214" s="231"/>
      <c r="AE214" s="231"/>
      <c r="AF214" s="231"/>
    </row>
    <row r="215" spans="1:32" s="203" customFormat="1">
      <c r="A215" s="111"/>
      <c r="B215" s="47"/>
      <c r="C215" s="47"/>
      <c r="D215" s="47"/>
      <c r="E215" s="117"/>
      <c r="F215" s="118"/>
      <c r="G215" s="118"/>
      <c r="H215" s="118"/>
      <c r="I215" s="29"/>
      <c r="J215" s="231"/>
      <c r="K215" s="231"/>
      <c r="L215" s="231"/>
      <c r="M215" s="231"/>
      <c r="N215" s="231"/>
      <c r="O215" s="231"/>
      <c r="P215" s="231"/>
      <c r="Q215" s="231"/>
      <c r="R215" s="231"/>
      <c r="S215" s="231"/>
      <c r="T215" s="231"/>
      <c r="U215" s="231"/>
      <c r="V215" s="231"/>
      <c r="W215" s="231"/>
      <c r="X215" s="231"/>
      <c r="Y215" s="231"/>
      <c r="Z215" s="231"/>
      <c r="AA215" s="231"/>
      <c r="AB215" s="231"/>
      <c r="AC215" s="231"/>
      <c r="AD215" s="231"/>
      <c r="AE215" s="231"/>
      <c r="AF215" s="231"/>
    </row>
    <row r="216" spans="1:32" s="203" customFormat="1">
      <c r="A216" s="119" t="s">
        <v>176</v>
      </c>
      <c r="B216" s="116"/>
      <c r="C216" s="116"/>
      <c r="D216" s="116"/>
      <c r="E216" s="117"/>
      <c r="F216" s="160"/>
      <c r="G216" s="118"/>
      <c r="H216" s="160"/>
      <c r="I216" s="29"/>
      <c r="J216" s="231"/>
      <c r="K216" s="231"/>
      <c r="L216" s="231"/>
      <c r="M216" s="231"/>
      <c r="N216" s="231"/>
      <c r="O216" s="231"/>
      <c r="P216" s="231"/>
      <c r="Q216" s="231"/>
      <c r="R216" s="231"/>
      <c r="S216" s="231"/>
      <c r="T216" s="231"/>
      <c r="U216" s="231"/>
      <c r="V216" s="231"/>
      <c r="W216" s="231"/>
      <c r="X216" s="231"/>
      <c r="Y216" s="231"/>
      <c r="Z216" s="231"/>
      <c r="AA216" s="231"/>
      <c r="AB216" s="231"/>
      <c r="AC216" s="231"/>
      <c r="AD216" s="231"/>
      <c r="AE216" s="231"/>
      <c r="AF216" s="231"/>
    </row>
    <row r="217" spans="1:32" s="203" customFormat="1">
      <c r="A217" s="120">
        <v>13</v>
      </c>
      <c r="B217" s="47" t="s">
        <v>177</v>
      </c>
      <c r="C217" s="47"/>
      <c r="D217" s="47"/>
      <c r="E217" s="41">
        <v>190</v>
      </c>
      <c r="F217" s="121">
        <v>175.03</v>
      </c>
      <c r="G217" s="118"/>
      <c r="H217" s="169">
        <v>172.03</v>
      </c>
      <c r="I217" s="29"/>
      <c r="J217" s="231"/>
      <c r="K217" s="231"/>
      <c r="L217" s="231"/>
      <c r="M217" s="231"/>
      <c r="N217" s="231"/>
      <c r="O217" s="231"/>
      <c r="P217" s="231"/>
      <c r="Q217" s="231"/>
      <c r="R217" s="231"/>
      <c r="S217" s="231"/>
      <c r="T217" s="231"/>
      <c r="U217" s="231"/>
      <c r="V217" s="231"/>
      <c r="W217" s="231"/>
      <c r="X217" s="231"/>
      <c r="Y217" s="231"/>
      <c r="Z217" s="231"/>
      <c r="AA217" s="231"/>
      <c r="AB217" s="231"/>
      <c r="AC217" s="231"/>
      <c r="AD217" s="231"/>
      <c r="AE217" s="231"/>
      <c r="AF217" s="231"/>
    </row>
    <row r="218" spans="1:32" s="203" customFormat="1">
      <c r="A218" s="124">
        <v>14</v>
      </c>
      <c r="B218" s="54" t="s">
        <v>178</v>
      </c>
      <c r="C218" s="54"/>
      <c r="D218" s="54"/>
      <c r="E218" s="56">
        <v>1512</v>
      </c>
      <c r="F218" s="126">
        <v>1586.79</v>
      </c>
      <c r="G218" s="118"/>
      <c r="H218" s="100">
        <v>1734.48</v>
      </c>
      <c r="I218" s="29"/>
      <c r="J218" s="231"/>
      <c r="K218" s="231"/>
      <c r="L218" s="231"/>
      <c r="M218" s="231"/>
      <c r="N218" s="231"/>
      <c r="O218" s="231"/>
      <c r="P218" s="231"/>
      <c r="Q218" s="231"/>
      <c r="R218" s="231"/>
      <c r="S218" s="231"/>
      <c r="T218" s="231"/>
      <c r="U218" s="231"/>
      <c r="V218" s="231"/>
      <c r="W218" s="231"/>
      <c r="X218" s="231"/>
      <c r="Y218" s="231"/>
      <c r="Z218" s="231"/>
      <c r="AA218" s="231"/>
      <c r="AB218" s="231"/>
      <c r="AC218" s="231"/>
      <c r="AD218" s="231"/>
      <c r="AE218" s="231"/>
      <c r="AF218" s="231"/>
    </row>
    <row r="219" spans="1:32" s="203" customFormat="1">
      <c r="A219" s="148"/>
      <c r="B219" s="29"/>
      <c r="C219" s="29"/>
      <c r="D219" s="170"/>
      <c r="E219" s="171"/>
      <c r="F219" s="29"/>
      <c r="G219" s="29"/>
      <c r="H219" s="207"/>
      <c r="I219" s="29"/>
      <c r="J219" s="231"/>
      <c r="K219" s="231"/>
      <c r="L219" s="231"/>
      <c r="M219" s="231"/>
      <c r="N219" s="231"/>
      <c r="O219" s="231"/>
      <c r="P219" s="231"/>
      <c r="Q219" s="231"/>
      <c r="R219" s="231"/>
      <c r="S219" s="231"/>
      <c r="T219" s="231"/>
      <c r="U219" s="231"/>
      <c r="V219" s="231"/>
      <c r="W219" s="231"/>
      <c r="X219" s="231"/>
      <c r="Y219" s="231"/>
      <c r="Z219" s="231"/>
      <c r="AA219" s="231"/>
      <c r="AB219" s="231"/>
      <c r="AC219" s="231"/>
      <c r="AD219" s="231"/>
      <c r="AE219" s="231"/>
      <c r="AF219" s="231"/>
    </row>
    <row r="220" spans="1:32" s="203" customFormat="1">
      <c r="A220" s="148"/>
      <c r="B220" s="29"/>
      <c r="C220" s="29"/>
      <c r="D220" s="172"/>
      <c r="E220" s="152"/>
      <c r="F220" s="29"/>
      <c r="G220" s="29"/>
      <c r="H220" s="131" t="s">
        <v>27</v>
      </c>
      <c r="I220" s="29"/>
      <c r="J220" s="231"/>
      <c r="K220" s="231"/>
      <c r="L220" s="231"/>
      <c r="M220" s="231"/>
      <c r="N220" s="231"/>
      <c r="O220" s="231"/>
      <c r="P220" s="231"/>
      <c r="Q220" s="231"/>
      <c r="R220" s="231"/>
      <c r="S220" s="231"/>
      <c r="T220" s="231"/>
      <c r="U220" s="231"/>
      <c r="V220" s="231"/>
      <c r="W220" s="231"/>
      <c r="X220" s="231"/>
      <c r="Y220" s="231"/>
      <c r="Z220" s="231"/>
      <c r="AA220" s="231"/>
      <c r="AB220" s="231"/>
      <c r="AC220" s="231"/>
      <c r="AD220" s="231"/>
      <c r="AE220" s="231"/>
      <c r="AF220" s="231"/>
    </row>
    <row r="221" spans="1:32" s="203" customFormat="1" ht="12.75" customHeight="1">
      <c r="A221" s="106" t="s">
        <v>10</v>
      </c>
      <c r="B221" s="164"/>
      <c r="C221" s="164"/>
      <c r="D221" s="164"/>
      <c r="E221" s="856" t="s">
        <v>377</v>
      </c>
      <c r="F221" s="856" t="s">
        <v>402</v>
      </c>
      <c r="G221" s="130"/>
      <c r="H221" s="856" t="s">
        <v>403</v>
      </c>
      <c r="I221" s="130"/>
      <c r="J221" s="231"/>
      <c r="K221" s="231"/>
      <c r="L221" s="231"/>
      <c r="M221" s="231"/>
      <c r="N221" s="231"/>
      <c r="O221" s="231"/>
      <c r="P221" s="231"/>
      <c r="Q221" s="231"/>
      <c r="R221" s="231"/>
      <c r="S221" s="231"/>
      <c r="T221" s="231"/>
      <c r="U221" s="231"/>
      <c r="V221" s="231"/>
      <c r="W221" s="231"/>
      <c r="X221" s="231"/>
      <c r="Y221" s="231"/>
      <c r="Z221" s="231"/>
      <c r="AA221" s="231"/>
      <c r="AB221" s="231"/>
      <c r="AC221" s="231"/>
      <c r="AD221" s="231"/>
      <c r="AE221" s="231"/>
      <c r="AF221" s="231"/>
    </row>
    <row r="222" spans="1:32" s="203" customFormat="1">
      <c r="A222" s="109"/>
      <c r="B222" s="132"/>
      <c r="C222" s="132"/>
      <c r="D222" s="132"/>
      <c r="E222" s="859"/>
      <c r="F222" s="859"/>
      <c r="G222" s="130"/>
      <c r="H222" s="859"/>
      <c r="I222" s="130"/>
      <c r="J222" s="231"/>
      <c r="K222" s="231"/>
      <c r="L222" s="231"/>
      <c r="M222" s="231"/>
      <c r="N222" s="231"/>
      <c r="O222" s="231"/>
      <c r="P222" s="231"/>
      <c r="Q222" s="231"/>
      <c r="R222" s="231"/>
      <c r="S222" s="231"/>
      <c r="T222" s="231"/>
      <c r="U222" s="231"/>
      <c r="V222" s="231"/>
      <c r="W222" s="231"/>
      <c r="X222" s="231"/>
      <c r="Y222" s="231"/>
      <c r="Z222" s="231"/>
      <c r="AA222" s="231"/>
      <c r="AB222" s="231"/>
      <c r="AC222" s="231"/>
      <c r="AD222" s="231"/>
      <c r="AE222" s="231"/>
      <c r="AF222" s="231"/>
    </row>
    <row r="223" spans="1:32" s="203" customFormat="1">
      <c r="A223" s="154" t="s">
        <v>179</v>
      </c>
      <c r="B223" s="116"/>
      <c r="C223" s="116"/>
      <c r="D223" s="116"/>
      <c r="E223" s="859"/>
      <c r="F223" s="859"/>
      <c r="G223" s="130"/>
      <c r="H223" s="859"/>
      <c r="I223" s="130"/>
      <c r="J223" s="231"/>
      <c r="K223" s="231"/>
      <c r="L223" s="231"/>
      <c r="M223" s="231"/>
      <c r="N223" s="231"/>
      <c r="O223" s="231"/>
      <c r="P223" s="231"/>
      <c r="Q223" s="231"/>
      <c r="R223" s="231"/>
      <c r="S223" s="231"/>
      <c r="T223" s="231"/>
      <c r="U223" s="231"/>
      <c r="V223" s="231"/>
      <c r="W223" s="231"/>
      <c r="X223" s="231"/>
      <c r="Y223" s="231"/>
      <c r="Z223" s="231"/>
      <c r="AA223" s="231"/>
      <c r="AB223" s="231"/>
      <c r="AC223" s="231"/>
      <c r="AD223" s="231"/>
      <c r="AE223" s="231"/>
      <c r="AF223" s="231"/>
    </row>
    <row r="224" spans="1:32" s="203" customFormat="1">
      <c r="A224" s="109" t="s">
        <v>83</v>
      </c>
      <c r="B224" s="47"/>
      <c r="C224" s="47"/>
      <c r="D224" s="47"/>
      <c r="E224" s="859"/>
      <c r="F224" s="859"/>
      <c r="G224" s="130"/>
      <c r="H224" s="859"/>
      <c r="I224" s="130"/>
      <c r="J224" s="231"/>
      <c r="K224" s="231"/>
      <c r="L224" s="231"/>
      <c r="M224" s="231"/>
      <c r="N224" s="231"/>
      <c r="O224" s="231"/>
      <c r="P224" s="231"/>
      <c r="Q224" s="231"/>
      <c r="R224" s="231"/>
      <c r="S224" s="231"/>
      <c r="T224" s="231"/>
      <c r="U224" s="231"/>
      <c r="V224" s="231"/>
      <c r="W224" s="231"/>
      <c r="X224" s="231"/>
      <c r="Y224" s="231"/>
      <c r="Z224" s="231"/>
      <c r="AA224" s="231"/>
      <c r="AB224" s="231"/>
      <c r="AC224" s="231"/>
      <c r="AD224" s="231"/>
      <c r="AE224" s="231"/>
      <c r="AF224" s="231"/>
    </row>
    <row r="225" spans="1:32" s="203" customFormat="1">
      <c r="A225" s="110" t="s">
        <v>84</v>
      </c>
      <c r="B225" s="132"/>
      <c r="C225" s="132"/>
      <c r="D225" s="132"/>
      <c r="E225" s="860"/>
      <c r="F225" s="860"/>
      <c r="G225" s="130"/>
      <c r="H225" s="860"/>
      <c r="I225" s="130"/>
      <c r="J225" s="231"/>
      <c r="K225" s="231"/>
      <c r="L225" s="231"/>
      <c r="M225" s="231"/>
      <c r="N225" s="231"/>
      <c r="O225" s="231"/>
      <c r="P225" s="231"/>
      <c r="Q225" s="231"/>
      <c r="R225" s="231"/>
      <c r="S225" s="231"/>
      <c r="T225" s="231"/>
      <c r="U225" s="231"/>
      <c r="V225" s="231"/>
      <c r="W225" s="231"/>
      <c r="X225" s="231"/>
      <c r="Y225" s="231"/>
      <c r="Z225" s="231"/>
      <c r="AA225" s="231"/>
      <c r="AB225" s="231"/>
      <c r="AC225" s="231"/>
      <c r="AD225" s="231"/>
      <c r="AE225" s="231"/>
      <c r="AF225" s="231"/>
    </row>
    <row r="226" spans="1:32" s="203" customFormat="1">
      <c r="A226" s="120">
        <v>1</v>
      </c>
      <c r="B226" s="47" t="s">
        <v>180</v>
      </c>
      <c r="C226" s="47"/>
      <c r="D226" s="47"/>
      <c r="E226" s="41">
        <v>-78</v>
      </c>
      <c r="F226" s="52">
        <v>-135</v>
      </c>
      <c r="G226" s="118"/>
      <c r="H226" s="133">
        <v>-105</v>
      </c>
      <c r="I226" s="29"/>
      <c r="J226" s="231"/>
      <c r="K226" s="231"/>
      <c r="L226" s="231"/>
      <c r="M226" s="231"/>
      <c r="N226" s="231"/>
      <c r="O226" s="231"/>
      <c r="P226" s="231"/>
      <c r="Q226" s="231"/>
      <c r="R226" s="231"/>
      <c r="S226" s="231"/>
      <c r="T226" s="231"/>
      <c r="U226" s="231"/>
      <c r="V226" s="231"/>
      <c r="W226" s="231"/>
      <c r="X226" s="231"/>
      <c r="Y226" s="231"/>
      <c r="Z226" s="231"/>
      <c r="AA226" s="231"/>
      <c r="AB226" s="231"/>
      <c r="AC226" s="231"/>
      <c r="AD226" s="231"/>
      <c r="AE226" s="231"/>
      <c r="AF226" s="231"/>
    </row>
    <row r="227" spans="1:32" s="203" customFormat="1">
      <c r="A227" s="120">
        <v>2</v>
      </c>
      <c r="B227" s="47" t="s">
        <v>181</v>
      </c>
      <c r="C227" s="47"/>
      <c r="D227" s="47"/>
      <c r="E227" s="49">
        <v>61</v>
      </c>
      <c r="F227" s="52">
        <v>-82</v>
      </c>
      <c r="G227" s="118"/>
      <c r="H227" s="122">
        <v>85</v>
      </c>
      <c r="I227" s="29"/>
      <c r="J227" s="231"/>
      <c r="K227" s="231"/>
      <c r="L227" s="231"/>
      <c r="M227" s="231"/>
      <c r="N227" s="231"/>
      <c r="O227" s="231"/>
      <c r="P227" s="231"/>
      <c r="Q227" s="231"/>
      <c r="R227" s="231"/>
      <c r="S227" s="231"/>
      <c r="T227" s="231"/>
      <c r="U227" s="231"/>
      <c r="V227" s="231"/>
      <c r="W227" s="231"/>
      <c r="X227" s="231"/>
      <c r="Y227" s="231"/>
      <c r="Z227" s="231"/>
      <c r="AA227" s="231"/>
      <c r="AB227" s="231"/>
      <c r="AC227" s="231"/>
      <c r="AD227" s="231"/>
      <c r="AE227" s="231"/>
      <c r="AF227" s="231"/>
    </row>
    <row r="228" spans="1:32" s="203" customFormat="1">
      <c r="A228" s="120">
        <v>3</v>
      </c>
      <c r="B228" s="47" t="s">
        <v>182</v>
      </c>
      <c r="C228" s="47"/>
      <c r="D228" s="47"/>
      <c r="E228" s="114">
        <v>529</v>
      </c>
      <c r="F228" s="52">
        <v>475</v>
      </c>
      <c r="G228" s="118"/>
      <c r="H228" s="122">
        <v>451</v>
      </c>
      <c r="I228" s="29"/>
      <c r="J228" s="231"/>
      <c r="K228" s="231"/>
      <c r="L228" s="231"/>
      <c r="M228" s="231"/>
      <c r="N228" s="231"/>
      <c r="O228" s="231"/>
      <c r="P228" s="231"/>
      <c r="Q228" s="231"/>
      <c r="R228" s="231"/>
      <c r="S228" s="231"/>
      <c r="T228" s="231"/>
      <c r="U228" s="231"/>
      <c r="V228" s="231"/>
      <c r="W228" s="231"/>
      <c r="X228" s="231"/>
      <c r="Y228" s="231"/>
      <c r="Z228" s="231"/>
      <c r="AA228" s="231"/>
      <c r="AB228" s="231"/>
      <c r="AC228" s="231"/>
      <c r="AD228" s="231"/>
      <c r="AE228" s="231"/>
      <c r="AF228" s="231"/>
    </row>
    <row r="229" spans="1:32" s="203" customFormat="1">
      <c r="A229" s="120">
        <v>4</v>
      </c>
      <c r="B229" s="47" t="s">
        <v>183</v>
      </c>
      <c r="C229" s="47"/>
      <c r="D229" s="47"/>
      <c r="E229" s="114">
        <v>92</v>
      </c>
      <c r="F229" s="52">
        <v>88</v>
      </c>
      <c r="G229" s="118"/>
      <c r="H229" s="122">
        <v>91</v>
      </c>
      <c r="I229" s="29"/>
      <c r="J229" s="231"/>
      <c r="K229" s="231"/>
      <c r="L229" s="231"/>
      <c r="M229" s="231"/>
      <c r="N229" s="231"/>
      <c r="O229" s="231"/>
      <c r="P229" s="231"/>
      <c r="Q229" s="231"/>
      <c r="R229" s="231"/>
      <c r="S229" s="231"/>
      <c r="T229" s="231"/>
      <c r="U229" s="231"/>
      <c r="V229" s="231"/>
      <c r="W229" s="231"/>
      <c r="X229" s="231"/>
      <c r="Y229" s="231"/>
      <c r="Z229" s="231"/>
      <c r="AA229" s="231"/>
      <c r="AB229" s="231"/>
      <c r="AC229" s="231"/>
      <c r="AD229" s="231"/>
      <c r="AE229" s="231"/>
      <c r="AF229" s="231"/>
    </row>
    <row r="230" spans="1:32" s="203" customFormat="1">
      <c r="A230" s="120">
        <v>5</v>
      </c>
      <c r="B230" s="47" t="s">
        <v>184</v>
      </c>
      <c r="C230" s="47"/>
      <c r="D230" s="47"/>
      <c r="E230" s="114">
        <v>5002</v>
      </c>
      <c r="F230" s="52">
        <v>4982</v>
      </c>
      <c r="G230" s="118"/>
      <c r="H230" s="99">
        <v>4990</v>
      </c>
      <c r="I230" s="29"/>
      <c r="J230" s="231"/>
      <c r="K230" s="231"/>
      <c r="L230" s="231"/>
      <c r="M230" s="231"/>
      <c r="N230" s="231"/>
      <c r="O230" s="231"/>
      <c r="P230" s="231"/>
      <c r="Q230" s="231"/>
      <c r="R230" s="231"/>
      <c r="S230" s="231"/>
      <c r="T230" s="231"/>
      <c r="U230" s="231"/>
      <c r="V230" s="231"/>
      <c r="W230" s="231"/>
      <c r="X230" s="231"/>
      <c r="Y230" s="231"/>
      <c r="Z230" s="231"/>
      <c r="AA230" s="231"/>
      <c r="AB230" s="231"/>
      <c r="AC230" s="231"/>
      <c r="AD230" s="231"/>
      <c r="AE230" s="231"/>
      <c r="AF230" s="231"/>
    </row>
    <row r="231" spans="1:32" s="203" customFormat="1">
      <c r="A231" s="124">
        <v>6</v>
      </c>
      <c r="B231" s="173" t="s">
        <v>185</v>
      </c>
      <c r="C231" s="173"/>
      <c r="D231" s="173"/>
      <c r="E231" s="159">
        <v>5606</v>
      </c>
      <c r="F231" s="61">
        <f>SUM(F226:F230)</f>
        <v>5328</v>
      </c>
      <c r="G231" s="118"/>
      <c r="H231" s="61">
        <f>SUM(H226:H230)</f>
        <v>5512</v>
      </c>
      <c r="I231" s="29"/>
      <c r="J231" s="231"/>
      <c r="K231" s="231"/>
      <c r="L231" s="231"/>
      <c r="M231" s="231"/>
      <c r="N231" s="231"/>
      <c r="O231" s="231"/>
      <c r="P231" s="231"/>
      <c r="Q231" s="231"/>
      <c r="R231" s="231"/>
      <c r="S231" s="231"/>
      <c r="T231" s="231"/>
      <c r="U231" s="231"/>
      <c r="V231" s="231"/>
      <c r="W231" s="231"/>
      <c r="X231" s="231"/>
      <c r="Y231" s="231"/>
      <c r="Z231" s="231"/>
      <c r="AA231" s="231"/>
      <c r="AB231" s="231"/>
      <c r="AC231" s="231"/>
      <c r="AD231" s="231"/>
      <c r="AE231" s="231"/>
      <c r="AF231" s="231"/>
    </row>
    <row r="232" spans="1:32" s="203" customFormat="1">
      <c r="A232" s="148"/>
      <c r="B232" s="29"/>
      <c r="C232" s="29"/>
      <c r="D232" s="170"/>
      <c r="E232" s="150"/>
      <c r="F232" s="29"/>
      <c r="G232" s="29"/>
      <c r="H232" s="207"/>
      <c r="I232" s="29"/>
      <c r="J232" s="231"/>
      <c r="K232" s="231"/>
      <c r="L232" s="231"/>
      <c r="M232" s="231"/>
      <c r="N232" s="231"/>
      <c r="O232" s="231"/>
      <c r="P232" s="231"/>
      <c r="Q232" s="231"/>
      <c r="R232" s="231"/>
      <c r="S232" s="231"/>
      <c r="T232" s="231"/>
      <c r="U232" s="231"/>
      <c r="V232" s="231"/>
      <c r="W232" s="231"/>
      <c r="X232" s="231"/>
      <c r="Y232" s="231"/>
      <c r="Z232" s="231"/>
      <c r="AA232" s="231"/>
      <c r="AB232" s="231"/>
      <c r="AC232" s="231"/>
      <c r="AD232" s="231"/>
      <c r="AE232" s="231"/>
      <c r="AF232" s="231"/>
    </row>
    <row r="233" spans="1:32" s="203" customFormat="1">
      <c r="A233" s="148"/>
      <c r="B233" s="29"/>
      <c r="C233" s="29"/>
      <c r="D233" s="172"/>
      <c r="E233" s="152"/>
      <c r="F233" s="29"/>
      <c r="G233" s="29"/>
      <c r="H233" s="131" t="s">
        <v>27</v>
      </c>
      <c r="I233" s="29"/>
      <c r="J233" s="231"/>
      <c r="K233" s="231"/>
      <c r="L233" s="231"/>
      <c r="M233" s="231"/>
      <c r="N233" s="231"/>
      <c r="O233" s="231"/>
      <c r="P233" s="231"/>
      <c r="Q233" s="231"/>
      <c r="R233" s="231"/>
      <c r="S233" s="231"/>
      <c r="T233" s="231"/>
      <c r="U233" s="231"/>
      <c r="V233" s="231"/>
      <c r="W233" s="231"/>
      <c r="X233" s="231"/>
      <c r="Y233" s="231"/>
      <c r="Z233" s="231"/>
      <c r="AA233" s="231"/>
      <c r="AB233" s="231"/>
      <c r="AC233" s="231"/>
      <c r="AD233" s="231"/>
      <c r="AE233" s="231"/>
      <c r="AF233" s="231"/>
    </row>
    <row r="234" spans="1:32" s="203" customFormat="1" ht="12.75" customHeight="1">
      <c r="A234" s="106" t="s">
        <v>12</v>
      </c>
      <c r="B234" s="164"/>
      <c r="C234" s="164"/>
      <c r="D234" s="164"/>
      <c r="E234" s="856" t="s">
        <v>377</v>
      </c>
      <c r="F234" s="856" t="s">
        <v>402</v>
      </c>
      <c r="G234" s="130"/>
      <c r="H234" s="856" t="s">
        <v>403</v>
      </c>
      <c r="I234" s="130"/>
      <c r="J234" s="231"/>
      <c r="K234" s="231"/>
      <c r="L234" s="231"/>
      <c r="M234" s="231"/>
      <c r="N234" s="231"/>
      <c r="O234" s="231"/>
      <c r="P234" s="231"/>
      <c r="Q234" s="231"/>
      <c r="R234" s="231"/>
      <c r="S234" s="231"/>
      <c r="T234" s="231"/>
      <c r="U234" s="231"/>
      <c r="V234" s="231"/>
      <c r="W234" s="231"/>
      <c r="X234" s="231"/>
      <c r="Y234" s="231"/>
      <c r="Z234" s="231"/>
      <c r="AA234" s="231"/>
      <c r="AB234" s="231"/>
      <c r="AC234" s="231"/>
      <c r="AD234" s="231"/>
      <c r="AE234" s="231"/>
      <c r="AF234" s="231"/>
    </row>
    <row r="235" spans="1:32" s="203" customFormat="1">
      <c r="A235" s="165"/>
      <c r="B235" s="47"/>
      <c r="C235" s="47"/>
      <c r="D235" s="47"/>
      <c r="E235" s="859"/>
      <c r="F235" s="859"/>
      <c r="G235" s="130"/>
      <c r="H235" s="859"/>
      <c r="I235" s="130"/>
      <c r="J235" s="231"/>
      <c r="K235" s="231"/>
      <c r="L235" s="231"/>
      <c r="M235" s="231"/>
      <c r="N235" s="231"/>
      <c r="O235" s="231"/>
      <c r="P235" s="231"/>
      <c r="Q235" s="231"/>
      <c r="R235" s="231"/>
      <c r="S235" s="231"/>
      <c r="T235" s="231"/>
      <c r="U235" s="231"/>
      <c r="V235" s="231"/>
      <c r="W235" s="231"/>
      <c r="X235" s="231"/>
      <c r="Y235" s="231"/>
      <c r="Z235" s="231"/>
      <c r="AA235" s="231"/>
      <c r="AB235" s="231"/>
      <c r="AC235" s="231"/>
      <c r="AD235" s="231"/>
      <c r="AE235" s="231"/>
      <c r="AF235" s="231"/>
    </row>
    <row r="236" spans="1:32" s="203" customFormat="1">
      <c r="A236" s="154" t="s">
        <v>186</v>
      </c>
      <c r="B236" s="174"/>
      <c r="C236" s="174"/>
      <c r="D236" s="174"/>
      <c r="E236" s="859"/>
      <c r="F236" s="859"/>
      <c r="G236" s="130"/>
      <c r="H236" s="859"/>
      <c r="I236" s="130"/>
      <c r="J236" s="231"/>
      <c r="K236" s="231"/>
      <c r="L236" s="231"/>
      <c r="M236" s="231"/>
      <c r="N236" s="231"/>
      <c r="O236" s="231"/>
      <c r="P236" s="231"/>
      <c r="Q236" s="231"/>
      <c r="R236" s="231"/>
      <c r="S236" s="231"/>
      <c r="T236" s="231"/>
      <c r="U236" s="231"/>
      <c r="V236" s="231"/>
      <c r="W236" s="231"/>
      <c r="X236" s="231"/>
      <c r="Y236" s="231"/>
      <c r="Z236" s="231"/>
      <c r="AA236" s="231"/>
      <c r="AB236" s="231"/>
      <c r="AC236" s="231"/>
      <c r="AD236" s="231"/>
      <c r="AE236" s="231"/>
      <c r="AF236" s="231"/>
    </row>
    <row r="237" spans="1:32" s="203" customFormat="1">
      <c r="A237" s="109" t="s">
        <v>83</v>
      </c>
      <c r="B237" s="47"/>
      <c r="C237" s="47"/>
      <c r="D237" s="47"/>
      <c r="E237" s="859"/>
      <c r="F237" s="859"/>
      <c r="G237" s="130"/>
      <c r="H237" s="859"/>
      <c r="I237" s="130"/>
      <c r="J237" s="231"/>
      <c r="K237" s="231"/>
      <c r="L237" s="231"/>
      <c r="M237" s="231"/>
      <c r="N237" s="231"/>
      <c r="O237" s="231"/>
      <c r="P237" s="231"/>
      <c r="Q237" s="231"/>
      <c r="R237" s="231"/>
      <c r="S237" s="231"/>
      <c r="T237" s="231"/>
      <c r="U237" s="231"/>
      <c r="V237" s="231"/>
      <c r="W237" s="231"/>
      <c r="X237" s="231"/>
      <c r="Y237" s="231"/>
      <c r="Z237" s="231"/>
      <c r="AA237" s="231"/>
      <c r="AB237" s="231"/>
      <c r="AC237" s="231"/>
      <c r="AD237" s="231"/>
      <c r="AE237" s="231"/>
      <c r="AF237" s="231"/>
    </row>
    <row r="238" spans="1:32" s="203" customFormat="1">
      <c r="A238" s="110" t="s">
        <v>84</v>
      </c>
      <c r="B238" s="174"/>
      <c r="C238" s="174"/>
      <c r="D238" s="174"/>
      <c r="E238" s="860"/>
      <c r="F238" s="860"/>
      <c r="G238" s="130"/>
      <c r="H238" s="860"/>
      <c r="I238" s="130"/>
      <c r="J238" s="231"/>
      <c r="K238" s="231"/>
      <c r="L238" s="231"/>
      <c r="M238" s="231"/>
      <c r="N238" s="231"/>
      <c r="O238" s="231"/>
      <c r="P238" s="231"/>
      <c r="Q238" s="231"/>
      <c r="R238" s="231"/>
      <c r="S238" s="231"/>
      <c r="T238" s="231"/>
      <c r="U238" s="231"/>
      <c r="V238" s="231"/>
      <c r="W238" s="231"/>
      <c r="X238" s="231"/>
      <c r="Y238" s="231"/>
      <c r="Z238" s="231"/>
      <c r="AA238" s="231"/>
      <c r="AB238" s="231"/>
      <c r="AC238" s="231"/>
      <c r="AD238" s="231"/>
      <c r="AE238" s="231"/>
      <c r="AF238" s="231"/>
    </row>
    <row r="239" spans="1:32" s="203" customFormat="1">
      <c r="A239" s="153" t="s">
        <v>187</v>
      </c>
      <c r="B239" s="116"/>
      <c r="C239" s="116"/>
      <c r="D239" s="116"/>
      <c r="E239" s="167"/>
      <c r="F239" s="146"/>
      <c r="G239" s="118"/>
      <c r="H239" s="146"/>
      <c r="I239" s="29"/>
      <c r="J239" s="231"/>
      <c r="K239" s="231"/>
      <c r="L239" s="231"/>
      <c r="M239" s="231"/>
      <c r="N239" s="231"/>
      <c r="O239" s="231"/>
      <c r="P239" s="231"/>
      <c r="Q239" s="231"/>
      <c r="R239" s="231"/>
      <c r="S239" s="231"/>
      <c r="T239" s="231"/>
      <c r="U239" s="231"/>
      <c r="V239" s="231"/>
      <c r="W239" s="231"/>
      <c r="X239" s="231"/>
      <c r="Y239" s="231"/>
      <c r="Z239" s="231"/>
      <c r="AA239" s="231"/>
      <c r="AB239" s="231"/>
      <c r="AC239" s="231"/>
      <c r="AD239" s="231"/>
      <c r="AE239" s="231"/>
      <c r="AF239" s="231"/>
    </row>
    <row r="240" spans="1:32" s="203" customFormat="1">
      <c r="A240" s="120">
        <v>1</v>
      </c>
      <c r="B240" s="47" t="s">
        <v>188</v>
      </c>
      <c r="C240" s="47"/>
      <c r="D240" s="47"/>
      <c r="E240" s="74">
        <v>262</v>
      </c>
      <c r="F240" s="52">
        <v>298</v>
      </c>
      <c r="G240" s="118"/>
      <c r="H240" s="122">
        <f>296-51</f>
        <v>245</v>
      </c>
      <c r="I240" s="29"/>
      <c r="J240" s="231"/>
      <c r="K240" s="231"/>
      <c r="L240" s="231"/>
      <c r="M240" s="231"/>
      <c r="N240" s="231"/>
      <c r="O240" s="231"/>
      <c r="P240" s="231"/>
      <c r="Q240" s="231"/>
      <c r="R240" s="231"/>
      <c r="S240" s="231"/>
      <c r="T240" s="231"/>
      <c r="U240" s="231"/>
      <c r="V240" s="231"/>
      <c r="W240" s="231"/>
      <c r="X240" s="231"/>
      <c r="Y240" s="231"/>
      <c r="Z240" s="231"/>
      <c r="AA240" s="231"/>
      <c r="AB240" s="231"/>
      <c r="AC240" s="231"/>
      <c r="AD240" s="231"/>
      <c r="AE240" s="231"/>
      <c r="AF240" s="231"/>
    </row>
    <row r="241" spans="1:32" s="203" customFormat="1">
      <c r="A241" s="679">
        <v>2</v>
      </c>
      <c r="B241" s="47" t="s">
        <v>189</v>
      </c>
      <c r="C241" s="47"/>
      <c r="D241" s="47"/>
      <c r="E241" s="114">
        <v>0</v>
      </c>
      <c r="F241" s="52"/>
      <c r="G241" s="118"/>
      <c r="H241" s="100"/>
      <c r="I241" s="29"/>
      <c r="J241" s="231"/>
      <c r="K241" s="231"/>
      <c r="L241" s="231"/>
      <c r="M241" s="231"/>
      <c r="N241" s="231"/>
      <c r="O241" s="231"/>
      <c r="P241" s="231"/>
      <c r="Q241" s="231"/>
      <c r="R241" s="231"/>
      <c r="S241" s="231"/>
      <c r="T241" s="231"/>
      <c r="U241" s="231"/>
      <c r="V241" s="231"/>
      <c r="W241" s="231"/>
      <c r="X241" s="231"/>
      <c r="Y241" s="231"/>
      <c r="Z241" s="231"/>
      <c r="AA241" s="231"/>
      <c r="AB241" s="231"/>
      <c r="AC241" s="231"/>
      <c r="AD241" s="231"/>
      <c r="AE241" s="231"/>
      <c r="AF241" s="231"/>
    </row>
    <row r="242" spans="1:32" s="203" customFormat="1">
      <c r="A242" s="679">
        <v>3</v>
      </c>
      <c r="B242" s="168" t="s">
        <v>190</v>
      </c>
      <c r="C242" s="168"/>
      <c r="D242" s="168"/>
      <c r="E242" s="80">
        <v>262</v>
      </c>
      <c r="F242" s="142">
        <f>SUM(F240:F241)</f>
        <v>298</v>
      </c>
      <c r="G242" s="118"/>
      <c r="H242" s="142">
        <f>SUM(H240:H241)</f>
        <v>245</v>
      </c>
      <c r="I242" s="29"/>
      <c r="J242" s="231"/>
      <c r="K242" s="231"/>
      <c r="L242" s="231"/>
      <c r="M242" s="231"/>
      <c r="N242" s="231"/>
      <c r="O242" s="231"/>
      <c r="P242" s="231"/>
      <c r="Q242" s="231"/>
      <c r="R242" s="231"/>
      <c r="S242" s="231"/>
      <c r="T242" s="231"/>
      <c r="U242" s="231"/>
      <c r="V242" s="231"/>
      <c r="W242" s="231"/>
      <c r="X242" s="231"/>
      <c r="Y242" s="231"/>
      <c r="Z242" s="231"/>
      <c r="AA242" s="231"/>
      <c r="AB242" s="231"/>
      <c r="AC242" s="231"/>
      <c r="AD242" s="231"/>
      <c r="AE242" s="231"/>
      <c r="AF242" s="231"/>
    </row>
    <row r="243" spans="1:32" s="203" customFormat="1">
      <c r="A243" s="679"/>
      <c r="B243" s="116"/>
      <c r="C243" s="116"/>
      <c r="D243" s="116"/>
      <c r="E243" s="117"/>
      <c r="F243" s="118"/>
      <c r="G243" s="118"/>
      <c r="H243" s="118"/>
      <c r="I243" s="29"/>
      <c r="J243" s="231"/>
      <c r="K243" s="231"/>
      <c r="L243" s="231"/>
      <c r="M243" s="231"/>
      <c r="N243" s="231"/>
      <c r="O243" s="231"/>
      <c r="P243" s="231"/>
      <c r="Q243" s="231"/>
      <c r="R243" s="231"/>
      <c r="S243" s="231"/>
      <c r="T243" s="231"/>
      <c r="U243" s="231"/>
      <c r="V243" s="231"/>
      <c r="W243" s="231"/>
      <c r="X243" s="231"/>
      <c r="Y243" s="231"/>
      <c r="Z243" s="231"/>
      <c r="AA243" s="231"/>
      <c r="AB243" s="231"/>
      <c r="AC243" s="231"/>
      <c r="AD243" s="231"/>
      <c r="AE243" s="231"/>
      <c r="AF243" s="231"/>
    </row>
    <row r="244" spans="1:32" s="203" customFormat="1">
      <c r="A244" s="108" t="s">
        <v>191</v>
      </c>
      <c r="B244" s="47"/>
      <c r="C244" s="47"/>
      <c r="D244" s="47"/>
      <c r="E244" s="140"/>
      <c r="F244" s="146"/>
      <c r="G244" s="118"/>
      <c r="H244" s="146"/>
      <c r="I244" s="29"/>
      <c r="J244" s="231"/>
      <c r="K244" s="231"/>
      <c r="L244" s="231"/>
      <c r="M244" s="231"/>
      <c r="N244" s="231"/>
      <c r="O244" s="231"/>
      <c r="P244" s="231"/>
      <c r="Q244" s="231"/>
      <c r="R244" s="231"/>
      <c r="S244" s="231"/>
      <c r="T244" s="231"/>
      <c r="U244" s="231"/>
      <c r="V244" s="231"/>
      <c r="W244" s="231"/>
      <c r="X244" s="231"/>
      <c r="Y244" s="231"/>
      <c r="Z244" s="231"/>
      <c r="AA244" s="231"/>
      <c r="AB244" s="231"/>
      <c r="AC244" s="231"/>
      <c r="AD244" s="231"/>
      <c r="AE244" s="231"/>
      <c r="AF244" s="231"/>
    </row>
    <row r="245" spans="1:32" s="203" customFormat="1">
      <c r="A245" s="679">
        <v>4</v>
      </c>
      <c r="B245" s="47" t="s">
        <v>192</v>
      </c>
      <c r="C245" s="47"/>
      <c r="D245" s="47"/>
      <c r="E245" s="74">
        <v>0</v>
      </c>
      <c r="F245" s="52"/>
      <c r="G245" s="118"/>
      <c r="H245" s="122"/>
      <c r="I245" s="29"/>
      <c r="J245" s="231"/>
      <c r="K245" s="231"/>
      <c r="L245" s="231"/>
      <c r="M245" s="231"/>
      <c r="N245" s="231"/>
      <c r="O245" s="231"/>
      <c r="P245" s="231"/>
      <c r="Q245" s="231"/>
      <c r="R245" s="231"/>
      <c r="S245" s="231"/>
      <c r="T245" s="231"/>
      <c r="U245" s="231"/>
      <c r="V245" s="231"/>
      <c r="W245" s="231"/>
      <c r="X245" s="231"/>
      <c r="Y245" s="231"/>
      <c r="Z245" s="231"/>
      <c r="AA245" s="231"/>
      <c r="AB245" s="231"/>
      <c r="AC245" s="231"/>
      <c r="AD245" s="231"/>
      <c r="AE245" s="231"/>
      <c r="AF245" s="231"/>
    </row>
    <row r="246" spans="1:32" s="203" customFormat="1">
      <c r="A246" s="679">
        <v>5</v>
      </c>
      <c r="B246" s="47" t="s">
        <v>193</v>
      </c>
      <c r="C246" s="47"/>
      <c r="D246" s="47"/>
      <c r="E246" s="49">
        <v>119</v>
      </c>
      <c r="F246" s="52">
        <v>69</v>
      </c>
      <c r="G246" s="118"/>
      <c r="H246" s="100">
        <f>56-27</f>
        <v>29</v>
      </c>
      <c r="I246" s="29"/>
      <c r="J246" s="231"/>
      <c r="K246" s="231"/>
      <c r="L246" s="231"/>
      <c r="M246" s="231"/>
      <c r="N246" s="231"/>
      <c r="O246" s="231"/>
      <c r="P246" s="231"/>
      <c r="Q246" s="231"/>
      <c r="R246" s="231"/>
      <c r="S246" s="231"/>
      <c r="T246" s="231"/>
      <c r="U246" s="231"/>
      <c r="V246" s="231"/>
      <c r="W246" s="231"/>
      <c r="X246" s="231"/>
      <c r="Y246" s="231"/>
      <c r="Z246" s="231"/>
      <c r="AA246" s="231"/>
      <c r="AB246" s="231"/>
      <c r="AC246" s="231"/>
      <c r="AD246" s="231"/>
      <c r="AE246" s="231"/>
      <c r="AF246" s="231"/>
    </row>
    <row r="247" spans="1:32" s="203" customFormat="1">
      <c r="A247" s="679">
        <v>6</v>
      </c>
      <c r="B247" s="116" t="s">
        <v>194</v>
      </c>
      <c r="C247" s="116"/>
      <c r="D247" s="116"/>
      <c r="E247" s="80">
        <v>119</v>
      </c>
      <c r="F247" s="142">
        <f>SUM(F245:F246)</f>
        <v>69</v>
      </c>
      <c r="G247" s="118"/>
      <c r="H247" s="142">
        <f>SUM(H245:H246)</f>
        <v>29</v>
      </c>
      <c r="I247" s="29"/>
      <c r="J247" s="231"/>
      <c r="K247" s="231"/>
      <c r="L247" s="231"/>
      <c r="M247" s="231"/>
      <c r="N247" s="231"/>
      <c r="O247" s="231"/>
      <c r="P247" s="231"/>
      <c r="Q247" s="231"/>
      <c r="R247" s="231"/>
      <c r="S247" s="231"/>
      <c r="T247" s="231"/>
      <c r="U247" s="231"/>
      <c r="V247" s="231"/>
      <c r="W247" s="231"/>
      <c r="X247" s="231"/>
      <c r="Y247" s="231"/>
      <c r="Z247" s="231"/>
      <c r="AA247" s="231"/>
      <c r="AB247" s="231"/>
      <c r="AC247" s="231"/>
      <c r="AD247" s="231"/>
      <c r="AE247" s="231"/>
      <c r="AF247" s="231"/>
    </row>
    <row r="248" spans="1:32" s="203" customFormat="1">
      <c r="A248" s="679"/>
      <c r="B248" s="116"/>
      <c r="C248" s="116"/>
      <c r="D248" s="116"/>
      <c r="E248" s="117"/>
      <c r="F248" s="118"/>
      <c r="G248" s="118"/>
      <c r="H248" s="118"/>
      <c r="I248" s="29"/>
      <c r="J248" s="231"/>
      <c r="K248" s="231"/>
      <c r="L248" s="231"/>
      <c r="M248" s="231"/>
      <c r="N248" s="231"/>
      <c r="O248" s="231"/>
      <c r="P248" s="231"/>
      <c r="Q248" s="231"/>
      <c r="R248" s="231"/>
      <c r="S248" s="231"/>
      <c r="T248" s="231"/>
      <c r="U248" s="231"/>
      <c r="V248" s="231"/>
      <c r="W248" s="231"/>
      <c r="X248" s="231"/>
      <c r="Y248" s="231"/>
      <c r="Z248" s="231"/>
      <c r="AA248" s="231"/>
      <c r="AB248" s="231"/>
      <c r="AC248" s="231"/>
      <c r="AD248" s="231"/>
      <c r="AE248" s="231"/>
      <c r="AF248" s="231"/>
    </row>
    <row r="249" spans="1:32" s="203" customFormat="1">
      <c r="A249" s="108" t="s">
        <v>195</v>
      </c>
      <c r="B249" s="116"/>
      <c r="C249" s="116"/>
      <c r="D249" s="116"/>
      <c r="E249" s="140"/>
      <c r="F249" s="146"/>
      <c r="G249" s="118"/>
      <c r="H249" s="146"/>
      <c r="I249" s="29"/>
      <c r="J249" s="231"/>
      <c r="K249" s="231"/>
      <c r="L249" s="231"/>
      <c r="M249" s="231"/>
      <c r="N249" s="231"/>
      <c r="O249" s="231"/>
      <c r="P249" s="231"/>
      <c r="Q249" s="231"/>
      <c r="R249" s="231"/>
      <c r="S249" s="231"/>
      <c r="T249" s="231"/>
      <c r="U249" s="231"/>
      <c r="V249" s="231"/>
      <c r="W249" s="231"/>
      <c r="X249" s="231"/>
      <c r="Y249" s="231"/>
      <c r="Z249" s="231"/>
      <c r="AA249" s="231"/>
      <c r="AB249" s="231"/>
      <c r="AC249" s="231"/>
      <c r="AD249" s="231"/>
      <c r="AE249" s="231"/>
      <c r="AF249" s="231"/>
    </row>
    <row r="250" spans="1:32" s="203" customFormat="1">
      <c r="A250" s="679">
        <v>7</v>
      </c>
      <c r="B250" s="47" t="s">
        <v>196</v>
      </c>
      <c r="C250" s="47"/>
      <c r="D250" s="47"/>
      <c r="E250" s="74">
        <v>155</v>
      </c>
      <c r="F250" s="52">
        <v>133</v>
      </c>
      <c r="G250" s="118"/>
      <c r="H250" s="52">
        <v>133</v>
      </c>
      <c r="I250" s="29"/>
      <c r="J250" s="231"/>
      <c r="K250" s="231"/>
      <c r="L250" s="231"/>
      <c r="M250" s="231"/>
      <c r="N250" s="231"/>
      <c r="O250" s="231"/>
      <c r="P250" s="231"/>
      <c r="Q250" s="231"/>
      <c r="R250" s="231"/>
      <c r="S250" s="231"/>
      <c r="T250" s="231"/>
      <c r="U250" s="231"/>
      <c r="V250" s="231"/>
      <c r="W250" s="231"/>
      <c r="X250" s="231"/>
      <c r="Y250" s="231"/>
      <c r="Z250" s="231"/>
      <c r="AA250" s="231"/>
      <c r="AB250" s="231"/>
      <c r="AC250" s="231"/>
      <c r="AD250" s="231"/>
      <c r="AE250" s="231"/>
      <c r="AF250" s="231"/>
    </row>
    <row r="251" spans="1:32" s="203" customFormat="1">
      <c r="A251" s="679">
        <v>8</v>
      </c>
      <c r="B251" s="47" t="s">
        <v>197</v>
      </c>
      <c r="C251" s="47"/>
      <c r="D251" s="47"/>
      <c r="E251" s="49">
        <v>1177</v>
      </c>
      <c r="F251" s="52">
        <v>1236</v>
      </c>
      <c r="G251" s="118"/>
      <c r="H251" s="122">
        <v>1204</v>
      </c>
      <c r="I251" s="29"/>
      <c r="J251" s="231"/>
      <c r="K251" s="231"/>
      <c r="L251" s="231"/>
      <c r="M251" s="231"/>
      <c r="N251" s="231"/>
      <c r="O251" s="231"/>
      <c r="P251" s="231"/>
      <c r="Q251" s="231"/>
      <c r="R251" s="231"/>
      <c r="S251" s="231"/>
      <c r="T251" s="231"/>
      <c r="U251" s="231"/>
      <c r="V251" s="231"/>
      <c r="W251" s="231"/>
      <c r="X251" s="231"/>
      <c r="Y251" s="231"/>
      <c r="Z251" s="231"/>
      <c r="AA251" s="231"/>
      <c r="AB251" s="231"/>
      <c r="AC251" s="231"/>
      <c r="AD251" s="231"/>
      <c r="AE251" s="231"/>
      <c r="AF251" s="231"/>
    </row>
    <row r="252" spans="1:32" s="203" customFormat="1">
      <c r="A252" s="679">
        <v>9</v>
      </c>
      <c r="B252" s="47" t="s">
        <v>198</v>
      </c>
      <c r="C252" s="47"/>
      <c r="D252" s="47"/>
      <c r="E252" s="49">
        <v>2055</v>
      </c>
      <c r="F252" s="52">
        <f>1971+37</f>
        <v>2008</v>
      </c>
      <c r="G252" s="118"/>
      <c r="H252" s="122">
        <f>2100+31-88</f>
        <v>2043</v>
      </c>
      <c r="I252" s="29"/>
      <c r="J252" s="231"/>
      <c r="K252" s="231"/>
      <c r="L252" s="231"/>
      <c r="M252" s="231"/>
      <c r="N252" s="231"/>
      <c r="O252" s="231"/>
      <c r="P252" s="231"/>
      <c r="Q252" s="231"/>
      <c r="R252" s="231"/>
      <c r="S252" s="231"/>
      <c r="T252" s="231"/>
      <c r="U252" s="231"/>
      <c r="V252" s="231"/>
      <c r="W252" s="231"/>
      <c r="X252" s="231"/>
      <c r="Y252" s="231"/>
      <c r="Z252" s="231"/>
      <c r="AA252" s="231"/>
      <c r="AB252" s="231"/>
      <c r="AC252" s="231"/>
      <c r="AD252" s="231"/>
      <c r="AE252" s="231"/>
      <c r="AF252" s="231"/>
    </row>
    <row r="253" spans="1:32" s="203" customFormat="1">
      <c r="A253" s="679">
        <v>10</v>
      </c>
      <c r="B253" s="47" t="s">
        <v>199</v>
      </c>
      <c r="C253" s="47"/>
      <c r="D253" s="47"/>
      <c r="E253" s="49">
        <v>1625</v>
      </c>
      <c r="F253" s="52">
        <f>285-1-63-43+1021+244+11+54</f>
        <v>1508</v>
      </c>
      <c r="G253" s="118"/>
      <c r="H253" s="100">
        <f>178+984+244+17+55-57</f>
        <v>1421</v>
      </c>
      <c r="I253" s="29"/>
      <c r="J253" s="231"/>
      <c r="K253" s="231"/>
      <c r="L253" s="231"/>
      <c r="M253" s="231"/>
      <c r="N253" s="231"/>
      <c r="O253" s="231"/>
      <c r="P253" s="231"/>
      <c r="Q253" s="231"/>
      <c r="R253" s="231"/>
      <c r="S253" s="231"/>
      <c r="T253" s="231"/>
      <c r="U253" s="231"/>
      <c r="V253" s="231"/>
      <c r="W253" s="231"/>
      <c r="X253" s="231"/>
      <c r="Y253" s="231"/>
      <c r="Z253" s="231"/>
      <c r="AA253" s="231"/>
      <c r="AB253" s="231"/>
      <c r="AC253" s="231"/>
      <c r="AD253" s="231"/>
      <c r="AE253" s="231"/>
      <c r="AF253" s="231"/>
    </row>
    <row r="254" spans="1:32" s="203" customFormat="1">
      <c r="A254" s="679">
        <v>11</v>
      </c>
      <c r="B254" s="116" t="s">
        <v>200</v>
      </c>
      <c r="C254" s="116"/>
      <c r="D254" s="116"/>
      <c r="E254" s="80">
        <v>5012</v>
      </c>
      <c r="F254" s="142">
        <f>SUM(F250:F253)</f>
        <v>4885</v>
      </c>
      <c r="G254" s="118"/>
      <c r="H254" s="142">
        <f>SUM(H250:H253)</f>
        <v>4801</v>
      </c>
      <c r="I254" s="260"/>
      <c r="J254" s="231"/>
      <c r="K254" s="231"/>
      <c r="L254" s="231"/>
      <c r="M254" s="231"/>
      <c r="N254" s="231"/>
      <c r="O254" s="231"/>
      <c r="P254" s="231"/>
      <c r="Q254" s="231"/>
      <c r="R254" s="231"/>
      <c r="S254" s="231"/>
      <c r="T254" s="231"/>
      <c r="U254" s="231"/>
      <c r="V254" s="231"/>
      <c r="W254" s="231"/>
      <c r="X254" s="231"/>
      <c r="Y254" s="231"/>
      <c r="Z254" s="231"/>
      <c r="AA254" s="231"/>
      <c r="AB254" s="231"/>
      <c r="AC254" s="231"/>
      <c r="AD254" s="231"/>
      <c r="AE254" s="231"/>
      <c r="AF254" s="231"/>
    </row>
    <row r="255" spans="1:32" s="203" customFormat="1">
      <c r="A255" s="679"/>
      <c r="B255" s="116"/>
      <c r="C255" s="116"/>
      <c r="D255" s="116"/>
      <c r="E255" s="117"/>
      <c r="F255" s="118"/>
      <c r="G255" s="118"/>
      <c r="H255" s="118"/>
      <c r="I255" s="29"/>
      <c r="J255" s="231"/>
      <c r="K255" s="231"/>
      <c r="L255" s="231"/>
      <c r="M255" s="231"/>
      <c r="N255" s="231"/>
      <c r="O255" s="231"/>
      <c r="P255" s="231"/>
      <c r="Q255" s="231"/>
      <c r="R255" s="231"/>
      <c r="S255" s="231"/>
      <c r="T255" s="231"/>
      <c r="U255" s="231"/>
      <c r="V255" s="231"/>
      <c r="W255" s="231"/>
      <c r="X255" s="231"/>
      <c r="Y255" s="231"/>
      <c r="Z255" s="231"/>
      <c r="AA255" s="231"/>
      <c r="AB255" s="231"/>
      <c r="AC255" s="231"/>
      <c r="AD255" s="231"/>
      <c r="AE255" s="231"/>
      <c r="AF255" s="231"/>
    </row>
    <row r="256" spans="1:32" s="203" customFormat="1">
      <c r="A256" s="679">
        <v>12</v>
      </c>
      <c r="B256" s="47" t="s">
        <v>201</v>
      </c>
      <c r="C256" s="47"/>
      <c r="D256" s="47"/>
      <c r="E256" s="176">
        <v>1387</v>
      </c>
      <c r="F256" s="136">
        <v>1282</v>
      </c>
      <c r="G256" s="118"/>
      <c r="H256" s="177">
        <f>1357-8</f>
        <v>1349</v>
      </c>
      <c r="I256" s="260"/>
      <c r="J256" s="231"/>
      <c r="K256" s="231"/>
      <c r="L256" s="231"/>
      <c r="M256" s="231"/>
      <c r="N256" s="231"/>
      <c r="O256" s="231"/>
      <c r="P256" s="231"/>
      <c r="Q256" s="231"/>
      <c r="R256" s="231"/>
      <c r="S256" s="231"/>
      <c r="T256" s="231"/>
      <c r="U256" s="231"/>
      <c r="V256" s="231"/>
      <c r="W256" s="231"/>
      <c r="X256" s="231"/>
      <c r="Y256" s="231"/>
      <c r="Z256" s="231"/>
      <c r="AA256" s="231"/>
      <c r="AB256" s="231"/>
      <c r="AC256" s="231"/>
      <c r="AD256" s="231"/>
      <c r="AE256" s="231"/>
      <c r="AF256" s="231"/>
    </row>
    <row r="257" spans="1:32" s="203" customFormat="1">
      <c r="A257" s="124">
        <v>13</v>
      </c>
      <c r="B257" s="94" t="s">
        <v>202</v>
      </c>
      <c r="C257" s="94"/>
      <c r="D257" s="94"/>
      <c r="E257" s="159">
        <v>6780</v>
      </c>
      <c r="F257" s="61">
        <f>F242+F247+F254+F256</f>
        <v>6534</v>
      </c>
      <c r="G257" s="118"/>
      <c r="H257" s="61">
        <f>H242+H247+H254+H256</f>
        <v>6424</v>
      </c>
      <c r="I257" s="21"/>
      <c r="J257" s="231"/>
      <c r="K257" s="231"/>
      <c r="L257" s="231"/>
      <c r="M257" s="231"/>
      <c r="N257" s="231"/>
      <c r="O257" s="231"/>
      <c r="P257" s="231"/>
      <c r="Q257" s="231"/>
      <c r="R257" s="231"/>
      <c r="S257" s="231"/>
      <c r="T257" s="231"/>
      <c r="U257" s="231"/>
      <c r="V257" s="231"/>
      <c r="W257" s="231"/>
      <c r="X257" s="231"/>
      <c r="Y257" s="231"/>
      <c r="Z257" s="231"/>
      <c r="AA257" s="231"/>
      <c r="AB257" s="231"/>
      <c r="AC257" s="231"/>
      <c r="AD257" s="231"/>
      <c r="AE257" s="231"/>
      <c r="AF257" s="231"/>
    </row>
    <row r="258" spans="1:32" s="203" customFormat="1">
      <c r="A258" s="207"/>
      <c r="B258" s="207"/>
      <c r="C258" s="207"/>
      <c r="D258" s="208"/>
      <c r="E258" s="208"/>
      <c r="F258" s="207"/>
      <c r="G258" s="207"/>
      <c r="H258" s="207"/>
      <c r="I258" s="21"/>
      <c r="J258" s="231"/>
      <c r="K258" s="231"/>
      <c r="L258" s="231"/>
      <c r="M258" s="231"/>
      <c r="N258" s="231"/>
      <c r="O258" s="231"/>
      <c r="P258" s="231"/>
      <c r="Q258" s="231"/>
      <c r="R258" s="231"/>
      <c r="S258" s="231"/>
      <c r="T258" s="231"/>
      <c r="U258" s="231"/>
      <c r="V258" s="231"/>
      <c r="W258" s="231"/>
      <c r="X258" s="231"/>
      <c r="Y258" s="231"/>
      <c r="Z258" s="231"/>
      <c r="AA258" s="231"/>
      <c r="AB258" s="231"/>
      <c r="AC258" s="231"/>
      <c r="AD258" s="231"/>
      <c r="AE258" s="231"/>
      <c r="AF258" s="231"/>
    </row>
    <row r="259" spans="1:32" s="203" customFormat="1">
      <c r="A259" s="23"/>
      <c r="B259" s="207"/>
      <c r="C259" s="207"/>
      <c r="D259" s="207"/>
      <c r="E259" s="207"/>
      <c r="F259" s="207"/>
      <c r="G259" s="207"/>
      <c r="H259" s="21"/>
      <c r="I259" s="21"/>
      <c r="J259" s="231"/>
      <c r="K259" s="231"/>
      <c r="L259" s="231"/>
      <c r="M259" s="231"/>
      <c r="N259" s="231"/>
      <c r="O259" s="231"/>
      <c r="P259" s="231"/>
      <c r="Q259" s="231"/>
      <c r="R259" s="231"/>
      <c r="S259" s="231"/>
      <c r="T259" s="231"/>
      <c r="U259" s="231"/>
      <c r="V259" s="231"/>
      <c r="W259" s="231"/>
      <c r="X259" s="231"/>
      <c r="Y259" s="231"/>
      <c r="Z259" s="231"/>
      <c r="AA259" s="231"/>
      <c r="AB259" s="231"/>
      <c r="AC259" s="231"/>
      <c r="AD259" s="231"/>
      <c r="AE259" s="231"/>
      <c r="AF259" s="231"/>
    </row>
    <row r="260" spans="1:32" s="203" customFormat="1">
      <c r="A260" s="148"/>
      <c r="B260" s="29"/>
      <c r="C260" s="29"/>
      <c r="D260" s="172"/>
      <c r="E260" s="152"/>
      <c r="F260" s="29"/>
      <c r="G260" s="29"/>
      <c r="H260" s="131" t="s">
        <v>27</v>
      </c>
      <c r="I260" s="21"/>
      <c r="J260" s="231"/>
      <c r="K260" s="231"/>
      <c r="L260" s="231"/>
      <c r="M260" s="231"/>
      <c r="N260" s="231"/>
      <c r="O260" s="231"/>
      <c r="P260" s="231"/>
      <c r="Q260" s="231"/>
      <c r="R260" s="231"/>
      <c r="S260" s="231"/>
      <c r="T260" s="231"/>
      <c r="U260" s="231"/>
      <c r="V260" s="231"/>
      <c r="W260" s="231"/>
      <c r="X260" s="231"/>
      <c r="Y260" s="231"/>
      <c r="Z260" s="231"/>
      <c r="AA260" s="231"/>
      <c r="AB260" s="231"/>
      <c r="AC260" s="231"/>
      <c r="AD260" s="231"/>
      <c r="AE260" s="231"/>
      <c r="AF260" s="231"/>
    </row>
    <row r="261" spans="1:32" s="203" customFormat="1" ht="12.75" customHeight="1">
      <c r="A261" s="106" t="s">
        <v>15</v>
      </c>
      <c r="B261" s="164"/>
      <c r="C261" s="164"/>
      <c r="D261" s="164"/>
      <c r="E261" s="856" t="s">
        <v>377</v>
      </c>
      <c r="F261" s="856" t="s">
        <v>402</v>
      </c>
      <c r="G261" s="130"/>
      <c r="H261" s="856" t="s">
        <v>403</v>
      </c>
      <c r="I261" s="21"/>
      <c r="J261" s="231"/>
      <c r="K261" s="231"/>
      <c r="L261" s="231"/>
      <c r="M261" s="231"/>
      <c r="N261" s="231"/>
      <c r="O261" s="231"/>
      <c r="P261" s="231"/>
      <c r="Q261" s="231"/>
      <c r="R261" s="231"/>
      <c r="S261" s="231"/>
      <c r="T261" s="231"/>
      <c r="U261" s="231"/>
      <c r="V261" s="231"/>
      <c r="W261" s="231"/>
      <c r="X261" s="231"/>
      <c r="Y261" s="231"/>
      <c r="Z261" s="231"/>
      <c r="AA261" s="231"/>
      <c r="AB261" s="231"/>
      <c r="AC261" s="231"/>
      <c r="AD261" s="231"/>
      <c r="AE261" s="231"/>
      <c r="AF261" s="231"/>
    </row>
    <row r="262" spans="1:32" s="203" customFormat="1">
      <c r="A262" s="165"/>
      <c r="B262" s="47"/>
      <c r="C262" s="47"/>
      <c r="D262" s="47"/>
      <c r="E262" s="859"/>
      <c r="F262" s="859"/>
      <c r="G262" s="130"/>
      <c r="H262" s="859"/>
      <c r="I262" s="21"/>
      <c r="J262" s="231"/>
      <c r="K262" s="231"/>
      <c r="L262" s="231"/>
      <c r="M262" s="231"/>
      <c r="N262" s="231"/>
      <c r="O262" s="231"/>
      <c r="P262" s="231"/>
      <c r="Q262" s="231"/>
      <c r="R262" s="231"/>
      <c r="S262" s="231"/>
      <c r="T262" s="231"/>
      <c r="U262" s="231"/>
      <c r="V262" s="231"/>
      <c r="W262" s="231"/>
      <c r="X262" s="231"/>
      <c r="Y262" s="231"/>
      <c r="Z262" s="231"/>
      <c r="AA262" s="231"/>
      <c r="AB262" s="231"/>
      <c r="AC262" s="231"/>
      <c r="AD262" s="231"/>
      <c r="AE262" s="231"/>
      <c r="AF262" s="231"/>
    </row>
    <row r="263" spans="1:32" s="203" customFormat="1">
      <c r="A263" s="109"/>
      <c r="B263" s="174"/>
      <c r="C263" s="174"/>
      <c r="D263" s="174"/>
      <c r="E263" s="859"/>
      <c r="F263" s="859"/>
      <c r="G263" s="130"/>
      <c r="H263" s="859"/>
      <c r="I263" s="21"/>
      <c r="J263" s="231"/>
      <c r="K263" s="231"/>
      <c r="L263" s="231"/>
      <c r="M263" s="231"/>
      <c r="N263" s="231"/>
      <c r="O263" s="231"/>
      <c r="P263" s="231"/>
      <c r="Q263" s="231"/>
      <c r="R263" s="231"/>
      <c r="S263" s="231"/>
      <c r="T263" s="231"/>
      <c r="U263" s="231"/>
      <c r="V263" s="231"/>
      <c r="W263" s="231"/>
      <c r="X263" s="231"/>
      <c r="Y263" s="231"/>
      <c r="Z263" s="231"/>
      <c r="AA263" s="231"/>
      <c r="AB263" s="231"/>
      <c r="AC263" s="231"/>
      <c r="AD263" s="231"/>
      <c r="AE263" s="231"/>
      <c r="AF263" s="231"/>
    </row>
    <row r="264" spans="1:32" s="203" customFormat="1">
      <c r="A264" s="154" t="s">
        <v>203</v>
      </c>
      <c r="B264" s="47"/>
      <c r="C264" s="47"/>
      <c r="D264" s="47"/>
      <c r="E264" s="859"/>
      <c r="F264" s="859"/>
      <c r="G264" s="130"/>
      <c r="H264" s="859"/>
      <c r="I264" s="21"/>
      <c r="J264" s="231"/>
      <c r="K264" s="231"/>
      <c r="L264" s="231"/>
      <c r="M264" s="231"/>
      <c r="N264" s="231"/>
      <c r="O264" s="231"/>
      <c r="P264" s="231"/>
      <c r="Q264" s="231"/>
      <c r="R264" s="231"/>
      <c r="S264" s="231"/>
      <c r="T264" s="231"/>
      <c r="U264" s="231"/>
      <c r="V264" s="231"/>
      <c r="W264" s="231"/>
      <c r="X264" s="231"/>
      <c r="Y264" s="231"/>
      <c r="Z264" s="231"/>
      <c r="AA264" s="231"/>
      <c r="AB264" s="231"/>
      <c r="AC264" s="231"/>
      <c r="AD264" s="231"/>
      <c r="AE264" s="231"/>
      <c r="AF264" s="231"/>
    </row>
    <row r="265" spans="1:32" s="203" customFormat="1">
      <c r="A265" s="109" t="s">
        <v>83</v>
      </c>
      <c r="B265" s="174"/>
      <c r="C265" s="174"/>
      <c r="D265" s="174"/>
      <c r="E265" s="860"/>
      <c r="F265" s="860"/>
      <c r="G265" s="130"/>
      <c r="H265" s="860"/>
      <c r="I265" s="21"/>
      <c r="J265" s="231"/>
      <c r="K265" s="231"/>
      <c r="L265" s="231"/>
      <c r="M265" s="231"/>
      <c r="N265" s="231"/>
      <c r="O265" s="231"/>
      <c r="P265" s="231"/>
      <c r="Q265" s="231"/>
      <c r="R265" s="231"/>
      <c r="S265" s="231"/>
      <c r="T265" s="231"/>
      <c r="U265" s="231"/>
      <c r="V265" s="231"/>
      <c r="W265" s="231"/>
      <c r="X265" s="231"/>
      <c r="Y265" s="231"/>
      <c r="Z265" s="231"/>
      <c r="AA265" s="231"/>
      <c r="AB265" s="231"/>
      <c r="AC265" s="231"/>
      <c r="AD265" s="231"/>
      <c r="AE265" s="231"/>
      <c r="AF265" s="231"/>
    </row>
    <row r="266" spans="1:32" s="203" customFormat="1">
      <c r="A266" s="110" t="s">
        <v>84</v>
      </c>
      <c r="B266" s="116"/>
      <c r="C266" s="116"/>
      <c r="D266" s="116"/>
      <c r="E266" s="178"/>
      <c r="F266" s="146"/>
      <c r="G266" s="118"/>
      <c r="H266" s="146"/>
      <c r="I266" s="21"/>
      <c r="J266" s="231"/>
      <c r="K266" s="231"/>
      <c r="L266" s="231"/>
      <c r="M266" s="231"/>
      <c r="N266" s="231"/>
      <c r="O266" s="231"/>
      <c r="P266" s="231"/>
      <c r="Q266" s="231"/>
      <c r="R266" s="231"/>
      <c r="S266" s="231"/>
      <c r="T266" s="231"/>
      <c r="U266" s="231"/>
      <c r="V266" s="231"/>
      <c r="W266" s="231"/>
      <c r="X266" s="231"/>
      <c r="Y266" s="231"/>
      <c r="Z266" s="231"/>
      <c r="AA266" s="231"/>
      <c r="AB266" s="231"/>
      <c r="AC266" s="231"/>
      <c r="AD266" s="231"/>
      <c r="AE266" s="231"/>
      <c r="AF266" s="231"/>
    </row>
    <row r="267" spans="1:32" s="203" customFormat="1">
      <c r="A267" s="120">
        <v>1</v>
      </c>
      <c r="B267" s="47" t="s">
        <v>204</v>
      </c>
      <c r="C267" s="47"/>
      <c r="D267" s="47"/>
      <c r="E267" s="74">
        <v>0</v>
      </c>
      <c r="F267" s="52"/>
      <c r="G267" s="118"/>
      <c r="H267" s="122"/>
      <c r="I267" s="21"/>
      <c r="J267" s="231"/>
      <c r="K267" s="231"/>
      <c r="L267" s="231"/>
      <c r="M267" s="231"/>
      <c r="N267" s="231"/>
      <c r="O267" s="231"/>
      <c r="P267" s="231"/>
      <c r="Q267" s="231"/>
      <c r="R267" s="231"/>
      <c r="S267" s="231"/>
      <c r="T267" s="231"/>
      <c r="U267" s="231"/>
      <c r="V267" s="231"/>
      <c r="W267" s="231"/>
      <c r="X267" s="231"/>
      <c r="Y267" s="231"/>
      <c r="Z267" s="231"/>
      <c r="AA267" s="231"/>
      <c r="AB267" s="231"/>
      <c r="AC267" s="231"/>
      <c r="AD267" s="231"/>
      <c r="AE267" s="231"/>
      <c r="AF267" s="231"/>
    </row>
    <row r="268" spans="1:32" s="203" customFormat="1">
      <c r="A268" s="679">
        <v>2</v>
      </c>
      <c r="B268" s="166" t="s">
        <v>205</v>
      </c>
      <c r="C268" s="166"/>
      <c r="D268" s="47"/>
      <c r="E268" s="114">
        <v>516</v>
      </c>
      <c r="F268" s="52">
        <v>426</v>
      </c>
      <c r="G268" s="118"/>
      <c r="H268" s="122">
        <v>213</v>
      </c>
      <c r="I268" s="21"/>
      <c r="J268" s="231"/>
      <c r="K268" s="231"/>
      <c r="L268" s="231"/>
      <c r="M268" s="231"/>
      <c r="N268" s="231"/>
      <c r="O268" s="231"/>
      <c r="P268" s="231"/>
      <c r="Q268" s="231"/>
      <c r="R268" s="231"/>
      <c r="S268" s="231"/>
      <c r="T268" s="231"/>
      <c r="U268" s="231"/>
      <c r="V268" s="231"/>
      <c r="W268" s="231"/>
      <c r="X268" s="231"/>
      <c r="Y268" s="231"/>
      <c r="Z268" s="231"/>
      <c r="AA268" s="231"/>
      <c r="AB268" s="231"/>
      <c r="AC268" s="231"/>
      <c r="AD268" s="231"/>
      <c r="AE268" s="231"/>
      <c r="AF268" s="231"/>
    </row>
    <row r="269" spans="1:32" s="203" customFormat="1">
      <c r="A269" s="120">
        <v>3</v>
      </c>
      <c r="B269" s="47" t="s">
        <v>206</v>
      </c>
      <c r="C269" s="47"/>
      <c r="D269" s="168"/>
      <c r="E269" s="114">
        <v>282</v>
      </c>
      <c r="F269" s="52">
        <v>241</v>
      </c>
      <c r="G269" s="118"/>
      <c r="H269" s="122">
        <v>278</v>
      </c>
      <c r="I269" s="21"/>
      <c r="J269" s="231"/>
      <c r="K269" s="231"/>
      <c r="L269" s="231"/>
      <c r="M269" s="231"/>
      <c r="N269" s="231"/>
      <c r="O269" s="231"/>
      <c r="P269" s="231"/>
      <c r="Q269" s="231"/>
      <c r="R269" s="231"/>
      <c r="S269" s="231"/>
      <c r="T269" s="231"/>
      <c r="U269" s="231"/>
      <c r="V269" s="231"/>
      <c r="W269" s="231"/>
      <c r="X269" s="231"/>
      <c r="Y269" s="231"/>
      <c r="Z269" s="231"/>
      <c r="AA269" s="231"/>
      <c r="AB269" s="231"/>
      <c r="AC269" s="231"/>
      <c r="AD269" s="231"/>
      <c r="AE269" s="231"/>
      <c r="AF269" s="231"/>
    </row>
    <row r="270" spans="1:32" s="203" customFormat="1">
      <c r="A270" s="679">
        <v>4</v>
      </c>
      <c r="B270" s="47" t="s">
        <v>207</v>
      </c>
      <c r="C270" s="47"/>
      <c r="D270" s="116"/>
      <c r="E270" s="114">
        <v>0</v>
      </c>
      <c r="F270" s="52"/>
      <c r="G270" s="118"/>
      <c r="H270" s="122"/>
      <c r="I270" s="21"/>
      <c r="J270" s="231"/>
      <c r="K270" s="231"/>
      <c r="L270" s="231"/>
      <c r="M270" s="231"/>
      <c r="N270" s="231"/>
      <c r="O270" s="231"/>
      <c r="P270" s="231"/>
      <c r="Q270" s="231"/>
      <c r="R270" s="231"/>
      <c r="S270" s="231"/>
      <c r="T270" s="231"/>
      <c r="U270" s="231"/>
      <c r="V270" s="231"/>
      <c r="W270" s="231"/>
      <c r="X270" s="231"/>
      <c r="Y270" s="231"/>
      <c r="Z270" s="231"/>
      <c r="AA270" s="231"/>
      <c r="AB270" s="231"/>
      <c r="AC270" s="231"/>
      <c r="AD270" s="231"/>
      <c r="AE270" s="231"/>
      <c r="AF270" s="231"/>
    </row>
    <row r="271" spans="1:32" s="203" customFormat="1">
      <c r="A271" s="120">
        <v>5</v>
      </c>
      <c r="B271" s="47" t="s">
        <v>208</v>
      </c>
      <c r="C271" s="47"/>
      <c r="D271" s="47"/>
      <c r="E271" s="114">
        <v>603</v>
      </c>
      <c r="F271" s="52">
        <v>472</v>
      </c>
      <c r="G271" s="118"/>
      <c r="H271" s="122">
        <v>622</v>
      </c>
      <c r="I271" s="21"/>
      <c r="J271" s="231"/>
      <c r="K271" s="231"/>
      <c r="L271" s="231"/>
      <c r="M271" s="231"/>
      <c r="N271" s="231"/>
      <c r="O271" s="231"/>
      <c r="P271" s="231"/>
      <c r="Q271" s="231"/>
      <c r="R271" s="231"/>
      <c r="S271" s="231"/>
      <c r="T271" s="231"/>
      <c r="U271" s="231"/>
      <c r="V271" s="231"/>
      <c r="W271" s="231"/>
      <c r="X271" s="231"/>
      <c r="Y271" s="231"/>
      <c r="Z271" s="231"/>
      <c r="AA271" s="231"/>
      <c r="AB271" s="231"/>
      <c r="AC271" s="231"/>
      <c r="AD271" s="231"/>
      <c r="AE271" s="231"/>
      <c r="AF271" s="231"/>
    </row>
    <row r="272" spans="1:32" s="203" customFormat="1">
      <c r="A272" s="679">
        <v>6</v>
      </c>
      <c r="B272" s="47" t="s">
        <v>209</v>
      </c>
      <c r="C272" s="47"/>
      <c r="D272" s="47"/>
      <c r="E272" s="114">
        <v>203</v>
      </c>
      <c r="F272" s="52">
        <v>174</v>
      </c>
      <c r="G272" s="118"/>
      <c r="H272" s="122">
        <v>137</v>
      </c>
      <c r="I272" s="21"/>
      <c r="J272" s="231"/>
      <c r="K272" s="231"/>
      <c r="L272" s="231"/>
      <c r="M272" s="231"/>
      <c r="N272" s="231"/>
      <c r="O272" s="231"/>
      <c r="P272" s="231"/>
      <c r="Q272" s="231"/>
      <c r="R272" s="231"/>
      <c r="S272" s="231"/>
      <c r="T272" s="231"/>
      <c r="U272" s="231"/>
      <c r="V272" s="231"/>
      <c r="W272" s="231"/>
      <c r="X272" s="231"/>
      <c r="Y272" s="231"/>
      <c r="Z272" s="231"/>
      <c r="AA272" s="231"/>
      <c r="AB272" s="231"/>
      <c r="AC272" s="231"/>
      <c r="AD272" s="231"/>
      <c r="AE272" s="231"/>
      <c r="AF272" s="231"/>
    </row>
    <row r="273" spans="1:32" s="203" customFormat="1">
      <c r="A273" s="120">
        <v>7</v>
      </c>
      <c r="B273" s="47" t="s">
        <v>210</v>
      </c>
      <c r="C273" s="47"/>
      <c r="D273" s="47"/>
      <c r="E273" s="114">
        <v>748</v>
      </c>
      <c r="F273" s="52">
        <v>787</v>
      </c>
      <c r="G273" s="118"/>
      <c r="H273" s="122">
        <v>917</v>
      </c>
      <c r="I273" s="21"/>
      <c r="J273" s="231"/>
      <c r="K273" s="231"/>
      <c r="L273" s="231"/>
      <c r="M273" s="231"/>
      <c r="N273" s="231"/>
      <c r="O273" s="231"/>
      <c r="P273" s="231"/>
      <c r="Q273" s="231"/>
      <c r="R273" s="231"/>
      <c r="S273" s="231"/>
      <c r="T273" s="231"/>
      <c r="U273" s="231"/>
      <c r="V273" s="231"/>
      <c r="W273" s="231"/>
      <c r="X273" s="231"/>
      <c r="Y273" s="231"/>
      <c r="Z273" s="231"/>
      <c r="AA273" s="231"/>
      <c r="AB273" s="231"/>
      <c r="AC273" s="231"/>
      <c r="AD273" s="231"/>
      <c r="AE273" s="231"/>
      <c r="AF273" s="231"/>
    </row>
    <row r="274" spans="1:32" s="203" customFormat="1">
      <c r="A274" s="679">
        <v>8</v>
      </c>
      <c r="B274" s="47" t="s">
        <v>211</v>
      </c>
      <c r="C274" s="47"/>
      <c r="D274" s="47"/>
      <c r="E274" s="114">
        <v>4409</v>
      </c>
      <c r="F274" s="52">
        <v>4599</v>
      </c>
      <c r="G274" s="118"/>
      <c r="H274" s="122">
        <v>4724</v>
      </c>
      <c r="I274" s="21"/>
      <c r="J274" s="231"/>
      <c r="K274" s="231"/>
      <c r="L274" s="231"/>
      <c r="M274" s="231"/>
      <c r="N274" s="231"/>
      <c r="O274" s="231"/>
      <c r="P274" s="231"/>
      <c r="Q274" s="231"/>
      <c r="R274" s="231"/>
      <c r="S274" s="231"/>
      <c r="T274" s="231"/>
      <c r="U274" s="231"/>
      <c r="V274" s="231"/>
      <c r="W274" s="231"/>
      <c r="X274" s="231"/>
      <c r="Y274" s="231"/>
      <c r="Z274" s="231"/>
      <c r="AA274" s="231"/>
      <c r="AB274" s="231"/>
      <c r="AC274" s="231"/>
      <c r="AD274" s="231"/>
      <c r="AE274" s="231"/>
      <c r="AF274" s="231"/>
    </row>
    <row r="275" spans="1:32" s="203" customFormat="1">
      <c r="A275" s="120">
        <v>9</v>
      </c>
      <c r="B275" s="47" t="s">
        <v>212</v>
      </c>
      <c r="C275" s="47"/>
      <c r="D275" s="47"/>
      <c r="E275" s="114">
        <v>0</v>
      </c>
      <c r="F275" s="52"/>
      <c r="G275" s="118"/>
      <c r="H275" s="122"/>
      <c r="I275" s="21"/>
      <c r="J275" s="231"/>
      <c r="K275" s="231"/>
      <c r="L275" s="231"/>
      <c r="M275" s="231"/>
      <c r="N275" s="231"/>
      <c r="O275" s="231"/>
      <c r="P275" s="231"/>
      <c r="Q275" s="231"/>
      <c r="R275" s="231"/>
      <c r="S275" s="231"/>
      <c r="T275" s="231"/>
      <c r="U275" s="231"/>
      <c r="V275" s="231"/>
      <c r="W275" s="231"/>
      <c r="X275" s="231"/>
      <c r="Y275" s="231"/>
      <c r="Z275" s="231"/>
      <c r="AA275" s="231"/>
      <c r="AB275" s="231"/>
      <c r="AC275" s="231"/>
      <c r="AD275" s="231"/>
      <c r="AE275" s="231"/>
      <c r="AF275" s="231"/>
    </row>
    <row r="276" spans="1:32" s="203" customFormat="1">
      <c r="A276" s="679">
        <v>10</v>
      </c>
      <c r="B276" s="47" t="s">
        <v>213</v>
      </c>
      <c r="C276" s="47"/>
      <c r="D276" s="47"/>
      <c r="E276" s="114">
        <v>962</v>
      </c>
      <c r="F276" s="52">
        <v>1022</v>
      </c>
      <c r="G276" s="118"/>
      <c r="H276" s="99">
        <v>1045</v>
      </c>
      <c r="I276" s="21"/>
      <c r="J276" s="231"/>
      <c r="K276" s="231"/>
      <c r="L276" s="231"/>
      <c r="M276" s="231"/>
      <c r="N276" s="231"/>
      <c r="O276" s="231"/>
      <c r="P276" s="231"/>
      <c r="Q276" s="231"/>
      <c r="R276" s="231"/>
      <c r="S276" s="231"/>
      <c r="T276" s="231"/>
      <c r="U276" s="231"/>
      <c r="V276" s="231"/>
      <c r="W276" s="231"/>
      <c r="X276" s="231"/>
      <c r="Y276" s="231"/>
      <c r="Z276" s="231"/>
      <c r="AA276" s="231"/>
      <c r="AB276" s="231"/>
      <c r="AC276" s="231"/>
      <c r="AD276" s="231"/>
      <c r="AE276" s="231"/>
      <c r="AF276" s="231"/>
    </row>
    <row r="277" spans="1:32" s="203" customFormat="1">
      <c r="A277" s="124">
        <v>11</v>
      </c>
      <c r="B277" s="94" t="s">
        <v>214</v>
      </c>
      <c r="C277" s="94"/>
      <c r="D277" s="94"/>
      <c r="E277" s="159">
        <v>7723</v>
      </c>
      <c r="F277" s="61">
        <f>SUM(F267:F276)</f>
        <v>7721</v>
      </c>
      <c r="G277" s="118"/>
      <c r="H277" s="61">
        <f>SUM(H267:H276)</f>
        <v>7936</v>
      </c>
      <c r="I277" s="21"/>
      <c r="J277" s="231"/>
      <c r="K277" s="231"/>
      <c r="L277" s="231"/>
      <c r="M277" s="231"/>
      <c r="N277" s="231"/>
      <c r="O277" s="231"/>
      <c r="P277" s="231"/>
      <c r="Q277" s="231"/>
      <c r="R277" s="231"/>
      <c r="S277" s="231"/>
      <c r="T277" s="231"/>
      <c r="U277" s="231"/>
      <c r="V277" s="231"/>
      <c r="W277" s="231"/>
      <c r="X277" s="231"/>
      <c r="Y277" s="231"/>
      <c r="Z277" s="231"/>
      <c r="AA277" s="231"/>
      <c r="AB277" s="231"/>
      <c r="AC277" s="231"/>
      <c r="AD277" s="231"/>
      <c r="AE277" s="231"/>
      <c r="AF277" s="231"/>
    </row>
    <row r="278" spans="1:32" s="203" customFormat="1">
      <c r="A278" s="207"/>
      <c r="B278" s="207"/>
      <c r="C278" s="207"/>
      <c r="D278" s="207"/>
      <c r="E278" s="207"/>
      <c r="F278" s="207"/>
      <c r="G278" s="207"/>
      <c r="H278" s="207"/>
      <c r="I278" s="21"/>
      <c r="J278" s="231"/>
      <c r="K278" s="231"/>
      <c r="L278" s="231"/>
      <c r="M278" s="231"/>
      <c r="N278" s="231"/>
      <c r="O278" s="231"/>
      <c r="P278" s="231"/>
      <c r="Q278" s="231"/>
      <c r="R278" s="231"/>
      <c r="S278" s="231"/>
      <c r="T278" s="231"/>
      <c r="U278" s="231"/>
      <c r="V278" s="231"/>
      <c r="W278" s="231"/>
      <c r="X278" s="231"/>
      <c r="Y278" s="231"/>
      <c r="Z278" s="231"/>
      <c r="AA278" s="231"/>
      <c r="AB278" s="231"/>
      <c r="AC278" s="231"/>
      <c r="AD278" s="231"/>
      <c r="AE278" s="231"/>
      <c r="AF278" s="231"/>
    </row>
    <row r="279" spans="1:32" s="203" customFormat="1">
      <c r="A279" s="207"/>
      <c r="B279" s="207"/>
      <c r="C279" s="207"/>
      <c r="D279" s="207"/>
      <c r="E279" s="207"/>
      <c r="F279" s="207"/>
      <c r="G279" s="207"/>
      <c r="H279" s="131" t="s">
        <v>27</v>
      </c>
      <c r="I279" s="21"/>
      <c r="J279" s="231"/>
      <c r="K279" s="231"/>
      <c r="L279" s="231"/>
      <c r="M279" s="231"/>
      <c r="N279" s="231"/>
      <c r="O279" s="231"/>
      <c r="P279" s="231"/>
      <c r="Q279" s="231"/>
      <c r="R279" s="231"/>
      <c r="S279" s="231"/>
      <c r="T279" s="231"/>
      <c r="U279" s="231"/>
      <c r="V279" s="231"/>
      <c r="W279" s="231"/>
      <c r="X279" s="231"/>
      <c r="Y279" s="231"/>
      <c r="Z279" s="231"/>
      <c r="AA279" s="231"/>
      <c r="AB279" s="231"/>
      <c r="AC279" s="231"/>
      <c r="AD279" s="231"/>
      <c r="AE279" s="231"/>
      <c r="AF279" s="231"/>
    </row>
    <row r="280" spans="1:32" s="203" customFormat="1" ht="12.75" customHeight="1">
      <c r="A280" s="106" t="s">
        <v>18</v>
      </c>
      <c r="B280" s="164"/>
      <c r="C280" s="164"/>
      <c r="D280" s="164"/>
      <c r="E280" s="856" t="s">
        <v>377</v>
      </c>
      <c r="F280" s="856" t="s">
        <v>402</v>
      </c>
      <c r="G280" s="130"/>
      <c r="H280" s="856" t="s">
        <v>403</v>
      </c>
      <c r="I280" s="21"/>
      <c r="J280" s="231"/>
      <c r="K280" s="231"/>
      <c r="L280" s="231"/>
      <c r="M280" s="231"/>
      <c r="N280" s="231"/>
      <c r="O280" s="231"/>
      <c r="P280" s="231"/>
      <c r="Q280" s="231"/>
      <c r="R280" s="231"/>
      <c r="S280" s="231"/>
      <c r="T280" s="231"/>
      <c r="U280" s="231"/>
      <c r="V280" s="231"/>
      <c r="W280" s="231"/>
      <c r="X280" s="231"/>
      <c r="Y280" s="231"/>
      <c r="Z280" s="231"/>
      <c r="AA280" s="231"/>
      <c r="AB280" s="231"/>
      <c r="AC280" s="231"/>
      <c r="AD280" s="231"/>
      <c r="AE280" s="231"/>
      <c r="AF280" s="231"/>
    </row>
    <row r="281" spans="1:32" s="203" customFormat="1">
      <c r="A281" s="165"/>
      <c r="B281" s="47"/>
      <c r="C281" s="47"/>
      <c r="D281" s="47"/>
      <c r="E281" s="859"/>
      <c r="F281" s="859"/>
      <c r="G281" s="130"/>
      <c r="H281" s="859"/>
      <c r="I281" s="21"/>
      <c r="J281" s="231"/>
      <c r="K281" s="231"/>
      <c r="L281" s="231"/>
      <c r="M281" s="231"/>
      <c r="N281" s="231"/>
      <c r="O281" s="231"/>
      <c r="P281" s="231"/>
      <c r="Q281" s="231"/>
      <c r="R281" s="231"/>
      <c r="S281" s="231"/>
      <c r="T281" s="231"/>
      <c r="U281" s="231"/>
      <c r="V281" s="231"/>
      <c r="W281" s="231"/>
      <c r="X281" s="231"/>
      <c r="Y281" s="231"/>
      <c r="Z281" s="231"/>
      <c r="AA281" s="231"/>
      <c r="AB281" s="231"/>
      <c r="AC281" s="231"/>
      <c r="AD281" s="231"/>
      <c r="AE281" s="231"/>
      <c r="AF281" s="231"/>
    </row>
    <row r="282" spans="1:32" s="203" customFormat="1" ht="21.75" customHeight="1">
      <c r="A282" s="109"/>
      <c r="B282" s="174"/>
      <c r="C282" s="174"/>
      <c r="D282" s="174"/>
      <c r="E282" s="859"/>
      <c r="F282" s="859"/>
      <c r="G282" s="130"/>
      <c r="H282" s="859"/>
      <c r="I282" s="21"/>
      <c r="J282" s="231"/>
      <c r="K282" s="231"/>
      <c r="L282" s="231"/>
      <c r="M282" s="231"/>
      <c r="N282" s="231"/>
      <c r="O282" s="231"/>
      <c r="P282" s="231"/>
      <c r="Q282" s="231"/>
      <c r="R282" s="231"/>
      <c r="S282" s="231"/>
      <c r="T282" s="231"/>
      <c r="U282" s="231"/>
      <c r="V282" s="231"/>
      <c r="W282" s="231"/>
      <c r="X282" s="231"/>
      <c r="Y282" s="231"/>
      <c r="Z282" s="231"/>
      <c r="AA282" s="231"/>
      <c r="AB282" s="231"/>
      <c r="AC282" s="231"/>
      <c r="AD282" s="231"/>
      <c r="AE282" s="231"/>
      <c r="AF282" s="231"/>
    </row>
    <row r="283" spans="1:32" s="203" customFormat="1">
      <c r="A283" s="154" t="s">
        <v>215</v>
      </c>
      <c r="B283" s="47"/>
      <c r="C283" s="47"/>
      <c r="D283" s="47"/>
      <c r="E283" s="859"/>
      <c r="F283" s="859"/>
      <c r="G283" s="130"/>
      <c r="H283" s="859"/>
      <c r="I283" s="21"/>
      <c r="J283" s="231"/>
      <c r="K283" s="231"/>
      <c r="L283" s="231"/>
      <c r="M283" s="231"/>
      <c r="N283" s="231"/>
      <c r="O283" s="231"/>
      <c r="P283" s="231"/>
      <c r="Q283" s="231"/>
      <c r="R283" s="231"/>
      <c r="S283" s="231"/>
      <c r="T283" s="231"/>
      <c r="U283" s="231"/>
      <c r="V283" s="231"/>
      <c r="W283" s="231"/>
      <c r="X283" s="231"/>
      <c r="Y283" s="231"/>
      <c r="Z283" s="231"/>
      <c r="AA283" s="231"/>
      <c r="AB283" s="231"/>
      <c r="AC283" s="231"/>
      <c r="AD283" s="231"/>
      <c r="AE283" s="231"/>
      <c r="AF283" s="231"/>
    </row>
    <row r="284" spans="1:32" s="203" customFormat="1">
      <c r="A284" s="109" t="s">
        <v>83</v>
      </c>
      <c r="B284" s="174"/>
      <c r="C284" s="174"/>
      <c r="D284" s="174"/>
      <c r="E284" s="860"/>
      <c r="F284" s="860"/>
      <c r="G284" s="130"/>
      <c r="H284" s="860"/>
      <c r="I284" s="21"/>
      <c r="J284" s="231"/>
      <c r="K284" s="231"/>
      <c r="L284" s="231"/>
      <c r="M284" s="231"/>
      <c r="N284" s="231"/>
      <c r="O284" s="231"/>
      <c r="P284" s="231"/>
      <c r="Q284" s="231"/>
      <c r="R284" s="231"/>
      <c r="S284" s="231"/>
      <c r="T284" s="231"/>
      <c r="U284" s="231"/>
      <c r="V284" s="231"/>
      <c r="W284" s="231"/>
      <c r="X284" s="231"/>
      <c r="Y284" s="231"/>
      <c r="Z284" s="231"/>
      <c r="AA284" s="231"/>
      <c r="AB284" s="231"/>
      <c r="AC284" s="231"/>
      <c r="AD284" s="231"/>
      <c r="AE284" s="231"/>
      <c r="AF284" s="231"/>
    </row>
    <row r="285" spans="1:32" s="203" customFormat="1">
      <c r="A285" s="110" t="s">
        <v>84</v>
      </c>
      <c r="B285" s="116"/>
      <c r="C285" s="116"/>
      <c r="D285" s="116"/>
      <c r="E285" s="178"/>
      <c r="F285" s="146"/>
      <c r="G285" s="118"/>
      <c r="H285" s="146"/>
      <c r="I285" s="21"/>
      <c r="J285" s="231"/>
      <c r="K285" s="231"/>
      <c r="L285" s="231"/>
      <c r="M285" s="231"/>
      <c r="N285" s="231"/>
      <c r="O285" s="231"/>
      <c r="P285" s="231"/>
      <c r="Q285" s="231"/>
      <c r="R285" s="231"/>
      <c r="S285" s="231"/>
      <c r="T285" s="231"/>
      <c r="U285" s="231"/>
      <c r="V285" s="231"/>
      <c r="W285" s="231"/>
      <c r="X285" s="231"/>
      <c r="Y285" s="231"/>
      <c r="Z285" s="231"/>
      <c r="AA285" s="231"/>
      <c r="AB285" s="231"/>
      <c r="AC285" s="231"/>
      <c r="AD285" s="231"/>
      <c r="AE285" s="231"/>
      <c r="AF285" s="231"/>
    </row>
    <row r="286" spans="1:32" s="203" customFormat="1">
      <c r="A286" s="120">
        <v>1</v>
      </c>
      <c r="B286" s="47" t="s">
        <v>216</v>
      </c>
      <c r="C286" s="47"/>
      <c r="D286" s="47"/>
      <c r="E286" s="74">
        <v>650</v>
      </c>
      <c r="F286" s="52">
        <v>508</v>
      </c>
      <c r="G286" s="118"/>
      <c r="H286" s="122">
        <v>514</v>
      </c>
      <c r="I286" s="21"/>
      <c r="J286" s="231"/>
      <c r="K286" s="231"/>
      <c r="L286" s="231"/>
      <c r="M286" s="231"/>
      <c r="N286" s="231"/>
      <c r="O286" s="231"/>
      <c r="P286" s="231"/>
      <c r="Q286" s="231"/>
      <c r="R286" s="231"/>
      <c r="S286" s="231"/>
      <c r="T286" s="231"/>
      <c r="U286" s="231"/>
      <c r="V286" s="231"/>
      <c r="W286" s="231"/>
      <c r="X286" s="231"/>
      <c r="Y286" s="231"/>
      <c r="Z286" s="231"/>
      <c r="AA286" s="231"/>
      <c r="AB286" s="231"/>
      <c r="AC286" s="231"/>
      <c r="AD286" s="231"/>
      <c r="AE286" s="231"/>
      <c r="AF286" s="231"/>
    </row>
    <row r="287" spans="1:32" s="203" customFormat="1">
      <c r="A287" s="679">
        <v>2</v>
      </c>
      <c r="B287" s="47" t="s">
        <v>217</v>
      </c>
      <c r="C287" s="47"/>
      <c r="D287" s="47"/>
      <c r="E287" s="114">
        <v>125</v>
      </c>
      <c r="F287" s="52">
        <v>99</v>
      </c>
      <c r="G287" s="118"/>
      <c r="H287" s="122">
        <v>152</v>
      </c>
      <c r="I287" s="21"/>
      <c r="J287" s="231"/>
      <c r="K287" s="231"/>
      <c r="L287" s="231"/>
      <c r="M287" s="231"/>
      <c r="N287" s="231"/>
      <c r="O287" s="231"/>
      <c r="P287" s="231"/>
      <c r="Q287" s="231"/>
      <c r="R287" s="231"/>
      <c r="S287" s="231"/>
      <c r="T287" s="231"/>
      <c r="U287" s="231"/>
      <c r="V287" s="231"/>
      <c r="W287" s="231"/>
      <c r="X287" s="231"/>
      <c r="Y287" s="231"/>
      <c r="Z287" s="231"/>
      <c r="AA287" s="231"/>
      <c r="AB287" s="231"/>
      <c r="AC287" s="231"/>
      <c r="AD287" s="231"/>
      <c r="AE287" s="231"/>
      <c r="AF287" s="231"/>
    </row>
    <row r="288" spans="1:32" s="203" customFormat="1">
      <c r="A288" s="120">
        <v>3</v>
      </c>
      <c r="B288" s="90" t="s">
        <v>218</v>
      </c>
      <c r="C288" s="166"/>
      <c r="D288" s="168"/>
      <c r="E288" s="114">
        <v>-389</v>
      </c>
      <c r="F288" s="52">
        <v>-389</v>
      </c>
      <c r="G288" s="118"/>
      <c r="H288" s="122">
        <v>-355</v>
      </c>
      <c r="I288" s="21"/>
      <c r="J288" s="231"/>
      <c r="K288" s="231"/>
      <c r="L288" s="231"/>
      <c r="M288" s="231"/>
      <c r="N288" s="231"/>
      <c r="O288" s="231"/>
      <c r="P288" s="231"/>
      <c r="Q288" s="231"/>
      <c r="R288" s="231"/>
      <c r="S288" s="231"/>
      <c r="T288" s="231"/>
      <c r="U288" s="231"/>
      <c r="V288" s="231"/>
      <c r="W288" s="231"/>
      <c r="X288" s="231"/>
      <c r="Y288" s="231"/>
      <c r="Z288" s="231"/>
      <c r="AA288" s="231"/>
      <c r="AB288" s="231"/>
      <c r="AC288" s="231"/>
      <c r="AD288" s="231"/>
      <c r="AE288" s="231"/>
      <c r="AF288" s="231"/>
    </row>
    <row r="289" spans="1:32" s="203" customFormat="1">
      <c r="A289" s="679">
        <v>4</v>
      </c>
      <c r="B289" s="47" t="s">
        <v>219</v>
      </c>
      <c r="C289" s="47"/>
      <c r="D289" s="116"/>
      <c r="E289" s="114">
        <v>58</v>
      </c>
      <c r="F289" s="52">
        <v>61</v>
      </c>
      <c r="G289" s="118"/>
      <c r="H289" s="122">
        <v>58</v>
      </c>
      <c r="I289" s="21"/>
      <c r="J289" s="231"/>
      <c r="K289" s="231"/>
      <c r="L289" s="231"/>
      <c r="M289" s="231"/>
      <c r="N289" s="231"/>
      <c r="O289" s="231"/>
      <c r="P289" s="231"/>
      <c r="Q289" s="231"/>
      <c r="R289" s="231"/>
      <c r="S289" s="231"/>
      <c r="T289" s="231"/>
      <c r="U289" s="231"/>
      <c r="V289" s="231"/>
      <c r="W289" s="231"/>
      <c r="X289" s="231"/>
      <c r="Y289" s="231"/>
      <c r="Z289" s="231"/>
      <c r="AA289" s="231"/>
      <c r="AB289" s="231"/>
      <c r="AC289" s="231"/>
      <c r="AD289" s="231"/>
      <c r="AE289" s="231"/>
      <c r="AF289" s="231"/>
    </row>
    <row r="290" spans="1:32" s="203" customFormat="1">
      <c r="A290" s="679">
        <v>5</v>
      </c>
      <c r="B290" s="47" t="s">
        <v>220</v>
      </c>
      <c r="C290" s="47"/>
      <c r="D290" s="47"/>
      <c r="E290" s="114">
        <v>-129</v>
      </c>
      <c r="F290" s="52">
        <v>-101</v>
      </c>
      <c r="G290" s="118"/>
      <c r="H290" s="122">
        <v>-131</v>
      </c>
      <c r="I290" s="21"/>
      <c r="J290" s="231"/>
      <c r="K290" s="231"/>
      <c r="L290" s="231"/>
      <c r="M290" s="231"/>
      <c r="N290" s="231"/>
      <c r="O290" s="231"/>
      <c r="P290" s="231"/>
      <c r="Q290" s="231"/>
      <c r="R290" s="231"/>
      <c r="S290" s="231"/>
      <c r="T290" s="231"/>
      <c r="U290" s="231"/>
      <c r="V290" s="231"/>
      <c r="W290" s="231"/>
      <c r="X290" s="231"/>
      <c r="Y290" s="231"/>
      <c r="Z290" s="231"/>
      <c r="AA290" s="231"/>
      <c r="AB290" s="231"/>
      <c r="AC290" s="231"/>
      <c r="AD290" s="231"/>
      <c r="AE290" s="231"/>
      <c r="AF290" s="231"/>
    </row>
    <row r="291" spans="1:32" s="203" customFormat="1">
      <c r="A291" s="120">
        <v>6</v>
      </c>
      <c r="B291" s="47" t="s">
        <v>221</v>
      </c>
      <c r="C291" s="47"/>
      <c r="D291" s="47"/>
      <c r="E291" s="114">
        <v>14</v>
      </c>
      <c r="F291" s="52">
        <v>14</v>
      </c>
      <c r="G291" s="118"/>
      <c r="H291" s="122">
        <v>14</v>
      </c>
      <c r="I291" s="21"/>
      <c r="J291" s="231"/>
      <c r="K291" s="231"/>
      <c r="L291" s="231"/>
      <c r="M291" s="231"/>
      <c r="N291" s="231"/>
      <c r="O291" s="231"/>
      <c r="P291" s="231"/>
      <c r="Q291" s="231"/>
      <c r="R291" s="231"/>
      <c r="S291" s="231"/>
      <c r="T291" s="231"/>
      <c r="U291" s="231"/>
      <c r="V291" s="231"/>
      <c r="W291" s="231"/>
      <c r="X291" s="231"/>
      <c r="Y291" s="231"/>
      <c r="Z291" s="231"/>
      <c r="AA291" s="231"/>
      <c r="AB291" s="231"/>
      <c r="AC291" s="231"/>
      <c r="AD291" s="231"/>
      <c r="AE291" s="231"/>
      <c r="AF291" s="231"/>
    </row>
    <row r="292" spans="1:32" s="203" customFormat="1">
      <c r="A292" s="679">
        <v>7</v>
      </c>
      <c r="B292" s="47" t="s">
        <v>222</v>
      </c>
      <c r="C292" s="47"/>
      <c r="D292" s="116"/>
      <c r="E292" s="114">
        <v>110</v>
      </c>
      <c r="F292" s="52">
        <v>113</v>
      </c>
      <c r="G292" s="118"/>
      <c r="H292" s="122">
        <v>124</v>
      </c>
      <c r="I292" s="21"/>
      <c r="J292" s="231"/>
      <c r="K292" s="231"/>
      <c r="L292" s="231"/>
      <c r="M292" s="231"/>
      <c r="N292" s="231"/>
      <c r="O292" s="231"/>
      <c r="P292" s="231"/>
      <c r="Q292" s="231"/>
      <c r="R292" s="231"/>
      <c r="S292" s="231"/>
      <c r="T292" s="231"/>
      <c r="U292" s="231"/>
      <c r="V292" s="231"/>
      <c r="W292" s="231"/>
      <c r="X292" s="231"/>
      <c r="Y292" s="231"/>
      <c r="Z292" s="231"/>
      <c r="AA292" s="231"/>
      <c r="AB292" s="231"/>
      <c r="AC292" s="231"/>
      <c r="AD292" s="231"/>
      <c r="AE292" s="231"/>
      <c r="AF292" s="231"/>
    </row>
    <row r="293" spans="1:32" s="203" customFormat="1">
      <c r="A293" s="120">
        <v>8</v>
      </c>
      <c r="B293" s="47" t="s">
        <v>223</v>
      </c>
      <c r="C293" s="47"/>
      <c r="D293" s="116"/>
      <c r="E293" s="114">
        <v>338</v>
      </c>
      <c r="F293" s="52">
        <v>349</v>
      </c>
      <c r="G293" s="118"/>
      <c r="H293" s="122">
        <v>384</v>
      </c>
      <c r="I293" s="21"/>
      <c r="J293" s="231"/>
      <c r="K293" s="231"/>
      <c r="L293" s="231"/>
      <c r="M293" s="231"/>
      <c r="N293" s="231"/>
      <c r="O293" s="231"/>
      <c r="P293" s="231"/>
      <c r="Q293" s="231"/>
      <c r="R293" s="231"/>
      <c r="S293" s="231"/>
      <c r="T293" s="231"/>
      <c r="U293" s="231"/>
      <c r="V293" s="231"/>
      <c r="W293" s="231"/>
      <c r="X293" s="231"/>
      <c r="Y293" s="231"/>
      <c r="Z293" s="231"/>
      <c r="AA293" s="231"/>
      <c r="AB293" s="231"/>
      <c r="AC293" s="231"/>
      <c r="AD293" s="231"/>
      <c r="AE293" s="231"/>
      <c r="AF293" s="231"/>
    </row>
    <row r="294" spans="1:32" s="203" customFormat="1">
      <c r="A294" s="679">
        <v>9</v>
      </c>
      <c r="B294" s="47" t="s">
        <v>224</v>
      </c>
      <c r="C294" s="47"/>
      <c r="D294" s="116"/>
      <c r="E294" s="114">
        <v>50</v>
      </c>
      <c r="F294" s="52">
        <v>51</v>
      </c>
      <c r="G294" s="118"/>
      <c r="H294" s="122">
        <v>57</v>
      </c>
      <c r="I294" s="21"/>
      <c r="J294" s="231"/>
      <c r="K294" s="231"/>
      <c r="L294" s="231"/>
      <c r="M294" s="231"/>
      <c r="N294" s="231"/>
      <c r="O294" s="231"/>
      <c r="P294" s="231"/>
      <c r="Q294" s="231"/>
      <c r="R294" s="231"/>
      <c r="S294" s="231"/>
      <c r="T294" s="231"/>
      <c r="U294" s="231"/>
      <c r="V294" s="231"/>
      <c r="W294" s="231"/>
      <c r="X294" s="231"/>
      <c r="Y294" s="231"/>
      <c r="Z294" s="231"/>
      <c r="AA294" s="231"/>
      <c r="AB294" s="231"/>
      <c r="AC294" s="231"/>
      <c r="AD294" s="231"/>
      <c r="AE294" s="231"/>
      <c r="AF294" s="231"/>
    </row>
    <row r="295" spans="1:32" s="203" customFormat="1">
      <c r="A295" s="120">
        <v>10</v>
      </c>
      <c r="B295" s="47" t="s">
        <v>225</v>
      </c>
      <c r="C295" s="47"/>
      <c r="D295" s="47"/>
      <c r="E295" s="114">
        <v>-7</v>
      </c>
      <c r="F295" s="52">
        <v>2</v>
      </c>
      <c r="G295" s="118"/>
      <c r="H295" s="122">
        <v>3</v>
      </c>
      <c r="I295" s="21"/>
      <c r="J295" s="231"/>
      <c r="K295" s="231"/>
      <c r="L295" s="231"/>
      <c r="M295" s="231"/>
      <c r="N295" s="231"/>
      <c r="O295" s="231"/>
      <c r="P295" s="231"/>
      <c r="Q295" s="231"/>
      <c r="R295" s="231"/>
      <c r="S295" s="231"/>
      <c r="T295" s="231"/>
      <c r="U295" s="231"/>
      <c r="V295" s="231"/>
      <c r="W295" s="231"/>
      <c r="X295" s="231"/>
      <c r="Y295" s="231"/>
      <c r="Z295" s="231"/>
      <c r="AA295" s="231"/>
      <c r="AB295" s="231"/>
      <c r="AC295" s="231"/>
      <c r="AD295" s="231"/>
      <c r="AE295" s="231"/>
      <c r="AF295" s="231"/>
    </row>
    <row r="296" spans="1:32" s="203" customFormat="1">
      <c r="A296" s="679">
        <v>11</v>
      </c>
      <c r="B296" s="47" t="s">
        <v>226</v>
      </c>
      <c r="C296" s="47"/>
      <c r="D296" s="47"/>
      <c r="E296" s="114">
        <v>0</v>
      </c>
      <c r="F296" s="52"/>
      <c r="G296" s="118"/>
      <c r="H296" s="122"/>
      <c r="I296" s="21"/>
      <c r="J296" s="231"/>
      <c r="K296" s="231"/>
      <c r="L296" s="231"/>
      <c r="M296" s="231"/>
      <c r="N296" s="231"/>
      <c r="O296" s="231"/>
      <c r="P296" s="231"/>
      <c r="Q296" s="231"/>
      <c r="R296" s="231"/>
      <c r="S296" s="231"/>
      <c r="T296" s="231"/>
      <c r="U296" s="231"/>
      <c r="V296" s="231"/>
      <c r="W296" s="231"/>
      <c r="X296" s="231"/>
      <c r="Y296" s="231"/>
      <c r="Z296" s="231"/>
      <c r="AA296" s="231"/>
      <c r="AB296" s="231"/>
      <c r="AC296" s="231"/>
      <c r="AD296" s="231"/>
      <c r="AE296" s="231"/>
      <c r="AF296" s="231"/>
    </row>
    <row r="297" spans="1:32" s="203" customFormat="1">
      <c r="A297" s="120">
        <v>12</v>
      </c>
      <c r="B297" s="47" t="s">
        <v>227</v>
      </c>
      <c r="C297" s="47"/>
      <c r="D297" s="47"/>
      <c r="E297" s="114">
        <v>51</v>
      </c>
      <c r="F297" s="52">
        <v>63</v>
      </c>
      <c r="G297" s="118"/>
      <c r="H297" s="122">
        <v>52</v>
      </c>
      <c r="I297" s="21"/>
      <c r="J297" s="231"/>
      <c r="K297" s="231"/>
      <c r="L297" s="231"/>
      <c r="M297" s="231"/>
      <c r="N297" s="231"/>
      <c r="O297" s="231"/>
      <c r="P297" s="231"/>
      <c r="Q297" s="231"/>
      <c r="R297" s="231"/>
      <c r="S297" s="231"/>
      <c r="T297" s="231"/>
      <c r="U297" s="231"/>
      <c r="V297" s="231"/>
      <c r="W297" s="231"/>
      <c r="X297" s="231"/>
      <c r="Y297" s="231"/>
      <c r="Z297" s="231"/>
      <c r="AA297" s="231"/>
      <c r="AB297" s="231"/>
      <c r="AC297" s="231"/>
      <c r="AD297" s="231"/>
      <c r="AE297" s="231"/>
      <c r="AF297" s="231"/>
    </row>
    <row r="298" spans="1:32" s="203" customFormat="1">
      <c r="A298" s="679">
        <v>13</v>
      </c>
      <c r="B298" s="47" t="s">
        <v>228</v>
      </c>
      <c r="C298" s="47"/>
      <c r="D298" s="47"/>
      <c r="E298" s="114">
        <v>2704</v>
      </c>
      <c r="F298" s="52">
        <v>2357</v>
      </c>
      <c r="G298" s="118"/>
      <c r="H298" s="122">
        <v>2450</v>
      </c>
      <c r="I298" s="21"/>
      <c r="J298" s="231"/>
      <c r="K298" s="231"/>
      <c r="L298" s="231"/>
      <c r="M298" s="231"/>
      <c r="N298" s="231"/>
      <c r="O298" s="231"/>
      <c r="P298" s="231"/>
      <c r="Q298" s="231"/>
      <c r="R298" s="231"/>
      <c r="S298" s="231"/>
      <c r="T298" s="231"/>
      <c r="U298" s="231"/>
      <c r="V298" s="231"/>
      <c r="W298" s="231"/>
      <c r="X298" s="231"/>
      <c r="Y298" s="231"/>
      <c r="Z298" s="231"/>
      <c r="AA298" s="231"/>
      <c r="AB298" s="231"/>
      <c r="AC298" s="231"/>
      <c r="AD298" s="231"/>
      <c r="AE298" s="231"/>
      <c r="AF298" s="231"/>
    </row>
    <row r="299" spans="1:32" s="203" customFormat="1">
      <c r="A299" s="120">
        <v>14</v>
      </c>
      <c r="B299" s="47" t="s">
        <v>229</v>
      </c>
      <c r="C299" s="47"/>
      <c r="D299" s="116"/>
      <c r="E299" s="114">
        <v>0</v>
      </c>
      <c r="F299" s="52"/>
      <c r="G299" s="118"/>
      <c r="H299" s="122"/>
      <c r="I299" s="21"/>
      <c r="J299" s="231"/>
      <c r="K299" s="231"/>
      <c r="L299" s="231"/>
      <c r="M299" s="231"/>
      <c r="N299" s="231"/>
      <c r="O299" s="231"/>
      <c r="P299" s="231"/>
      <c r="Q299" s="231"/>
      <c r="R299" s="231"/>
      <c r="S299" s="231"/>
      <c r="T299" s="231"/>
      <c r="U299" s="231"/>
      <c r="V299" s="231"/>
      <c r="W299" s="231"/>
      <c r="X299" s="231"/>
      <c r="Y299" s="231"/>
      <c r="Z299" s="231"/>
      <c r="AA299" s="231"/>
      <c r="AB299" s="231"/>
      <c r="AC299" s="231"/>
      <c r="AD299" s="231"/>
      <c r="AE299" s="231"/>
      <c r="AF299" s="231"/>
    </row>
    <row r="300" spans="1:32" s="203" customFormat="1">
      <c r="A300" s="679">
        <v>15</v>
      </c>
      <c r="B300" s="47" t="s">
        <v>230</v>
      </c>
      <c r="C300" s="47"/>
      <c r="D300" s="116"/>
      <c r="E300" s="114">
        <v>2270</v>
      </c>
      <c r="F300" s="52">
        <v>2269</v>
      </c>
      <c r="G300" s="118"/>
      <c r="H300" s="122">
        <v>2273</v>
      </c>
      <c r="I300" s="21"/>
      <c r="J300" s="231"/>
      <c r="K300" s="231"/>
      <c r="L300" s="231"/>
      <c r="M300" s="231"/>
      <c r="N300" s="231"/>
      <c r="O300" s="231"/>
      <c r="P300" s="231"/>
      <c r="Q300" s="231"/>
      <c r="R300" s="231"/>
      <c r="S300" s="231"/>
      <c r="T300" s="231"/>
      <c r="U300" s="231"/>
      <c r="V300" s="231"/>
      <c r="W300" s="231"/>
      <c r="X300" s="231"/>
      <c r="Y300" s="231"/>
      <c r="Z300" s="231"/>
      <c r="AA300" s="231"/>
      <c r="AB300" s="231"/>
      <c r="AC300" s="231"/>
      <c r="AD300" s="231"/>
      <c r="AE300" s="231"/>
      <c r="AF300" s="231"/>
    </row>
    <row r="301" spans="1:32" s="203" customFormat="1">
      <c r="A301" s="120">
        <v>17</v>
      </c>
      <c r="B301" s="47" t="s">
        <v>231</v>
      </c>
      <c r="C301" s="47"/>
      <c r="D301" s="47"/>
      <c r="E301" s="114">
        <v>6267</v>
      </c>
      <c r="F301" s="52">
        <v>4438</v>
      </c>
      <c r="G301" s="118"/>
      <c r="H301" s="99">
        <v>3720</v>
      </c>
      <c r="I301" s="21"/>
      <c r="J301" s="231"/>
      <c r="K301" s="231"/>
      <c r="L301" s="231"/>
      <c r="M301" s="231"/>
      <c r="N301" s="231"/>
      <c r="O301" s="231"/>
      <c r="P301" s="231"/>
      <c r="Q301" s="231"/>
      <c r="R301" s="231"/>
      <c r="S301" s="231"/>
      <c r="T301" s="231"/>
      <c r="U301" s="231"/>
      <c r="V301" s="231"/>
      <c r="W301" s="231"/>
      <c r="X301" s="231"/>
      <c r="Y301" s="231"/>
      <c r="Z301" s="231"/>
      <c r="AA301" s="231"/>
      <c r="AB301" s="231"/>
      <c r="AC301" s="231"/>
      <c r="AD301" s="231"/>
      <c r="AE301" s="231"/>
      <c r="AF301" s="231"/>
    </row>
    <row r="302" spans="1:32" s="203" customFormat="1">
      <c r="A302" s="680">
        <v>18</v>
      </c>
      <c r="B302" s="94" t="s">
        <v>232</v>
      </c>
      <c r="C302" s="94"/>
      <c r="D302" s="94"/>
      <c r="E302" s="159">
        <v>12112</v>
      </c>
      <c r="F302" s="61">
        <f>SUM(F286:F301)</f>
        <v>9834</v>
      </c>
      <c r="G302" s="118"/>
      <c r="H302" s="61">
        <f>SUM(H286:H301)</f>
        <v>9315</v>
      </c>
      <c r="I302" s="21"/>
      <c r="J302" s="231"/>
      <c r="K302" s="231"/>
      <c r="L302" s="231"/>
      <c r="M302" s="231"/>
      <c r="N302" s="231"/>
      <c r="O302" s="231"/>
      <c r="P302" s="231"/>
      <c r="Q302" s="231"/>
      <c r="R302" s="231"/>
      <c r="S302" s="231"/>
      <c r="T302" s="231"/>
      <c r="U302" s="231"/>
      <c r="V302" s="231"/>
      <c r="W302" s="231"/>
      <c r="X302" s="231"/>
      <c r="Y302" s="231"/>
      <c r="Z302" s="231"/>
      <c r="AA302" s="231"/>
      <c r="AB302" s="231"/>
      <c r="AC302" s="231"/>
      <c r="AD302" s="231"/>
      <c r="AE302" s="231"/>
      <c r="AF302" s="231"/>
    </row>
    <row r="303" spans="1:32" s="203" customFormat="1">
      <c r="A303" s="179"/>
      <c r="B303" s="180"/>
      <c r="C303" s="180"/>
      <c r="D303" s="181"/>
      <c r="E303" s="182"/>
      <c r="F303" s="183"/>
      <c r="G303" s="21"/>
      <c r="H303" s="183"/>
      <c r="I303" s="21"/>
      <c r="J303" s="231"/>
      <c r="K303" s="231"/>
      <c r="L303" s="231"/>
      <c r="M303" s="231"/>
      <c r="N303" s="231"/>
      <c r="O303" s="231"/>
      <c r="P303" s="231"/>
      <c r="Q303" s="231"/>
      <c r="R303" s="231"/>
      <c r="S303" s="231"/>
      <c r="T303" s="231"/>
      <c r="U303" s="231"/>
      <c r="V303" s="231"/>
      <c r="W303" s="231"/>
      <c r="X303" s="231"/>
      <c r="Y303" s="231"/>
      <c r="Z303" s="231"/>
      <c r="AA303" s="231"/>
      <c r="AB303" s="231"/>
      <c r="AC303" s="231"/>
      <c r="AD303" s="231"/>
      <c r="AE303" s="231"/>
      <c r="AF303" s="231"/>
    </row>
    <row r="304" spans="1:32" s="203" customFormat="1">
      <c r="A304" s="184"/>
      <c r="B304" s="207"/>
      <c r="C304" s="207"/>
      <c r="D304" s="209"/>
      <c r="E304" s="185"/>
      <c r="F304" s="207"/>
      <c r="G304" s="207"/>
      <c r="H304" s="131" t="s">
        <v>27</v>
      </c>
      <c r="I304" s="21"/>
      <c r="J304" s="231"/>
      <c r="K304" s="231"/>
      <c r="L304" s="231"/>
      <c r="M304" s="231"/>
      <c r="N304" s="231"/>
      <c r="O304" s="231"/>
      <c r="P304" s="231"/>
      <c r="Q304" s="231"/>
      <c r="R304" s="231"/>
      <c r="S304" s="231"/>
      <c r="T304" s="231"/>
      <c r="U304" s="231"/>
      <c r="V304" s="231"/>
      <c r="W304" s="231"/>
      <c r="X304" s="231"/>
      <c r="Y304" s="231"/>
      <c r="Z304" s="231"/>
      <c r="AA304" s="231"/>
      <c r="AB304" s="231"/>
      <c r="AC304" s="231"/>
      <c r="AD304" s="231"/>
      <c r="AE304" s="231"/>
      <c r="AF304" s="231"/>
    </row>
    <row r="305" spans="1:32" s="203" customFormat="1" ht="12.75" customHeight="1">
      <c r="A305" s="106" t="s">
        <v>21</v>
      </c>
      <c r="B305" s="164"/>
      <c r="C305" s="164"/>
      <c r="D305" s="164"/>
      <c r="E305" s="856" t="s">
        <v>377</v>
      </c>
      <c r="F305" s="856" t="s">
        <v>402</v>
      </c>
      <c r="G305" s="130"/>
      <c r="H305" s="856" t="s">
        <v>403</v>
      </c>
      <c r="I305" s="21"/>
      <c r="J305" s="231"/>
      <c r="K305" s="231"/>
      <c r="L305" s="231"/>
      <c r="M305" s="231"/>
      <c r="N305" s="231"/>
      <c r="O305" s="231"/>
      <c r="P305" s="231"/>
      <c r="Q305" s="231"/>
      <c r="R305" s="231"/>
      <c r="S305" s="231"/>
      <c r="T305" s="231"/>
      <c r="U305" s="231"/>
      <c r="V305" s="231"/>
      <c r="W305" s="231"/>
      <c r="X305" s="231"/>
      <c r="Y305" s="231"/>
      <c r="Z305" s="231"/>
      <c r="AA305" s="231"/>
      <c r="AB305" s="231"/>
      <c r="AC305" s="231"/>
      <c r="AD305" s="231"/>
      <c r="AE305" s="231"/>
      <c r="AF305" s="231"/>
    </row>
    <row r="306" spans="1:32" s="203" customFormat="1">
      <c r="A306" s="165"/>
      <c r="B306" s="47"/>
      <c r="C306" s="47"/>
      <c r="D306" s="47"/>
      <c r="E306" s="859"/>
      <c r="F306" s="859"/>
      <c r="G306" s="130"/>
      <c r="H306" s="859"/>
      <c r="I306" s="21"/>
      <c r="J306" s="231"/>
      <c r="K306" s="231"/>
      <c r="L306" s="231"/>
      <c r="M306" s="231"/>
      <c r="N306" s="231"/>
      <c r="O306" s="231"/>
      <c r="P306" s="231"/>
      <c r="Q306" s="231"/>
      <c r="R306" s="231"/>
      <c r="S306" s="231"/>
      <c r="T306" s="231"/>
      <c r="U306" s="231"/>
      <c r="V306" s="231"/>
      <c r="W306" s="231"/>
      <c r="X306" s="231"/>
      <c r="Y306" s="231"/>
      <c r="Z306" s="231"/>
      <c r="AA306" s="231"/>
      <c r="AB306" s="231"/>
      <c r="AC306" s="231"/>
      <c r="AD306" s="231"/>
      <c r="AE306" s="231"/>
      <c r="AF306" s="231"/>
    </row>
    <row r="307" spans="1:32" s="203" customFormat="1" ht="12.75" customHeight="1">
      <c r="A307" s="109"/>
      <c r="B307" s="174"/>
      <c r="C307" s="174"/>
      <c r="D307" s="174"/>
      <c r="E307" s="859"/>
      <c r="F307" s="859"/>
      <c r="G307" s="130"/>
      <c r="H307" s="859"/>
      <c r="I307" s="21"/>
      <c r="J307" s="231"/>
      <c r="K307" s="231"/>
      <c r="L307" s="231"/>
      <c r="M307" s="231"/>
      <c r="N307" s="231"/>
      <c r="O307" s="231"/>
      <c r="P307" s="231"/>
      <c r="Q307" s="231"/>
      <c r="R307" s="231"/>
      <c r="S307" s="231"/>
      <c r="T307" s="231"/>
      <c r="U307" s="231"/>
      <c r="V307" s="231"/>
      <c r="W307" s="231"/>
      <c r="X307" s="231"/>
      <c r="Y307" s="231"/>
      <c r="Z307" s="231"/>
      <c r="AA307" s="231"/>
      <c r="AB307" s="231"/>
      <c r="AC307" s="231"/>
      <c r="AD307" s="231"/>
      <c r="AE307" s="231"/>
      <c r="AF307" s="231"/>
    </row>
    <row r="308" spans="1:32" s="203" customFormat="1">
      <c r="A308" s="154" t="s">
        <v>233</v>
      </c>
      <c r="B308" s="47"/>
      <c r="C308" s="47"/>
      <c r="D308" s="47"/>
      <c r="E308" s="859"/>
      <c r="F308" s="859"/>
      <c r="G308" s="130"/>
      <c r="H308" s="859"/>
      <c r="I308" s="21"/>
      <c r="J308" s="231"/>
      <c r="K308" s="231"/>
      <c r="L308" s="231"/>
      <c r="M308" s="231"/>
      <c r="N308" s="231"/>
      <c r="O308" s="231"/>
      <c r="P308" s="231"/>
      <c r="Q308" s="231"/>
      <c r="R308" s="231"/>
      <c r="S308" s="231"/>
      <c r="T308" s="231"/>
      <c r="U308" s="231"/>
      <c r="V308" s="231"/>
      <c r="W308" s="231"/>
      <c r="X308" s="231"/>
      <c r="Y308" s="231"/>
      <c r="Z308" s="231"/>
      <c r="AA308" s="231"/>
      <c r="AB308" s="231"/>
      <c r="AC308" s="231"/>
      <c r="AD308" s="231"/>
      <c r="AE308" s="231"/>
      <c r="AF308" s="231"/>
    </row>
    <row r="309" spans="1:32" s="203" customFormat="1">
      <c r="A309" s="109" t="s">
        <v>83</v>
      </c>
      <c r="B309" s="174"/>
      <c r="C309" s="174"/>
      <c r="D309" s="174"/>
      <c r="E309" s="860"/>
      <c r="F309" s="860"/>
      <c r="G309" s="130"/>
      <c r="H309" s="860"/>
      <c r="I309" s="21"/>
      <c r="J309" s="231"/>
      <c r="K309" s="231"/>
      <c r="L309" s="231"/>
      <c r="M309" s="231"/>
      <c r="N309" s="231"/>
      <c r="O309" s="231"/>
      <c r="P309" s="231"/>
      <c r="Q309" s="231"/>
      <c r="R309" s="231"/>
      <c r="S309" s="231"/>
      <c r="T309" s="231"/>
      <c r="U309" s="231"/>
      <c r="V309" s="231"/>
      <c r="W309" s="231"/>
      <c r="X309" s="231"/>
      <c r="Y309" s="231"/>
      <c r="Z309" s="231"/>
      <c r="AA309" s="231"/>
      <c r="AB309" s="231"/>
      <c r="AC309" s="231"/>
      <c r="AD309" s="231"/>
      <c r="AE309" s="231"/>
      <c r="AF309" s="231"/>
    </row>
    <row r="310" spans="1:32" s="203" customFormat="1">
      <c r="A310" s="110" t="s">
        <v>84</v>
      </c>
      <c r="B310" s="116"/>
      <c r="C310" s="116"/>
      <c r="D310" s="116"/>
      <c r="E310" s="262"/>
      <c r="F310" s="146"/>
      <c r="G310" s="118"/>
      <c r="H310" s="146"/>
      <c r="I310" s="21"/>
      <c r="J310" s="231"/>
      <c r="K310" s="231"/>
      <c r="L310" s="231"/>
      <c r="M310" s="231"/>
      <c r="N310" s="231"/>
      <c r="O310" s="231"/>
      <c r="P310" s="231"/>
      <c r="Q310" s="231"/>
      <c r="R310" s="231"/>
      <c r="S310" s="231"/>
      <c r="T310" s="231"/>
      <c r="U310" s="231"/>
      <c r="V310" s="231"/>
      <c r="W310" s="231"/>
      <c r="X310" s="231"/>
      <c r="Y310" s="231"/>
      <c r="Z310" s="231"/>
      <c r="AA310" s="231"/>
      <c r="AB310" s="231"/>
      <c r="AC310" s="231"/>
      <c r="AD310" s="231"/>
      <c r="AE310" s="231"/>
      <c r="AF310" s="231"/>
    </row>
    <row r="311" spans="1:32" s="203" customFormat="1">
      <c r="A311" s="120">
        <v>1</v>
      </c>
      <c r="B311" s="47" t="s">
        <v>258</v>
      </c>
      <c r="C311" s="47"/>
      <c r="D311" s="186"/>
      <c r="E311" s="74">
        <v>0</v>
      </c>
      <c r="F311" s="52"/>
      <c r="G311" s="43"/>
      <c r="H311" s="52"/>
      <c r="I311" s="21"/>
      <c r="J311" s="231"/>
      <c r="K311" s="231"/>
      <c r="L311" s="231"/>
      <c r="M311" s="231"/>
      <c r="N311" s="231"/>
      <c r="O311" s="231"/>
      <c r="P311" s="231"/>
      <c r="Q311" s="231"/>
      <c r="R311" s="231"/>
      <c r="S311" s="231"/>
      <c r="T311" s="231"/>
      <c r="U311" s="231"/>
      <c r="V311" s="231"/>
      <c r="W311" s="231"/>
      <c r="X311" s="231"/>
      <c r="Y311" s="231"/>
      <c r="Z311" s="231"/>
      <c r="AA311" s="231"/>
      <c r="AB311" s="231"/>
      <c r="AC311" s="231"/>
      <c r="AD311" s="231"/>
      <c r="AE311" s="231"/>
      <c r="AF311" s="231"/>
    </row>
    <row r="312" spans="1:32" s="203" customFormat="1">
      <c r="A312" s="120">
        <v>2</v>
      </c>
      <c r="B312" s="47" t="s">
        <v>234</v>
      </c>
      <c r="C312" s="47"/>
      <c r="D312" s="186"/>
      <c r="E312" s="114">
        <v>0</v>
      </c>
      <c r="F312" s="52"/>
      <c r="G312" s="43"/>
      <c r="H312" s="52"/>
      <c r="I312" s="21"/>
      <c r="J312" s="231"/>
      <c r="K312" s="231"/>
      <c r="L312" s="231"/>
      <c r="M312" s="231"/>
      <c r="N312" s="231"/>
      <c r="O312" s="231"/>
      <c r="P312" s="231"/>
      <c r="Q312" s="231"/>
      <c r="R312" s="231"/>
      <c r="S312" s="231"/>
      <c r="T312" s="231"/>
      <c r="U312" s="231"/>
      <c r="V312" s="231"/>
      <c r="W312" s="231"/>
      <c r="X312" s="231"/>
      <c r="Y312" s="231"/>
      <c r="Z312" s="231"/>
      <c r="AA312" s="231"/>
      <c r="AB312" s="231"/>
      <c r="AC312" s="231"/>
      <c r="AD312" s="231"/>
      <c r="AE312" s="231"/>
      <c r="AF312" s="231"/>
    </row>
    <row r="313" spans="1:32" s="203" customFormat="1">
      <c r="A313" s="120">
        <v>3</v>
      </c>
      <c r="B313" s="47" t="s">
        <v>259</v>
      </c>
      <c r="C313" s="47"/>
      <c r="D313" s="186"/>
      <c r="E313" s="114">
        <v>-355</v>
      </c>
      <c r="F313" s="52">
        <v>-430</v>
      </c>
      <c r="G313" s="43"/>
      <c r="H313" s="52">
        <v>-394</v>
      </c>
      <c r="I313" s="21"/>
      <c r="J313" s="231"/>
      <c r="K313" s="231"/>
      <c r="L313" s="231"/>
      <c r="M313" s="231"/>
      <c r="N313" s="231"/>
      <c r="O313" s="231"/>
      <c r="P313" s="231"/>
      <c r="Q313" s="231"/>
      <c r="R313" s="231"/>
      <c r="S313" s="231"/>
      <c r="T313" s="231"/>
      <c r="U313" s="231"/>
      <c r="V313" s="231"/>
      <c r="W313" s="231"/>
      <c r="X313" s="231"/>
      <c r="Y313" s="231"/>
      <c r="Z313" s="231"/>
      <c r="AA313" s="231"/>
      <c r="AB313" s="231"/>
      <c r="AC313" s="231"/>
      <c r="AD313" s="231"/>
      <c r="AE313" s="231"/>
      <c r="AF313" s="231"/>
    </row>
    <row r="314" spans="1:32" s="203" customFormat="1">
      <c r="A314" s="120">
        <v>4</v>
      </c>
      <c r="B314" s="47" t="s">
        <v>235</v>
      </c>
      <c r="C314" s="47"/>
      <c r="D314" s="186"/>
      <c r="E314" s="114">
        <v>7901</v>
      </c>
      <c r="F314" s="52">
        <v>7990</v>
      </c>
      <c r="G314" s="43"/>
      <c r="H314" s="52">
        <v>7421</v>
      </c>
      <c r="I314" s="21"/>
      <c r="J314" s="231"/>
      <c r="K314" s="231"/>
      <c r="L314" s="231"/>
      <c r="M314" s="231"/>
      <c r="N314" s="231"/>
      <c r="O314" s="231"/>
      <c r="P314" s="231"/>
      <c r="Q314" s="231"/>
      <c r="R314" s="231"/>
      <c r="S314" s="231"/>
      <c r="T314" s="231"/>
      <c r="U314" s="231"/>
      <c r="V314" s="231"/>
      <c r="W314" s="231"/>
      <c r="X314" s="231"/>
      <c r="Y314" s="231"/>
      <c r="Z314" s="231"/>
      <c r="AA314" s="231"/>
      <c r="AB314" s="231"/>
      <c r="AC314" s="231"/>
      <c r="AD314" s="231"/>
      <c r="AE314" s="231"/>
      <c r="AF314" s="231"/>
    </row>
    <row r="315" spans="1:32" s="203" customFormat="1">
      <c r="A315" s="120">
        <v>5</v>
      </c>
      <c r="B315" s="47" t="s">
        <v>236</v>
      </c>
      <c r="C315" s="47"/>
      <c r="D315" s="186"/>
      <c r="E315" s="114">
        <v>1599</v>
      </c>
      <c r="F315" s="52">
        <v>1473</v>
      </c>
      <c r="G315" s="187"/>
      <c r="H315" s="52">
        <v>1705</v>
      </c>
      <c r="I315" s="21"/>
      <c r="J315" s="231"/>
      <c r="K315" s="231"/>
      <c r="L315" s="231"/>
      <c r="M315" s="231"/>
      <c r="N315" s="231"/>
      <c r="O315" s="231"/>
      <c r="P315" s="231"/>
      <c r="Q315" s="231"/>
      <c r="R315" s="231"/>
      <c r="S315" s="231"/>
      <c r="T315" s="231"/>
      <c r="U315" s="231"/>
      <c r="V315" s="231"/>
      <c r="W315" s="231"/>
      <c r="X315" s="231"/>
      <c r="Y315" s="231"/>
      <c r="Z315" s="231"/>
      <c r="AA315" s="231"/>
      <c r="AB315" s="231"/>
      <c r="AC315" s="231"/>
      <c r="AD315" s="231"/>
      <c r="AE315" s="231"/>
      <c r="AF315" s="231"/>
    </row>
    <row r="316" spans="1:32" s="203" customFormat="1">
      <c r="A316" s="120">
        <v>6</v>
      </c>
      <c r="B316" s="47" t="s">
        <v>237</v>
      </c>
      <c r="C316" s="47"/>
      <c r="D316" s="186"/>
      <c r="E316" s="114">
        <v>9228</v>
      </c>
      <c r="F316" s="52">
        <v>8961</v>
      </c>
      <c r="G316" s="43"/>
      <c r="H316" s="52">
        <v>8709</v>
      </c>
      <c r="I316" s="21"/>
      <c r="J316" s="231"/>
      <c r="K316" s="231"/>
      <c r="L316" s="231"/>
      <c r="M316" s="231"/>
      <c r="N316" s="231"/>
      <c r="O316" s="231"/>
      <c r="P316" s="231"/>
      <c r="Q316" s="231"/>
      <c r="R316" s="231"/>
      <c r="S316" s="231"/>
      <c r="T316" s="231"/>
      <c r="U316" s="231"/>
      <c r="V316" s="231"/>
      <c r="W316" s="231"/>
      <c r="X316" s="231"/>
      <c r="Y316" s="231"/>
      <c r="Z316" s="231"/>
      <c r="AA316" s="231"/>
      <c r="AB316" s="231"/>
      <c r="AC316" s="231"/>
      <c r="AD316" s="231"/>
      <c r="AE316" s="231"/>
      <c r="AF316" s="231"/>
    </row>
    <row r="317" spans="1:32" s="203" customFormat="1">
      <c r="A317" s="120">
        <v>7</v>
      </c>
      <c r="B317" s="47" t="s">
        <v>238</v>
      </c>
      <c r="C317" s="47"/>
      <c r="D317" s="186"/>
      <c r="E317" s="114">
        <v>108</v>
      </c>
      <c r="F317" s="52">
        <v>315</v>
      </c>
      <c r="G317" s="43"/>
      <c r="H317" s="52">
        <v>72</v>
      </c>
      <c r="I317" s="21"/>
      <c r="J317" s="231"/>
      <c r="K317" s="231"/>
      <c r="L317" s="231"/>
      <c r="M317" s="231"/>
      <c r="N317" s="231"/>
      <c r="O317" s="231"/>
      <c r="P317" s="231"/>
      <c r="Q317" s="231"/>
      <c r="R317" s="231"/>
      <c r="S317" s="231"/>
      <c r="T317" s="231"/>
      <c r="U317" s="231"/>
      <c r="V317" s="231"/>
      <c r="W317" s="231"/>
      <c r="X317" s="231"/>
      <c r="Y317" s="231"/>
      <c r="Z317" s="231"/>
      <c r="AA317" s="231"/>
      <c r="AB317" s="231"/>
      <c r="AC317" s="231"/>
      <c r="AD317" s="231"/>
      <c r="AE317" s="231"/>
      <c r="AF317" s="231"/>
    </row>
    <row r="318" spans="1:32" s="203" customFormat="1">
      <c r="A318" s="120">
        <v>8</v>
      </c>
      <c r="B318" s="47" t="s">
        <v>239</v>
      </c>
      <c r="C318" s="47"/>
      <c r="D318" s="186"/>
      <c r="E318" s="114">
        <v>142</v>
      </c>
      <c r="F318" s="52">
        <v>143</v>
      </c>
      <c r="G318" s="43"/>
      <c r="H318" s="52">
        <v>129</v>
      </c>
      <c r="I318" s="21"/>
      <c r="J318" s="231"/>
      <c r="K318" s="231"/>
      <c r="L318" s="231"/>
      <c r="M318" s="231"/>
      <c r="N318" s="231"/>
      <c r="O318" s="231"/>
      <c r="P318" s="231"/>
      <c r="Q318" s="231"/>
      <c r="R318" s="231"/>
      <c r="S318" s="231"/>
      <c r="T318" s="231"/>
      <c r="U318" s="231"/>
      <c r="V318" s="231"/>
      <c r="W318" s="231"/>
      <c r="X318" s="231"/>
      <c r="Y318" s="231"/>
      <c r="Z318" s="231"/>
      <c r="AA318" s="231"/>
      <c r="AB318" s="231"/>
      <c r="AC318" s="231"/>
      <c r="AD318" s="231"/>
      <c r="AE318" s="231"/>
      <c r="AF318" s="231"/>
    </row>
    <row r="319" spans="1:32" s="203" customFormat="1">
      <c r="A319" s="679">
        <v>9</v>
      </c>
      <c r="B319" s="90" t="s">
        <v>260</v>
      </c>
      <c r="C319" s="47"/>
      <c r="D319" s="47"/>
      <c r="E319" s="114">
        <v>0</v>
      </c>
      <c r="F319" s="188"/>
      <c r="G319" s="43"/>
      <c r="H319" s="189"/>
      <c r="I319" s="21"/>
      <c r="J319" s="231"/>
      <c r="K319" s="231"/>
      <c r="L319" s="231"/>
      <c r="M319" s="231"/>
      <c r="N319" s="231"/>
      <c r="O319" s="231"/>
      <c r="P319" s="231"/>
      <c r="Q319" s="231"/>
      <c r="R319" s="231"/>
      <c r="S319" s="231"/>
      <c r="T319" s="231"/>
      <c r="U319" s="231"/>
      <c r="V319" s="231"/>
      <c r="W319" s="231"/>
      <c r="X319" s="231"/>
      <c r="Y319" s="231"/>
      <c r="Z319" s="231"/>
      <c r="AA319" s="231"/>
      <c r="AB319" s="231"/>
      <c r="AC319" s="231"/>
      <c r="AD319" s="231"/>
      <c r="AE319" s="231"/>
      <c r="AF319" s="231"/>
    </row>
    <row r="320" spans="1:32" s="203" customFormat="1">
      <c r="A320" s="124">
        <v>10</v>
      </c>
      <c r="B320" s="94" t="s">
        <v>62</v>
      </c>
      <c r="C320" s="94"/>
      <c r="D320" s="94"/>
      <c r="E320" s="159">
        <v>18623</v>
      </c>
      <c r="F320" s="61">
        <f>F311+F312+F313+F314+F315+F316+F317+F318</f>
        <v>18452</v>
      </c>
      <c r="G320" s="118"/>
      <c r="H320" s="61">
        <f>H311+H312+H313+H314+H315+H316+H317+H318+H319</f>
        <v>17642</v>
      </c>
      <c r="I320" s="183"/>
      <c r="J320" s="231"/>
      <c r="K320" s="231"/>
      <c r="L320" s="231"/>
      <c r="M320" s="231"/>
      <c r="N320" s="231"/>
      <c r="O320" s="231"/>
      <c r="P320" s="231"/>
      <c r="Q320" s="231"/>
      <c r="R320" s="231"/>
      <c r="S320" s="231"/>
      <c r="T320" s="231"/>
      <c r="U320" s="231"/>
      <c r="V320" s="231"/>
      <c r="W320" s="231"/>
      <c r="X320" s="231"/>
      <c r="Y320" s="231"/>
      <c r="Z320" s="231"/>
      <c r="AA320" s="231"/>
      <c r="AB320" s="231"/>
      <c r="AC320" s="231"/>
      <c r="AD320" s="231"/>
      <c r="AE320" s="231"/>
      <c r="AF320" s="231"/>
    </row>
    <row r="321" spans="1:32" s="203" customFormat="1">
      <c r="A321" s="179"/>
      <c r="B321" s="180"/>
      <c r="C321" s="180"/>
      <c r="D321" s="180"/>
      <c r="E321" s="180"/>
      <c r="F321" s="183"/>
      <c r="G321" s="21"/>
      <c r="H321" s="183"/>
      <c r="I321" s="183"/>
      <c r="J321" s="231"/>
      <c r="K321" s="231"/>
      <c r="L321" s="231"/>
      <c r="M321" s="231"/>
      <c r="N321" s="231"/>
      <c r="O321" s="231"/>
      <c r="P321" s="231"/>
      <c r="Q321" s="231"/>
      <c r="R321" s="231"/>
      <c r="S321" s="231"/>
      <c r="T321" s="231"/>
      <c r="U321" s="231"/>
      <c r="V321" s="231"/>
      <c r="W321" s="231"/>
      <c r="X321" s="231"/>
      <c r="Y321" s="231"/>
      <c r="Z321" s="231"/>
      <c r="AA321" s="231"/>
      <c r="AB321" s="231"/>
      <c r="AC321" s="231"/>
      <c r="AD321" s="231"/>
      <c r="AE321" s="231"/>
      <c r="AF321" s="231"/>
    </row>
    <row r="322" spans="1:32" s="203" customFormat="1">
      <c r="A322" s="148"/>
      <c r="B322" s="207"/>
      <c r="C322" s="207"/>
      <c r="D322" s="29"/>
      <c r="E322" s="29"/>
      <c r="F322" s="29"/>
      <c r="G322" s="29"/>
      <c r="H322" s="31" t="s">
        <v>27</v>
      </c>
      <c r="I322" s="2"/>
      <c r="J322" s="231"/>
      <c r="K322" s="231"/>
      <c r="L322" s="231"/>
      <c r="M322" s="231"/>
      <c r="N322" s="231"/>
      <c r="O322" s="231"/>
      <c r="P322" s="231"/>
      <c r="Q322" s="231"/>
      <c r="R322" s="231"/>
      <c r="S322" s="231"/>
      <c r="T322" s="231"/>
      <c r="U322" s="231"/>
      <c r="V322" s="231"/>
      <c r="W322" s="231"/>
      <c r="X322" s="231"/>
      <c r="Y322" s="231"/>
      <c r="Z322" s="231"/>
      <c r="AA322" s="231"/>
      <c r="AB322" s="231"/>
      <c r="AC322" s="231"/>
      <c r="AD322" s="231"/>
      <c r="AE322" s="231"/>
      <c r="AF322" s="231"/>
    </row>
    <row r="323" spans="1:32" s="203" customFormat="1">
      <c r="A323" s="190" t="s">
        <v>240</v>
      </c>
      <c r="B323" s="263"/>
      <c r="C323" s="861" t="s">
        <v>405</v>
      </c>
      <c r="D323" s="862"/>
      <c r="E323" s="862"/>
      <c r="F323" s="862"/>
      <c r="G323" s="862"/>
      <c r="H323" s="863"/>
      <c r="I323" s="210"/>
      <c r="J323" s="231"/>
      <c r="K323" s="231"/>
      <c r="L323" s="231"/>
      <c r="M323" s="231"/>
      <c r="N323" s="231"/>
      <c r="O323" s="231"/>
      <c r="P323" s="231"/>
      <c r="Q323" s="231"/>
      <c r="R323" s="231"/>
      <c r="S323" s="231"/>
      <c r="T323" s="231"/>
      <c r="U323" s="231"/>
      <c r="V323" s="231"/>
      <c r="W323" s="231"/>
      <c r="X323" s="231"/>
      <c r="Y323" s="231"/>
      <c r="Z323" s="231"/>
      <c r="AA323" s="231"/>
      <c r="AB323" s="231"/>
      <c r="AC323" s="231"/>
      <c r="AD323" s="231"/>
      <c r="AE323" s="231"/>
      <c r="AF323" s="231"/>
    </row>
    <row r="324" spans="1:32" s="203" customFormat="1" ht="39" thickBot="1">
      <c r="A324" s="110" t="s">
        <v>84</v>
      </c>
      <c r="B324" s="116"/>
      <c r="C324" s="35" t="s">
        <v>52</v>
      </c>
      <c r="D324" s="35" t="s">
        <v>53</v>
      </c>
      <c r="E324" s="37" t="s">
        <v>54</v>
      </c>
      <c r="F324" s="37" t="s">
        <v>55</v>
      </c>
      <c r="G324" s="37" t="s">
        <v>241</v>
      </c>
      <c r="H324" s="35" t="s">
        <v>121</v>
      </c>
      <c r="I324" s="29"/>
      <c r="J324" s="231"/>
      <c r="K324" s="231"/>
      <c r="L324" s="231"/>
      <c r="M324" s="231"/>
      <c r="N324" s="231"/>
      <c r="O324" s="231"/>
      <c r="P324" s="231"/>
      <c r="Q324" s="231"/>
      <c r="R324" s="231"/>
      <c r="S324" s="231"/>
      <c r="T324" s="231"/>
      <c r="U324" s="231"/>
      <c r="V324" s="231"/>
      <c r="W324" s="231"/>
      <c r="X324" s="231"/>
      <c r="Y324" s="231"/>
      <c r="Z324" s="231"/>
      <c r="AA324" s="231"/>
      <c r="AB324" s="231"/>
      <c r="AC324" s="231"/>
      <c r="AD324" s="231"/>
      <c r="AE324" s="231"/>
      <c r="AF324" s="231"/>
    </row>
    <row r="325" spans="1:32" s="203" customFormat="1" ht="13.5" thickBot="1">
      <c r="A325" s="679">
        <v>1</v>
      </c>
      <c r="B325" s="116" t="s">
        <v>242</v>
      </c>
      <c r="C325" s="193">
        <f t="shared" ref="C325:H325" si="0">SUM(C326:C329)</f>
        <v>9764</v>
      </c>
      <c r="D325" s="193">
        <f t="shared" si="0"/>
        <v>0</v>
      </c>
      <c r="E325" s="193">
        <v>0</v>
      </c>
      <c r="F325" s="193">
        <f t="shared" si="0"/>
        <v>0</v>
      </c>
      <c r="G325" s="193">
        <f>SUM(G326:G329)</f>
        <v>0</v>
      </c>
      <c r="H325" s="193">
        <f t="shared" si="0"/>
        <v>0</v>
      </c>
      <c r="I325" s="207"/>
      <c r="J325" s="231"/>
      <c r="K325" s="231"/>
      <c r="L325" s="231"/>
      <c r="M325" s="231"/>
      <c r="N325" s="231"/>
      <c r="O325" s="231"/>
      <c r="P325" s="231"/>
      <c r="Q325" s="231"/>
      <c r="R325" s="231"/>
      <c r="S325" s="231"/>
      <c r="T325" s="231"/>
      <c r="U325" s="231"/>
      <c r="V325" s="231"/>
      <c r="W325" s="231"/>
      <c r="X325" s="231"/>
      <c r="Y325" s="231"/>
      <c r="Z325" s="231"/>
      <c r="AA325" s="231"/>
      <c r="AB325" s="231"/>
      <c r="AC325" s="231"/>
      <c r="AD325" s="231"/>
      <c r="AE325" s="231"/>
      <c r="AF325" s="231"/>
    </row>
    <row r="326" spans="1:32" s="203" customFormat="1">
      <c r="A326" s="679">
        <v>2</v>
      </c>
      <c r="B326" s="47" t="s">
        <v>243</v>
      </c>
      <c r="C326" s="169">
        <v>3545</v>
      </c>
      <c r="D326" s="169"/>
      <c r="E326" s="169"/>
      <c r="F326" s="169"/>
      <c r="G326" s="169"/>
      <c r="H326" s="169"/>
      <c r="I326" s="207"/>
      <c r="J326" s="231"/>
      <c r="K326" s="231"/>
      <c r="L326" s="231"/>
      <c r="M326" s="231"/>
      <c r="N326" s="231"/>
      <c r="O326" s="231"/>
      <c r="P326" s="231"/>
      <c r="Q326" s="231"/>
      <c r="R326" s="231"/>
      <c r="S326" s="231"/>
      <c r="T326" s="231"/>
      <c r="U326" s="231"/>
      <c r="V326" s="231"/>
      <c r="W326" s="231"/>
      <c r="X326" s="231"/>
      <c r="Y326" s="231"/>
      <c r="Z326" s="231"/>
      <c r="AA326" s="231"/>
      <c r="AB326" s="231"/>
      <c r="AC326" s="231"/>
      <c r="AD326" s="231"/>
      <c r="AE326" s="231"/>
      <c r="AF326" s="231"/>
    </row>
    <row r="327" spans="1:32" s="203" customFormat="1">
      <c r="A327" s="679">
        <v>3</v>
      </c>
      <c r="B327" s="47" t="s">
        <v>244</v>
      </c>
      <c r="C327" s="99">
        <v>4729</v>
      </c>
      <c r="D327" s="99"/>
      <c r="E327" s="99"/>
      <c r="F327" s="99"/>
      <c r="G327" s="99"/>
      <c r="H327" s="99"/>
      <c r="I327" s="207"/>
      <c r="J327" s="231"/>
      <c r="K327" s="231"/>
      <c r="L327" s="231"/>
      <c r="M327" s="231"/>
      <c r="N327" s="231"/>
      <c r="O327" s="231"/>
      <c r="P327" s="231"/>
      <c r="Q327" s="231"/>
      <c r="R327" s="231"/>
      <c r="S327" s="231"/>
      <c r="T327" s="231"/>
      <c r="U327" s="231"/>
      <c r="V327" s="231"/>
      <c r="W327" s="231"/>
      <c r="X327" s="231"/>
      <c r="Y327" s="231"/>
      <c r="Z327" s="231"/>
      <c r="AA327" s="231"/>
      <c r="AB327" s="231"/>
      <c r="AC327" s="231"/>
      <c r="AD327" s="231"/>
      <c r="AE327" s="231"/>
      <c r="AF327" s="231"/>
    </row>
    <row r="328" spans="1:32" s="203" customFormat="1">
      <c r="A328" s="679">
        <v>4</v>
      </c>
      <c r="B328" s="47" t="s">
        <v>245</v>
      </c>
      <c r="C328" s="99">
        <v>1490</v>
      </c>
      <c r="D328" s="99"/>
      <c r="E328" s="99"/>
      <c r="F328" s="99"/>
      <c r="G328" s="99"/>
      <c r="H328" s="99"/>
      <c r="I328" s="207"/>
      <c r="J328" s="231"/>
      <c r="K328" s="231"/>
      <c r="L328" s="231"/>
      <c r="M328" s="231"/>
      <c r="N328" s="231"/>
      <c r="O328" s="231"/>
      <c r="P328" s="231"/>
      <c r="Q328" s="231"/>
      <c r="R328" s="231"/>
      <c r="S328" s="231"/>
      <c r="T328" s="231"/>
      <c r="U328" s="231"/>
      <c r="V328" s="231"/>
      <c r="W328" s="231"/>
      <c r="X328" s="231"/>
      <c r="Y328" s="231"/>
      <c r="Z328" s="231"/>
      <c r="AA328" s="231"/>
      <c r="AB328" s="231"/>
      <c r="AC328" s="231"/>
      <c r="AD328" s="231"/>
      <c r="AE328" s="231"/>
      <c r="AF328" s="231"/>
    </row>
    <row r="329" spans="1:32" s="203" customFormat="1">
      <c r="A329" s="680">
        <v>5</v>
      </c>
      <c r="B329" s="54" t="s">
        <v>246</v>
      </c>
      <c r="C329" s="100">
        <v>0</v>
      </c>
      <c r="D329" s="100"/>
      <c r="E329" s="100"/>
      <c r="F329" s="100"/>
      <c r="G329" s="100"/>
      <c r="H329" s="100"/>
      <c r="I329" s="207"/>
      <c r="J329" s="231"/>
      <c r="K329" s="231"/>
      <c r="L329" s="231"/>
      <c r="M329" s="231"/>
      <c r="N329" s="231"/>
      <c r="O329" s="231"/>
      <c r="P329" s="231"/>
      <c r="Q329" s="231"/>
      <c r="R329" s="231"/>
      <c r="S329" s="231"/>
      <c r="T329" s="231"/>
      <c r="U329" s="231"/>
      <c r="V329" s="231"/>
      <c r="W329" s="231"/>
      <c r="X329" s="231"/>
      <c r="Y329" s="231"/>
      <c r="Z329" s="231"/>
      <c r="AA329" s="231"/>
      <c r="AB329" s="231"/>
      <c r="AC329" s="231"/>
      <c r="AD329" s="231"/>
      <c r="AE329" s="231"/>
      <c r="AF329" s="231"/>
    </row>
    <row r="330" spans="1:32" s="203" customFormat="1">
      <c r="A330" s="679"/>
      <c r="B330" s="47"/>
      <c r="C330" s="864" t="s">
        <v>404</v>
      </c>
      <c r="D330" s="865"/>
      <c r="E330" s="865"/>
      <c r="F330" s="865"/>
      <c r="G330" s="865"/>
      <c r="H330" s="866"/>
      <c r="I330" s="207"/>
      <c r="J330" s="231"/>
      <c r="K330" s="231"/>
      <c r="L330" s="231"/>
      <c r="M330" s="231"/>
      <c r="N330" s="231"/>
      <c r="O330" s="231"/>
      <c r="P330" s="231"/>
      <c r="Q330" s="231"/>
      <c r="R330" s="231"/>
      <c r="S330" s="231"/>
      <c r="T330" s="231"/>
      <c r="U330" s="231"/>
      <c r="V330" s="231"/>
      <c r="W330" s="231"/>
      <c r="X330" s="231"/>
      <c r="Y330" s="231"/>
      <c r="Z330" s="231"/>
      <c r="AA330" s="231"/>
      <c r="AB330" s="231"/>
      <c r="AC330" s="231"/>
      <c r="AD330" s="231"/>
      <c r="AE330" s="231"/>
      <c r="AF330" s="231"/>
    </row>
    <row r="331" spans="1:32" s="203" customFormat="1" ht="39" thickBot="1">
      <c r="A331" s="110" t="s">
        <v>84</v>
      </c>
      <c r="B331" s="116"/>
      <c r="C331" s="35" t="s">
        <v>52</v>
      </c>
      <c r="D331" s="35" t="s">
        <v>53</v>
      </c>
      <c r="E331" s="37" t="s">
        <v>54</v>
      </c>
      <c r="F331" s="37" t="s">
        <v>55</v>
      </c>
      <c r="G331" s="37" t="s">
        <v>241</v>
      </c>
      <c r="H331" s="35" t="s">
        <v>121</v>
      </c>
      <c r="I331" s="207"/>
      <c r="J331" s="231"/>
      <c r="K331" s="231"/>
      <c r="L331" s="231"/>
      <c r="M331" s="231"/>
      <c r="N331" s="231"/>
      <c r="O331" s="231"/>
      <c r="P331" s="231"/>
      <c r="Q331" s="231"/>
      <c r="R331" s="231"/>
      <c r="S331" s="231"/>
      <c r="T331" s="231"/>
      <c r="U331" s="231"/>
      <c r="V331" s="231"/>
      <c r="W331" s="231"/>
      <c r="X331" s="231"/>
      <c r="Y331" s="231"/>
      <c r="Z331" s="231"/>
      <c r="AA331" s="231"/>
      <c r="AB331" s="231"/>
      <c r="AC331" s="231"/>
      <c r="AD331" s="231"/>
      <c r="AE331" s="231"/>
      <c r="AF331" s="231"/>
    </row>
    <row r="332" spans="1:32" s="203" customFormat="1" ht="13.5" thickBot="1">
      <c r="A332" s="679">
        <v>1</v>
      </c>
      <c r="B332" s="116" t="s">
        <v>242</v>
      </c>
      <c r="C332" s="193">
        <f t="shared" ref="C332:H332" si="1">SUM(C333:C336)</f>
        <v>10033</v>
      </c>
      <c r="D332" s="193">
        <f t="shared" si="1"/>
        <v>0</v>
      </c>
      <c r="E332" s="193">
        <v>0</v>
      </c>
      <c r="F332" s="193">
        <f t="shared" si="1"/>
        <v>0</v>
      </c>
      <c r="G332" s="193">
        <f>SUM(G333:G336)</f>
        <v>0</v>
      </c>
      <c r="H332" s="193">
        <f t="shared" si="1"/>
        <v>0</v>
      </c>
      <c r="I332" s="207"/>
      <c r="J332" s="231"/>
      <c r="K332" s="231"/>
      <c r="L332" s="231"/>
      <c r="M332" s="231"/>
      <c r="N332" s="231"/>
      <c r="O332" s="231"/>
      <c r="P332" s="231"/>
      <c r="Q332" s="231"/>
      <c r="R332" s="231"/>
      <c r="S332" s="231"/>
      <c r="T332" s="231"/>
      <c r="U332" s="231"/>
      <c r="V332" s="231"/>
      <c r="W332" s="231"/>
      <c r="X332" s="231"/>
      <c r="Y332" s="231"/>
      <c r="Z332" s="231"/>
      <c r="AA332" s="231"/>
      <c r="AB332" s="231"/>
      <c r="AC332" s="231"/>
      <c r="AD332" s="231"/>
      <c r="AE332" s="231"/>
      <c r="AF332" s="231"/>
    </row>
    <row r="333" spans="1:32" s="203" customFormat="1">
      <c r="A333" s="679">
        <v>2</v>
      </c>
      <c r="B333" s="47" t="s">
        <v>243</v>
      </c>
      <c r="C333" s="169">
        <v>3565</v>
      </c>
      <c r="D333" s="169"/>
      <c r="E333" s="169"/>
      <c r="F333" s="169"/>
      <c r="G333" s="169"/>
      <c r="H333" s="169"/>
      <c r="I333" s="207"/>
      <c r="J333" s="231"/>
      <c r="K333" s="231"/>
      <c r="L333" s="231"/>
      <c r="M333" s="231"/>
      <c r="N333" s="231"/>
      <c r="O333" s="231"/>
      <c r="P333" s="231"/>
      <c r="Q333" s="231"/>
      <c r="R333" s="231"/>
      <c r="S333" s="231"/>
      <c r="T333" s="231"/>
      <c r="U333" s="231"/>
      <c r="V333" s="231"/>
      <c r="W333" s="231"/>
      <c r="X333" s="231"/>
      <c r="Y333" s="231"/>
      <c r="Z333" s="231"/>
      <c r="AA333" s="231"/>
      <c r="AB333" s="231"/>
      <c r="AC333" s="231"/>
      <c r="AD333" s="231"/>
      <c r="AE333" s="231"/>
      <c r="AF333" s="231"/>
    </row>
    <row r="334" spans="1:32" s="203" customFormat="1">
      <c r="A334" s="679">
        <v>3</v>
      </c>
      <c r="B334" s="47" t="s">
        <v>244</v>
      </c>
      <c r="C334" s="99">
        <v>4762</v>
      </c>
      <c r="D334" s="99"/>
      <c r="E334" s="99"/>
      <c r="F334" s="99"/>
      <c r="G334" s="99"/>
      <c r="H334" s="99"/>
      <c r="I334" s="207"/>
      <c r="J334" s="231"/>
      <c r="K334" s="231"/>
      <c r="L334" s="231"/>
      <c r="M334" s="231"/>
      <c r="N334" s="231"/>
      <c r="O334" s="231"/>
      <c r="P334" s="231"/>
      <c r="Q334" s="231"/>
      <c r="R334" s="231"/>
      <c r="S334" s="231"/>
      <c r="T334" s="231"/>
      <c r="U334" s="231"/>
      <c r="V334" s="231"/>
      <c r="W334" s="231"/>
      <c r="X334" s="231"/>
      <c r="Y334" s="231"/>
      <c r="Z334" s="231"/>
      <c r="AA334" s="231"/>
      <c r="AB334" s="231"/>
      <c r="AC334" s="231"/>
      <c r="AD334" s="231"/>
      <c r="AE334" s="231"/>
      <c r="AF334" s="231"/>
    </row>
    <row r="335" spans="1:32" s="203" customFormat="1">
      <c r="A335" s="679">
        <v>4</v>
      </c>
      <c r="B335" s="47" t="s">
        <v>245</v>
      </c>
      <c r="C335" s="99">
        <v>1706</v>
      </c>
      <c r="D335" s="99"/>
      <c r="E335" s="99"/>
      <c r="F335" s="99"/>
      <c r="G335" s="99"/>
      <c r="H335" s="99"/>
      <c r="I335" s="207"/>
      <c r="J335" s="231"/>
      <c r="K335" s="231"/>
      <c r="L335" s="231"/>
      <c r="M335" s="231"/>
      <c r="N335" s="231"/>
      <c r="O335" s="231"/>
      <c r="P335" s="231"/>
      <c r="Q335" s="231"/>
      <c r="R335" s="231"/>
      <c r="S335" s="231"/>
      <c r="T335" s="231"/>
      <c r="U335" s="231"/>
      <c r="V335" s="231"/>
      <c r="W335" s="231"/>
      <c r="X335" s="231"/>
      <c r="Y335" s="231"/>
      <c r="Z335" s="231"/>
      <c r="AA335" s="231"/>
      <c r="AB335" s="231"/>
      <c r="AC335" s="231"/>
      <c r="AD335" s="231"/>
      <c r="AE335" s="231"/>
      <c r="AF335" s="231"/>
    </row>
    <row r="336" spans="1:32" s="203" customFormat="1">
      <c r="A336" s="680">
        <v>5</v>
      </c>
      <c r="B336" s="54" t="s">
        <v>246</v>
      </c>
      <c r="C336" s="100">
        <v>0</v>
      </c>
      <c r="D336" s="100"/>
      <c r="E336" s="100"/>
      <c r="F336" s="100"/>
      <c r="G336" s="100"/>
      <c r="H336" s="100"/>
      <c r="I336" s="207"/>
      <c r="J336" s="231"/>
      <c r="K336" s="231"/>
      <c r="L336" s="231"/>
      <c r="M336" s="231"/>
      <c r="N336" s="231"/>
      <c r="O336" s="231"/>
      <c r="P336" s="231"/>
      <c r="Q336" s="231"/>
      <c r="R336" s="231"/>
      <c r="S336" s="231"/>
      <c r="T336" s="231"/>
      <c r="U336" s="231"/>
      <c r="V336" s="231"/>
      <c r="W336" s="231"/>
      <c r="X336" s="231"/>
      <c r="Y336" s="231"/>
      <c r="Z336" s="231"/>
      <c r="AA336" s="231"/>
      <c r="AB336" s="231"/>
      <c r="AC336" s="231"/>
      <c r="AD336" s="231"/>
      <c r="AE336" s="231"/>
      <c r="AF336" s="231"/>
    </row>
    <row r="337" spans="1:32" s="203" customFormat="1">
      <c r="A337" s="23"/>
      <c r="B337" s="207"/>
      <c r="C337" s="207"/>
      <c r="D337" s="207"/>
      <c r="E337" s="207"/>
      <c r="F337" s="207"/>
      <c r="G337" s="207"/>
      <c r="H337" s="21"/>
      <c r="I337" s="21"/>
      <c r="J337" s="231"/>
      <c r="K337" s="231"/>
      <c r="L337" s="231"/>
      <c r="M337" s="231"/>
      <c r="N337" s="231"/>
      <c r="O337" s="231"/>
      <c r="P337" s="231"/>
      <c r="Q337" s="231"/>
      <c r="R337" s="231"/>
      <c r="S337" s="231"/>
      <c r="T337" s="231"/>
      <c r="U337" s="231"/>
      <c r="V337" s="231"/>
      <c r="W337" s="231"/>
      <c r="X337" s="231"/>
      <c r="Y337" s="231"/>
      <c r="Z337" s="231"/>
      <c r="AA337" s="231"/>
      <c r="AB337" s="231"/>
      <c r="AC337" s="231"/>
      <c r="AD337" s="231"/>
      <c r="AE337" s="231"/>
      <c r="AF337" s="231"/>
    </row>
    <row r="338" spans="1:32" s="203" customFormat="1" ht="12.75" customHeight="1">
      <c r="A338" s="23"/>
      <c r="B338" s="207"/>
      <c r="C338" s="207"/>
      <c r="D338" s="207"/>
      <c r="E338" s="207"/>
      <c r="F338" s="207"/>
      <c r="G338" s="207"/>
      <c r="H338" s="21"/>
      <c r="I338" s="21"/>
      <c r="J338" s="231"/>
      <c r="K338" s="231"/>
      <c r="L338" s="231"/>
      <c r="M338" s="231"/>
      <c r="N338" s="231"/>
      <c r="O338" s="231"/>
      <c r="P338" s="231"/>
      <c r="Q338" s="231"/>
      <c r="R338" s="231"/>
      <c r="S338" s="231"/>
      <c r="T338" s="231"/>
      <c r="U338" s="231"/>
      <c r="V338" s="231"/>
      <c r="W338" s="231"/>
      <c r="X338" s="231"/>
      <c r="Y338" s="231"/>
      <c r="Z338" s="231"/>
      <c r="AA338" s="231"/>
      <c r="AB338" s="231"/>
      <c r="AC338" s="231"/>
      <c r="AD338" s="231"/>
      <c r="AE338" s="231"/>
      <c r="AF338" s="231"/>
    </row>
    <row r="339" spans="1:32" s="203" customFormat="1">
      <c r="A339" s="23"/>
      <c r="B339" s="207"/>
      <c r="C339" s="207"/>
      <c r="D339" s="207"/>
      <c r="E339" s="207"/>
      <c r="F339" s="207"/>
      <c r="G339" s="207"/>
      <c r="H339" s="21"/>
      <c r="I339" s="21"/>
      <c r="J339" s="231"/>
      <c r="K339" s="231"/>
      <c r="L339" s="231"/>
      <c r="M339" s="231"/>
      <c r="N339" s="231"/>
      <c r="O339" s="231"/>
      <c r="P339" s="231"/>
      <c r="Q339" s="231"/>
      <c r="R339" s="231"/>
      <c r="S339" s="231"/>
      <c r="T339" s="231"/>
      <c r="U339" s="231"/>
      <c r="V339" s="231"/>
      <c r="W339" s="231"/>
      <c r="X339" s="231"/>
      <c r="Y339" s="231"/>
      <c r="Z339" s="231"/>
      <c r="AA339" s="231"/>
      <c r="AB339" s="231"/>
      <c r="AC339" s="231"/>
      <c r="AD339" s="231"/>
      <c r="AE339" s="231"/>
      <c r="AF339" s="231"/>
    </row>
    <row r="340" spans="1:32" s="203" customFormat="1">
      <c r="A340" s="23"/>
      <c r="B340" s="207"/>
      <c r="C340" s="207"/>
      <c r="D340" s="207"/>
      <c r="E340" s="207"/>
      <c r="F340" s="207"/>
      <c r="G340" s="207"/>
      <c r="H340" s="131" t="s">
        <v>27</v>
      </c>
      <c r="I340" s="21"/>
      <c r="J340" s="231"/>
      <c r="K340" s="231"/>
      <c r="L340" s="231"/>
      <c r="M340" s="231"/>
      <c r="N340" s="231"/>
      <c r="O340" s="231"/>
      <c r="P340" s="231"/>
      <c r="Q340" s="231"/>
      <c r="R340" s="231"/>
      <c r="S340" s="231"/>
      <c r="T340" s="231"/>
      <c r="U340" s="231"/>
      <c r="V340" s="231"/>
      <c r="W340" s="231"/>
      <c r="X340" s="231"/>
      <c r="Y340" s="231"/>
      <c r="Z340" s="231"/>
      <c r="AA340" s="231"/>
      <c r="AB340" s="231"/>
      <c r="AC340" s="231"/>
      <c r="AD340" s="231"/>
      <c r="AE340" s="231"/>
      <c r="AF340" s="231"/>
    </row>
    <row r="341" spans="1:32" s="203" customFormat="1">
      <c r="A341" s="197"/>
      <c r="B341" s="69"/>
      <c r="C341" s="69"/>
      <c r="D341" s="69"/>
      <c r="E341" s="856" t="s">
        <v>377</v>
      </c>
      <c r="F341" s="853" t="s">
        <v>402</v>
      </c>
      <c r="G341" s="207"/>
      <c r="H341" s="856" t="s">
        <v>403</v>
      </c>
      <c r="I341" s="21"/>
      <c r="J341" s="231"/>
      <c r="K341" s="231"/>
      <c r="L341" s="231"/>
      <c r="M341" s="231"/>
      <c r="N341" s="231"/>
      <c r="O341" s="231"/>
      <c r="P341" s="231"/>
      <c r="Q341" s="231"/>
      <c r="R341" s="231"/>
      <c r="S341" s="231"/>
      <c r="T341" s="231"/>
      <c r="U341" s="231"/>
      <c r="V341" s="231"/>
      <c r="W341" s="231"/>
      <c r="X341" s="231"/>
      <c r="Y341" s="231"/>
      <c r="Z341" s="231"/>
      <c r="AA341" s="231"/>
      <c r="AB341" s="231"/>
      <c r="AC341" s="231"/>
      <c r="AD341" s="231"/>
      <c r="AE341" s="231"/>
      <c r="AF341" s="231"/>
    </row>
    <row r="342" spans="1:32" s="203" customFormat="1">
      <c r="A342" s="144" t="s">
        <v>261</v>
      </c>
      <c r="B342" s="116"/>
      <c r="C342" s="116"/>
      <c r="D342" s="116"/>
      <c r="E342" s="859"/>
      <c r="F342" s="854"/>
      <c r="G342" s="207"/>
      <c r="H342" s="857"/>
      <c r="I342" s="21"/>
      <c r="J342" s="231"/>
      <c r="K342" s="231"/>
      <c r="L342" s="231"/>
      <c r="M342" s="231"/>
      <c r="N342" s="231"/>
      <c r="O342" s="231"/>
      <c r="P342" s="231"/>
      <c r="Q342" s="231"/>
      <c r="R342" s="231"/>
      <c r="S342" s="231"/>
      <c r="T342" s="231"/>
      <c r="U342" s="231"/>
      <c r="V342" s="231"/>
      <c r="W342" s="231"/>
      <c r="X342" s="231"/>
      <c r="Y342" s="231"/>
      <c r="Z342" s="231"/>
      <c r="AA342" s="231"/>
      <c r="AB342" s="231"/>
      <c r="AC342" s="231"/>
      <c r="AD342" s="231"/>
      <c r="AE342" s="231"/>
      <c r="AF342" s="231"/>
    </row>
    <row r="343" spans="1:32" s="203" customFormat="1">
      <c r="A343" s="119"/>
      <c r="B343" s="116"/>
      <c r="C343" s="116"/>
      <c r="D343" s="116"/>
      <c r="E343" s="859"/>
      <c r="F343" s="854"/>
      <c r="G343" s="207"/>
      <c r="H343" s="857"/>
      <c r="I343" s="21"/>
      <c r="J343" s="231"/>
      <c r="K343" s="231"/>
      <c r="L343" s="231"/>
      <c r="M343" s="231"/>
      <c r="N343" s="231"/>
      <c r="O343" s="231"/>
      <c r="P343" s="231"/>
      <c r="Q343" s="231"/>
      <c r="R343" s="231"/>
      <c r="S343" s="231"/>
      <c r="T343" s="231"/>
      <c r="U343" s="231"/>
      <c r="V343" s="231"/>
      <c r="W343" s="231"/>
      <c r="X343" s="231"/>
      <c r="Y343" s="231"/>
      <c r="Z343" s="231"/>
      <c r="AA343" s="231"/>
      <c r="AB343" s="231"/>
      <c r="AC343" s="231"/>
      <c r="AD343" s="231"/>
      <c r="AE343" s="231"/>
      <c r="AF343" s="231"/>
    </row>
    <row r="344" spans="1:32" s="203" customFormat="1">
      <c r="A344" s="198" t="s">
        <v>262</v>
      </c>
      <c r="B344" s="116"/>
      <c r="C344" s="116"/>
      <c r="D344" s="116"/>
      <c r="E344" s="859"/>
      <c r="F344" s="854"/>
      <c r="G344" s="207"/>
      <c r="H344" s="857"/>
      <c r="I344" s="21"/>
      <c r="J344" s="231"/>
      <c r="K344" s="231"/>
      <c r="L344" s="231"/>
      <c r="M344" s="231"/>
      <c r="N344" s="231"/>
      <c r="O344" s="231"/>
      <c r="P344" s="231"/>
      <c r="Q344" s="231"/>
      <c r="R344" s="231"/>
      <c r="S344" s="231"/>
      <c r="T344" s="231"/>
      <c r="U344" s="231"/>
      <c r="V344" s="231"/>
      <c r="W344" s="231"/>
      <c r="X344" s="231"/>
      <c r="Y344" s="231"/>
      <c r="Z344" s="231"/>
      <c r="AA344" s="231"/>
      <c r="AB344" s="231"/>
      <c r="AC344" s="231"/>
      <c r="AD344" s="231"/>
      <c r="AE344" s="231"/>
      <c r="AF344" s="231"/>
    </row>
    <row r="345" spans="1:32" s="203" customFormat="1">
      <c r="A345" s="198" t="s">
        <v>330</v>
      </c>
      <c r="B345" s="116"/>
      <c r="C345" s="116"/>
      <c r="D345" s="116"/>
      <c r="E345" s="860"/>
      <c r="F345" s="855"/>
      <c r="G345" s="207"/>
      <c r="H345" s="858"/>
      <c r="I345" s="21"/>
      <c r="J345" s="231"/>
      <c r="K345" s="231"/>
      <c r="L345" s="231"/>
      <c r="M345" s="231"/>
      <c r="N345" s="231"/>
      <c r="O345" s="231"/>
      <c r="P345" s="231"/>
      <c r="Q345" s="231"/>
      <c r="R345" s="231"/>
      <c r="S345" s="231"/>
      <c r="T345" s="231"/>
      <c r="U345" s="231"/>
      <c r="V345" s="231"/>
      <c r="W345" s="231"/>
      <c r="X345" s="231"/>
      <c r="Y345" s="231"/>
      <c r="Z345" s="231"/>
      <c r="AA345" s="231"/>
      <c r="AB345" s="231"/>
      <c r="AC345" s="231"/>
      <c r="AD345" s="231"/>
      <c r="AE345" s="231"/>
      <c r="AF345" s="231"/>
    </row>
    <row r="346" spans="1:32" s="203" customFormat="1">
      <c r="A346" s="119"/>
      <c r="B346" s="47"/>
      <c r="C346" s="116"/>
      <c r="D346" s="116"/>
      <c r="E346" s="178"/>
      <c r="F346" s="146"/>
      <c r="G346" s="23"/>
      <c r="H346" s="264"/>
      <c r="I346" s="21"/>
      <c r="J346" s="231"/>
      <c r="K346" s="231"/>
      <c r="L346" s="231"/>
      <c r="M346" s="231"/>
      <c r="N346" s="231"/>
      <c r="O346" s="231"/>
      <c r="P346" s="231"/>
      <c r="Q346" s="231"/>
      <c r="R346" s="231"/>
      <c r="S346" s="231"/>
      <c r="T346" s="231"/>
      <c r="U346" s="231"/>
      <c r="V346" s="231"/>
      <c r="W346" s="231"/>
      <c r="X346" s="231"/>
      <c r="Y346" s="231"/>
      <c r="Z346" s="231"/>
      <c r="AA346" s="231"/>
      <c r="AB346" s="231"/>
      <c r="AC346" s="231"/>
      <c r="AD346" s="231"/>
      <c r="AE346" s="231"/>
      <c r="AF346" s="231"/>
    </row>
    <row r="347" spans="1:32" s="203" customFormat="1">
      <c r="A347" s="679">
        <v>1</v>
      </c>
      <c r="B347" s="47" t="s">
        <v>263</v>
      </c>
      <c r="C347" s="116"/>
      <c r="D347" s="116"/>
      <c r="E347" s="354">
        <v>6693</v>
      </c>
      <c r="F347" s="265">
        <v>6357</v>
      </c>
      <c r="G347" s="43"/>
      <c r="H347" s="126">
        <v>6540</v>
      </c>
      <c r="I347" s="86"/>
      <c r="J347" s="231"/>
      <c r="K347" s="231"/>
      <c r="L347" s="231"/>
      <c r="M347" s="231"/>
      <c r="N347" s="231"/>
      <c r="O347" s="231"/>
      <c r="P347" s="231"/>
      <c r="Q347" s="231"/>
      <c r="R347" s="231"/>
      <c r="S347" s="231"/>
      <c r="T347" s="231"/>
      <c r="U347" s="231"/>
      <c r="V347" s="231"/>
      <c r="W347" s="231"/>
      <c r="X347" s="231"/>
      <c r="Y347" s="231"/>
      <c r="Z347" s="231"/>
      <c r="AA347" s="231"/>
      <c r="AB347" s="231"/>
      <c r="AC347" s="231"/>
      <c r="AD347" s="231"/>
      <c r="AE347" s="231"/>
      <c r="AF347" s="231"/>
    </row>
    <row r="348" spans="1:32" s="203" customFormat="1">
      <c r="A348" s="679"/>
      <c r="B348" s="47"/>
      <c r="C348" s="116"/>
      <c r="D348" s="116"/>
      <c r="E348" s="355"/>
      <c r="F348" s="188"/>
      <c r="G348" s="43"/>
      <c r="H348" s="188"/>
      <c r="I348" s="86"/>
      <c r="J348" s="231"/>
      <c r="K348" s="231"/>
      <c r="L348" s="231"/>
      <c r="M348" s="231"/>
      <c r="N348" s="231"/>
      <c r="O348" s="231"/>
      <c r="P348" s="231"/>
      <c r="Q348" s="231"/>
      <c r="R348" s="231"/>
      <c r="S348" s="231"/>
      <c r="T348" s="231"/>
      <c r="U348" s="231"/>
      <c r="V348" s="231"/>
      <c r="W348" s="231"/>
      <c r="X348" s="231"/>
      <c r="Y348" s="231"/>
      <c r="Z348" s="231"/>
      <c r="AA348" s="231"/>
      <c r="AB348" s="231"/>
      <c r="AC348" s="231"/>
      <c r="AD348" s="231"/>
      <c r="AE348" s="231"/>
      <c r="AF348" s="231"/>
    </row>
    <row r="349" spans="1:32" s="203" customFormat="1">
      <c r="A349" s="108" t="s">
        <v>378</v>
      </c>
      <c r="B349" s="47"/>
      <c r="C349" s="116"/>
      <c r="D349" s="116"/>
      <c r="E349" s="355"/>
      <c r="F349" s="188"/>
      <c r="G349" s="43"/>
      <c r="H349" s="188"/>
      <c r="I349" s="86"/>
      <c r="J349" s="231"/>
      <c r="K349" s="231"/>
      <c r="L349" s="231"/>
      <c r="M349" s="231"/>
      <c r="N349" s="231"/>
      <c r="O349" s="231"/>
      <c r="P349" s="231"/>
      <c r="Q349" s="231"/>
      <c r="R349" s="231"/>
      <c r="S349" s="231"/>
      <c r="T349" s="231"/>
      <c r="U349" s="231"/>
      <c r="V349" s="231"/>
      <c r="W349" s="231"/>
      <c r="X349" s="231"/>
      <c r="Y349" s="231"/>
      <c r="Z349" s="231"/>
      <c r="AA349" s="231"/>
      <c r="AB349" s="231"/>
      <c r="AC349" s="231"/>
      <c r="AD349" s="231"/>
      <c r="AE349" s="231"/>
      <c r="AF349" s="231"/>
    </row>
    <row r="350" spans="1:32" s="203" customFormat="1">
      <c r="A350" s="679"/>
      <c r="B350" s="47"/>
      <c r="C350" s="116"/>
      <c r="D350" s="116"/>
      <c r="E350" s="355"/>
      <c r="F350" s="188"/>
      <c r="G350" s="43"/>
      <c r="H350" s="188"/>
      <c r="I350" s="86"/>
      <c r="J350" s="231"/>
      <c r="K350" s="231"/>
      <c r="L350" s="231"/>
      <c r="M350" s="231"/>
      <c r="N350" s="231"/>
      <c r="O350" s="231"/>
      <c r="P350" s="231"/>
      <c r="Q350" s="231"/>
      <c r="R350" s="231"/>
      <c r="S350" s="231"/>
      <c r="T350" s="231"/>
      <c r="U350" s="231"/>
      <c r="V350" s="231"/>
      <c r="W350" s="231"/>
      <c r="X350" s="231"/>
      <c r="Y350" s="231"/>
      <c r="Z350" s="231"/>
      <c r="AA350" s="231"/>
      <c r="AB350" s="231"/>
      <c r="AC350" s="231"/>
      <c r="AD350" s="231"/>
      <c r="AE350" s="231"/>
      <c r="AF350" s="231"/>
    </row>
    <row r="351" spans="1:32" s="203" customFormat="1">
      <c r="A351" s="198" t="s">
        <v>379</v>
      </c>
      <c r="B351" s="47"/>
      <c r="C351" s="116"/>
      <c r="D351" s="116"/>
      <c r="E351" s="355"/>
      <c r="F351" s="188"/>
      <c r="G351" s="43"/>
      <c r="H351" s="188"/>
      <c r="I351" s="86"/>
      <c r="J351" s="231"/>
      <c r="K351" s="231"/>
      <c r="L351" s="231"/>
      <c r="M351" s="231"/>
      <c r="N351" s="231"/>
      <c r="O351" s="231"/>
      <c r="P351" s="231"/>
      <c r="Q351" s="231"/>
      <c r="R351" s="231"/>
      <c r="S351" s="231"/>
      <c r="T351" s="231"/>
      <c r="U351" s="231"/>
      <c r="V351" s="231"/>
      <c r="W351" s="231"/>
      <c r="X351" s="231"/>
      <c r="Y351" s="231"/>
      <c r="Z351" s="231"/>
      <c r="AA351" s="231"/>
      <c r="AB351" s="231"/>
      <c r="AC351" s="231"/>
      <c r="AD351" s="231"/>
      <c r="AE351" s="231"/>
      <c r="AF351" s="231"/>
    </row>
    <row r="352" spans="1:32" s="203" customFormat="1">
      <c r="A352" s="679"/>
      <c r="B352" s="47"/>
      <c r="C352" s="116"/>
      <c r="D352" s="116"/>
      <c r="E352" s="355"/>
      <c r="F352" s="188"/>
      <c r="G352" s="43"/>
      <c r="H352" s="188"/>
      <c r="I352" s="86"/>
      <c r="J352" s="231"/>
      <c r="K352" s="231"/>
      <c r="L352" s="231"/>
      <c r="M352" s="231"/>
      <c r="N352" s="231"/>
      <c r="O352" s="231"/>
      <c r="P352" s="231"/>
      <c r="Q352" s="231"/>
      <c r="R352" s="231"/>
      <c r="S352" s="231"/>
      <c r="T352" s="231"/>
      <c r="U352" s="231"/>
      <c r="V352" s="231"/>
      <c r="W352" s="231"/>
      <c r="X352" s="231"/>
      <c r="Y352" s="231"/>
      <c r="Z352" s="231"/>
      <c r="AA352" s="231"/>
      <c r="AB352" s="231"/>
      <c r="AC352" s="231"/>
      <c r="AD352" s="231"/>
      <c r="AE352" s="231"/>
      <c r="AF352" s="231"/>
    </row>
    <row r="353" spans="1:32" s="203" customFormat="1">
      <c r="A353" s="679">
        <v>2</v>
      </c>
      <c r="B353" s="47" t="s">
        <v>52</v>
      </c>
      <c r="C353" s="116"/>
      <c r="D353" s="116"/>
      <c r="E353" s="74">
        <v>0</v>
      </c>
      <c r="F353" s="265"/>
      <c r="G353" s="43"/>
      <c r="H353" s="126"/>
      <c r="I353" s="86"/>
      <c r="J353" s="231"/>
      <c r="K353" s="231"/>
      <c r="L353" s="231"/>
      <c r="M353" s="231"/>
      <c r="N353" s="231"/>
      <c r="O353" s="231"/>
      <c r="P353" s="231"/>
      <c r="Q353" s="231"/>
      <c r="R353" s="231"/>
      <c r="S353" s="231"/>
      <c r="T353" s="231"/>
      <c r="U353" s="231"/>
      <c r="V353" s="231"/>
      <c r="W353" s="231"/>
      <c r="X353" s="231"/>
      <c r="Y353" s="231"/>
      <c r="Z353" s="231"/>
      <c r="AA353" s="231"/>
      <c r="AB353" s="231"/>
      <c r="AC353" s="231"/>
      <c r="AD353" s="231"/>
      <c r="AE353" s="231"/>
      <c r="AF353" s="231"/>
    </row>
    <row r="354" spans="1:32" s="203" customFormat="1">
      <c r="A354" s="679">
        <v>3</v>
      </c>
      <c r="B354" s="47" t="s">
        <v>53</v>
      </c>
      <c r="C354" s="116"/>
      <c r="D354" s="116"/>
      <c r="E354" s="49">
        <v>0</v>
      </c>
      <c r="F354" s="265">
        <v>245</v>
      </c>
      <c r="G354" s="43"/>
      <c r="H354" s="126">
        <v>10</v>
      </c>
      <c r="I354" s="86"/>
      <c r="J354" s="231"/>
      <c r="K354" s="231"/>
      <c r="L354" s="231"/>
      <c r="M354" s="231"/>
      <c r="N354" s="231"/>
      <c r="O354" s="231"/>
      <c r="P354" s="231"/>
      <c r="Q354" s="231"/>
      <c r="R354" s="231"/>
      <c r="S354" s="231"/>
      <c r="T354" s="231"/>
      <c r="U354" s="231"/>
      <c r="V354" s="231"/>
      <c r="W354" s="231"/>
      <c r="X354" s="231"/>
      <c r="Y354" s="231"/>
      <c r="Z354" s="231"/>
      <c r="AA354" s="231"/>
      <c r="AB354" s="231"/>
      <c r="AC354" s="231"/>
      <c r="AD354" s="231"/>
      <c r="AE354" s="231"/>
      <c r="AF354" s="231"/>
    </row>
    <row r="355" spans="1:32" s="203" customFormat="1">
      <c r="A355" s="679">
        <v>4</v>
      </c>
      <c r="B355" s="47" t="s">
        <v>54</v>
      </c>
      <c r="C355" s="116"/>
      <c r="D355" s="116"/>
      <c r="E355" s="49">
        <v>820</v>
      </c>
      <c r="F355" s="265">
        <v>820</v>
      </c>
      <c r="G355" s="43"/>
      <c r="H355" s="126"/>
      <c r="I355" s="86"/>
      <c r="J355" s="231"/>
      <c r="K355" s="231"/>
      <c r="L355" s="231"/>
      <c r="M355" s="231"/>
      <c r="N355" s="231"/>
      <c r="O355" s="231"/>
      <c r="P355" s="231"/>
      <c r="Q355" s="231"/>
      <c r="R355" s="231"/>
      <c r="S355" s="231"/>
      <c r="T355" s="231"/>
      <c r="U355" s="231"/>
      <c r="V355" s="231"/>
      <c r="W355" s="231"/>
      <c r="X355" s="231"/>
      <c r="Y355" s="231"/>
      <c r="Z355" s="231"/>
      <c r="AA355" s="231"/>
      <c r="AB355" s="231"/>
      <c r="AC355" s="231"/>
      <c r="AD355" s="231"/>
      <c r="AE355" s="231"/>
      <c r="AF355" s="231"/>
    </row>
    <row r="356" spans="1:32" s="203" customFormat="1">
      <c r="A356" s="679">
        <v>5</v>
      </c>
      <c r="B356" s="47" t="s">
        <v>55</v>
      </c>
      <c r="C356" s="116"/>
      <c r="D356" s="116"/>
      <c r="E356" s="49">
        <v>0</v>
      </c>
      <c r="F356" s="265"/>
      <c r="G356" s="43"/>
      <c r="H356" s="126"/>
      <c r="I356" s="86"/>
      <c r="J356" s="231"/>
      <c r="K356" s="231"/>
      <c r="L356" s="231"/>
      <c r="M356" s="231"/>
      <c r="N356" s="231"/>
      <c r="O356" s="231"/>
      <c r="P356" s="231"/>
      <c r="Q356" s="231"/>
      <c r="R356" s="231"/>
      <c r="S356" s="231"/>
      <c r="T356" s="231"/>
      <c r="U356" s="231"/>
      <c r="V356" s="231"/>
      <c r="W356" s="231"/>
      <c r="X356" s="231"/>
      <c r="Y356" s="231"/>
      <c r="Z356" s="231"/>
      <c r="AA356" s="231"/>
      <c r="AB356" s="231"/>
      <c r="AC356" s="231"/>
      <c r="AD356" s="231"/>
      <c r="AE356" s="231"/>
      <c r="AF356" s="231"/>
    </row>
    <row r="357" spans="1:32" s="203" customFormat="1">
      <c r="A357" s="679">
        <v>6</v>
      </c>
      <c r="B357" s="47" t="s">
        <v>56</v>
      </c>
      <c r="C357" s="116"/>
      <c r="D357" s="116"/>
      <c r="E357" s="49">
        <v>0</v>
      </c>
      <c r="F357" s="265"/>
      <c r="G357" s="43"/>
      <c r="H357" s="126"/>
      <c r="I357" s="86"/>
      <c r="J357" s="231"/>
      <c r="K357" s="231"/>
      <c r="L357" s="231"/>
      <c r="M357" s="231"/>
      <c r="N357" s="231"/>
      <c r="O357" s="231"/>
      <c r="P357" s="231"/>
      <c r="Q357" s="231"/>
      <c r="R357" s="231"/>
      <c r="S357" s="231"/>
      <c r="T357" s="231"/>
      <c r="U357" s="231"/>
      <c r="V357" s="231"/>
      <c r="W357" s="231"/>
      <c r="X357" s="231"/>
      <c r="Y357" s="231"/>
      <c r="Z357" s="231"/>
      <c r="AA357" s="231"/>
      <c r="AB357" s="231"/>
      <c r="AC357" s="231"/>
      <c r="AD357" s="231"/>
      <c r="AE357" s="231"/>
      <c r="AF357" s="231"/>
    </row>
    <row r="358" spans="1:32" s="203" customFormat="1">
      <c r="A358" s="679">
        <v>7</v>
      </c>
      <c r="B358" s="47" t="s">
        <v>57</v>
      </c>
      <c r="C358" s="116"/>
      <c r="D358" s="116"/>
      <c r="E358" s="49">
        <v>1757</v>
      </c>
      <c r="F358" s="265">
        <v>1755</v>
      </c>
      <c r="G358" s="43"/>
      <c r="H358" s="126"/>
      <c r="I358" s="86"/>
      <c r="J358" s="231"/>
      <c r="K358" s="231"/>
      <c r="L358" s="231"/>
      <c r="M358" s="231"/>
      <c r="N358" s="231"/>
      <c r="O358" s="231"/>
      <c r="P358" s="231"/>
      <c r="Q358" s="231"/>
      <c r="R358" s="231"/>
      <c r="S358" s="231"/>
      <c r="T358" s="231"/>
      <c r="U358" s="231"/>
      <c r="V358" s="231"/>
      <c r="W358" s="231"/>
      <c r="X358" s="231"/>
      <c r="Y358" s="231"/>
      <c r="Z358" s="231"/>
      <c r="AA358" s="231"/>
      <c r="AB358" s="231"/>
      <c r="AC358" s="231"/>
      <c r="AD358" s="231"/>
      <c r="AE358" s="231"/>
      <c r="AF358" s="231"/>
    </row>
    <row r="359" spans="1:32" s="203" customFormat="1">
      <c r="A359" s="679">
        <v>8</v>
      </c>
      <c r="B359" s="47" t="s">
        <v>58</v>
      </c>
      <c r="C359" s="116"/>
      <c r="D359" s="116"/>
      <c r="E359" s="49">
        <v>406</v>
      </c>
      <c r="F359" s="265">
        <v>406</v>
      </c>
      <c r="G359" s="43"/>
      <c r="H359" s="126">
        <v>356</v>
      </c>
      <c r="I359" s="86"/>
      <c r="J359" s="231"/>
      <c r="K359" s="231"/>
      <c r="L359" s="231"/>
      <c r="M359" s="231"/>
      <c r="N359" s="231"/>
      <c r="O359" s="231"/>
      <c r="P359" s="231"/>
      <c r="Q359" s="231"/>
      <c r="R359" s="231"/>
      <c r="S359" s="231"/>
      <c r="T359" s="231"/>
      <c r="U359" s="231"/>
      <c r="V359" s="231"/>
      <c r="W359" s="231"/>
      <c r="X359" s="231"/>
      <c r="Y359" s="231"/>
      <c r="Z359" s="231"/>
      <c r="AA359" s="231"/>
      <c r="AB359" s="231"/>
      <c r="AC359" s="231"/>
      <c r="AD359" s="231"/>
      <c r="AE359" s="231"/>
      <c r="AF359" s="231"/>
    </row>
    <row r="360" spans="1:32" s="203" customFormat="1">
      <c r="A360" s="679">
        <v>9</v>
      </c>
      <c r="B360" s="47" t="s">
        <v>59</v>
      </c>
      <c r="C360" s="116"/>
      <c r="D360" s="116"/>
      <c r="E360" s="49">
        <v>0</v>
      </c>
      <c r="F360" s="265"/>
      <c r="G360" s="43"/>
      <c r="H360" s="126"/>
      <c r="I360" s="86"/>
      <c r="J360" s="231"/>
      <c r="K360" s="231"/>
      <c r="L360" s="231"/>
      <c r="M360" s="231"/>
      <c r="N360" s="231"/>
      <c r="O360" s="231"/>
      <c r="P360" s="231"/>
      <c r="Q360" s="231"/>
      <c r="R360" s="231"/>
      <c r="S360" s="231"/>
      <c r="T360" s="231"/>
      <c r="U360" s="231"/>
      <c r="V360" s="231"/>
      <c r="W360" s="231"/>
      <c r="X360" s="231"/>
      <c r="Y360" s="231"/>
      <c r="Z360" s="231"/>
      <c r="AA360" s="231"/>
      <c r="AB360" s="231"/>
      <c r="AC360" s="231"/>
      <c r="AD360" s="231"/>
      <c r="AE360" s="231"/>
      <c r="AF360" s="231"/>
    </row>
    <row r="361" spans="1:32" s="203" customFormat="1">
      <c r="A361" s="679">
        <v>10</v>
      </c>
      <c r="B361" s="47" t="s">
        <v>60</v>
      </c>
      <c r="C361" s="116"/>
      <c r="D361" s="116"/>
      <c r="E361" s="49">
        <v>0</v>
      </c>
      <c r="F361" s="265"/>
      <c r="G361" s="43"/>
      <c r="H361" s="126"/>
      <c r="I361" s="86"/>
      <c r="J361" s="231"/>
      <c r="K361" s="231"/>
      <c r="L361" s="231"/>
      <c r="M361" s="231"/>
      <c r="N361" s="231"/>
      <c r="O361" s="231"/>
      <c r="P361" s="231"/>
      <c r="Q361" s="231"/>
      <c r="R361" s="231"/>
      <c r="S361" s="231"/>
      <c r="T361" s="231"/>
      <c r="U361" s="231"/>
      <c r="V361" s="231"/>
      <c r="W361" s="231"/>
      <c r="X361" s="231"/>
      <c r="Y361" s="231"/>
      <c r="Z361" s="231"/>
      <c r="AA361" s="231"/>
      <c r="AB361" s="231"/>
      <c r="AC361" s="231"/>
      <c r="AD361" s="231"/>
      <c r="AE361" s="231"/>
      <c r="AF361" s="231"/>
    </row>
    <row r="362" spans="1:32" s="203" customFormat="1">
      <c r="A362" s="679">
        <v>11</v>
      </c>
      <c r="B362" s="47" t="s">
        <v>61</v>
      </c>
      <c r="C362" s="116"/>
      <c r="D362" s="116"/>
      <c r="E362" s="49">
        <v>0</v>
      </c>
      <c r="F362" s="265">
        <v>2127</v>
      </c>
      <c r="G362" s="43"/>
      <c r="H362" s="126">
        <v>150</v>
      </c>
      <c r="I362" s="86"/>
      <c r="J362" s="231"/>
      <c r="K362" s="231"/>
      <c r="L362" s="231"/>
      <c r="M362" s="231"/>
      <c r="N362" s="231"/>
      <c r="O362" s="231"/>
      <c r="P362" s="231"/>
      <c r="Q362" s="231"/>
      <c r="R362" s="231"/>
      <c r="S362" s="231"/>
      <c r="T362" s="231"/>
      <c r="U362" s="231"/>
      <c r="V362" s="231"/>
      <c r="W362" s="231"/>
      <c r="X362" s="231"/>
      <c r="Y362" s="231"/>
      <c r="Z362" s="231"/>
      <c r="AA362" s="231"/>
      <c r="AB362" s="231"/>
      <c r="AC362" s="231"/>
      <c r="AD362" s="231"/>
      <c r="AE362" s="231"/>
      <c r="AF362" s="231"/>
    </row>
    <row r="363" spans="1:32" s="203" customFormat="1">
      <c r="A363" s="680">
        <v>12</v>
      </c>
      <c r="B363" s="54" t="s">
        <v>380</v>
      </c>
      <c r="C363" s="94"/>
      <c r="D363" s="94"/>
      <c r="E363" s="135">
        <v>2983</v>
      </c>
      <c r="F363" s="61">
        <f>SUM(F353:F362)</f>
        <v>5353</v>
      </c>
      <c r="G363" s="43"/>
      <c r="H363" s="61">
        <f>SUM(H353:H362)</f>
        <v>516</v>
      </c>
      <c r="I363" s="86"/>
      <c r="J363" s="231"/>
      <c r="K363" s="231"/>
      <c r="L363" s="231"/>
      <c r="M363" s="231"/>
      <c r="N363" s="231"/>
      <c r="O363" s="231"/>
      <c r="P363" s="231"/>
      <c r="Q363" s="231"/>
      <c r="R363" s="231"/>
      <c r="S363" s="231"/>
      <c r="T363" s="231"/>
      <c r="U363" s="231"/>
      <c r="V363" s="231"/>
      <c r="W363" s="231"/>
      <c r="X363" s="231"/>
      <c r="Y363" s="231"/>
      <c r="Z363" s="231"/>
      <c r="AA363" s="231"/>
      <c r="AB363" s="231"/>
      <c r="AC363" s="231"/>
      <c r="AD363" s="231"/>
      <c r="AE363" s="231"/>
      <c r="AF363" s="231"/>
    </row>
    <row r="364" spans="1:32" s="203" customFormat="1">
      <c r="A364" s="199"/>
      <c r="B364" s="15"/>
      <c r="C364" s="15"/>
      <c r="D364" s="15"/>
      <c r="E364" s="15"/>
      <c r="F364" s="15"/>
      <c r="G364" s="15"/>
      <c r="H364" s="15"/>
      <c r="I364" s="86"/>
      <c r="J364" s="231"/>
      <c r="K364" s="231"/>
      <c r="L364" s="231"/>
      <c r="M364" s="231"/>
      <c r="N364" s="231"/>
      <c r="O364" s="231"/>
      <c r="P364" s="231"/>
      <c r="Q364" s="231"/>
      <c r="R364" s="231"/>
      <c r="S364" s="231"/>
      <c r="T364" s="231"/>
      <c r="U364" s="231"/>
      <c r="V364" s="231"/>
      <c r="W364" s="231"/>
      <c r="X364" s="231"/>
      <c r="Y364" s="231"/>
      <c r="Z364" s="231"/>
      <c r="AA364" s="231"/>
      <c r="AB364" s="231"/>
      <c r="AC364" s="231"/>
      <c r="AD364" s="231"/>
      <c r="AE364" s="231"/>
      <c r="AF364" s="231"/>
    </row>
    <row r="365" spans="1:32" s="203" customFormat="1">
      <c r="A365" s="199"/>
      <c r="B365" s="15"/>
      <c r="C365" s="15"/>
      <c r="D365" s="15"/>
      <c r="E365" s="15"/>
      <c r="F365" s="15"/>
      <c r="G365" s="15"/>
      <c r="H365" s="86"/>
      <c r="I365" s="86"/>
      <c r="J365" s="231"/>
      <c r="K365" s="231"/>
      <c r="L365" s="231"/>
      <c r="M365" s="231"/>
      <c r="N365" s="231"/>
      <c r="O365" s="231"/>
      <c r="P365" s="231"/>
      <c r="Q365" s="231"/>
      <c r="R365" s="231"/>
      <c r="S365" s="231"/>
      <c r="T365" s="231"/>
      <c r="U365" s="231"/>
      <c r="V365" s="231"/>
      <c r="W365" s="231"/>
      <c r="X365" s="231"/>
      <c r="Y365" s="231"/>
      <c r="Z365" s="231"/>
      <c r="AA365" s="231"/>
      <c r="AB365" s="231"/>
      <c r="AC365" s="231"/>
      <c r="AD365" s="231"/>
      <c r="AE365" s="231"/>
      <c r="AF365" s="231"/>
    </row>
    <row r="366" spans="1:32" s="203" customFormat="1">
      <c r="A366" s="199"/>
      <c r="B366" s="15"/>
      <c r="C366" s="15"/>
      <c r="D366" s="15"/>
      <c r="E366" s="15"/>
      <c r="F366" s="15"/>
      <c r="G366" s="15"/>
      <c r="H366" s="86"/>
      <c r="I366" s="86"/>
      <c r="J366" s="231"/>
      <c r="K366" s="231"/>
      <c r="L366" s="231"/>
      <c r="M366" s="231"/>
      <c r="N366" s="231"/>
      <c r="O366" s="231"/>
      <c r="P366" s="231"/>
      <c r="Q366" s="231"/>
      <c r="R366" s="231"/>
      <c r="S366" s="231"/>
      <c r="T366" s="231"/>
      <c r="U366" s="231"/>
      <c r="V366" s="231"/>
      <c r="W366" s="231"/>
      <c r="X366" s="231"/>
      <c r="Y366" s="231"/>
      <c r="Z366" s="231"/>
      <c r="AA366" s="231"/>
      <c r="AB366" s="231"/>
      <c r="AC366" s="231"/>
      <c r="AD366" s="231"/>
      <c r="AE366" s="231"/>
      <c r="AF366" s="231"/>
    </row>
    <row r="367" spans="1:32" s="8" customFormat="1"/>
    <row r="368" spans="1:32" s="8" customFormat="1"/>
    <row r="369" s="8" customFormat="1"/>
    <row r="370" s="8" customFormat="1"/>
    <row r="371" s="8" customFormat="1"/>
    <row r="372" s="8" customFormat="1"/>
    <row r="373" s="8" customFormat="1"/>
    <row r="374" s="8" customFormat="1"/>
    <row r="375" s="8" customFormat="1"/>
    <row r="376" s="8" customFormat="1"/>
    <row r="377" s="8" customFormat="1"/>
    <row r="378" s="8" customFormat="1"/>
    <row r="379" s="8" customFormat="1"/>
    <row r="380" s="8" customFormat="1"/>
    <row r="381" s="8" customFormat="1"/>
    <row r="382" s="8" customFormat="1"/>
    <row r="383" s="8" customFormat="1"/>
    <row r="384" s="8" customFormat="1"/>
    <row r="385" spans="1:9" s="8" customFormat="1"/>
    <row r="386" spans="1:9" s="8" customFormat="1"/>
    <row r="387" spans="1:9" s="8" customFormat="1"/>
    <row r="388" spans="1:9" s="8" customFormat="1"/>
    <row r="389" spans="1:9" s="8" customFormat="1"/>
    <row r="390" spans="1:9" s="8" customFormat="1"/>
    <row r="391" spans="1:9" s="8" customFormat="1"/>
    <row r="392" spans="1:9" s="8" customFormat="1"/>
    <row r="393" spans="1:9" s="8" customFormat="1"/>
    <row r="394" spans="1:9" s="8" customFormat="1"/>
    <row r="395" spans="1:9">
      <c r="A395" s="8"/>
      <c r="B395" s="8"/>
      <c r="C395" s="8"/>
      <c r="D395" s="8"/>
      <c r="E395" s="8"/>
      <c r="F395" s="8"/>
      <c r="G395" s="8"/>
      <c r="H395" s="8"/>
      <c r="I395" s="8"/>
    </row>
    <row r="396" spans="1:9">
      <c r="A396" s="8"/>
      <c r="B396" s="8"/>
      <c r="C396" s="8"/>
      <c r="D396" s="8"/>
      <c r="E396" s="8"/>
      <c r="F396" s="8"/>
      <c r="G396" s="8"/>
      <c r="H396" s="8"/>
      <c r="I396" s="8"/>
    </row>
    <row r="397" spans="1:9">
      <c r="A397" s="8"/>
      <c r="B397" s="8"/>
      <c r="C397" s="8"/>
      <c r="D397" s="8"/>
      <c r="E397" s="8"/>
      <c r="F397" s="8"/>
      <c r="G397" s="8"/>
      <c r="H397" s="8"/>
      <c r="I397" s="8"/>
    </row>
    <row r="398" spans="1:9">
      <c r="A398" s="8"/>
      <c r="B398" s="8"/>
      <c r="C398" s="8"/>
      <c r="D398" s="8"/>
      <c r="E398" s="8"/>
      <c r="F398" s="8"/>
      <c r="G398" s="8"/>
      <c r="H398" s="8"/>
      <c r="I398" s="8"/>
    </row>
    <row r="399" spans="1:9">
      <c r="A399" s="8"/>
      <c r="B399" s="8"/>
      <c r="C399" s="8"/>
      <c r="D399" s="8"/>
      <c r="E399" s="8"/>
      <c r="F399" s="8"/>
      <c r="G399" s="8"/>
      <c r="H399" s="8"/>
      <c r="I399" s="8"/>
    </row>
    <row r="400" spans="1:9">
      <c r="A400" s="8"/>
      <c r="B400" s="8"/>
      <c r="C400" s="8"/>
      <c r="D400" s="8"/>
      <c r="E400" s="8"/>
      <c r="F400" s="8"/>
      <c r="G400" s="8"/>
      <c r="H400" s="8"/>
      <c r="I400" s="8"/>
    </row>
    <row r="401" spans="1:9">
      <c r="A401" s="8"/>
      <c r="B401" s="8"/>
      <c r="C401" s="8"/>
      <c r="D401" s="8"/>
      <c r="E401" s="8"/>
      <c r="F401" s="8"/>
      <c r="G401" s="8"/>
      <c r="H401" s="8"/>
      <c r="I401" s="8"/>
    </row>
    <row r="402" spans="1:9">
      <c r="A402" s="8"/>
      <c r="B402" s="8"/>
      <c r="C402" s="8"/>
      <c r="D402" s="8"/>
      <c r="E402" s="8"/>
      <c r="F402" s="8"/>
      <c r="G402" s="8"/>
      <c r="H402" s="8"/>
      <c r="I402" s="8"/>
    </row>
    <row r="403" spans="1:9">
      <c r="A403" s="8"/>
      <c r="B403" s="8"/>
      <c r="C403" s="8"/>
      <c r="D403" s="8"/>
      <c r="E403" s="8"/>
      <c r="F403" s="8"/>
      <c r="G403" s="8"/>
      <c r="H403" s="8"/>
      <c r="I403" s="8"/>
    </row>
    <row r="404" spans="1:9">
      <c r="A404" s="8"/>
      <c r="B404" s="8"/>
      <c r="C404" s="8"/>
      <c r="D404" s="8"/>
      <c r="E404" s="8"/>
      <c r="F404" s="8"/>
      <c r="G404" s="8"/>
      <c r="H404" s="8"/>
      <c r="I404" s="8"/>
    </row>
    <row r="405" spans="1:9">
      <c r="A405" s="8"/>
      <c r="B405" s="8"/>
      <c r="C405" s="8"/>
      <c r="D405" s="8"/>
      <c r="E405" s="8"/>
      <c r="F405" s="8"/>
      <c r="G405" s="8"/>
      <c r="H405" s="8"/>
      <c r="I405" s="8"/>
    </row>
    <row r="406" spans="1:9">
      <c r="A406" s="8"/>
      <c r="B406" s="8"/>
      <c r="C406" s="8"/>
      <c r="D406" s="8"/>
      <c r="E406" s="8"/>
      <c r="F406" s="8"/>
      <c r="G406" s="8"/>
      <c r="H406" s="8"/>
      <c r="I406" s="8"/>
    </row>
    <row r="407" spans="1:9">
      <c r="A407" s="8"/>
      <c r="B407" s="8"/>
      <c r="C407" s="8"/>
      <c r="D407" s="8"/>
      <c r="E407" s="8"/>
      <c r="F407" s="8"/>
      <c r="G407" s="8"/>
      <c r="H407" s="8"/>
      <c r="I407" s="8"/>
    </row>
    <row r="408" spans="1:9">
      <c r="A408" s="8"/>
      <c r="B408" s="8"/>
      <c r="C408" s="8"/>
      <c r="D408" s="8"/>
      <c r="E408" s="8"/>
      <c r="F408" s="8"/>
      <c r="G408" s="8"/>
      <c r="H408" s="8"/>
      <c r="I408" s="8"/>
    </row>
    <row r="409" spans="1:9">
      <c r="A409" s="8"/>
      <c r="B409" s="8"/>
      <c r="C409" s="8"/>
      <c r="D409" s="8"/>
      <c r="E409" s="8"/>
      <c r="F409" s="8"/>
      <c r="G409" s="8"/>
      <c r="H409" s="8"/>
      <c r="I409" s="8"/>
    </row>
  </sheetData>
  <mergeCells count="59">
    <mergeCell ref="F341:F345"/>
    <mergeCell ref="H341:H345"/>
    <mergeCell ref="E261:E265"/>
    <mergeCell ref="F261:F265"/>
    <mergeCell ref="H261:H265"/>
    <mergeCell ref="E280:E284"/>
    <mergeCell ref="F280:F284"/>
    <mergeCell ref="H280:H284"/>
    <mergeCell ref="E305:E309"/>
    <mergeCell ref="F305:F309"/>
    <mergeCell ref="H305:H309"/>
    <mergeCell ref="C323:H323"/>
    <mergeCell ref="C330:H330"/>
    <mergeCell ref="E341:E345"/>
    <mergeCell ref="E221:E225"/>
    <mergeCell ref="F221:F225"/>
    <mergeCell ref="H221:H225"/>
    <mergeCell ref="E234:E238"/>
    <mergeCell ref="F234:F238"/>
    <mergeCell ref="H234:H238"/>
    <mergeCell ref="G66:G70"/>
    <mergeCell ref="H66:H70"/>
    <mergeCell ref="F91:F95"/>
    <mergeCell ref="H91:H95"/>
    <mergeCell ref="E193:E197"/>
    <mergeCell ref="F193:F197"/>
    <mergeCell ref="H193:H197"/>
    <mergeCell ref="E153:E157"/>
    <mergeCell ref="F153:F157"/>
    <mergeCell ref="H153:H157"/>
    <mergeCell ref="E91:E95"/>
    <mergeCell ref="I66:I70"/>
    <mergeCell ref="A23:D24"/>
    <mergeCell ref="E23:E24"/>
    <mergeCell ref="F23:F24"/>
    <mergeCell ref="H23:H24"/>
    <mergeCell ref="A25:A27"/>
    <mergeCell ref="B25:D27"/>
    <mergeCell ref="E25:E27"/>
    <mergeCell ref="F25:F27"/>
    <mergeCell ref="H25:H27"/>
    <mergeCell ref="A40:D41"/>
    <mergeCell ref="E40:E41"/>
    <mergeCell ref="F40:F41"/>
    <mergeCell ref="H40:H41"/>
    <mergeCell ref="E66:E70"/>
    <mergeCell ref="F66:F70"/>
    <mergeCell ref="C19:F19"/>
    <mergeCell ref="B3:B4"/>
    <mergeCell ref="C3:D4"/>
    <mergeCell ref="A5:B5"/>
    <mergeCell ref="D6:H6"/>
    <mergeCell ref="A9:I9"/>
    <mergeCell ref="D10:F10"/>
    <mergeCell ref="C14:F14"/>
    <mergeCell ref="C15:F15"/>
    <mergeCell ref="C16:F16"/>
    <mergeCell ref="C17:F17"/>
    <mergeCell ref="C18:F18"/>
  </mergeCells>
  <phoneticPr fontId="10" type="noConversion"/>
  <conditionalFormatting sqref="F71:F76 F286:F301 F311:F318 F80:F88 F96:F97 F103:F104 F106 F110:F114 F118:F124 F128:F134 F138:F142 F146:F149 F159:F162 F166:F168 F171:F172 F175:F177 F183:F190 F199:F200 F204:F206 F210:F213 F217:F218 F226:F230 F240:F241 F245:F246 F250:F253 F256 F267:F276 H250">
    <cfRule type="expression" dxfId="30" priority="279" stopIfTrue="1">
      <formula>ISBLANK(F71)</formula>
    </cfRule>
    <cfRule type="expression" dxfId="29" priority="280" stopIfTrue="1">
      <formula>IF(AND(OR(F71-E71&gt;500,F71-E71&lt;-500),OR(#REF!&gt;0.1,#REF!&lt;-0.1)),TRUE,FALSE)</formula>
    </cfRule>
  </conditionalFormatting>
  <dataValidations count="1">
    <dataValidation type="list" errorStyle="information" allowBlank="1" showInputMessage="1" showErrorMessage="1" errorTitle="POBE 2006" error="Please select from the drop-down menu..." prompt="Please select your Authority from the drop-down menu..." sqref="C3:D4">
      <formula1>#REF!</formula1>
    </dataValidation>
  </dataValidations>
  <hyperlinks>
    <hyperlink ref="F7" r:id="rId1" display="lgfstats@scotland.gsi.gov.uk"/>
    <hyperlink ref="D6" r:id="rId2"/>
    <hyperlink ref="D10" r:id="rId3" display="^lgfstats@gov.scot"/>
    <hyperlink ref="B14" location="'POBE 2017'!A28" display="PART 1 - Expenditure"/>
    <hyperlink ref="C19:F19" location="'POBE 2017'!A323" display="Sheet 10. - PUBLIC PRIVATE PARTNERSHIPS/PRIVATE FINANCE INITIATIVES"/>
    <hyperlink ref="B15" location="'POBE 2017'!A40" display="PART 2 - Income and Balances"/>
    <hyperlink ref="B16" location="'POBE 2017'!A66" display="Sheet 1. EDUCATION"/>
    <hyperlink ref="B17" location="'POBE 2017'!A91" display="Sheet 2. SOCIAL WORK"/>
    <hyperlink ref="B18" location="'POBE 2017'!A153" display="Sheet 3. ROADS AND TRANSPORT"/>
    <hyperlink ref="B19" location="'POBE 2017'!A193" display="Sheet 4. ENVIRONMENTAL SERVICES"/>
    <hyperlink ref="C14:F14" location="'POBE 2017'!A221" display="Sheet 5. PLANNING AND DEVELOPMENT SERVICES"/>
    <hyperlink ref="C15:F15" location="'POBE 2017'!A234" display="Sheet 6. CULTURAL AND RELATED SERVICES"/>
    <hyperlink ref="C16:F16" location="'POBE 2017'!A261" display="Sheet 7. HOUSING"/>
    <hyperlink ref="C17:F17" location="'POBE 2017'!A280" display="Sheet 8. CENTRAL SERVICES"/>
    <hyperlink ref="C18:F18" location="'POBE 2017'!A305" display="Sheet 9. OTHER EXPENDITURE"/>
  </hyperlinks>
  <pageMargins left="0.75" right="0.75" top="1" bottom="1" header="0.5" footer="0.5"/>
  <pageSetup paperSize="9" orientation="portrait" r:id="rId4"/>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AH409"/>
  <sheetViews>
    <sheetView topLeftCell="A172" zoomScale="80" zoomScaleNormal="80" workbookViewId="0">
      <selection activeCell="G289" sqref="G289"/>
    </sheetView>
  </sheetViews>
  <sheetFormatPr defaultColWidth="9.140625" defaultRowHeight="12.75"/>
  <cols>
    <col min="1" max="1" width="10.5703125" style="1" customWidth="1"/>
    <col min="2" max="2" width="43" style="1" customWidth="1"/>
    <col min="3" max="3" width="24.5703125" style="1" customWidth="1"/>
    <col min="4" max="4" width="14.7109375" style="1" customWidth="1"/>
    <col min="5" max="5" width="21.5703125" style="1" customWidth="1"/>
    <col min="6" max="6" width="19.140625" style="1" customWidth="1"/>
    <col min="7" max="7" width="17.42578125" style="1" customWidth="1"/>
    <col min="8" max="8" width="19.28515625" style="1" customWidth="1"/>
    <col min="9" max="9" width="17.85546875" style="1" customWidth="1"/>
    <col min="10" max="16" width="9.140625" style="8" customWidth="1"/>
    <col min="17" max="27" width="9.140625" style="8"/>
    <col min="28" max="28" width="0" style="8" hidden="1" customWidth="1"/>
    <col min="29" max="34" width="9.140625" style="8"/>
    <col min="35" max="16384" width="9.140625" style="1"/>
  </cols>
  <sheetData>
    <row r="1" spans="1:34" s="203" customFormat="1" ht="51" customHeight="1">
      <c r="A1" s="3" t="s">
        <v>410</v>
      </c>
      <c r="B1" s="4"/>
      <c r="C1" s="224"/>
      <c r="D1" s="224"/>
      <c r="E1" s="224"/>
      <c r="F1" s="224"/>
      <c r="G1" s="225"/>
      <c r="H1" s="226"/>
      <c r="I1" s="227"/>
      <c r="J1" s="231"/>
      <c r="K1" s="231"/>
      <c r="L1" s="231"/>
      <c r="M1" s="231"/>
      <c r="N1" s="231"/>
      <c r="O1" s="231"/>
      <c r="P1" s="231"/>
      <c r="Q1" s="231"/>
      <c r="R1" s="231"/>
      <c r="S1" s="231"/>
      <c r="T1" s="231"/>
      <c r="U1" s="231"/>
      <c r="V1" s="231"/>
      <c r="W1" s="231"/>
      <c r="X1" s="231"/>
      <c r="Y1" s="231"/>
      <c r="Z1" s="231"/>
      <c r="AA1" s="231"/>
      <c r="AB1" s="231"/>
      <c r="AC1" s="231"/>
      <c r="AD1" s="231"/>
      <c r="AE1" s="231"/>
      <c r="AF1" s="231"/>
      <c r="AG1" s="231"/>
      <c r="AH1" s="231"/>
    </row>
    <row r="2" spans="1:34" s="203" customFormat="1" ht="35.25">
      <c r="A2" s="9"/>
      <c r="B2" s="10"/>
      <c r="C2" s="232"/>
      <c r="D2" s="232"/>
      <c r="E2" s="232"/>
      <c r="F2" s="11"/>
      <c r="G2" s="11"/>
      <c r="H2" s="11"/>
      <c r="I2" s="11"/>
      <c r="J2" s="231"/>
      <c r="K2" s="231"/>
      <c r="L2" s="231"/>
      <c r="M2" s="231"/>
      <c r="N2" s="231"/>
      <c r="O2" s="231"/>
      <c r="P2" s="231"/>
      <c r="Q2" s="231"/>
      <c r="R2" s="231"/>
      <c r="S2" s="231"/>
      <c r="T2" s="231"/>
      <c r="U2" s="231"/>
      <c r="V2" s="231"/>
      <c r="W2" s="231"/>
      <c r="X2" s="231"/>
      <c r="Y2" s="231"/>
      <c r="Z2" s="231"/>
      <c r="AA2" s="231"/>
      <c r="AB2" s="231"/>
      <c r="AC2" s="231"/>
      <c r="AD2" s="231"/>
      <c r="AE2" s="231"/>
      <c r="AF2" s="231"/>
      <c r="AG2" s="231"/>
      <c r="AH2" s="231"/>
    </row>
    <row r="3" spans="1:34" s="203" customFormat="1" ht="15">
      <c r="A3" s="12"/>
      <c r="B3" s="882" t="s">
        <v>0</v>
      </c>
      <c r="C3" s="884" t="s">
        <v>34</v>
      </c>
      <c r="D3" s="885"/>
      <c r="E3" s="13"/>
      <c r="F3" s="14"/>
      <c r="G3" s="14"/>
      <c r="H3" s="15"/>
      <c r="I3" s="14"/>
      <c r="J3" s="231"/>
      <c r="K3" s="231"/>
      <c r="L3" s="231"/>
      <c r="M3" s="231"/>
      <c r="N3" s="231"/>
      <c r="O3" s="231"/>
      <c r="P3" s="231"/>
      <c r="Q3" s="231"/>
      <c r="R3" s="231"/>
      <c r="S3" s="231"/>
      <c r="T3" s="231"/>
      <c r="U3" s="231"/>
      <c r="V3" s="231"/>
      <c r="W3" s="231"/>
      <c r="X3" s="231"/>
      <c r="Y3" s="231"/>
      <c r="Z3" s="231"/>
      <c r="AA3" s="231"/>
      <c r="AB3" s="231"/>
      <c r="AC3" s="231"/>
      <c r="AD3" s="231"/>
      <c r="AE3" s="231"/>
      <c r="AF3" s="231"/>
      <c r="AG3" s="231"/>
      <c r="AH3" s="231"/>
    </row>
    <row r="4" spans="1:34" s="203" customFormat="1" ht="15">
      <c r="A4" s="17"/>
      <c r="B4" s="883"/>
      <c r="C4" s="886"/>
      <c r="D4" s="887"/>
      <c r="E4" s="13"/>
      <c r="F4" s="14"/>
      <c r="G4" s="14"/>
      <c r="H4" s="15"/>
      <c r="I4" s="14"/>
      <c r="J4" s="231"/>
      <c r="K4" s="231"/>
      <c r="L4" s="231"/>
      <c r="M4" s="231"/>
      <c r="N4" s="231"/>
      <c r="O4" s="231"/>
      <c r="P4" s="231"/>
      <c r="Q4" s="231"/>
      <c r="R4" s="231"/>
      <c r="S4" s="231"/>
      <c r="T4" s="231"/>
      <c r="U4" s="231"/>
      <c r="V4" s="231"/>
      <c r="W4" s="231"/>
      <c r="X4" s="231"/>
      <c r="Y4" s="231"/>
      <c r="Z4" s="231"/>
      <c r="AA4" s="231"/>
      <c r="AB4" s="231"/>
      <c r="AC4" s="231"/>
      <c r="AD4" s="231"/>
      <c r="AE4" s="231"/>
      <c r="AF4" s="231"/>
      <c r="AG4" s="231"/>
      <c r="AH4" s="231"/>
    </row>
    <row r="5" spans="1:34" s="203" customFormat="1" ht="15">
      <c r="A5" s="888"/>
      <c r="B5" s="889"/>
      <c r="C5" s="18"/>
      <c r="D5" s="206"/>
      <c r="E5" s="206"/>
      <c r="F5" s="14"/>
      <c r="G5" s="14"/>
      <c r="H5" s="14"/>
      <c r="I5" s="234"/>
      <c r="J5" s="231"/>
      <c r="K5" s="231"/>
      <c r="L5" s="231"/>
      <c r="M5" s="231"/>
      <c r="N5" s="231"/>
      <c r="O5" s="231"/>
      <c r="P5" s="231"/>
      <c r="Q5" s="231"/>
      <c r="R5" s="231"/>
      <c r="S5" s="231"/>
      <c r="T5" s="231"/>
      <c r="U5" s="231"/>
      <c r="V5" s="231"/>
      <c r="W5" s="231"/>
      <c r="X5" s="231"/>
      <c r="Y5" s="231"/>
      <c r="Z5" s="231"/>
      <c r="AA5" s="231"/>
      <c r="AB5" s="231"/>
      <c r="AC5" s="231"/>
      <c r="AD5" s="231"/>
      <c r="AE5" s="231"/>
      <c r="AF5" s="231"/>
      <c r="AG5" s="231"/>
      <c r="AH5" s="231"/>
    </row>
    <row r="6" spans="1:34" s="203" customFormat="1" ht="23.25" customHeight="1">
      <c r="A6" s="19" t="s">
        <v>1</v>
      </c>
      <c r="B6" s="207"/>
      <c r="C6" s="20"/>
      <c r="D6" s="890" t="s">
        <v>249</v>
      </c>
      <c r="E6" s="890"/>
      <c r="F6" s="890"/>
      <c r="G6" s="890"/>
      <c r="H6" s="890"/>
      <c r="I6" s="29"/>
      <c r="J6" s="231"/>
      <c r="K6" s="231"/>
      <c r="L6" s="231"/>
      <c r="M6" s="231"/>
      <c r="N6" s="231"/>
      <c r="O6" s="231"/>
      <c r="P6" s="231"/>
      <c r="Q6" s="231"/>
      <c r="R6" s="231"/>
      <c r="S6" s="231"/>
      <c r="T6" s="231"/>
      <c r="U6" s="231"/>
      <c r="V6" s="231"/>
      <c r="W6" s="231"/>
      <c r="X6" s="231"/>
      <c r="Y6" s="231"/>
      <c r="Z6" s="231"/>
      <c r="AA6" s="231"/>
      <c r="AB6" s="231"/>
      <c r="AC6" s="231"/>
      <c r="AD6" s="231"/>
      <c r="AE6" s="231"/>
      <c r="AF6" s="231"/>
      <c r="AG6" s="231"/>
      <c r="AH6" s="231"/>
    </row>
    <row r="7" spans="1:34" s="203" customFormat="1" ht="18.75" customHeight="1">
      <c r="A7" s="19" t="s">
        <v>419</v>
      </c>
      <c r="B7" s="207"/>
      <c r="C7" s="207"/>
      <c r="D7" s="207"/>
      <c r="E7" s="207"/>
      <c r="F7" s="362" t="s">
        <v>250</v>
      </c>
      <c r="G7" s="1"/>
      <c r="H7" s="21"/>
      <c r="I7" s="29"/>
      <c r="J7" s="231"/>
      <c r="K7" s="231"/>
      <c r="L7" s="231"/>
      <c r="M7" s="231"/>
      <c r="N7" s="231"/>
      <c r="O7" s="231"/>
      <c r="P7" s="231"/>
      <c r="Q7" s="231"/>
      <c r="R7" s="231"/>
      <c r="S7" s="231"/>
      <c r="T7" s="231"/>
      <c r="U7" s="231"/>
      <c r="V7" s="231"/>
      <c r="W7" s="231"/>
      <c r="X7" s="231"/>
      <c r="Y7" s="231"/>
      <c r="Z7" s="231"/>
      <c r="AA7" s="231"/>
      <c r="AB7" s="231"/>
      <c r="AC7" s="231"/>
      <c r="AD7" s="231"/>
      <c r="AE7" s="231"/>
      <c r="AF7" s="231"/>
      <c r="AG7" s="231"/>
      <c r="AH7" s="231"/>
    </row>
    <row r="8" spans="1:34" s="203" customFormat="1" ht="24" customHeight="1">
      <c r="A8" s="22" t="s">
        <v>408</v>
      </c>
      <c r="B8" s="207"/>
      <c r="C8" s="207"/>
      <c r="D8" s="207"/>
      <c r="E8" s="207"/>
      <c r="F8" s="207"/>
      <c r="G8" s="751"/>
      <c r="H8" s="21"/>
      <c r="I8" s="29"/>
      <c r="J8" s="231"/>
      <c r="K8" s="231"/>
      <c r="L8" s="231"/>
      <c r="M8" s="231"/>
      <c r="N8" s="231"/>
      <c r="O8" s="231"/>
      <c r="P8" s="231"/>
      <c r="Q8" s="231"/>
      <c r="R8" s="231"/>
      <c r="S8" s="231"/>
      <c r="T8" s="231"/>
      <c r="U8" s="231"/>
      <c r="V8" s="231"/>
      <c r="W8" s="231"/>
      <c r="X8" s="231"/>
      <c r="Y8" s="231"/>
      <c r="Z8" s="231"/>
      <c r="AA8" s="231"/>
      <c r="AB8" s="231"/>
      <c r="AC8" s="231"/>
      <c r="AD8" s="231"/>
      <c r="AE8" s="231"/>
      <c r="AF8" s="231"/>
      <c r="AG8" s="231"/>
      <c r="AH8" s="231"/>
    </row>
    <row r="9" spans="1:34" s="203" customFormat="1" ht="30.75" customHeight="1">
      <c r="A9" s="891" t="s">
        <v>420</v>
      </c>
      <c r="B9" s="892"/>
      <c r="C9" s="892"/>
      <c r="D9" s="892"/>
      <c r="E9" s="892"/>
      <c r="F9" s="892"/>
      <c r="G9" s="892"/>
      <c r="H9" s="892"/>
      <c r="I9" s="892"/>
      <c r="J9" s="231"/>
      <c r="K9" s="231"/>
      <c r="L9" s="231"/>
      <c r="M9" s="231"/>
      <c r="N9" s="231"/>
      <c r="O9" s="231"/>
      <c r="P9" s="231"/>
      <c r="Q9" s="231"/>
      <c r="R9" s="231"/>
      <c r="S9" s="231"/>
      <c r="T9" s="231"/>
      <c r="U9" s="231"/>
      <c r="V9" s="231"/>
      <c r="W9" s="231"/>
      <c r="X9" s="231"/>
      <c r="Y9" s="231"/>
      <c r="Z9" s="231"/>
      <c r="AA9" s="231"/>
      <c r="AB9" s="231"/>
      <c r="AC9" s="231"/>
      <c r="AD9" s="231"/>
      <c r="AE9" s="231"/>
      <c r="AF9" s="231"/>
      <c r="AG9" s="231"/>
      <c r="AH9" s="231"/>
    </row>
    <row r="10" spans="1:34" s="203" customFormat="1" ht="12.75" customHeight="1">
      <c r="A10" s="22" t="s">
        <v>409</v>
      </c>
      <c r="B10" s="19"/>
      <c r="C10" s="1"/>
      <c r="D10" s="880" t="s">
        <v>250</v>
      </c>
      <c r="E10" s="881"/>
      <c r="F10" s="881"/>
      <c r="G10" s="207"/>
      <c r="H10" s="207"/>
      <c r="I10" s="29"/>
      <c r="J10" s="231"/>
      <c r="K10" s="231"/>
      <c r="L10" s="231"/>
      <c r="M10" s="231"/>
      <c r="N10" s="231"/>
      <c r="O10" s="231"/>
      <c r="P10" s="231"/>
      <c r="Q10" s="231"/>
      <c r="R10" s="231"/>
      <c r="S10" s="231"/>
      <c r="T10" s="231"/>
      <c r="U10" s="231"/>
      <c r="V10" s="231"/>
      <c r="W10" s="231"/>
      <c r="X10" s="231"/>
      <c r="Y10" s="231"/>
      <c r="Z10" s="231"/>
      <c r="AA10" s="231"/>
      <c r="AB10" s="231"/>
      <c r="AC10" s="231"/>
      <c r="AD10" s="231"/>
      <c r="AE10" s="231"/>
      <c r="AF10" s="231"/>
      <c r="AG10" s="231"/>
      <c r="AH10" s="231"/>
    </row>
    <row r="11" spans="1:34" s="203" customFormat="1">
      <c r="A11" s="23"/>
      <c r="B11" s="207"/>
      <c r="C11" s="207"/>
      <c r="D11" s="207"/>
      <c r="E11" s="207"/>
      <c r="F11" s="207"/>
      <c r="G11" s="21"/>
      <c r="H11" s="21"/>
      <c r="I11" s="29"/>
      <c r="J11" s="231"/>
      <c r="K11" s="231"/>
      <c r="L11" s="231"/>
      <c r="M11" s="231"/>
      <c r="N11" s="231"/>
      <c r="O11" s="231"/>
      <c r="P11" s="231"/>
      <c r="Q11" s="231"/>
      <c r="R11" s="231"/>
      <c r="S11" s="231"/>
      <c r="T11" s="231"/>
      <c r="U11" s="231"/>
      <c r="V11" s="231"/>
      <c r="W11" s="231"/>
      <c r="X11" s="231"/>
      <c r="Y11" s="231"/>
      <c r="Z11" s="231"/>
      <c r="AA11" s="231"/>
      <c r="AB11" s="231"/>
      <c r="AC11" s="231"/>
      <c r="AD11" s="231"/>
      <c r="AE11" s="231"/>
      <c r="AF11" s="231"/>
      <c r="AG11" s="231"/>
      <c r="AH11" s="231"/>
    </row>
    <row r="12" spans="1:34" s="203" customFormat="1">
      <c r="A12" s="24"/>
      <c r="B12" s="25" t="s">
        <v>7</v>
      </c>
      <c r="C12" s="26"/>
      <c r="D12" s="356"/>
      <c r="E12" s="356"/>
      <c r="F12" s="357"/>
      <c r="G12" s="21"/>
      <c r="H12" s="21"/>
      <c r="I12" s="29"/>
      <c r="J12" s="231"/>
      <c r="K12" s="231"/>
      <c r="L12" s="231"/>
      <c r="M12" s="231"/>
      <c r="N12" s="231"/>
      <c r="O12" s="231"/>
      <c r="P12" s="231"/>
      <c r="Q12" s="231"/>
      <c r="R12" s="231"/>
      <c r="S12" s="231"/>
      <c r="T12" s="231"/>
      <c r="U12" s="231"/>
      <c r="V12" s="231"/>
      <c r="W12" s="231"/>
      <c r="X12" s="231"/>
      <c r="Y12" s="231"/>
      <c r="Z12" s="231"/>
      <c r="AA12" s="231"/>
      <c r="AB12" s="231"/>
      <c r="AC12" s="231"/>
      <c r="AD12" s="231"/>
      <c r="AE12" s="231"/>
      <c r="AF12" s="231"/>
      <c r="AG12" s="231"/>
      <c r="AH12" s="231"/>
    </row>
    <row r="13" spans="1:34" s="203" customFormat="1">
      <c r="A13" s="23"/>
      <c r="B13" s="27"/>
      <c r="C13" s="358"/>
      <c r="D13" s="15"/>
      <c r="E13" s="15"/>
      <c r="F13" s="359"/>
      <c r="G13" s="207"/>
      <c r="H13" s="21"/>
      <c r="I13" s="29"/>
      <c r="J13" s="231"/>
      <c r="K13" s="231"/>
      <c r="L13" s="231"/>
      <c r="M13" s="231"/>
      <c r="N13" s="231"/>
      <c r="O13" s="231"/>
      <c r="P13" s="231"/>
      <c r="Q13" s="231"/>
      <c r="R13" s="231"/>
      <c r="S13" s="231"/>
      <c r="T13" s="231"/>
      <c r="U13" s="231"/>
      <c r="V13" s="231"/>
      <c r="W13" s="231"/>
      <c r="X13" s="231"/>
      <c r="Y13" s="231"/>
      <c r="Z13" s="231"/>
      <c r="AA13" s="231"/>
      <c r="AB13" s="231"/>
      <c r="AC13" s="231"/>
      <c r="AD13" s="231"/>
      <c r="AE13" s="231"/>
      <c r="AF13" s="231"/>
      <c r="AG13" s="231"/>
      <c r="AH13" s="231"/>
    </row>
    <row r="14" spans="1:34" s="203" customFormat="1">
      <c r="A14" s="23"/>
      <c r="B14" s="363" t="s">
        <v>328</v>
      </c>
      <c r="C14" s="870" t="s">
        <v>10</v>
      </c>
      <c r="D14" s="870"/>
      <c r="E14" s="870"/>
      <c r="F14" s="871"/>
      <c r="G14" s="207"/>
      <c r="H14" s="21"/>
      <c r="I14" s="29"/>
      <c r="J14" s="231"/>
      <c r="K14" s="231"/>
      <c r="L14" s="231"/>
      <c r="M14" s="231"/>
      <c r="N14" s="231"/>
      <c r="O14" s="231"/>
      <c r="P14" s="231"/>
      <c r="Q14" s="231"/>
      <c r="R14" s="231"/>
      <c r="S14" s="231"/>
      <c r="T14" s="231"/>
      <c r="U14" s="231"/>
      <c r="V14" s="231"/>
      <c r="W14" s="231"/>
      <c r="X14" s="231"/>
      <c r="Y14" s="231"/>
      <c r="Z14" s="231"/>
      <c r="AA14" s="231"/>
      <c r="AB14" s="231"/>
      <c r="AC14" s="231"/>
      <c r="AD14" s="231"/>
      <c r="AE14" s="231"/>
      <c r="AF14" s="231"/>
      <c r="AG14" s="231"/>
      <c r="AH14" s="231"/>
    </row>
    <row r="15" spans="1:34" s="203" customFormat="1">
      <c r="A15" s="23"/>
      <c r="B15" s="363" t="s">
        <v>329</v>
      </c>
      <c r="C15" s="870" t="s">
        <v>12</v>
      </c>
      <c r="D15" s="870"/>
      <c r="E15" s="870"/>
      <c r="F15" s="871"/>
      <c r="G15" s="207"/>
      <c r="H15" s="21"/>
      <c r="I15" s="29"/>
      <c r="J15" s="231"/>
      <c r="K15" s="231"/>
      <c r="L15" s="231"/>
      <c r="M15" s="231"/>
      <c r="N15" s="231"/>
      <c r="O15" s="231"/>
      <c r="P15" s="231"/>
      <c r="Q15" s="231"/>
      <c r="R15" s="231"/>
      <c r="S15" s="231"/>
      <c r="T15" s="231"/>
      <c r="U15" s="231"/>
      <c r="V15" s="231"/>
      <c r="W15" s="231"/>
      <c r="X15" s="231"/>
      <c r="Y15" s="231"/>
      <c r="Z15" s="231"/>
      <c r="AA15" s="231"/>
      <c r="AB15" s="231"/>
      <c r="AC15" s="231"/>
      <c r="AD15" s="231"/>
      <c r="AE15" s="231"/>
      <c r="AF15" s="231"/>
      <c r="AG15" s="231"/>
      <c r="AH15" s="231"/>
    </row>
    <row r="16" spans="1:34" s="203" customFormat="1">
      <c r="A16" s="23"/>
      <c r="B16" s="360" t="s">
        <v>14</v>
      </c>
      <c r="C16" s="870" t="s">
        <v>15</v>
      </c>
      <c r="D16" s="870"/>
      <c r="E16" s="870"/>
      <c r="F16" s="871"/>
      <c r="G16" s="207"/>
      <c r="H16" s="21"/>
      <c r="I16" s="29"/>
      <c r="J16" s="231"/>
      <c r="K16" s="231"/>
      <c r="L16" s="231"/>
      <c r="M16" s="231"/>
      <c r="N16" s="231"/>
      <c r="O16" s="231"/>
      <c r="P16" s="231"/>
      <c r="Q16" s="231"/>
      <c r="R16" s="231"/>
      <c r="S16" s="231"/>
      <c r="T16" s="231"/>
      <c r="U16" s="231"/>
      <c r="V16" s="231"/>
      <c r="W16" s="231"/>
      <c r="X16" s="231"/>
      <c r="Y16" s="231"/>
      <c r="Z16" s="231"/>
      <c r="AA16" s="231"/>
      <c r="AB16" s="231"/>
      <c r="AC16" s="231"/>
      <c r="AD16" s="231"/>
      <c r="AE16" s="231"/>
      <c r="AF16" s="231"/>
      <c r="AG16" s="231"/>
      <c r="AH16" s="231"/>
    </row>
    <row r="17" spans="1:34" s="203" customFormat="1">
      <c r="A17" s="23"/>
      <c r="B17" s="360" t="s">
        <v>17</v>
      </c>
      <c r="C17" s="870" t="s">
        <v>18</v>
      </c>
      <c r="D17" s="870"/>
      <c r="E17" s="870"/>
      <c r="F17" s="871"/>
      <c r="G17" s="207"/>
      <c r="H17" s="21"/>
      <c r="I17" s="29"/>
      <c r="J17" s="231"/>
      <c r="K17" s="231"/>
      <c r="L17" s="231"/>
      <c r="M17" s="231"/>
      <c r="N17" s="231"/>
      <c r="O17" s="231"/>
      <c r="P17" s="231"/>
      <c r="Q17" s="231"/>
      <c r="R17" s="231"/>
      <c r="S17" s="231"/>
      <c r="T17" s="231"/>
      <c r="U17" s="231"/>
      <c r="V17" s="231"/>
      <c r="W17" s="231"/>
      <c r="X17" s="231"/>
      <c r="Y17" s="231"/>
      <c r="Z17" s="231"/>
      <c r="AA17" s="231"/>
      <c r="AB17" s="231"/>
      <c r="AC17" s="231"/>
      <c r="AD17" s="231"/>
      <c r="AE17" s="231"/>
      <c r="AF17" s="231"/>
      <c r="AG17" s="231"/>
      <c r="AH17" s="231"/>
    </row>
    <row r="18" spans="1:34" s="203" customFormat="1">
      <c r="A18" s="23"/>
      <c r="B18" s="360" t="s">
        <v>20</v>
      </c>
      <c r="C18" s="870" t="s">
        <v>21</v>
      </c>
      <c r="D18" s="870"/>
      <c r="E18" s="870"/>
      <c r="F18" s="871"/>
      <c r="G18" s="207"/>
      <c r="H18" s="21"/>
      <c r="I18" s="29"/>
      <c r="J18" s="231"/>
      <c r="K18" s="231"/>
      <c r="L18" s="231"/>
      <c r="M18" s="231"/>
      <c r="N18" s="231"/>
      <c r="O18" s="231"/>
      <c r="P18" s="231"/>
      <c r="Q18" s="231"/>
      <c r="R18" s="231"/>
      <c r="S18" s="231"/>
      <c r="T18" s="231"/>
      <c r="U18" s="231"/>
      <c r="V18" s="231"/>
      <c r="W18" s="231"/>
      <c r="X18" s="231"/>
      <c r="Y18" s="231"/>
      <c r="Z18" s="231"/>
      <c r="AA18" s="231"/>
      <c r="AB18" s="231"/>
      <c r="AC18" s="231"/>
      <c r="AD18" s="231"/>
      <c r="AE18" s="231"/>
      <c r="AF18" s="231"/>
      <c r="AG18" s="231"/>
      <c r="AH18" s="231"/>
    </row>
    <row r="19" spans="1:34" s="203" customFormat="1">
      <c r="A19" s="23"/>
      <c r="B19" s="361" t="s">
        <v>23</v>
      </c>
      <c r="C19" s="872" t="s">
        <v>24</v>
      </c>
      <c r="D19" s="872"/>
      <c r="E19" s="872"/>
      <c r="F19" s="873"/>
      <c r="G19" s="21"/>
      <c r="H19" s="21"/>
      <c r="I19" s="29"/>
      <c r="J19" s="231"/>
      <c r="K19" s="231"/>
      <c r="L19" s="231"/>
      <c r="M19" s="231"/>
      <c r="N19" s="231"/>
      <c r="O19" s="231"/>
      <c r="P19" s="231"/>
      <c r="Q19" s="231"/>
      <c r="R19" s="231"/>
      <c r="S19" s="231"/>
      <c r="T19" s="231"/>
      <c r="U19" s="231"/>
      <c r="V19" s="231"/>
      <c r="W19" s="231"/>
      <c r="X19" s="231"/>
      <c r="Y19" s="231"/>
      <c r="Z19" s="231"/>
      <c r="AA19" s="231"/>
      <c r="AB19" s="231"/>
      <c r="AC19" s="231"/>
      <c r="AD19" s="231"/>
      <c r="AE19" s="231"/>
      <c r="AF19" s="231"/>
      <c r="AG19" s="231"/>
      <c r="AH19" s="231"/>
    </row>
    <row r="20" spans="1:34" s="203" customFormat="1">
      <c r="A20" s="236"/>
      <c r="B20" s="206"/>
      <c r="C20" s="206"/>
      <c r="D20" s="206"/>
      <c r="E20" s="206"/>
      <c r="F20" s="206"/>
      <c r="G20" s="206"/>
      <c r="H20" s="206"/>
      <c r="I20" s="206"/>
      <c r="J20" s="231"/>
      <c r="K20" s="231"/>
      <c r="L20" s="231"/>
      <c r="M20" s="231"/>
      <c r="N20" s="231"/>
      <c r="O20" s="231"/>
      <c r="P20" s="231"/>
      <c r="Q20" s="231"/>
      <c r="R20" s="231"/>
      <c r="S20" s="231"/>
      <c r="T20" s="231"/>
      <c r="U20" s="231"/>
      <c r="V20" s="231"/>
      <c r="W20" s="231"/>
      <c r="X20" s="231"/>
      <c r="Y20" s="231"/>
      <c r="Z20" s="231"/>
      <c r="AA20" s="231"/>
      <c r="AB20" s="231"/>
      <c r="AC20" s="231"/>
      <c r="AD20" s="231"/>
      <c r="AE20" s="231"/>
      <c r="AF20" s="231"/>
      <c r="AG20" s="231"/>
      <c r="AH20" s="231"/>
    </row>
    <row r="21" spans="1:34" s="203" customFormat="1" ht="19.5">
      <c r="A21" s="30"/>
      <c r="B21" s="13"/>
      <c r="C21" s="13"/>
      <c r="D21" s="13"/>
      <c r="E21" s="13"/>
      <c r="F21" s="13"/>
      <c r="G21" s="13"/>
      <c r="H21" s="31" t="s">
        <v>27</v>
      </c>
      <c r="I21" s="237"/>
      <c r="J21" s="231"/>
      <c r="K21" s="231"/>
      <c r="L21" s="231"/>
      <c r="M21" s="231"/>
      <c r="N21" s="231"/>
      <c r="O21" s="231"/>
      <c r="P21" s="231"/>
      <c r="Q21" s="231"/>
      <c r="R21" s="231"/>
      <c r="S21" s="231"/>
      <c r="T21" s="231"/>
      <c r="U21" s="231"/>
      <c r="V21" s="231"/>
      <c r="W21" s="231"/>
      <c r="X21" s="231"/>
      <c r="Y21" s="231"/>
      <c r="Z21" s="231"/>
      <c r="AA21" s="231"/>
      <c r="AB21" s="231"/>
      <c r="AC21" s="231"/>
      <c r="AD21" s="231"/>
      <c r="AE21" s="231"/>
      <c r="AF21" s="231"/>
      <c r="AG21" s="231"/>
      <c r="AH21" s="231"/>
    </row>
    <row r="22" spans="1:34" s="203" customFormat="1" ht="18.75" customHeight="1">
      <c r="A22" s="32"/>
      <c r="B22" s="29"/>
      <c r="C22" s="29"/>
      <c r="D22" s="29"/>
      <c r="E22" s="29"/>
      <c r="F22" s="33">
        <v>1</v>
      </c>
      <c r="G22" s="34"/>
      <c r="H22" s="33">
        <v>2</v>
      </c>
      <c r="I22" s="34"/>
      <c r="J22" s="231"/>
      <c r="K22" s="231"/>
      <c r="L22" s="231"/>
      <c r="M22" s="231"/>
      <c r="N22" s="231"/>
      <c r="O22" s="231"/>
      <c r="P22" s="231"/>
      <c r="Q22" s="231"/>
      <c r="R22" s="231"/>
      <c r="S22" s="231"/>
      <c r="T22" s="231"/>
      <c r="U22" s="231"/>
      <c r="V22" s="231"/>
      <c r="W22" s="231"/>
      <c r="X22" s="231"/>
      <c r="Y22" s="231"/>
      <c r="Z22" s="231"/>
      <c r="AA22" s="231"/>
      <c r="AB22" s="231"/>
      <c r="AC22" s="231"/>
      <c r="AD22" s="231"/>
      <c r="AE22" s="231"/>
      <c r="AF22" s="231"/>
      <c r="AG22" s="231"/>
      <c r="AH22" s="231"/>
    </row>
    <row r="23" spans="1:34" s="203" customFormat="1" ht="21.95" customHeight="1">
      <c r="A23" s="874" t="s">
        <v>30</v>
      </c>
      <c r="B23" s="875"/>
      <c r="C23" s="875"/>
      <c r="D23" s="875"/>
      <c r="E23" s="878" t="s">
        <v>376</v>
      </c>
      <c r="F23" s="856" t="s">
        <v>407</v>
      </c>
      <c r="G23" s="36"/>
      <c r="H23" s="878" t="s">
        <v>406</v>
      </c>
      <c r="I23" s="36"/>
      <c r="J23" s="231"/>
      <c r="K23" s="231"/>
      <c r="L23" s="231"/>
      <c r="M23" s="231"/>
      <c r="N23" s="231"/>
      <c r="O23" s="231"/>
      <c r="P23" s="231"/>
      <c r="Q23" s="231"/>
      <c r="R23" s="231"/>
      <c r="S23" s="231"/>
      <c r="T23" s="231"/>
      <c r="U23" s="231"/>
      <c r="V23" s="231"/>
      <c r="W23" s="231"/>
      <c r="X23" s="231"/>
      <c r="Y23" s="231"/>
      <c r="Z23" s="231"/>
      <c r="AA23" s="231"/>
      <c r="AB23" s="231"/>
      <c r="AC23" s="231"/>
      <c r="AD23" s="231"/>
      <c r="AE23" s="231"/>
      <c r="AF23" s="231"/>
      <c r="AG23" s="231"/>
      <c r="AH23" s="231"/>
    </row>
    <row r="24" spans="1:34" s="203" customFormat="1" ht="21.95" customHeight="1">
      <c r="A24" s="876"/>
      <c r="B24" s="877"/>
      <c r="C24" s="877"/>
      <c r="D24" s="877"/>
      <c r="E24" s="879"/>
      <c r="F24" s="860"/>
      <c r="G24" s="23"/>
      <c r="H24" s="879"/>
      <c r="I24" s="36"/>
      <c r="J24" s="231"/>
      <c r="K24" s="231"/>
      <c r="L24" s="231"/>
      <c r="M24" s="231"/>
      <c r="N24" s="231"/>
      <c r="O24" s="231"/>
      <c r="P24" s="231"/>
      <c r="Q24" s="231"/>
      <c r="R24" s="231"/>
      <c r="S24" s="231"/>
      <c r="T24" s="231"/>
      <c r="U24" s="231"/>
      <c r="V24" s="231"/>
      <c r="W24" s="231"/>
      <c r="X24" s="231"/>
      <c r="Y24" s="231"/>
      <c r="Z24" s="231"/>
      <c r="AA24" s="231"/>
      <c r="AB24" s="231"/>
      <c r="AC24" s="231"/>
      <c r="AD24" s="231"/>
      <c r="AE24" s="231"/>
      <c r="AF24" s="231"/>
      <c r="AG24" s="231"/>
      <c r="AH24" s="231"/>
    </row>
    <row r="25" spans="1:34" s="203" customFormat="1" ht="21.95" customHeight="1">
      <c r="A25" s="898" t="s">
        <v>48</v>
      </c>
      <c r="B25" s="901" t="s">
        <v>49</v>
      </c>
      <c r="C25" s="901"/>
      <c r="D25" s="902"/>
      <c r="E25" s="907" t="s">
        <v>50</v>
      </c>
      <c r="F25" s="909" t="s">
        <v>51</v>
      </c>
      <c r="G25" s="34"/>
      <c r="H25" s="907" t="s">
        <v>50</v>
      </c>
      <c r="I25" s="36"/>
      <c r="J25" s="231"/>
      <c r="K25" s="231"/>
      <c r="L25" s="231"/>
      <c r="M25" s="231"/>
      <c r="N25" s="231"/>
      <c r="O25" s="231"/>
      <c r="P25" s="231"/>
      <c r="Q25" s="231"/>
      <c r="R25" s="231"/>
      <c r="S25" s="231"/>
      <c r="T25" s="231"/>
      <c r="U25" s="231"/>
      <c r="V25" s="231"/>
      <c r="W25" s="231"/>
      <c r="X25" s="231"/>
      <c r="Y25" s="231"/>
      <c r="Z25" s="231"/>
      <c r="AA25" s="231"/>
      <c r="AB25" s="231"/>
      <c r="AC25" s="231"/>
      <c r="AD25" s="231"/>
      <c r="AE25" s="231"/>
      <c r="AF25" s="231"/>
      <c r="AG25" s="231"/>
      <c r="AH25" s="231"/>
    </row>
    <row r="26" spans="1:34" s="203" customFormat="1" ht="21.95" customHeight="1">
      <c r="A26" s="899"/>
      <c r="B26" s="903"/>
      <c r="C26" s="903"/>
      <c r="D26" s="904"/>
      <c r="E26" s="908"/>
      <c r="F26" s="859"/>
      <c r="G26" s="34"/>
      <c r="H26" s="908"/>
      <c r="I26" s="36"/>
      <c r="J26" s="231"/>
      <c r="K26" s="231"/>
      <c r="L26" s="231"/>
      <c r="M26" s="231"/>
      <c r="N26" s="231"/>
      <c r="O26" s="231"/>
      <c r="P26" s="231"/>
      <c r="Q26" s="231"/>
      <c r="R26" s="231"/>
      <c r="S26" s="231"/>
      <c r="T26" s="231"/>
      <c r="U26" s="231"/>
      <c r="V26" s="231"/>
      <c r="W26" s="231"/>
      <c r="X26" s="231"/>
      <c r="Y26" s="231"/>
      <c r="Z26" s="231"/>
      <c r="AA26" s="231"/>
      <c r="AB26" s="231"/>
      <c r="AC26" s="231"/>
      <c r="AD26" s="231"/>
      <c r="AE26" s="231"/>
      <c r="AF26" s="231"/>
      <c r="AG26" s="231"/>
      <c r="AH26" s="231"/>
    </row>
    <row r="27" spans="1:34" s="203" customFormat="1" ht="21.95" customHeight="1">
      <c r="A27" s="900"/>
      <c r="B27" s="905"/>
      <c r="C27" s="905"/>
      <c r="D27" s="906"/>
      <c r="E27" s="879"/>
      <c r="F27" s="860"/>
      <c r="G27" s="34"/>
      <c r="H27" s="879"/>
      <c r="I27" s="36"/>
      <c r="J27" s="231"/>
      <c r="K27" s="231"/>
      <c r="L27" s="231"/>
      <c r="M27" s="231"/>
      <c r="N27" s="231"/>
      <c r="O27" s="231"/>
      <c r="P27" s="231"/>
      <c r="Q27" s="231"/>
      <c r="R27" s="231"/>
      <c r="S27" s="231"/>
      <c r="T27" s="231"/>
      <c r="U27" s="231"/>
      <c r="V27" s="231"/>
      <c r="W27" s="231"/>
      <c r="X27" s="231"/>
      <c r="Y27" s="231"/>
      <c r="Z27" s="231"/>
      <c r="AA27" s="231"/>
      <c r="AB27" s="231"/>
      <c r="AC27" s="231"/>
      <c r="AD27" s="231"/>
      <c r="AE27" s="231"/>
      <c r="AF27" s="231"/>
      <c r="AG27" s="231"/>
      <c r="AH27" s="231"/>
    </row>
    <row r="28" spans="1:34" s="203" customFormat="1">
      <c r="A28" s="38">
        <v>1</v>
      </c>
      <c r="B28" s="39" t="s">
        <v>52</v>
      </c>
      <c r="C28" s="39"/>
      <c r="D28" s="40"/>
      <c r="E28" s="41">
        <v>98518</v>
      </c>
      <c r="F28" s="42">
        <f>F77</f>
        <v>95948</v>
      </c>
      <c r="G28" s="43"/>
      <c r="H28" s="44">
        <f>H77</f>
        <v>97979</v>
      </c>
      <c r="I28" s="43"/>
      <c r="J28" s="231"/>
      <c r="K28" s="231"/>
      <c r="L28" s="231"/>
      <c r="M28" s="231"/>
      <c r="N28" s="231"/>
      <c r="O28" s="231"/>
      <c r="P28" s="231"/>
      <c r="Q28" s="231"/>
      <c r="R28" s="231"/>
      <c r="S28" s="231"/>
      <c r="T28" s="231"/>
      <c r="U28" s="231"/>
      <c r="V28" s="231"/>
      <c r="W28" s="231"/>
      <c r="X28" s="231"/>
      <c r="Y28" s="231"/>
      <c r="Z28" s="231"/>
      <c r="AA28" s="231"/>
      <c r="AB28" s="231"/>
      <c r="AC28" s="231"/>
      <c r="AD28" s="231"/>
      <c r="AE28" s="231"/>
      <c r="AF28" s="231"/>
      <c r="AG28" s="231"/>
      <c r="AH28" s="231"/>
    </row>
    <row r="29" spans="1:34" s="203" customFormat="1">
      <c r="A29" s="46">
        <v>2</v>
      </c>
      <c r="B29" s="47" t="s">
        <v>53</v>
      </c>
      <c r="C29" s="47"/>
      <c r="D29" s="48"/>
      <c r="E29" s="49">
        <v>51381</v>
      </c>
      <c r="F29" s="50">
        <f>F105</f>
        <v>51643</v>
      </c>
      <c r="G29" s="43"/>
      <c r="H29" s="51">
        <f>H105</f>
        <v>54921</v>
      </c>
      <c r="I29" s="43"/>
      <c r="J29" s="231"/>
      <c r="K29" s="231"/>
      <c r="L29" s="231"/>
      <c r="M29" s="231"/>
      <c r="N29" s="231"/>
      <c r="O29" s="231"/>
      <c r="P29" s="231"/>
      <c r="Q29" s="231"/>
      <c r="R29" s="231"/>
      <c r="S29" s="231"/>
      <c r="T29" s="231"/>
      <c r="U29" s="231"/>
      <c r="V29" s="231"/>
      <c r="W29" s="231"/>
      <c r="X29" s="231"/>
      <c r="Y29" s="231"/>
      <c r="Z29" s="231"/>
      <c r="AA29" s="231"/>
      <c r="AB29" s="231"/>
      <c r="AC29" s="231"/>
      <c r="AD29" s="231"/>
      <c r="AE29" s="231"/>
      <c r="AF29" s="231"/>
      <c r="AG29" s="231"/>
      <c r="AH29" s="231"/>
    </row>
    <row r="30" spans="1:34" s="203" customFormat="1">
      <c r="A30" s="46">
        <v>3</v>
      </c>
      <c r="B30" s="47" t="s">
        <v>54</v>
      </c>
      <c r="C30" s="47"/>
      <c r="D30" s="48"/>
      <c r="E30" s="49">
        <v>5454</v>
      </c>
      <c r="F30" s="50">
        <f>F180</f>
        <v>5688</v>
      </c>
      <c r="G30" s="43"/>
      <c r="H30" s="51">
        <f>H180</f>
        <v>5472</v>
      </c>
      <c r="I30" s="43"/>
      <c r="J30" s="231"/>
      <c r="K30" s="231"/>
      <c r="L30" s="231"/>
      <c r="M30" s="231"/>
      <c r="N30" s="231"/>
      <c r="O30" s="231"/>
      <c r="P30" s="231"/>
      <c r="Q30" s="231"/>
      <c r="R30" s="231"/>
      <c r="S30" s="231"/>
      <c r="T30" s="231"/>
      <c r="U30" s="231"/>
      <c r="V30" s="231"/>
      <c r="W30" s="231"/>
      <c r="X30" s="231"/>
      <c r="Y30" s="231"/>
      <c r="Z30" s="231"/>
      <c r="AA30" s="231"/>
      <c r="AB30" s="231"/>
      <c r="AC30" s="231"/>
      <c r="AD30" s="231"/>
      <c r="AE30" s="231"/>
      <c r="AF30" s="231"/>
      <c r="AG30" s="231"/>
      <c r="AH30" s="231"/>
    </row>
    <row r="31" spans="1:34" s="203" customFormat="1">
      <c r="A31" s="46">
        <v>4</v>
      </c>
      <c r="B31" s="47" t="s">
        <v>55</v>
      </c>
      <c r="C31" s="47"/>
      <c r="D31" s="48"/>
      <c r="E31" s="49">
        <v>9259</v>
      </c>
      <c r="F31" s="50">
        <f>F214</f>
        <v>9045</v>
      </c>
      <c r="G31" s="43"/>
      <c r="H31" s="51">
        <f>H214</f>
        <v>8343</v>
      </c>
      <c r="I31" s="43"/>
      <c r="J31" s="231"/>
      <c r="K31" s="231"/>
      <c r="L31" s="231"/>
      <c r="M31" s="231"/>
      <c r="N31" s="231"/>
      <c r="O31" s="231"/>
      <c r="P31" s="231"/>
      <c r="Q31" s="231"/>
      <c r="R31" s="231"/>
      <c r="S31" s="231"/>
      <c r="T31" s="231"/>
      <c r="U31" s="231"/>
      <c r="V31" s="231"/>
      <c r="W31" s="231"/>
      <c r="X31" s="231"/>
      <c r="Y31" s="231"/>
      <c r="Z31" s="231"/>
      <c r="AA31" s="231"/>
      <c r="AB31" s="231"/>
      <c r="AC31" s="231"/>
      <c r="AD31" s="231"/>
      <c r="AE31" s="231"/>
      <c r="AF31" s="231"/>
      <c r="AG31" s="231"/>
      <c r="AH31" s="231"/>
    </row>
    <row r="32" spans="1:34" s="203" customFormat="1">
      <c r="A32" s="46">
        <v>5</v>
      </c>
      <c r="B32" s="47" t="s">
        <v>56</v>
      </c>
      <c r="C32" s="47"/>
      <c r="D32" s="48"/>
      <c r="E32" s="49">
        <v>2596</v>
      </c>
      <c r="F32" s="50">
        <f>F231</f>
        <v>2326</v>
      </c>
      <c r="G32" s="43"/>
      <c r="H32" s="51">
        <f>H231</f>
        <v>2531</v>
      </c>
      <c r="I32" s="43"/>
      <c r="J32" s="231"/>
      <c r="K32" s="231"/>
      <c r="L32" s="231"/>
      <c r="M32" s="231"/>
      <c r="N32" s="231"/>
      <c r="O32" s="231"/>
      <c r="P32" s="231"/>
      <c r="Q32" s="231"/>
      <c r="R32" s="231"/>
      <c r="S32" s="231"/>
      <c r="T32" s="231"/>
      <c r="U32" s="231"/>
      <c r="V32" s="231"/>
      <c r="W32" s="231"/>
      <c r="X32" s="231"/>
      <c r="Y32" s="231"/>
      <c r="Z32" s="231"/>
      <c r="AA32" s="231"/>
      <c r="AB32" s="231"/>
      <c r="AC32" s="231"/>
      <c r="AD32" s="231"/>
      <c r="AE32" s="231"/>
      <c r="AF32" s="231"/>
      <c r="AG32" s="231"/>
      <c r="AH32" s="231"/>
    </row>
    <row r="33" spans="1:34" s="203" customFormat="1">
      <c r="A33" s="46">
        <v>6</v>
      </c>
      <c r="B33" s="47" t="s">
        <v>57</v>
      </c>
      <c r="C33" s="47"/>
      <c r="D33" s="48"/>
      <c r="E33" s="49">
        <v>7298</v>
      </c>
      <c r="F33" s="50">
        <f>F257</f>
        <v>7794</v>
      </c>
      <c r="G33" s="43"/>
      <c r="H33" s="51">
        <f>H257</f>
        <v>7298</v>
      </c>
      <c r="I33" s="43"/>
      <c r="J33" s="231"/>
      <c r="K33" s="231"/>
      <c r="L33" s="231"/>
      <c r="M33" s="231"/>
      <c r="N33" s="231"/>
      <c r="O33" s="231"/>
      <c r="P33" s="231"/>
      <c r="Q33" s="231"/>
      <c r="R33" s="231"/>
      <c r="S33" s="231"/>
      <c r="T33" s="231"/>
      <c r="U33" s="231"/>
      <c r="V33" s="231"/>
      <c r="W33" s="231"/>
      <c r="X33" s="231"/>
      <c r="Y33" s="231"/>
      <c r="Z33" s="231"/>
      <c r="AA33" s="231"/>
      <c r="AB33" s="231"/>
      <c r="AC33" s="231"/>
      <c r="AD33" s="231"/>
      <c r="AE33" s="231"/>
      <c r="AF33" s="231"/>
      <c r="AG33" s="231"/>
      <c r="AH33" s="231"/>
    </row>
    <row r="34" spans="1:34" s="203" customFormat="1">
      <c r="A34" s="46">
        <v>7</v>
      </c>
      <c r="B34" s="47" t="s">
        <v>58</v>
      </c>
      <c r="C34" s="47"/>
      <c r="D34" s="48"/>
      <c r="E34" s="49">
        <v>9405</v>
      </c>
      <c r="F34" s="50">
        <f>F277</f>
        <v>9661</v>
      </c>
      <c r="G34" s="43"/>
      <c r="H34" s="50">
        <f>H277</f>
        <v>8804</v>
      </c>
      <c r="I34" s="43"/>
      <c r="J34" s="231"/>
      <c r="K34" s="231"/>
      <c r="L34" s="231"/>
      <c r="M34" s="231"/>
      <c r="N34" s="231"/>
      <c r="O34" s="231"/>
      <c r="P34" s="231"/>
      <c r="Q34" s="231"/>
      <c r="R34" s="231"/>
      <c r="S34" s="231"/>
      <c r="T34" s="231"/>
      <c r="U34" s="231"/>
      <c r="V34" s="231"/>
      <c r="W34" s="231"/>
      <c r="X34" s="231"/>
      <c r="Y34" s="231"/>
      <c r="Z34" s="231"/>
      <c r="AA34" s="231"/>
      <c r="AB34" s="231"/>
      <c r="AC34" s="231"/>
      <c r="AD34" s="231"/>
      <c r="AE34" s="231"/>
      <c r="AF34" s="231"/>
      <c r="AG34" s="231"/>
      <c r="AH34" s="231"/>
    </row>
    <row r="35" spans="1:34" s="203" customFormat="1">
      <c r="A35" s="46">
        <v>8</v>
      </c>
      <c r="B35" s="47" t="s">
        <v>59</v>
      </c>
      <c r="C35" s="47"/>
      <c r="D35" s="48"/>
      <c r="E35" s="49">
        <v>3770.3997600000002</v>
      </c>
      <c r="F35" s="50">
        <f>F302</f>
        <v>6250</v>
      </c>
      <c r="G35" s="43"/>
      <c r="H35" s="50">
        <f>H302</f>
        <v>4205</v>
      </c>
      <c r="I35" s="21"/>
      <c r="J35" s="231"/>
      <c r="K35" s="231"/>
      <c r="L35" s="231"/>
      <c r="M35" s="231"/>
      <c r="N35" s="231"/>
      <c r="O35" s="231"/>
      <c r="P35" s="231"/>
      <c r="Q35" s="231"/>
      <c r="R35" s="231"/>
      <c r="S35" s="231"/>
      <c r="T35" s="231"/>
      <c r="U35" s="231"/>
      <c r="V35" s="231"/>
      <c r="W35" s="231"/>
      <c r="X35" s="231"/>
      <c r="Y35" s="231"/>
      <c r="Z35" s="231"/>
      <c r="AA35" s="231"/>
      <c r="AB35" s="231"/>
      <c r="AC35" s="231"/>
      <c r="AD35" s="231"/>
      <c r="AE35" s="231"/>
      <c r="AF35" s="231"/>
      <c r="AG35" s="231"/>
      <c r="AH35" s="231"/>
    </row>
    <row r="36" spans="1:34" s="203" customFormat="1">
      <c r="A36" s="46">
        <v>9</v>
      </c>
      <c r="B36" s="47" t="s">
        <v>60</v>
      </c>
      <c r="C36" s="47"/>
      <c r="D36" s="48"/>
      <c r="E36" s="49">
        <v>0</v>
      </c>
      <c r="F36" s="52"/>
      <c r="G36" s="43"/>
      <c r="H36" s="52"/>
      <c r="I36" s="21"/>
      <c r="J36" s="231"/>
      <c r="K36" s="231"/>
      <c r="L36" s="231"/>
      <c r="M36" s="231"/>
      <c r="N36" s="231"/>
      <c r="O36" s="231"/>
      <c r="P36" s="231"/>
      <c r="Q36" s="231"/>
      <c r="R36" s="231"/>
      <c r="S36" s="231"/>
      <c r="T36" s="231"/>
      <c r="U36" s="231"/>
      <c r="V36" s="231"/>
      <c r="W36" s="231"/>
      <c r="X36" s="231"/>
      <c r="Y36" s="231"/>
      <c r="Z36" s="231"/>
      <c r="AA36" s="231"/>
      <c r="AB36" s="231"/>
      <c r="AC36" s="231"/>
      <c r="AD36" s="231"/>
      <c r="AE36" s="231"/>
      <c r="AF36" s="231"/>
      <c r="AG36" s="231"/>
      <c r="AH36" s="231"/>
    </row>
    <row r="37" spans="1:34" s="203" customFormat="1">
      <c r="A37" s="53">
        <v>10</v>
      </c>
      <c r="B37" s="54" t="s">
        <v>61</v>
      </c>
      <c r="C37" s="54"/>
      <c r="D37" s="55"/>
      <c r="E37" s="56">
        <v>13299</v>
      </c>
      <c r="F37" s="57">
        <f>F320</f>
        <v>14926</v>
      </c>
      <c r="G37" s="43"/>
      <c r="H37" s="57">
        <f>H320</f>
        <v>15278</v>
      </c>
      <c r="I37" s="21"/>
      <c r="J37" s="231"/>
      <c r="K37" s="231"/>
      <c r="L37" s="231"/>
      <c r="M37" s="231"/>
      <c r="N37" s="231"/>
      <c r="O37" s="231"/>
      <c r="P37" s="231"/>
      <c r="Q37" s="231"/>
      <c r="R37" s="231"/>
      <c r="S37" s="231"/>
      <c r="T37" s="231"/>
      <c r="U37" s="231"/>
      <c r="V37" s="231"/>
      <c r="W37" s="231"/>
      <c r="X37" s="231"/>
      <c r="Y37" s="231"/>
      <c r="Z37" s="231"/>
      <c r="AA37" s="231"/>
      <c r="AB37" s="231"/>
      <c r="AC37" s="231"/>
      <c r="AD37" s="231"/>
      <c r="AE37" s="231"/>
      <c r="AF37" s="231"/>
      <c r="AG37" s="231"/>
      <c r="AH37" s="231"/>
    </row>
    <row r="38" spans="1:34" s="203" customFormat="1">
      <c r="A38" s="33">
        <v>11</v>
      </c>
      <c r="B38" s="58" t="s">
        <v>62</v>
      </c>
      <c r="C38" s="58"/>
      <c r="D38" s="59"/>
      <c r="E38" s="60">
        <v>200980.39976</v>
      </c>
      <c r="F38" s="61">
        <f>SUM(F28:F37)</f>
        <v>203281</v>
      </c>
      <c r="G38" s="43"/>
      <c r="H38" s="61">
        <f>SUM(H28:H37)</f>
        <v>204831</v>
      </c>
      <c r="I38" s="68"/>
      <c r="J38" s="231"/>
      <c r="K38" s="231"/>
      <c r="L38" s="231"/>
      <c r="M38" s="231"/>
      <c r="N38" s="231"/>
      <c r="O38" s="231"/>
      <c r="P38" s="231"/>
      <c r="Q38" s="231"/>
      <c r="R38" s="231"/>
      <c r="S38" s="231"/>
      <c r="T38" s="231"/>
      <c r="U38" s="231"/>
      <c r="V38" s="231"/>
      <c r="W38" s="231"/>
      <c r="X38" s="231"/>
      <c r="Y38" s="231"/>
      <c r="Z38" s="231"/>
      <c r="AA38" s="231"/>
      <c r="AB38" s="231"/>
      <c r="AC38" s="231"/>
      <c r="AD38" s="231"/>
      <c r="AE38" s="231"/>
      <c r="AF38" s="231"/>
      <c r="AG38" s="231"/>
      <c r="AH38" s="231"/>
    </row>
    <row r="39" spans="1:34" s="203" customFormat="1" ht="12.75" customHeight="1">
      <c r="A39" s="63"/>
      <c r="B39" s="64"/>
      <c r="C39" s="64"/>
      <c r="D39" s="65"/>
      <c r="E39" s="66"/>
      <c r="F39" s="67"/>
      <c r="G39" s="21"/>
      <c r="H39" s="67"/>
      <c r="I39" s="68"/>
      <c r="J39" s="231"/>
      <c r="K39" s="231"/>
      <c r="L39" s="231"/>
      <c r="M39" s="231"/>
      <c r="N39" s="231"/>
      <c r="O39" s="231"/>
      <c r="P39" s="231"/>
      <c r="Q39" s="231"/>
      <c r="R39" s="231"/>
      <c r="S39" s="231"/>
      <c r="T39" s="231"/>
      <c r="U39" s="231"/>
      <c r="V39" s="231"/>
      <c r="W39" s="231"/>
      <c r="X39" s="231"/>
      <c r="Y39" s="231"/>
      <c r="Z39" s="231"/>
      <c r="AA39" s="231"/>
      <c r="AB39" s="231"/>
      <c r="AC39" s="231"/>
      <c r="AD39" s="231"/>
      <c r="AE39" s="231"/>
      <c r="AF39" s="231"/>
      <c r="AG39" s="231"/>
      <c r="AH39" s="231"/>
    </row>
    <row r="40" spans="1:34" s="203" customFormat="1" ht="12.75" customHeight="1">
      <c r="A40" s="893" t="s">
        <v>63</v>
      </c>
      <c r="B40" s="894"/>
      <c r="C40" s="894"/>
      <c r="D40" s="895"/>
      <c r="E40" s="878" t="s">
        <v>376</v>
      </c>
      <c r="F40" s="856" t="s">
        <v>407</v>
      </c>
      <c r="G40" s="36"/>
      <c r="H40" s="878" t="s">
        <v>406</v>
      </c>
      <c r="I40" s="43"/>
      <c r="J40" s="231"/>
      <c r="K40" s="231"/>
      <c r="L40" s="231"/>
      <c r="M40" s="231"/>
      <c r="N40" s="231"/>
      <c r="O40" s="231"/>
      <c r="P40" s="231"/>
      <c r="Q40" s="231"/>
      <c r="R40" s="231"/>
      <c r="S40" s="231"/>
      <c r="T40" s="231"/>
      <c r="U40" s="231"/>
      <c r="V40" s="231"/>
      <c r="W40" s="231"/>
      <c r="X40" s="231"/>
      <c r="Y40" s="231"/>
      <c r="Z40" s="231"/>
      <c r="AA40" s="231"/>
      <c r="AB40" s="231"/>
      <c r="AC40" s="231"/>
      <c r="AD40" s="231"/>
      <c r="AE40" s="231"/>
      <c r="AF40" s="231"/>
      <c r="AG40" s="231"/>
      <c r="AH40" s="231"/>
    </row>
    <row r="41" spans="1:34" s="203" customFormat="1" ht="27.75" customHeight="1">
      <c r="A41" s="876"/>
      <c r="B41" s="877"/>
      <c r="C41" s="877"/>
      <c r="D41" s="896"/>
      <c r="E41" s="879"/>
      <c r="F41" s="860"/>
      <c r="G41" s="23"/>
      <c r="H41" s="879"/>
      <c r="I41" s="43"/>
      <c r="J41" s="231"/>
      <c r="K41" s="231"/>
      <c r="L41" s="231"/>
      <c r="M41" s="231"/>
      <c r="N41" s="231"/>
      <c r="O41" s="231"/>
      <c r="P41" s="231"/>
      <c r="Q41" s="231"/>
      <c r="R41" s="231"/>
      <c r="S41" s="231"/>
      <c r="T41" s="231"/>
      <c r="U41" s="231"/>
      <c r="V41" s="231"/>
      <c r="W41" s="231"/>
      <c r="X41" s="231"/>
      <c r="Y41" s="231"/>
      <c r="Z41" s="231"/>
      <c r="AA41" s="231"/>
      <c r="AB41" s="231"/>
      <c r="AC41" s="231"/>
      <c r="AD41" s="231"/>
      <c r="AE41" s="231"/>
      <c r="AF41" s="231"/>
      <c r="AG41" s="231"/>
      <c r="AH41" s="231"/>
    </row>
    <row r="42" spans="1:34" s="203" customFormat="1">
      <c r="A42" s="747" t="s">
        <v>64</v>
      </c>
      <c r="B42" s="69" t="s">
        <v>65</v>
      </c>
      <c r="C42" s="69"/>
      <c r="D42" s="70"/>
      <c r="E42" s="71"/>
      <c r="F42" s="72" t="str">
        <f>IF(OR(F43&lt;0,F44&lt;0,F47&lt;0,F48&lt;0,H43&lt;0,H44&lt;0,H47&lt;0,H48&lt;0),"Funding should be recorded as positive figures",".")</f>
        <v>.</v>
      </c>
      <c r="G42" s="45"/>
      <c r="H42" s="73"/>
      <c r="I42" s="43"/>
      <c r="J42" s="231"/>
      <c r="K42" s="231"/>
      <c r="L42" s="231"/>
      <c r="M42" s="231"/>
      <c r="N42" s="231"/>
      <c r="O42" s="231"/>
      <c r="P42" s="231"/>
      <c r="Q42" s="231"/>
      <c r="R42" s="231"/>
      <c r="S42" s="231"/>
      <c r="T42" s="231"/>
      <c r="U42" s="231"/>
      <c r="V42" s="231"/>
      <c r="W42" s="231"/>
      <c r="X42" s="231"/>
      <c r="Y42" s="231"/>
      <c r="Z42" s="231"/>
      <c r="AA42" s="231"/>
      <c r="AB42" s="231"/>
      <c r="AC42" s="231"/>
      <c r="AD42" s="231"/>
      <c r="AE42" s="231"/>
      <c r="AF42" s="231"/>
      <c r="AG42" s="231"/>
      <c r="AH42" s="231"/>
    </row>
    <row r="43" spans="1:34" s="203" customFormat="1">
      <c r="A43" s="46">
        <v>1</v>
      </c>
      <c r="B43" s="47" t="s">
        <v>66</v>
      </c>
      <c r="C43" s="47"/>
      <c r="D43" s="48"/>
      <c r="E43" s="74">
        <v>126317</v>
      </c>
      <c r="F43" s="241">
        <v>126301.00000000001</v>
      </c>
      <c r="G43" s="45"/>
      <c r="H43" s="75">
        <v>125798</v>
      </c>
      <c r="I43" s="43"/>
      <c r="J43" s="231"/>
      <c r="K43" s="231"/>
      <c r="L43" s="231"/>
      <c r="M43" s="231"/>
      <c r="N43" s="231"/>
      <c r="O43" s="231"/>
      <c r="P43" s="231"/>
      <c r="Q43" s="231"/>
      <c r="R43" s="231"/>
      <c r="S43" s="231"/>
      <c r="T43" s="231"/>
      <c r="U43" s="231"/>
      <c r="V43" s="231"/>
      <c r="W43" s="231"/>
      <c r="X43" s="231"/>
      <c r="Y43" s="231"/>
      <c r="Z43" s="231"/>
      <c r="AA43" s="231"/>
      <c r="AB43" s="231"/>
      <c r="AC43" s="231"/>
      <c r="AD43" s="231"/>
      <c r="AE43" s="231"/>
      <c r="AF43" s="231"/>
      <c r="AG43" s="231"/>
      <c r="AH43" s="231"/>
    </row>
    <row r="44" spans="1:34" s="203" customFormat="1">
      <c r="A44" s="46">
        <v>2</v>
      </c>
      <c r="B44" s="47" t="s">
        <v>67</v>
      </c>
      <c r="C44" s="47"/>
      <c r="D44" s="48"/>
      <c r="E44" s="49">
        <v>28115</v>
      </c>
      <c r="F44" s="241">
        <v>28115</v>
      </c>
      <c r="G44" s="45"/>
      <c r="H44" s="75">
        <v>31615</v>
      </c>
      <c r="I44" s="43"/>
      <c r="J44" s="231"/>
      <c r="K44" s="231"/>
      <c r="L44" s="231"/>
      <c r="M44" s="231"/>
      <c r="N44" s="231"/>
      <c r="O44" s="231"/>
      <c r="P44" s="231"/>
      <c r="Q44" s="231"/>
      <c r="R44" s="231"/>
      <c r="S44" s="231"/>
      <c r="T44" s="231"/>
      <c r="U44" s="231"/>
      <c r="V44" s="231"/>
      <c r="W44" s="231"/>
      <c r="X44" s="231"/>
      <c r="Y44" s="231"/>
      <c r="Z44" s="231"/>
      <c r="AA44" s="231"/>
      <c r="AB44" s="231"/>
      <c r="AC44" s="231"/>
      <c r="AD44" s="231"/>
      <c r="AE44" s="231"/>
      <c r="AF44" s="231"/>
      <c r="AG44" s="231"/>
      <c r="AH44" s="231"/>
    </row>
    <row r="45" spans="1:34" s="203" customFormat="1">
      <c r="A45" s="46">
        <v>3</v>
      </c>
      <c r="B45" s="47" t="s">
        <v>68</v>
      </c>
      <c r="C45" s="47"/>
      <c r="D45" s="48"/>
      <c r="E45" s="49">
        <v>0</v>
      </c>
      <c r="F45" s="52"/>
      <c r="G45" s="45"/>
      <c r="H45" s="75"/>
      <c r="I45" s="43"/>
      <c r="J45" s="231"/>
      <c r="K45" s="231"/>
      <c r="L45" s="231"/>
      <c r="M45" s="231"/>
      <c r="N45" s="231"/>
      <c r="O45" s="231"/>
      <c r="P45" s="231"/>
      <c r="Q45" s="231"/>
      <c r="R45" s="231"/>
      <c r="S45" s="231"/>
      <c r="T45" s="231"/>
      <c r="U45" s="231"/>
      <c r="V45" s="231"/>
      <c r="W45" s="231"/>
      <c r="X45" s="231"/>
      <c r="Y45" s="231"/>
      <c r="Z45" s="231"/>
      <c r="AA45" s="231"/>
      <c r="AB45" s="231"/>
      <c r="AC45" s="231"/>
      <c r="AD45" s="231"/>
      <c r="AE45" s="231"/>
      <c r="AF45" s="231"/>
      <c r="AG45" s="231"/>
      <c r="AH45" s="231"/>
    </row>
    <row r="46" spans="1:34" s="203" customFormat="1">
      <c r="A46" s="46">
        <v>4</v>
      </c>
      <c r="B46" s="47" t="s">
        <v>70</v>
      </c>
      <c r="C46" s="47"/>
      <c r="D46" s="48"/>
      <c r="E46" s="49">
        <v>0</v>
      </c>
      <c r="F46" s="52"/>
      <c r="G46" s="45"/>
      <c r="H46" s="75"/>
      <c r="I46" s="43"/>
      <c r="J46" s="231"/>
      <c r="K46" s="231"/>
      <c r="L46" s="231"/>
      <c r="M46" s="231"/>
      <c r="N46" s="231"/>
      <c r="O46" s="231"/>
      <c r="P46" s="231"/>
      <c r="Q46" s="231"/>
      <c r="R46" s="231"/>
      <c r="S46" s="231"/>
      <c r="T46" s="231"/>
      <c r="U46" s="231"/>
      <c r="V46" s="231"/>
      <c r="W46" s="231"/>
      <c r="X46" s="231"/>
      <c r="Y46" s="231"/>
      <c r="Z46" s="231"/>
      <c r="AA46" s="231"/>
      <c r="AB46" s="231"/>
      <c r="AC46" s="231"/>
      <c r="AD46" s="231"/>
      <c r="AE46" s="231"/>
      <c r="AF46" s="231"/>
      <c r="AG46" s="231"/>
      <c r="AH46" s="231"/>
    </row>
    <row r="47" spans="1:34" s="203" customFormat="1">
      <c r="A47" s="46">
        <v>5</v>
      </c>
      <c r="B47" s="47" t="s">
        <v>69</v>
      </c>
      <c r="C47" s="47"/>
      <c r="D47" s="48"/>
      <c r="E47" s="49">
        <v>4229</v>
      </c>
      <c r="F47" s="52">
        <v>1371</v>
      </c>
      <c r="G47" s="45"/>
      <c r="H47" s="76">
        <v>1232</v>
      </c>
      <c r="I47" s="43"/>
      <c r="J47" s="231"/>
      <c r="K47" s="231"/>
      <c r="L47" s="231"/>
      <c r="M47" s="231"/>
      <c r="N47" s="231"/>
      <c r="O47" s="231"/>
      <c r="P47" s="231"/>
      <c r="Q47" s="231"/>
      <c r="R47" s="231"/>
      <c r="S47" s="231"/>
      <c r="T47" s="231"/>
      <c r="U47" s="231"/>
      <c r="V47" s="231"/>
      <c r="W47" s="231"/>
      <c r="X47" s="231"/>
      <c r="Y47" s="231"/>
      <c r="Z47" s="231"/>
      <c r="AA47" s="231"/>
      <c r="AB47" s="231"/>
      <c r="AC47" s="231"/>
      <c r="AD47" s="231"/>
      <c r="AE47" s="231"/>
      <c r="AF47" s="231"/>
      <c r="AG47" s="231"/>
      <c r="AH47" s="231"/>
    </row>
    <row r="48" spans="1:34" s="203" customFormat="1">
      <c r="A48" s="46">
        <v>6</v>
      </c>
      <c r="B48" s="90" t="s">
        <v>253</v>
      </c>
      <c r="C48" s="47"/>
      <c r="D48" s="195"/>
      <c r="E48" s="49">
        <v>42519</v>
      </c>
      <c r="F48" s="52">
        <v>42961</v>
      </c>
      <c r="G48" s="45"/>
      <c r="H48" s="52">
        <v>46187</v>
      </c>
      <c r="I48" s="43"/>
      <c r="J48" s="231"/>
      <c r="K48" s="231"/>
      <c r="L48" s="231"/>
      <c r="M48" s="231"/>
      <c r="N48" s="231"/>
      <c r="O48" s="231"/>
      <c r="P48" s="231"/>
      <c r="Q48" s="231"/>
      <c r="R48" s="231"/>
      <c r="S48" s="231"/>
      <c r="T48" s="231"/>
      <c r="U48" s="231"/>
      <c r="V48" s="231"/>
      <c r="W48" s="231"/>
      <c r="X48" s="231"/>
      <c r="Y48" s="231"/>
      <c r="Z48" s="231"/>
      <c r="AA48" s="231"/>
      <c r="AB48" s="231"/>
      <c r="AC48" s="231"/>
      <c r="AD48" s="231"/>
      <c r="AE48" s="231"/>
      <c r="AF48" s="231"/>
      <c r="AG48" s="231"/>
      <c r="AH48" s="231"/>
    </row>
    <row r="49" spans="1:34" s="203" customFormat="1">
      <c r="A49" s="77">
        <v>7</v>
      </c>
      <c r="B49" s="78" t="s">
        <v>71</v>
      </c>
      <c r="C49" s="58"/>
      <c r="D49" s="79"/>
      <c r="E49" s="80">
        <v>201180</v>
      </c>
      <c r="F49" s="81">
        <f>SUM(F43:F48)</f>
        <v>198748</v>
      </c>
      <c r="G49" s="82"/>
      <c r="H49" s="62">
        <f>SUM(H43:H48)</f>
        <v>204832</v>
      </c>
      <c r="I49" s="242"/>
      <c r="J49" s="231"/>
      <c r="K49" s="231"/>
      <c r="L49" s="231"/>
      <c r="M49" s="231"/>
      <c r="N49" s="231"/>
      <c r="O49" s="231"/>
      <c r="P49" s="231"/>
      <c r="Q49" s="231"/>
      <c r="R49" s="231"/>
      <c r="S49" s="231"/>
      <c r="T49" s="231"/>
      <c r="U49" s="231"/>
      <c r="V49" s="231"/>
      <c r="W49" s="231"/>
      <c r="X49" s="231"/>
      <c r="Y49" s="231"/>
      <c r="Z49" s="231"/>
      <c r="AA49" s="231"/>
      <c r="AB49" s="231"/>
      <c r="AC49" s="231"/>
      <c r="AD49" s="231"/>
      <c r="AE49" s="231"/>
      <c r="AF49" s="231"/>
      <c r="AG49" s="231"/>
      <c r="AH49" s="231"/>
    </row>
    <row r="50" spans="1:34" s="203" customFormat="1">
      <c r="A50" s="83"/>
      <c r="B50" s="244"/>
      <c r="C50" s="244"/>
      <c r="D50" s="244"/>
      <c r="E50" s="85"/>
      <c r="F50" s="244"/>
      <c r="G50" s="86"/>
      <c r="H50" s="86"/>
      <c r="I50" s="21"/>
      <c r="J50" s="231"/>
      <c r="K50" s="231"/>
      <c r="L50" s="231"/>
      <c r="M50" s="231"/>
      <c r="N50" s="231"/>
      <c r="O50" s="231"/>
      <c r="P50" s="231"/>
      <c r="Q50" s="231"/>
      <c r="R50" s="231"/>
      <c r="S50" s="231"/>
      <c r="T50" s="231"/>
      <c r="U50" s="231"/>
      <c r="V50" s="231"/>
      <c r="W50" s="231"/>
      <c r="X50" s="231"/>
      <c r="Y50" s="231"/>
      <c r="Z50" s="231"/>
      <c r="AA50" s="231"/>
      <c r="AB50" s="231"/>
      <c r="AC50" s="231"/>
      <c r="AD50" s="231"/>
      <c r="AE50" s="231"/>
      <c r="AF50" s="231"/>
      <c r="AG50" s="231"/>
      <c r="AH50" s="231"/>
    </row>
    <row r="51" spans="1:34" s="203" customFormat="1">
      <c r="A51" s="747" t="s">
        <v>72</v>
      </c>
      <c r="B51" s="196" t="s">
        <v>254</v>
      </c>
      <c r="C51" s="69"/>
      <c r="D51" s="70"/>
      <c r="E51" s="87"/>
      <c r="F51" s="88"/>
      <c r="G51" s="45"/>
      <c r="H51" s="89"/>
      <c r="I51" s="43"/>
      <c r="J51" s="231"/>
      <c r="K51" s="231"/>
      <c r="L51" s="231"/>
      <c r="M51" s="231"/>
      <c r="N51" s="231"/>
      <c r="O51" s="231"/>
      <c r="P51" s="231"/>
      <c r="Q51" s="231"/>
      <c r="R51" s="231"/>
      <c r="S51" s="231"/>
      <c r="T51" s="231"/>
      <c r="U51" s="231"/>
      <c r="V51" s="231"/>
      <c r="W51" s="231"/>
      <c r="X51" s="231"/>
      <c r="Y51" s="231"/>
      <c r="Z51" s="231"/>
      <c r="AA51" s="231"/>
      <c r="AB51" s="231"/>
      <c r="AC51" s="231"/>
      <c r="AD51" s="231"/>
      <c r="AE51" s="231"/>
      <c r="AF51" s="231"/>
      <c r="AG51" s="231"/>
      <c r="AH51" s="231"/>
    </row>
    <row r="52" spans="1:34" s="203" customFormat="1">
      <c r="A52" s="46">
        <v>8</v>
      </c>
      <c r="B52" s="90" t="s">
        <v>73</v>
      </c>
      <c r="C52" s="47"/>
      <c r="D52" s="48"/>
      <c r="E52" s="74">
        <v>200980.39976</v>
      </c>
      <c r="F52" s="50">
        <f>F38</f>
        <v>203281</v>
      </c>
      <c r="G52" s="45"/>
      <c r="H52" s="91">
        <f>H38</f>
        <v>204831</v>
      </c>
      <c r="I52" s="43"/>
      <c r="J52" s="231"/>
      <c r="K52" s="231"/>
      <c r="L52" s="231"/>
      <c r="M52" s="231"/>
      <c r="N52" s="231"/>
      <c r="O52" s="231"/>
      <c r="P52" s="231"/>
      <c r="Q52" s="231"/>
      <c r="R52" s="231"/>
      <c r="S52" s="231"/>
      <c r="T52" s="231"/>
      <c r="U52" s="231"/>
      <c r="V52" s="231"/>
      <c r="W52" s="231"/>
      <c r="X52" s="231"/>
      <c r="Y52" s="231"/>
      <c r="Z52" s="231"/>
      <c r="AA52" s="231"/>
      <c r="AB52" s="231"/>
      <c r="AC52" s="231"/>
      <c r="AD52" s="231"/>
      <c r="AE52" s="231"/>
      <c r="AF52" s="231"/>
      <c r="AG52" s="231"/>
      <c r="AH52" s="231"/>
    </row>
    <row r="53" spans="1:34" s="203" customFormat="1">
      <c r="A53" s="46">
        <v>9</v>
      </c>
      <c r="B53" s="90" t="s">
        <v>74</v>
      </c>
      <c r="C53" s="47"/>
      <c r="D53" s="48"/>
      <c r="E53" s="49">
        <v>201180</v>
      </c>
      <c r="F53" s="92">
        <f>F49</f>
        <v>198748</v>
      </c>
      <c r="G53" s="45"/>
      <c r="H53" s="91">
        <f>H49</f>
        <v>204832</v>
      </c>
      <c r="I53" s="43"/>
      <c r="J53" s="231"/>
      <c r="K53" s="231"/>
      <c r="L53" s="231"/>
      <c r="M53" s="231"/>
      <c r="N53" s="231"/>
      <c r="O53" s="231"/>
      <c r="P53" s="231"/>
      <c r="Q53" s="231"/>
      <c r="R53" s="231"/>
      <c r="S53" s="231"/>
      <c r="T53" s="231"/>
      <c r="U53" s="231"/>
      <c r="V53" s="231"/>
      <c r="W53" s="231"/>
      <c r="X53" s="231"/>
      <c r="Y53" s="231"/>
      <c r="Z53" s="231"/>
      <c r="AA53" s="231"/>
      <c r="AB53" s="231"/>
      <c r="AC53" s="231"/>
      <c r="AD53" s="231"/>
      <c r="AE53" s="231"/>
      <c r="AF53" s="231"/>
      <c r="AG53" s="231"/>
      <c r="AH53" s="231"/>
    </row>
    <row r="54" spans="1:34" s="203" customFormat="1">
      <c r="A54" s="749">
        <v>10</v>
      </c>
      <c r="B54" s="93" t="s">
        <v>255</v>
      </c>
      <c r="C54" s="94"/>
      <c r="D54" s="55"/>
      <c r="E54" s="95">
        <v>199.60023999999976</v>
      </c>
      <c r="F54" s="96">
        <f>F53-F52</f>
        <v>-4533</v>
      </c>
      <c r="G54" s="45"/>
      <c r="H54" s="97">
        <f>H53-H52</f>
        <v>1</v>
      </c>
      <c r="I54" s="43"/>
      <c r="J54" s="231"/>
      <c r="K54" s="231"/>
      <c r="L54" s="231"/>
      <c r="M54" s="231"/>
      <c r="N54" s="231"/>
      <c r="O54" s="231"/>
      <c r="P54" s="231"/>
      <c r="Q54" s="231"/>
      <c r="R54" s="231"/>
      <c r="S54" s="231"/>
      <c r="T54" s="231"/>
      <c r="U54" s="231"/>
      <c r="V54" s="231"/>
      <c r="W54" s="231"/>
      <c r="X54" s="231"/>
      <c r="Y54" s="231"/>
      <c r="Z54" s="231"/>
      <c r="AA54" s="231"/>
      <c r="AB54" s="231"/>
      <c r="AC54" s="231"/>
      <c r="AD54" s="231"/>
      <c r="AE54" s="231"/>
      <c r="AF54" s="231"/>
      <c r="AG54" s="231"/>
      <c r="AH54" s="231"/>
    </row>
    <row r="55" spans="1:34" s="203" customFormat="1">
      <c r="A55" s="83"/>
      <c r="B55" s="244"/>
      <c r="C55" s="244"/>
      <c r="D55" s="244"/>
      <c r="E55" s="85"/>
      <c r="F55" s="244"/>
      <c r="G55" s="86"/>
      <c r="H55" s="86"/>
      <c r="I55" s="21"/>
      <c r="J55" s="231"/>
      <c r="K55" s="231"/>
      <c r="L55" s="231"/>
      <c r="M55" s="231"/>
      <c r="N55" s="231"/>
      <c r="O55" s="231"/>
      <c r="P55" s="231"/>
      <c r="Q55" s="231"/>
      <c r="R55" s="231"/>
      <c r="S55" s="231"/>
      <c r="T55" s="231"/>
      <c r="U55" s="231"/>
      <c r="V55" s="231"/>
      <c r="W55" s="231"/>
      <c r="X55" s="231"/>
      <c r="Y55" s="231"/>
      <c r="Z55" s="231"/>
      <c r="AA55" s="231"/>
      <c r="AB55" s="231"/>
      <c r="AC55" s="231"/>
      <c r="AD55" s="231"/>
      <c r="AE55" s="231"/>
      <c r="AF55" s="231"/>
      <c r="AG55" s="231"/>
      <c r="AH55" s="231"/>
    </row>
    <row r="56" spans="1:34" s="203" customFormat="1">
      <c r="A56" s="747" t="s">
        <v>75</v>
      </c>
      <c r="B56" s="69" t="s">
        <v>256</v>
      </c>
      <c r="C56" s="69"/>
      <c r="D56" s="70"/>
      <c r="E56" s="87"/>
      <c r="F56" s="88"/>
      <c r="G56" s="45"/>
      <c r="H56" s="89"/>
      <c r="I56" s="43"/>
      <c r="J56" s="231"/>
      <c r="K56" s="231"/>
      <c r="L56" s="231"/>
      <c r="M56" s="231"/>
      <c r="N56" s="231"/>
      <c r="O56" s="231"/>
      <c r="P56" s="231"/>
      <c r="Q56" s="231"/>
      <c r="R56" s="231"/>
      <c r="S56" s="231"/>
      <c r="T56" s="231"/>
      <c r="U56" s="231"/>
      <c r="V56" s="231"/>
      <c r="W56" s="231"/>
      <c r="X56" s="231"/>
      <c r="Y56" s="231"/>
      <c r="Z56" s="231"/>
      <c r="AA56" s="231"/>
      <c r="AB56" s="231"/>
      <c r="AC56" s="231"/>
      <c r="AD56" s="231"/>
      <c r="AE56" s="231"/>
      <c r="AF56" s="231"/>
      <c r="AG56" s="231"/>
      <c r="AH56" s="231"/>
    </row>
    <row r="57" spans="1:34" s="203" customFormat="1">
      <c r="A57" s="46">
        <v>11</v>
      </c>
      <c r="B57" s="47" t="s">
        <v>76</v>
      </c>
      <c r="C57" s="47"/>
      <c r="D57" s="48"/>
      <c r="E57" s="74">
        <v>8545.9561658928578</v>
      </c>
      <c r="F57" s="52">
        <v>10777</v>
      </c>
      <c r="G57" s="45"/>
      <c r="H57" s="91">
        <f>F61</f>
        <v>6244</v>
      </c>
      <c r="I57" s="43"/>
      <c r="J57" s="231"/>
      <c r="K57" s="231"/>
      <c r="L57" s="231"/>
      <c r="M57" s="231"/>
      <c r="N57" s="231"/>
      <c r="O57" s="231"/>
      <c r="P57" s="231"/>
      <c r="Q57" s="231"/>
      <c r="R57" s="231"/>
      <c r="S57" s="231"/>
      <c r="T57" s="231"/>
      <c r="U57" s="231"/>
      <c r="V57" s="231"/>
      <c r="W57" s="231"/>
      <c r="X57" s="231"/>
      <c r="Y57" s="231"/>
      <c r="Z57" s="231"/>
      <c r="AA57" s="231"/>
      <c r="AB57" s="231"/>
      <c r="AC57" s="231"/>
      <c r="AD57" s="231"/>
      <c r="AE57" s="231"/>
      <c r="AF57" s="231"/>
      <c r="AG57" s="231"/>
      <c r="AH57" s="231"/>
    </row>
    <row r="58" spans="1:34" s="203" customFormat="1">
      <c r="A58" s="46">
        <v>12</v>
      </c>
      <c r="B58" s="90" t="s">
        <v>257</v>
      </c>
      <c r="C58" s="47"/>
      <c r="D58" s="48"/>
      <c r="E58" s="49">
        <v>199.60023999999976</v>
      </c>
      <c r="F58" s="92">
        <f>F54</f>
        <v>-4533</v>
      </c>
      <c r="G58" s="45"/>
      <c r="H58" s="98">
        <f>H54</f>
        <v>1</v>
      </c>
      <c r="I58" s="43"/>
      <c r="J58" s="231"/>
      <c r="K58" s="231"/>
      <c r="L58" s="231"/>
      <c r="M58" s="231"/>
      <c r="N58" s="231"/>
      <c r="O58" s="231"/>
      <c r="P58" s="231"/>
      <c r="Q58" s="231"/>
      <c r="R58" s="231"/>
      <c r="S58" s="231"/>
      <c r="T58" s="231"/>
      <c r="U58" s="231"/>
      <c r="V58" s="231"/>
      <c r="W58" s="231"/>
      <c r="X58" s="231"/>
      <c r="Y58" s="231"/>
      <c r="Z58" s="231"/>
      <c r="AA58" s="231"/>
      <c r="AB58" s="231"/>
      <c r="AC58" s="231"/>
      <c r="AD58" s="231"/>
      <c r="AE58" s="231"/>
      <c r="AF58" s="231"/>
      <c r="AG58" s="231"/>
      <c r="AH58" s="231"/>
    </row>
    <row r="59" spans="1:34" s="203" customFormat="1">
      <c r="A59" s="46">
        <v>13</v>
      </c>
      <c r="B59" s="47" t="s">
        <v>77</v>
      </c>
      <c r="C59" s="47"/>
      <c r="D59" s="48"/>
      <c r="E59" s="49">
        <v>0</v>
      </c>
      <c r="F59" s="52"/>
      <c r="G59" s="45"/>
      <c r="H59" s="99"/>
      <c r="I59" s="43"/>
      <c r="J59" s="231"/>
      <c r="K59" s="231"/>
      <c r="L59" s="231"/>
      <c r="M59" s="231"/>
      <c r="N59" s="231"/>
      <c r="O59" s="231"/>
      <c r="P59" s="231"/>
      <c r="Q59" s="231"/>
      <c r="R59" s="231"/>
      <c r="S59" s="231"/>
      <c r="T59" s="231"/>
      <c r="U59" s="231"/>
      <c r="V59" s="231"/>
      <c r="W59" s="231"/>
      <c r="X59" s="231"/>
      <c r="Y59" s="231"/>
      <c r="Z59" s="231"/>
      <c r="AA59" s="231"/>
      <c r="AB59" s="231"/>
      <c r="AC59" s="231"/>
      <c r="AD59" s="231"/>
      <c r="AE59" s="231"/>
      <c r="AF59" s="231"/>
      <c r="AG59" s="231"/>
      <c r="AH59" s="231"/>
    </row>
    <row r="60" spans="1:34" s="203" customFormat="1">
      <c r="A60" s="46">
        <v>14</v>
      </c>
      <c r="B60" s="47" t="s">
        <v>78</v>
      </c>
      <c r="C60" s="47"/>
      <c r="D60" s="48"/>
      <c r="E60" s="49">
        <v>0</v>
      </c>
      <c r="F60" s="52"/>
      <c r="G60" s="45"/>
      <c r="H60" s="100"/>
      <c r="I60" s="43"/>
      <c r="J60" s="231"/>
      <c r="K60" s="231"/>
      <c r="L60" s="231"/>
      <c r="M60" s="231"/>
      <c r="N60" s="231"/>
      <c r="O60" s="231"/>
      <c r="P60" s="231"/>
      <c r="Q60" s="231"/>
      <c r="R60" s="231"/>
      <c r="S60" s="231"/>
      <c r="T60" s="231"/>
      <c r="U60" s="231"/>
      <c r="V60" s="231"/>
      <c r="W60" s="231"/>
      <c r="X60" s="231"/>
      <c r="Y60" s="231"/>
      <c r="Z60" s="231"/>
      <c r="AA60" s="231"/>
      <c r="AB60" s="231"/>
      <c r="AC60" s="231"/>
      <c r="AD60" s="231"/>
      <c r="AE60" s="231"/>
      <c r="AF60" s="231"/>
      <c r="AG60" s="231"/>
      <c r="AH60" s="231"/>
    </row>
    <row r="61" spans="1:34" s="203" customFormat="1">
      <c r="A61" s="53">
        <v>15</v>
      </c>
      <c r="B61" s="54" t="s">
        <v>79</v>
      </c>
      <c r="C61" s="54"/>
      <c r="D61" s="55"/>
      <c r="E61" s="56">
        <v>8745.5564058928576</v>
      </c>
      <c r="F61" s="96">
        <f>F57+F58+F59+F60</f>
        <v>6244</v>
      </c>
      <c r="G61" s="45"/>
      <c r="H61" s="101">
        <f>H57+H58+H59+H60</f>
        <v>6245</v>
      </c>
      <c r="I61" s="43"/>
      <c r="J61" s="231"/>
      <c r="K61" s="231"/>
      <c r="L61" s="231"/>
      <c r="M61" s="231"/>
      <c r="N61" s="231"/>
      <c r="O61" s="231"/>
      <c r="P61" s="231"/>
      <c r="Q61" s="231"/>
      <c r="R61" s="231"/>
      <c r="S61" s="231"/>
      <c r="T61" s="231"/>
      <c r="U61" s="231"/>
      <c r="V61" s="231"/>
      <c r="W61" s="231"/>
      <c r="X61" s="231"/>
      <c r="Y61" s="231"/>
      <c r="Z61" s="231"/>
      <c r="AA61" s="231"/>
      <c r="AB61" s="231"/>
      <c r="AC61" s="231"/>
      <c r="AD61" s="231"/>
      <c r="AE61" s="231"/>
      <c r="AF61" s="231"/>
      <c r="AG61" s="231"/>
      <c r="AH61" s="231"/>
    </row>
    <row r="62" spans="1:34" s="203" customFormat="1">
      <c r="A62" s="102"/>
      <c r="B62" s="207"/>
      <c r="C62" s="207"/>
      <c r="D62" s="207"/>
      <c r="E62" s="103"/>
      <c r="F62" s="21"/>
      <c r="G62" s="21"/>
      <c r="H62" s="21"/>
      <c r="I62" s="21"/>
      <c r="J62" s="231"/>
      <c r="K62" s="231"/>
      <c r="L62" s="231"/>
      <c r="M62" s="231"/>
      <c r="N62" s="231"/>
      <c r="O62" s="231"/>
      <c r="P62" s="231"/>
      <c r="Q62" s="231"/>
      <c r="R62" s="231"/>
      <c r="S62" s="231"/>
      <c r="T62" s="231"/>
      <c r="U62" s="231"/>
      <c r="V62" s="231"/>
      <c r="W62" s="231"/>
      <c r="X62" s="231"/>
      <c r="Y62" s="231"/>
      <c r="Z62" s="231"/>
      <c r="AA62" s="231"/>
      <c r="AB62" s="231"/>
      <c r="AC62" s="231"/>
      <c r="AD62" s="231"/>
      <c r="AE62" s="231"/>
      <c r="AF62" s="231"/>
      <c r="AG62" s="231"/>
      <c r="AH62" s="231"/>
    </row>
    <row r="63" spans="1:34" s="203" customFormat="1" ht="12.75" customHeight="1">
      <c r="A63" s="23"/>
      <c r="B63" s="207"/>
      <c r="C63" s="207"/>
      <c r="D63" s="207"/>
      <c r="E63" s="15"/>
      <c r="F63" s="207"/>
      <c r="G63" s="207"/>
      <c r="H63" s="21"/>
      <c r="I63" s="21"/>
      <c r="J63" s="231"/>
      <c r="K63" s="231"/>
      <c r="L63" s="231"/>
      <c r="M63" s="231"/>
      <c r="N63" s="231"/>
      <c r="O63" s="231"/>
      <c r="P63" s="231"/>
      <c r="Q63" s="231"/>
      <c r="R63" s="231"/>
      <c r="S63" s="231"/>
      <c r="T63" s="231"/>
      <c r="U63" s="231"/>
      <c r="V63" s="231"/>
      <c r="W63" s="231"/>
      <c r="X63" s="231"/>
      <c r="Y63" s="231"/>
      <c r="Z63" s="231"/>
      <c r="AA63" s="231"/>
      <c r="AB63" s="231"/>
      <c r="AC63" s="231"/>
      <c r="AD63" s="231"/>
      <c r="AE63" s="231"/>
      <c r="AF63" s="231"/>
      <c r="AG63" s="231"/>
      <c r="AH63" s="231"/>
    </row>
    <row r="64" spans="1:34" s="203" customFormat="1" ht="15">
      <c r="A64" s="104" t="s">
        <v>80</v>
      </c>
      <c r="B64" s="29"/>
      <c r="C64" s="29"/>
      <c r="D64" s="29"/>
      <c r="E64" s="15"/>
      <c r="F64" s="29"/>
      <c r="G64" s="29"/>
      <c r="H64" s="29"/>
      <c r="I64" s="29"/>
      <c r="J64" s="231"/>
      <c r="K64" s="231"/>
      <c r="L64" s="231"/>
      <c r="M64" s="231"/>
      <c r="N64" s="231"/>
      <c r="O64" s="231"/>
      <c r="P64" s="231"/>
      <c r="Q64" s="231"/>
      <c r="R64" s="231"/>
      <c r="S64" s="231"/>
      <c r="T64" s="231"/>
      <c r="U64" s="231"/>
      <c r="V64" s="231"/>
      <c r="W64" s="231"/>
      <c r="X64" s="231"/>
      <c r="Y64" s="231"/>
      <c r="Z64" s="231"/>
      <c r="AA64" s="231"/>
      <c r="AB64" s="231"/>
      <c r="AC64" s="231"/>
      <c r="AD64" s="231"/>
      <c r="AE64" s="231"/>
      <c r="AF64" s="231"/>
      <c r="AG64" s="231"/>
      <c r="AH64" s="231"/>
    </row>
    <row r="65" spans="1:34" s="203" customFormat="1">
      <c r="A65" s="32"/>
      <c r="B65" s="29"/>
      <c r="C65" s="29"/>
      <c r="D65" s="29"/>
      <c r="E65" s="105"/>
      <c r="F65" s="29"/>
      <c r="G65" s="29"/>
      <c r="H65" s="29"/>
      <c r="I65" s="131" t="s">
        <v>27</v>
      </c>
      <c r="J65" s="231"/>
      <c r="K65" s="231"/>
      <c r="L65" s="231"/>
      <c r="M65" s="231"/>
      <c r="N65" s="231"/>
      <c r="O65" s="231"/>
      <c r="P65" s="231"/>
      <c r="Q65" s="231"/>
      <c r="R65" s="231"/>
      <c r="S65" s="231"/>
      <c r="T65" s="231"/>
      <c r="U65" s="231"/>
      <c r="V65" s="231"/>
      <c r="W65" s="231"/>
      <c r="X65" s="231"/>
      <c r="Y65" s="231"/>
      <c r="Z65" s="231"/>
      <c r="AA65" s="231"/>
      <c r="AB65" s="231"/>
      <c r="AC65" s="231"/>
      <c r="AD65" s="231"/>
      <c r="AE65" s="231"/>
      <c r="AF65" s="231"/>
      <c r="AG65" s="231"/>
      <c r="AH65" s="231"/>
    </row>
    <row r="66" spans="1:34" s="203" customFormat="1">
      <c r="A66" s="106" t="s">
        <v>14</v>
      </c>
      <c r="B66" s="107"/>
      <c r="C66" s="107"/>
      <c r="D66" s="107"/>
      <c r="E66" s="856" t="s">
        <v>377</v>
      </c>
      <c r="F66" s="962" t="s">
        <v>402</v>
      </c>
      <c r="G66" s="867" t="s">
        <v>81</v>
      </c>
      <c r="H66" s="962" t="s">
        <v>403</v>
      </c>
      <c r="I66" s="867" t="s">
        <v>81</v>
      </c>
      <c r="J66" s="231"/>
      <c r="K66" s="231"/>
      <c r="L66" s="231"/>
      <c r="M66" s="231"/>
      <c r="N66" s="231"/>
      <c r="O66" s="231"/>
      <c r="P66" s="231"/>
      <c r="Q66" s="231"/>
      <c r="R66" s="231"/>
      <c r="S66" s="231"/>
      <c r="T66" s="231"/>
      <c r="U66" s="231"/>
      <c r="V66" s="231"/>
      <c r="W66" s="231"/>
      <c r="X66" s="231"/>
      <c r="Y66" s="231"/>
      <c r="Z66" s="231"/>
      <c r="AA66" s="231"/>
      <c r="AB66" s="231"/>
      <c r="AC66" s="231"/>
      <c r="AD66" s="231"/>
      <c r="AE66" s="231"/>
      <c r="AF66" s="231"/>
      <c r="AG66" s="231"/>
      <c r="AH66" s="231"/>
    </row>
    <row r="67" spans="1:34" s="203" customFormat="1" ht="21" customHeight="1">
      <c r="A67" s="108"/>
      <c r="B67" s="47"/>
      <c r="C67" s="47"/>
      <c r="D67" s="47"/>
      <c r="E67" s="859"/>
      <c r="F67" s="963"/>
      <c r="G67" s="868"/>
      <c r="H67" s="963"/>
      <c r="I67" s="868"/>
      <c r="J67" s="231"/>
      <c r="K67" s="231"/>
      <c r="L67" s="231"/>
      <c r="M67" s="231"/>
      <c r="N67" s="231"/>
      <c r="O67" s="231"/>
      <c r="P67" s="231"/>
      <c r="Q67" s="231"/>
      <c r="R67" s="231"/>
      <c r="S67" s="231"/>
      <c r="T67" s="231"/>
      <c r="U67" s="231"/>
      <c r="V67" s="231"/>
      <c r="W67" s="231"/>
      <c r="X67" s="231"/>
      <c r="Y67" s="231"/>
      <c r="Z67" s="231"/>
      <c r="AA67" s="231"/>
      <c r="AB67" s="231"/>
      <c r="AC67" s="231"/>
      <c r="AD67" s="231"/>
      <c r="AE67" s="231"/>
      <c r="AF67" s="231"/>
      <c r="AG67" s="231"/>
      <c r="AH67" s="231"/>
    </row>
    <row r="68" spans="1:34" s="203" customFormat="1">
      <c r="A68" s="109" t="s">
        <v>82</v>
      </c>
      <c r="B68" s="47"/>
      <c r="C68" s="47"/>
      <c r="D68" s="47"/>
      <c r="E68" s="859"/>
      <c r="F68" s="963"/>
      <c r="G68" s="868"/>
      <c r="H68" s="963"/>
      <c r="I68" s="868"/>
      <c r="J68" s="231"/>
      <c r="K68" s="231"/>
      <c r="L68" s="231"/>
      <c r="M68" s="231"/>
      <c r="N68" s="231"/>
      <c r="O68" s="231"/>
      <c r="P68" s="231"/>
      <c r="Q68" s="231"/>
      <c r="R68" s="231"/>
      <c r="S68" s="231"/>
      <c r="T68" s="231"/>
      <c r="U68" s="231"/>
      <c r="V68" s="231"/>
      <c r="W68" s="231"/>
      <c r="X68" s="231"/>
      <c r="Y68" s="231"/>
      <c r="Z68" s="231"/>
      <c r="AA68" s="231"/>
      <c r="AB68" s="231"/>
      <c r="AC68" s="231"/>
      <c r="AD68" s="231"/>
      <c r="AE68" s="231"/>
      <c r="AF68" s="231"/>
      <c r="AG68" s="231"/>
      <c r="AH68" s="231"/>
    </row>
    <row r="69" spans="1:34" s="203" customFormat="1">
      <c r="A69" s="109" t="s">
        <v>83</v>
      </c>
      <c r="B69" s="47"/>
      <c r="C69" s="47"/>
      <c r="D69" s="47"/>
      <c r="E69" s="859"/>
      <c r="F69" s="963"/>
      <c r="G69" s="868"/>
      <c r="H69" s="963"/>
      <c r="I69" s="868"/>
      <c r="J69" s="231"/>
      <c r="K69" s="231"/>
      <c r="L69" s="231"/>
      <c r="M69" s="231"/>
      <c r="N69" s="231"/>
      <c r="O69" s="231"/>
      <c r="P69" s="231"/>
      <c r="Q69" s="231"/>
      <c r="R69" s="231"/>
      <c r="S69" s="231"/>
      <c r="T69" s="231"/>
      <c r="U69" s="231"/>
      <c r="V69" s="231"/>
      <c r="W69" s="231"/>
      <c r="X69" s="231"/>
      <c r="Y69" s="231"/>
      <c r="Z69" s="231"/>
      <c r="AA69" s="231"/>
      <c r="AB69" s="231"/>
      <c r="AC69" s="231"/>
      <c r="AD69" s="231"/>
      <c r="AE69" s="231"/>
      <c r="AF69" s="231"/>
      <c r="AG69" s="231"/>
      <c r="AH69" s="231"/>
    </row>
    <row r="70" spans="1:34" s="203" customFormat="1">
      <c r="A70" s="110" t="s">
        <v>84</v>
      </c>
      <c r="B70" s="47"/>
      <c r="C70" s="47"/>
      <c r="D70" s="47"/>
      <c r="E70" s="860"/>
      <c r="F70" s="964"/>
      <c r="G70" s="869"/>
      <c r="H70" s="964"/>
      <c r="I70" s="869"/>
      <c r="J70" s="231"/>
      <c r="K70" s="231"/>
      <c r="L70" s="231"/>
      <c r="M70" s="231"/>
      <c r="N70" s="231"/>
      <c r="O70" s="231"/>
      <c r="P70" s="231"/>
      <c r="Q70" s="231"/>
      <c r="R70" s="231"/>
      <c r="S70" s="231"/>
      <c r="T70" s="231"/>
      <c r="U70" s="231"/>
      <c r="V70" s="231"/>
      <c r="W70" s="231"/>
      <c r="X70" s="231"/>
      <c r="Y70" s="231"/>
      <c r="Z70" s="231"/>
      <c r="AA70" s="231"/>
      <c r="AB70" s="231"/>
      <c r="AC70" s="231"/>
      <c r="AD70" s="231"/>
      <c r="AE70" s="231"/>
      <c r="AF70" s="231"/>
      <c r="AG70" s="231"/>
      <c r="AH70" s="231"/>
    </row>
    <row r="71" spans="1:34" s="203" customFormat="1">
      <c r="A71" s="111">
        <v>1</v>
      </c>
      <c r="B71" s="47" t="s">
        <v>85</v>
      </c>
      <c r="C71" s="47"/>
      <c r="D71" s="47"/>
      <c r="E71" s="41">
        <v>11218</v>
      </c>
      <c r="F71" s="247">
        <v>10372</v>
      </c>
      <c r="G71" s="112">
        <v>3849</v>
      </c>
      <c r="H71" s="248">
        <v>10164</v>
      </c>
      <c r="I71" s="112">
        <v>5112</v>
      </c>
      <c r="J71" s="231"/>
      <c r="K71" s="231"/>
      <c r="L71" s="231"/>
      <c r="M71" s="231"/>
      <c r="N71" s="231"/>
      <c r="O71" s="231"/>
      <c r="P71" s="231"/>
      <c r="Q71" s="231"/>
      <c r="R71" s="231"/>
      <c r="S71" s="231"/>
      <c r="T71" s="231"/>
      <c r="U71" s="231"/>
      <c r="V71" s="231"/>
      <c r="W71" s="231"/>
      <c r="X71" s="231"/>
      <c r="Y71" s="231"/>
      <c r="Z71" s="231"/>
      <c r="AA71" s="231"/>
      <c r="AB71" s="231"/>
      <c r="AC71" s="231"/>
      <c r="AD71" s="231"/>
      <c r="AE71" s="231"/>
      <c r="AF71" s="231"/>
      <c r="AG71" s="231"/>
      <c r="AH71" s="231"/>
    </row>
    <row r="72" spans="1:34" s="203" customFormat="1">
      <c r="A72" s="111">
        <v>2</v>
      </c>
      <c r="B72" s="47" t="s">
        <v>86</v>
      </c>
      <c r="C72" s="47"/>
      <c r="D72" s="47"/>
      <c r="E72" s="49">
        <v>39129</v>
      </c>
      <c r="F72" s="247">
        <v>39455</v>
      </c>
      <c r="G72" s="113">
        <v>29686</v>
      </c>
      <c r="H72" s="123">
        <v>41582</v>
      </c>
      <c r="I72" s="113">
        <v>31687</v>
      </c>
      <c r="J72" s="231"/>
      <c r="K72" s="231"/>
      <c r="L72" s="231"/>
      <c r="M72" s="231"/>
      <c r="N72" s="231"/>
      <c r="O72" s="231"/>
      <c r="P72" s="231"/>
      <c r="Q72" s="231"/>
      <c r="R72" s="231"/>
      <c r="S72" s="231"/>
      <c r="T72" s="231"/>
      <c r="U72" s="231"/>
      <c r="V72" s="231"/>
      <c r="W72" s="231"/>
      <c r="X72" s="231"/>
      <c r="Y72" s="231"/>
      <c r="Z72" s="231"/>
      <c r="AA72" s="231"/>
      <c r="AB72" s="231"/>
      <c r="AC72" s="231"/>
      <c r="AD72" s="231"/>
      <c r="AE72" s="231"/>
      <c r="AF72" s="231"/>
      <c r="AG72" s="231"/>
      <c r="AH72" s="231"/>
    </row>
    <row r="73" spans="1:34" s="203" customFormat="1">
      <c r="A73" s="111">
        <v>3</v>
      </c>
      <c r="B73" s="47" t="s">
        <v>87</v>
      </c>
      <c r="C73" s="47"/>
      <c r="D73" s="47"/>
      <c r="E73" s="114">
        <v>34463</v>
      </c>
      <c r="F73" s="247">
        <v>31948</v>
      </c>
      <c r="G73" s="113">
        <v>25139</v>
      </c>
      <c r="H73" s="123">
        <v>32142</v>
      </c>
      <c r="I73" s="113">
        <v>25691</v>
      </c>
      <c r="J73" s="231"/>
      <c r="K73" s="231"/>
      <c r="L73" s="231"/>
      <c r="M73" s="231"/>
      <c r="N73" s="231"/>
      <c r="O73" s="231"/>
      <c r="P73" s="231"/>
      <c r="Q73" s="231"/>
      <c r="R73" s="231"/>
      <c r="S73" s="231"/>
      <c r="T73" s="231"/>
      <c r="U73" s="231"/>
      <c r="V73" s="231"/>
      <c r="W73" s="231"/>
      <c r="X73" s="231"/>
      <c r="Y73" s="231"/>
      <c r="Z73" s="231"/>
      <c r="AA73" s="231"/>
      <c r="AB73" s="231"/>
      <c r="AC73" s="231"/>
      <c r="AD73" s="231"/>
      <c r="AE73" s="231"/>
      <c r="AF73" s="231"/>
      <c r="AG73" s="231"/>
      <c r="AH73" s="231"/>
    </row>
    <row r="74" spans="1:34" s="203" customFormat="1">
      <c r="A74" s="111">
        <v>4</v>
      </c>
      <c r="B74" s="47" t="s">
        <v>88</v>
      </c>
      <c r="C74" s="47"/>
      <c r="D74" s="47"/>
      <c r="E74" s="114">
        <v>11025</v>
      </c>
      <c r="F74" s="247">
        <v>12038</v>
      </c>
      <c r="G74" s="113">
        <v>6372</v>
      </c>
      <c r="H74" s="123">
        <v>11941</v>
      </c>
      <c r="I74" s="113">
        <v>6103</v>
      </c>
      <c r="J74" s="231"/>
      <c r="K74" s="231"/>
      <c r="L74" s="231"/>
      <c r="M74" s="231"/>
      <c r="N74" s="231"/>
      <c r="O74" s="231"/>
      <c r="P74" s="231"/>
      <c r="Q74" s="231"/>
      <c r="R74" s="231"/>
      <c r="S74" s="231"/>
      <c r="T74" s="231"/>
      <c r="U74" s="231"/>
      <c r="V74" s="231"/>
      <c r="W74" s="231"/>
      <c r="X74" s="231"/>
      <c r="Y74" s="231"/>
      <c r="Z74" s="231"/>
      <c r="AA74" s="231"/>
      <c r="AB74" s="231"/>
      <c r="AC74" s="231"/>
      <c r="AD74" s="231"/>
      <c r="AE74" s="231"/>
      <c r="AF74" s="231"/>
      <c r="AG74" s="231"/>
      <c r="AH74" s="231"/>
    </row>
    <row r="75" spans="1:34" s="203" customFormat="1">
      <c r="A75" s="111">
        <v>5</v>
      </c>
      <c r="B75" s="47" t="s">
        <v>89</v>
      </c>
      <c r="C75" s="47" t="s">
        <v>90</v>
      </c>
      <c r="D75" s="47"/>
      <c r="E75" s="114">
        <v>2683</v>
      </c>
      <c r="F75" s="247">
        <v>2580</v>
      </c>
      <c r="G75" s="113">
        <v>231</v>
      </c>
      <c r="H75" s="123">
        <v>2150</v>
      </c>
      <c r="I75" s="113">
        <v>2</v>
      </c>
      <c r="J75" s="231"/>
      <c r="K75" s="231"/>
      <c r="L75" s="231"/>
      <c r="M75" s="231"/>
      <c r="N75" s="231"/>
      <c r="O75" s="231"/>
      <c r="P75" s="231"/>
      <c r="Q75" s="231"/>
      <c r="R75" s="231"/>
      <c r="S75" s="231"/>
      <c r="T75" s="231"/>
      <c r="U75" s="231"/>
      <c r="V75" s="231"/>
      <c r="W75" s="231"/>
      <c r="X75" s="231"/>
      <c r="Y75" s="231"/>
      <c r="Z75" s="231"/>
      <c r="AA75" s="231"/>
      <c r="AB75" s="231"/>
      <c r="AC75" s="231"/>
      <c r="AD75" s="231"/>
      <c r="AE75" s="231"/>
      <c r="AF75" s="231"/>
      <c r="AG75" s="231"/>
      <c r="AH75" s="231"/>
    </row>
    <row r="76" spans="1:34" s="203" customFormat="1">
      <c r="A76" s="748"/>
      <c r="B76" s="750"/>
      <c r="C76" s="47" t="s">
        <v>91</v>
      </c>
      <c r="D76" s="47"/>
      <c r="E76" s="114">
        <v>0</v>
      </c>
      <c r="F76" s="247">
        <v>-445</v>
      </c>
      <c r="G76" s="115"/>
      <c r="H76" s="249">
        <v>0</v>
      </c>
      <c r="I76" s="115"/>
      <c r="J76" s="231"/>
      <c r="K76" s="231"/>
      <c r="L76" s="231"/>
      <c r="M76" s="231"/>
      <c r="N76" s="231"/>
      <c r="O76" s="231"/>
      <c r="P76" s="231"/>
      <c r="Q76" s="231"/>
      <c r="R76" s="231"/>
      <c r="S76" s="231"/>
      <c r="T76" s="231"/>
      <c r="U76" s="231"/>
      <c r="V76" s="231"/>
      <c r="W76" s="231"/>
      <c r="X76" s="231"/>
      <c r="Y76" s="231"/>
      <c r="Z76" s="231"/>
      <c r="AA76" s="231"/>
      <c r="AB76" s="231"/>
      <c r="AC76" s="231"/>
      <c r="AD76" s="231"/>
      <c r="AE76" s="231"/>
      <c r="AF76" s="231"/>
      <c r="AG76" s="231"/>
      <c r="AH76" s="231"/>
    </row>
    <row r="77" spans="1:34" s="203" customFormat="1">
      <c r="A77" s="111">
        <v>6</v>
      </c>
      <c r="B77" s="116" t="s">
        <v>92</v>
      </c>
      <c r="C77" s="116"/>
      <c r="D77" s="47"/>
      <c r="E77" s="80">
        <v>98518</v>
      </c>
      <c r="F77" s="250">
        <f>SUM(F71:F76)</f>
        <v>95948</v>
      </c>
      <c r="G77" s="251">
        <f>SUM(G71:G76)</f>
        <v>65277</v>
      </c>
      <c r="H77" s="252">
        <f>SUM(H71:H76)</f>
        <v>97979</v>
      </c>
      <c r="I77" s="251">
        <f>SUM(I71:I76)</f>
        <v>68595</v>
      </c>
      <c r="J77" s="231"/>
      <c r="K77" s="231"/>
      <c r="L77" s="231"/>
      <c r="M77" s="231"/>
      <c r="N77" s="231"/>
      <c r="O77" s="231"/>
      <c r="P77" s="231"/>
      <c r="Q77" s="231"/>
      <c r="R77" s="231"/>
      <c r="S77" s="231"/>
      <c r="T77" s="231"/>
      <c r="U77" s="231"/>
      <c r="V77" s="231"/>
      <c r="W77" s="231"/>
      <c r="X77" s="231"/>
      <c r="Y77" s="231"/>
      <c r="Z77" s="231"/>
      <c r="AA77" s="231"/>
      <c r="AB77" s="231"/>
      <c r="AC77" s="231"/>
      <c r="AD77" s="231"/>
      <c r="AE77" s="231"/>
      <c r="AF77" s="231"/>
      <c r="AG77" s="231"/>
      <c r="AH77" s="231"/>
    </row>
    <row r="78" spans="1:34" s="203" customFormat="1">
      <c r="A78" s="748"/>
      <c r="B78" s="47"/>
      <c r="C78" s="47"/>
      <c r="D78" s="47"/>
      <c r="E78" s="117"/>
      <c r="F78" s="118"/>
      <c r="G78" s="118"/>
      <c r="H78" s="118"/>
      <c r="I78" s="118"/>
      <c r="J78" s="231"/>
      <c r="K78" s="231"/>
      <c r="L78" s="231"/>
      <c r="M78" s="231"/>
      <c r="N78" s="231"/>
      <c r="O78" s="231"/>
      <c r="P78" s="231"/>
      <c r="Q78" s="231"/>
      <c r="R78" s="231"/>
      <c r="S78" s="231"/>
      <c r="T78" s="231"/>
      <c r="U78" s="231"/>
      <c r="V78" s="231"/>
      <c r="W78" s="231"/>
      <c r="X78" s="231"/>
      <c r="Y78" s="231"/>
      <c r="Z78" s="231"/>
      <c r="AA78" s="231"/>
      <c r="AB78" s="231"/>
      <c r="AC78" s="231"/>
      <c r="AD78" s="231"/>
      <c r="AE78" s="231"/>
      <c r="AF78" s="231"/>
      <c r="AG78" s="231"/>
      <c r="AH78" s="231"/>
    </row>
    <row r="79" spans="1:34" s="203" customFormat="1">
      <c r="A79" s="119" t="s">
        <v>93</v>
      </c>
      <c r="B79" s="116"/>
      <c r="C79" s="116"/>
      <c r="D79" s="116"/>
      <c r="E79" s="117"/>
      <c r="F79" s="118"/>
      <c r="G79" s="118"/>
      <c r="H79" s="118"/>
      <c r="I79" s="118"/>
      <c r="J79" s="231"/>
      <c r="K79" s="231"/>
      <c r="L79" s="231"/>
      <c r="M79" s="231"/>
      <c r="N79" s="231"/>
      <c r="O79" s="231"/>
      <c r="P79" s="231"/>
      <c r="Q79" s="231"/>
      <c r="R79" s="231"/>
      <c r="S79" s="231"/>
      <c r="T79" s="231"/>
      <c r="U79" s="231"/>
      <c r="V79" s="231"/>
      <c r="W79" s="231"/>
      <c r="X79" s="231"/>
      <c r="Y79" s="231"/>
      <c r="Z79" s="231"/>
      <c r="AA79" s="231"/>
      <c r="AB79" s="231"/>
      <c r="AC79" s="231"/>
      <c r="AD79" s="231"/>
      <c r="AE79" s="231"/>
      <c r="AF79" s="231"/>
      <c r="AG79" s="231"/>
      <c r="AH79" s="231"/>
    </row>
    <row r="80" spans="1:34" s="203" customFormat="1">
      <c r="A80" s="120">
        <v>7</v>
      </c>
      <c r="B80" s="47" t="s">
        <v>94</v>
      </c>
      <c r="C80" s="47"/>
      <c r="D80" s="47"/>
      <c r="E80" s="41">
        <v>1035</v>
      </c>
      <c r="F80" s="253">
        <v>773</v>
      </c>
      <c r="G80" s="112">
        <v>192</v>
      </c>
      <c r="H80" s="248">
        <v>1012</v>
      </c>
      <c r="I80" s="112">
        <v>205</v>
      </c>
      <c r="J80" s="231"/>
      <c r="K80" s="231"/>
      <c r="L80" s="231"/>
      <c r="M80" s="231"/>
      <c r="N80" s="231"/>
      <c r="O80" s="231"/>
      <c r="P80" s="231"/>
      <c r="Q80" s="231"/>
      <c r="R80" s="231"/>
      <c r="S80" s="231"/>
      <c r="T80" s="231"/>
      <c r="U80" s="231"/>
      <c r="V80" s="231"/>
      <c r="W80" s="231"/>
      <c r="X80" s="231"/>
      <c r="Y80" s="231"/>
      <c r="Z80" s="231"/>
      <c r="AA80" s="231"/>
      <c r="AB80" s="231"/>
      <c r="AC80" s="231"/>
      <c r="AD80" s="231"/>
      <c r="AE80" s="231"/>
      <c r="AF80" s="231"/>
      <c r="AG80" s="231"/>
      <c r="AH80" s="231"/>
    </row>
    <row r="81" spans="1:34" s="203" customFormat="1">
      <c r="A81" s="120">
        <v>8</v>
      </c>
      <c r="B81" s="47" t="s">
        <v>95</v>
      </c>
      <c r="C81" s="47"/>
      <c r="D81" s="47"/>
      <c r="E81" s="49">
        <v>21390</v>
      </c>
      <c r="F81" s="247">
        <v>24115</v>
      </c>
      <c r="G81" s="113">
        <v>23209</v>
      </c>
      <c r="H81" s="123">
        <v>25489</v>
      </c>
      <c r="I81" s="113">
        <v>24641</v>
      </c>
      <c r="J81" s="231"/>
      <c r="K81" s="231"/>
      <c r="L81" s="231"/>
      <c r="M81" s="231"/>
      <c r="N81" s="231"/>
      <c r="O81" s="231"/>
      <c r="P81" s="231"/>
      <c r="Q81" s="231"/>
      <c r="R81" s="231"/>
      <c r="S81" s="231"/>
      <c r="T81" s="231"/>
      <c r="U81" s="231"/>
      <c r="V81" s="231"/>
      <c r="W81" s="231"/>
      <c r="X81" s="231"/>
      <c r="Y81" s="231"/>
      <c r="Z81" s="231"/>
      <c r="AA81" s="231"/>
      <c r="AB81" s="231"/>
      <c r="AC81" s="231"/>
      <c r="AD81" s="231"/>
      <c r="AE81" s="231"/>
      <c r="AF81" s="231"/>
      <c r="AG81" s="231"/>
      <c r="AH81" s="231"/>
    </row>
    <row r="82" spans="1:34" s="203" customFormat="1">
      <c r="A82" s="120">
        <v>9</v>
      </c>
      <c r="B82" s="47" t="s">
        <v>96</v>
      </c>
      <c r="C82" s="47"/>
      <c r="D82" s="47"/>
      <c r="E82" s="49">
        <v>19413</v>
      </c>
      <c r="F82" s="247">
        <v>20718</v>
      </c>
      <c r="G82" s="113">
        <v>19749</v>
      </c>
      <c r="H82" s="123">
        <v>20397</v>
      </c>
      <c r="I82" s="113">
        <v>19656</v>
      </c>
      <c r="J82" s="231"/>
      <c r="K82" s="231"/>
      <c r="L82" s="231"/>
      <c r="M82" s="231"/>
      <c r="N82" s="231"/>
      <c r="O82" s="231"/>
      <c r="P82" s="231"/>
      <c r="Q82" s="231"/>
      <c r="R82" s="231"/>
      <c r="S82" s="231"/>
      <c r="T82" s="231"/>
      <c r="U82" s="231"/>
      <c r="V82" s="231"/>
      <c r="W82" s="231"/>
      <c r="X82" s="231"/>
      <c r="Y82" s="231"/>
      <c r="Z82" s="231"/>
      <c r="AA82" s="231"/>
      <c r="AB82" s="231"/>
      <c r="AC82" s="231"/>
      <c r="AD82" s="231"/>
      <c r="AE82" s="231"/>
      <c r="AF82" s="231"/>
      <c r="AG82" s="231"/>
      <c r="AH82" s="231"/>
    </row>
    <row r="83" spans="1:34" s="203" customFormat="1">
      <c r="A83" s="120">
        <v>10</v>
      </c>
      <c r="B83" s="90" t="s">
        <v>97</v>
      </c>
      <c r="C83" s="47"/>
      <c r="D83" s="47"/>
      <c r="E83" s="49">
        <v>17327</v>
      </c>
      <c r="F83" s="247">
        <v>16754</v>
      </c>
      <c r="G83" s="113">
        <v>11088</v>
      </c>
      <c r="H83" s="123">
        <v>16796</v>
      </c>
      <c r="I83" s="113">
        <v>11258</v>
      </c>
      <c r="J83" s="231"/>
      <c r="K83" s="231"/>
      <c r="L83" s="231"/>
      <c r="M83" s="231"/>
      <c r="N83" s="231"/>
      <c r="O83" s="231"/>
      <c r="P83" s="231"/>
      <c r="Q83" s="231"/>
      <c r="R83" s="231"/>
      <c r="S83" s="231"/>
      <c r="T83" s="231"/>
      <c r="U83" s="231"/>
      <c r="V83" s="231"/>
      <c r="W83" s="231"/>
      <c r="X83" s="231"/>
      <c r="Y83" s="231"/>
      <c r="Z83" s="231"/>
      <c r="AA83" s="231"/>
      <c r="AB83" s="231"/>
      <c r="AC83" s="231"/>
      <c r="AD83" s="231"/>
      <c r="AE83" s="231"/>
      <c r="AF83" s="231"/>
      <c r="AG83" s="231"/>
      <c r="AH83" s="231"/>
    </row>
    <row r="84" spans="1:34" s="203" customFormat="1">
      <c r="A84" s="120">
        <v>11</v>
      </c>
      <c r="B84" s="90" t="s">
        <v>98</v>
      </c>
      <c r="C84" s="47"/>
      <c r="D84" s="47"/>
      <c r="E84" s="49">
        <v>2494</v>
      </c>
      <c r="F84" s="247">
        <v>2487</v>
      </c>
      <c r="G84" s="113">
        <v>73</v>
      </c>
      <c r="H84" s="123">
        <v>2512</v>
      </c>
      <c r="I84" s="113">
        <v>0</v>
      </c>
      <c r="J84" s="231"/>
      <c r="K84" s="231"/>
      <c r="L84" s="231"/>
      <c r="M84" s="231"/>
      <c r="N84" s="231"/>
      <c r="O84" s="231"/>
      <c r="P84" s="231"/>
      <c r="Q84" s="231"/>
      <c r="R84" s="231"/>
      <c r="S84" s="231"/>
      <c r="T84" s="231"/>
      <c r="U84" s="231"/>
      <c r="V84" s="231"/>
      <c r="W84" s="231"/>
      <c r="X84" s="231"/>
      <c r="Y84" s="231"/>
      <c r="Z84" s="231"/>
      <c r="AA84" s="231"/>
      <c r="AB84" s="231"/>
      <c r="AC84" s="231"/>
      <c r="AD84" s="231"/>
      <c r="AE84" s="231"/>
      <c r="AF84" s="231"/>
      <c r="AG84" s="231"/>
      <c r="AH84" s="231"/>
    </row>
    <row r="85" spans="1:34" s="203" customFormat="1">
      <c r="A85" s="120">
        <v>12</v>
      </c>
      <c r="B85" s="47" t="s">
        <v>99</v>
      </c>
      <c r="C85" s="47"/>
      <c r="D85" s="47"/>
      <c r="E85" s="49">
        <v>3058</v>
      </c>
      <c r="F85" s="247">
        <v>2805</v>
      </c>
      <c r="G85" s="113">
        <v>0</v>
      </c>
      <c r="H85" s="123">
        <v>3292</v>
      </c>
      <c r="I85" s="113">
        <v>0</v>
      </c>
      <c r="J85" s="231"/>
      <c r="K85" s="231"/>
      <c r="L85" s="231"/>
      <c r="M85" s="231"/>
      <c r="N85" s="231"/>
      <c r="O85" s="231"/>
      <c r="P85" s="231"/>
      <c r="Q85" s="231"/>
      <c r="R85" s="231"/>
      <c r="S85" s="231"/>
      <c r="T85" s="231"/>
      <c r="U85" s="231"/>
      <c r="V85" s="231"/>
      <c r="W85" s="231"/>
      <c r="X85" s="231"/>
      <c r="Y85" s="231"/>
      <c r="Z85" s="231"/>
      <c r="AA85" s="231"/>
      <c r="AB85" s="231"/>
      <c r="AC85" s="231"/>
      <c r="AD85" s="231"/>
      <c r="AE85" s="231"/>
      <c r="AF85" s="231"/>
      <c r="AG85" s="231"/>
      <c r="AH85" s="231"/>
    </row>
    <row r="86" spans="1:34" s="203" customFormat="1">
      <c r="A86" s="120">
        <v>13</v>
      </c>
      <c r="B86" s="47" t="s">
        <v>100</v>
      </c>
      <c r="C86" s="47"/>
      <c r="D86" s="47"/>
      <c r="E86" s="49">
        <v>19047</v>
      </c>
      <c r="F86" s="247">
        <v>16648</v>
      </c>
      <c r="G86" s="113">
        <v>12659</v>
      </c>
      <c r="H86" s="123">
        <v>18971</v>
      </c>
      <c r="I86" s="113">
        <v>14753</v>
      </c>
      <c r="J86" s="231"/>
      <c r="K86" s="231"/>
      <c r="L86" s="231"/>
      <c r="M86" s="231"/>
      <c r="N86" s="231"/>
      <c r="O86" s="231"/>
      <c r="P86" s="231"/>
      <c r="Q86" s="231"/>
      <c r="R86" s="231"/>
      <c r="S86" s="231"/>
      <c r="T86" s="231"/>
      <c r="U86" s="231"/>
      <c r="V86" s="231"/>
      <c r="W86" s="231"/>
      <c r="X86" s="231"/>
      <c r="Y86" s="231"/>
      <c r="Z86" s="231"/>
      <c r="AA86" s="231"/>
      <c r="AB86" s="231"/>
      <c r="AC86" s="231"/>
      <c r="AD86" s="231"/>
      <c r="AE86" s="231"/>
      <c r="AF86" s="231"/>
      <c r="AG86" s="231"/>
      <c r="AH86" s="231"/>
    </row>
    <row r="87" spans="1:34" s="203" customFormat="1">
      <c r="A87" s="120">
        <v>14</v>
      </c>
      <c r="B87" s="47" t="s">
        <v>101</v>
      </c>
      <c r="C87" s="47"/>
      <c r="D87" s="47"/>
      <c r="E87" s="49">
        <v>0</v>
      </c>
      <c r="F87" s="247"/>
      <c r="G87" s="113"/>
      <c r="H87" s="123">
        <v>0</v>
      </c>
      <c r="I87" s="113"/>
      <c r="J87" s="231"/>
      <c r="K87" s="231"/>
      <c r="L87" s="231"/>
      <c r="M87" s="231"/>
      <c r="N87" s="231"/>
      <c r="O87" s="231"/>
      <c r="P87" s="231"/>
      <c r="Q87" s="231"/>
      <c r="R87" s="231"/>
      <c r="S87" s="231"/>
      <c r="T87" s="231"/>
      <c r="U87" s="231"/>
      <c r="V87" s="231"/>
      <c r="W87" s="231"/>
      <c r="X87" s="231"/>
      <c r="Y87" s="231"/>
      <c r="Z87" s="231"/>
      <c r="AA87" s="231"/>
      <c r="AB87" s="231"/>
      <c r="AC87" s="231"/>
      <c r="AD87" s="231"/>
      <c r="AE87" s="231"/>
      <c r="AF87" s="231"/>
      <c r="AG87" s="231"/>
      <c r="AH87" s="231"/>
    </row>
    <row r="88" spans="1:34" s="203" customFormat="1">
      <c r="A88" s="124">
        <v>15</v>
      </c>
      <c r="B88" s="125" t="s">
        <v>102</v>
      </c>
      <c r="C88" s="54"/>
      <c r="D88" s="54"/>
      <c r="E88" s="56">
        <v>0</v>
      </c>
      <c r="F88" s="254"/>
      <c r="G88" s="127"/>
      <c r="H88" s="255">
        <v>0</v>
      </c>
      <c r="I88" s="127"/>
      <c r="J88" s="231"/>
      <c r="K88" s="231"/>
      <c r="L88" s="231"/>
      <c r="M88" s="231"/>
      <c r="N88" s="231"/>
      <c r="O88" s="231"/>
      <c r="P88" s="231"/>
      <c r="Q88" s="231"/>
      <c r="R88" s="231"/>
      <c r="S88" s="231"/>
      <c r="T88" s="231"/>
      <c r="U88" s="231"/>
      <c r="V88" s="231"/>
      <c r="W88" s="231"/>
      <c r="X88" s="231"/>
      <c r="Y88" s="231"/>
      <c r="Z88" s="231"/>
      <c r="AA88" s="231"/>
      <c r="AB88" s="231"/>
      <c r="AC88" s="231"/>
      <c r="AD88" s="231"/>
      <c r="AE88" s="231"/>
      <c r="AF88" s="231"/>
      <c r="AG88" s="231"/>
      <c r="AH88" s="231"/>
    </row>
    <row r="89" spans="1:34" s="203" customFormat="1">
      <c r="A89" s="128"/>
      <c r="B89" s="129"/>
      <c r="C89" s="129"/>
      <c r="D89" s="129"/>
      <c r="E89" s="15"/>
      <c r="F89" s="130"/>
      <c r="G89" s="29"/>
      <c r="H89" s="207"/>
      <c r="I89" s="29"/>
      <c r="J89" s="231"/>
      <c r="K89" s="231"/>
      <c r="L89" s="231"/>
      <c r="M89" s="231"/>
      <c r="N89" s="231"/>
      <c r="O89" s="231"/>
      <c r="P89" s="231"/>
      <c r="Q89" s="231"/>
      <c r="R89" s="231"/>
      <c r="S89" s="231"/>
      <c r="T89" s="231"/>
      <c r="U89" s="231"/>
      <c r="V89" s="231"/>
      <c r="W89" s="231"/>
      <c r="X89" s="231"/>
      <c r="Y89" s="231"/>
      <c r="Z89" s="231"/>
      <c r="AA89" s="231"/>
      <c r="AB89" s="231"/>
      <c r="AC89" s="231"/>
      <c r="AD89" s="231"/>
      <c r="AE89" s="231"/>
      <c r="AF89" s="231"/>
      <c r="AG89" s="231"/>
      <c r="AH89" s="231"/>
    </row>
    <row r="90" spans="1:34" s="203" customFormat="1">
      <c r="A90" s="128"/>
      <c r="B90" s="129"/>
      <c r="C90" s="129"/>
      <c r="D90" s="129"/>
      <c r="E90" s="105"/>
      <c r="F90" s="130"/>
      <c r="G90" s="29"/>
      <c r="H90" s="131" t="s">
        <v>27</v>
      </c>
      <c r="I90" s="29"/>
      <c r="J90" s="231"/>
      <c r="K90" s="231"/>
      <c r="L90" s="231"/>
      <c r="M90" s="231"/>
      <c r="N90" s="231"/>
      <c r="O90" s="231"/>
      <c r="P90" s="231"/>
      <c r="Q90" s="231"/>
      <c r="R90" s="231"/>
      <c r="S90" s="231"/>
      <c r="T90" s="231"/>
      <c r="U90" s="231"/>
      <c r="V90" s="231"/>
      <c r="W90" s="231"/>
      <c r="X90" s="231"/>
      <c r="Y90" s="231"/>
      <c r="Z90" s="231"/>
      <c r="AA90" s="231"/>
      <c r="AB90" s="231"/>
      <c r="AC90" s="231"/>
      <c r="AD90" s="231"/>
      <c r="AE90" s="231"/>
      <c r="AF90" s="231"/>
      <c r="AG90" s="231"/>
      <c r="AH90" s="231"/>
    </row>
    <row r="91" spans="1:34" s="203" customFormat="1">
      <c r="A91" s="106" t="s">
        <v>17</v>
      </c>
      <c r="B91" s="107"/>
      <c r="C91" s="107"/>
      <c r="D91" s="107"/>
      <c r="E91" s="856" t="s">
        <v>421</v>
      </c>
      <c r="F91" s="856" t="s">
        <v>402</v>
      </c>
      <c r="G91" s="257"/>
      <c r="H91" s="856" t="s">
        <v>403</v>
      </c>
      <c r="I91" s="29"/>
      <c r="J91" s="231"/>
      <c r="K91" s="231"/>
      <c r="L91" s="231"/>
      <c r="M91" s="231"/>
      <c r="N91" s="231"/>
      <c r="O91" s="231"/>
      <c r="P91" s="231"/>
      <c r="Q91" s="231"/>
      <c r="R91" s="231"/>
      <c r="S91" s="231"/>
      <c r="T91" s="231"/>
      <c r="U91" s="231"/>
      <c r="V91" s="231"/>
      <c r="W91" s="231"/>
      <c r="X91" s="231"/>
      <c r="Y91" s="231"/>
      <c r="Z91" s="231"/>
      <c r="AA91" s="231"/>
      <c r="AB91" s="231"/>
      <c r="AC91" s="231"/>
      <c r="AD91" s="231"/>
      <c r="AE91" s="231"/>
      <c r="AF91" s="231"/>
      <c r="AG91" s="231"/>
      <c r="AH91" s="231"/>
    </row>
    <row r="92" spans="1:34" s="203" customFormat="1" ht="12.75" customHeight="1">
      <c r="A92" s="109"/>
      <c r="B92" s="132"/>
      <c r="C92" s="132"/>
      <c r="D92" s="132"/>
      <c r="E92" s="859"/>
      <c r="F92" s="859"/>
      <c r="G92" s="29"/>
      <c r="H92" s="859"/>
      <c r="I92" s="29"/>
      <c r="J92" s="231"/>
      <c r="K92" s="231"/>
      <c r="L92" s="231"/>
      <c r="M92" s="231"/>
      <c r="N92" s="231"/>
      <c r="O92" s="231"/>
      <c r="P92" s="231"/>
      <c r="Q92" s="231"/>
      <c r="R92" s="231"/>
      <c r="S92" s="231"/>
      <c r="T92" s="231"/>
      <c r="U92" s="231"/>
      <c r="V92" s="231"/>
      <c r="W92" s="231"/>
      <c r="X92" s="231"/>
      <c r="Y92" s="231"/>
      <c r="Z92" s="231"/>
      <c r="AA92" s="231"/>
      <c r="AB92" s="231"/>
      <c r="AC92" s="231"/>
      <c r="AD92" s="231"/>
      <c r="AE92" s="231"/>
      <c r="AF92" s="231"/>
      <c r="AG92" s="231"/>
      <c r="AH92" s="231"/>
    </row>
    <row r="93" spans="1:34" s="203" customFormat="1">
      <c r="A93" s="109" t="s">
        <v>103</v>
      </c>
      <c r="B93" s="132"/>
      <c r="C93" s="132"/>
      <c r="D93" s="132"/>
      <c r="E93" s="859"/>
      <c r="F93" s="859"/>
      <c r="G93" s="29"/>
      <c r="H93" s="859"/>
      <c r="I93" s="29"/>
      <c r="J93" s="231"/>
      <c r="K93" s="231"/>
      <c r="L93" s="231"/>
      <c r="M93" s="231"/>
      <c r="N93" s="231"/>
      <c r="O93" s="231"/>
      <c r="P93" s="231"/>
      <c r="Q93" s="231"/>
      <c r="R93" s="231"/>
      <c r="S93" s="231"/>
      <c r="T93" s="231"/>
      <c r="U93" s="231"/>
      <c r="V93" s="231"/>
      <c r="W93" s="231"/>
      <c r="X93" s="231"/>
      <c r="Y93" s="231"/>
      <c r="Z93" s="231"/>
      <c r="AA93" s="231"/>
      <c r="AB93" s="231"/>
      <c r="AC93" s="231"/>
      <c r="AD93" s="231"/>
      <c r="AE93" s="231"/>
      <c r="AF93" s="231"/>
      <c r="AG93" s="231"/>
      <c r="AH93" s="231"/>
    </row>
    <row r="94" spans="1:34" s="203" customFormat="1">
      <c r="A94" s="109" t="s">
        <v>83</v>
      </c>
      <c r="B94" s="132"/>
      <c r="C94" s="132"/>
      <c r="D94" s="132"/>
      <c r="E94" s="859"/>
      <c r="F94" s="859"/>
      <c r="G94" s="130"/>
      <c r="H94" s="859"/>
      <c r="I94" s="29"/>
      <c r="J94" s="231"/>
      <c r="K94" s="231"/>
      <c r="L94" s="231"/>
      <c r="M94" s="231"/>
      <c r="N94" s="231"/>
      <c r="O94" s="231"/>
      <c r="P94" s="231"/>
      <c r="Q94" s="231"/>
      <c r="R94" s="231"/>
      <c r="S94" s="231"/>
      <c r="T94" s="231"/>
      <c r="U94" s="231"/>
      <c r="V94" s="231"/>
      <c r="W94" s="231"/>
      <c r="X94" s="231"/>
      <c r="Y94" s="231"/>
      <c r="Z94" s="231"/>
      <c r="AA94" s="231"/>
      <c r="AB94" s="231"/>
      <c r="AC94" s="231"/>
      <c r="AD94" s="231"/>
      <c r="AE94" s="231"/>
      <c r="AF94" s="231"/>
      <c r="AG94" s="231"/>
      <c r="AH94" s="231"/>
    </row>
    <row r="95" spans="1:34" s="203" customFormat="1">
      <c r="A95" s="110" t="s">
        <v>84</v>
      </c>
      <c r="B95" s="132"/>
      <c r="C95" s="132"/>
      <c r="D95" s="132"/>
      <c r="E95" s="860"/>
      <c r="F95" s="860"/>
      <c r="G95" s="130"/>
      <c r="H95" s="860"/>
      <c r="I95" s="130"/>
      <c r="J95" s="231"/>
      <c r="K95" s="231"/>
      <c r="L95" s="231"/>
      <c r="M95" s="231"/>
      <c r="N95" s="231"/>
      <c r="O95" s="231"/>
      <c r="P95" s="231"/>
      <c r="Q95" s="231"/>
      <c r="R95" s="231"/>
      <c r="S95" s="231"/>
      <c r="T95" s="231"/>
      <c r="U95" s="231"/>
      <c r="V95" s="231"/>
      <c r="W95" s="231"/>
      <c r="X95" s="231"/>
      <c r="Y95" s="231"/>
      <c r="Z95" s="231"/>
      <c r="AA95" s="231"/>
      <c r="AB95" s="231"/>
      <c r="AC95" s="231"/>
      <c r="AD95" s="231"/>
      <c r="AE95" s="231"/>
      <c r="AF95" s="231"/>
      <c r="AG95" s="231"/>
      <c r="AH95" s="231"/>
    </row>
    <row r="96" spans="1:34" s="203" customFormat="1">
      <c r="A96" s="120">
        <v>1</v>
      </c>
      <c r="B96" s="47" t="s">
        <v>104</v>
      </c>
      <c r="C96" s="47"/>
      <c r="D96" s="47"/>
      <c r="E96" s="41">
        <v>664</v>
      </c>
      <c r="F96" s="52">
        <v>704</v>
      </c>
      <c r="G96" s="118"/>
      <c r="H96" s="52">
        <v>684</v>
      </c>
      <c r="I96" s="139"/>
      <c r="J96" s="231"/>
      <c r="K96" s="231"/>
      <c r="L96" s="231"/>
      <c r="M96" s="231"/>
      <c r="N96" s="231"/>
      <c r="O96" s="231"/>
      <c r="P96" s="231"/>
      <c r="Q96" s="231"/>
      <c r="R96" s="231"/>
      <c r="S96" s="231"/>
      <c r="T96" s="231"/>
      <c r="U96" s="231"/>
      <c r="V96" s="231"/>
      <c r="W96" s="231"/>
      <c r="X96" s="231"/>
      <c r="Y96" s="231"/>
      <c r="Z96" s="231"/>
      <c r="AA96" s="231"/>
      <c r="AB96" s="231"/>
      <c r="AC96" s="231"/>
      <c r="AD96" s="231"/>
      <c r="AE96" s="231"/>
      <c r="AF96" s="231"/>
      <c r="AG96" s="231"/>
      <c r="AH96" s="231"/>
    </row>
    <row r="97" spans="1:34" s="203" customFormat="1">
      <c r="A97" s="120">
        <v>2</v>
      </c>
      <c r="B97" s="47" t="s">
        <v>105</v>
      </c>
      <c r="C97" s="47"/>
      <c r="D97" s="47"/>
      <c r="E97" s="49">
        <v>15</v>
      </c>
      <c r="F97" s="52">
        <v>15</v>
      </c>
      <c r="G97" s="118"/>
      <c r="H97" s="52">
        <v>15</v>
      </c>
      <c r="I97" s="139"/>
      <c r="J97" s="231"/>
      <c r="K97" s="231"/>
      <c r="L97" s="231"/>
      <c r="M97" s="231"/>
      <c r="N97" s="231"/>
      <c r="O97" s="231"/>
      <c r="P97" s="231"/>
      <c r="Q97" s="231"/>
      <c r="R97" s="231"/>
      <c r="S97" s="231"/>
      <c r="T97" s="231"/>
      <c r="U97" s="231"/>
      <c r="V97" s="231"/>
      <c r="W97" s="231"/>
      <c r="X97" s="231"/>
      <c r="Y97" s="231"/>
      <c r="Z97" s="231"/>
      <c r="AA97" s="231"/>
      <c r="AB97" s="231"/>
      <c r="AC97" s="231"/>
      <c r="AD97" s="231"/>
      <c r="AE97" s="231"/>
      <c r="AF97" s="231"/>
      <c r="AG97" s="231"/>
      <c r="AH97" s="231"/>
    </row>
    <row r="98" spans="1:34" s="203" customFormat="1">
      <c r="A98" s="120">
        <v>3</v>
      </c>
      <c r="B98" s="47" t="s">
        <v>106</v>
      </c>
      <c r="C98" s="47"/>
      <c r="D98" s="47"/>
      <c r="E98" s="114">
        <v>14481</v>
      </c>
      <c r="F98" s="50">
        <f>F115</f>
        <v>14480</v>
      </c>
      <c r="G98" s="118"/>
      <c r="H98" s="50">
        <f>H115</f>
        <v>14873</v>
      </c>
      <c r="I98" s="139"/>
      <c r="J98" s="231"/>
      <c r="K98" s="231"/>
      <c r="L98" s="231"/>
      <c r="M98" s="231"/>
      <c r="N98" s="231"/>
      <c r="O98" s="231"/>
      <c r="P98" s="231"/>
      <c r="Q98" s="231"/>
      <c r="R98" s="231"/>
      <c r="S98" s="231"/>
      <c r="T98" s="231"/>
      <c r="U98" s="231"/>
      <c r="V98" s="231"/>
      <c r="W98" s="231"/>
      <c r="X98" s="231"/>
      <c r="Y98" s="231"/>
      <c r="Z98" s="231"/>
      <c r="AA98" s="231"/>
      <c r="AB98" s="231"/>
      <c r="AC98" s="231"/>
      <c r="AD98" s="231"/>
      <c r="AE98" s="231"/>
      <c r="AF98" s="231"/>
      <c r="AG98" s="231"/>
      <c r="AH98" s="231"/>
    </row>
    <row r="99" spans="1:34" s="203" customFormat="1">
      <c r="A99" s="120">
        <v>4</v>
      </c>
      <c r="B99" s="47" t="s">
        <v>107</v>
      </c>
      <c r="C99" s="47"/>
      <c r="D99" s="47"/>
      <c r="E99" s="114">
        <v>20984</v>
      </c>
      <c r="F99" s="50">
        <f>F125</f>
        <v>19679</v>
      </c>
      <c r="G99" s="118"/>
      <c r="H99" s="50">
        <f>H125</f>
        <v>22427</v>
      </c>
      <c r="I99" s="139"/>
      <c r="J99" s="231"/>
      <c r="K99" s="231"/>
      <c r="L99" s="231"/>
      <c r="M99" s="231"/>
      <c r="N99" s="231"/>
      <c r="O99" s="231"/>
      <c r="P99" s="231"/>
      <c r="Q99" s="231"/>
      <c r="R99" s="231"/>
      <c r="S99" s="231"/>
      <c r="T99" s="231"/>
      <c r="U99" s="231"/>
      <c r="V99" s="231"/>
      <c r="W99" s="231"/>
      <c r="X99" s="231"/>
      <c r="Y99" s="231"/>
      <c r="Z99" s="231"/>
      <c r="AA99" s="231"/>
      <c r="AB99" s="231"/>
      <c r="AC99" s="231"/>
      <c r="AD99" s="231"/>
      <c r="AE99" s="231"/>
      <c r="AF99" s="231"/>
      <c r="AG99" s="231"/>
      <c r="AH99" s="231"/>
    </row>
    <row r="100" spans="1:34" s="203" customFormat="1">
      <c r="A100" s="120">
        <v>5</v>
      </c>
      <c r="B100" s="47" t="s">
        <v>108</v>
      </c>
      <c r="C100" s="47"/>
      <c r="D100" s="47"/>
      <c r="E100" s="114">
        <v>3455</v>
      </c>
      <c r="F100" s="50">
        <f>F135</f>
        <v>4450</v>
      </c>
      <c r="G100" s="118"/>
      <c r="H100" s="50">
        <f>H135</f>
        <v>3600</v>
      </c>
      <c r="I100" s="139"/>
      <c r="J100" s="231"/>
      <c r="K100" s="231"/>
      <c r="L100" s="231"/>
      <c r="M100" s="231"/>
      <c r="N100" s="231"/>
      <c r="O100" s="231"/>
      <c r="P100" s="231"/>
      <c r="Q100" s="231"/>
      <c r="R100" s="231"/>
      <c r="S100" s="231"/>
      <c r="T100" s="231"/>
      <c r="U100" s="231"/>
      <c r="V100" s="231"/>
      <c r="W100" s="231"/>
      <c r="X100" s="231"/>
      <c r="Y100" s="231"/>
      <c r="Z100" s="231"/>
      <c r="AA100" s="231"/>
      <c r="AB100" s="231"/>
      <c r="AC100" s="231"/>
      <c r="AD100" s="231"/>
      <c r="AE100" s="231"/>
      <c r="AF100" s="231"/>
      <c r="AG100" s="231"/>
      <c r="AH100" s="231"/>
    </row>
    <row r="101" spans="1:34" s="203" customFormat="1">
      <c r="A101" s="120">
        <v>6</v>
      </c>
      <c r="B101" s="47" t="s">
        <v>109</v>
      </c>
      <c r="C101" s="47"/>
      <c r="D101" s="47"/>
      <c r="E101" s="114">
        <v>8919</v>
      </c>
      <c r="F101" s="50">
        <f>F143</f>
        <v>9814</v>
      </c>
      <c r="G101" s="118"/>
      <c r="H101" s="50">
        <f>H143</f>
        <v>10137</v>
      </c>
      <c r="I101" s="139"/>
      <c r="J101" s="231"/>
      <c r="K101" s="231"/>
      <c r="L101" s="231"/>
      <c r="M101" s="231"/>
      <c r="N101" s="231"/>
      <c r="O101" s="231"/>
      <c r="P101" s="231"/>
      <c r="Q101" s="231"/>
      <c r="R101" s="231"/>
      <c r="S101" s="231"/>
      <c r="T101" s="231"/>
      <c r="U101" s="231"/>
      <c r="V101" s="231"/>
      <c r="W101" s="231"/>
      <c r="X101" s="231"/>
      <c r="Y101" s="231"/>
      <c r="Z101" s="231"/>
      <c r="AA101" s="231"/>
      <c r="AB101" s="231"/>
      <c r="AC101" s="231"/>
      <c r="AD101" s="231"/>
      <c r="AE101" s="231"/>
      <c r="AF101" s="231"/>
      <c r="AG101" s="231"/>
      <c r="AH101" s="231"/>
    </row>
    <row r="102" spans="1:34" s="203" customFormat="1">
      <c r="A102" s="120">
        <v>7</v>
      </c>
      <c r="B102" s="47" t="s">
        <v>110</v>
      </c>
      <c r="C102" s="47"/>
      <c r="D102" s="47"/>
      <c r="E102" s="114">
        <v>735</v>
      </c>
      <c r="F102" s="50">
        <f>F150</f>
        <v>870</v>
      </c>
      <c r="G102" s="118"/>
      <c r="H102" s="50">
        <f>H150</f>
        <v>797</v>
      </c>
      <c r="I102" s="139"/>
      <c r="J102" s="231"/>
      <c r="K102" s="231"/>
      <c r="L102" s="231"/>
      <c r="M102" s="231"/>
      <c r="N102" s="231"/>
      <c r="O102" s="231"/>
      <c r="P102" s="231"/>
      <c r="Q102" s="231"/>
      <c r="R102" s="231"/>
      <c r="S102" s="231"/>
      <c r="T102" s="231"/>
      <c r="U102" s="231"/>
      <c r="V102" s="231"/>
      <c r="W102" s="231"/>
      <c r="X102" s="231"/>
      <c r="Y102" s="231"/>
      <c r="Z102" s="231"/>
      <c r="AA102" s="231"/>
      <c r="AB102" s="231"/>
      <c r="AC102" s="231"/>
      <c r="AD102" s="231"/>
      <c r="AE102" s="231"/>
      <c r="AF102" s="231"/>
      <c r="AG102" s="231"/>
      <c r="AH102" s="231"/>
    </row>
    <row r="103" spans="1:34" s="203" customFormat="1">
      <c r="A103" s="120">
        <v>8</v>
      </c>
      <c r="B103" s="47" t="s">
        <v>111</v>
      </c>
      <c r="C103" s="47"/>
      <c r="D103" s="47"/>
      <c r="E103" s="114">
        <v>854</v>
      </c>
      <c r="F103" s="52">
        <v>237</v>
      </c>
      <c r="G103" s="118"/>
      <c r="H103" s="52">
        <v>1071</v>
      </c>
      <c r="I103" s="139"/>
      <c r="J103" s="231"/>
      <c r="K103" s="231"/>
      <c r="L103" s="231"/>
      <c r="M103" s="231"/>
      <c r="N103" s="231"/>
      <c r="O103" s="231"/>
      <c r="P103" s="231"/>
      <c r="Q103" s="231"/>
      <c r="R103" s="231"/>
      <c r="S103" s="231"/>
      <c r="T103" s="231"/>
      <c r="U103" s="231"/>
      <c r="V103" s="231"/>
      <c r="W103" s="231"/>
      <c r="X103" s="231"/>
      <c r="Y103" s="231"/>
      <c r="Z103" s="231"/>
      <c r="AA103" s="231"/>
      <c r="AB103" s="231"/>
      <c r="AC103" s="231"/>
      <c r="AD103" s="231"/>
      <c r="AE103" s="231"/>
      <c r="AF103" s="231"/>
      <c r="AG103" s="231"/>
      <c r="AH103" s="231"/>
    </row>
    <row r="104" spans="1:34" s="203" customFormat="1">
      <c r="A104" s="120">
        <v>9</v>
      </c>
      <c r="B104" s="47" t="s">
        <v>112</v>
      </c>
      <c r="C104" s="47"/>
      <c r="D104" s="47"/>
      <c r="E104" s="114">
        <v>1274</v>
      </c>
      <c r="F104" s="52">
        <v>1394</v>
      </c>
      <c r="G104" s="118"/>
      <c r="H104" s="52">
        <v>1317</v>
      </c>
      <c r="I104" s="139"/>
      <c r="J104" s="231"/>
      <c r="K104" s="231"/>
      <c r="L104" s="231"/>
      <c r="M104" s="231"/>
      <c r="N104" s="231"/>
      <c r="O104" s="231"/>
      <c r="P104" s="231"/>
      <c r="Q104" s="231"/>
      <c r="R104" s="231"/>
      <c r="S104" s="231"/>
      <c r="T104" s="231"/>
      <c r="U104" s="231"/>
      <c r="V104" s="231"/>
      <c r="W104" s="231"/>
      <c r="X104" s="231"/>
      <c r="Y104" s="231"/>
      <c r="Z104" s="231"/>
      <c r="AA104" s="231"/>
      <c r="AB104" s="231"/>
      <c r="AC104" s="231"/>
      <c r="AD104" s="231"/>
      <c r="AE104" s="231"/>
      <c r="AF104" s="231"/>
      <c r="AG104" s="231"/>
      <c r="AH104" s="231"/>
    </row>
    <row r="105" spans="1:34" s="203" customFormat="1">
      <c r="A105" s="111" t="s">
        <v>113</v>
      </c>
      <c r="B105" s="116" t="s">
        <v>114</v>
      </c>
      <c r="C105" s="116"/>
      <c r="D105" s="47"/>
      <c r="E105" s="134">
        <v>51381</v>
      </c>
      <c r="F105" s="61">
        <f>SUM(F96:F104)</f>
        <v>51643</v>
      </c>
      <c r="G105" s="118"/>
      <c r="H105" s="61">
        <f>SUM(H96:H104)</f>
        <v>54921</v>
      </c>
      <c r="I105" s="139"/>
      <c r="J105" s="231"/>
      <c r="K105" s="231"/>
      <c r="L105" s="231"/>
      <c r="M105" s="231"/>
      <c r="N105" s="231"/>
      <c r="O105" s="231"/>
      <c r="P105" s="231"/>
      <c r="Q105" s="231"/>
      <c r="R105" s="231"/>
      <c r="S105" s="231"/>
      <c r="T105" s="231"/>
      <c r="U105" s="231"/>
      <c r="V105" s="231"/>
      <c r="W105" s="231"/>
      <c r="X105" s="231"/>
      <c r="Y105" s="231"/>
      <c r="Z105" s="231"/>
      <c r="AA105" s="231"/>
      <c r="AB105" s="231"/>
      <c r="AC105" s="231"/>
      <c r="AD105" s="231"/>
      <c r="AE105" s="231"/>
      <c r="AF105" s="231"/>
      <c r="AG105" s="231"/>
      <c r="AH105" s="231"/>
    </row>
    <row r="106" spans="1:34" s="203" customFormat="1">
      <c r="A106" s="120">
        <v>11</v>
      </c>
      <c r="B106" s="90" t="s">
        <v>115</v>
      </c>
      <c r="C106" s="47"/>
      <c r="D106" s="47"/>
      <c r="E106" s="135">
        <v>0</v>
      </c>
      <c r="F106" s="136"/>
      <c r="G106" s="118"/>
      <c r="H106" s="137"/>
      <c r="I106" s="139"/>
      <c r="J106" s="231"/>
      <c r="K106" s="231"/>
      <c r="L106" s="231"/>
      <c r="M106" s="231"/>
      <c r="N106" s="231"/>
      <c r="O106" s="231"/>
      <c r="P106" s="231"/>
      <c r="Q106" s="231"/>
      <c r="R106" s="231"/>
      <c r="S106" s="231"/>
      <c r="T106" s="231"/>
      <c r="U106" s="231"/>
      <c r="V106" s="231"/>
      <c r="W106" s="231"/>
      <c r="X106" s="231"/>
      <c r="Y106" s="231"/>
      <c r="Z106" s="231"/>
      <c r="AA106" s="231"/>
      <c r="AB106" s="231"/>
      <c r="AC106" s="231"/>
      <c r="AD106" s="231"/>
      <c r="AE106" s="231"/>
      <c r="AF106" s="231"/>
      <c r="AG106" s="231"/>
      <c r="AH106" s="231"/>
    </row>
    <row r="107" spans="1:34" s="203" customFormat="1">
      <c r="A107" s="111"/>
      <c r="B107" s="47"/>
      <c r="C107" s="47"/>
      <c r="D107" s="138"/>
      <c r="E107" s="117"/>
      <c r="F107" s="139"/>
      <c r="G107" s="139"/>
      <c r="H107" s="139"/>
      <c r="I107" s="139"/>
      <c r="J107" s="231"/>
      <c r="K107" s="231"/>
      <c r="L107" s="231"/>
      <c r="M107" s="231"/>
      <c r="N107" s="231"/>
      <c r="O107" s="231"/>
      <c r="P107" s="231"/>
      <c r="Q107" s="231"/>
      <c r="R107" s="231"/>
      <c r="S107" s="231"/>
      <c r="T107" s="231"/>
      <c r="U107" s="231"/>
      <c r="V107" s="231"/>
      <c r="W107" s="231"/>
      <c r="X107" s="231"/>
      <c r="Y107" s="231"/>
      <c r="Z107" s="231"/>
      <c r="AA107" s="231"/>
      <c r="AB107" s="231"/>
      <c r="AC107" s="231"/>
      <c r="AD107" s="231"/>
      <c r="AE107" s="231"/>
      <c r="AF107" s="231"/>
      <c r="AG107" s="231"/>
      <c r="AH107" s="231"/>
    </row>
    <row r="108" spans="1:34" s="203" customFormat="1">
      <c r="A108" s="119" t="s">
        <v>116</v>
      </c>
      <c r="B108" s="47"/>
      <c r="C108" s="47"/>
      <c r="D108" s="47"/>
      <c r="E108" s="117"/>
      <c r="F108" s="139"/>
      <c r="G108" s="139"/>
      <c r="H108" s="139"/>
      <c r="I108" s="139"/>
      <c r="J108" s="231"/>
      <c r="K108" s="231"/>
      <c r="L108" s="231"/>
      <c r="M108" s="231"/>
      <c r="N108" s="231"/>
      <c r="O108" s="231"/>
      <c r="P108" s="231"/>
      <c r="Q108" s="231"/>
      <c r="R108" s="231"/>
      <c r="S108" s="231"/>
      <c r="T108" s="231"/>
      <c r="U108" s="231"/>
      <c r="V108" s="231"/>
      <c r="W108" s="231"/>
      <c r="X108" s="231"/>
      <c r="Y108" s="231"/>
      <c r="Z108" s="231"/>
      <c r="AA108" s="231"/>
      <c r="AB108" s="231"/>
      <c r="AC108" s="231"/>
      <c r="AD108" s="231"/>
      <c r="AE108" s="231"/>
      <c r="AF108" s="231"/>
      <c r="AG108" s="231"/>
      <c r="AH108" s="231"/>
    </row>
    <row r="109" spans="1:34" s="203" customFormat="1">
      <c r="A109" s="119" t="s">
        <v>106</v>
      </c>
      <c r="B109" s="47"/>
      <c r="C109" s="47"/>
      <c r="D109" s="47"/>
      <c r="E109" s="140"/>
      <c r="F109" s="141"/>
      <c r="G109" s="139"/>
      <c r="H109" s="141"/>
      <c r="I109" s="139"/>
      <c r="J109" s="231"/>
      <c r="K109" s="231"/>
      <c r="L109" s="231"/>
      <c r="M109" s="231"/>
      <c r="N109" s="231"/>
      <c r="O109" s="231"/>
      <c r="P109" s="231"/>
      <c r="Q109" s="231"/>
      <c r="R109" s="231"/>
      <c r="S109" s="231"/>
      <c r="T109" s="231"/>
      <c r="U109" s="231"/>
      <c r="V109" s="231"/>
      <c r="W109" s="231"/>
      <c r="X109" s="231"/>
      <c r="Y109" s="231"/>
      <c r="Z109" s="231"/>
      <c r="AA109" s="231"/>
      <c r="AB109" s="231"/>
      <c r="AC109" s="231"/>
      <c r="AD109" s="231"/>
      <c r="AE109" s="231"/>
      <c r="AF109" s="231"/>
      <c r="AG109" s="231"/>
      <c r="AH109" s="231"/>
    </row>
    <row r="110" spans="1:34" s="203" customFormat="1">
      <c r="A110" s="120">
        <v>12</v>
      </c>
      <c r="B110" s="47" t="s">
        <v>117</v>
      </c>
      <c r="C110" s="47"/>
      <c r="D110" s="47"/>
      <c r="E110" s="49">
        <v>3604</v>
      </c>
      <c r="F110" s="52">
        <v>3508</v>
      </c>
      <c r="G110" s="118"/>
      <c r="H110" s="52">
        <v>3663</v>
      </c>
      <c r="I110" s="139"/>
      <c r="J110" s="231"/>
      <c r="K110" s="231"/>
      <c r="L110" s="231"/>
      <c r="M110" s="231"/>
      <c r="N110" s="231"/>
      <c r="O110" s="231"/>
      <c r="P110" s="231"/>
      <c r="Q110" s="231"/>
      <c r="R110" s="231"/>
      <c r="S110" s="231"/>
      <c r="T110" s="231"/>
      <c r="U110" s="231"/>
      <c r="V110" s="231"/>
      <c r="W110" s="231"/>
      <c r="X110" s="231"/>
      <c r="Y110" s="231"/>
      <c r="Z110" s="231"/>
      <c r="AA110" s="231"/>
      <c r="AB110" s="231"/>
      <c r="AC110" s="231"/>
      <c r="AD110" s="231"/>
      <c r="AE110" s="231"/>
      <c r="AF110" s="231"/>
      <c r="AG110" s="231"/>
      <c r="AH110" s="231"/>
    </row>
    <row r="111" spans="1:34" s="203" customFormat="1">
      <c r="A111" s="120">
        <v>13</v>
      </c>
      <c r="B111" s="47" t="s">
        <v>118</v>
      </c>
      <c r="C111" s="47"/>
      <c r="D111" s="47"/>
      <c r="E111" s="49">
        <v>4543</v>
      </c>
      <c r="F111" s="52">
        <v>4276</v>
      </c>
      <c r="G111" s="118"/>
      <c r="H111" s="52">
        <v>4664</v>
      </c>
      <c r="I111" s="139"/>
      <c r="J111" s="231"/>
      <c r="K111" s="231"/>
      <c r="L111" s="231"/>
      <c r="M111" s="231"/>
      <c r="N111" s="231"/>
      <c r="O111" s="231"/>
      <c r="P111" s="231"/>
      <c r="Q111" s="231"/>
      <c r="R111" s="231"/>
      <c r="S111" s="231"/>
      <c r="T111" s="231"/>
      <c r="U111" s="231"/>
      <c r="V111" s="231"/>
      <c r="W111" s="231"/>
      <c r="X111" s="231"/>
      <c r="Y111" s="231"/>
      <c r="Z111" s="231"/>
      <c r="AA111" s="231"/>
      <c r="AB111" s="231"/>
      <c r="AC111" s="231"/>
      <c r="AD111" s="231"/>
      <c r="AE111" s="231"/>
      <c r="AF111" s="231"/>
      <c r="AG111" s="231"/>
      <c r="AH111" s="231"/>
    </row>
    <row r="112" spans="1:34" s="203" customFormat="1">
      <c r="A112" s="120">
        <v>14</v>
      </c>
      <c r="B112" s="47" t="s">
        <v>119</v>
      </c>
      <c r="C112" s="47"/>
      <c r="D112" s="47"/>
      <c r="E112" s="49">
        <v>4108</v>
      </c>
      <c r="F112" s="52">
        <v>4049</v>
      </c>
      <c r="G112" s="118"/>
      <c r="H112" s="52">
        <v>4482</v>
      </c>
      <c r="I112" s="139"/>
      <c r="J112" s="231"/>
      <c r="K112" s="231"/>
      <c r="L112" s="231"/>
      <c r="M112" s="231"/>
      <c r="N112" s="231"/>
      <c r="O112" s="231"/>
      <c r="P112" s="231"/>
      <c r="Q112" s="231"/>
      <c r="R112" s="231"/>
      <c r="S112" s="231"/>
      <c r="T112" s="231"/>
      <c r="U112" s="231"/>
      <c r="V112" s="231"/>
      <c r="W112" s="231"/>
      <c r="X112" s="231"/>
      <c r="Y112" s="231"/>
      <c r="Z112" s="231"/>
      <c r="AA112" s="231"/>
      <c r="AB112" s="231"/>
      <c r="AC112" s="231"/>
      <c r="AD112" s="231"/>
      <c r="AE112" s="231"/>
      <c r="AF112" s="231"/>
      <c r="AG112" s="231"/>
      <c r="AH112" s="231"/>
    </row>
    <row r="113" spans="1:34" s="203" customFormat="1">
      <c r="A113" s="120">
        <v>15</v>
      </c>
      <c r="B113" s="47" t="s">
        <v>120</v>
      </c>
      <c r="C113" s="47"/>
      <c r="D113" s="47"/>
      <c r="E113" s="49">
        <v>1071</v>
      </c>
      <c r="F113" s="52">
        <v>1071</v>
      </c>
      <c r="G113" s="118"/>
      <c r="H113" s="52">
        <v>1095</v>
      </c>
      <c r="I113" s="139"/>
      <c r="J113" s="231"/>
      <c r="K113" s="231"/>
      <c r="L113" s="231"/>
      <c r="M113" s="231"/>
      <c r="N113" s="231"/>
      <c r="O113" s="231"/>
      <c r="P113" s="231"/>
      <c r="Q113" s="231"/>
      <c r="R113" s="231"/>
      <c r="S113" s="231"/>
      <c r="T113" s="231"/>
      <c r="U113" s="231"/>
      <c r="V113" s="231"/>
      <c r="W113" s="231"/>
      <c r="X113" s="231"/>
      <c r="Y113" s="231"/>
      <c r="Z113" s="231"/>
      <c r="AA113" s="231"/>
      <c r="AB113" s="231"/>
      <c r="AC113" s="231"/>
      <c r="AD113" s="231"/>
      <c r="AE113" s="231"/>
      <c r="AF113" s="231"/>
      <c r="AG113" s="231"/>
      <c r="AH113" s="231"/>
    </row>
    <row r="114" spans="1:34" s="203" customFormat="1">
      <c r="A114" s="120">
        <v>16</v>
      </c>
      <c r="B114" s="47" t="s">
        <v>121</v>
      </c>
      <c r="C114" s="47"/>
      <c r="D114" s="47"/>
      <c r="E114" s="49">
        <v>1155</v>
      </c>
      <c r="F114" s="52">
        <v>1576</v>
      </c>
      <c r="G114" s="118"/>
      <c r="H114" s="52">
        <v>969</v>
      </c>
      <c r="I114" s="139"/>
      <c r="J114" s="231"/>
      <c r="K114" s="231"/>
      <c r="L114" s="231"/>
      <c r="M114" s="231"/>
      <c r="N114" s="231"/>
      <c r="O114" s="231"/>
      <c r="P114" s="231"/>
      <c r="Q114" s="231"/>
      <c r="R114" s="231"/>
      <c r="S114" s="231"/>
      <c r="T114" s="231"/>
      <c r="U114" s="231"/>
      <c r="V114" s="231"/>
      <c r="W114" s="231"/>
      <c r="X114" s="231"/>
      <c r="Y114" s="231"/>
      <c r="Z114" s="231"/>
      <c r="AA114" s="231"/>
      <c r="AB114" s="231"/>
      <c r="AC114" s="231"/>
      <c r="AD114" s="231"/>
      <c r="AE114" s="231"/>
      <c r="AF114" s="231"/>
      <c r="AG114" s="231"/>
      <c r="AH114" s="231"/>
    </row>
    <row r="115" spans="1:34" s="203" customFormat="1">
      <c r="A115" s="120">
        <v>17</v>
      </c>
      <c r="B115" s="116" t="s">
        <v>122</v>
      </c>
      <c r="C115" s="116"/>
      <c r="D115" s="116"/>
      <c r="E115" s="80">
        <v>14481</v>
      </c>
      <c r="F115" s="142">
        <f>SUM(F110:F114)</f>
        <v>14480</v>
      </c>
      <c r="G115" s="118"/>
      <c r="H115" s="142">
        <f>SUM(H110:H114)</f>
        <v>14873</v>
      </c>
      <c r="I115" s="139"/>
      <c r="J115" s="231"/>
      <c r="K115" s="231"/>
      <c r="L115" s="231"/>
      <c r="M115" s="231"/>
      <c r="N115" s="231"/>
      <c r="O115" s="231"/>
      <c r="P115" s="231"/>
      <c r="Q115" s="231"/>
      <c r="R115" s="231"/>
      <c r="S115" s="231"/>
      <c r="T115" s="231"/>
      <c r="U115" s="231"/>
      <c r="V115" s="231"/>
      <c r="W115" s="231"/>
      <c r="X115" s="231"/>
      <c r="Y115" s="231"/>
      <c r="Z115" s="231"/>
      <c r="AA115" s="231"/>
      <c r="AB115" s="231"/>
      <c r="AC115" s="231"/>
      <c r="AD115" s="231"/>
      <c r="AE115" s="231"/>
      <c r="AF115" s="231"/>
      <c r="AG115" s="231"/>
      <c r="AH115" s="231"/>
    </row>
    <row r="116" spans="1:34" s="203" customFormat="1">
      <c r="A116" s="111"/>
      <c r="B116" s="116"/>
      <c r="C116" s="116"/>
      <c r="D116" s="116"/>
      <c r="E116" s="143"/>
      <c r="F116" s="118"/>
      <c r="G116" s="118"/>
      <c r="H116" s="118"/>
      <c r="I116" s="139"/>
      <c r="J116" s="231"/>
      <c r="K116" s="231"/>
      <c r="L116" s="231"/>
      <c r="M116" s="231"/>
      <c r="N116" s="231"/>
      <c r="O116" s="231"/>
      <c r="P116" s="231"/>
      <c r="Q116" s="231"/>
      <c r="R116" s="231"/>
      <c r="S116" s="231"/>
      <c r="T116" s="231"/>
      <c r="U116" s="231"/>
      <c r="V116" s="231"/>
      <c r="W116" s="231"/>
      <c r="X116" s="231"/>
      <c r="Y116" s="231"/>
      <c r="Z116" s="231"/>
      <c r="AA116" s="231"/>
      <c r="AB116" s="231"/>
      <c r="AC116" s="231"/>
      <c r="AD116" s="231"/>
      <c r="AE116" s="231"/>
      <c r="AF116" s="231"/>
      <c r="AG116" s="231"/>
      <c r="AH116" s="231"/>
    </row>
    <row r="117" spans="1:34" s="203" customFormat="1">
      <c r="A117" s="144" t="s">
        <v>107</v>
      </c>
      <c r="B117" s="116"/>
      <c r="C117" s="116"/>
      <c r="D117" s="116"/>
      <c r="E117" s="145"/>
      <c r="F117" s="146"/>
      <c r="G117" s="118"/>
      <c r="H117" s="146"/>
      <c r="I117" s="139"/>
      <c r="J117" s="231"/>
      <c r="K117" s="231"/>
      <c r="L117" s="231"/>
      <c r="M117" s="231"/>
      <c r="N117" s="231"/>
      <c r="O117" s="231"/>
      <c r="P117" s="231"/>
      <c r="Q117" s="231"/>
      <c r="R117" s="231"/>
      <c r="S117" s="231"/>
      <c r="T117" s="231"/>
      <c r="U117" s="231"/>
      <c r="V117" s="231"/>
      <c r="W117" s="231"/>
      <c r="X117" s="231"/>
      <c r="Y117" s="231"/>
      <c r="Z117" s="231"/>
      <c r="AA117" s="231"/>
      <c r="AB117" s="231"/>
      <c r="AC117" s="231"/>
      <c r="AD117" s="231"/>
      <c r="AE117" s="231"/>
      <c r="AF117" s="231"/>
      <c r="AG117" s="231"/>
      <c r="AH117" s="231"/>
    </row>
    <row r="118" spans="1:34" s="203" customFormat="1">
      <c r="A118" s="120">
        <v>18</v>
      </c>
      <c r="B118" s="47" t="s">
        <v>123</v>
      </c>
      <c r="C118" s="47"/>
      <c r="D118" s="47"/>
      <c r="E118" s="49">
        <v>1814</v>
      </c>
      <c r="F118" s="52">
        <v>1816</v>
      </c>
      <c r="G118" s="118"/>
      <c r="H118" s="52">
        <v>1856</v>
      </c>
      <c r="I118" s="139"/>
      <c r="J118" s="231"/>
      <c r="K118" s="231"/>
      <c r="L118" s="231"/>
      <c r="M118" s="231"/>
      <c r="N118" s="231"/>
      <c r="O118" s="231"/>
      <c r="P118" s="231"/>
      <c r="Q118" s="231"/>
      <c r="R118" s="231"/>
      <c r="S118" s="231"/>
      <c r="T118" s="231"/>
      <c r="U118" s="231"/>
      <c r="V118" s="231"/>
      <c r="W118" s="231"/>
      <c r="X118" s="231"/>
      <c r="Y118" s="231"/>
      <c r="Z118" s="231"/>
      <c r="AA118" s="231"/>
      <c r="AB118" s="231"/>
      <c r="AC118" s="231"/>
      <c r="AD118" s="231"/>
      <c r="AE118" s="231"/>
      <c r="AF118" s="231"/>
      <c r="AG118" s="231"/>
      <c r="AH118" s="231"/>
    </row>
    <row r="119" spans="1:34" s="203" customFormat="1">
      <c r="A119" s="120">
        <v>19</v>
      </c>
      <c r="B119" s="47" t="s">
        <v>124</v>
      </c>
      <c r="C119" s="47"/>
      <c r="D119" s="47"/>
      <c r="E119" s="49">
        <v>9568</v>
      </c>
      <c r="F119" s="52">
        <v>7964</v>
      </c>
      <c r="G119" s="118"/>
      <c r="H119" s="52">
        <v>10319</v>
      </c>
      <c r="I119" s="139"/>
      <c r="J119" s="231"/>
      <c r="K119" s="231"/>
      <c r="L119" s="231"/>
      <c r="M119" s="231"/>
      <c r="N119" s="231"/>
      <c r="O119" s="231"/>
      <c r="P119" s="231"/>
      <c r="Q119" s="231"/>
      <c r="R119" s="231"/>
      <c r="S119" s="231"/>
      <c r="T119" s="231"/>
      <c r="U119" s="231"/>
      <c r="V119" s="231"/>
      <c r="W119" s="231"/>
      <c r="X119" s="231"/>
      <c r="Y119" s="231"/>
      <c r="Z119" s="231"/>
      <c r="AA119" s="231"/>
      <c r="AB119" s="231"/>
      <c r="AC119" s="231"/>
      <c r="AD119" s="231"/>
      <c r="AE119" s="231"/>
      <c r="AF119" s="231"/>
      <c r="AG119" s="231"/>
      <c r="AH119" s="231"/>
    </row>
    <row r="120" spans="1:34" s="203" customFormat="1">
      <c r="A120" s="120">
        <v>20</v>
      </c>
      <c r="B120" s="47" t="s">
        <v>119</v>
      </c>
      <c r="C120" s="47"/>
      <c r="D120" s="47"/>
      <c r="E120" s="49">
        <v>8431</v>
      </c>
      <c r="F120" s="52">
        <v>8305</v>
      </c>
      <c r="G120" s="118"/>
      <c r="H120" s="52">
        <v>8649</v>
      </c>
      <c r="I120" s="139"/>
      <c r="J120" s="231"/>
      <c r="K120" s="231"/>
      <c r="L120" s="231"/>
      <c r="M120" s="231"/>
      <c r="N120" s="231"/>
      <c r="O120" s="231"/>
      <c r="P120" s="231"/>
      <c r="Q120" s="231"/>
      <c r="R120" s="231"/>
      <c r="S120" s="231"/>
      <c r="T120" s="231"/>
      <c r="U120" s="231"/>
      <c r="V120" s="231"/>
      <c r="W120" s="231"/>
      <c r="X120" s="231"/>
      <c r="Y120" s="231"/>
      <c r="Z120" s="231"/>
      <c r="AA120" s="231"/>
      <c r="AB120" s="231"/>
      <c r="AC120" s="231"/>
      <c r="AD120" s="231"/>
      <c r="AE120" s="231"/>
      <c r="AF120" s="231"/>
      <c r="AG120" s="231"/>
      <c r="AH120" s="231"/>
    </row>
    <row r="121" spans="1:34" s="203" customFormat="1">
      <c r="A121" s="120">
        <v>21</v>
      </c>
      <c r="B121" s="47" t="s">
        <v>120</v>
      </c>
      <c r="C121" s="47"/>
      <c r="D121" s="47"/>
      <c r="E121" s="49">
        <v>112</v>
      </c>
      <c r="F121" s="52">
        <v>187</v>
      </c>
      <c r="G121" s="118"/>
      <c r="H121" s="52">
        <v>113</v>
      </c>
      <c r="I121" s="139"/>
      <c r="J121" s="231"/>
      <c r="K121" s="231"/>
      <c r="L121" s="231"/>
      <c r="M121" s="231"/>
      <c r="N121" s="231"/>
      <c r="O121" s="231"/>
      <c r="P121" s="231"/>
      <c r="Q121" s="231"/>
      <c r="R121" s="231"/>
      <c r="S121" s="231"/>
      <c r="T121" s="231"/>
      <c r="U121" s="231"/>
      <c r="V121" s="231"/>
      <c r="W121" s="231"/>
      <c r="X121" s="231"/>
      <c r="Y121" s="231"/>
      <c r="Z121" s="231"/>
      <c r="AA121" s="231"/>
      <c r="AB121" s="231"/>
      <c r="AC121" s="231"/>
      <c r="AD121" s="231"/>
      <c r="AE121" s="231"/>
      <c r="AF121" s="231"/>
      <c r="AG121" s="231"/>
      <c r="AH121" s="231"/>
    </row>
    <row r="122" spans="1:34" s="203" customFormat="1">
      <c r="A122" s="120">
        <v>22</v>
      </c>
      <c r="B122" s="47" t="s">
        <v>125</v>
      </c>
      <c r="C122" s="47"/>
      <c r="D122" s="47"/>
      <c r="E122" s="49">
        <v>453</v>
      </c>
      <c r="F122" s="52">
        <v>375</v>
      </c>
      <c r="G122" s="118"/>
      <c r="H122" s="52">
        <v>431</v>
      </c>
      <c r="I122" s="139"/>
      <c r="J122" s="231"/>
      <c r="K122" s="231"/>
      <c r="L122" s="231"/>
      <c r="M122" s="231"/>
      <c r="N122" s="231"/>
      <c r="O122" s="231"/>
      <c r="P122" s="231"/>
      <c r="Q122" s="231"/>
      <c r="R122" s="231"/>
      <c r="S122" s="231"/>
      <c r="T122" s="231"/>
      <c r="U122" s="231"/>
      <c r="V122" s="231"/>
      <c r="W122" s="231"/>
      <c r="X122" s="231"/>
      <c r="Y122" s="231"/>
      <c r="Z122" s="231"/>
      <c r="AA122" s="231"/>
      <c r="AB122" s="231"/>
      <c r="AC122" s="231"/>
      <c r="AD122" s="231"/>
      <c r="AE122" s="231"/>
      <c r="AF122" s="231"/>
      <c r="AG122" s="231"/>
      <c r="AH122" s="231"/>
    </row>
    <row r="123" spans="1:34" s="203" customFormat="1">
      <c r="A123" s="120">
        <v>23</v>
      </c>
      <c r="B123" s="90" t="s">
        <v>126</v>
      </c>
      <c r="C123" s="47"/>
      <c r="D123" s="47"/>
      <c r="E123" s="49">
        <v>156</v>
      </c>
      <c r="F123" s="52">
        <v>183</v>
      </c>
      <c r="G123" s="118"/>
      <c r="H123" s="52">
        <v>156</v>
      </c>
      <c r="I123" s="139"/>
      <c r="J123" s="231"/>
      <c r="K123" s="231"/>
      <c r="L123" s="231"/>
      <c r="M123" s="231"/>
      <c r="N123" s="231"/>
      <c r="O123" s="231"/>
      <c r="P123" s="231"/>
      <c r="Q123" s="231"/>
      <c r="R123" s="231"/>
      <c r="S123" s="231"/>
      <c r="T123" s="231"/>
      <c r="U123" s="231"/>
      <c r="V123" s="231"/>
      <c r="W123" s="231"/>
      <c r="X123" s="231"/>
      <c r="Y123" s="231"/>
      <c r="Z123" s="231"/>
      <c r="AA123" s="231"/>
      <c r="AB123" s="231"/>
      <c r="AC123" s="231"/>
      <c r="AD123" s="231"/>
      <c r="AE123" s="231"/>
      <c r="AF123" s="231"/>
      <c r="AG123" s="231"/>
      <c r="AH123" s="231"/>
    </row>
    <row r="124" spans="1:34" s="203" customFormat="1">
      <c r="A124" s="120">
        <v>24</v>
      </c>
      <c r="B124" s="47" t="s">
        <v>121</v>
      </c>
      <c r="C124" s="47"/>
      <c r="D124" s="47"/>
      <c r="E124" s="49">
        <v>450</v>
      </c>
      <c r="F124" s="52">
        <v>849</v>
      </c>
      <c r="G124" s="118"/>
      <c r="H124" s="52">
        <v>903</v>
      </c>
      <c r="I124" s="139"/>
      <c r="J124" s="231"/>
      <c r="K124" s="231"/>
      <c r="L124" s="231"/>
      <c r="M124" s="231"/>
      <c r="N124" s="231"/>
      <c r="O124" s="231"/>
      <c r="P124" s="231"/>
      <c r="Q124" s="231"/>
      <c r="R124" s="231"/>
      <c r="S124" s="231"/>
      <c r="T124" s="231"/>
      <c r="U124" s="231"/>
      <c r="V124" s="231"/>
      <c r="W124" s="231"/>
      <c r="X124" s="231"/>
      <c r="Y124" s="231"/>
      <c r="Z124" s="231"/>
      <c r="AA124" s="231"/>
      <c r="AB124" s="231"/>
      <c r="AC124" s="231"/>
      <c r="AD124" s="231"/>
      <c r="AE124" s="231"/>
      <c r="AF124" s="231"/>
      <c r="AG124" s="231"/>
      <c r="AH124" s="231"/>
    </row>
    <row r="125" spans="1:34" s="203" customFormat="1">
      <c r="A125" s="120">
        <v>25</v>
      </c>
      <c r="B125" s="147" t="s">
        <v>127</v>
      </c>
      <c r="C125" s="147"/>
      <c r="D125" s="147"/>
      <c r="E125" s="80">
        <v>20984</v>
      </c>
      <c r="F125" s="142">
        <f>SUM(F118:F124)</f>
        <v>19679</v>
      </c>
      <c r="G125" s="118"/>
      <c r="H125" s="142">
        <f>SUM(H118:H124)</f>
        <v>22427</v>
      </c>
      <c r="I125" s="139"/>
      <c r="J125" s="231"/>
      <c r="K125" s="231"/>
      <c r="L125" s="231"/>
      <c r="M125" s="231"/>
      <c r="N125" s="231"/>
      <c r="O125" s="231"/>
      <c r="P125" s="231"/>
      <c r="Q125" s="231"/>
      <c r="R125" s="231"/>
      <c r="S125" s="231"/>
      <c r="T125" s="231"/>
      <c r="U125" s="231"/>
      <c r="V125" s="231"/>
      <c r="W125" s="231"/>
      <c r="X125" s="231"/>
      <c r="Y125" s="231"/>
      <c r="Z125" s="231"/>
      <c r="AA125" s="231"/>
      <c r="AB125" s="231"/>
      <c r="AC125" s="231"/>
      <c r="AD125" s="231"/>
      <c r="AE125" s="231"/>
      <c r="AF125" s="231"/>
      <c r="AG125" s="231"/>
      <c r="AH125" s="231"/>
    </row>
    <row r="126" spans="1:34" s="203" customFormat="1">
      <c r="A126" s="111"/>
      <c r="B126" s="47"/>
      <c r="C126" s="47"/>
      <c r="D126" s="47"/>
      <c r="E126" s="117"/>
      <c r="F126" s="118"/>
      <c r="G126" s="118"/>
      <c r="H126" s="118"/>
      <c r="I126" s="139"/>
      <c r="J126" s="231"/>
      <c r="K126" s="231"/>
      <c r="L126" s="231"/>
      <c r="M126" s="231"/>
      <c r="N126" s="231"/>
      <c r="O126" s="231"/>
      <c r="P126" s="231"/>
      <c r="Q126" s="231"/>
      <c r="R126" s="231"/>
      <c r="S126" s="231"/>
      <c r="T126" s="231"/>
      <c r="U126" s="231"/>
      <c r="V126" s="231"/>
      <c r="W126" s="231"/>
      <c r="X126" s="231"/>
      <c r="Y126" s="231"/>
      <c r="Z126" s="231"/>
      <c r="AA126" s="231"/>
      <c r="AB126" s="231"/>
      <c r="AC126" s="231"/>
      <c r="AD126" s="231"/>
      <c r="AE126" s="231"/>
      <c r="AF126" s="231"/>
      <c r="AG126" s="231"/>
      <c r="AH126" s="231"/>
    </row>
    <row r="127" spans="1:34" s="203" customFormat="1">
      <c r="A127" s="119" t="s">
        <v>108</v>
      </c>
      <c r="B127" s="147"/>
      <c r="C127" s="147"/>
      <c r="D127" s="147"/>
      <c r="E127" s="140"/>
      <c r="F127" s="146"/>
      <c r="G127" s="118"/>
      <c r="H127" s="146"/>
      <c r="I127" s="139"/>
      <c r="J127" s="231"/>
      <c r="K127" s="231"/>
      <c r="L127" s="231"/>
      <c r="M127" s="231"/>
      <c r="N127" s="231"/>
      <c r="O127" s="231"/>
      <c r="P127" s="231"/>
      <c r="Q127" s="231"/>
      <c r="R127" s="231"/>
      <c r="S127" s="231"/>
      <c r="T127" s="231"/>
      <c r="U127" s="231"/>
      <c r="V127" s="231"/>
      <c r="W127" s="231"/>
      <c r="X127" s="231"/>
      <c r="Y127" s="231"/>
      <c r="Z127" s="231"/>
      <c r="AA127" s="231"/>
      <c r="AB127" s="231"/>
      <c r="AC127" s="231"/>
      <c r="AD127" s="231"/>
      <c r="AE127" s="231"/>
      <c r="AF127" s="231"/>
      <c r="AG127" s="231"/>
      <c r="AH127" s="231"/>
    </row>
    <row r="128" spans="1:34" s="203" customFormat="1">
      <c r="A128" s="120">
        <v>26</v>
      </c>
      <c r="B128" s="47" t="s">
        <v>123</v>
      </c>
      <c r="C128" s="47"/>
      <c r="D128" s="47"/>
      <c r="E128" s="74">
        <v>206</v>
      </c>
      <c r="F128" s="52">
        <v>164</v>
      </c>
      <c r="G128" s="118"/>
      <c r="H128" s="52">
        <v>205</v>
      </c>
      <c r="I128" s="139"/>
      <c r="J128" s="231"/>
      <c r="K128" s="231"/>
      <c r="L128" s="231"/>
      <c r="M128" s="231"/>
      <c r="N128" s="231"/>
      <c r="O128" s="231"/>
      <c r="P128" s="231"/>
      <c r="Q128" s="231"/>
      <c r="R128" s="231"/>
      <c r="S128" s="231"/>
      <c r="T128" s="231"/>
      <c r="U128" s="231"/>
      <c r="V128" s="231"/>
      <c r="W128" s="231"/>
      <c r="X128" s="231"/>
      <c r="Y128" s="231"/>
      <c r="Z128" s="231"/>
      <c r="AA128" s="231"/>
      <c r="AB128" s="231"/>
      <c r="AC128" s="231"/>
      <c r="AD128" s="231"/>
      <c r="AE128" s="231"/>
      <c r="AF128" s="231"/>
      <c r="AG128" s="231"/>
      <c r="AH128" s="231"/>
    </row>
    <row r="129" spans="1:34" s="203" customFormat="1">
      <c r="A129" s="120">
        <v>27</v>
      </c>
      <c r="B129" s="47" t="s">
        <v>124</v>
      </c>
      <c r="C129" s="47"/>
      <c r="D129" s="47"/>
      <c r="E129" s="49">
        <v>718</v>
      </c>
      <c r="F129" s="52">
        <v>1038</v>
      </c>
      <c r="G129" s="118"/>
      <c r="H129" s="52">
        <v>854</v>
      </c>
      <c r="I129" s="139"/>
      <c r="J129" s="231"/>
      <c r="K129" s="231"/>
      <c r="L129" s="231"/>
      <c r="M129" s="231"/>
      <c r="N129" s="231"/>
      <c r="O129" s="231"/>
      <c r="P129" s="231"/>
      <c r="Q129" s="231"/>
      <c r="R129" s="231"/>
      <c r="S129" s="231"/>
      <c r="T129" s="231"/>
      <c r="U129" s="231"/>
      <c r="V129" s="231"/>
      <c r="W129" s="231"/>
      <c r="X129" s="231"/>
      <c r="Y129" s="231"/>
      <c r="Z129" s="231"/>
      <c r="AA129" s="231"/>
      <c r="AB129" s="231"/>
      <c r="AC129" s="231"/>
      <c r="AD129" s="231"/>
      <c r="AE129" s="231"/>
      <c r="AF129" s="231"/>
      <c r="AG129" s="231"/>
      <c r="AH129" s="231"/>
    </row>
    <row r="130" spans="1:34" s="203" customFormat="1">
      <c r="A130" s="120">
        <v>28</v>
      </c>
      <c r="B130" s="47" t="s">
        <v>119</v>
      </c>
      <c r="C130" s="47"/>
      <c r="D130" s="47"/>
      <c r="E130" s="49">
        <v>917</v>
      </c>
      <c r="F130" s="52">
        <v>1321</v>
      </c>
      <c r="G130" s="118"/>
      <c r="H130" s="52">
        <v>915</v>
      </c>
      <c r="I130" s="139"/>
      <c r="J130" s="231"/>
      <c r="K130" s="231"/>
      <c r="L130" s="231"/>
      <c r="M130" s="231"/>
      <c r="N130" s="231"/>
      <c r="O130" s="231"/>
      <c r="P130" s="231"/>
      <c r="Q130" s="231"/>
      <c r="R130" s="231"/>
      <c r="S130" s="231"/>
      <c r="T130" s="231"/>
      <c r="U130" s="231"/>
      <c r="V130" s="231"/>
      <c r="W130" s="231"/>
      <c r="X130" s="231"/>
      <c r="Y130" s="231"/>
      <c r="Z130" s="231"/>
      <c r="AA130" s="231"/>
      <c r="AB130" s="231"/>
      <c r="AC130" s="231"/>
      <c r="AD130" s="231"/>
      <c r="AE130" s="231"/>
      <c r="AF130" s="231"/>
      <c r="AG130" s="231"/>
      <c r="AH130" s="231"/>
    </row>
    <row r="131" spans="1:34" s="203" customFormat="1">
      <c r="A131" s="120">
        <v>29</v>
      </c>
      <c r="B131" s="47" t="s">
        <v>120</v>
      </c>
      <c r="C131" s="47"/>
      <c r="D131" s="47"/>
      <c r="E131" s="49">
        <v>763</v>
      </c>
      <c r="F131" s="52">
        <v>950</v>
      </c>
      <c r="G131" s="118"/>
      <c r="H131" s="52">
        <v>761</v>
      </c>
      <c r="I131" s="139"/>
      <c r="J131" s="231"/>
      <c r="K131" s="231"/>
      <c r="L131" s="231"/>
      <c r="M131" s="231"/>
      <c r="N131" s="231"/>
      <c r="O131" s="231"/>
      <c r="P131" s="231"/>
      <c r="Q131" s="231"/>
      <c r="R131" s="231"/>
      <c r="S131" s="231"/>
      <c r="T131" s="231"/>
      <c r="U131" s="231"/>
      <c r="V131" s="231"/>
      <c r="W131" s="231"/>
      <c r="X131" s="231"/>
      <c r="Y131" s="231"/>
      <c r="Z131" s="231"/>
      <c r="AA131" s="231"/>
      <c r="AB131" s="231"/>
      <c r="AC131" s="231"/>
      <c r="AD131" s="231"/>
      <c r="AE131" s="231"/>
      <c r="AF131" s="231"/>
      <c r="AG131" s="231"/>
      <c r="AH131" s="231"/>
    </row>
    <row r="132" spans="1:34" s="203" customFormat="1">
      <c r="A132" s="120">
        <v>30</v>
      </c>
      <c r="B132" s="47" t="s">
        <v>125</v>
      </c>
      <c r="C132" s="47"/>
      <c r="D132" s="47"/>
      <c r="E132" s="49">
        <v>164</v>
      </c>
      <c r="F132" s="52">
        <v>72</v>
      </c>
      <c r="G132" s="118"/>
      <c r="H132" s="52">
        <v>172</v>
      </c>
      <c r="I132" s="139"/>
      <c r="J132" s="231"/>
      <c r="K132" s="231"/>
      <c r="L132" s="231"/>
      <c r="M132" s="231"/>
      <c r="N132" s="231"/>
      <c r="O132" s="231"/>
      <c r="P132" s="231"/>
      <c r="Q132" s="231"/>
      <c r="R132" s="231"/>
      <c r="S132" s="231"/>
      <c r="T132" s="231"/>
      <c r="U132" s="231"/>
      <c r="V132" s="231"/>
      <c r="W132" s="231"/>
      <c r="X132" s="231"/>
      <c r="Y132" s="231"/>
      <c r="Z132" s="231"/>
      <c r="AA132" s="231"/>
      <c r="AB132" s="231"/>
      <c r="AC132" s="231"/>
      <c r="AD132" s="231"/>
      <c r="AE132" s="231"/>
      <c r="AF132" s="231"/>
      <c r="AG132" s="231"/>
      <c r="AH132" s="231"/>
    </row>
    <row r="133" spans="1:34" s="203" customFormat="1">
      <c r="A133" s="120">
        <v>31</v>
      </c>
      <c r="B133" s="90" t="s">
        <v>126</v>
      </c>
      <c r="C133" s="47"/>
      <c r="D133" s="47"/>
      <c r="E133" s="49">
        <v>521</v>
      </c>
      <c r="F133" s="52">
        <v>742</v>
      </c>
      <c r="G133" s="118"/>
      <c r="H133" s="52">
        <v>520</v>
      </c>
      <c r="I133" s="139"/>
      <c r="J133" s="231"/>
      <c r="K133" s="231"/>
      <c r="L133" s="231"/>
      <c r="M133" s="231"/>
      <c r="N133" s="231"/>
      <c r="O133" s="231"/>
      <c r="P133" s="231"/>
      <c r="Q133" s="231"/>
      <c r="R133" s="231"/>
      <c r="S133" s="231"/>
      <c r="T133" s="231"/>
      <c r="U133" s="231"/>
      <c r="V133" s="231"/>
      <c r="W133" s="231"/>
      <c r="X133" s="231"/>
      <c r="Y133" s="231"/>
      <c r="Z133" s="231"/>
      <c r="AA133" s="231"/>
      <c r="AB133" s="231"/>
      <c r="AC133" s="231"/>
      <c r="AD133" s="231"/>
      <c r="AE133" s="231"/>
      <c r="AF133" s="231"/>
      <c r="AG133" s="231"/>
      <c r="AH133" s="231"/>
    </row>
    <row r="134" spans="1:34" s="203" customFormat="1">
      <c r="A134" s="120">
        <v>32</v>
      </c>
      <c r="B134" s="47" t="s">
        <v>121</v>
      </c>
      <c r="C134" s="47"/>
      <c r="D134" s="47"/>
      <c r="E134" s="49">
        <v>166</v>
      </c>
      <c r="F134" s="52">
        <v>163</v>
      </c>
      <c r="G134" s="118"/>
      <c r="H134" s="52">
        <v>173</v>
      </c>
      <c r="I134" s="139"/>
      <c r="J134" s="231"/>
      <c r="K134" s="231"/>
      <c r="L134" s="231"/>
      <c r="M134" s="231"/>
      <c r="N134" s="231"/>
      <c r="O134" s="231"/>
      <c r="P134" s="231"/>
      <c r="Q134" s="231"/>
      <c r="R134" s="231"/>
      <c r="S134" s="231"/>
      <c r="T134" s="231"/>
      <c r="U134" s="231"/>
      <c r="V134" s="231"/>
      <c r="W134" s="231"/>
      <c r="X134" s="231"/>
      <c r="Y134" s="231"/>
      <c r="Z134" s="231"/>
      <c r="AA134" s="231"/>
      <c r="AB134" s="231"/>
      <c r="AC134" s="231"/>
      <c r="AD134" s="231"/>
      <c r="AE134" s="231"/>
      <c r="AF134" s="231"/>
      <c r="AG134" s="231"/>
      <c r="AH134" s="231"/>
    </row>
    <row r="135" spans="1:34" s="203" customFormat="1">
      <c r="A135" s="120">
        <v>33</v>
      </c>
      <c r="B135" s="116" t="s">
        <v>128</v>
      </c>
      <c r="C135" s="116"/>
      <c r="D135" s="116"/>
      <c r="E135" s="80">
        <v>3455</v>
      </c>
      <c r="F135" s="142">
        <f>SUM(F128:F134)</f>
        <v>4450</v>
      </c>
      <c r="G135" s="118"/>
      <c r="H135" s="142">
        <f>SUM(H128:H134)</f>
        <v>3600</v>
      </c>
      <c r="I135" s="139"/>
      <c r="J135" s="231"/>
      <c r="K135" s="231"/>
      <c r="L135" s="231"/>
      <c r="M135" s="231"/>
      <c r="N135" s="231"/>
      <c r="O135" s="231"/>
      <c r="P135" s="231"/>
      <c r="Q135" s="231"/>
      <c r="R135" s="231"/>
      <c r="S135" s="231"/>
      <c r="T135" s="231"/>
      <c r="U135" s="231"/>
      <c r="V135" s="231"/>
      <c r="W135" s="231"/>
      <c r="X135" s="231"/>
      <c r="Y135" s="231"/>
      <c r="Z135" s="231"/>
      <c r="AA135" s="231"/>
      <c r="AB135" s="231"/>
      <c r="AC135" s="231"/>
      <c r="AD135" s="231"/>
      <c r="AE135" s="231"/>
      <c r="AF135" s="231"/>
      <c r="AG135" s="231"/>
      <c r="AH135" s="231"/>
    </row>
    <row r="136" spans="1:34" s="203" customFormat="1">
      <c r="A136" s="111"/>
      <c r="B136" s="47"/>
      <c r="C136" s="47"/>
      <c r="D136" s="138"/>
      <c r="E136" s="117"/>
      <c r="F136" s="118"/>
      <c r="G136" s="118"/>
      <c r="H136" s="118"/>
      <c r="I136" s="139"/>
      <c r="J136" s="231"/>
      <c r="K136" s="231"/>
      <c r="L136" s="231"/>
      <c r="M136" s="231"/>
      <c r="N136" s="231"/>
      <c r="O136" s="231"/>
      <c r="P136" s="231"/>
      <c r="Q136" s="231"/>
      <c r="R136" s="231"/>
      <c r="S136" s="231"/>
      <c r="T136" s="231"/>
      <c r="U136" s="231"/>
      <c r="V136" s="231"/>
      <c r="W136" s="231"/>
      <c r="X136" s="231"/>
      <c r="Y136" s="231"/>
      <c r="Z136" s="231"/>
      <c r="AA136" s="231"/>
      <c r="AB136" s="231"/>
      <c r="AC136" s="231"/>
      <c r="AD136" s="231"/>
      <c r="AE136" s="231"/>
      <c r="AF136" s="231"/>
      <c r="AG136" s="231"/>
      <c r="AH136" s="231"/>
    </row>
    <row r="137" spans="1:34" s="203" customFormat="1">
      <c r="A137" s="119" t="s">
        <v>109</v>
      </c>
      <c r="B137" s="116"/>
      <c r="C137" s="116"/>
      <c r="D137" s="116"/>
      <c r="E137" s="140"/>
      <c r="F137" s="146"/>
      <c r="G137" s="118"/>
      <c r="H137" s="146"/>
      <c r="I137" s="139"/>
      <c r="J137" s="231"/>
      <c r="K137" s="231"/>
      <c r="L137" s="231"/>
      <c r="M137" s="231"/>
      <c r="N137" s="231"/>
      <c r="O137" s="231"/>
      <c r="P137" s="231"/>
      <c r="Q137" s="231"/>
      <c r="R137" s="231"/>
      <c r="S137" s="231"/>
      <c r="T137" s="231"/>
      <c r="U137" s="231"/>
      <c r="V137" s="231"/>
      <c r="W137" s="231"/>
      <c r="X137" s="231"/>
      <c r="Y137" s="231"/>
      <c r="Z137" s="231"/>
      <c r="AA137" s="231"/>
      <c r="AB137" s="231"/>
      <c r="AC137" s="231"/>
      <c r="AD137" s="231"/>
      <c r="AE137" s="231"/>
      <c r="AF137" s="231"/>
      <c r="AG137" s="231"/>
      <c r="AH137" s="231"/>
    </row>
    <row r="138" spans="1:34" s="203" customFormat="1">
      <c r="A138" s="120">
        <v>34</v>
      </c>
      <c r="B138" s="47" t="s">
        <v>123</v>
      </c>
      <c r="C138" s="47"/>
      <c r="D138" s="47"/>
      <c r="E138" s="49">
        <v>621</v>
      </c>
      <c r="F138" s="52">
        <v>477</v>
      </c>
      <c r="G138" s="118"/>
      <c r="H138" s="52">
        <v>568</v>
      </c>
      <c r="I138" s="139"/>
      <c r="J138" s="231"/>
      <c r="K138" s="231"/>
      <c r="L138" s="231"/>
      <c r="M138" s="231"/>
      <c r="N138" s="231"/>
      <c r="O138" s="231"/>
      <c r="P138" s="231"/>
      <c r="Q138" s="231"/>
      <c r="R138" s="231"/>
      <c r="S138" s="231"/>
      <c r="T138" s="231"/>
      <c r="U138" s="231"/>
      <c r="V138" s="231"/>
      <c r="W138" s="231"/>
      <c r="X138" s="231"/>
      <c r="Y138" s="231"/>
      <c r="Z138" s="231"/>
      <c r="AA138" s="231"/>
      <c r="AB138" s="231"/>
      <c r="AC138" s="231"/>
      <c r="AD138" s="231"/>
      <c r="AE138" s="231"/>
      <c r="AF138" s="231"/>
      <c r="AG138" s="231"/>
      <c r="AH138" s="231"/>
    </row>
    <row r="139" spans="1:34" s="203" customFormat="1">
      <c r="A139" s="120">
        <v>35</v>
      </c>
      <c r="B139" s="47" t="s">
        <v>119</v>
      </c>
      <c r="C139" s="47"/>
      <c r="D139" s="47"/>
      <c r="E139" s="49">
        <v>562</v>
      </c>
      <c r="F139" s="52">
        <v>1282</v>
      </c>
      <c r="G139" s="118"/>
      <c r="H139" s="52">
        <v>1820</v>
      </c>
      <c r="I139" s="139"/>
      <c r="J139" s="231"/>
      <c r="K139" s="231"/>
      <c r="L139" s="231"/>
      <c r="M139" s="231"/>
      <c r="N139" s="231"/>
      <c r="O139" s="231"/>
      <c r="P139" s="231"/>
      <c r="Q139" s="231"/>
      <c r="R139" s="231"/>
      <c r="S139" s="231"/>
      <c r="T139" s="231"/>
      <c r="U139" s="231"/>
      <c r="V139" s="231"/>
      <c r="W139" s="231"/>
      <c r="X139" s="231"/>
      <c r="Y139" s="231"/>
      <c r="Z139" s="231"/>
      <c r="AA139" s="231"/>
      <c r="AB139" s="231"/>
      <c r="AC139" s="231"/>
      <c r="AD139" s="231"/>
      <c r="AE139" s="231"/>
      <c r="AF139" s="231"/>
      <c r="AG139" s="231"/>
      <c r="AH139" s="231"/>
    </row>
    <row r="140" spans="1:34" s="203" customFormat="1">
      <c r="A140" s="120">
        <v>36</v>
      </c>
      <c r="B140" s="47" t="s">
        <v>120</v>
      </c>
      <c r="C140" s="47"/>
      <c r="D140" s="47"/>
      <c r="E140" s="49">
        <v>4536</v>
      </c>
      <c r="F140" s="52">
        <v>4670</v>
      </c>
      <c r="G140" s="118"/>
      <c r="H140" s="52">
        <v>3809</v>
      </c>
      <c r="I140" s="139"/>
      <c r="J140" s="231"/>
      <c r="K140" s="231"/>
      <c r="L140" s="231"/>
      <c r="M140" s="231"/>
      <c r="N140" s="231"/>
      <c r="O140" s="231"/>
      <c r="P140" s="231"/>
      <c r="Q140" s="231"/>
      <c r="R140" s="231"/>
      <c r="S140" s="231"/>
      <c r="T140" s="231"/>
      <c r="U140" s="231"/>
      <c r="V140" s="231"/>
      <c r="W140" s="231"/>
      <c r="X140" s="231"/>
      <c r="Y140" s="231"/>
      <c r="Z140" s="231"/>
      <c r="AA140" s="231"/>
      <c r="AB140" s="231"/>
      <c r="AC140" s="231"/>
      <c r="AD140" s="231"/>
      <c r="AE140" s="231"/>
      <c r="AF140" s="231"/>
      <c r="AG140" s="231"/>
      <c r="AH140" s="231"/>
    </row>
    <row r="141" spans="1:34" s="203" customFormat="1">
      <c r="A141" s="120">
        <v>37</v>
      </c>
      <c r="B141" s="90" t="s">
        <v>126</v>
      </c>
      <c r="C141" s="47"/>
      <c r="D141" s="47"/>
      <c r="E141" s="49">
        <v>625</v>
      </c>
      <c r="F141" s="52">
        <v>704</v>
      </c>
      <c r="G141" s="118"/>
      <c r="H141" s="52">
        <v>624</v>
      </c>
      <c r="I141" s="139"/>
      <c r="J141" s="231"/>
      <c r="K141" s="231"/>
      <c r="L141" s="231"/>
      <c r="M141" s="231"/>
      <c r="N141" s="231"/>
      <c r="O141" s="231"/>
      <c r="P141" s="231"/>
      <c r="Q141" s="231"/>
      <c r="R141" s="231"/>
      <c r="S141" s="231"/>
      <c r="T141" s="231"/>
      <c r="U141" s="231"/>
      <c r="V141" s="231"/>
      <c r="W141" s="231"/>
      <c r="X141" s="231"/>
      <c r="Y141" s="231"/>
      <c r="Z141" s="231"/>
      <c r="AA141" s="231"/>
      <c r="AB141" s="231"/>
      <c r="AC141" s="231"/>
      <c r="AD141" s="231"/>
      <c r="AE141" s="231"/>
      <c r="AF141" s="231"/>
      <c r="AG141" s="231"/>
      <c r="AH141" s="231"/>
    </row>
    <row r="142" spans="1:34" s="203" customFormat="1">
      <c r="A142" s="120">
        <v>38</v>
      </c>
      <c r="B142" s="47" t="s">
        <v>121</v>
      </c>
      <c r="C142" s="47"/>
      <c r="D142" s="47"/>
      <c r="E142" s="49">
        <v>2575</v>
      </c>
      <c r="F142" s="52">
        <v>2681</v>
      </c>
      <c r="G142" s="118"/>
      <c r="H142" s="52">
        <v>3316</v>
      </c>
      <c r="I142" s="139"/>
      <c r="J142" s="231"/>
      <c r="K142" s="231"/>
      <c r="L142" s="231"/>
      <c r="M142" s="231"/>
      <c r="N142" s="231"/>
      <c r="O142" s="231"/>
      <c r="P142" s="231"/>
      <c r="Q142" s="231"/>
      <c r="R142" s="231"/>
      <c r="S142" s="231"/>
      <c r="T142" s="231"/>
      <c r="U142" s="231"/>
      <c r="V142" s="231"/>
      <c r="W142" s="231"/>
      <c r="X142" s="231"/>
      <c r="Y142" s="231"/>
      <c r="Z142" s="231"/>
      <c r="AA142" s="231"/>
      <c r="AB142" s="231"/>
      <c r="AC142" s="231"/>
      <c r="AD142" s="231"/>
      <c r="AE142" s="231"/>
      <c r="AF142" s="231"/>
      <c r="AG142" s="231"/>
      <c r="AH142" s="231"/>
    </row>
    <row r="143" spans="1:34" s="203" customFormat="1">
      <c r="A143" s="120">
        <v>39</v>
      </c>
      <c r="B143" s="116" t="s">
        <v>129</v>
      </c>
      <c r="C143" s="116"/>
      <c r="D143" s="116"/>
      <c r="E143" s="80">
        <v>8919</v>
      </c>
      <c r="F143" s="142">
        <f>SUM(F138:F142)</f>
        <v>9814</v>
      </c>
      <c r="G143" s="118"/>
      <c r="H143" s="142">
        <f>SUM(H138:H142)</f>
        <v>10137</v>
      </c>
      <c r="I143" s="139"/>
      <c r="J143" s="231"/>
      <c r="K143" s="231"/>
      <c r="L143" s="231"/>
      <c r="M143" s="231"/>
      <c r="N143" s="231"/>
      <c r="O143" s="231"/>
      <c r="P143" s="231"/>
      <c r="Q143" s="231"/>
      <c r="R143" s="231"/>
      <c r="S143" s="231"/>
      <c r="T143" s="231"/>
      <c r="U143" s="231"/>
      <c r="V143" s="231"/>
      <c r="W143" s="231"/>
      <c r="X143" s="231"/>
      <c r="Y143" s="231"/>
      <c r="Z143" s="231"/>
      <c r="AA143" s="231"/>
      <c r="AB143" s="231"/>
      <c r="AC143" s="231"/>
      <c r="AD143" s="231"/>
      <c r="AE143" s="231"/>
      <c r="AF143" s="231"/>
      <c r="AG143" s="231"/>
      <c r="AH143" s="231"/>
    </row>
    <row r="144" spans="1:34" s="203" customFormat="1">
      <c r="A144" s="111"/>
      <c r="B144" s="47"/>
      <c r="C144" s="47"/>
      <c r="D144" s="47"/>
      <c r="E144" s="117"/>
      <c r="F144" s="118"/>
      <c r="G144" s="118"/>
      <c r="H144" s="118"/>
      <c r="I144" s="139"/>
      <c r="J144" s="231"/>
      <c r="K144" s="231"/>
      <c r="L144" s="231"/>
      <c r="M144" s="231"/>
      <c r="N144" s="231"/>
      <c r="O144" s="231"/>
      <c r="P144" s="231"/>
      <c r="Q144" s="231"/>
      <c r="R144" s="231"/>
      <c r="S144" s="231"/>
      <c r="T144" s="231"/>
      <c r="U144" s="231"/>
      <c r="V144" s="231"/>
      <c r="W144" s="231"/>
      <c r="X144" s="231"/>
      <c r="Y144" s="231"/>
      <c r="Z144" s="231"/>
      <c r="AA144" s="231"/>
      <c r="AB144" s="231"/>
      <c r="AC144" s="231"/>
      <c r="AD144" s="231"/>
      <c r="AE144" s="231"/>
      <c r="AF144" s="231"/>
      <c r="AG144" s="231"/>
      <c r="AH144" s="231"/>
    </row>
    <row r="145" spans="1:34" s="203" customFormat="1">
      <c r="A145" s="119" t="s">
        <v>110</v>
      </c>
      <c r="B145" s="116"/>
      <c r="C145" s="116"/>
      <c r="D145" s="116"/>
      <c r="E145" s="140"/>
      <c r="F145" s="146"/>
      <c r="G145" s="118"/>
      <c r="H145" s="146"/>
      <c r="I145" s="139"/>
      <c r="J145" s="231"/>
      <c r="K145" s="231"/>
      <c r="L145" s="231"/>
      <c r="M145" s="231"/>
      <c r="N145" s="231"/>
      <c r="O145" s="231"/>
      <c r="P145" s="231"/>
      <c r="Q145" s="231"/>
      <c r="R145" s="231"/>
      <c r="S145" s="231"/>
      <c r="T145" s="231"/>
      <c r="U145" s="231"/>
      <c r="V145" s="231"/>
      <c r="W145" s="231"/>
      <c r="X145" s="231"/>
      <c r="Y145" s="231"/>
      <c r="Z145" s="231"/>
      <c r="AA145" s="231"/>
      <c r="AB145" s="231"/>
      <c r="AC145" s="231"/>
      <c r="AD145" s="231"/>
      <c r="AE145" s="231"/>
      <c r="AF145" s="231"/>
      <c r="AG145" s="231"/>
      <c r="AH145" s="231"/>
    </row>
    <row r="146" spans="1:34" s="203" customFormat="1">
      <c r="A146" s="120">
        <v>40</v>
      </c>
      <c r="B146" s="47" t="s">
        <v>123</v>
      </c>
      <c r="C146" s="47"/>
      <c r="D146" s="47"/>
      <c r="E146" s="49">
        <v>426</v>
      </c>
      <c r="F146" s="52">
        <v>446</v>
      </c>
      <c r="G146" s="118"/>
      <c r="H146" s="52">
        <v>460</v>
      </c>
      <c r="I146" s="139"/>
      <c r="J146" s="231"/>
      <c r="K146" s="231"/>
      <c r="L146" s="231"/>
      <c r="M146" s="231"/>
      <c r="N146" s="231"/>
      <c r="O146" s="231"/>
      <c r="P146" s="231"/>
      <c r="Q146" s="231"/>
      <c r="R146" s="231"/>
      <c r="S146" s="231"/>
      <c r="T146" s="231"/>
      <c r="U146" s="231"/>
      <c r="V146" s="231"/>
      <c r="W146" s="231"/>
      <c r="X146" s="231"/>
      <c r="Y146" s="231"/>
      <c r="Z146" s="231"/>
      <c r="AA146" s="231"/>
      <c r="AB146" s="231"/>
      <c r="AC146" s="231"/>
      <c r="AD146" s="231"/>
      <c r="AE146" s="231"/>
      <c r="AF146" s="231"/>
      <c r="AG146" s="231"/>
      <c r="AH146" s="231"/>
    </row>
    <row r="147" spans="1:34" s="203" customFormat="1">
      <c r="A147" s="120">
        <v>41</v>
      </c>
      <c r="B147" s="47" t="s">
        <v>119</v>
      </c>
      <c r="C147" s="47"/>
      <c r="D147" s="47"/>
      <c r="E147" s="49">
        <v>194</v>
      </c>
      <c r="F147" s="52">
        <v>113</v>
      </c>
      <c r="G147" s="118"/>
      <c r="H147" s="52">
        <v>194</v>
      </c>
      <c r="I147" s="139"/>
      <c r="J147" s="231"/>
      <c r="K147" s="231"/>
      <c r="L147" s="231"/>
      <c r="M147" s="231"/>
      <c r="N147" s="231"/>
      <c r="O147" s="231"/>
      <c r="P147" s="231"/>
      <c r="Q147" s="231"/>
      <c r="R147" s="231"/>
      <c r="S147" s="231"/>
      <c r="T147" s="231"/>
      <c r="U147" s="231"/>
      <c r="V147" s="231"/>
      <c r="W147" s="231"/>
      <c r="X147" s="231"/>
      <c r="Y147" s="231"/>
      <c r="Z147" s="231"/>
      <c r="AA147" s="231"/>
      <c r="AB147" s="231"/>
      <c r="AC147" s="231"/>
      <c r="AD147" s="231"/>
      <c r="AE147" s="231"/>
      <c r="AF147" s="231"/>
      <c r="AG147" s="231"/>
      <c r="AH147" s="231"/>
    </row>
    <row r="148" spans="1:34" s="203" customFormat="1">
      <c r="A148" s="120">
        <v>42</v>
      </c>
      <c r="B148" s="47" t="s">
        <v>120</v>
      </c>
      <c r="C148" s="47"/>
      <c r="D148" s="47"/>
      <c r="E148" s="49">
        <v>321</v>
      </c>
      <c r="F148" s="52">
        <v>359</v>
      </c>
      <c r="G148" s="118"/>
      <c r="H148" s="52">
        <v>349</v>
      </c>
      <c r="I148" s="139"/>
      <c r="J148" s="231"/>
      <c r="K148" s="231"/>
      <c r="L148" s="231"/>
      <c r="M148" s="231"/>
      <c r="N148" s="231"/>
      <c r="O148" s="231"/>
      <c r="P148" s="231"/>
      <c r="Q148" s="231"/>
      <c r="R148" s="231"/>
      <c r="S148" s="231"/>
      <c r="T148" s="231"/>
      <c r="U148" s="231"/>
      <c r="V148" s="231"/>
      <c r="W148" s="231"/>
      <c r="X148" s="231"/>
      <c r="Y148" s="231"/>
      <c r="Z148" s="231"/>
      <c r="AA148" s="231"/>
      <c r="AB148" s="231"/>
      <c r="AC148" s="231"/>
      <c r="AD148" s="231"/>
      <c r="AE148" s="231"/>
      <c r="AF148" s="231"/>
      <c r="AG148" s="231"/>
      <c r="AH148" s="231"/>
    </row>
    <row r="149" spans="1:34" s="203" customFormat="1">
      <c r="A149" s="120">
        <v>43</v>
      </c>
      <c r="B149" s="47" t="s">
        <v>121</v>
      </c>
      <c r="C149" s="47"/>
      <c r="D149" s="47"/>
      <c r="E149" s="49">
        <v>-206</v>
      </c>
      <c r="F149" s="52">
        <v>-48</v>
      </c>
      <c r="G149" s="118"/>
      <c r="H149" s="52">
        <v>-206</v>
      </c>
      <c r="I149" s="139"/>
      <c r="J149" s="231"/>
      <c r="K149" s="231"/>
      <c r="L149" s="231"/>
      <c r="M149" s="231"/>
      <c r="N149" s="231"/>
      <c r="O149" s="231"/>
      <c r="P149" s="231"/>
      <c r="Q149" s="231"/>
      <c r="R149" s="231"/>
      <c r="S149" s="231"/>
      <c r="T149" s="231"/>
      <c r="U149" s="231"/>
      <c r="V149" s="231"/>
      <c r="W149" s="231"/>
      <c r="X149" s="231"/>
      <c r="Y149" s="231"/>
      <c r="Z149" s="231"/>
      <c r="AA149" s="231"/>
      <c r="AB149" s="231"/>
      <c r="AC149" s="231"/>
      <c r="AD149" s="231"/>
      <c r="AE149" s="231"/>
      <c r="AF149" s="231"/>
      <c r="AG149" s="231"/>
      <c r="AH149" s="231"/>
    </row>
    <row r="150" spans="1:34" s="203" customFormat="1">
      <c r="A150" s="124">
        <v>44</v>
      </c>
      <c r="B150" s="94" t="s">
        <v>130</v>
      </c>
      <c r="C150" s="94"/>
      <c r="D150" s="94"/>
      <c r="E150" s="80">
        <v>735</v>
      </c>
      <c r="F150" s="142">
        <f>SUM(F146:F149)</f>
        <v>870</v>
      </c>
      <c r="G150" s="259"/>
      <c r="H150" s="142">
        <f>SUM(H146:H149)</f>
        <v>797</v>
      </c>
      <c r="I150" s="139"/>
      <c r="J150" s="231"/>
      <c r="K150" s="231"/>
      <c r="L150" s="231"/>
      <c r="M150" s="231"/>
      <c r="N150" s="231"/>
      <c r="O150" s="231"/>
      <c r="P150" s="231"/>
      <c r="Q150" s="231"/>
      <c r="R150" s="231"/>
      <c r="S150" s="231"/>
      <c r="T150" s="231"/>
      <c r="U150" s="231"/>
      <c r="V150" s="231"/>
      <c r="W150" s="231"/>
      <c r="X150" s="231"/>
      <c r="Y150" s="231"/>
      <c r="Z150" s="231"/>
      <c r="AA150" s="231"/>
      <c r="AB150" s="231"/>
      <c r="AC150" s="231"/>
      <c r="AD150" s="231"/>
      <c r="AE150" s="231"/>
      <c r="AF150" s="231"/>
      <c r="AG150" s="231"/>
      <c r="AH150" s="231"/>
    </row>
    <row r="151" spans="1:34" s="203" customFormat="1">
      <c r="A151" s="148"/>
      <c r="B151" s="129"/>
      <c r="C151" s="129"/>
      <c r="D151" s="149"/>
      <c r="E151" s="150"/>
      <c r="F151" s="29"/>
      <c r="G151" s="29"/>
      <c r="H151" s="207"/>
      <c r="I151" s="29"/>
      <c r="J151" s="231"/>
      <c r="K151" s="231"/>
      <c r="L151" s="231"/>
      <c r="M151" s="231"/>
      <c r="N151" s="231"/>
      <c r="O151" s="231"/>
      <c r="P151" s="231"/>
      <c r="Q151" s="231"/>
      <c r="R151" s="231"/>
      <c r="S151" s="231"/>
      <c r="T151" s="231"/>
      <c r="U151" s="231"/>
      <c r="V151" s="231"/>
      <c r="W151" s="231"/>
      <c r="X151" s="231"/>
      <c r="Y151" s="231"/>
      <c r="Z151" s="231"/>
      <c r="AA151" s="231"/>
      <c r="AB151" s="231"/>
      <c r="AC151" s="231"/>
      <c r="AD151" s="231"/>
      <c r="AE151" s="231"/>
      <c r="AF151" s="231"/>
      <c r="AG151" s="231"/>
      <c r="AH151" s="231"/>
    </row>
    <row r="152" spans="1:34" s="203" customFormat="1">
      <c r="A152" s="148"/>
      <c r="B152" s="129"/>
      <c r="C152" s="129"/>
      <c r="D152" s="151"/>
      <c r="E152" s="152"/>
      <c r="F152" s="29"/>
      <c r="G152" s="29"/>
      <c r="H152" s="131" t="s">
        <v>27</v>
      </c>
      <c r="I152" s="29"/>
      <c r="J152" s="231"/>
      <c r="K152" s="231"/>
      <c r="L152" s="231"/>
      <c r="M152" s="231"/>
      <c r="N152" s="231"/>
      <c r="O152" s="231"/>
      <c r="P152" s="231"/>
      <c r="Q152" s="231"/>
      <c r="R152" s="231"/>
      <c r="S152" s="231"/>
      <c r="T152" s="231"/>
      <c r="U152" s="231"/>
      <c r="V152" s="231"/>
      <c r="W152" s="231"/>
      <c r="X152" s="231"/>
      <c r="Y152" s="231"/>
      <c r="Z152" s="231"/>
      <c r="AA152" s="231"/>
      <c r="AB152" s="231"/>
      <c r="AC152" s="231"/>
      <c r="AD152" s="231"/>
      <c r="AE152" s="231"/>
      <c r="AF152" s="231"/>
      <c r="AG152" s="231"/>
      <c r="AH152" s="231"/>
    </row>
    <row r="153" spans="1:34" s="203" customFormat="1">
      <c r="A153" s="106" t="s">
        <v>20</v>
      </c>
      <c r="B153" s="107"/>
      <c r="C153" s="107"/>
      <c r="D153" s="107"/>
      <c r="E153" s="856" t="s">
        <v>377</v>
      </c>
      <c r="F153" s="856" t="s">
        <v>402</v>
      </c>
      <c r="G153" s="130"/>
      <c r="H153" s="856" t="s">
        <v>403</v>
      </c>
      <c r="I153" s="130"/>
      <c r="J153" s="231"/>
      <c r="K153" s="231"/>
      <c r="L153" s="231"/>
      <c r="M153" s="231"/>
      <c r="N153" s="231"/>
      <c r="O153" s="231"/>
      <c r="P153" s="231"/>
      <c r="Q153" s="231"/>
      <c r="R153" s="231"/>
      <c r="S153" s="231"/>
      <c r="T153" s="231"/>
      <c r="U153" s="231"/>
      <c r="V153" s="231"/>
      <c r="W153" s="231"/>
      <c r="X153" s="231"/>
      <c r="Y153" s="231"/>
      <c r="Z153" s="231"/>
      <c r="AA153" s="231"/>
      <c r="AB153" s="231"/>
      <c r="AC153" s="231"/>
      <c r="AD153" s="231"/>
      <c r="AE153" s="231"/>
      <c r="AF153" s="231"/>
      <c r="AG153" s="231"/>
      <c r="AH153" s="231"/>
    </row>
    <row r="154" spans="1:34" s="203" customFormat="1">
      <c r="A154" s="153"/>
      <c r="B154" s="132"/>
      <c r="C154" s="132"/>
      <c r="D154" s="132"/>
      <c r="E154" s="859"/>
      <c r="F154" s="859"/>
      <c r="G154" s="130"/>
      <c r="H154" s="859"/>
      <c r="I154" s="130"/>
      <c r="J154" s="231"/>
      <c r="K154" s="231"/>
      <c r="L154" s="231"/>
      <c r="M154" s="231"/>
      <c r="N154" s="231"/>
      <c r="O154" s="231"/>
      <c r="P154" s="231"/>
      <c r="Q154" s="231"/>
      <c r="R154" s="231"/>
      <c r="S154" s="231"/>
      <c r="T154" s="231"/>
      <c r="U154" s="231"/>
      <c r="V154" s="231"/>
      <c r="W154" s="231"/>
      <c r="X154" s="231"/>
      <c r="Y154" s="231"/>
      <c r="Z154" s="231"/>
      <c r="AA154" s="231"/>
      <c r="AB154" s="231"/>
      <c r="AC154" s="231"/>
      <c r="AD154" s="231"/>
      <c r="AE154" s="231"/>
      <c r="AF154" s="231"/>
      <c r="AG154" s="231"/>
      <c r="AH154" s="231"/>
    </row>
    <row r="155" spans="1:34" s="203" customFormat="1">
      <c r="A155" s="154" t="s">
        <v>131</v>
      </c>
      <c r="B155" s="116"/>
      <c r="C155" s="116"/>
      <c r="D155" s="116"/>
      <c r="E155" s="859"/>
      <c r="F155" s="859"/>
      <c r="G155" s="130"/>
      <c r="H155" s="859"/>
      <c r="I155" s="130"/>
      <c r="J155" s="231"/>
      <c r="K155" s="231"/>
      <c r="L155" s="231"/>
      <c r="M155" s="231"/>
      <c r="N155" s="231"/>
      <c r="O155" s="231"/>
      <c r="P155" s="231"/>
      <c r="Q155" s="231"/>
      <c r="R155" s="231"/>
      <c r="S155" s="231"/>
      <c r="T155" s="231"/>
      <c r="U155" s="231"/>
      <c r="V155" s="231"/>
      <c r="W155" s="231"/>
      <c r="X155" s="231"/>
      <c r="Y155" s="231"/>
      <c r="Z155" s="231"/>
      <c r="AA155" s="231"/>
      <c r="AB155" s="231"/>
      <c r="AC155" s="231"/>
      <c r="AD155" s="231"/>
      <c r="AE155" s="231"/>
      <c r="AF155" s="231"/>
      <c r="AG155" s="231"/>
      <c r="AH155" s="231"/>
    </row>
    <row r="156" spans="1:34" s="203" customFormat="1" ht="12.75" customHeight="1">
      <c r="A156" s="109" t="s">
        <v>83</v>
      </c>
      <c r="B156" s="47"/>
      <c r="C156" s="47"/>
      <c r="D156" s="47"/>
      <c r="E156" s="859"/>
      <c r="F156" s="859"/>
      <c r="G156" s="130"/>
      <c r="H156" s="859"/>
      <c r="I156" s="130"/>
      <c r="J156" s="231"/>
      <c r="K156" s="231"/>
      <c r="L156" s="231"/>
      <c r="M156" s="231"/>
      <c r="N156" s="231"/>
      <c r="O156" s="231"/>
      <c r="P156" s="231"/>
      <c r="Q156" s="231"/>
      <c r="R156" s="231"/>
      <c r="S156" s="231"/>
      <c r="T156" s="231"/>
      <c r="U156" s="231"/>
      <c r="V156" s="231"/>
      <c r="W156" s="231"/>
      <c r="X156" s="231"/>
      <c r="Y156" s="231"/>
      <c r="Z156" s="231"/>
      <c r="AA156" s="231"/>
      <c r="AB156" s="231"/>
      <c r="AC156" s="231"/>
      <c r="AD156" s="231"/>
      <c r="AE156" s="231"/>
      <c r="AF156" s="231"/>
      <c r="AG156" s="231"/>
      <c r="AH156" s="231"/>
    </row>
    <row r="157" spans="1:34" s="203" customFormat="1">
      <c r="A157" s="110" t="s">
        <v>84</v>
      </c>
      <c r="B157" s="132"/>
      <c r="C157" s="132"/>
      <c r="D157" s="132"/>
      <c r="E157" s="860"/>
      <c r="F157" s="860"/>
      <c r="G157" s="130"/>
      <c r="H157" s="860"/>
      <c r="I157" s="130"/>
      <c r="J157" s="231"/>
      <c r="K157" s="231"/>
      <c r="L157" s="231"/>
      <c r="M157" s="231"/>
      <c r="N157" s="231"/>
      <c r="O157" s="231"/>
      <c r="P157" s="231"/>
      <c r="Q157" s="231"/>
      <c r="R157" s="231"/>
      <c r="S157" s="231"/>
      <c r="T157" s="231"/>
      <c r="U157" s="231"/>
      <c r="V157" s="231"/>
      <c r="W157" s="231"/>
      <c r="X157" s="231"/>
      <c r="Y157" s="231"/>
      <c r="Z157" s="231"/>
      <c r="AA157" s="231"/>
      <c r="AB157" s="231"/>
      <c r="AC157" s="231"/>
      <c r="AD157" s="231"/>
      <c r="AE157" s="231"/>
      <c r="AF157" s="231"/>
      <c r="AG157" s="231"/>
      <c r="AH157" s="231"/>
    </row>
    <row r="158" spans="1:34" s="203" customFormat="1">
      <c r="A158" s="119" t="s">
        <v>132</v>
      </c>
      <c r="B158" s="47"/>
      <c r="C158" s="47"/>
      <c r="D158" s="47"/>
      <c r="E158" s="155"/>
      <c r="F158" s="146" t="s">
        <v>133</v>
      </c>
      <c r="G158" s="118"/>
      <c r="H158" s="146"/>
      <c r="I158" s="29"/>
      <c r="J158" s="231"/>
      <c r="K158" s="231"/>
      <c r="L158" s="231"/>
      <c r="M158" s="231"/>
      <c r="N158" s="231"/>
      <c r="O158" s="231"/>
      <c r="P158" s="231"/>
      <c r="Q158" s="231"/>
      <c r="R158" s="231"/>
      <c r="S158" s="231"/>
      <c r="T158" s="231"/>
      <c r="U158" s="231"/>
      <c r="V158" s="231"/>
      <c r="W158" s="231"/>
      <c r="X158" s="231"/>
      <c r="Y158" s="231"/>
      <c r="Z158" s="231"/>
      <c r="AA158" s="231"/>
      <c r="AB158" s="231"/>
      <c r="AC158" s="231"/>
      <c r="AD158" s="231"/>
      <c r="AE158" s="231"/>
      <c r="AF158" s="231"/>
      <c r="AG158" s="231"/>
      <c r="AH158" s="231"/>
    </row>
    <row r="159" spans="1:34" s="203" customFormat="1">
      <c r="A159" s="120">
        <v>1</v>
      </c>
      <c r="B159" s="47" t="s">
        <v>134</v>
      </c>
      <c r="C159" s="47"/>
      <c r="D159" s="47"/>
      <c r="E159" s="74">
        <v>0</v>
      </c>
      <c r="F159" s="52">
        <v>0</v>
      </c>
      <c r="G159" s="118"/>
      <c r="H159" s="122">
        <v>0</v>
      </c>
      <c r="I159" s="29"/>
      <c r="J159" s="231"/>
      <c r="K159" s="231"/>
      <c r="L159" s="231"/>
      <c r="M159" s="231"/>
      <c r="N159" s="231"/>
      <c r="O159" s="231"/>
      <c r="P159" s="231"/>
      <c r="Q159" s="231"/>
      <c r="R159" s="231"/>
      <c r="S159" s="231"/>
      <c r="T159" s="231"/>
      <c r="U159" s="231"/>
      <c r="V159" s="231"/>
      <c r="W159" s="231"/>
      <c r="X159" s="231"/>
      <c r="Y159" s="231"/>
      <c r="Z159" s="231"/>
      <c r="AA159" s="231"/>
      <c r="AB159" s="231"/>
      <c r="AC159" s="231"/>
      <c r="AD159" s="231"/>
      <c r="AE159" s="231"/>
      <c r="AF159" s="231"/>
      <c r="AG159" s="231"/>
      <c r="AH159" s="231"/>
    </row>
    <row r="160" spans="1:34" s="203" customFormat="1">
      <c r="A160" s="120">
        <v>2</v>
      </c>
      <c r="B160" s="47" t="s">
        <v>135</v>
      </c>
      <c r="C160" s="47"/>
      <c r="D160" s="47"/>
      <c r="E160" s="49">
        <v>908</v>
      </c>
      <c r="F160" s="52">
        <v>908</v>
      </c>
      <c r="G160" s="118"/>
      <c r="H160" s="122">
        <v>908</v>
      </c>
      <c r="I160" s="29"/>
      <c r="J160" s="231"/>
      <c r="K160" s="231"/>
      <c r="L160" s="231"/>
      <c r="M160" s="231"/>
      <c r="N160" s="231"/>
      <c r="O160" s="231"/>
      <c r="P160" s="231"/>
      <c r="Q160" s="231"/>
      <c r="R160" s="231"/>
      <c r="S160" s="231"/>
      <c r="T160" s="231"/>
      <c r="U160" s="231"/>
      <c r="V160" s="231"/>
      <c r="W160" s="231"/>
      <c r="X160" s="231"/>
      <c r="Y160" s="231"/>
      <c r="Z160" s="231"/>
      <c r="AA160" s="231"/>
      <c r="AB160" s="231"/>
      <c r="AC160" s="231"/>
      <c r="AD160" s="231"/>
      <c r="AE160" s="231"/>
      <c r="AF160" s="231"/>
      <c r="AG160" s="231"/>
      <c r="AH160" s="231"/>
    </row>
    <row r="161" spans="1:34" s="203" customFormat="1">
      <c r="A161" s="120">
        <v>3</v>
      </c>
      <c r="B161" s="47" t="s">
        <v>136</v>
      </c>
      <c r="C161" s="47"/>
      <c r="D161" s="47"/>
      <c r="E161" s="114">
        <v>1299</v>
      </c>
      <c r="F161" s="52">
        <v>1539</v>
      </c>
      <c r="G161" s="118"/>
      <c r="H161" s="122">
        <v>1289</v>
      </c>
      <c r="I161" s="29"/>
      <c r="J161" s="231"/>
      <c r="K161" s="231"/>
      <c r="L161" s="231"/>
      <c r="M161" s="231"/>
      <c r="N161" s="231"/>
      <c r="O161" s="231"/>
      <c r="P161" s="231"/>
      <c r="Q161" s="231"/>
      <c r="R161" s="231"/>
      <c r="S161" s="231"/>
      <c r="T161" s="231"/>
      <c r="U161" s="231"/>
      <c r="V161" s="231"/>
      <c r="W161" s="231"/>
      <c r="X161" s="231"/>
      <c r="Y161" s="231"/>
      <c r="Z161" s="231"/>
      <c r="AA161" s="231"/>
      <c r="AB161" s="231"/>
      <c r="AC161" s="231"/>
      <c r="AD161" s="231"/>
      <c r="AE161" s="231"/>
      <c r="AF161" s="231"/>
      <c r="AG161" s="231"/>
      <c r="AH161" s="231"/>
    </row>
    <row r="162" spans="1:34" s="203" customFormat="1">
      <c r="A162" s="120">
        <v>4</v>
      </c>
      <c r="B162" s="47" t="s">
        <v>137</v>
      </c>
      <c r="C162" s="47"/>
      <c r="D162" s="47"/>
      <c r="E162" s="114">
        <v>1011</v>
      </c>
      <c r="F162" s="52">
        <v>1155</v>
      </c>
      <c r="G162" s="118"/>
      <c r="H162" s="100">
        <v>1079</v>
      </c>
      <c r="I162" s="29"/>
      <c r="J162" s="231"/>
      <c r="K162" s="231"/>
      <c r="L162" s="231"/>
      <c r="M162" s="231"/>
      <c r="N162" s="231"/>
      <c r="O162" s="231"/>
      <c r="P162" s="231"/>
      <c r="Q162" s="231"/>
      <c r="R162" s="231"/>
      <c r="S162" s="231"/>
      <c r="T162" s="231"/>
      <c r="U162" s="231"/>
      <c r="V162" s="231"/>
      <c r="W162" s="231"/>
      <c r="X162" s="231"/>
      <c r="Y162" s="231"/>
      <c r="Z162" s="231"/>
      <c r="AA162" s="231"/>
      <c r="AB162" s="231"/>
      <c r="AC162" s="231"/>
      <c r="AD162" s="231"/>
      <c r="AE162" s="231"/>
      <c r="AF162" s="231"/>
      <c r="AG162" s="231"/>
      <c r="AH162" s="231"/>
    </row>
    <row r="163" spans="1:34" s="203" customFormat="1">
      <c r="A163" s="120">
        <v>5</v>
      </c>
      <c r="B163" s="116" t="s">
        <v>138</v>
      </c>
      <c r="C163" s="116"/>
      <c r="D163" s="116"/>
      <c r="E163" s="80">
        <v>3218</v>
      </c>
      <c r="F163" s="142">
        <f>SUM(F159:F162)</f>
        <v>3602</v>
      </c>
      <c r="G163" s="118"/>
      <c r="H163" s="142">
        <f>SUM(H159:H162)</f>
        <v>3276</v>
      </c>
      <c r="I163" s="29"/>
      <c r="J163" s="231"/>
      <c r="K163" s="231"/>
      <c r="L163" s="231"/>
      <c r="M163" s="231"/>
      <c r="N163" s="231"/>
      <c r="O163" s="231"/>
      <c r="P163" s="231"/>
      <c r="Q163" s="231"/>
      <c r="R163" s="231"/>
      <c r="S163" s="231"/>
      <c r="T163" s="231"/>
      <c r="U163" s="231"/>
      <c r="V163" s="231"/>
      <c r="W163" s="231"/>
      <c r="X163" s="231"/>
      <c r="Y163" s="231"/>
      <c r="Z163" s="231"/>
      <c r="AA163" s="231"/>
      <c r="AB163" s="231"/>
      <c r="AC163" s="231"/>
      <c r="AD163" s="231"/>
      <c r="AE163" s="231"/>
      <c r="AF163" s="231"/>
      <c r="AG163" s="231"/>
      <c r="AH163" s="231"/>
    </row>
    <row r="164" spans="1:34" s="203" customFormat="1">
      <c r="A164" s="46"/>
      <c r="B164" s="132"/>
      <c r="C164" s="132"/>
      <c r="D164" s="132"/>
      <c r="E164" s="156"/>
      <c r="F164" s="139"/>
      <c r="G164" s="139"/>
      <c r="H164" s="139"/>
      <c r="I164" s="29"/>
      <c r="J164" s="231"/>
      <c r="K164" s="231"/>
      <c r="L164" s="231"/>
      <c r="M164" s="231"/>
      <c r="N164" s="231"/>
      <c r="O164" s="231"/>
      <c r="P164" s="231"/>
      <c r="Q164" s="231"/>
      <c r="R164" s="231"/>
      <c r="S164" s="231"/>
      <c r="T164" s="231"/>
      <c r="U164" s="231"/>
      <c r="V164" s="231"/>
      <c r="W164" s="231"/>
      <c r="X164" s="231"/>
      <c r="Y164" s="231"/>
      <c r="Z164" s="231"/>
      <c r="AA164" s="231"/>
      <c r="AB164" s="231"/>
      <c r="AC164" s="231"/>
      <c r="AD164" s="231"/>
      <c r="AE164" s="231"/>
      <c r="AF164" s="231"/>
      <c r="AG164" s="231"/>
      <c r="AH164" s="231"/>
    </row>
    <row r="165" spans="1:34" s="203" customFormat="1">
      <c r="A165" s="119" t="s">
        <v>139</v>
      </c>
      <c r="B165" s="47"/>
      <c r="C165" s="47"/>
      <c r="D165" s="47"/>
      <c r="E165" s="140"/>
      <c r="F165" s="146"/>
      <c r="G165" s="118"/>
      <c r="H165" s="146"/>
      <c r="I165" s="29"/>
      <c r="J165" s="231"/>
      <c r="K165" s="231"/>
      <c r="L165" s="231"/>
      <c r="M165" s="231"/>
      <c r="N165" s="231"/>
      <c r="O165" s="231"/>
      <c r="P165" s="231"/>
      <c r="Q165" s="231"/>
      <c r="R165" s="231"/>
      <c r="S165" s="231"/>
      <c r="T165" s="231"/>
      <c r="U165" s="231"/>
      <c r="V165" s="231"/>
      <c r="W165" s="231"/>
      <c r="X165" s="231"/>
      <c r="Y165" s="231"/>
      <c r="Z165" s="231"/>
      <c r="AA165" s="231"/>
      <c r="AB165" s="231"/>
      <c r="AC165" s="231"/>
      <c r="AD165" s="231"/>
      <c r="AE165" s="231"/>
      <c r="AF165" s="231"/>
      <c r="AG165" s="231"/>
      <c r="AH165" s="231"/>
    </row>
    <row r="166" spans="1:34" s="203" customFormat="1">
      <c r="A166" s="120">
        <v>6</v>
      </c>
      <c r="B166" s="47" t="s">
        <v>140</v>
      </c>
      <c r="C166" s="47"/>
      <c r="D166" s="47"/>
      <c r="E166" s="74">
        <v>305</v>
      </c>
      <c r="F166" s="52">
        <v>306</v>
      </c>
      <c r="G166" s="118"/>
      <c r="H166" s="122">
        <v>320</v>
      </c>
      <c r="I166" s="29"/>
      <c r="J166" s="231"/>
      <c r="K166" s="231"/>
      <c r="L166" s="231"/>
      <c r="M166" s="231"/>
      <c r="N166" s="231"/>
      <c r="O166" s="231"/>
      <c r="P166" s="231"/>
      <c r="Q166" s="231"/>
      <c r="R166" s="231"/>
      <c r="S166" s="231"/>
      <c r="T166" s="231"/>
      <c r="U166" s="231"/>
      <c r="V166" s="231"/>
      <c r="W166" s="231"/>
      <c r="X166" s="231"/>
      <c r="Y166" s="231"/>
      <c r="Z166" s="231"/>
      <c r="AA166" s="231"/>
      <c r="AB166" s="231"/>
      <c r="AC166" s="231"/>
      <c r="AD166" s="231"/>
      <c r="AE166" s="231"/>
      <c r="AF166" s="231"/>
      <c r="AG166" s="231"/>
      <c r="AH166" s="231"/>
    </row>
    <row r="167" spans="1:34" s="203" customFormat="1">
      <c r="A167" s="120">
        <v>7</v>
      </c>
      <c r="B167" s="47" t="s">
        <v>141</v>
      </c>
      <c r="C167" s="47"/>
      <c r="D167" s="47"/>
      <c r="E167" s="49">
        <v>0</v>
      </c>
      <c r="F167" s="52">
        <v>0</v>
      </c>
      <c r="G167" s="118"/>
      <c r="H167" s="122">
        <v>0</v>
      </c>
      <c r="I167" s="29"/>
      <c r="J167" s="231"/>
      <c r="K167" s="231"/>
      <c r="L167" s="231"/>
      <c r="M167" s="231"/>
      <c r="N167" s="231"/>
      <c r="O167" s="231"/>
      <c r="P167" s="231"/>
      <c r="Q167" s="231"/>
      <c r="R167" s="231"/>
      <c r="S167" s="231"/>
      <c r="T167" s="231"/>
      <c r="U167" s="231"/>
      <c r="V167" s="231"/>
      <c r="W167" s="231"/>
      <c r="X167" s="231"/>
      <c r="Y167" s="231"/>
      <c r="Z167" s="231"/>
      <c r="AA167" s="231"/>
      <c r="AB167" s="231"/>
      <c r="AC167" s="231"/>
      <c r="AD167" s="231"/>
      <c r="AE167" s="231"/>
      <c r="AF167" s="231"/>
      <c r="AG167" s="231"/>
      <c r="AH167" s="231"/>
    </row>
    <row r="168" spans="1:34" s="203" customFormat="1">
      <c r="A168" s="120">
        <v>8</v>
      </c>
      <c r="B168" s="47" t="s">
        <v>121</v>
      </c>
      <c r="C168" s="47"/>
      <c r="D168" s="47"/>
      <c r="E168" s="49">
        <v>971</v>
      </c>
      <c r="F168" s="52">
        <v>933</v>
      </c>
      <c r="G168" s="118"/>
      <c r="H168" s="100">
        <v>956</v>
      </c>
      <c r="I168" s="29"/>
      <c r="J168" s="231"/>
      <c r="K168" s="231"/>
      <c r="L168" s="231"/>
      <c r="M168" s="231"/>
      <c r="N168" s="231"/>
      <c r="O168" s="231"/>
      <c r="P168" s="231"/>
      <c r="Q168" s="231"/>
      <c r="R168" s="231"/>
      <c r="S168" s="231"/>
      <c r="T168" s="231"/>
      <c r="U168" s="231"/>
      <c r="V168" s="231"/>
      <c r="W168" s="231"/>
      <c r="X168" s="231"/>
      <c r="Y168" s="231"/>
      <c r="Z168" s="231"/>
      <c r="AA168" s="231"/>
      <c r="AB168" s="231"/>
      <c r="AC168" s="231"/>
      <c r="AD168" s="231"/>
      <c r="AE168" s="231"/>
      <c r="AF168" s="231"/>
      <c r="AG168" s="231"/>
      <c r="AH168" s="231"/>
    </row>
    <row r="169" spans="1:34" s="203" customFormat="1">
      <c r="A169" s="120">
        <v>9</v>
      </c>
      <c r="B169" s="116" t="s">
        <v>142</v>
      </c>
      <c r="C169" s="116"/>
      <c r="D169" s="116"/>
      <c r="E169" s="80">
        <v>1276</v>
      </c>
      <c r="F169" s="142">
        <f>SUM(F166:F168)</f>
        <v>1239</v>
      </c>
      <c r="G169" s="118"/>
      <c r="H169" s="142">
        <f>SUM(H166:H168)</f>
        <v>1276</v>
      </c>
      <c r="I169" s="29"/>
      <c r="J169" s="231"/>
      <c r="K169" s="231"/>
      <c r="L169" s="231"/>
      <c r="M169" s="231"/>
      <c r="N169" s="231"/>
      <c r="O169" s="231"/>
      <c r="P169" s="231"/>
      <c r="Q169" s="231"/>
      <c r="R169" s="231"/>
      <c r="S169" s="231"/>
      <c r="T169" s="231"/>
      <c r="U169" s="231"/>
      <c r="V169" s="231"/>
      <c r="W169" s="231"/>
      <c r="X169" s="231"/>
      <c r="Y169" s="231"/>
      <c r="Z169" s="231"/>
      <c r="AA169" s="231"/>
      <c r="AB169" s="231"/>
      <c r="AC169" s="231"/>
      <c r="AD169" s="231"/>
      <c r="AE169" s="231"/>
      <c r="AF169" s="231"/>
      <c r="AG169" s="231"/>
      <c r="AH169" s="231"/>
    </row>
    <row r="170" spans="1:34" s="203" customFormat="1">
      <c r="A170" s="46"/>
      <c r="B170" s="132"/>
      <c r="C170" s="132"/>
      <c r="D170" s="132"/>
      <c r="E170" s="156"/>
      <c r="F170" s="139"/>
      <c r="G170" s="139"/>
      <c r="H170" s="139"/>
      <c r="I170" s="29"/>
      <c r="J170" s="231"/>
      <c r="K170" s="231"/>
      <c r="L170" s="231"/>
      <c r="M170" s="231"/>
      <c r="N170" s="231"/>
      <c r="O170" s="231"/>
      <c r="P170" s="231"/>
      <c r="Q170" s="231"/>
      <c r="R170" s="231"/>
      <c r="S170" s="231"/>
      <c r="T170" s="231"/>
      <c r="U170" s="231"/>
      <c r="V170" s="231"/>
      <c r="W170" s="231"/>
      <c r="X170" s="231"/>
      <c r="Y170" s="231"/>
      <c r="Z170" s="231"/>
      <c r="AA170" s="231"/>
      <c r="AB170" s="231"/>
      <c r="AC170" s="231"/>
      <c r="AD170" s="231"/>
      <c r="AE170" s="231"/>
      <c r="AF170" s="231"/>
      <c r="AG170" s="231"/>
      <c r="AH170" s="231"/>
    </row>
    <row r="171" spans="1:34" s="203" customFormat="1">
      <c r="A171" s="120">
        <v>10</v>
      </c>
      <c r="B171" s="47" t="s">
        <v>143</v>
      </c>
      <c r="C171" s="47"/>
      <c r="D171" s="47"/>
      <c r="E171" s="41">
        <v>230</v>
      </c>
      <c r="F171" s="121">
        <v>152</v>
      </c>
      <c r="G171" s="118"/>
      <c r="H171" s="133">
        <v>228</v>
      </c>
      <c r="I171" s="29"/>
      <c r="J171" s="231"/>
      <c r="K171" s="231"/>
      <c r="L171" s="231"/>
      <c r="M171" s="231"/>
      <c r="N171" s="231"/>
      <c r="O171" s="231"/>
      <c r="P171" s="231"/>
      <c r="Q171" s="231"/>
      <c r="R171" s="231"/>
      <c r="S171" s="231"/>
      <c r="T171" s="231"/>
      <c r="U171" s="231"/>
      <c r="V171" s="231"/>
      <c r="W171" s="231"/>
      <c r="X171" s="231"/>
      <c r="Y171" s="231"/>
      <c r="Z171" s="231"/>
      <c r="AA171" s="231"/>
      <c r="AB171" s="231"/>
      <c r="AC171" s="231"/>
      <c r="AD171" s="231"/>
      <c r="AE171" s="231"/>
      <c r="AF171" s="231"/>
      <c r="AG171" s="231"/>
      <c r="AH171" s="231"/>
    </row>
    <row r="172" spans="1:34" s="203" customFormat="1">
      <c r="A172" s="120">
        <v>11</v>
      </c>
      <c r="B172" s="47" t="s">
        <v>144</v>
      </c>
      <c r="C172" s="47"/>
      <c r="D172" s="47"/>
      <c r="E172" s="56">
        <v>0</v>
      </c>
      <c r="F172" s="126">
        <v>0</v>
      </c>
      <c r="G172" s="118"/>
      <c r="H172" s="100">
        <v>0</v>
      </c>
      <c r="I172" s="29"/>
      <c r="J172" s="231"/>
      <c r="K172" s="231"/>
      <c r="L172" s="231"/>
      <c r="M172" s="231"/>
      <c r="N172" s="231"/>
      <c r="O172" s="231"/>
      <c r="P172" s="231"/>
      <c r="Q172" s="231"/>
      <c r="R172" s="231"/>
      <c r="S172" s="231"/>
      <c r="T172" s="231"/>
      <c r="U172" s="231"/>
      <c r="V172" s="231"/>
      <c r="W172" s="231"/>
      <c r="X172" s="231"/>
      <c r="Y172" s="231"/>
      <c r="Z172" s="231"/>
      <c r="AA172" s="231"/>
      <c r="AB172" s="231"/>
      <c r="AC172" s="231"/>
      <c r="AD172" s="231"/>
      <c r="AE172" s="231"/>
      <c r="AF172" s="231"/>
      <c r="AG172" s="231"/>
      <c r="AH172" s="231"/>
    </row>
    <row r="173" spans="1:34" s="203" customFormat="1">
      <c r="A173" s="46"/>
      <c r="B173" s="132"/>
      <c r="C173" s="132"/>
      <c r="D173" s="132"/>
      <c r="E173" s="156"/>
      <c r="F173" s="139"/>
      <c r="G173" s="139"/>
      <c r="H173" s="139"/>
      <c r="I173" s="29"/>
      <c r="J173" s="231"/>
      <c r="K173" s="231"/>
      <c r="L173" s="231"/>
      <c r="M173" s="231"/>
      <c r="N173" s="231"/>
      <c r="O173" s="231"/>
      <c r="P173" s="231"/>
      <c r="Q173" s="231"/>
      <c r="R173" s="231"/>
      <c r="S173" s="231"/>
      <c r="T173" s="231"/>
      <c r="U173" s="231"/>
      <c r="V173" s="231"/>
      <c r="W173" s="231"/>
      <c r="X173" s="231"/>
      <c r="Y173" s="231"/>
      <c r="Z173" s="231"/>
      <c r="AA173" s="231"/>
      <c r="AB173" s="231"/>
      <c r="AC173" s="231"/>
      <c r="AD173" s="231"/>
      <c r="AE173" s="231"/>
      <c r="AF173" s="231"/>
      <c r="AG173" s="231"/>
      <c r="AH173" s="231"/>
    </row>
    <row r="174" spans="1:34" s="203" customFormat="1">
      <c r="A174" s="119" t="s">
        <v>145</v>
      </c>
      <c r="B174" s="47"/>
      <c r="C174" s="47"/>
      <c r="D174" s="47"/>
      <c r="E174" s="157"/>
      <c r="F174" s="146"/>
      <c r="G174" s="118"/>
      <c r="H174" s="146"/>
      <c r="I174" s="29"/>
      <c r="J174" s="231"/>
      <c r="K174" s="231"/>
      <c r="L174" s="231"/>
      <c r="M174" s="231"/>
      <c r="N174" s="231"/>
      <c r="O174" s="231"/>
      <c r="P174" s="231"/>
      <c r="Q174" s="231"/>
      <c r="R174" s="231"/>
      <c r="S174" s="231"/>
      <c r="T174" s="231"/>
      <c r="U174" s="231"/>
      <c r="V174" s="231"/>
      <c r="W174" s="231"/>
      <c r="X174" s="231"/>
      <c r="Y174" s="231"/>
      <c r="Z174" s="231"/>
      <c r="AA174" s="231"/>
      <c r="AB174" s="231"/>
      <c r="AC174" s="231"/>
      <c r="AD174" s="231"/>
      <c r="AE174" s="231"/>
      <c r="AF174" s="231"/>
      <c r="AG174" s="231"/>
      <c r="AH174" s="231"/>
    </row>
    <row r="175" spans="1:34" s="203" customFormat="1">
      <c r="A175" s="120">
        <v>12</v>
      </c>
      <c r="B175" s="47" t="s">
        <v>146</v>
      </c>
      <c r="C175" s="47"/>
      <c r="D175" s="47"/>
      <c r="E175" s="74">
        <v>30</v>
      </c>
      <c r="F175" s="52">
        <v>30</v>
      </c>
      <c r="G175" s="118"/>
      <c r="H175" s="122">
        <v>-15</v>
      </c>
      <c r="I175" s="29"/>
      <c r="J175" s="231"/>
      <c r="K175" s="231"/>
      <c r="L175" s="231"/>
      <c r="M175" s="231"/>
      <c r="N175" s="231"/>
      <c r="O175" s="231"/>
      <c r="P175" s="231"/>
      <c r="Q175" s="231"/>
      <c r="R175" s="231"/>
      <c r="S175" s="231"/>
      <c r="T175" s="231"/>
      <c r="U175" s="231"/>
      <c r="V175" s="231"/>
      <c r="W175" s="231"/>
      <c r="X175" s="231"/>
      <c r="Y175" s="231"/>
      <c r="Z175" s="231"/>
      <c r="AA175" s="231"/>
      <c r="AB175" s="231"/>
      <c r="AC175" s="231"/>
      <c r="AD175" s="231"/>
      <c r="AE175" s="231"/>
      <c r="AF175" s="231"/>
      <c r="AG175" s="231"/>
      <c r="AH175" s="231"/>
    </row>
    <row r="176" spans="1:34" s="203" customFormat="1">
      <c r="A176" s="120">
        <v>13</v>
      </c>
      <c r="B176" s="47" t="s">
        <v>147</v>
      </c>
      <c r="C176" s="47"/>
      <c r="D176" s="47"/>
      <c r="E176" s="49">
        <v>480</v>
      </c>
      <c r="F176" s="52">
        <v>505</v>
      </c>
      <c r="G176" s="118"/>
      <c r="H176" s="122">
        <v>515</v>
      </c>
      <c r="I176" s="29"/>
      <c r="J176" s="231"/>
      <c r="K176" s="231"/>
      <c r="L176" s="231"/>
      <c r="M176" s="231"/>
      <c r="N176" s="231"/>
      <c r="O176" s="231"/>
      <c r="P176" s="231"/>
      <c r="Q176" s="231"/>
      <c r="R176" s="231"/>
      <c r="S176" s="231"/>
      <c r="T176" s="231"/>
      <c r="U176" s="231"/>
      <c r="V176" s="231"/>
      <c r="W176" s="231"/>
      <c r="X176" s="231"/>
      <c r="Y176" s="231"/>
      <c r="Z176" s="231"/>
      <c r="AA176" s="231"/>
      <c r="AB176" s="231"/>
      <c r="AC176" s="231"/>
      <c r="AD176" s="231"/>
      <c r="AE176" s="231"/>
      <c r="AF176" s="231"/>
      <c r="AG176" s="231"/>
      <c r="AH176" s="231"/>
    </row>
    <row r="177" spans="1:34" s="203" customFormat="1">
      <c r="A177" s="120">
        <v>14</v>
      </c>
      <c r="B177" s="47" t="s">
        <v>148</v>
      </c>
      <c r="C177" s="47"/>
      <c r="D177" s="47"/>
      <c r="E177" s="56">
        <v>220</v>
      </c>
      <c r="F177" s="52">
        <v>160</v>
      </c>
      <c r="G177" s="118"/>
      <c r="H177" s="100">
        <v>192</v>
      </c>
      <c r="I177" s="29"/>
      <c r="J177" s="231"/>
      <c r="K177" s="231"/>
      <c r="L177" s="231"/>
      <c r="M177" s="231"/>
      <c r="N177" s="231"/>
      <c r="O177" s="231"/>
      <c r="P177" s="231"/>
      <c r="Q177" s="231"/>
      <c r="R177" s="231"/>
      <c r="S177" s="231"/>
      <c r="T177" s="231"/>
      <c r="U177" s="231"/>
      <c r="V177" s="231"/>
      <c r="W177" s="231"/>
      <c r="X177" s="231"/>
      <c r="Y177" s="231"/>
      <c r="Z177" s="231"/>
      <c r="AA177" s="231"/>
      <c r="AB177" s="231"/>
      <c r="AC177" s="231"/>
      <c r="AD177" s="231"/>
      <c r="AE177" s="231"/>
      <c r="AF177" s="231"/>
      <c r="AG177" s="231"/>
      <c r="AH177" s="231"/>
    </row>
    <row r="178" spans="1:34" s="203" customFormat="1">
      <c r="A178" s="120">
        <v>15</v>
      </c>
      <c r="B178" s="116" t="s">
        <v>149</v>
      </c>
      <c r="C178" s="116"/>
      <c r="D178" s="116"/>
      <c r="E178" s="80">
        <v>730</v>
      </c>
      <c r="F178" s="142">
        <f>SUM(F175:F177)</f>
        <v>695</v>
      </c>
      <c r="G178" s="118"/>
      <c r="H178" s="142">
        <f>SUM(H175:H177)</f>
        <v>692</v>
      </c>
      <c r="I178" s="29"/>
      <c r="J178" s="231"/>
      <c r="K178" s="231"/>
      <c r="L178" s="231"/>
      <c r="M178" s="231"/>
      <c r="N178" s="231"/>
      <c r="O178" s="231"/>
      <c r="P178" s="231"/>
      <c r="Q178" s="231"/>
      <c r="R178" s="231"/>
      <c r="S178" s="231"/>
      <c r="T178" s="231"/>
      <c r="U178" s="231"/>
      <c r="V178" s="231"/>
      <c r="W178" s="231"/>
      <c r="X178" s="231"/>
      <c r="Y178" s="231"/>
      <c r="Z178" s="231"/>
      <c r="AA178" s="231"/>
      <c r="AB178" s="231"/>
      <c r="AC178" s="231"/>
      <c r="AD178" s="231"/>
      <c r="AE178" s="231"/>
      <c r="AF178" s="231"/>
      <c r="AG178" s="231"/>
      <c r="AH178" s="231"/>
    </row>
    <row r="179" spans="1:34" s="203" customFormat="1">
      <c r="A179" s="120">
        <v>16</v>
      </c>
      <c r="B179" s="116" t="s">
        <v>150</v>
      </c>
      <c r="C179" s="116"/>
      <c r="D179" s="116"/>
      <c r="E179" s="80">
        <v>730</v>
      </c>
      <c r="F179" s="158">
        <f>F172+F178</f>
        <v>695</v>
      </c>
      <c r="G179" s="118"/>
      <c r="H179" s="158">
        <f>H172+H178</f>
        <v>692</v>
      </c>
      <c r="I179" s="29"/>
      <c r="J179" s="231"/>
      <c r="K179" s="231"/>
      <c r="L179" s="231"/>
      <c r="M179" s="231"/>
      <c r="N179" s="231"/>
      <c r="O179" s="231"/>
      <c r="P179" s="231"/>
      <c r="Q179" s="231"/>
      <c r="R179" s="231"/>
      <c r="S179" s="231"/>
      <c r="T179" s="231"/>
      <c r="U179" s="231"/>
      <c r="V179" s="231"/>
      <c r="W179" s="231"/>
      <c r="X179" s="231"/>
      <c r="Y179" s="231"/>
      <c r="Z179" s="231"/>
      <c r="AA179" s="231"/>
      <c r="AB179" s="231"/>
      <c r="AC179" s="231"/>
      <c r="AD179" s="231"/>
      <c r="AE179" s="231"/>
      <c r="AF179" s="231"/>
      <c r="AG179" s="231"/>
      <c r="AH179" s="231"/>
    </row>
    <row r="180" spans="1:34" s="203" customFormat="1">
      <c r="A180" s="120">
        <v>17</v>
      </c>
      <c r="B180" s="116" t="s">
        <v>151</v>
      </c>
      <c r="C180" s="116"/>
      <c r="D180" s="116"/>
      <c r="E180" s="159">
        <v>5454</v>
      </c>
      <c r="F180" s="61">
        <f>SUM(F163+F169+F171+F179)</f>
        <v>5688</v>
      </c>
      <c r="G180" s="118"/>
      <c r="H180" s="61">
        <f>SUM(H163+H169+H171+H179)</f>
        <v>5472</v>
      </c>
      <c r="I180" s="29"/>
      <c r="J180" s="231"/>
      <c r="K180" s="231"/>
      <c r="L180" s="231"/>
      <c r="M180" s="231"/>
      <c r="N180" s="231"/>
      <c r="O180" s="231"/>
      <c r="P180" s="231"/>
      <c r="Q180" s="231"/>
      <c r="R180" s="231"/>
      <c r="S180" s="231"/>
      <c r="T180" s="231"/>
      <c r="U180" s="231"/>
      <c r="V180" s="231"/>
      <c r="W180" s="231"/>
      <c r="X180" s="231"/>
      <c r="Y180" s="231"/>
      <c r="Z180" s="231"/>
      <c r="AA180" s="231"/>
      <c r="AB180" s="231"/>
      <c r="AC180" s="231"/>
      <c r="AD180" s="231"/>
      <c r="AE180" s="231"/>
      <c r="AF180" s="231"/>
      <c r="AG180" s="231"/>
      <c r="AH180" s="231"/>
    </row>
    <row r="181" spans="1:34" s="203" customFormat="1">
      <c r="A181" s="46"/>
      <c r="B181" s="132"/>
      <c r="C181" s="132"/>
      <c r="D181" s="132"/>
      <c r="E181" s="156"/>
      <c r="F181" s="139"/>
      <c r="G181" s="139"/>
      <c r="H181" s="139"/>
      <c r="I181" s="29"/>
      <c r="J181" s="231"/>
      <c r="K181" s="231"/>
      <c r="L181" s="231"/>
      <c r="M181" s="231"/>
      <c r="N181" s="231"/>
      <c r="O181" s="231"/>
      <c r="P181" s="231"/>
      <c r="Q181" s="231"/>
      <c r="R181" s="231"/>
      <c r="S181" s="231"/>
      <c r="T181" s="231"/>
      <c r="U181" s="231"/>
      <c r="V181" s="231"/>
      <c r="W181" s="231"/>
      <c r="X181" s="231"/>
      <c r="Y181" s="231"/>
      <c r="Z181" s="231"/>
      <c r="AA181" s="231"/>
      <c r="AB181" s="231"/>
      <c r="AC181" s="231"/>
      <c r="AD181" s="231"/>
      <c r="AE181" s="231"/>
      <c r="AF181" s="231"/>
      <c r="AG181" s="231"/>
      <c r="AH181" s="231"/>
    </row>
    <row r="182" spans="1:34" s="203" customFormat="1">
      <c r="A182" s="119" t="s">
        <v>152</v>
      </c>
      <c r="B182" s="47"/>
      <c r="C182" s="47"/>
      <c r="D182" s="116"/>
      <c r="E182" s="117"/>
      <c r="F182" s="118"/>
      <c r="G182" s="118"/>
      <c r="H182" s="118"/>
      <c r="I182" s="29"/>
      <c r="J182" s="231"/>
      <c r="K182" s="231"/>
      <c r="L182" s="231"/>
      <c r="M182" s="231"/>
      <c r="N182" s="231"/>
      <c r="O182" s="231"/>
      <c r="P182" s="231"/>
      <c r="Q182" s="231"/>
      <c r="R182" s="231"/>
      <c r="S182" s="231"/>
      <c r="T182" s="231"/>
      <c r="U182" s="231"/>
      <c r="V182" s="231"/>
      <c r="W182" s="231"/>
      <c r="X182" s="231"/>
      <c r="Y182" s="231"/>
      <c r="Z182" s="231"/>
      <c r="AA182" s="231"/>
      <c r="AB182" s="231"/>
      <c r="AC182" s="231"/>
      <c r="AD182" s="231"/>
      <c r="AE182" s="231"/>
      <c r="AF182" s="231"/>
      <c r="AG182" s="231"/>
      <c r="AH182" s="231"/>
    </row>
    <row r="183" spans="1:34" s="203" customFormat="1">
      <c r="A183" s="120">
        <v>18</v>
      </c>
      <c r="B183" s="47" t="s">
        <v>153</v>
      </c>
      <c r="C183" s="47"/>
      <c r="D183" s="47"/>
      <c r="E183" s="41">
        <v>152</v>
      </c>
      <c r="F183" s="121">
        <v>142</v>
      </c>
      <c r="G183" s="118"/>
      <c r="H183" s="133">
        <v>152</v>
      </c>
      <c r="I183" s="29"/>
      <c r="J183" s="231"/>
      <c r="K183" s="231"/>
      <c r="L183" s="231"/>
      <c r="M183" s="231"/>
      <c r="N183" s="231"/>
      <c r="O183" s="231"/>
      <c r="P183" s="231"/>
      <c r="Q183" s="231"/>
      <c r="R183" s="231"/>
      <c r="S183" s="231"/>
      <c r="T183" s="231"/>
      <c r="U183" s="231"/>
      <c r="V183" s="231"/>
      <c r="W183" s="231"/>
      <c r="X183" s="231"/>
      <c r="Y183" s="231"/>
      <c r="Z183" s="231"/>
      <c r="AA183" s="231"/>
      <c r="AB183" s="231"/>
      <c r="AC183" s="231"/>
      <c r="AD183" s="231"/>
      <c r="AE183" s="231"/>
      <c r="AF183" s="231"/>
      <c r="AG183" s="231"/>
      <c r="AH183" s="231"/>
    </row>
    <row r="184" spans="1:34" s="203" customFormat="1">
      <c r="A184" s="120">
        <v>19</v>
      </c>
      <c r="B184" s="47" t="s">
        <v>154</v>
      </c>
      <c r="C184" s="47"/>
      <c r="D184" s="47"/>
      <c r="E184" s="49">
        <v>0</v>
      </c>
      <c r="F184" s="52">
        <v>0</v>
      </c>
      <c r="G184" s="118"/>
      <c r="H184" s="122">
        <v>0</v>
      </c>
      <c r="I184" s="29"/>
      <c r="J184" s="231"/>
      <c r="K184" s="231"/>
      <c r="L184" s="231"/>
      <c r="M184" s="231"/>
      <c r="N184" s="231"/>
      <c r="O184" s="231"/>
      <c r="P184" s="231"/>
      <c r="Q184" s="231"/>
      <c r="R184" s="231"/>
      <c r="S184" s="231"/>
      <c r="T184" s="231"/>
      <c r="U184" s="231"/>
      <c r="V184" s="231"/>
      <c r="W184" s="231"/>
      <c r="X184" s="231"/>
      <c r="Y184" s="231"/>
      <c r="Z184" s="231"/>
      <c r="AA184" s="231"/>
      <c r="AB184" s="231"/>
      <c r="AC184" s="231"/>
      <c r="AD184" s="231"/>
      <c r="AE184" s="231"/>
      <c r="AF184" s="231"/>
      <c r="AG184" s="231"/>
      <c r="AH184" s="231"/>
    </row>
    <row r="185" spans="1:34" s="203" customFormat="1">
      <c r="A185" s="120">
        <v>20</v>
      </c>
      <c r="B185" s="47" t="s">
        <v>155</v>
      </c>
      <c r="C185" s="47"/>
      <c r="D185" s="47"/>
      <c r="E185" s="49">
        <v>0</v>
      </c>
      <c r="F185" s="52">
        <v>0</v>
      </c>
      <c r="G185" s="118"/>
      <c r="H185" s="122">
        <v>0</v>
      </c>
      <c r="I185" s="29"/>
      <c r="J185" s="231"/>
      <c r="K185" s="231"/>
      <c r="L185" s="231"/>
      <c r="M185" s="231"/>
      <c r="N185" s="231"/>
      <c r="O185" s="231"/>
      <c r="P185" s="231"/>
      <c r="Q185" s="231"/>
      <c r="R185" s="231"/>
      <c r="S185" s="231"/>
      <c r="T185" s="231"/>
      <c r="U185" s="231"/>
      <c r="V185" s="231"/>
      <c r="W185" s="231"/>
      <c r="X185" s="231"/>
      <c r="Y185" s="231"/>
      <c r="Z185" s="231"/>
      <c r="AA185" s="231"/>
      <c r="AB185" s="231"/>
      <c r="AC185" s="231"/>
      <c r="AD185" s="231"/>
      <c r="AE185" s="231"/>
      <c r="AF185" s="231"/>
      <c r="AG185" s="231"/>
      <c r="AH185" s="231"/>
    </row>
    <row r="186" spans="1:34" s="203" customFormat="1">
      <c r="A186" s="120">
        <v>21</v>
      </c>
      <c r="B186" s="47" t="s">
        <v>156</v>
      </c>
      <c r="C186" s="47"/>
      <c r="D186" s="47"/>
      <c r="E186" s="49">
        <v>0</v>
      </c>
      <c r="F186" s="52">
        <v>0</v>
      </c>
      <c r="G186" s="118"/>
      <c r="H186" s="122">
        <v>0</v>
      </c>
      <c r="I186" s="29"/>
      <c r="J186" s="231"/>
      <c r="K186" s="231"/>
      <c r="L186" s="231"/>
      <c r="M186" s="231"/>
      <c r="N186" s="231"/>
      <c r="O186" s="231"/>
      <c r="P186" s="231"/>
      <c r="Q186" s="231"/>
      <c r="R186" s="231"/>
      <c r="S186" s="231"/>
      <c r="T186" s="231"/>
      <c r="U186" s="231"/>
      <c r="V186" s="231"/>
      <c r="W186" s="231"/>
      <c r="X186" s="231"/>
      <c r="Y186" s="231"/>
      <c r="Z186" s="231"/>
      <c r="AA186" s="231"/>
      <c r="AB186" s="231"/>
      <c r="AC186" s="231"/>
      <c r="AD186" s="231"/>
      <c r="AE186" s="231"/>
      <c r="AF186" s="231"/>
      <c r="AG186" s="231"/>
      <c r="AH186" s="231"/>
    </row>
    <row r="187" spans="1:34" s="203" customFormat="1">
      <c r="A187" s="120">
        <v>22</v>
      </c>
      <c r="B187" s="47" t="s">
        <v>157</v>
      </c>
      <c r="C187" s="47"/>
      <c r="D187" s="47"/>
      <c r="E187" s="49">
        <v>0</v>
      </c>
      <c r="F187" s="52">
        <v>0</v>
      </c>
      <c r="G187" s="118"/>
      <c r="H187" s="122">
        <v>0</v>
      </c>
      <c r="I187" s="29"/>
      <c r="J187" s="231"/>
      <c r="K187" s="231"/>
      <c r="L187" s="231"/>
      <c r="M187" s="231"/>
      <c r="N187" s="231"/>
      <c r="O187" s="231"/>
      <c r="P187" s="231"/>
      <c r="Q187" s="231"/>
      <c r="R187" s="231"/>
      <c r="S187" s="231"/>
      <c r="T187" s="231"/>
      <c r="U187" s="231"/>
      <c r="V187" s="231"/>
      <c r="W187" s="231"/>
      <c r="X187" s="231"/>
      <c r="Y187" s="231"/>
      <c r="Z187" s="231"/>
      <c r="AA187" s="231"/>
      <c r="AB187" s="231"/>
      <c r="AC187" s="231"/>
      <c r="AD187" s="231"/>
      <c r="AE187" s="231"/>
      <c r="AF187" s="231"/>
      <c r="AG187" s="231"/>
      <c r="AH187" s="231"/>
    </row>
    <row r="188" spans="1:34" s="203" customFormat="1">
      <c r="A188" s="120">
        <v>23</v>
      </c>
      <c r="B188" s="47" t="s">
        <v>158</v>
      </c>
      <c r="C188" s="47"/>
      <c r="D188" s="47"/>
      <c r="E188" s="49">
        <v>0</v>
      </c>
      <c r="F188" s="52">
        <v>0</v>
      </c>
      <c r="G188" s="118"/>
      <c r="H188" s="122">
        <v>0</v>
      </c>
      <c r="I188" s="29"/>
      <c r="J188" s="231"/>
      <c r="K188" s="231"/>
      <c r="L188" s="231"/>
      <c r="M188" s="231"/>
      <c r="N188" s="231"/>
      <c r="O188" s="231"/>
      <c r="P188" s="231"/>
      <c r="Q188" s="231"/>
      <c r="R188" s="231"/>
      <c r="S188" s="231"/>
      <c r="T188" s="231"/>
      <c r="U188" s="231"/>
      <c r="V188" s="231"/>
      <c r="W188" s="231"/>
      <c r="X188" s="231"/>
      <c r="Y188" s="231"/>
      <c r="Z188" s="231"/>
      <c r="AA188" s="231"/>
      <c r="AB188" s="231"/>
      <c r="AC188" s="231"/>
      <c r="AD188" s="231"/>
      <c r="AE188" s="231"/>
      <c r="AF188" s="231"/>
      <c r="AG188" s="231"/>
      <c r="AH188" s="231"/>
    </row>
    <row r="189" spans="1:34" s="203" customFormat="1">
      <c r="A189" s="120">
        <v>24</v>
      </c>
      <c r="B189" s="47" t="s">
        <v>159</v>
      </c>
      <c r="C189" s="47"/>
      <c r="D189" s="47"/>
      <c r="E189" s="49">
        <v>0</v>
      </c>
      <c r="F189" s="52">
        <v>0</v>
      </c>
      <c r="G189" s="118"/>
      <c r="H189" s="122">
        <v>0</v>
      </c>
      <c r="I189" s="29"/>
      <c r="J189" s="231"/>
      <c r="K189" s="231"/>
      <c r="L189" s="231"/>
      <c r="M189" s="231"/>
      <c r="N189" s="231"/>
      <c r="O189" s="231"/>
      <c r="P189" s="231"/>
      <c r="Q189" s="231"/>
      <c r="R189" s="231"/>
      <c r="S189" s="231"/>
      <c r="T189" s="231"/>
      <c r="U189" s="231"/>
      <c r="V189" s="231"/>
      <c r="W189" s="231"/>
      <c r="X189" s="231"/>
      <c r="Y189" s="231"/>
      <c r="Z189" s="231"/>
      <c r="AA189" s="231"/>
      <c r="AB189" s="231"/>
      <c r="AC189" s="231"/>
      <c r="AD189" s="231"/>
      <c r="AE189" s="231"/>
      <c r="AF189" s="231"/>
      <c r="AG189" s="231"/>
      <c r="AH189" s="231"/>
    </row>
    <row r="190" spans="1:34" s="203" customFormat="1">
      <c r="A190" s="124">
        <v>25</v>
      </c>
      <c r="B190" s="54" t="s">
        <v>160</v>
      </c>
      <c r="C190" s="54"/>
      <c r="D190" s="54"/>
      <c r="E190" s="56">
        <v>45</v>
      </c>
      <c r="F190" s="126">
        <v>45</v>
      </c>
      <c r="G190" s="118"/>
      <c r="H190" s="100">
        <v>0</v>
      </c>
      <c r="I190" s="24"/>
      <c r="J190" s="231"/>
      <c r="K190" s="231"/>
      <c r="L190" s="231"/>
      <c r="M190" s="231"/>
      <c r="N190" s="231"/>
      <c r="O190" s="231"/>
      <c r="P190" s="231"/>
      <c r="Q190" s="231"/>
      <c r="R190" s="231"/>
      <c r="S190" s="231"/>
      <c r="T190" s="231"/>
      <c r="U190" s="231"/>
      <c r="V190" s="231"/>
      <c r="W190" s="231"/>
      <c r="X190" s="231"/>
      <c r="Y190" s="231"/>
      <c r="Z190" s="231"/>
      <c r="AA190" s="231"/>
      <c r="AB190" s="231"/>
      <c r="AC190" s="231"/>
      <c r="AD190" s="231"/>
      <c r="AE190" s="231"/>
      <c r="AF190" s="231"/>
      <c r="AG190" s="231"/>
      <c r="AH190" s="231"/>
    </row>
    <row r="191" spans="1:34" s="203" customFormat="1">
      <c r="A191" s="161"/>
      <c r="B191" s="129"/>
      <c r="C191" s="129"/>
      <c r="D191" s="149"/>
      <c r="E191" s="162"/>
      <c r="F191" s="29"/>
      <c r="G191" s="29"/>
      <c r="H191" s="207"/>
      <c r="I191" s="29"/>
      <c r="J191" s="231"/>
      <c r="K191" s="231"/>
      <c r="L191" s="231"/>
      <c r="M191" s="231"/>
      <c r="N191" s="231"/>
      <c r="O191" s="231"/>
      <c r="P191" s="231"/>
      <c r="Q191" s="231"/>
      <c r="R191" s="231"/>
      <c r="S191" s="231"/>
      <c r="T191" s="231"/>
      <c r="U191" s="231"/>
      <c r="V191" s="231"/>
      <c r="W191" s="231"/>
      <c r="X191" s="231"/>
      <c r="Y191" s="231"/>
      <c r="Z191" s="231"/>
      <c r="AA191" s="231"/>
      <c r="AB191" s="231"/>
      <c r="AC191" s="231"/>
      <c r="AD191" s="231"/>
      <c r="AE191" s="231"/>
      <c r="AF191" s="231"/>
      <c r="AG191" s="231"/>
      <c r="AH191" s="231"/>
    </row>
    <row r="192" spans="1:34" s="203" customFormat="1">
      <c r="A192" s="161"/>
      <c r="B192" s="129"/>
      <c r="C192" s="129"/>
      <c r="D192" s="151"/>
      <c r="E192" s="163"/>
      <c r="F192" s="29"/>
      <c r="G192" s="29"/>
      <c r="H192" s="131" t="s">
        <v>27</v>
      </c>
      <c r="I192" s="29"/>
      <c r="J192" s="231"/>
      <c r="K192" s="231"/>
      <c r="L192" s="231"/>
      <c r="M192" s="231"/>
      <c r="N192" s="231"/>
      <c r="O192" s="231"/>
      <c r="P192" s="231"/>
      <c r="Q192" s="231"/>
      <c r="R192" s="231"/>
      <c r="S192" s="231"/>
      <c r="T192" s="231"/>
      <c r="U192" s="231"/>
      <c r="V192" s="231"/>
      <c r="W192" s="231"/>
      <c r="X192" s="231"/>
      <c r="Y192" s="231"/>
      <c r="Z192" s="231"/>
      <c r="AA192" s="231"/>
      <c r="AB192" s="231"/>
      <c r="AC192" s="231"/>
      <c r="AD192" s="231"/>
      <c r="AE192" s="231"/>
      <c r="AF192" s="231"/>
      <c r="AG192" s="231"/>
      <c r="AH192" s="231"/>
    </row>
    <row r="193" spans="1:34" s="203" customFormat="1" ht="12.75" customHeight="1">
      <c r="A193" s="106" t="s">
        <v>23</v>
      </c>
      <c r="B193" s="164"/>
      <c r="C193" s="164"/>
      <c r="D193" s="164"/>
      <c r="E193" s="856" t="s">
        <v>377</v>
      </c>
      <c r="F193" s="856" t="s">
        <v>402</v>
      </c>
      <c r="G193" s="130"/>
      <c r="H193" s="856" t="s">
        <v>403</v>
      </c>
      <c r="I193" s="130"/>
      <c r="J193" s="231"/>
      <c r="K193" s="231"/>
      <c r="L193" s="231"/>
      <c r="M193" s="231"/>
      <c r="N193" s="231"/>
      <c r="O193" s="231"/>
      <c r="P193" s="231"/>
      <c r="Q193" s="231"/>
      <c r="R193" s="231"/>
      <c r="S193" s="231"/>
      <c r="T193" s="231"/>
      <c r="U193" s="231"/>
      <c r="V193" s="231"/>
      <c r="W193" s="231"/>
      <c r="X193" s="231"/>
      <c r="Y193" s="231"/>
      <c r="Z193" s="231"/>
      <c r="AA193" s="231"/>
      <c r="AB193" s="231"/>
      <c r="AC193" s="231"/>
      <c r="AD193" s="231"/>
      <c r="AE193" s="231"/>
      <c r="AF193" s="231"/>
      <c r="AG193" s="231"/>
      <c r="AH193" s="231"/>
    </row>
    <row r="194" spans="1:34" s="203" customFormat="1" ht="23.25" customHeight="1">
      <c r="A194" s="165"/>
      <c r="B194" s="132"/>
      <c r="C194" s="132"/>
      <c r="D194" s="132"/>
      <c r="E194" s="859"/>
      <c r="F194" s="859"/>
      <c r="G194" s="130"/>
      <c r="H194" s="859"/>
      <c r="I194" s="130"/>
      <c r="J194" s="231"/>
      <c r="K194" s="231"/>
      <c r="L194" s="231"/>
      <c r="M194" s="231"/>
      <c r="N194" s="231"/>
      <c r="O194" s="231"/>
      <c r="P194" s="231"/>
      <c r="Q194" s="231"/>
      <c r="R194" s="231"/>
      <c r="S194" s="231"/>
      <c r="T194" s="231"/>
      <c r="U194" s="231"/>
      <c r="V194" s="231"/>
      <c r="W194" s="231"/>
      <c r="X194" s="231"/>
      <c r="Y194" s="231"/>
      <c r="Z194" s="231"/>
      <c r="AA194" s="231"/>
      <c r="AB194" s="231"/>
      <c r="AC194" s="231"/>
      <c r="AD194" s="231"/>
      <c r="AE194" s="231"/>
      <c r="AF194" s="231"/>
      <c r="AG194" s="231"/>
      <c r="AH194" s="231"/>
    </row>
    <row r="195" spans="1:34" s="203" customFormat="1">
      <c r="A195" s="154" t="s">
        <v>161</v>
      </c>
      <c r="B195" s="116"/>
      <c r="C195" s="116"/>
      <c r="D195" s="116"/>
      <c r="E195" s="859"/>
      <c r="F195" s="859"/>
      <c r="G195" s="130"/>
      <c r="H195" s="859"/>
      <c r="I195" s="130"/>
      <c r="J195" s="231"/>
      <c r="K195" s="231"/>
      <c r="L195" s="231"/>
      <c r="M195" s="231"/>
      <c r="N195" s="231"/>
      <c r="O195" s="231"/>
      <c r="P195" s="231"/>
      <c r="Q195" s="231"/>
      <c r="R195" s="231"/>
      <c r="S195" s="231"/>
      <c r="T195" s="231"/>
      <c r="U195" s="231"/>
      <c r="V195" s="231"/>
      <c r="W195" s="231"/>
      <c r="X195" s="231"/>
      <c r="Y195" s="231"/>
      <c r="Z195" s="231"/>
      <c r="AA195" s="231"/>
      <c r="AB195" s="231"/>
      <c r="AC195" s="231"/>
      <c r="AD195" s="231"/>
      <c r="AE195" s="231"/>
      <c r="AF195" s="231"/>
      <c r="AG195" s="231"/>
      <c r="AH195" s="231"/>
    </row>
    <row r="196" spans="1:34" s="203" customFormat="1">
      <c r="A196" s="109" t="s">
        <v>83</v>
      </c>
      <c r="B196" s="47"/>
      <c r="C196" s="47"/>
      <c r="D196" s="47"/>
      <c r="E196" s="859"/>
      <c r="F196" s="859"/>
      <c r="G196" s="130"/>
      <c r="H196" s="859"/>
      <c r="I196" s="130"/>
      <c r="J196" s="231"/>
      <c r="K196" s="231"/>
      <c r="L196" s="231"/>
      <c r="M196" s="231"/>
      <c r="N196" s="231"/>
      <c r="O196" s="231"/>
      <c r="P196" s="231"/>
      <c r="Q196" s="231"/>
      <c r="R196" s="231"/>
      <c r="S196" s="231"/>
      <c r="T196" s="231"/>
      <c r="U196" s="231"/>
      <c r="V196" s="231"/>
      <c r="W196" s="231"/>
      <c r="X196" s="231"/>
      <c r="Y196" s="231"/>
      <c r="Z196" s="231"/>
      <c r="AA196" s="231"/>
      <c r="AB196" s="231"/>
      <c r="AC196" s="231"/>
      <c r="AD196" s="231"/>
      <c r="AE196" s="231"/>
      <c r="AF196" s="231"/>
      <c r="AG196" s="231"/>
      <c r="AH196" s="231"/>
    </row>
    <row r="197" spans="1:34" s="203" customFormat="1">
      <c r="A197" s="110" t="s">
        <v>84</v>
      </c>
      <c r="B197" s="132"/>
      <c r="C197" s="132"/>
      <c r="D197" s="132"/>
      <c r="E197" s="860"/>
      <c r="F197" s="860"/>
      <c r="G197" s="130"/>
      <c r="H197" s="860"/>
      <c r="I197" s="130"/>
      <c r="J197" s="231"/>
      <c r="K197" s="231"/>
      <c r="L197" s="231"/>
      <c r="M197" s="231"/>
      <c r="N197" s="231"/>
      <c r="O197" s="231"/>
      <c r="P197" s="231"/>
      <c r="Q197" s="231"/>
      <c r="R197" s="231"/>
      <c r="S197" s="231"/>
      <c r="T197" s="231"/>
      <c r="U197" s="231"/>
      <c r="V197" s="231"/>
      <c r="W197" s="231"/>
      <c r="X197" s="231"/>
      <c r="Y197" s="231"/>
      <c r="Z197" s="231"/>
      <c r="AA197" s="231"/>
      <c r="AB197" s="231"/>
      <c r="AC197" s="231"/>
      <c r="AD197" s="231"/>
      <c r="AE197" s="231"/>
      <c r="AF197" s="231"/>
      <c r="AG197" s="231"/>
      <c r="AH197" s="231"/>
    </row>
    <row r="198" spans="1:34" s="203" customFormat="1">
      <c r="A198" s="153" t="s">
        <v>162</v>
      </c>
      <c r="B198" s="166"/>
      <c r="C198" s="166"/>
      <c r="D198" s="166"/>
      <c r="E198" s="167"/>
      <c r="F198" s="146"/>
      <c r="G198" s="118"/>
      <c r="H198" s="146"/>
      <c r="I198" s="29"/>
      <c r="J198" s="231"/>
      <c r="K198" s="231"/>
      <c r="L198" s="231"/>
      <c r="M198" s="231"/>
      <c r="N198" s="231"/>
      <c r="O198" s="231"/>
      <c r="P198" s="231"/>
      <c r="Q198" s="231"/>
      <c r="R198" s="231"/>
      <c r="S198" s="231"/>
      <c r="T198" s="231"/>
      <c r="U198" s="231"/>
      <c r="V198" s="231"/>
      <c r="W198" s="231"/>
      <c r="X198" s="231"/>
      <c r="Y198" s="231"/>
      <c r="Z198" s="231"/>
      <c r="AA198" s="231"/>
      <c r="AB198" s="231"/>
      <c r="AC198" s="231"/>
      <c r="AD198" s="231"/>
      <c r="AE198" s="231"/>
      <c r="AF198" s="231"/>
      <c r="AG198" s="231"/>
      <c r="AH198" s="231"/>
    </row>
    <row r="199" spans="1:34" s="203" customFormat="1">
      <c r="A199" s="120">
        <v>1</v>
      </c>
      <c r="B199" s="47" t="s">
        <v>163</v>
      </c>
      <c r="C199" s="47"/>
      <c r="D199" s="47"/>
      <c r="E199" s="74">
        <v>272</v>
      </c>
      <c r="F199" s="52">
        <v>212</v>
      </c>
      <c r="G199" s="118"/>
      <c r="H199" s="122">
        <v>279</v>
      </c>
      <c r="I199" s="29"/>
      <c r="J199" s="231"/>
      <c r="K199" s="231"/>
      <c r="L199" s="231"/>
      <c r="M199" s="231"/>
      <c r="N199" s="231"/>
      <c r="O199" s="231"/>
      <c r="P199" s="231"/>
      <c r="Q199" s="231"/>
      <c r="R199" s="231"/>
      <c r="S199" s="231"/>
      <c r="T199" s="231"/>
      <c r="U199" s="231"/>
      <c r="V199" s="231"/>
      <c r="W199" s="231"/>
      <c r="X199" s="231"/>
      <c r="Y199" s="231"/>
      <c r="Z199" s="231"/>
      <c r="AA199" s="231"/>
      <c r="AB199" s="231"/>
      <c r="AC199" s="231"/>
      <c r="AD199" s="231"/>
      <c r="AE199" s="231"/>
      <c r="AF199" s="231"/>
      <c r="AG199" s="231"/>
      <c r="AH199" s="231"/>
    </row>
    <row r="200" spans="1:34" s="203" customFormat="1">
      <c r="A200" s="120">
        <v>2</v>
      </c>
      <c r="B200" s="47" t="s">
        <v>164</v>
      </c>
      <c r="C200" s="47"/>
      <c r="D200" s="47"/>
      <c r="E200" s="56">
        <v>301</v>
      </c>
      <c r="F200" s="52">
        <v>208</v>
      </c>
      <c r="G200" s="118"/>
      <c r="H200" s="100">
        <v>221</v>
      </c>
      <c r="I200" s="29"/>
      <c r="J200" s="231"/>
      <c r="K200" s="231"/>
      <c r="L200" s="231"/>
      <c r="M200" s="231"/>
      <c r="N200" s="231"/>
      <c r="O200" s="231"/>
      <c r="P200" s="231"/>
      <c r="Q200" s="231"/>
      <c r="R200" s="231"/>
      <c r="S200" s="231"/>
      <c r="T200" s="231"/>
      <c r="U200" s="231"/>
      <c r="V200" s="231"/>
      <c r="W200" s="231"/>
      <c r="X200" s="231"/>
      <c r="Y200" s="231"/>
      <c r="Z200" s="231"/>
      <c r="AA200" s="231"/>
      <c r="AB200" s="231"/>
      <c r="AC200" s="231"/>
      <c r="AD200" s="231"/>
      <c r="AE200" s="231"/>
      <c r="AF200" s="231"/>
      <c r="AG200" s="231"/>
      <c r="AH200" s="231"/>
    </row>
    <row r="201" spans="1:34" s="203" customFormat="1">
      <c r="A201" s="120">
        <v>3</v>
      </c>
      <c r="B201" s="116" t="s">
        <v>165</v>
      </c>
      <c r="C201" s="116"/>
      <c r="D201" s="116"/>
      <c r="E201" s="80">
        <v>573</v>
      </c>
      <c r="F201" s="142">
        <f>SUM(F199:F200)</f>
        <v>420</v>
      </c>
      <c r="G201" s="118"/>
      <c r="H201" s="142">
        <f>SUM(H199:H200)</f>
        <v>500</v>
      </c>
      <c r="I201" s="29"/>
      <c r="J201" s="231"/>
      <c r="K201" s="231"/>
      <c r="L201" s="231"/>
      <c r="M201" s="231"/>
      <c r="N201" s="231"/>
      <c r="O201" s="231"/>
      <c r="P201" s="231"/>
      <c r="Q201" s="231"/>
      <c r="R201" s="231"/>
      <c r="S201" s="231"/>
      <c r="T201" s="231"/>
      <c r="U201" s="231"/>
      <c r="V201" s="231"/>
      <c r="W201" s="231"/>
      <c r="X201" s="231"/>
      <c r="Y201" s="231"/>
      <c r="Z201" s="231"/>
      <c r="AA201" s="231"/>
      <c r="AB201" s="231"/>
      <c r="AC201" s="231"/>
      <c r="AD201" s="231"/>
      <c r="AE201" s="231"/>
      <c r="AF201" s="231"/>
      <c r="AG201" s="231"/>
      <c r="AH201" s="231"/>
    </row>
    <row r="202" spans="1:34" s="203" customFormat="1">
      <c r="A202" s="46"/>
      <c r="B202" s="132"/>
      <c r="C202" s="132"/>
      <c r="D202" s="132"/>
      <c r="E202" s="156"/>
      <c r="F202" s="139"/>
      <c r="G202" s="139"/>
      <c r="H202" s="139"/>
      <c r="I202" s="29"/>
      <c r="J202" s="231"/>
      <c r="K202" s="231"/>
      <c r="L202" s="231"/>
      <c r="M202" s="231"/>
      <c r="N202" s="231"/>
      <c r="O202" s="231"/>
      <c r="P202" s="231"/>
      <c r="Q202" s="231"/>
      <c r="R202" s="231"/>
      <c r="S202" s="231"/>
      <c r="T202" s="231"/>
      <c r="U202" s="231"/>
      <c r="V202" s="231"/>
      <c r="W202" s="231"/>
      <c r="X202" s="231"/>
      <c r="Y202" s="231"/>
      <c r="Z202" s="231"/>
      <c r="AA202" s="231"/>
      <c r="AB202" s="231"/>
      <c r="AC202" s="231"/>
      <c r="AD202" s="231"/>
      <c r="AE202" s="231"/>
      <c r="AF202" s="231"/>
      <c r="AG202" s="231"/>
      <c r="AH202" s="231"/>
    </row>
    <row r="203" spans="1:34" s="203" customFormat="1">
      <c r="A203" s="153" t="s">
        <v>166</v>
      </c>
      <c r="B203" s="116"/>
      <c r="C203" s="116"/>
      <c r="D203" s="116"/>
      <c r="E203" s="140"/>
      <c r="F203" s="146"/>
      <c r="G203" s="118"/>
      <c r="H203" s="146"/>
      <c r="I203" s="29"/>
      <c r="J203" s="231"/>
      <c r="K203" s="231"/>
      <c r="L203" s="231"/>
      <c r="M203" s="231"/>
      <c r="N203" s="231"/>
      <c r="O203" s="231"/>
      <c r="P203" s="231"/>
      <c r="Q203" s="231"/>
      <c r="R203" s="231"/>
      <c r="S203" s="231"/>
      <c r="T203" s="231"/>
      <c r="U203" s="231"/>
      <c r="V203" s="231"/>
      <c r="W203" s="231"/>
      <c r="X203" s="231"/>
      <c r="Y203" s="231"/>
      <c r="Z203" s="231"/>
      <c r="AA203" s="231"/>
      <c r="AB203" s="231"/>
      <c r="AC203" s="231"/>
      <c r="AD203" s="231"/>
      <c r="AE203" s="231"/>
      <c r="AF203" s="231"/>
      <c r="AG203" s="231"/>
      <c r="AH203" s="231"/>
    </row>
    <row r="204" spans="1:34" s="203" customFormat="1">
      <c r="A204" s="120">
        <v>4</v>
      </c>
      <c r="B204" s="47" t="s">
        <v>167</v>
      </c>
      <c r="C204" s="47"/>
      <c r="D204" s="47"/>
      <c r="E204" s="74">
        <v>3328</v>
      </c>
      <c r="F204" s="52">
        <v>3095</v>
      </c>
      <c r="G204" s="118"/>
      <c r="H204" s="122">
        <v>2662</v>
      </c>
      <c r="I204" s="29"/>
      <c r="J204" s="231"/>
      <c r="K204" s="231"/>
      <c r="L204" s="231"/>
      <c r="M204" s="231"/>
      <c r="N204" s="231"/>
      <c r="O204" s="231"/>
      <c r="P204" s="231"/>
      <c r="Q204" s="231"/>
      <c r="R204" s="231"/>
      <c r="S204" s="231"/>
      <c r="T204" s="231"/>
      <c r="U204" s="231"/>
      <c r="V204" s="231"/>
      <c r="W204" s="231"/>
      <c r="X204" s="231"/>
      <c r="Y204" s="231"/>
      <c r="Z204" s="231"/>
      <c r="AA204" s="231"/>
      <c r="AB204" s="231"/>
      <c r="AC204" s="231"/>
      <c r="AD204" s="231"/>
      <c r="AE204" s="231"/>
      <c r="AF204" s="231"/>
      <c r="AG204" s="231"/>
      <c r="AH204" s="231"/>
    </row>
    <row r="205" spans="1:34" s="203" customFormat="1">
      <c r="A205" s="120">
        <v>5</v>
      </c>
      <c r="B205" s="47" t="s">
        <v>168</v>
      </c>
      <c r="C205" s="47"/>
      <c r="D205" s="47"/>
      <c r="E205" s="49">
        <v>3722</v>
      </c>
      <c r="F205" s="52">
        <v>3575</v>
      </c>
      <c r="G205" s="118"/>
      <c r="H205" s="122">
        <v>3503</v>
      </c>
      <c r="I205" s="29"/>
      <c r="J205" s="231"/>
      <c r="K205" s="231"/>
      <c r="L205" s="231"/>
      <c r="M205" s="231"/>
      <c r="N205" s="231"/>
      <c r="O205" s="231"/>
      <c r="P205" s="231"/>
      <c r="Q205" s="231"/>
      <c r="R205" s="231"/>
      <c r="S205" s="231"/>
      <c r="T205" s="231"/>
      <c r="U205" s="231"/>
      <c r="V205" s="231"/>
      <c r="W205" s="231"/>
      <c r="X205" s="231"/>
      <c r="Y205" s="231"/>
      <c r="Z205" s="231"/>
      <c r="AA205" s="231"/>
      <c r="AB205" s="231"/>
      <c r="AC205" s="231"/>
      <c r="AD205" s="231"/>
      <c r="AE205" s="231"/>
      <c r="AF205" s="231"/>
      <c r="AG205" s="231"/>
      <c r="AH205" s="231"/>
    </row>
    <row r="206" spans="1:34" s="203" customFormat="1">
      <c r="A206" s="120">
        <v>6</v>
      </c>
      <c r="B206" s="47" t="s">
        <v>169</v>
      </c>
      <c r="C206" s="47"/>
      <c r="D206" s="47"/>
      <c r="E206" s="49">
        <v>1167</v>
      </c>
      <c r="F206" s="52">
        <v>1399</v>
      </c>
      <c r="G206" s="118"/>
      <c r="H206" s="100">
        <v>1209</v>
      </c>
      <c r="I206" s="29"/>
      <c r="J206" s="231"/>
      <c r="K206" s="231"/>
      <c r="L206" s="231"/>
      <c r="M206" s="231"/>
      <c r="N206" s="231"/>
      <c r="O206" s="231"/>
      <c r="P206" s="231"/>
      <c r="Q206" s="231"/>
      <c r="R206" s="231"/>
      <c r="S206" s="231"/>
      <c r="T206" s="231"/>
      <c r="U206" s="231"/>
      <c r="V206" s="231"/>
      <c r="W206" s="231"/>
      <c r="X206" s="231"/>
      <c r="Y206" s="231"/>
      <c r="Z206" s="231"/>
      <c r="AA206" s="231"/>
      <c r="AB206" s="231"/>
      <c r="AC206" s="231"/>
      <c r="AD206" s="231"/>
      <c r="AE206" s="231"/>
      <c r="AF206" s="231"/>
      <c r="AG206" s="231"/>
      <c r="AH206" s="231"/>
    </row>
    <row r="207" spans="1:34" s="203" customFormat="1">
      <c r="A207" s="120">
        <v>7</v>
      </c>
      <c r="B207" s="116" t="s">
        <v>170</v>
      </c>
      <c r="C207" s="116"/>
      <c r="D207" s="116"/>
      <c r="E207" s="80">
        <v>8217</v>
      </c>
      <c r="F207" s="142">
        <f>SUM(F204:F206)</f>
        <v>8069</v>
      </c>
      <c r="G207" s="118"/>
      <c r="H207" s="142">
        <f>SUM(H204:H206)</f>
        <v>7374</v>
      </c>
      <c r="I207" s="29"/>
      <c r="J207" s="231"/>
      <c r="K207" s="231"/>
      <c r="L207" s="231"/>
      <c r="M207" s="231"/>
      <c r="N207" s="231"/>
      <c r="O207" s="231"/>
      <c r="P207" s="231"/>
      <c r="Q207" s="231"/>
      <c r="R207" s="231"/>
      <c r="S207" s="231"/>
      <c r="T207" s="231"/>
      <c r="U207" s="231"/>
      <c r="V207" s="231"/>
      <c r="W207" s="231"/>
      <c r="X207" s="231"/>
      <c r="Y207" s="231"/>
      <c r="Z207" s="231"/>
      <c r="AA207" s="231"/>
      <c r="AB207" s="231"/>
      <c r="AC207" s="231"/>
      <c r="AD207" s="231"/>
      <c r="AE207" s="231"/>
      <c r="AF207" s="231"/>
      <c r="AG207" s="231"/>
      <c r="AH207" s="231"/>
    </row>
    <row r="208" spans="1:34" s="203" customFormat="1">
      <c r="A208" s="46"/>
      <c r="B208" s="132"/>
      <c r="C208" s="132"/>
      <c r="D208" s="132"/>
      <c r="E208" s="156"/>
      <c r="F208" s="139"/>
      <c r="G208" s="139"/>
      <c r="H208" s="139"/>
      <c r="I208" s="29"/>
      <c r="J208" s="231"/>
      <c r="K208" s="231"/>
      <c r="L208" s="231"/>
      <c r="M208" s="231"/>
      <c r="N208" s="231"/>
      <c r="O208" s="231"/>
      <c r="P208" s="231"/>
      <c r="Q208" s="231"/>
      <c r="R208" s="231"/>
      <c r="S208" s="231"/>
      <c r="T208" s="231"/>
      <c r="U208" s="231"/>
      <c r="V208" s="231"/>
      <c r="W208" s="231"/>
      <c r="X208" s="231"/>
      <c r="Y208" s="231"/>
      <c r="Z208" s="231"/>
      <c r="AA208" s="231"/>
      <c r="AB208" s="231"/>
      <c r="AC208" s="231"/>
      <c r="AD208" s="231"/>
      <c r="AE208" s="231"/>
      <c r="AF208" s="231"/>
      <c r="AG208" s="231"/>
      <c r="AH208" s="231"/>
    </row>
    <row r="209" spans="1:34" s="203" customFormat="1">
      <c r="A209" s="153" t="s">
        <v>121</v>
      </c>
      <c r="B209" s="168"/>
      <c r="C209" s="168"/>
      <c r="D209" s="168"/>
      <c r="E209" s="140"/>
      <c r="F209" s="146"/>
      <c r="G209" s="118"/>
      <c r="H209" s="146"/>
      <c r="I209" s="29"/>
      <c r="J209" s="231"/>
      <c r="K209" s="231"/>
      <c r="L209" s="231"/>
      <c r="M209" s="231"/>
      <c r="N209" s="231"/>
      <c r="O209" s="231"/>
      <c r="P209" s="231"/>
      <c r="Q209" s="231"/>
      <c r="R209" s="231"/>
      <c r="S209" s="231"/>
      <c r="T209" s="231"/>
      <c r="U209" s="231"/>
      <c r="V209" s="231"/>
      <c r="W209" s="231"/>
      <c r="X209" s="231"/>
      <c r="Y209" s="231"/>
      <c r="Z209" s="231"/>
      <c r="AA209" s="231"/>
      <c r="AB209" s="231"/>
      <c r="AC209" s="231"/>
      <c r="AD209" s="231"/>
      <c r="AE209" s="231"/>
      <c r="AF209" s="231"/>
      <c r="AG209" s="231"/>
      <c r="AH209" s="231"/>
    </row>
    <row r="210" spans="1:34" s="203" customFormat="1">
      <c r="A210" s="120">
        <v>8</v>
      </c>
      <c r="B210" s="47" t="s">
        <v>171</v>
      </c>
      <c r="C210" s="47"/>
      <c r="D210" s="47"/>
      <c r="E210" s="74">
        <v>-215</v>
      </c>
      <c r="F210" s="52">
        <v>-215</v>
      </c>
      <c r="G210" s="118"/>
      <c r="H210" s="122">
        <v>-292</v>
      </c>
      <c r="I210" s="29"/>
      <c r="J210" s="231"/>
      <c r="K210" s="231"/>
      <c r="L210" s="231"/>
      <c r="M210" s="231"/>
      <c r="N210" s="231"/>
      <c r="O210" s="231"/>
      <c r="P210" s="231"/>
      <c r="Q210" s="231"/>
      <c r="R210" s="231"/>
      <c r="S210" s="231"/>
      <c r="T210" s="231"/>
      <c r="U210" s="231"/>
      <c r="V210" s="231"/>
      <c r="W210" s="231"/>
      <c r="X210" s="231"/>
      <c r="Y210" s="231"/>
      <c r="Z210" s="231"/>
      <c r="AA210" s="231"/>
      <c r="AB210" s="231"/>
      <c r="AC210" s="231"/>
      <c r="AD210" s="231"/>
      <c r="AE210" s="231"/>
      <c r="AF210" s="231"/>
      <c r="AG210" s="231"/>
      <c r="AH210" s="231"/>
    </row>
    <row r="211" spans="1:34" s="203" customFormat="1">
      <c r="A211" s="120">
        <v>9</v>
      </c>
      <c r="B211" s="47" t="s">
        <v>172</v>
      </c>
      <c r="C211" s="47"/>
      <c r="D211" s="47"/>
      <c r="E211" s="49">
        <v>0</v>
      </c>
      <c r="F211" s="52">
        <v>0</v>
      </c>
      <c r="G211" s="118"/>
      <c r="H211" s="122">
        <v>0</v>
      </c>
      <c r="I211" s="29"/>
      <c r="J211" s="231"/>
      <c r="K211" s="231"/>
      <c r="L211" s="231"/>
      <c r="M211" s="231"/>
      <c r="N211" s="231"/>
      <c r="O211" s="231"/>
      <c r="P211" s="231"/>
      <c r="Q211" s="231"/>
      <c r="R211" s="231"/>
      <c r="S211" s="231"/>
      <c r="T211" s="231"/>
      <c r="U211" s="231"/>
      <c r="V211" s="231"/>
      <c r="W211" s="231"/>
      <c r="X211" s="231"/>
      <c r="Y211" s="231"/>
      <c r="Z211" s="231"/>
      <c r="AA211" s="231"/>
      <c r="AB211" s="231"/>
      <c r="AC211" s="231"/>
      <c r="AD211" s="231"/>
      <c r="AE211" s="231"/>
      <c r="AF211" s="231"/>
      <c r="AG211" s="231"/>
      <c r="AH211" s="231"/>
    </row>
    <row r="212" spans="1:34" s="203" customFormat="1">
      <c r="A212" s="120">
        <v>10</v>
      </c>
      <c r="B212" s="47" t="s">
        <v>173</v>
      </c>
      <c r="C212" s="47"/>
      <c r="D212" s="47"/>
      <c r="E212" s="49">
        <v>0</v>
      </c>
      <c r="F212" s="52">
        <v>0</v>
      </c>
      <c r="G212" s="118"/>
      <c r="H212" s="122">
        <v>0</v>
      </c>
      <c r="I212" s="29"/>
      <c r="J212" s="231"/>
      <c r="K212" s="231"/>
      <c r="L212" s="231"/>
      <c r="M212" s="231"/>
      <c r="N212" s="231"/>
      <c r="O212" s="231"/>
      <c r="P212" s="231"/>
      <c r="Q212" s="231"/>
      <c r="R212" s="231"/>
      <c r="S212" s="231"/>
      <c r="T212" s="231"/>
      <c r="U212" s="231"/>
      <c r="V212" s="231"/>
      <c r="W212" s="231"/>
      <c r="X212" s="231"/>
      <c r="Y212" s="231"/>
      <c r="Z212" s="231"/>
      <c r="AA212" s="231"/>
      <c r="AB212" s="231"/>
      <c r="AC212" s="231"/>
      <c r="AD212" s="231"/>
      <c r="AE212" s="231"/>
      <c r="AF212" s="231"/>
      <c r="AG212" s="231"/>
      <c r="AH212" s="231"/>
    </row>
    <row r="213" spans="1:34" s="203" customFormat="1">
      <c r="A213" s="120">
        <v>11</v>
      </c>
      <c r="B213" s="47" t="s">
        <v>174</v>
      </c>
      <c r="C213" s="47"/>
      <c r="D213" s="47"/>
      <c r="E213" s="49">
        <v>684</v>
      </c>
      <c r="F213" s="52">
        <v>771</v>
      </c>
      <c r="G213" s="118"/>
      <c r="H213" s="99">
        <v>761</v>
      </c>
      <c r="I213" s="29"/>
      <c r="J213" s="231"/>
      <c r="K213" s="231"/>
      <c r="L213" s="231"/>
      <c r="M213" s="231"/>
      <c r="N213" s="231"/>
      <c r="O213" s="231"/>
      <c r="P213" s="231"/>
      <c r="Q213" s="231"/>
      <c r="R213" s="231"/>
      <c r="S213" s="231"/>
      <c r="T213" s="231"/>
      <c r="U213" s="231"/>
      <c r="V213" s="231"/>
      <c r="W213" s="231"/>
      <c r="X213" s="231"/>
      <c r="Y213" s="231"/>
      <c r="Z213" s="231"/>
      <c r="AA213" s="231"/>
      <c r="AB213" s="231"/>
      <c r="AC213" s="231"/>
      <c r="AD213" s="231"/>
      <c r="AE213" s="231"/>
      <c r="AF213" s="231"/>
      <c r="AG213" s="231"/>
      <c r="AH213" s="231"/>
    </row>
    <row r="214" spans="1:34" s="203" customFormat="1">
      <c r="A214" s="120">
        <v>12</v>
      </c>
      <c r="B214" s="116" t="s">
        <v>175</v>
      </c>
      <c r="C214" s="116"/>
      <c r="D214" s="116"/>
      <c r="E214" s="159">
        <v>9259</v>
      </c>
      <c r="F214" s="61">
        <f>F201+F207+SUM(F210:F213)</f>
        <v>9045</v>
      </c>
      <c r="G214" s="118"/>
      <c r="H214" s="61">
        <f>H201+H207+SUM(H210:H213)</f>
        <v>8343</v>
      </c>
      <c r="I214" s="29"/>
      <c r="J214" s="231"/>
      <c r="K214" s="231"/>
      <c r="L214" s="231"/>
      <c r="M214" s="231"/>
      <c r="N214" s="231"/>
      <c r="O214" s="231"/>
      <c r="P214" s="231"/>
      <c r="Q214" s="231"/>
      <c r="R214" s="231"/>
      <c r="S214" s="231"/>
      <c r="T214" s="231"/>
      <c r="U214" s="231"/>
      <c r="V214" s="231"/>
      <c r="W214" s="231"/>
      <c r="X214" s="231"/>
      <c r="Y214" s="231"/>
      <c r="Z214" s="231"/>
      <c r="AA214" s="231"/>
      <c r="AB214" s="231"/>
      <c r="AC214" s="231"/>
      <c r="AD214" s="231"/>
      <c r="AE214" s="231"/>
      <c r="AF214" s="231"/>
      <c r="AG214" s="231"/>
      <c r="AH214" s="231"/>
    </row>
    <row r="215" spans="1:34" s="203" customFormat="1">
      <c r="A215" s="111"/>
      <c r="B215" s="47"/>
      <c r="C215" s="47"/>
      <c r="D215" s="47"/>
      <c r="E215" s="117"/>
      <c r="F215" s="118"/>
      <c r="G215" s="118"/>
      <c r="H215" s="118"/>
      <c r="I215" s="29"/>
      <c r="J215" s="231"/>
      <c r="K215" s="231"/>
      <c r="L215" s="231"/>
      <c r="M215" s="231"/>
      <c r="N215" s="231"/>
      <c r="O215" s="231"/>
      <c r="P215" s="231"/>
      <c r="Q215" s="231"/>
      <c r="R215" s="231"/>
      <c r="S215" s="231"/>
      <c r="T215" s="231"/>
      <c r="U215" s="231"/>
      <c r="V215" s="231"/>
      <c r="W215" s="231"/>
      <c r="X215" s="231"/>
      <c r="Y215" s="231"/>
      <c r="Z215" s="231"/>
      <c r="AA215" s="231"/>
      <c r="AB215" s="231"/>
      <c r="AC215" s="231"/>
      <c r="AD215" s="231"/>
      <c r="AE215" s="231"/>
      <c r="AF215" s="231"/>
      <c r="AG215" s="231"/>
      <c r="AH215" s="231"/>
    </row>
    <row r="216" spans="1:34" s="203" customFormat="1">
      <c r="A216" s="119" t="s">
        <v>176</v>
      </c>
      <c r="B216" s="116"/>
      <c r="C216" s="116"/>
      <c r="D216" s="116"/>
      <c r="E216" s="117"/>
      <c r="F216" s="160"/>
      <c r="G216" s="118"/>
      <c r="H216" s="160"/>
      <c r="I216" s="29"/>
      <c r="J216" s="231"/>
      <c r="K216" s="231"/>
      <c r="L216" s="231"/>
      <c r="M216" s="231"/>
      <c r="N216" s="231"/>
      <c r="O216" s="231"/>
      <c r="P216" s="231"/>
      <c r="Q216" s="231"/>
      <c r="R216" s="231"/>
      <c r="S216" s="231"/>
      <c r="T216" s="231"/>
      <c r="U216" s="231"/>
      <c r="V216" s="231"/>
      <c r="W216" s="231"/>
      <c r="X216" s="231"/>
      <c r="Y216" s="231"/>
      <c r="Z216" s="231"/>
      <c r="AA216" s="231"/>
      <c r="AB216" s="231"/>
      <c r="AC216" s="231"/>
      <c r="AD216" s="231"/>
      <c r="AE216" s="231"/>
      <c r="AF216" s="231"/>
      <c r="AG216" s="231"/>
      <c r="AH216" s="231"/>
    </row>
    <row r="217" spans="1:34" s="203" customFormat="1">
      <c r="A217" s="120">
        <v>13</v>
      </c>
      <c r="B217" s="47" t="s">
        <v>177</v>
      </c>
      <c r="C217" s="47"/>
      <c r="D217" s="47"/>
      <c r="E217" s="41">
        <v>88</v>
      </c>
      <c r="F217" s="121">
        <v>79</v>
      </c>
      <c r="G217" s="118"/>
      <c r="H217" s="169">
        <v>88</v>
      </c>
      <c r="I217" s="29"/>
      <c r="J217" s="231"/>
      <c r="K217" s="231"/>
      <c r="L217" s="231"/>
      <c r="M217" s="231"/>
      <c r="N217" s="231"/>
      <c r="O217" s="231"/>
      <c r="P217" s="231"/>
      <c r="Q217" s="231"/>
      <c r="R217" s="231"/>
      <c r="S217" s="231"/>
      <c r="T217" s="231"/>
      <c r="U217" s="231"/>
      <c r="V217" s="231"/>
      <c r="W217" s="231"/>
      <c r="X217" s="231"/>
      <c r="Y217" s="231"/>
      <c r="Z217" s="231"/>
      <c r="AA217" s="231"/>
      <c r="AB217" s="231"/>
      <c r="AC217" s="231"/>
      <c r="AD217" s="231"/>
      <c r="AE217" s="231"/>
      <c r="AF217" s="231"/>
      <c r="AG217" s="231"/>
      <c r="AH217" s="231"/>
    </row>
    <row r="218" spans="1:34" s="203" customFormat="1">
      <c r="A218" s="124">
        <v>14</v>
      </c>
      <c r="B218" s="54" t="s">
        <v>178</v>
      </c>
      <c r="C218" s="54"/>
      <c r="D218" s="54"/>
      <c r="E218" s="56">
        <v>1167</v>
      </c>
      <c r="F218" s="126">
        <v>1069</v>
      </c>
      <c r="G218" s="118"/>
      <c r="H218" s="100">
        <v>1209</v>
      </c>
      <c r="I218" s="29"/>
      <c r="J218" s="231"/>
      <c r="K218" s="231"/>
      <c r="L218" s="231"/>
      <c r="M218" s="231"/>
      <c r="N218" s="231"/>
      <c r="O218" s="231"/>
      <c r="P218" s="231"/>
      <c r="Q218" s="231"/>
      <c r="R218" s="231"/>
      <c r="S218" s="231"/>
      <c r="T218" s="231"/>
      <c r="U218" s="231"/>
      <c r="V218" s="231"/>
      <c r="W218" s="231"/>
      <c r="X218" s="231"/>
      <c r="Y218" s="231"/>
      <c r="Z218" s="231"/>
      <c r="AA218" s="231"/>
      <c r="AB218" s="231"/>
      <c r="AC218" s="231"/>
      <c r="AD218" s="231"/>
      <c r="AE218" s="231"/>
      <c r="AF218" s="231"/>
      <c r="AG218" s="231"/>
      <c r="AH218" s="231"/>
    </row>
    <row r="219" spans="1:34" s="203" customFormat="1">
      <c r="A219" s="148"/>
      <c r="B219" s="29"/>
      <c r="C219" s="29"/>
      <c r="D219" s="170"/>
      <c r="E219" s="171"/>
      <c r="F219" s="29"/>
      <c r="G219" s="29"/>
      <c r="H219" s="207"/>
      <c r="I219" s="29"/>
      <c r="J219" s="231"/>
      <c r="K219" s="231"/>
      <c r="L219" s="231"/>
      <c r="M219" s="231"/>
      <c r="N219" s="231"/>
      <c r="O219" s="231"/>
      <c r="P219" s="231"/>
      <c r="Q219" s="231"/>
      <c r="R219" s="231"/>
      <c r="S219" s="231"/>
      <c r="T219" s="231"/>
      <c r="U219" s="231"/>
      <c r="V219" s="231"/>
      <c r="W219" s="231"/>
      <c r="X219" s="231"/>
      <c r="Y219" s="231"/>
      <c r="Z219" s="231"/>
      <c r="AA219" s="231"/>
      <c r="AB219" s="231"/>
      <c r="AC219" s="231"/>
      <c r="AD219" s="231"/>
      <c r="AE219" s="231"/>
      <c r="AF219" s="231"/>
      <c r="AG219" s="231"/>
      <c r="AH219" s="231"/>
    </row>
    <row r="220" spans="1:34" s="203" customFormat="1">
      <c r="A220" s="148"/>
      <c r="B220" s="29"/>
      <c r="C220" s="29"/>
      <c r="D220" s="172"/>
      <c r="E220" s="152"/>
      <c r="F220" s="29"/>
      <c r="G220" s="29"/>
      <c r="H220" s="131" t="s">
        <v>27</v>
      </c>
      <c r="I220" s="29"/>
      <c r="J220" s="231"/>
      <c r="K220" s="231"/>
      <c r="L220" s="231"/>
      <c r="M220" s="231"/>
      <c r="N220" s="231"/>
      <c r="O220" s="231"/>
      <c r="P220" s="231"/>
      <c r="Q220" s="231"/>
      <c r="R220" s="231"/>
      <c r="S220" s="231"/>
      <c r="T220" s="231"/>
      <c r="U220" s="231"/>
      <c r="V220" s="231"/>
      <c r="W220" s="231"/>
      <c r="X220" s="231"/>
      <c r="Y220" s="231"/>
      <c r="Z220" s="231"/>
      <c r="AA220" s="231"/>
      <c r="AB220" s="231"/>
      <c r="AC220" s="231"/>
      <c r="AD220" s="231"/>
      <c r="AE220" s="231"/>
      <c r="AF220" s="231"/>
      <c r="AG220" s="231"/>
      <c r="AH220" s="231"/>
    </row>
    <row r="221" spans="1:34" s="203" customFormat="1" ht="12.75" customHeight="1">
      <c r="A221" s="106" t="s">
        <v>10</v>
      </c>
      <c r="B221" s="164"/>
      <c r="C221" s="164"/>
      <c r="D221" s="164"/>
      <c r="E221" s="856" t="s">
        <v>377</v>
      </c>
      <c r="F221" s="856" t="s">
        <v>402</v>
      </c>
      <c r="G221" s="130"/>
      <c r="H221" s="856" t="s">
        <v>403</v>
      </c>
      <c r="I221" s="130"/>
      <c r="J221" s="231"/>
      <c r="K221" s="231"/>
      <c r="L221" s="231"/>
      <c r="M221" s="231"/>
      <c r="N221" s="231"/>
      <c r="O221" s="231"/>
      <c r="P221" s="231"/>
      <c r="Q221" s="231"/>
      <c r="R221" s="231"/>
      <c r="S221" s="231"/>
      <c r="T221" s="231"/>
      <c r="U221" s="231"/>
      <c r="V221" s="231"/>
      <c r="W221" s="231"/>
      <c r="X221" s="231"/>
      <c r="Y221" s="231"/>
      <c r="Z221" s="231"/>
      <c r="AA221" s="231"/>
      <c r="AB221" s="231"/>
      <c r="AC221" s="231"/>
      <c r="AD221" s="231"/>
      <c r="AE221" s="231"/>
      <c r="AF221" s="231"/>
      <c r="AG221" s="231"/>
      <c r="AH221" s="231"/>
    </row>
    <row r="222" spans="1:34" s="203" customFormat="1">
      <c r="A222" s="109"/>
      <c r="B222" s="132"/>
      <c r="C222" s="132"/>
      <c r="D222" s="132"/>
      <c r="E222" s="859"/>
      <c r="F222" s="859"/>
      <c r="G222" s="130"/>
      <c r="H222" s="859"/>
      <c r="I222" s="130"/>
      <c r="J222" s="231"/>
      <c r="K222" s="231"/>
      <c r="L222" s="231"/>
      <c r="M222" s="231"/>
      <c r="N222" s="231"/>
      <c r="O222" s="231"/>
      <c r="P222" s="231"/>
      <c r="Q222" s="231"/>
      <c r="R222" s="231"/>
      <c r="S222" s="231"/>
      <c r="T222" s="231"/>
      <c r="U222" s="231"/>
      <c r="V222" s="231"/>
      <c r="W222" s="231"/>
      <c r="X222" s="231"/>
      <c r="Y222" s="231"/>
      <c r="Z222" s="231"/>
      <c r="AA222" s="231"/>
      <c r="AB222" s="231"/>
      <c r="AC222" s="231"/>
      <c r="AD222" s="231"/>
      <c r="AE222" s="231"/>
      <c r="AF222" s="231"/>
      <c r="AG222" s="231"/>
      <c r="AH222" s="231"/>
    </row>
    <row r="223" spans="1:34" s="203" customFormat="1">
      <c r="A223" s="154" t="s">
        <v>179</v>
      </c>
      <c r="B223" s="116"/>
      <c r="C223" s="116"/>
      <c r="D223" s="116"/>
      <c r="E223" s="859"/>
      <c r="F223" s="859"/>
      <c r="G223" s="130"/>
      <c r="H223" s="859"/>
      <c r="I223" s="130"/>
      <c r="J223" s="231"/>
      <c r="K223" s="231"/>
      <c r="L223" s="231"/>
      <c r="M223" s="231"/>
      <c r="N223" s="231"/>
      <c r="O223" s="231"/>
      <c r="P223" s="231"/>
      <c r="Q223" s="231"/>
      <c r="R223" s="231"/>
      <c r="S223" s="231"/>
      <c r="T223" s="231"/>
      <c r="U223" s="231"/>
      <c r="V223" s="231"/>
      <c r="W223" s="231"/>
      <c r="X223" s="231"/>
      <c r="Y223" s="231"/>
      <c r="Z223" s="231"/>
      <c r="AA223" s="231"/>
      <c r="AB223" s="231"/>
      <c r="AC223" s="231"/>
      <c r="AD223" s="231"/>
      <c r="AE223" s="231"/>
      <c r="AF223" s="231"/>
      <c r="AG223" s="231"/>
      <c r="AH223" s="231"/>
    </row>
    <row r="224" spans="1:34" s="203" customFormat="1">
      <c r="A224" s="109" t="s">
        <v>83</v>
      </c>
      <c r="B224" s="47"/>
      <c r="C224" s="47"/>
      <c r="D224" s="47"/>
      <c r="E224" s="859"/>
      <c r="F224" s="859"/>
      <c r="G224" s="130"/>
      <c r="H224" s="859"/>
      <c r="I224" s="130"/>
      <c r="J224" s="231"/>
      <c r="K224" s="231"/>
      <c r="L224" s="231"/>
      <c r="M224" s="231"/>
      <c r="N224" s="231"/>
      <c r="O224" s="231"/>
      <c r="P224" s="231"/>
      <c r="Q224" s="231"/>
      <c r="R224" s="231"/>
      <c r="S224" s="231"/>
      <c r="T224" s="231"/>
      <c r="U224" s="231"/>
      <c r="V224" s="231"/>
      <c r="W224" s="231"/>
      <c r="X224" s="231"/>
      <c r="Y224" s="231"/>
      <c r="Z224" s="231"/>
      <c r="AA224" s="231"/>
      <c r="AB224" s="231"/>
      <c r="AC224" s="231"/>
      <c r="AD224" s="231"/>
      <c r="AE224" s="231"/>
      <c r="AF224" s="231"/>
      <c r="AG224" s="231"/>
      <c r="AH224" s="231"/>
    </row>
    <row r="225" spans="1:34" s="203" customFormat="1">
      <c r="A225" s="110" t="s">
        <v>84</v>
      </c>
      <c r="B225" s="132"/>
      <c r="C225" s="132"/>
      <c r="D225" s="132"/>
      <c r="E225" s="860"/>
      <c r="F225" s="860"/>
      <c r="G225" s="130"/>
      <c r="H225" s="860"/>
      <c r="I225" s="130"/>
      <c r="J225" s="231"/>
      <c r="K225" s="231"/>
      <c r="L225" s="231"/>
      <c r="M225" s="231"/>
      <c r="N225" s="231"/>
      <c r="O225" s="231"/>
      <c r="P225" s="231"/>
      <c r="Q225" s="231"/>
      <c r="R225" s="231"/>
      <c r="S225" s="231"/>
      <c r="T225" s="231"/>
      <c r="U225" s="231"/>
      <c r="V225" s="231"/>
      <c r="W225" s="231"/>
      <c r="X225" s="231"/>
      <c r="Y225" s="231"/>
      <c r="Z225" s="231"/>
      <c r="AA225" s="231"/>
      <c r="AB225" s="231"/>
      <c r="AC225" s="231"/>
      <c r="AD225" s="231"/>
      <c r="AE225" s="231"/>
      <c r="AF225" s="231"/>
      <c r="AG225" s="231"/>
      <c r="AH225" s="231"/>
    </row>
    <row r="226" spans="1:34" s="203" customFormat="1">
      <c r="A226" s="120">
        <v>1</v>
      </c>
      <c r="B226" s="47" t="s">
        <v>180</v>
      </c>
      <c r="C226" s="47"/>
      <c r="D226" s="47"/>
      <c r="E226" s="41">
        <v>318</v>
      </c>
      <c r="F226" s="52">
        <v>28</v>
      </c>
      <c r="G226" s="118"/>
      <c r="H226" s="133">
        <v>230</v>
      </c>
      <c r="I226" s="29"/>
      <c r="J226" s="231"/>
      <c r="K226" s="231"/>
      <c r="L226" s="231"/>
      <c r="M226" s="231"/>
      <c r="N226" s="231"/>
      <c r="O226" s="231"/>
      <c r="P226" s="231"/>
      <c r="Q226" s="231"/>
      <c r="R226" s="231"/>
      <c r="S226" s="231"/>
      <c r="T226" s="231"/>
      <c r="U226" s="231"/>
      <c r="V226" s="231"/>
      <c r="W226" s="231"/>
      <c r="X226" s="231"/>
      <c r="Y226" s="231"/>
      <c r="Z226" s="231"/>
      <c r="AA226" s="231"/>
      <c r="AB226" s="231"/>
      <c r="AC226" s="231"/>
      <c r="AD226" s="231"/>
      <c r="AE226" s="231"/>
      <c r="AF226" s="231"/>
      <c r="AG226" s="231"/>
      <c r="AH226" s="231"/>
    </row>
    <row r="227" spans="1:34" s="203" customFormat="1">
      <c r="A227" s="120">
        <v>2</v>
      </c>
      <c r="B227" s="47" t="s">
        <v>181</v>
      </c>
      <c r="C227" s="47"/>
      <c r="D227" s="47"/>
      <c r="E227" s="49">
        <v>609</v>
      </c>
      <c r="F227" s="52">
        <f>304</f>
        <v>304</v>
      </c>
      <c r="G227" s="118"/>
      <c r="H227" s="122">
        <f>574</f>
        <v>574</v>
      </c>
      <c r="I227" s="29"/>
      <c r="J227" s="231"/>
      <c r="K227" s="231"/>
      <c r="L227" s="231"/>
      <c r="M227" s="231"/>
      <c r="N227" s="231"/>
      <c r="O227" s="231"/>
      <c r="P227" s="231"/>
      <c r="Q227" s="231"/>
      <c r="R227" s="231"/>
      <c r="S227" s="231"/>
      <c r="T227" s="231"/>
      <c r="U227" s="231"/>
      <c r="V227" s="231"/>
      <c r="W227" s="231"/>
      <c r="X227" s="231"/>
      <c r="Y227" s="231"/>
      <c r="Z227" s="231"/>
      <c r="AA227" s="231"/>
      <c r="AB227" s="231"/>
      <c r="AC227" s="231"/>
      <c r="AD227" s="231"/>
      <c r="AE227" s="231"/>
      <c r="AF227" s="231"/>
      <c r="AG227" s="231"/>
      <c r="AH227" s="231"/>
    </row>
    <row r="228" spans="1:34" s="203" customFormat="1">
      <c r="A228" s="120">
        <v>3</v>
      </c>
      <c r="B228" s="47" t="s">
        <v>182</v>
      </c>
      <c r="C228" s="47"/>
      <c r="D228" s="47"/>
      <c r="E228" s="114">
        <v>631</v>
      </c>
      <c r="F228" s="52">
        <f>595</f>
        <v>595</v>
      </c>
      <c r="G228" s="118"/>
      <c r="H228" s="122">
        <f>576</f>
        <v>576</v>
      </c>
      <c r="I228" s="29"/>
      <c r="J228" s="231"/>
      <c r="K228" s="231"/>
      <c r="L228" s="231"/>
      <c r="M228" s="231"/>
      <c r="N228" s="231"/>
      <c r="O228" s="231"/>
      <c r="P228" s="231"/>
      <c r="Q228" s="231"/>
      <c r="R228" s="231"/>
      <c r="S228" s="231"/>
      <c r="T228" s="231"/>
      <c r="U228" s="231"/>
      <c r="V228" s="231"/>
      <c r="W228" s="231"/>
      <c r="X228" s="231"/>
      <c r="Y228" s="231"/>
      <c r="Z228" s="231"/>
      <c r="AA228" s="231"/>
      <c r="AB228" s="231"/>
      <c r="AC228" s="231"/>
      <c r="AD228" s="231"/>
      <c r="AE228" s="231"/>
      <c r="AF228" s="231"/>
      <c r="AG228" s="231"/>
      <c r="AH228" s="231"/>
    </row>
    <row r="229" spans="1:34" s="203" customFormat="1">
      <c r="A229" s="120">
        <v>4</v>
      </c>
      <c r="B229" s="47" t="s">
        <v>183</v>
      </c>
      <c r="C229" s="47"/>
      <c r="D229" s="47"/>
      <c r="E229" s="114">
        <v>0</v>
      </c>
      <c r="F229" s="52">
        <v>0</v>
      </c>
      <c r="G229" s="118"/>
      <c r="H229" s="122">
        <v>0</v>
      </c>
      <c r="I229" s="29"/>
      <c r="J229" s="231"/>
      <c r="K229" s="231"/>
      <c r="L229" s="231"/>
      <c r="M229" s="231"/>
      <c r="N229" s="231"/>
      <c r="O229" s="231"/>
      <c r="P229" s="231"/>
      <c r="Q229" s="231"/>
      <c r="R229" s="231"/>
      <c r="S229" s="231"/>
      <c r="T229" s="231"/>
      <c r="U229" s="231"/>
      <c r="V229" s="231"/>
      <c r="W229" s="231"/>
      <c r="X229" s="231"/>
      <c r="Y229" s="231"/>
      <c r="Z229" s="231"/>
      <c r="AA229" s="231"/>
      <c r="AB229" s="231"/>
      <c r="AC229" s="231"/>
      <c r="AD229" s="231"/>
      <c r="AE229" s="231"/>
      <c r="AF229" s="231"/>
      <c r="AG229" s="231"/>
      <c r="AH229" s="231"/>
    </row>
    <row r="230" spans="1:34" s="203" customFormat="1">
      <c r="A230" s="120">
        <v>5</v>
      </c>
      <c r="B230" s="47" t="s">
        <v>184</v>
      </c>
      <c r="C230" s="47"/>
      <c r="D230" s="47"/>
      <c r="E230" s="114">
        <v>1038</v>
      </c>
      <c r="F230" s="52">
        <f>1399</f>
        <v>1399</v>
      </c>
      <c r="G230" s="118"/>
      <c r="H230" s="99">
        <v>1151</v>
      </c>
      <c r="I230" s="29"/>
      <c r="J230" s="231"/>
      <c r="K230" s="231"/>
      <c r="L230" s="231"/>
      <c r="M230" s="231"/>
      <c r="N230" s="231"/>
      <c r="O230" s="231"/>
      <c r="P230" s="231"/>
      <c r="Q230" s="231"/>
      <c r="R230" s="231"/>
      <c r="S230" s="231"/>
      <c r="T230" s="231"/>
      <c r="U230" s="231"/>
      <c r="V230" s="231"/>
      <c r="W230" s="231"/>
      <c r="X230" s="231"/>
      <c r="Y230" s="231"/>
      <c r="Z230" s="231"/>
      <c r="AA230" s="231"/>
      <c r="AB230" s="231"/>
      <c r="AC230" s="231"/>
      <c r="AD230" s="231"/>
      <c r="AE230" s="231"/>
      <c r="AF230" s="231"/>
      <c r="AG230" s="231"/>
      <c r="AH230" s="231"/>
    </row>
    <row r="231" spans="1:34" s="203" customFormat="1">
      <c r="A231" s="124">
        <v>6</v>
      </c>
      <c r="B231" s="173" t="s">
        <v>185</v>
      </c>
      <c r="C231" s="173"/>
      <c r="D231" s="173"/>
      <c r="E231" s="159">
        <v>2596</v>
      </c>
      <c r="F231" s="61">
        <f>SUM(F226:F230)</f>
        <v>2326</v>
      </c>
      <c r="G231" s="118"/>
      <c r="H231" s="61">
        <f>SUM(H226:H230)</f>
        <v>2531</v>
      </c>
      <c r="I231" s="29"/>
      <c r="J231" s="231"/>
      <c r="K231" s="231"/>
      <c r="L231" s="231"/>
      <c r="M231" s="231"/>
      <c r="N231" s="231"/>
      <c r="O231" s="231"/>
      <c r="P231" s="231"/>
      <c r="Q231" s="231"/>
      <c r="R231" s="231"/>
      <c r="S231" s="231"/>
      <c r="T231" s="231"/>
      <c r="U231" s="231"/>
      <c r="V231" s="231"/>
      <c r="W231" s="231"/>
      <c r="X231" s="231"/>
      <c r="Y231" s="231"/>
      <c r="Z231" s="231"/>
      <c r="AA231" s="231"/>
      <c r="AB231" s="231"/>
      <c r="AC231" s="231"/>
      <c r="AD231" s="231"/>
      <c r="AE231" s="231"/>
      <c r="AF231" s="231"/>
      <c r="AG231" s="231"/>
      <c r="AH231" s="231"/>
    </row>
    <row r="232" spans="1:34" s="203" customFormat="1">
      <c r="A232" s="148"/>
      <c r="B232" s="29"/>
      <c r="C232" s="29"/>
      <c r="D232" s="170"/>
      <c r="E232" s="150"/>
      <c r="F232" s="29"/>
      <c r="G232" s="29"/>
      <c r="H232" s="207"/>
      <c r="I232" s="29"/>
      <c r="J232" s="231"/>
      <c r="K232" s="231"/>
      <c r="L232" s="231"/>
      <c r="M232" s="231"/>
      <c r="N232" s="231"/>
      <c r="O232" s="231"/>
      <c r="P232" s="231"/>
      <c r="Q232" s="231"/>
      <c r="R232" s="231"/>
      <c r="S232" s="231"/>
      <c r="T232" s="231"/>
      <c r="U232" s="231"/>
      <c r="V232" s="231"/>
      <c r="W232" s="231"/>
      <c r="X232" s="231"/>
      <c r="Y232" s="231"/>
      <c r="Z232" s="231"/>
      <c r="AA232" s="231"/>
      <c r="AB232" s="231"/>
      <c r="AC232" s="231"/>
      <c r="AD232" s="231"/>
      <c r="AE232" s="231"/>
      <c r="AF232" s="231"/>
      <c r="AG232" s="231"/>
      <c r="AH232" s="231"/>
    </row>
    <row r="233" spans="1:34" s="203" customFormat="1">
      <c r="A233" s="148"/>
      <c r="B233" s="29"/>
      <c r="C233" s="29"/>
      <c r="D233" s="172"/>
      <c r="E233" s="152"/>
      <c r="F233" s="29"/>
      <c r="G233" s="29"/>
      <c r="H233" s="131" t="s">
        <v>27</v>
      </c>
      <c r="I233" s="29"/>
      <c r="J233" s="231"/>
      <c r="K233" s="231"/>
      <c r="L233" s="231"/>
      <c r="M233" s="231"/>
      <c r="N233" s="231"/>
      <c r="O233" s="231"/>
      <c r="P233" s="231"/>
      <c r="Q233" s="231"/>
      <c r="R233" s="231"/>
      <c r="S233" s="231"/>
      <c r="T233" s="231"/>
      <c r="U233" s="231"/>
      <c r="V233" s="231"/>
      <c r="W233" s="231"/>
      <c r="X233" s="231"/>
      <c r="Y233" s="231"/>
      <c r="Z233" s="231"/>
      <c r="AA233" s="231"/>
      <c r="AB233" s="231"/>
      <c r="AC233" s="231"/>
      <c r="AD233" s="231"/>
      <c r="AE233" s="231"/>
      <c r="AF233" s="231"/>
      <c r="AG233" s="231"/>
      <c r="AH233" s="231"/>
    </row>
    <row r="234" spans="1:34" s="203" customFormat="1" ht="12.75" customHeight="1">
      <c r="A234" s="106" t="s">
        <v>12</v>
      </c>
      <c r="B234" s="164"/>
      <c r="C234" s="164"/>
      <c r="D234" s="164"/>
      <c r="E234" s="856" t="s">
        <v>377</v>
      </c>
      <c r="F234" s="856" t="s">
        <v>402</v>
      </c>
      <c r="G234" s="130"/>
      <c r="H234" s="856" t="s">
        <v>403</v>
      </c>
      <c r="I234" s="130"/>
      <c r="J234" s="231"/>
      <c r="K234" s="231"/>
      <c r="L234" s="231"/>
      <c r="M234" s="231"/>
      <c r="N234" s="231"/>
      <c r="O234" s="231"/>
      <c r="P234" s="231"/>
      <c r="Q234" s="231"/>
      <c r="R234" s="231"/>
      <c r="S234" s="231"/>
      <c r="T234" s="231"/>
      <c r="U234" s="231"/>
      <c r="V234" s="231"/>
      <c r="W234" s="231"/>
      <c r="X234" s="231"/>
      <c r="Y234" s="231"/>
      <c r="Z234" s="231"/>
      <c r="AA234" s="231"/>
      <c r="AB234" s="231"/>
      <c r="AC234" s="231"/>
      <c r="AD234" s="231"/>
      <c r="AE234" s="231"/>
      <c r="AF234" s="231"/>
      <c r="AG234" s="231"/>
      <c r="AH234" s="231"/>
    </row>
    <row r="235" spans="1:34" s="203" customFormat="1">
      <c r="A235" s="165"/>
      <c r="B235" s="47"/>
      <c r="C235" s="47"/>
      <c r="D235" s="47"/>
      <c r="E235" s="859"/>
      <c r="F235" s="859"/>
      <c r="G235" s="130"/>
      <c r="H235" s="859"/>
      <c r="I235" s="130"/>
      <c r="J235" s="231"/>
      <c r="K235" s="231"/>
      <c r="L235" s="231"/>
      <c r="M235" s="231"/>
      <c r="N235" s="231"/>
      <c r="O235" s="231"/>
      <c r="P235" s="231"/>
      <c r="Q235" s="231"/>
      <c r="R235" s="231"/>
      <c r="S235" s="231"/>
      <c r="T235" s="231"/>
      <c r="U235" s="231"/>
      <c r="V235" s="231"/>
      <c r="W235" s="231"/>
      <c r="X235" s="231"/>
      <c r="Y235" s="231"/>
      <c r="Z235" s="231"/>
      <c r="AA235" s="231"/>
      <c r="AB235" s="231"/>
      <c r="AC235" s="231"/>
      <c r="AD235" s="231"/>
      <c r="AE235" s="231"/>
      <c r="AF235" s="231"/>
      <c r="AG235" s="231"/>
      <c r="AH235" s="231"/>
    </row>
    <row r="236" spans="1:34" s="203" customFormat="1">
      <c r="A236" s="154" t="s">
        <v>186</v>
      </c>
      <c r="B236" s="174"/>
      <c r="C236" s="174"/>
      <c r="D236" s="174"/>
      <c r="E236" s="859"/>
      <c r="F236" s="859"/>
      <c r="G236" s="130"/>
      <c r="H236" s="859"/>
      <c r="I236" s="130"/>
      <c r="J236" s="231"/>
      <c r="K236" s="231"/>
      <c r="L236" s="231"/>
      <c r="M236" s="231"/>
      <c r="N236" s="231"/>
      <c r="O236" s="231"/>
      <c r="P236" s="231"/>
      <c r="Q236" s="231"/>
      <c r="R236" s="231"/>
      <c r="S236" s="231"/>
      <c r="T236" s="231"/>
      <c r="U236" s="231"/>
      <c r="V236" s="231"/>
      <c r="W236" s="231"/>
      <c r="X236" s="231"/>
      <c r="Y236" s="231"/>
      <c r="Z236" s="231"/>
      <c r="AA236" s="231"/>
      <c r="AB236" s="231"/>
      <c r="AC236" s="231"/>
      <c r="AD236" s="231"/>
      <c r="AE236" s="231"/>
      <c r="AF236" s="231"/>
      <c r="AG236" s="231"/>
      <c r="AH236" s="231"/>
    </row>
    <row r="237" spans="1:34" s="203" customFormat="1">
      <c r="A237" s="109" t="s">
        <v>83</v>
      </c>
      <c r="B237" s="47"/>
      <c r="C237" s="47"/>
      <c r="D237" s="47"/>
      <c r="E237" s="859"/>
      <c r="F237" s="859"/>
      <c r="G237" s="130"/>
      <c r="H237" s="859"/>
      <c r="I237" s="130"/>
      <c r="J237" s="231"/>
      <c r="K237" s="231"/>
      <c r="L237" s="231"/>
      <c r="M237" s="231"/>
      <c r="N237" s="231"/>
      <c r="O237" s="231"/>
      <c r="P237" s="231"/>
      <c r="Q237" s="231"/>
      <c r="R237" s="231"/>
      <c r="S237" s="231"/>
      <c r="T237" s="231"/>
      <c r="U237" s="231"/>
      <c r="V237" s="231"/>
      <c r="W237" s="231"/>
      <c r="X237" s="231"/>
      <c r="Y237" s="231"/>
      <c r="Z237" s="231"/>
      <c r="AA237" s="231"/>
      <c r="AB237" s="231"/>
      <c r="AC237" s="231"/>
      <c r="AD237" s="231"/>
      <c r="AE237" s="231"/>
      <c r="AF237" s="231"/>
      <c r="AG237" s="231"/>
      <c r="AH237" s="231"/>
    </row>
    <row r="238" spans="1:34" s="203" customFormat="1">
      <c r="A238" s="110" t="s">
        <v>84</v>
      </c>
      <c r="B238" s="174"/>
      <c r="C238" s="174"/>
      <c r="D238" s="174"/>
      <c r="E238" s="860"/>
      <c r="F238" s="860"/>
      <c r="G238" s="130"/>
      <c r="H238" s="860"/>
      <c r="I238" s="130"/>
      <c r="J238" s="231"/>
      <c r="K238" s="231"/>
      <c r="L238" s="231"/>
      <c r="M238" s="231"/>
      <c r="N238" s="231"/>
      <c r="O238" s="231"/>
      <c r="P238" s="231"/>
      <c r="Q238" s="231"/>
      <c r="R238" s="231"/>
      <c r="S238" s="231"/>
      <c r="T238" s="231"/>
      <c r="U238" s="231"/>
      <c r="V238" s="231"/>
      <c r="W238" s="231"/>
      <c r="X238" s="231"/>
      <c r="Y238" s="231"/>
      <c r="Z238" s="231"/>
      <c r="AA238" s="231"/>
      <c r="AB238" s="231"/>
      <c r="AC238" s="231"/>
      <c r="AD238" s="231"/>
      <c r="AE238" s="231"/>
      <c r="AF238" s="231"/>
      <c r="AG238" s="231"/>
      <c r="AH238" s="231"/>
    </row>
    <row r="239" spans="1:34" s="203" customFormat="1">
      <c r="A239" s="153" t="s">
        <v>187</v>
      </c>
      <c r="B239" s="116"/>
      <c r="C239" s="116"/>
      <c r="D239" s="116"/>
      <c r="E239" s="167"/>
      <c r="F239" s="146"/>
      <c r="G239" s="118"/>
      <c r="H239" s="146"/>
      <c r="I239" s="29"/>
      <c r="J239" s="231"/>
      <c r="K239" s="231"/>
      <c r="L239" s="231"/>
      <c r="M239" s="231"/>
      <c r="N239" s="231"/>
      <c r="O239" s="231"/>
      <c r="P239" s="231"/>
      <c r="Q239" s="231"/>
      <c r="R239" s="231"/>
      <c r="S239" s="231"/>
      <c r="T239" s="231"/>
      <c r="U239" s="231"/>
      <c r="V239" s="231"/>
      <c r="W239" s="231"/>
      <c r="X239" s="231"/>
      <c r="Y239" s="231"/>
      <c r="Z239" s="231"/>
      <c r="AA239" s="231"/>
      <c r="AB239" s="231"/>
      <c r="AC239" s="231"/>
      <c r="AD239" s="231"/>
      <c r="AE239" s="231"/>
      <c r="AF239" s="231"/>
      <c r="AG239" s="231"/>
      <c r="AH239" s="231"/>
    </row>
    <row r="240" spans="1:34" s="203" customFormat="1">
      <c r="A240" s="120">
        <v>1</v>
      </c>
      <c r="B240" s="47" t="s">
        <v>188</v>
      </c>
      <c r="C240" s="47"/>
      <c r="D240" s="47"/>
      <c r="E240" s="74">
        <v>92</v>
      </c>
      <c r="F240" s="52">
        <v>54</v>
      </c>
      <c r="G240" s="118"/>
      <c r="H240" s="122">
        <v>92</v>
      </c>
      <c r="I240" s="29"/>
      <c r="J240" s="231"/>
      <c r="K240" s="231"/>
      <c r="L240" s="231"/>
      <c r="M240" s="231"/>
      <c r="N240" s="231"/>
      <c r="O240" s="231"/>
      <c r="P240" s="231"/>
      <c r="Q240" s="231"/>
      <c r="R240" s="231"/>
      <c r="S240" s="231"/>
      <c r="T240" s="231"/>
      <c r="U240" s="231"/>
      <c r="V240" s="231"/>
      <c r="W240" s="231"/>
      <c r="X240" s="231"/>
      <c r="Y240" s="231"/>
      <c r="Z240" s="231"/>
      <c r="AA240" s="231"/>
      <c r="AB240" s="231"/>
      <c r="AC240" s="231"/>
      <c r="AD240" s="231"/>
      <c r="AE240" s="231"/>
      <c r="AF240" s="231"/>
      <c r="AG240" s="231"/>
      <c r="AH240" s="231"/>
    </row>
    <row r="241" spans="1:34" s="203" customFormat="1">
      <c r="A241" s="748">
        <v>2</v>
      </c>
      <c r="B241" s="47" t="s">
        <v>189</v>
      </c>
      <c r="C241" s="47"/>
      <c r="D241" s="47"/>
      <c r="E241" s="114">
        <v>19</v>
      </c>
      <c r="F241" s="52">
        <v>92</v>
      </c>
      <c r="G241" s="118"/>
      <c r="H241" s="100">
        <v>56</v>
      </c>
      <c r="I241" s="29"/>
      <c r="J241" s="231"/>
      <c r="K241" s="231"/>
      <c r="L241" s="231"/>
      <c r="M241" s="231"/>
      <c r="N241" s="231"/>
      <c r="O241" s="231"/>
      <c r="P241" s="231"/>
      <c r="Q241" s="231"/>
      <c r="R241" s="231"/>
      <c r="S241" s="231"/>
      <c r="T241" s="231"/>
      <c r="U241" s="231"/>
      <c r="V241" s="231"/>
      <c r="W241" s="231"/>
      <c r="X241" s="231"/>
      <c r="Y241" s="231"/>
      <c r="Z241" s="231"/>
      <c r="AA241" s="231"/>
      <c r="AB241" s="231"/>
      <c r="AC241" s="231"/>
      <c r="AD241" s="231"/>
      <c r="AE241" s="231"/>
      <c r="AF241" s="231"/>
      <c r="AG241" s="231"/>
      <c r="AH241" s="231"/>
    </row>
    <row r="242" spans="1:34" s="203" customFormat="1">
      <c r="A242" s="748">
        <v>3</v>
      </c>
      <c r="B242" s="168" t="s">
        <v>190</v>
      </c>
      <c r="C242" s="168"/>
      <c r="D242" s="168"/>
      <c r="E242" s="80">
        <v>111</v>
      </c>
      <c r="F242" s="142">
        <f>SUM(F240:F241)</f>
        <v>146</v>
      </c>
      <c r="G242" s="118"/>
      <c r="H242" s="142">
        <f>SUM(H240:H241)</f>
        <v>148</v>
      </c>
      <c r="I242" s="29"/>
      <c r="J242" s="231"/>
      <c r="K242" s="231"/>
      <c r="L242" s="231"/>
      <c r="M242" s="231"/>
      <c r="N242" s="231"/>
      <c r="O242" s="231"/>
      <c r="P242" s="231"/>
      <c r="Q242" s="231"/>
      <c r="R242" s="231"/>
      <c r="S242" s="231"/>
      <c r="T242" s="231"/>
      <c r="U242" s="231"/>
      <c r="V242" s="231"/>
      <c r="W242" s="231"/>
      <c r="X242" s="231"/>
      <c r="Y242" s="231"/>
      <c r="Z242" s="231"/>
      <c r="AA242" s="231"/>
      <c r="AB242" s="231"/>
      <c r="AC242" s="231"/>
      <c r="AD242" s="231"/>
      <c r="AE242" s="231"/>
      <c r="AF242" s="231"/>
      <c r="AG242" s="231"/>
      <c r="AH242" s="231"/>
    </row>
    <row r="243" spans="1:34" s="203" customFormat="1">
      <c r="A243" s="748"/>
      <c r="B243" s="116"/>
      <c r="C243" s="116"/>
      <c r="D243" s="116"/>
      <c r="E243" s="117"/>
      <c r="F243" s="118"/>
      <c r="G243" s="118"/>
      <c r="H243" s="118"/>
      <c r="I243" s="29"/>
      <c r="J243" s="231"/>
      <c r="K243" s="231"/>
      <c r="L243" s="231"/>
      <c r="M243" s="231"/>
      <c r="N243" s="231"/>
      <c r="O243" s="231"/>
      <c r="P243" s="231"/>
      <c r="Q243" s="231"/>
      <c r="R243" s="231"/>
      <c r="S243" s="231"/>
      <c r="T243" s="231"/>
      <c r="U243" s="231"/>
      <c r="V243" s="231"/>
      <c r="W243" s="231"/>
      <c r="X243" s="231"/>
      <c r="Y243" s="231"/>
      <c r="Z243" s="231"/>
      <c r="AA243" s="231"/>
      <c r="AB243" s="231"/>
      <c r="AC243" s="231"/>
      <c r="AD243" s="231"/>
      <c r="AE243" s="231"/>
      <c r="AF243" s="231"/>
      <c r="AG243" s="231"/>
      <c r="AH243" s="231"/>
    </row>
    <row r="244" spans="1:34" s="203" customFormat="1">
      <c r="A244" s="108" t="s">
        <v>191</v>
      </c>
      <c r="B244" s="47"/>
      <c r="C244" s="47"/>
      <c r="D244" s="47"/>
      <c r="E244" s="140"/>
      <c r="F244" s="146"/>
      <c r="G244" s="118"/>
      <c r="H244" s="146"/>
      <c r="I244" s="29"/>
      <c r="J244" s="231"/>
      <c r="K244" s="231"/>
      <c r="L244" s="231"/>
      <c r="M244" s="231"/>
      <c r="N244" s="231"/>
      <c r="O244" s="231"/>
      <c r="P244" s="231"/>
      <c r="Q244" s="231"/>
      <c r="R244" s="231"/>
      <c r="S244" s="231"/>
      <c r="T244" s="231"/>
      <c r="U244" s="231"/>
      <c r="V244" s="231"/>
      <c r="W244" s="231"/>
      <c r="X244" s="231"/>
      <c r="Y244" s="231"/>
      <c r="Z244" s="231"/>
      <c r="AA244" s="231"/>
      <c r="AB244" s="231"/>
      <c r="AC244" s="231"/>
      <c r="AD244" s="231"/>
      <c r="AE244" s="231"/>
      <c r="AF244" s="231"/>
      <c r="AG244" s="231"/>
      <c r="AH244" s="231"/>
    </row>
    <row r="245" spans="1:34" s="203" customFormat="1">
      <c r="A245" s="748">
        <v>4</v>
      </c>
      <c r="B245" s="47" t="s">
        <v>192</v>
      </c>
      <c r="C245" s="47"/>
      <c r="D245" s="47"/>
      <c r="E245" s="74">
        <v>0</v>
      </c>
      <c r="F245" s="52">
        <v>0</v>
      </c>
      <c r="G245" s="118"/>
      <c r="H245" s="122">
        <v>0</v>
      </c>
      <c r="I245" s="29"/>
      <c r="J245" s="231"/>
      <c r="K245" s="231"/>
      <c r="L245" s="231"/>
      <c r="M245" s="231"/>
      <c r="N245" s="231"/>
      <c r="O245" s="231"/>
      <c r="P245" s="231"/>
      <c r="Q245" s="231"/>
      <c r="R245" s="231"/>
      <c r="S245" s="231"/>
      <c r="T245" s="231"/>
      <c r="U245" s="231"/>
      <c r="V245" s="231"/>
      <c r="W245" s="231"/>
      <c r="X245" s="231"/>
      <c r="Y245" s="231"/>
      <c r="Z245" s="231"/>
      <c r="AA245" s="231"/>
      <c r="AB245" s="231"/>
      <c r="AC245" s="231"/>
      <c r="AD245" s="231"/>
      <c r="AE245" s="231"/>
      <c r="AF245" s="231"/>
      <c r="AG245" s="231"/>
      <c r="AH245" s="231"/>
    </row>
    <row r="246" spans="1:34" s="203" customFormat="1">
      <c r="A246" s="748">
        <v>5</v>
      </c>
      <c r="B246" s="47" t="s">
        <v>193</v>
      </c>
      <c r="C246" s="47"/>
      <c r="D246" s="47"/>
      <c r="E246" s="49">
        <v>212</v>
      </c>
      <c r="F246" s="52">
        <v>255</v>
      </c>
      <c r="G246" s="118"/>
      <c r="H246" s="100">
        <v>245</v>
      </c>
      <c r="I246" s="29"/>
      <c r="J246" s="231"/>
      <c r="K246" s="231"/>
      <c r="L246" s="231"/>
      <c r="M246" s="231"/>
      <c r="N246" s="231"/>
      <c r="O246" s="231"/>
      <c r="P246" s="231"/>
      <c r="Q246" s="231"/>
      <c r="R246" s="231"/>
      <c r="S246" s="231"/>
      <c r="T246" s="231"/>
      <c r="U246" s="231"/>
      <c r="V246" s="231"/>
      <c r="W246" s="231"/>
      <c r="X246" s="231"/>
      <c r="Y246" s="231"/>
      <c r="Z246" s="231"/>
      <c r="AA246" s="231"/>
      <c r="AB246" s="231"/>
      <c r="AC246" s="231"/>
      <c r="AD246" s="231"/>
      <c r="AE246" s="231"/>
      <c r="AF246" s="231"/>
      <c r="AG246" s="231"/>
      <c r="AH246" s="231"/>
    </row>
    <row r="247" spans="1:34" s="203" customFormat="1">
      <c r="A247" s="748">
        <v>6</v>
      </c>
      <c r="B247" s="116" t="s">
        <v>194</v>
      </c>
      <c r="C247" s="116"/>
      <c r="D247" s="116"/>
      <c r="E247" s="80">
        <v>212</v>
      </c>
      <c r="F247" s="142">
        <f>SUM(F245:F246)</f>
        <v>255</v>
      </c>
      <c r="G247" s="118"/>
      <c r="H247" s="142">
        <f>SUM(H245:H246)</f>
        <v>245</v>
      </c>
      <c r="I247" s="29"/>
      <c r="J247" s="231"/>
      <c r="K247" s="231"/>
      <c r="L247" s="231"/>
      <c r="M247" s="231"/>
      <c r="N247" s="231"/>
      <c r="O247" s="231"/>
      <c r="P247" s="231"/>
      <c r="Q247" s="231"/>
      <c r="R247" s="231"/>
      <c r="S247" s="231"/>
      <c r="T247" s="231"/>
      <c r="U247" s="231"/>
      <c r="V247" s="231"/>
      <c r="W247" s="231"/>
      <c r="X247" s="231"/>
      <c r="Y247" s="231"/>
      <c r="Z247" s="231"/>
      <c r="AA247" s="231"/>
      <c r="AB247" s="231"/>
      <c r="AC247" s="231"/>
      <c r="AD247" s="231"/>
      <c r="AE247" s="231"/>
      <c r="AF247" s="231"/>
      <c r="AG247" s="231"/>
      <c r="AH247" s="231"/>
    </row>
    <row r="248" spans="1:34" s="203" customFormat="1">
      <c r="A248" s="748"/>
      <c r="B248" s="116"/>
      <c r="C248" s="116"/>
      <c r="D248" s="116"/>
      <c r="E248" s="117"/>
      <c r="F248" s="118"/>
      <c r="G248" s="118"/>
      <c r="H248" s="118"/>
      <c r="I248" s="29"/>
      <c r="J248" s="231"/>
      <c r="K248" s="231"/>
      <c r="L248" s="231"/>
      <c r="M248" s="231"/>
      <c r="N248" s="231"/>
      <c r="O248" s="231"/>
      <c r="P248" s="231"/>
      <c r="Q248" s="231"/>
      <c r="R248" s="231"/>
      <c r="S248" s="231"/>
      <c r="T248" s="231"/>
      <c r="U248" s="231"/>
      <c r="V248" s="231"/>
      <c r="W248" s="231"/>
      <c r="X248" s="231"/>
      <c r="Y248" s="231"/>
      <c r="Z248" s="231"/>
      <c r="AA248" s="231"/>
      <c r="AB248" s="231"/>
      <c r="AC248" s="231"/>
      <c r="AD248" s="231"/>
      <c r="AE248" s="231"/>
      <c r="AF248" s="231"/>
      <c r="AG248" s="231"/>
      <c r="AH248" s="231"/>
    </row>
    <row r="249" spans="1:34" s="203" customFormat="1">
      <c r="A249" s="108" t="s">
        <v>195</v>
      </c>
      <c r="B249" s="116"/>
      <c r="C249" s="116"/>
      <c r="D249" s="116"/>
      <c r="E249" s="140"/>
      <c r="F249" s="146"/>
      <c r="G249" s="118"/>
      <c r="H249" s="146"/>
      <c r="I249" s="29"/>
      <c r="J249" s="231"/>
      <c r="K249" s="231"/>
      <c r="L249" s="231"/>
      <c r="M249" s="231"/>
      <c r="N249" s="231"/>
      <c r="O249" s="231"/>
      <c r="P249" s="231"/>
      <c r="Q249" s="231"/>
      <c r="R249" s="231"/>
      <c r="S249" s="231"/>
      <c r="T249" s="231"/>
      <c r="U249" s="231"/>
      <c r="V249" s="231"/>
      <c r="W249" s="231"/>
      <c r="X249" s="231"/>
      <c r="Y249" s="231"/>
      <c r="Z249" s="231"/>
      <c r="AA249" s="231"/>
      <c r="AB249" s="231"/>
      <c r="AC249" s="231"/>
      <c r="AD249" s="231"/>
      <c r="AE249" s="231"/>
      <c r="AF249" s="231"/>
      <c r="AG249" s="231"/>
      <c r="AH249" s="231"/>
    </row>
    <row r="250" spans="1:34" s="203" customFormat="1">
      <c r="A250" s="748">
        <v>7</v>
      </c>
      <c r="B250" s="47" t="s">
        <v>196</v>
      </c>
      <c r="C250" s="47"/>
      <c r="D250" s="47"/>
      <c r="E250" s="74">
        <v>1481</v>
      </c>
      <c r="F250" s="52">
        <v>1425</v>
      </c>
      <c r="G250" s="118"/>
      <c r="H250" s="52">
        <v>1395</v>
      </c>
      <c r="I250" s="29"/>
      <c r="J250" s="231"/>
      <c r="K250" s="231"/>
      <c r="L250" s="231"/>
      <c r="M250" s="231"/>
      <c r="N250" s="231"/>
      <c r="O250" s="231"/>
      <c r="P250" s="231"/>
      <c r="Q250" s="231"/>
      <c r="R250" s="231"/>
      <c r="S250" s="231"/>
      <c r="T250" s="231"/>
      <c r="U250" s="231"/>
      <c r="V250" s="231"/>
      <c r="W250" s="231"/>
      <c r="X250" s="231"/>
      <c r="Y250" s="231"/>
      <c r="Z250" s="231"/>
      <c r="AA250" s="231"/>
      <c r="AB250" s="231"/>
      <c r="AC250" s="231"/>
      <c r="AD250" s="231"/>
      <c r="AE250" s="231"/>
      <c r="AF250" s="231"/>
      <c r="AG250" s="231"/>
      <c r="AH250" s="231"/>
    </row>
    <row r="251" spans="1:34" s="203" customFormat="1">
      <c r="A251" s="748">
        <v>8</v>
      </c>
      <c r="B251" s="47" t="s">
        <v>197</v>
      </c>
      <c r="C251" s="47"/>
      <c r="D251" s="47"/>
      <c r="E251" s="49">
        <v>3157</v>
      </c>
      <c r="F251" s="52">
        <v>3215</v>
      </c>
      <c r="G251" s="118"/>
      <c r="H251" s="122">
        <v>3206</v>
      </c>
      <c r="I251" s="29"/>
      <c r="J251" s="231"/>
      <c r="K251" s="231"/>
      <c r="L251" s="231"/>
      <c r="M251" s="231"/>
      <c r="N251" s="231"/>
      <c r="O251" s="231"/>
      <c r="P251" s="231"/>
      <c r="Q251" s="231"/>
      <c r="R251" s="231"/>
      <c r="S251" s="231"/>
      <c r="T251" s="231"/>
      <c r="U251" s="231"/>
      <c r="V251" s="231"/>
      <c r="W251" s="231"/>
      <c r="X251" s="231"/>
      <c r="Y251" s="231"/>
      <c r="Z251" s="231"/>
      <c r="AA251" s="231"/>
      <c r="AB251" s="231"/>
      <c r="AC251" s="231"/>
      <c r="AD251" s="231"/>
      <c r="AE251" s="231"/>
      <c r="AF251" s="231"/>
      <c r="AG251" s="231"/>
      <c r="AH251" s="231"/>
    </row>
    <row r="252" spans="1:34" s="203" customFormat="1">
      <c r="A252" s="748">
        <v>9</v>
      </c>
      <c r="B252" s="47" t="s">
        <v>198</v>
      </c>
      <c r="C252" s="47"/>
      <c r="D252" s="47"/>
      <c r="E252" s="49">
        <v>493</v>
      </c>
      <c r="F252" s="52">
        <v>568</v>
      </c>
      <c r="G252" s="118"/>
      <c r="H252" s="122">
        <v>438</v>
      </c>
      <c r="I252" s="29"/>
      <c r="J252" s="231"/>
      <c r="K252" s="231"/>
      <c r="L252" s="231"/>
      <c r="M252" s="231"/>
      <c r="N252" s="231"/>
      <c r="O252" s="231"/>
      <c r="P252" s="231"/>
      <c r="Q252" s="231"/>
      <c r="R252" s="231"/>
      <c r="S252" s="231"/>
      <c r="T252" s="231"/>
      <c r="U252" s="231"/>
      <c r="V252" s="231"/>
      <c r="W252" s="231"/>
      <c r="X252" s="231"/>
      <c r="Y252" s="231"/>
      <c r="Z252" s="231"/>
      <c r="AA252" s="231"/>
      <c r="AB252" s="231"/>
      <c r="AC252" s="231"/>
      <c r="AD252" s="231"/>
      <c r="AE252" s="231"/>
      <c r="AF252" s="231"/>
      <c r="AG252" s="231"/>
      <c r="AH252" s="231"/>
    </row>
    <row r="253" spans="1:34" s="203" customFormat="1">
      <c r="A253" s="748">
        <v>10</v>
      </c>
      <c r="B253" s="47" t="s">
        <v>199</v>
      </c>
      <c r="C253" s="47"/>
      <c r="D253" s="47"/>
      <c r="E253" s="49">
        <v>445</v>
      </c>
      <c r="F253" s="52">
        <v>771</v>
      </c>
      <c r="G253" s="118"/>
      <c r="H253" s="100">
        <v>469</v>
      </c>
      <c r="I253" s="29"/>
      <c r="J253" s="231"/>
      <c r="K253" s="231"/>
      <c r="L253" s="231"/>
      <c r="M253" s="231"/>
      <c r="N253" s="231"/>
      <c r="O253" s="231"/>
      <c r="P253" s="231"/>
      <c r="Q253" s="231"/>
      <c r="R253" s="231"/>
      <c r="S253" s="231"/>
      <c r="T253" s="231"/>
      <c r="U253" s="231"/>
      <c r="V253" s="231"/>
      <c r="W253" s="231"/>
      <c r="X253" s="231"/>
      <c r="Y253" s="231"/>
      <c r="Z253" s="231"/>
      <c r="AA253" s="231"/>
      <c r="AB253" s="231"/>
      <c r="AC253" s="231"/>
      <c r="AD253" s="231"/>
      <c r="AE253" s="231"/>
      <c r="AF253" s="231"/>
      <c r="AG253" s="231"/>
      <c r="AH253" s="231"/>
    </row>
    <row r="254" spans="1:34" s="203" customFormat="1">
      <c r="A254" s="748">
        <v>11</v>
      </c>
      <c r="B254" s="116" t="s">
        <v>200</v>
      </c>
      <c r="C254" s="116"/>
      <c r="D254" s="116"/>
      <c r="E254" s="80">
        <v>5576</v>
      </c>
      <c r="F254" s="142">
        <f>SUM(F250:F253)</f>
        <v>5979</v>
      </c>
      <c r="G254" s="118"/>
      <c r="H254" s="142">
        <f>SUM(H250:H253)</f>
        <v>5508</v>
      </c>
      <c r="I254" s="260"/>
      <c r="J254" s="231"/>
      <c r="K254" s="231"/>
      <c r="L254" s="231"/>
      <c r="M254" s="231"/>
      <c r="N254" s="231"/>
      <c r="O254" s="231"/>
      <c r="P254" s="231"/>
      <c r="Q254" s="231"/>
      <c r="R254" s="231"/>
      <c r="S254" s="231"/>
      <c r="T254" s="231"/>
      <c r="U254" s="231"/>
      <c r="V254" s="231"/>
      <c r="W254" s="231"/>
      <c r="X254" s="231"/>
      <c r="Y254" s="231"/>
      <c r="Z254" s="231"/>
      <c r="AA254" s="231"/>
      <c r="AB254" s="231"/>
      <c r="AC254" s="231"/>
      <c r="AD254" s="231"/>
      <c r="AE254" s="231"/>
      <c r="AF254" s="231"/>
      <c r="AG254" s="231"/>
      <c r="AH254" s="231"/>
    </row>
    <row r="255" spans="1:34" s="203" customFormat="1">
      <c r="A255" s="748"/>
      <c r="B255" s="116"/>
      <c r="C255" s="116"/>
      <c r="D255" s="116"/>
      <c r="E255" s="117"/>
      <c r="F255" s="118"/>
      <c r="G255" s="118"/>
      <c r="H255" s="118"/>
      <c r="I255" s="29"/>
      <c r="J255" s="231"/>
      <c r="K255" s="231"/>
      <c r="L255" s="231"/>
      <c r="M255" s="231"/>
      <c r="N255" s="231"/>
      <c r="O255" s="231"/>
      <c r="P255" s="231"/>
      <c r="Q255" s="231"/>
      <c r="R255" s="231"/>
      <c r="S255" s="231"/>
      <c r="T255" s="231"/>
      <c r="U255" s="231"/>
      <c r="V255" s="231"/>
      <c r="W255" s="231"/>
      <c r="X255" s="231"/>
      <c r="Y255" s="231"/>
      <c r="Z255" s="231"/>
      <c r="AA255" s="231"/>
      <c r="AB255" s="231"/>
      <c r="AC255" s="231"/>
      <c r="AD255" s="231"/>
      <c r="AE255" s="231"/>
      <c r="AF255" s="231"/>
      <c r="AG255" s="231"/>
      <c r="AH255" s="231"/>
    </row>
    <row r="256" spans="1:34" s="203" customFormat="1">
      <c r="A256" s="748">
        <v>12</v>
      </c>
      <c r="B256" s="47" t="s">
        <v>201</v>
      </c>
      <c r="C256" s="47"/>
      <c r="D256" s="47"/>
      <c r="E256" s="176">
        <v>1399</v>
      </c>
      <c r="F256" s="136">
        <v>1414</v>
      </c>
      <c r="G256" s="118"/>
      <c r="H256" s="177">
        <v>1397</v>
      </c>
      <c r="I256" s="260"/>
      <c r="J256" s="231"/>
      <c r="K256" s="231"/>
      <c r="L256" s="231"/>
      <c r="M256" s="231"/>
      <c r="N256" s="231"/>
      <c r="O256" s="231"/>
      <c r="P256" s="231"/>
      <c r="Q256" s="231"/>
      <c r="R256" s="231"/>
      <c r="S256" s="231"/>
      <c r="T256" s="231"/>
      <c r="U256" s="231"/>
      <c r="V256" s="231"/>
      <c r="W256" s="231"/>
      <c r="X256" s="231"/>
      <c r="Y256" s="231"/>
      <c r="Z256" s="231"/>
      <c r="AA256" s="231"/>
      <c r="AB256" s="231"/>
      <c r="AC256" s="231"/>
      <c r="AD256" s="231"/>
      <c r="AE256" s="231"/>
      <c r="AF256" s="231"/>
      <c r="AG256" s="231"/>
      <c r="AH256" s="231"/>
    </row>
    <row r="257" spans="1:34" s="203" customFormat="1">
      <c r="A257" s="124">
        <v>13</v>
      </c>
      <c r="B257" s="94" t="s">
        <v>202</v>
      </c>
      <c r="C257" s="94"/>
      <c r="D257" s="94"/>
      <c r="E257" s="159">
        <v>7298</v>
      </c>
      <c r="F257" s="61">
        <f>F242+F247+F254+F256</f>
        <v>7794</v>
      </c>
      <c r="G257" s="118"/>
      <c r="H257" s="61">
        <f>H242+H247+H254+H256</f>
        <v>7298</v>
      </c>
      <c r="I257" s="21"/>
      <c r="J257" s="231"/>
      <c r="K257" s="231"/>
      <c r="L257" s="231"/>
      <c r="M257" s="231"/>
      <c r="N257" s="231"/>
      <c r="O257" s="231"/>
      <c r="P257" s="231"/>
      <c r="Q257" s="231"/>
      <c r="R257" s="231"/>
      <c r="S257" s="231"/>
      <c r="T257" s="231"/>
      <c r="U257" s="231"/>
      <c r="V257" s="231"/>
      <c r="W257" s="231"/>
      <c r="X257" s="231"/>
      <c r="Y257" s="231"/>
      <c r="Z257" s="231"/>
      <c r="AA257" s="231"/>
      <c r="AB257" s="231"/>
      <c r="AC257" s="231"/>
      <c r="AD257" s="231"/>
      <c r="AE257" s="231"/>
      <c r="AF257" s="231"/>
      <c r="AG257" s="231"/>
      <c r="AH257" s="231"/>
    </row>
    <row r="258" spans="1:34" s="203" customFormat="1">
      <c r="A258" s="207"/>
      <c r="B258" s="207"/>
      <c r="C258" s="207"/>
      <c r="D258" s="208"/>
      <c r="E258" s="208"/>
      <c r="F258" s="207"/>
      <c r="G258" s="207"/>
      <c r="H258" s="207"/>
      <c r="I258" s="21"/>
      <c r="J258" s="231"/>
      <c r="K258" s="231"/>
      <c r="L258" s="231"/>
      <c r="M258" s="231"/>
      <c r="N258" s="231"/>
      <c r="O258" s="231"/>
      <c r="P258" s="231"/>
      <c r="Q258" s="231"/>
      <c r="R258" s="231"/>
      <c r="S258" s="231"/>
      <c r="T258" s="231"/>
      <c r="U258" s="231"/>
      <c r="V258" s="231"/>
      <c r="W258" s="231"/>
      <c r="X258" s="231"/>
      <c r="Y258" s="231"/>
      <c r="Z258" s="231"/>
      <c r="AA258" s="231"/>
      <c r="AB258" s="231"/>
      <c r="AC258" s="231"/>
      <c r="AD258" s="231"/>
      <c r="AE258" s="231"/>
      <c r="AF258" s="231"/>
      <c r="AG258" s="231"/>
      <c r="AH258" s="231"/>
    </row>
    <row r="259" spans="1:34" s="203" customFormat="1">
      <c r="A259" s="23"/>
      <c r="B259" s="207"/>
      <c r="C259" s="207"/>
      <c r="D259" s="207"/>
      <c r="E259" s="207"/>
      <c r="F259" s="207"/>
      <c r="G259" s="207"/>
      <c r="H259" s="21"/>
      <c r="I259" s="21"/>
      <c r="J259" s="231"/>
      <c r="K259" s="231"/>
      <c r="L259" s="231"/>
      <c r="M259" s="231"/>
      <c r="N259" s="231"/>
      <c r="O259" s="231"/>
      <c r="P259" s="231"/>
      <c r="Q259" s="231"/>
      <c r="R259" s="231"/>
      <c r="S259" s="231"/>
      <c r="T259" s="231"/>
      <c r="U259" s="231"/>
      <c r="V259" s="231"/>
      <c r="W259" s="231"/>
      <c r="X259" s="231"/>
      <c r="Y259" s="231"/>
      <c r="Z259" s="231"/>
      <c r="AA259" s="231"/>
      <c r="AB259" s="231"/>
      <c r="AC259" s="231"/>
      <c r="AD259" s="231"/>
      <c r="AE259" s="231"/>
      <c r="AF259" s="231"/>
      <c r="AG259" s="231"/>
      <c r="AH259" s="231"/>
    </row>
    <row r="260" spans="1:34" s="203" customFormat="1">
      <c r="A260" s="148"/>
      <c r="B260" s="29"/>
      <c r="C260" s="29"/>
      <c r="D260" s="172"/>
      <c r="E260" s="152"/>
      <c r="F260" s="29"/>
      <c r="G260" s="29"/>
      <c r="H260" s="131" t="s">
        <v>27</v>
      </c>
      <c r="I260" s="21"/>
      <c r="J260" s="231"/>
      <c r="K260" s="231"/>
      <c r="L260" s="231"/>
      <c r="M260" s="231"/>
      <c r="N260" s="231"/>
      <c r="O260" s="231"/>
      <c r="P260" s="231"/>
      <c r="Q260" s="231"/>
      <c r="R260" s="231"/>
      <c r="S260" s="231"/>
      <c r="T260" s="231"/>
      <c r="U260" s="231"/>
      <c r="V260" s="231"/>
      <c r="W260" s="231"/>
      <c r="X260" s="231"/>
      <c r="Y260" s="231"/>
      <c r="Z260" s="231"/>
      <c r="AA260" s="231"/>
      <c r="AB260" s="231"/>
      <c r="AC260" s="231"/>
      <c r="AD260" s="231"/>
      <c r="AE260" s="231"/>
      <c r="AF260" s="231"/>
      <c r="AG260" s="231"/>
      <c r="AH260" s="231"/>
    </row>
    <row r="261" spans="1:34" s="203" customFormat="1" ht="12.75" customHeight="1">
      <c r="A261" s="106" t="s">
        <v>15</v>
      </c>
      <c r="B261" s="164"/>
      <c r="C261" s="164"/>
      <c r="D261" s="164"/>
      <c r="E261" s="856" t="s">
        <v>377</v>
      </c>
      <c r="F261" s="856" t="s">
        <v>402</v>
      </c>
      <c r="G261" s="130"/>
      <c r="H261" s="856" t="s">
        <v>403</v>
      </c>
      <c r="I261" s="21"/>
      <c r="J261" s="231"/>
      <c r="K261" s="231"/>
      <c r="L261" s="231"/>
      <c r="M261" s="231"/>
      <c r="N261" s="231"/>
      <c r="O261" s="231"/>
      <c r="P261" s="231"/>
      <c r="Q261" s="231"/>
      <c r="R261" s="231"/>
      <c r="S261" s="231"/>
      <c r="T261" s="231"/>
      <c r="U261" s="231"/>
      <c r="V261" s="231"/>
      <c r="W261" s="231"/>
      <c r="X261" s="231"/>
      <c r="Y261" s="231"/>
      <c r="Z261" s="231"/>
      <c r="AA261" s="231"/>
      <c r="AB261" s="231"/>
      <c r="AC261" s="231"/>
      <c r="AD261" s="231"/>
      <c r="AE261" s="231"/>
      <c r="AF261" s="231"/>
      <c r="AG261" s="231"/>
      <c r="AH261" s="231"/>
    </row>
    <row r="262" spans="1:34" s="203" customFormat="1">
      <c r="A262" s="165"/>
      <c r="B262" s="47"/>
      <c r="C262" s="47"/>
      <c r="D262" s="47"/>
      <c r="E262" s="859"/>
      <c r="F262" s="859"/>
      <c r="G262" s="130"/>
      <c r="H262" s="859"/>
      <c r="I262" s="21"/>
      <c r="J262" s="231"/>
      <c r="K262" s="231"/>
      <c r="L262" s="231"/>
      <c r="M262" s="231"/>
      <c r="N262" s="231"/>
      <c r="O262" s="231"/>
      <c r="P262" s="231"/>
      <c r="Q262" s="231"/>
      <c r="R262" s="231"/>
      <c r="S262" s="231"/>
      <c r="T262" s="231"/>
      <c r="U262" s="231"/>
      <c r="V262" s="231"/>
      <c r="W262" s="231"/>
      <c r="X262" s="231"/>
      <c r="Y262" s="231"/>
      <c r="Z262" s="231"/>
      <c r="AA262" s="231"/>
      <c r="AB262" s="231"/>
      <c r="AC262" s="231"/>
      <c r="AD262" s="231"/>
      <c r="AE262" s="231"/>
      <c r="AF262" s="231"/>
      <c r="AG262" s="231"/>
      <c r="AH262" s="231"/>
    </row>
    <row r="263" spans="1:34" s="203" customFormat="1">
      <c r="A263" s="109"/>
      <c r="B263" s="174"/>
      <c r="C263" s="174"/>
      <c r="D263" s="174"/>
      <c r="E263" s="859"/>
      <c r="F263" s="859"/>
      <c r="G263" s="130"/>
      <c r="H263" s="859"/>
      <c r="I263" s="21"/>
      <c r="J263" s="231"/>
      <c r="K263" s="231"/>
      <c r="L263" s="231"/>
      <c r="M263" s="231"/>
      <c r="N263" s="231"/>
      <c r="O263" s="231"/>
      <c r="P263" s="231"/>
      <c r="Q263" s="231"/>
      <c r="R263" s="231"/>
      <c r="S263" s="231"/>
      <c r="T263" s="231"/>
      <c r="U263" s="231"/>
      <c r="V263" s="231"/>
      <c r="W263" s="231"/>
      <c r="X263" s="231"/>
      <c r="Y263" s="231"/>
      <c r="Z263" s="231"/>
      <c r="AA263" s="231"/>
      <c r="AB263" s="231"/>
      <c r="AC263" s="231"/>
      <c r="AD263" s="231"/>
      <c r="AE263" s="231"/>
      <c r="AF263" s="231"/>
      <c r="AG263" s="231"/>
      <c r="AH263" s="231"/>
    </row>
    <row r="264" spans="1:34" s="203" customFormat="1">
      <c r="A264" s="154" t="s">
        <v>203</v>
      </c>
      <c r="B264" s="47"/>
      <c r="C264" s="47"/>
      <c r="D264" s="47"/>
      <c r="E264" s="859"/>
      <c r="F264" s="859"/>
      <c r="G264" s="130"/>
      <c r="H264" s="859"/>
      <c r="I264" s="21"/>
      <c r="J264" s="231"/>
      <c r="K264" s="231"/>
      <c r="L264" s="231"/>
      <c r="M264" s="231"/>
      <c r="N264" s="231"/>
      <c r="O264" s="231"/>
      <c r="P264" s="231"/>
      <c r="Q264" s="231"/>
      <c r="R264" s="231"/>
      <c r="S264" s="231"/>
      <c r="T264" s="231"/>
      <c r="U264" s="231"/>
      <c r="V264" s="231"/>
      <c r="W264" s="231"/>
      <c r="X264" s="231"/>
      <c r="Y264" s="231"/>
      <c r="Z264" s="231"/>
      <c r="AA264" s="231"/>
      <c r="AB264" s="231"/>
      <c r="AC264" s="231"/>
      <c r="AD264" s="231"/>
      <c r="AE264" s="231"/>
      <c r="AF264" s="231"/>
      <c r="AG264" s="231"/>
      <c r="AH264" s="231"/>
    </row>
    <row r="265" spans="1:34" s="203" customFormat="1">
      <c r="A265" s="109" t="s">
        <v>83</v>
      </c>
      <c r="B265" s="174"/>
      <c r="C265" s="174"/>
      <c r="D265" s="174"/>
      <c r="E265" s="860"/>
      <c r="F265" s="860"/>
      <c r="G265" s="130"/>
      <c r="H265" s="860"/>
      <c r="I265" s="21"/>
      <c r="J265" s="231"/>
      <c r="K265" s="231"/>
      <c r="L265" s="231"/>
      <c r="M265" s="231"/>
      <c r="N265" s="231"/>
      <c r="O265" s="231"/>
      <c r="P265" s="231"/>
      <c r="Q265" s="231"/>
      <c r="R265" s="231"/>
      <c r="S265" s="231"/>
      <c r="T265" s="231"/>
      <c r="U265" s="231"/>
      <c r="V265" s="231"/>
      <c r="W265" s="231"/>
      <c r="X265" s="231"/>
      <c r="Y265" s="231"/>
      <c r="Z265" s="231"/>
      <c r="AA265" s="231"/>
      <c r="AB265" s="231"/>
      <c r="AC265" s="231"/>
      <c r="AD265" s="231"/>
      <c r="AE265" s="231"/>
      <c r="AF265" s="231"/>
      <c r="AG265" s="231"/>
      <c r="AH265" s="231"/>
    </row>
    <row r="266" spans="1:34" s="203" customFormat="1">
      <c r="A266" s="110" t="s">
        <v>84</v>
      </c>
      <c r="B266" s="116"/>
      <c r="C266" s="116"/>
      <c r="D266" s="116"/>
      <c r="E266" s="178"/>
      <c r="F266" s="146"/>
      <c r="G266" s="118"/>
      <c r="H266" s="146"/>
      <c r="I266" s="21"/>
      <c r="J266" s="231"/>
      <c r="K266" s="231"/>
      <c r="L266" s="231"/>
      <c r="M266" s="231"/>
      <c r="N266" s="231"/>
      <c r="O266" s="231"/>
      <c r="P266" s="231"/>
      <c r="Q266" s="231"/>
      <c r="R266" s="231"/>
      <c r="S266" s="231"/>
      <c r="T266" s="231"/>
      <c r="U266" s="231"/>
      <c r="V266" s="231"/>
      <c r="W266" s="231"/>
      <c r="X266" s="231"/>
      <c r="Y266" s="231"/>
      <c r="Z266" s="231"/>
      <c r="AA266" s="231"/>
      <c r="AB266" s="231"/>
      <c r="AC266" s="231"/>
      <c r="AD266" s="231"/>
      <c r="AE266" s="231"/>
      <c r="AF266" s="231"/>
      <c r="AG266" s="231"/>
      <c r="AH266" s="231"/>
    </row>
    <row r="267" spans="1:34" s="203" customFormat="1">
      <c r="A267" s="120">
        <v>1</v>
      </c>
      <c r="B267" s="47" t="s">
        <v>204</v>
      </c>
      <c r="C267" s="47"/>
      <c r="D267" s="47"/>
      <c r="E267" s="74">
        <v>0</v>
      </c>
      <c r="F267" s="52">
        <v>0</v>
      </c>
      <c r="G267" s="118"/>
      <c r="H267" s="122">
        <v>0</v>
      </c>
      <c r="I267" s="21"/>
      <c r="J267" s="231"/>
      <c r="K267" s="231"/>
      <c r="L267" s="231"/>
      <c r="M267" s="231"/>
      <c r="N267" s="231"/>
      <c r="O267" s="231"/>
      <c r="P267" s="231"/>
      <c r="Q267" s="231"/>
      <c r="R267" s="231"/>
      <c r="S267" s="231"/>
      <c r="T267" s="231"/>
      <c r="U267" s="231"/>
      <c r="V267" s="231"/>
      <c r="W267" s="231"/>
      <c r="X267" s="231"/>
      <c r="Y267" s="231"/>
      <c r="Z267" s="231"/>
      <c r="AA267" s="231"/>
      <c r="AB267" s="231"/>
      <c r="AC267" s="231"/>
      <c r="AD267" s="231"/>
      <c r="AE267" s="231"/>
      <c r="AF267" s="231"/>
      <c r="AG267" s="231"/>
      <c r="AH267" s="231"/>
    </row>
    <row r="268" spans="1:34" s="203" customFormat="1">
      <c r="A268" s="748">
        <v>2</v>
      </c>
      <c r="B268" s="166" t="s">
        <v>205</v>
      </c>
      <c r="C268" s="166"/>
      <c r="D268" s="47"/>
      <c r="E268" s="114">
        <v>201</v>
      </c>
      <c r="F268" s="52">
        <v>201</v>
      </c>
      <c r="G268" s="118"/>
      <c r="H268" s="122">
        <v>207</v>
      </c>
      <c r="I268" s="21"/>
      <c r="J268" s="231"/>
      <c r="K268" s="231"/>
      <c r="L268" s="231"/>
      <c r="M268" s="231"/>
      <c r="N268" s="231"/>
      <c r="O268" s="231"/>
      <c r="P268" s="231"/>
      <c r="Q268" s="231"/>
      <c r="R268" s="231"/>
      <c r="S268" s="231"/>
      <c r="T268" s="231"/>
      <c r="U268" s="231"/>
      <c r="V268" s="231"/>
      <c r="W268" s="231"/>
      <c r="X268" s="231"/>
      <c r="Y268" s="231"/>
      <c r="Z268" s="231"/>
      <c r="AA268" s="231"/>
      <c r="AB268" s="231"/>
      <c r="AC268" s="231"/>
      <c r="AD268" s="231"/>
      <c r="AE268" s="231"/>
      <c r="AF268" s="231"/>
      <c r="AG268" s="231"/>
      <c r="AH268" s="231"/>
    </row>
    <row r="269" spans="1:34" s="203" customFormat="1">
      <c r="A269" s="120">
        <v>3</v>
      </c>
      <c r="B269" s="47" t="s">
        <v>206</v>
      </c>
      <c r="C269" s="47"/>
      <c r="D269" s="168"/>
      <c r="E269" s="114">
        <v>12</v>
      </c>
      <c r="F269" s="52">
        <v>12</v>
      </c>
      <c r="G269" s="118"/>
      <c r="H269" s="122">
        <v>12</v>
      </c>
      <c r="I269" s="21"/>
      <c r="J269" s="231"/>
      <c r="K269" s="231"/>
      <c r="L269" s="231"/>
      <c r="M269" s="231"/>
      <c r="N269" s="231"/>
      <c r="O269" s="231"/>
      <c r="P269" s="231"/>
      <c r="Q269" s="231"/>
      <c r="R269" s="231"/>
      <c r="S269" s="231"/>
      <c r="T269" s="231"/>
      <c r="U269" s="231"/>
      <c r="V269" s="231"/>
      <c r="W269" s="231"/>
      <c r="X269" s="231"/>
      <c r="Y269" s="231"/>
      <c r="Z269" s="231"/>
      <c r="AA269" s="231"/>
      <c r="AB269" s="231"/>
      <c r="AC269" s="231"/>
      <c r="AD269" s="231"/>
      <c r="AE269" s="231"/>
      <c r="AF269" s="231"/>
      <c r="AG269" s="231"/>
      <c r="AH269" s="231"/>
    </row>
    <row r="270" spans="1:34" s="203" customFormat="1">
      <c r="A270" s="748">
        <v>4</v>
      </c>
      <c r="B270" s="47" t="s">
        <v>207</v>
      </c>
      <c r="C270" s="47"/>
      <c r="D270" s="116"/>
      <c r="E270" s="114">
        <v>0</v>
      </c>
      <c r="F270" s="52">
        <v>0</v>
      </c>
      <c r="G270" s="118"/>
      <c r="H270" s="122">
        <v>0</v>
      </c>
      <c r="I270" s="21"/>
      <c r="J270" s="231"/>
      <c r="K270" s="231"/>
      <c r="L270" s="231"/>
      <c r="M270" s="231"/>
      <c r="N270" s="231"/>
      <c r="O270" s="231"/>
      <c r="P270" s="231"/>
      <c r="Q270" s="231"/>
      <c r="R270" s="231"/>
      <c r="S270" s="231"/>
      <c r="T270" s="231"/>
      <c r="U270" s="231"/>
      <c r="V270" s="231"/>
      <c r="W270" s="231"/>
      <c r="X270" s="231"/>
      <c r="Y270" s="231"/>
      <c r="Z270" s="231"/>
      <c r="AA270" s="231"/>
      <c r="AB270" s="231"/>
      <c r="AC270" s="231"/>
      <c r="AD270" s="231"/>
      <c r="AE270" s="231"/>
      <c r="AF270" s="231"/>
      <c r="AG270" s="231"/>
      <c r="AH270" s="231"/>
    </row>
    <row r="271" spans="1:34" s="203" customFormat="1">
      <c r="A271" s="120">
        <v>5</v>
      </c>
      <c r="B271" s="47" t="s">
        <v>208</v>
      </c>
      <c r="C271" s="47"/>
      <c r="D271" s="47"/>
      <c r="E271" s="114">
        <v>102</v>
      </c>
      <c r="F271" s="52">
        <v>-92</v>
      </c>
      <c r="G271" s="118"/>
      <c r="H271" s="122">
        <v>-49</v>
      </c>
      <c r="I271" s="21"/>
      <c r="J271" s="231"/>
      <c r="K271" s="231"/>
      <c r="L271" s="231"/>
      <c r="M271" s="231"/>
      <c r="N271" s="231"/>
      <c r="O271" s="231"/>
      <c r="P271" s="231"/>
      <c r="Q271" s="231"/>
      <c r="R271" s="231"/>
      <c r="S271" s="231"/>
      <c r="T271" s="231"/>
      <c r="U271" s="231"/>
      <c r="V271" s="231"/>
      <c r="W271" s="231"/>
      <c r="X271" s="231"/>
      <c r="Y271" s="231"/>
      <c r="Z271" s="231"/>
      <c r="AA271" s="231"/>
      <c r="AB271" s="231"/>
      <c r="AC271" s="231"/>
      <c r="AD271" s="231"/>
      <c r="AE271" s="231"/>
      <c r="AF271" s="231"/>
      <c r="AG271" s="231"/>
      <c r="AH271" s="231"/>
    </row>
    <row r="272" spans="1:34" s="203" customFormat="1">
      <c r="A272" s="748">
        <v>6</v>
      </c>
      <c r="B272" s="47" t="s">
        <v>209</v>
      </c>
      <c r="C272" s="47"/>
      <c r="D272" s="47"/>
      <c r="E272" s="114">
        <v>628</v>
      </c>
      <c r="F272" s="52">
        <v>626</v>
      </c>
      <c r="G272" s="118"/>
      <c r="H272" s="122">
        <v>593</v>
      </c>
      <c r="I272" s="21"/>
      <c r="J272" s="231"/>
      <c r="K272" s="231"/>
      <c r="L272" s="231"/>
      <c r="M272" s="231"/>
      <c r="N272" s="231"/>
      <c r="O272" s="231"/>
      <c r="P272" s="231"/>
      <c r="Q272" s="231"/>
      <c r="R272" s="231"/>
      <c r="S272" s="231"/>
      <c r="T272" s="231"/>
      <c r="U272" s="231"/>
      <c r="V272" s="231"/>
      <c r="W272" s="231"/>
      <c r="X272" s="231"/>
      <c r="Y272" s="231"/>
      <c r="Z272" s="231"/>
      <c r="AA272" s="231"/>
      <c r="AB272" s="231"/>
      <c r="AC272" s="231"/>
      <c r="AD272" s="231"/>
      <c r="AE272" s="231"/>
      <c r="AF272" s="231"/>
      <c r="AG272" s="231"/>
      <c r="AH272" s="231"/>
    </row>
    <row r="273" spans="1:34" s="203" customFormat="1">
      <c r="A273" s="120">
        <v>7</v>
      </c>
      <c r="B273" s="47" t="s">
        <v>210</v>
      </c>
      <c r="C273" s="47"/>
      <c r="D273" s="47"/>
      <c r="E273" s="114">
        <v>1148</v>
      </c>
      <c r="F273" s="52">
        <v>1577</v>
      </c>
      <c r="G273" s="118"/>
      <c r="H273" s="122">
        <v>1059</v>
      </c>
      <c r="I273" s="21"/>
      <c r="J273" s="231"/>
      <c r="K273" s="231"/>
      <c r="L273" s="231"/>
      <c r="M273" s="231"/>
      <c r="N273" s="231"/>
      <c r="O273" s="231"/>
      <c r="P273" s="231"/>
      <c r="Q273" s="231"/>
      <c r="R273" s="231"/>
      <c r="S273" s="231"/>
      <c r="T273" s="231"/>
      <c r="U273" s="231"/>
      <c r="V273" s="231"/>
      <c r="W273" s="231"/>
      <c r="X273" s="231"/>
      <c r="Y273" s="231"/>
      <c r="Z273" s="231"/>
      <c r="AA273" s="231"/>
      <c r="AB273" s="231"/>
      <c r="AC273" s="231"/>
      <c r="AD273" s="231"/>
      <c r="AE273" s="231"/>
      <c r="AF273" s="231"/>
      <c r="AG273" s="231"/>
      <c r="AH273" s="231"/>
    </row>
    <row r="274" spans="1:34" s="203" customFormat="1">
      <c r="A274" s="748">
        <v>8</v>
      </c>
      <c r="B274" s="47" t="s">
        <v>211</v>
      </c>
      <c r="C274" s="47"/>
      <c r="D274" s="47"/>
      <c r="E274" s="114">
        <v>6159</v>
      </c>
      <c r="F274" s="52">
        <v>6109</v>
      </c>
      <c r="G274" s="118"/>
      <c r="H274" s="122">
        <v>5857</v>
      </c>
      <c r="I274" s="21"/>
      <c r="J274" s="231"/>
      <c r="K274" s="231"/>
      <c r="L274" s="231"/>
      <c r="M274" s="231"/>
      <c r="N274" s="231"/>
      <c r="O274" s="231"/>
      <c r="P274" s="231"/>
      <c r="Q274" s="231"/>
      <c r="R274" s="231"/>
      <c r="S274" s="231"/>
      <c r="T274" s="231"/>
      <c r="U274" s="231"/>
      <c r="V274" s="231"/>
      <c r="W274" s="231"/>
      <c r="X274" s="231"/>
      <c r="Y274" s="231"/>
      <c r="Z274" s="231"/>
      <c r="AA274" s="231"/>
      <c r="AB274" s="231"/>
      <c r="AC274" s="231"/>
      <c r="AD274" s="231"/>
      <c r="AE274" s="231"/>
      <c r="AF274" s="231"/>
      <c r="AG274" s="231"/>
      <c r="AH274" s="231"/>
    </row>
    <row r="275" spans="1:34" s="203" customFormat="1">
      <c r="A275" s="120">
        <v>9</v>
      </c>
      <c r="B275" s="47" t="s">
        <v>212</v>
      </c>
      <c r="C275" s="47"/>
      <c r="D275" s="47"/>
      <c r="E275" s="114">
        <v>586</v>
      </c>
      <c r="F275" s="52">
        <v>572</v>
      </c>
      <c r="G275" s="118"/>
      <c r="H275" s="122">
        <v>633</v>
      </c>
      <c r="I275" s="21"/>
      <c r="J275" s="231"/>
      <c r="K275" s="231"/>
      <c r="L275" s="231"/>
      <c r="M275" s="231"/>
      <c r="N275" s="231"/>
      <c r="O275" s="231"/>
      <c r="P275" s="231"/>
      <c r="Q275" s="231"/>
      <c r="R275" s="231"/>
      <c r="S275" s="231"/>
      <c r="T275" s="231"/>
      <c r="U275" s="231"/>
      <c r="V275" s="231"/>
      <c r="W275" s="231"/>
      <c r="X275" s="231"/>
      <c r="Y275" s="231"/>
      <c r="Z275" s="231"/>
      <c r="AA275" s="231"/>
      <c r="AB275" s="231"/>
      <c r="AC275" s="231"/>
      <c r="AD275" s="231"/>
      <c r="AE275" s="231"/>
      <c r="AF275" s="231"/>
      <c r="AG275" s="231"/>
      <c r="AH275" s="231"/>
    </row>
    <row r="276" spans="1:34" s="203" customFormat="1">
      <c r="A276" s="748">
        <v>10</v>
      </c>
      <c r="B276" s="47" t="s">
        <v>213</v>
      </c>
      <c r="C276" s="47"/>
      <c r="D276" s="47"/>
      <c r="E276" s="114">
        <v>569</v>
      </c>
      <c r="F276" s="52">
        <v>656</v>
      </c>
      <c r="G276" s="118"/>
      <c r="H276" s="99">
        <v>492</v>
      </c>
      <c r="I276" s="21"/>
      <c r="J276" s="231"/>
      <c r="K276" s="231"/>
      <c r="L276" s="231"/>
      <c r="M276" s="231"/>
      <c r="N276" s="231"/>
      <c r="O276" s="231"/>
      <c r="P276" s="231"/>
      <c r="Q276" s="231"/>
      <c r="R276" s="231"/>
      <c r="S276" s="231"/>
      <c r="T276" s="231"/>
      <c r="U276" s="231"/>
      <c r="V276" s="231"/>
      <c r="W276" s="231"/>
      <c r="X276" s="231"/>
      <c r="Y276" s="231"/>
      <c r="Z276" s="231"/>
      <c r="AA276" s="231"/>
      <c r="AB276" s="231"/>
      <c r="AC276" s="231"/>
      <c r="AD276" s="231"/>
      <c r="AE276" s="231"/>
      <c r="AF276" s="231"/>
      <c r="AG276" s="231"/>
      <c r="AH276" s="231"/>
    </row>
    <row r="277" spans="1:34" s="203" customFormat="1">
      <c r="A277" s="124">
        <v>11</v>
      </c>
      <c r="B277" s="94" t="s">
        <v>214</v>
      </c>
      <c r="C277" s="94"/>
      <c r="D277" s="94"/>
      <c r="E277" s="159">
        <v>9405</v>
      </c>
      <c r="F277" s="61">
        <f>SUM(F267:F276)</f>
        <v>9661</v>
      </c>
      <c r="G277" s="118"/>
      <c r="H277" s="61">
        <f>SUM(H267:H276)</f>
        <v>8804</v>
      </c>
      <c r="I277" s="21"/>
      <c r="J277" s="231"/>
      <c r="K277" s="231"/>
      <c r="L277" s="231"/>
      <c r="M277" s="231"/>
      <c r="N277" s="231"/>
      <c r="O277" s="231"/>
      <c r="P277" s="231"/>
      <c r="Q277" s="231"/>
      <c r="R277" s="231"/>
      <c r="S277" s="231"/>
      <c r="T277" s="231"/>
      <c r="U277" s="231"/>
      <c r="V277" s="231"/>
      <c r="W277" s="231"/>
      <c r="X277" s="231"/>
      <c r="Y277" s="231"/>
      <c r="Z277" s="231"/>
      <c r="AA277" s="231"/>
      <c r="AB277" s="231"/>
      <c r="AC277" s="231"/>
      <c r="AD277" s="231"/>
      <c r="AE277" s="231"/>
      <c r="AF277" s="231"/>
      <c r="AG277" s="231"/>
      <c r="AH277" s="231"/>
    </row>
    <row r="278" spans="1:34" s="203" customFormat="1">
      <c r="A278" s="207"/>
      <c r="B278" s="207"/>
      <c r="C278" s="207"/>
      <c r="D278" s="207"/>
      <c r="E278" s="207"/>
      <c r="F278" s="207"/>
      <c r="G278" s="207"/>
      <c r="H278" s="207"/>
      <c r="I278" s="21"/>
      <c r="J278" s="231"/>
      <c r="K278" s="231"/>
      <c r="L278" s="231"/>
      <c r="M278" s="231"/>
      <c r="N278" s="231"/>
      <c r="O278" s="231"/>
      <c r="P278" s="231"/>
      <c r="Q278" s="231"/>
      <c r="R278" s="231"/>
      <c r="S278" s="231"/>
      <c r="T278" s="231"/>
      <c r="U278" s="231"/>
      <c r="V278" s="231"/>
      <c r="W278" s="231"/>
      <c r="X278" s="231"/>
      <c r="Y278" s="231"/>
      <c r="Z278" s="231"/>
      <c r="AA278" s="231"/>
      <c r="AB278" s="231"/>
      <c r="AC278" s="231"/>
      <c r="AD278" s="231"/>
      <c r="AE278" s="231"/>
      <c r="AF278" s="231"/>
      <c r="AG278" s="231"/>
      <c r="AH278" s="231"/>
    </row>
    <row r="279" spans="1:34" s="203" customFormat="1">
      <c r="A279" s="207"/>
      <c r="B279" s="207"/>
      <c r="C279" s="207"/>
      <c r="D279" s="207"/>
      <c r="E279" s="207"/>
      <c r="F279" s="207"/>
      <c r="G279" s="207"/>
      <c r="H279" s="131" t="s">
        <v>27</v>
      </c>
      <c r="I279" s="21"/>
      <c r="J279" s="231"/>
      <c r="K279" s="231"/>
      <c r="L279" s="231"/>
      <c r="M279" s="231"/>
      <c r="N279" s="231"/>
      <c r="O279" s="231"/>
      <c r="P279" s="231"/>
      <c r="Q279" s="231"/>
      <c r="R279" s="231"/>
      <c r="S279" s="231"/>
      <c r="T279" s="231"/>
      <c r="U279" s="231"/>
      <c r="V279" s="231"/>
      <c r="W279" s="231"/>
      <c r="X279" s="231"/>
      <c r="Y279" s="231"/>
      <c r="Z279" s="231"/>
      <c r="AA279" s="231"/>
      <c r="AB279" s="231"/>
      <c r="AC279" s="231"/>
      <c r="AD279" s="231"/>
      <c r="AE279" s="231"/>
      <c r="AF279" s="231"/>
      <c r="AG279" s="231"/>
      <c r="AH279" s="231"/>
    </row>
    <row r="280" spans="1:34" s="203" customFormat="1" ht="12.75" customHeight="1">
      <c r="A280" s="106" t="s">
        <v>18</v>
      </c>
      <c r="B280" s="164"/>
      <c r="C280" s="164"/>
      <c r="D280" s="164"/>
      <c r="E280" s="856" t="s">
        <v>377</v>
      </c>
      <c r="F280" s="856" t="s">
        <v>402</v>
      </c>
      <c r="G280" s="130"/>
      <c r="H280" s="856" t="s">
        <v>403</v>
      </c>
      <c r="I280" s="21"/>
      <c r="J280" s="231"/>
      <c r="K280" s="231"/>
      <c r="L280" s="231"/>
      <c r="M280" s="231"/>
      <c r="N280" s="231"/>
      <c r="O280" s="231"/>
      <c r="P280" s="231"/>
      <c r="Q280" s="231"/>
      <c r="R280" s="231"/>
      <c r="S280" s="231"/>
      <c r="T280" s="231"/>
      <c r="U280" s="231"/>
      <c r="V280" s="231"/>
      <c r="W280" s="231"/>
      <c r="X280" s="231"/>
      <c r="Y280" s="231"/>
      <c r="Z280" s="231"/>
      <c r="AA280" s="231"/>
      <c r="AB280" s="231"/>
      <c r="AC280" s="231"/>
      <c r="AD280" s="231"/>
      <c r="AE280" s="231"/>
      <c r="AF280" s="231"/>
      <c r="AG280" s="231"/>
      <c r="AH280" s="231"/>
    </row>
    <row r="281" spans="1:34" s="203" customFormat="1">
      <c r="A281" s="165"/>
      <c r="B281" s="47"/>
      <c r="C281" s="47"/>
      <c r="D281" s="47"/>
      <c r="E281" s="859"/>
      <c r="F281" s="859"/>
      <c r="G281" s="130"/>
      <c r="H281" s="859"/>
      <c r="I281" s="21"/>
      <c r="J281" s="231"/>
      <c r="K281" s="231"/>
      <c r="L281" s="231"/>
      <c r="M281" s="231"/>
      <c r="N281" s="231"/>
      <c r="O281" s="231"/>
      <c r="P281" s="231"/>
      <c r="Q281" s="231"/>
      <c r="R281" s="231"/>
      <c r="S281" s="231"/>
      <c r="T281" s="231"/>
      <c r="U281" s="231"/>
      <c r="V281" s="231"/>
      <c r="W281" s="231"/>
      <c r="X281" s="231"/>
      <c r="Y281" s="231"/>
      <c r="Z281" s="231"/>
      <c r="AA281" s="231"/>
      <c r="AB281" s="231"/>
      <c r="AC281" s="231"/>
      <c r="AD281" s="231"/>
      <c r="AE281" s="231"/>
      <c r="AF281" s="231"/>
      <c r="AG281" s="231"/>
      <c r="AH281" s="231"/>
    </row>
    <row r="282" spans="1:34" s="203" customFormat="1" ht="21.75" customHeight="1">
      <c r="A282" s="109"/>
      <c r="B282" s="174"/>
      <c r="C282" s="174"/>
      <c r="D282" s="174"/>
      <c r="E282" s="859"/>
      <c r="F282" s="859"/>
      <c r="G282" s="130"/>
      <c r="H282" s="859"/>
      <c r="I282" s="21"/>
      <c r="J282" s="231"/>
      <c r="K282" s="231"/>
      <c r="L282" s="231"/>
      <c r="M282" s="231"/>
      <c r="N282" s="231"/>
      <c r="O282" s="231"/>
      <c r="P282" s="231"/>
      <c r="Q282" s="231"/>
      <c r="R282" s="231"/>
      <c r="S282" s="231"/>
      <c r="T282" s="231"/>
      <c r="U282" s="231"/>
      <c r="V282" s="231"/>
      <c r="W282" s="231"/>
      <c r="X282" s="231"/>
      <c r="Y282" s="231"/>
      <c r="Z282" s="231"/>
      <c r="AA282" s="231"/>
      <c r="AB282" s="231"/>
      <c r="AC282" s="231"/>
      <c r="AD282" s="231"/>
      <c r="AE282" s="231"/>
      <c r="AF282" s="231"/>
      <c r="AG282" s="231"/>
      <c r="AH282" s="231"/>
    </row>
    <row r="283" spans="1:34" s="203" customFormat="1">
      <c r="A283" s="154" t="s">
        <v>215</v>
      </c>
      <c r="B283" s="47"/>
      <c r="C283" s="47"/>
      <c r="D283" s="47"/>
      <c r="E283" s="859"/>
      <c r="F283" s="859"/>
      <c r="G283" s="130"/>
      <c r="H283" s="859"/>
      <c r="I283" s="21"/>
      <c r="J283" s="231"/>
      <c r="K283" s="231"/>
      <c r="L283" s="231"/>
      <c r="M283" s="231"/>
      <c r="N283" s="231"/>
      <c r="O283" s="231"/>
      <c r="P283" s="231"/>
      <c r="Q283" s="231"/>
      <c r="R283" s="231"/>
      <c r="S283" s="231"/>
      <c r="T283" s="231"/>
      <c r="U283" s="231"/>
      <c r="V283" s="231"/>
      <c r="W283" s="231"/>
      <c r="X283" s="231"/>
      <c r="Y283" s="231"/>
      <c r="Z283" s="231"/>
      <c r="AA283" s="231"/>
      <c r="AB283" s="231"/>
      <c r="AC283" s="231"/>
      <c r="AD283" s="231"/>
      <c r="AE283" s="231"/>
      <c r="AF283" s="231"/>
      <c r="AG283" s="231"/>
      <c r="AH283" s="231"/>
    </row>
    <row r="284" spans="1:34" s="203" customFormat="1">
      <c r="A284" s="109" t="s">
        <v>83</v>
      </c>
      <c r="B284" s="174"/>
      <c r="C284" s="174"/>
      <c r="D284" s="174"/>
      <c r="E284" s="860"/>
      <c r="F284" s="860"/>
      <c r="G284" s="130"/>
      <c r="H284" s="860"/>
      <c r="I284" s="21"/>
      <c r="J284" s="231"/>
      <c r="K284" s="231"/>
      <c r="L284" s="231"/>
      <c r="M284" s="231"/>
      <c r="N284" s="231"/>
      <c r="O284" s="231"/>
      <c r="P284" s="231"/>
      <c r="Q284" s="231"/>
      <c r="R284" s="231"/>
      <c r="S284" s="231"/>
      <c r="T284" s="231"/>
      <c r="U284" s="231"/>
      <c r="V284" s="231"/>
      <c r="W284" s="231"/>
      <c r="X284" s="231"/>
      <c r="Y284" s="231"/>
      <c r="Z284" s="231"/>
      <c r="AA284" s="231"/>
      <c r="AB284" s="231"/>
      <c r="AC284" s="231"/>
      <c r="AD284" s="231"/>
      <c r="AE284" s="231"/>
      <c r="AF284" s="231"/>
      <c r="AG284" s="231"/>
      <c r="AH284" s="231"/>
    </row>
    <row r="285" spans="1:34" s="203" customFormat="1">
      <c r="A285" s="110" t="s">
        <v>84</v>
      </c>
      <c r="B285" s="116"/>
      <c r="C285" s="116"/>
      <c r="D285" s="116"/>
      <c r="E285" s="178"/>
      <c r="F285" s="146"/>
      <c r="G285" s="118"/>
      <c r="H285" s="146"/>
      <c r="I285" s="21"/>
      <c r="J285" s="231"/>
      <c r="K285" s="231"/>
      <c r="L285" s="231"/>
      <c r="M285" s="231"/>
      <c r="N285" s="231"/>
      <c r="O285" s="231"/>
      <c r="P285" s="231"/>
      <c r="Q285" s="231"/>
      <c r="R285" s="231"/>
      <c r="S285" s="231"/>
      <c r="T285" s="231"/>
      <c r="U285" s="231"/>
      <c r="V285" s="231"/>
      <c r="W285" s="231"/>
      <c r="X285" s="231"/>
      <c r="Y285" s="231"/>
      <c r="Z285" s="231"/>
      <c r="AA285" s="231"/>
      <c r="AB285" s="231"/>
      <c r="AC285" s="231"/>
      <c r="AD285" s="231"/>
      <c r="AE285" s="231"/>
      <c r="AF285" s="231"/>
      <c r="AG285" s="231"/>
      <c r="AH285" s="231"/>
    </row>
    <row r="286" spans="1:34" s="203" customFormat="1">
      <c r="A286" s="120">
        <v>1</v>
      </c>
      <c r="B286" s="47" t="s">
        <v>216</v>
      </c>
      <c r="C286" s="47"/>
      <c r="D286" s="47"/>
      <c r="E286" s="74">
        <v>-90.444730000000078</v>
      </c>
      <c r="F286" s="52">
        <v>-90</v>
      </c>
      <c r="G286" s="118"/>
      <c r="H286" s="122">
        <v>-90</v>
      </c>
      <c r="I286" s="21"/>
      <c r="J286" s="231"/>
      <c r="K286" s="231"/>
      <c r="L286" s="231"/>
      <c r="M286" s="231"/>
      <c r="N286" s="231"/>
      <c r="O286" s="231"/>
      <c r="P286" s="231"/>
      <c r="Q286" s="231"/>
      <c r="R286" s="231"/>
      <c r="S286" s="231"/>
      <c r="T286" s="231"/>
      <c r="U286" s="231"/>
      <c r="V286" s="231"/>
      <c r="W286" s="231"/>
      <c r="X286" s="231"/>
      <c r="Y286" s="231"/>
      <c r="Z286" s="231"/>
      <c r="AA286" s="231"/>
      <c r="AB286" s="231"/>
      <c r="AC286" s="231"/>
      <c r="AD286" s="231"/>
      <c r="AE286" s="231"/>
      <c r="AF286" s="231"/>
      <c r="AG286" s="231"/>
      <c r="AH286" s="231"/>
    </row>
    <row r="287" spans="1:34" s="203" customFormat="1">
      <c r="A287" s="748">
        <v>2</v>
      </c>
      <c r="B287" s="47" t="s">
        <v>217</v>
      </c>
      <c r="C287" s="47"/>
      <c r="D287" s="47"/>
      <c r="E287" s="114">
        <v>176.21194</v>
      </c>
      <c r="F287" s="52">
        <v>112</v>
      </c>
      <c r="G287" s="118"/>
      <c r="H287" s="122">
        <v>182</v>
      </c>
      <c r="I287" s="21"/>
      <c r="J287" s="231"/>
      <c r="K287" s="231"/>
      <c r="L287" s="231"/>
      <c r="M287" s="231"/>
      <c r="N287" s="231"/>
      <c r="O287" s="231"/>
      <c r="P287" s="231"/>
      <c r="Q287" s="231"/>
      <c r="R287" s="231"/>
      <c r="S287" s="231"/>
      <c r="T287" s="231"/>
      <c r="U287" s="231"/>
      <c r="V287" s="231"/>
      <c r="W287" s="231"/>
      <c r="X287" s="231"/>
      <c r="Y287" s="231"/>
      <c r="Z287" s="231"/>
      <c r="AA287" s="231"/>
      <c r="AB287" s="231"/>
      <c r="AC287" s="231"/>
      <c r="AD287" s="231"/>
      <c r="AE287" s="231"/>
      <c r="AF287" s="231"/>
      <c r="AG287" s="231"/>
      <c r="AH287" s="231"/>
    </row>
    <row r="288" spans="1:34" s="203" customFormat="1">
      <c r="A288" s="120">
        <v>3</v>
      </c>
      <c r="B288" s="90" t="s">
        <v>218</v>
      </c>
      <c r="C288" s="166"/>
      <c r="D288" s="168"/>
      <c r="E288" s="114">
        <v>287</v>
      </c>
      <c r="F288" s="52">
        <v>510</v>
      </c>
      <c r="G288" s="118"/>
      <c r="H288" s="122">
        <v>301</v>
      </c>
      <c r="I288" s="21"/>
      <c r="J288" s="231"/>
      <c r="K288" s="231"/>
      <c r="L288" s="231"/>
      <c r="M288" s="231"/>
      <c r="N288" s="231"/>
      <c r="O288" s="231"/>
      <c r="P288" s="231"/>
      <c r="Q288" s="231"/>
      <c r="R288" s="231"/>
      <c r="S288" s="231"/>
      <c r="T288" s="231"/>
      <c r="U288" s="231"/>
      <c r="V288" s="231"/>
      <c r="W288" s="231"/>
      <c r="X288" s="231"/>
      <c r="Y288" s="231"/>
      <c r="Z288" s="231"/>
      <c r="AA288" s="231"/>
      <c r="AB288" s="231"/>
      <c r="AC288" s="231"/>
      <c r="AD288" s="231"/>
      <c r="AE288" s="231"/>
      <c r="AF288" s="231"/>
      <c r="AG288" s="231"/>
      <c r="AH288" s="231"/>
    </row>
    <row r="289" spans="1:34" s="203" customFormat="1">
      <c r="A289" s="748">
        <v>4</v>
      </c>
      <c r="B289" s="47" t="s">
        <v>219</v>
      </c>
      <c r="C289" s="47"/>
      <c r="D289" s="116"/>
      <c r="E289" s="114">
        <v>6.1009700000000002</v>
      </c>
      <c r="F289" s="52">
        <v>6</v>
      </c>
      <c r="G289" s="118"/>
      <c r="H289" s="122">
        <v>6</v>
      </c>
      <c r="I289" s="21"/>
      <c r="J289" s="231"/>
      <c r="K289" s="231"/>
      <c r="L289" s="231"/>
      <c r="M289" s="231"/>
      <c r="N289" s="231"/>
      <c r="O289" s="231"/>
      <c r="P289" s="231"/>
      <c r="Q289" s="231"/>
      <c r="R289" s="231"/>
      <c r="S289" s="231"/>
      <c r="T289" s="231"/>
      <c r="U289" s="231"/>
      <c r="V289" s="231"/>
      <c r="W289" s="231"/>
      <c r="X289" s="231"/>
      <c r="Y289" s="231"/>
      <c r="Z289" s="231"/>
      <c r="AA289" s="231"/>
      <c r="AB289" s="231"/>
      <c r="AC289" s="231"/>
      <c r="AD289" s="231"/>
      <c r="AE289" s="231"/>
      <c r="AF289" s="231"/>
      <c r="AG289" s="231"/>
      <c r="AH289" s="231"/>
    </row>
    <row r="290" spans="1:34" s="203" customFormat="1">
      <c r="A290" s="748">
        <v>5</v>
      </c>
      <c r="B290" s="47" t="s">
        <v>220</v>
      </c>
      <c r="C290" s="47"/>
      <c r="D290" s="47"/>
      <c r="E290" s="114">
        <v>-6.0711400000000104</v>
      </c>
      <c r="F290" s="52">
        <v>-138</v>
      </c>
      <c r="G290" s="118"/>
      <c r="H290" s="122">
        <v>-118</v>
      </c>
      <c r="I290" s="21"/>
      <c r="J290" s="231"/>
      <c r="K290" s="231"/>
      <c r="L290" s="231"/>
      <c r="M290" s="231"/>
      <c r="N290" s="231"/>
      <c r="O290" s="231"/>
      <c r="P290" s="231"/>
      <c r="Q290" s="231"/>
      <c r="R290" s="231"/>
      <c r="S290" s="231"/>
      <c r="T290" s="231"/>
      <c r="U290" s="231"/>
      <c r="V290" s="231"/>
      <c r="W290" s="231"/>
      <c r="X290" s="231"/>
      <c r="Y290" s="231"/>
      <c r="Z290" s="231"/>
      <c r="AA290" s="231"/>
      <c r="AB290" s="231"/>
      <c r="AC290" s="231"/>
      <c r="AD290" s="231"/>
      <c r="AE290" s="231"/>
      <c r="AF290" s="231"/>
      <c r="AG290" s="231"/>
      <c r="AH290" s="231"/>
    </row>
    <row r="291" spans="1:34" s="203" customFormat="1">
      <c r="A291" s="120">
        <v>6</v>
      </c>
      <c r="B291" s="47" t="s">
        <v>221</v>
      </c>
      <c r="C291" s="47"/>
      <c r="D291" s="47"/>
      <c r="E291" s="114">
        <v>223.59887999999998</v>
      </c>
      <c r="F291" s="52">
        <v>264</v>
      </c>
      <c r="G291" s="118"/>
      <c r="H291" s="122">
        <v>222</v>
      </c>
      <c r="I291" s="21"/>
      <c r="J291" s="231"/>
      <c r="K291" s="231"/>
      <c r="L291" s="231"/>
      <c r="M291" s="231"/>
      <c r="N291" s="231"/>
      <c r="O291" s="231"/>
      <c r="P291" s="231"/>
      <c r="Q291" s="231"/>
      <c r="R291" s="231"/>
      <c r="S291" s="231"/>
      <c r="T291" s="231"/>
      <c r="U291" s="231"/>
      <c r="V291" s="231"/>
      <c r="W291" s="231"/>
      <c r="X291" s="231"/>
      <c r="Y291" s="231"/>
      <c r="Z291" s="231"/>
      <c r="AA291" s="231"/>
      <c r="AB291" s="231"/>
      <c r="AC291" s="231"/>
      <c r="AD291" s="231"/>
      <c r="AE291" s="231"/>
      <c r="AF291" s="231"/>
      <c r="AG291" s="231"/>
      <c r="AH291" s="231"/>
    </row>
    <row r="292" spans="1:34" s="203" customFormat="1">
      <c r="A292" s="748">
        <v>7</v>
      </c>
      <c r="B292" s="47" t="s">
        <v>222</v>
      </c>
      <c r="C292" s="47"/>
      <c r="D292" s="116"/>
      <c r="E292" s="114">
        <v>135</v>
      </c>
      <c r="F292" s="52"/>
      <c r="G292" s="118"/>
      <c r="H292" s="122"/>
      <c r="I292" s="21"/>
      <c r="J292" s="231"/>
      <c r="K292" s="231"/>
      <c r="L292" s="231"/>
      <c r="M292" s="231"/>
      <c r="N292" s="231"/>
      <c r="O292" s="231"/>
      <c r="P292" s="231"/>
      <c r="Q292" s="231"/>
      <c r="R292" s="231"/>
      <c r="S292" s="231"/>
      <c r="T292" s="231"/>
      <c r="U292" s="231"/>
      <c r="V292" s="231"/>
      <c r="W292" s="231"/>
      <c r="X292" s="231"/>
      <c r="Y292" s="231"/>
      <c r="Z292" s="231"/>
      <c r="AA292" s="231"/>
      <c r="AB292" s="231"/>
      <c r="AC292" s="231"/>
      <c r="AD292" s="231"/>
      <c r="AE292" s="231"/>
      <c r="AF292" s="231"/>
      <c r="AG292" s="231"/>
      <c r="AH292" s="231"/>
    </row>
    <row r="293" spans="1:34" s="203" customFormat="1">
      <c r="A293" s="120">
        <v>8</v>
      </c>
      <c r="B293" s="47" t="s">
        <v>223</v>
      </c>
      <c r="C293" s="47"/>
      <c r="D293" s="116"/>
      <c r="E293" s="114">
        <v>213</v>
      </c>
      <c r="F293" s="52">
        <v>551</v>
      </c>
      <c r="G293" s="118"/>
      <c r="H293" s="122">
        <v>534</v>
      </c>
      <c r="I293" s="21"/>
      <c r="J293" s="231"/>
      <c r="K293" s="231"/>
      <c r="L293" s="231"/>
      <c r="M293" s="231"/>
      <c r="N293" s="231"/>
      <c r="O293" s="231"/>
      <c r="P293" s="231"/>
      <c r="Q293" s="231"/>
      <c r="R293" s="231"/>
      <c r="S293" s="231"/>
      <c r="T293" s="231"/>
      <c r="U293" s="231"/>
      <c r="V293" s="231"/>
      <c r="W293" s="231"/>
      <c r="X293" s="231"/>
      <c r="Y293" s="231"/>
      <c r="Z293" s="231"/>
      <c r="AA293" s="231"/>
      <c r="AB293" s="231"/>
      <c r="AC293" s="231"/>
      <c r="AD293" s="231"/>
      <c r="AE293" s="231"/>
      <c r="AF293" s="231"/>
      <c r="AG293" s="231"/>
      <c r="AH293" s="231"/>
    </row>
    <row r="294" spans="1:34" s="203" customFormat="1">
      <c r="A294" s="748">
        <v>9</v>
      </c>
      <c r="B294" s="47" t="s">
        <v>224</v>
      </c>
      <c r="C294" s="47"/>
      <c r="D294" s="116"/>
      <c r="E294" s="114">
        <v>191</v>
      </c>
      <c r="F294" s="52"/>
      <c r="G294" s="118"/>
      <c r="H294" s="122"/>
      <c r="I294" s="21"/>
      <c r="J294" s="231"/>
      <c r="K294" s="231"/>
      <c r="L294" s="231"/>
      <c r="M294" s="231"/>
      <c r="N294" s="231"/>
      <c r="O294" s="231"/>
      <c r="P294" s="231"/>
      <c r="Q294" s="231"/>
      <c r="R294" s="231"/>
      <c r="S294" s="231"/>
      <c r="T294" s="231"/>
      <c r="U294" s="231"/>
      <c r="V294" s="231"/>
      <c r="W294" s="231"/>
      <c r="X294" s="231"/>
      <c r="Y294" s="231"/>
      <c r="Z294" s="231"/>
      <c r="AA294" s="231"/>
      <c r="AB294" s="231"/>
      <c r="AC294" s="231"/>
      <c r="AD294" s="231"/>
      <c r="AE294" s="231"/>
      <c r="AF294" s="231"/>
      <c r="AG294" s="231"/>
      <c r="AH294" s="231"/>
    </row>
    <row r="295" spans="1:34" s="203" customFormat="1">
      <c r="A295" s="120">
        <v>10</v>
      </c>
      <c r="B295" s="47" t="s">
        <v>225</v>
      </c>
      <c r="C295" s="47"/>
      <c r="D295" s="47"/>
      <c r="E295" s="114">
        <v>51</v>
      </c>
      <c r="F295" s="52">
        <v>50</v>
      </c>
      <c r="G295" s="118"/>
      <c r="H295" s="122">
        <v>54</v>
      </c>
      <c r="I295" s="21"/>
      <c r="J295" s="231"/>
      <c r="K295" s="231"/>
      <c r="L295" s="231"/>
      <c r="M295" s="231"/>
      <c r="N295" s="231"/>
      <c r="O295" s="231"/>
      <c r="P295" s="231"/>
      <c r="Q295" s="231"/>
      <c r="R295" s="231"/>
      <c r="S295" s="231"/>
      <c r="T295" s="231"/>
      <c r="U295" s="231"/>
      <c r="V295" s="231"/>
      <c r="W295" s="231"/>
      <c r="X295" s="231"/>
      <c r="Y295" s="231"/>
      <c r="Z295" s="231"/>
      <c r="AA295" s="231"/>
      <c r="AB295" s="231"/>
      <c r="AC295" s="231"/>
      <c r="AD295" s="231"/>
      <c r="AE295" s="231"/>
      <c r="AF295" s="231"/>
      <c r="AG295" s="231"/>
      <c r="AH295" s="231"/>
    </row>
    <row r="296" spans="1:34" s="203" customFormat="1">
      <c r="A296" s="748">
        <v>11</v>
      </c>
      <c r="B296" s="47" t="s">
        <v>226</v>
      </c>
      <c r="C296" s="47"/>
      <c r="D296" s="47"/>
      <c r="E296" s="114">
        <v>0</v>
      </c>
      <c r="F296" s="52">
        <v>0</v>
      </c>
      <c r="G296" s="118"/>
      <c r="H296" s="122"/>
      <c r="I296" s="21"/>
      <c r="J296" s="231"/>
      <c r="K296" s="231"/>
      <c r="L296" s="231"/>
      <c r="M296" s="231"/>
      <c r="N296" s="231"/>
      <c r="O296" s="231"/>
      <c r="P296" s="231"/>
      <c r="Q296" s="231"/>
      <c r="R296" s="231"/>
      <c r="S296" s="231"/>
      <c r="T296" s="231"/>
      <c r="U296" s="231"/>
      <c r="V296" s="231"/>
      <c r="W296" s="231"/>
      <c r="X296" s="231"/>
      <c r="Y296" s="231"/>
      <c r="Z296" s="231"/>
      <c r="AA296" s="231"/>
      <c r="AB296" s="231"/>
      <c r="AC296" s="231"/>
      <c r="AD296" s="231"/>
      <c r="AE296" s="231"/>
      <c r="AF296" s="231"/>
      <c r="AG296" s="231"/>
      <c r="AH296" s="231"/>
    </row>
    <row r="297" spans="1:34" s="203" customFormat="1">
      <c r="A297" s="120">
        <v>12</v>
      </c>
      <c r="B297" s="47" t="s">
        <v>227</v>
      </c>
      <c r="C297" s="47"/>
      <c r="D297" s="47"/>
      <c r="E297" s="114">
        <v>22.45895000000003</v>
      </c>
      <c r="F297" s="52">
        <v>8</v>
      </c>
      <c r="G297" s="118"/>
      <c r="H297" s="122">
        <v>20</v>
      </c>
      <c r="I297" s="21"/>
      <c r="J297" s="231"/>
      <c r="K297" s="231"/>
      <c r="L297" s="231"/>
      <c r="M297" s="231"/>
      <c r="N297" s="231"/>
      <c r="O297" s="231"/>
      <c r="P297" s="231"/>
      <c r="Q297" s="231"/>
      <c r="R297" s="231"/>
      <c r="S297" s="231"/>
      <c r="T297" s="231"/>
      <c r="U297" s="231"/>
      <c r="V297" s="231"/>
      <c r="W297" s="231"/>
      <c r="X297" s="231"/>
      <c r="Y297" s="231"/>
      <c r="Z297" s="231"/>
      <c r="AA297" s="231"/>
      <c r="AB297" s="231"/>
      <c r="AC297" s="231"/>
      <c r="AD297" s="231"/>
      <c r="AE297" s="231"/>
      <c r="AF297" s="231"/>
      <c r="AG297" s="231"/>
      <c r="AH297" s="231"/>
    </row>
    <row r="298" spans="1:34" s="203" customFormat="1">
      <c r="A298" s="748">
        <v>13</v>
      </c>
      <c r="B298" s="47" t="s">
        <v>228</v>
      </c>
      <c r="C298" s="47"/>
      <c r="D298" s="47"/>
      <c r="E298" s="114">
        <v>1506.1088400000001</v>
      </c>
      <c r="F298" s="52">
        <v>1600</v>
      </c>
      <c r="G298" s="118"/>
      <c r="H298" s="122">
        <v>1318</v>
      </c>
      <c r="I298" s="21"/>
      <c r="J298" s="231"/>
      <c r="K298" s="231"/>
      <c r="L298" s="231"/>
      <c r="M298" s="231"/>
      <c r="N298" s="231"/>
      <c r="O298" s="231"/>
      <c r="P298" s="231"/>
      <c r="Q298" s="231"/>
      <c r="R298" s="231"/>
      <c r="S298" s="231"/>
      <c r="T298" s="231"/>
      <c r="U298" s="231"/>
      <c r="V298" s="231"/>
      <c r="W298" s="231"/>
      <c r="X298" s="231"/>
      <c r="Y298" s="231"/>
      <c r="Z298" s="231"/>
      <c r="AA298" s="231"/>
      <c r="AB298" s="231"/>
      <c r="AC298" s="231"/>
      <c r="AD298" s="231"/>
      <c r="AE298" s="231"/>
      <c r="AF298" s="231"/>
      <c r="AG298" s="231"/>
      <c r="AH298" s="231"/>
    </row>
    <row r="299" spans="1:34" s="203" customFormat="1">
      <c r="A299" s="120">
        <v>14</v>
      </c>
      <c r="B299" s="47" t="s">
        <v>229</v>
      </c>
      <c r="C299" s="47"/>
      <c r="D299" s="116"/>
      <c r="E299" s="114">
        <v>0</v>
      </c>
      <c r="F299" s="52">
        <v>0</v>
      </c>
      <c r="G299" s="118"/>
      <c r="H299" s="122">
        <v>0</v>
      </c>
      <c r="I299" s="21"/>
      <c r="J299" s="231"/>
      <c r="K299" s="231"/>
      <c r="L299" s="231"/>
      <c r="M299" s="231"/>
      <c r="N299" s="231"/>
      <c r="O299" s="231"/>
      <c r="P299" s="231"/>
      <c r="Q299" s="231"/>
      <c r="R299" s="231"/>
      <c r="S299" s="231"/>
      <c r="T299" s="231"/>
      <c r="U299" s="231"/>
      <c r="V299" s="231"/>
      <c r="W299" s="231"/>
      <c r="X299" s="231"/>
      <c r="Y299" s="231"/>
      <c r="Z299" s="231"/>
      <c r="AA299" s="231"/>
      <c r="AB299" s="231"/>
      <c r="AC299" s="231"/>
      <c r="AD299" s="231"/>
      <c r="AE299" s="231"/>
      <c r="AF299" s="231"/>
      <c r="AG299" s="231"/>
      <c r="AH299" s="231"/>
    </row>
    <row r="300" spans="1:34" s="203" customFormat="1">
      <c r="A300" s="748">
        <v>15</v>
      </c>
      <c r="B300" s="47" t="s">
        <v>230</v>
      </c>
      <c r="C300" s="47"/>
      <c r="D300" s="116"/>
      <c r="E300" s="114">
        <v>1338.43605</v>
      </c>
      <c r="F300" s="52">
        <v>1338</v>
      </c>
      <c r="G300" s="118"/>
      <c r="H300" s="122">
        <v>1339</v>
      </c>
      <c r="I300" s="21"/>
      <c r="J300" s="231"/>
      <c r="K300" s="231"/>
      <c r="L300" s="231"/>
      <c r="M300" s="231"/>
      <c r="N300" s="231"/>
      <c r="O300" s="231"/>
      <c r="P300" s="231"/>
      <c r="Q300" s="231"/>
      <c r="R300" s="231"/>
      <c r="S300" s="231"/>
      <c r="T300" s="231"/>
      <c r="U300" s="231"/>
      <c r="V300" s="231"/>
      <c r="W300" s="231"/>
      <c r="X300" s="231"/>
      <c r="Y300" s="231"/>
      <c r="Z300" s="231"/>
      <c r="AA300" s="231"/>
      <c r="AB300" s="231"/>
      <c r="AC300" s="231"/>
      <c r="AD300" s="231"/>
      <c r="AE300" s="231"/>
      <c r="AF300" s="231"/>
      <c r="AG300" s="231"/>
      <c r="AH300" s="231"/>
    </row>
    <row r="301" spans="1:34" s="203" customFormat="1">
      <c r="A301" s="120">
        <v>17</v>
      </c>
      <c r="B301" s="47" t="s">
        <v>231</v>
      </c>
      <c r="C301" s="47"/>
      <c r="D301" s="47"/>
      <c r="E301" s="114">
        <v>-283</v>
      </c>
      <c r="F301" s="52">
        <v>2039</v>
      </c>
      <c r="G301" s="118"/>
      <c r="H301" s="99">
        <v>437</v>
      </c>
      <c r="I301" s="21"/>
      <c r="J301" s="231"/>
      <c r="K301" s="231"/>
      <c r="L301" s="231"/>
      <c r="M301" s="231"/>
      <c r="N301" s="231"/>
      <c r="O301" s="231"/>
      <c r="P301" s="231"/>
      <c r="Q301" s="231"/>
      <c r="R301" s="231"/>
      <c r="S301" s="231"/>
      <c r="T301" s="231"/>
      <c r="U301" s="231"/>
      <c r="V301" s="231"/>
      <c r="W301" s="231"/>
      <c r="X301" s="231"/>
      <c r="Y301" s="231"/>
      <c r="Z301" s="231"/>
      <c r="AA301" s="231"/>
      <c r="AB301" s="231"/>
      <c r="AC301" s="231"/>
      <c r="AD301" s="231"/>
      <c r="AE301" s="231"/>
      <c r="AF301" s="231"/>
      <c r="AG301" s="231"/>
      <c r="AH301" s="231"/>
    </row>
    <row r="302" spans="1:34" s="203" customFormat="1">
      <c r="A302" s="749">
        <v>18</v>
      </c>
      <c r="B302" s="94" t="s">
        <v>232</v>
      </c>
      <c r="C302" s="94"/>
      <c r="D302" s="94"/>
      <c r="E302" s="159">
        <v>3770.3997600000002</v>
      </c>
      <c r="F302" s="61">
        <f>SUM(F286:F301)</f>
        <v>6250</v>
      </c>
      <c r="G302" s="118"/>
      <c r="H302" s="61">
        <f>SUM(H286:H301)</f>
        <v>4205</v>
      </c>
      <c r="I302" s="21"/>
      <c r="J302" s="231"/>
      <c r="K302" s="231"/>
      <c r="L302" s="231"/>
      <c r="M302" s="231"/>
      <c r="N302" s="231"/>
      <c r="O302" s="231"/>
      <c r="P302" s="231"/>
      <c r="Q302" s="231"/>
      <c r="R302" s="231"/>
      <c r="S302" s="231"/>
      <c r="T302" s="231"/>
      <c r="U302" s="231"/>
      <c r="V302" s="231"/>
      <c r="W302" s="231"/>
      <c r="X302" s="231"/>
      <c r="Y302" s="231"/>
      <c r="Z302" s="231"/>
      <c r="AA302" s="231"/>
      <c r="AB302" s="231"/>
      <c r="AC302" s="231"/>
      <c r="AD302" s="231"/>
      <c r="AE302" s="231"/>
      <c r="AF302" s="231"/>
      <c r="AG302" s="231"/>
      <c r="AH302" s="231"/>
    </row>
    <row r="303" spans="1:34" s="203" customFormat="1">
      <c r="A303" s="179"/>
      <c r="B303" s="180"/>
      <c r="C303" s="180"/>
      <c r="D303" s="181"/>
      <c r="E303" s="182"/>
      <c r="F303" s="183"/>
      <c r="G303" s="21"/>
      <c r="H303" s="183"/>
      <c r="I303" s="21"/>
      <c r="J303" s="231"/>
      <c r="K303" s="231"/>
      <c r="L303" s="231"/>
      <c r="M303" s="231"/>
      <c r="N303" s="231"/>
      <c r="O303" s="231"/>
      <c r="P303" s="231"/>
      <c r="Q303" s="231"/>
      <c r="R303" s="231"/>
      <c r="S303" s="231"/>
      <c r="T303" s="231"/>
      <c r="U303" s="231"/>
      <c r="V303" s="231"/>
      <c r="W303" s="231"/>
      <c r="X303" s="231"/>
      <c r="Y303" s="231"/>
      <c r="Z303" s="231"/>
      <c r="AA303" s="231"/>
      <c r="AB303" s="231"/>
      <c r="AC303" s="231"/>
      <c r="AD303" s="231"/>
      <c r="AE303" s="231"/>
      <c r="AF303" s="231"/>
      <c r="AG303" s="231"/>
      <c r="AH303" s="231"/>
    </row>
    <row r="304" spans="1:34" s="203" customFormat="1">
      <c r="A304" s="184"/>
      <c r="B304" s="207"/>
      <c r="C304" s="207"/>
      <c r="D304" s="209"/>
      <c r="E304" s="185"/>
      <c r="F304" s="207"/>
      <c r="G304" s="207"/>
      <c r="H304" s="131" t="s">
        <v>27</v>
      </c>
      <c r="I304" s="21"/>
      <c r="J304" s="231"/>
      <c r="K304" s="231"/>
      <c r="L304" s="231"/>
      <c r="M304" s="231"/>
      <c r="N304" s="231"/>
      <c r="O304" s="231"/>
      <c r="P304" s="231"/>
      <c r="Q304" s="231"/>
      <c r="R304" s="231"/>
      <c r="S304" s="231"/>
      <c r="T304" s="231"/>
      <c r="U304" s="231"/>
      <c r="V304" s="231"/>
      <c r="W304" s="231"/>
      <c r="X304" s="231"/>
      <c r="Y304" s="231"/>
      <c r="Z304" s="231"/>
      <c r="AA304" s="231"/>
      <c r="AB304" s="231"/>
      <c r="AC304" s="231"/>
      <c r="AD304" s="231"/>
      <c r="AE304" s="231"/>
      <c r="AF304" s="231"/>
      <c r="AG304" s="231"/>
      <c r="AH304" s="231"/>
    </row>
    <row r="305" spans="1:34" s="203" customFormat="1" ht="12.75" customHeight="1">
      <c r="A305" s="106" t="s">
        <v>21</v>
      </c>
      <c r="B305" s="164"/>
      <c r="C305" s="164"/>
      <c r="D305" s="164"/>
      <c r="E305" s="856" t="s">
        <v>377</v>
      </c>
      <c r="F305" s="856" t="s">
        <v>402</v>
      </c>
      <c r="G305" s="130"/>
      <c r="H305" s="856" t="s">
        <v>403</v>
      </c>
      <c r="I305" s="21"/>
      <c r="J305" s="231"/>
      <c r="K305" s="231"/>
      <c r="L305" s="231"/>
      <c r="M305" s="231"/>
      <c r="N305" s="231"/>
      <c r="O305" s="231"/>
      <c r="P305" s="231"/>
      <c r="Q305" s="231"/>
      <c r="R305" s="231"/>
      <c r="S305" s="231"/>
      <c r="T305" s="231"/>
      <c r="U305" s="231"/>
      <c r="V305" s="231"/>
      <c r="W305" s="231"/>
      <c r="X305" s="231"/>
      <c r="Y305" s="231"/>
      <c r="Z305" s="231"/>
      <c r="AA305" s="231"/>
      <c r="AB305" s="231"/>
      <c r="AC305" s="231"/>
      <c r="AD305" s="231"/>
      <c r="AE305" s="231"/>
      <c r="AF305" s="231"/>
      <c r="AG305" s="231"/>
      <c r="AH305" s="231"/>
    </row>
    <row r="306" spans="1:34" s="203" customFormat="1">
      <c r="A306" s="165"/>
      <c r="B306" s="47"/>
      <c r="C306" s="47"/>
      <c r="D306" s="47"/>
      <c r="E306" s="859"/>
      <c r="F306" s="859"/>
      <c r="G306" s="130"/>
      <c r="H306" s="859"/>
      <c r="I306" s="21"/>
      <c r="J306" s="231"/>
      <c r="K306" s="231"/>
      <c r="L306" s="231"/>
      <c r="M306" s="231"/>
      <c r="N306" s="231"/>
      <c r="O306" s="231"/>
      <c r="P306" s="231"/>
      <c r="Q306" s="231"/>
      <c r="R306" s="231"/>
      <c r="S306" s="231"/>
      <c r="T306" s="231"/>
      <c r="U306" s="231"/>
      <c r="V306" s="231"/>
      <c r="W306" s="231"/>
      <c r="X306" s="231"/>
      <c r="Y306" s="231"/>
      <c r="Z306" s="231"/>
      <c r="AA306" s="231"/>
      <c r="AB306" s="231"/>
      <c r="AC306" s="231"/>
      <c r="AD306" s="231"/>
      <c r="AE306" s="231"/>
      <c r="AF306" s="231"/>
      <c r="AG306" s="231"/>
      <c r="AH306" s="231"/>
    </row>
    <row r="307" spans="1:34" s="203" customFormat="1" ht="12.75" customHeight="1">
      <c r="A307" s="109"/>
      <c r="B307" s="174"/>
      <c r="C307" s="174"/>
      <c r="D307" s="174"/>
      <c r="E307" s="859"/>
      <c r="F307" s="859"/>
      <c r="G307" s="130"/>
      <c r="H307" s="859"/>
      <c r="I307" s="21"/>
      <c r="J307" s="231"/>
      <c r="K307" s="231"/>
      <c r="L307" s="231"/>
      <c r="M307" s="231"/>
      <c r="N307" s="231"/>
      <c r="O307" s="231"/>
      <c r="P307" s="231"/>
      <c r="Q307" s="231"/>
      <c r="R307" s="231"/>
      <c r="S307" s="231"/>
      <c r="T307" s="231"/>
      <c r="U307" s="231"/>
      <c r="V307" s="231"/>
      <c r="W307" s="231"/>
      <c r="X307" s="231"/>
      <c r="Y307" s="231"/>
      <c r="Z307" s="231"/>
      <c r="AA307" s="231"/>
      <c r="AB307" s="231"/>
      <c r="AC307" s="231"/>
      <c r="AD307" s="231"/>
      <c r="AE307" s="231"/>
      <c r="AF307" s="231"/>
      <c r="AG307" s="231"/>
      <c r="AH307" s="231"/>
    </row>
    <row r="308" spans="1:34" s="203" customFormat="1">
      <c r="A308" s="154" t="s">
        <v>233</v>
      </c>
      <c r="B308" s="47"/>
      <c r="C308" s="47"/>
      <c r="D308" s="47"/>
      <c r="E308" s="859"/>
      <c r="F308" s="859"/>
      <c r="G308" s="130"/>
      <c r="H308" s="859"/>
      <c r="I308" s="21"/>
      <c r="J308" s="231"/>
      <c r="K308" s="231"/>
      <c r="L308" s="231"/>
      <c r="M308" s="231"/>
      <c r="N308" s="231"/>
      <c r="O308" s="231"/>
      <c r="P308" s="231"/>
      <c r="Q308" s="231"/>
      <c r="R308" s="231"/>
      <c r="S308" s="231"/>
      <c r="T308" s="231"/>
      <c r="U308" s="231"/>
      <c r="V308" s="231"/>
      <c r="W308" s="231"/>
      <c r="X308" s="231"/>
      <c r="Y308" s="231"/>
      <c r="Z308" s="231"/>
      <c r="AA308" s="231"/>
      <c r="AB308" s="231"/>
      <c r="AC308" s="231"/>
      <c r="AD308" s="231"/>
      <c r="AE308" s="231"/>
      <c r="AF308" s="231"/>
      <c r="AG308" s="231"/>
      <c r="AH308" s="231"/>
    </row>
    <row r="309" spans="1:34" s="203" customFormat="1">
      <c r="A309" s="109" t="s">
        <v>83</v>
      </c>
      <c r="B309" s="174"/>
      <c r="C309" s="174"/>
      <c r="D309" s="174"/>
      <c r="E309" s="860"/>
      <c r="F309" s="860"/>
      <c r="G309" s="130"/>
      <c r="H309" s="860"/>
      <c r="I309" s="21"/>
      <c r="J309" s="231"/>
      <c r="K309" s="231"/>
      <c r="L309" s="231"/>
      <c r="M309" s="231"/>
      <c r="N309" s="231"/>
      <c r="O309" s="231"/>
      <c r="P309" s="231"/>
      <c r="Q309" s="231"/>
      <c r="R309" s="231"/>
      <c r="S309" s="231"/>
      <c r="T309" s="231"/>
      <c r="U309" s="231"/>
      <c r="V309" s="231"/>
      <c r="W309" s="231"/>
      <c r="X309" s="231"/>
      <c r="Y309" s="231"/>
      <c r="Z309" s="231"/>
      <c r="AA309" s="231"/>
      <c r="AB309" s="231"/>
      <c r="AC309" s="231"/>
      <c r="AD309" s="231"/>
      <c r="AE309" s="231"/>
      <c r="AF309" s="231"/>
      <c r="AG309" s="231"/>
      <c r="AH309" s="231"/>
    </row>
    <row r="310" spans="1:34" s="203" customFormat="1">
      <c r="A310" s="110" t="s">
        <v>84</v>
      </c>
      <c r="B310" s="116"/>
      <c r="C310" s="116"/>
      <c r="D310" s="116"/>
      <c r="E310" s="262"/>
      <c r="F310" s="146"/>
      <c r="G310" s="118"/>
      <c r="H310" s="146"/>
      <c r="I310" s="21"/>
      <c r="J310" s="231"/>
      <c r="K310" s="231"/>
      <c r="L310" s="231"/>
      <c r="M310" s="231"/>
      <c r="N310" s="231"/>
      <c r="O310" s="231"/>
      <c r="P310" s="231"/>
      <c r="Q310" s="231"/>
      <c r="R310" s="231"/>
      <c r="S310" s="231"/>
      <c r="T310" s="231"/>
      <c r="U310" s="231"/>
      <c r="V310" s="231"/>
      <c r="W310" s="231"/>
      <c r="X310" s="231"/>
      <c r="Y310" s="231"/>
      <c r="Z310" s="231"/>
      <c r="AA310" s="231"/>
      <c r="AB310" s="231"/>
      <c r="AC310" s="231"/>
      <c r="AD310" s="231"/>
      <c r="AE310" s="231"/>
      <c r="AF310" s="231"/>
      <c r="AG310" s="231"/>
      <c r="AH310" s="231"/>
    </row>
    <row r="311" spans="1:34" s="203" customFormat="1">
      <c r="A311" s="120">
        <v>1</v>
      </c>
      <c r="B311" s="47" t="s">
        <v>258</v>
      </c>
      <c r="C311" s="47"/>
      <c r="D311" s="186"/>
      <c r="E311" s="74">
        <v>0</v>
      </c>
      <c r="F311" s="52"/>
      <c r="G311" s="43"/>
      <c r="H311" s="52"/>
      <c r="I311" s="21"/>
      <c r="J311" s="231"/>
      <c r="K311" s="231"/>
      <c r="L311" s="231"/>
      <c r="M311" s="231"/>
      <c r="N311" s="231"/>
      <c r="O311" s="231"/>
      <c r="P311" s="231"/>
      <c r="Q311" s="231"/>
      <c r="R311" s="231"/>
      <c r="S311" s="231"/>
      <c r="T311" s="231"/>
      <c r="U311" s="231"/>
      <c r="V311" s="231"/>
      <c r="W311" s="231"/>
      <c r="X311" s="231"/>
      <c r="Y311" s="231"/>
      <c r="Z311" s="231"/>
      <c r="AA311" s="231"/>
      <c r="AB311" s="231"/>
      <c r="AC311" s="231"/>
      <c r="AD311" s="231"/>
      <c r="AE311" s="231"/>
      <c r="AF311" s="231"/>
      <c r="AG311" s="231"/>
      <c r="AH311" s="231"/>
    </row>
    <row r="312" spans="1:34" s="203" customFormat="1">
      <c r="A312" s="120">
        <v>2</v>
      </c>
      <c r="B312" s="47" t="s">
        <v>234</v>
      </c>
      <c r="C312" s="47"/>
      <c r="D312" s="186"/>
      <c r="E312" s="114">
        <v>895</v>
      </c>
      <c r="F312" s="52">
        <v>1313</v>
      </c>
      <c r="G312" s="43"/>
      <c r="H312" s="52">
        <v>1428</v>
      </c>
      <c r="I312" s="21"/>
      <c r="J312" s="231"/>
      <c r="K312" s="231"/>
      <c r="L312" s="231"/>
      <c r="M312" s="231"/>
      <c r="N312" s="231"/>
      <c r="O312" s="231"/>
      <c r="P312" s="231"/>
      <c r="Q312" s="231"/>
      <c r="R312" s="231"/>
      <c r="S312" s="231"/>
      <c r="T312" s="231"/>
      <c r="U312" s="231"/>
      <c r="V312" s="231"/>
      <c r="W312" s="231"/>
      <c r="X312" s="231"/>
      <c r="Y312" s="231"/>
      <c r="Z312" s="231"/>
      <c r="AA312" s="231"/>
      <c r="AB312" s="231"/>
      <c r="AC312" s="231"/>
      <c r="AD312" s="231"/>
      <c r="AE312" s="231"/>
      <c r="AF312" s="231"/>
      <c r="AG312" s="231"/>
      <c r="AH312" s="231"/>
    </row>
    <row r="313" spans="1:34" s="203" customFormat="1">
      <c r="A313" s="120">
        <v>3</v>
      </c>
      <c r="B313" s="47" t="s">
        <v>259</v>
      </c>
      <c r="C313" s="47"/>
      <c r="D313" s="186"/>
      <c r="E313" s="114">
        <v>-612</v>
      </c>
      <c r="F313" s="52">
        <v>-612</v>
      </c>
      <c r="G313" s="43"/>
      <c r="H313" s="52">
        <v>-667</v>
      </c>
      <c r="I313" s="21"/>
      <c r="J313" s="231"/>
      <c r="K313" s="231"/>
      <c r="L313" s="231"/>
      <c r="M313" s="231"/>
      <c r="N313" s="231"/>
      <c r="O313" s="231"/>
      <c r="P313" s="231"/>
      <c r="Q313" s="231"/>
      <c r="R313" s="231"/>
      <c r="S313" s="231"/>
      <c r="T313" s="231"/>
      <c r="U313" s="231"/>
      <c r="V313" s="231"/>
      <c r="W313" s="231"/>
      <c r="X313" s="231"/>
      <c r="Y313" s="231"/>
      <c r="Z313" s="231"/>
      <c r="AA313" s="231"/>
      <c r="AB313" s="231"/>
      <c r="AC313" s="231"/>
      <c r="AD313" s="231"/>
      <c r="AE313" s="231"/>
      <c r="AF313" s="231"/>
      <c r="AG313" s="231"/>
      <c r="AH313" s="231"/>
    </row>
    <row r="314" spans="1:34" s="203" customFormat="1">
      <c r="A314" s="120">
        <v>4</v>
      </c>
      <c r="B314" s="47" t="s">
        <v>235</v>
      </c>
      <c r="C314" s="47"/>
      <c r="D314" s="186"/>
      <c r="E314" s="114">
        <v>3524</v>
      </c>
      <c r="F314" s="52">
        <v>3384</v>
      </c>
      <c r="G314" s="43"/>
      <c r="H314" s="52">
        <v>3764</v>
      </c>
      <c r="I314" s="21"/>
      <c r="J314" s="231"/>
      <c r="K314" s="231"/>
      <c r="L314" s="231"/>
      <c r="M314" s="231"/>
      <c r="N314" s="231"/>
      <c r="O314" s="231"/>
      <c r="P314" s="231"/>
      <c r="Q314" s="231"/>
      <c r="R314" s="231"/>
      <c r="S314" s="231"/>
      <c r="T314" s="231"/>
      <c r="U314" s="231"/>
      <c r="V314" s="231"/>
      <c r="W314" s="231"/>
      <c r="X314" s="231"/>
      <c r="Y314" s="231"/>
      <c r="Z314" s="231"/>
      <c r="AA314" s="231"/>
      <c r="AB314" s="231"/>
      <c r="AC314" s="231"/>
      <c r="AD314" s="231"/>
      <c r="AE314" s="231"/>
      <c r="AF314" s="231"/>
      <c r="AG314" s="231"/>
      <c r="AH314" s="231"/>
    </row>
    <row r="315" spans="1:34" s="203" customFormat="1">
      <c r="A315" s="120">
        <v>5</v>
      </c>
      <c r="B315" s="47" t="s">
        <v>236</v>
      </c>
      <c r="C315" s="47"/>
      <c r="D315" s="186"/>
      <c r="E315" s="114">
        <v>1449</v>
      </c>
      <c r="F315" s="52">
        <v>3503</v>
      </c>
      <c r="G315" s="187"/>
      <c r="H315" s="52">
        <v>2230</v>
      </c>
      <c r="I315" s="21"/>
      <c r="J315" s="231"/>
      <c r="K315" s="231"/>
      <c r="L315" s="231"/>
      <c r="M315" s="231"/>
      <c r="N315" s="231"/>
      <c r="O315" s="231"/>
      <c r="P315" s="231"/>
      <c r="Q315" s="231"/>
      <c r="R315" s="231"/>
      <c r="S315" s="231"/>
      <c r="T315" s="231"/>
      <c r="U315" s="231"/>
      <c r="V315" s="231"/>
      <c r="W315" s="231"/>
      <c r="X315" s="231"/>
      <c r="Y315" s="231"/>
      <c r="Z315" s="231"/>
      <c r="AA315" s="231"/>
      <c r="AB315" s="231"/>
      <c r="AC315" s="231"/>
      <c r="AD315" s="231"/>
      <c r="AE315" s="231"/>
      <c r="AF315" s="231"/>
      <c r="AG315" s="231"/>
      <c r="AH315" s="231"/>
    </row>
    <row r="316" spans="1:34" s="203" customFormat="1">
      <c r="A316" s="120">
        <v>6</v>
      </c>
      <c r="B316" s="47" t="s">
        <v>237</v>
      </c>
      <c r="C316" s="47"/>
      <c r="D316" s="186"/>
      <c r="E316" s="114">
        <v>8006</v>
      </c>
      <c r="F316" s="52">
        <v>7309</v>
      </c>
      <c r="G316" s="43"/>
      <c r="H316" s="52">
        <v>8483</v>
      </c>
      <c r="I316" s="21"/>
      <c r="J316" s="231"/>
      <c r="K316" s="231"/>
      <c r="L316" s="231"/>
      <c r="M316" s="231"/>
      <c r="N316" s="231"/>
      <c r="O316" s="231"/>
      <c r="P316" s="231"/>
      <c r="Q316" s="231"/>
      <c r="R316" s="231"/>
      <c r="S316" s="231"/>
      <c r="T316" s="231"/>
      <c r="U316" s="231"/>
      <c r="V316" s="231"/>
      <c r="W316" s="231"/>
      <c r="X316" s="231"/>
      <c r="Y316" s="231"/>
      <c r="Z316" s="231"/>
      <c r="AA316" s="231"/>
      <c r="AB316" s="231"/>
      <c r="AC316" s="231"/>
      <c r="AD316" s="231"/>
      <c r="AE316" s="231"/>
      <c r="AF316" s="231"/>
      <c r="AG316" s="231"/>
      <c r="AH316" s="231"/>
    </row>
    <row r="317" spans="1:34" s="203" customFormat="1">
      <c r="A317" s="120">
        <v>7</v>
      </c>
      <c r="B317" s="47" t="s">
        <v>238</v>
      </c>
      <c r="C317" s="47"/>
      <c r="D317" s="186"/>
      <c r="E317" s="114">
        <v>0</v>
      </c>
      <c r="F317" s="52"/>
      <c r="G317" s="43"/>
      <c r="H317" s="52"/>
      <c r="I317" s="21"/>
      <c r="J317" s="231"/>
      <c r="K317" s="231"/>
      <c r="L317" s="231"/>
      <c r="M317" s="231"/>
      <c r="N317" s="231"/>
      <c r="O317" s="231"/>
      <c r="P317" s="231"/>
      <c r="Q317" s="231"/>
      <c r="R317" s="231"/>
      <c r="S317" s="231"/>
      <c r="T317" s="231"/>
      <c r="U317" s="231"/>
      <c r="V317" s="231"/>
      <c r="W317" s="231"/>
      <c r="X317" s="231"/>
      <c r="Y317" s="231"/>
      <c r="Z317" s="231"/>
      <c r="AA317" s="231"/>
      <c r="AB317" s="231"/>
      <c r="AC317" s="231"/>
      <c r="AD317" s="231"/>
      <c r="AE317" s="231"/>
      <c r="AF317" s="231"/>
      <c r="AG317" s="231"/>
      <c r="AH317" s="231"/>
    </row>
    <row r="318" spans="1:34" s="203" customFormat="1">
      <c r="A318" s="120">
        <v>8</v>
      </c>
      <c r="B318" s="47" t="s">
        <v>239</v>
      </c>
      <c r="C318" s="47"/>
      <c r="D318" s="186"/>
      <c r="E318" s="114">
        <v>37</v>
      </c>
      <c r="F318" s="52">
        <v>29</v>
      </c>
      <c r="G318" s="43"/>
      <c r="H318" s="52">
        <v>40</v>
      </c>
      <c r="I318" s="21"/>
      <c r="J318" s="231"/>
      <c r="K318" s="231"/>
      <c r="L318" s="231"/>
      <c r="M318" s="231"/>
      <c r="N318" s="231"/>
      <c r="O318" s="231"/>
      <c r="P318" s="231"/>
      <c r="Q318" s="231"/>
      <c r="R318" s="231"/>
      <c r="S318" s="231"/>
      <c r="T318" s="231"/>
      <c r="U318" s="231"/>
      <c r="V318" s="231"/>
      <c r="W318" s="231"/>
      <c r="X318" s="231"/>
      <c r="Y318" s="231"/>
      <c r="Z318" s="231"/>
      <c r="AA318" s="231"/>
      <c r="AB318" s="231"/>
      <c r="AC318" s="231"/>
      <c r="AD318" s="231"/>
      <c r="AE318" s="231"/>
      <c r="AF318" s="231"/>
      <c r="AG318" s="231"/>
      <c r="AH318" s="231"/>
    </row>
    <row r="319" spans="1:34" s="203" customFormat="1">
      <c r="A319" s="748">
        <v>9</v>
      </c>
      <c r="B319" s="90" t="s">
        <v>260</v>
      </c>
      <c r="C319" s="47"/>
      <c r="D319" s="47"/>
      <c r="E319" s="114">
        <v>0</v>
      </c>
      <c r="F319" s="188"/>
      <c r="G319" s="43"/>
      <c r="H319" s="189"/>
      <c r="I319" s="21"/>
      <c r="J319" s="231"/>
      <c r="K319" s="231"/>
      <c r="L319" s="231"/>
      <c r="M319" s="231"/>
      <c r="N319" s="231"/>
      <c r="O319" s="231"/>
      <c r="P319" s="231"/>
      <c r="Q319" s="231"/>
      <c r="R319" s="231"/>
      <c r="S319" s="231"/>
      <c r="T319" s="231"/>
      <c r="U319" s="231"/>
      <c r="V319" s="231"/>
      <c r="W319" s="231"/>
      <c r="X319" s="231"/>
      <c r="Y319" s="231"/>
      <c r="Z319" s="231"/>
      <c r="AA319" s="231"/>
      <c r="AB319" s="231"/>
      <c r="AC319" s="231"/>
      <c r="AD319" s="231"/>
      <c r="AE319" s="231"/>
      <c r="AF319" s="231"/>
      <c r="AG319" s="231"/>
      <c r="AH319" s="231"/>
    </row>
    <row r="320" spans="1:34" s="203" customFormat="1">
      <c r="A320" s="124">
        <v>10</v>
      </c>
      <c r="B320" s="94" t="s">
        <v>62</v>
      </c>
      <c r="C320" s="94"/>
      <c r="D320" s="94"/>
      <c r="E320" s="159">
        <v>13299</v>
      </c>
      <c r="F320" s="61">
        <f>F311+F312+F313+F314+F315+F316+F317+F318</f>
        <v>14926</v>
      </c>
      <c r="G320" s="118"/>
      <c r="H320" s="61">
        <f>H311+H312+H313+H314+H315+H316+H317+H318+H319</f>
        <v>15278</v>
      </c>
      <c r="I320" s="183"/>
      <c r="J320" s="231"/>
      <c r="K320" s="231"/>
      <c r="L320" s="231"/>
      <c r="M320" s="231"/>
      <c r="N320" s="231"/>
      <c r="O320" s="231"/>
      <c r="P320" s="231"/>
      <c r="Q320" s="231"/>
      <c r="R320" s="231"/>
      <c r="S320" s="231"/>
      <c r="T320" s="231"/>
      <c r="U320" s="231"/>
      <c r="V320" s="231"/>
      <c r="W320" s="231"/>
      <c r="X320" s="231"/>
      <c r="Y320" s="231"/>
      <c r="Z320" s="231"/>
      <c r="AA320" s="231"/>
      <c r="AB320" s="231"/>
      <c r="AC320" s="231"/>
      <c r="AD320" s="231"/>
      <c r="AE320" s="231"/>
      <c r="AF320" s="231"/>
      <c r="AG320" s="231"/>
      <c r="AH320" s="231"/>
    </row>
    <row r="321" spans="1:34" s="203" customFormat="1">
      <c r="A321" s="179"/>
      <c r="B321" s="180"/>
      <c r="C321" s="180"/>
      <c r="D321" s="180"/>
      <c r="E321" s="180"/>
      <c r="F321" s="183"/>
      <c r="G321" s="21"/>
      <c r="H321" s="183"/>
      <c r="I321" s="183"/>
      <c r="J321" s="231"/>
      <c r="K321" s="231"/>
      <c r="L321" s="231"/>
      <c r="M321" s="231"/>
      <c r="N321" s="231"/>
      <c r="O321" s="231"/>
      <c r="P321" s="231"/>
      <c r="Q321" s="231"/>
      <c r="R321" s="231"/>
      <c r="S321" s="231"/>
      <c r="T321" s="231"/>
      <c r="U321" s="231"/>
      <c r="V321" s="231"/>
      <c r="W321" s="231"/>
      <c r="X321" s="231"/>
      <c r="Y321" s="231"/>
      <c r="Z321" s="231"/>
      <c r="AA321" s="231"/>
      <c r="AB321" s="231"/>
      <c r="AC321" s="231"/>
      <c r="AD321" s="231"/>
      <c r="AE321" s="231"/>
      <c r="AF321" s="231"/>
      <c r="AG321" s="231"/>
      <c r="AH321" s="231"/>
    </row>
    <row r="322" spans="1:34" s="203" customFormat="1">
      <c r="A322" s="148"/>
      <c r="B322" s="207"/>
      <c r="C322" s="207"/>
      <c r="D322" s="29"/>
      <c r="E322" s="29"/>
      <c r="F322" s="29"/>
      <c r="G322" s="29"/>
      <c r="H322" s="31" t="s">
        <v>27</v>
      </c>
      <c r="I322" s="2"/>
      <c r="J322" s="231"/>
      <c r="K322" s="231"/>
      <c r="L322" s="231"/>
      <c r="M322" s="231"/>
      <c r="N322" s="231"/>
      <c r="O322" s="231"/>
      <c r="P322" s="231"/>
      <c r="Q322" s="231"/>
      <c r="R322" s="231"/>
      <c r="S322" s="231"/>
      <c r="T322" s="231"/>
      <c r="U322" s="231"/>
      <c r="V322" s="231"/>
      <c r="W322" s="231"/>
      <c r="X322" s="231"/>
      <c r="Y322" s="231"/>
      <c r="Z322" s="231"/>
      <c r="AA322" s="231"/>
      <c r="AB322" s="231"/>
      <c r="AC322" s="231"/>
      <c r="AD322" s="231"/>
      <c r="AE322" s="231"/>
      <c r="AF322" s="231"/>
      <c r="AG322" s="231"/>
      <c r="AH322" s="231"/>
    </row>
    <row r="323" spans="1:34" s="203" customFormat="1">
      <c r="A323" s="190" t="s">
        <v>240</v>
      </c>
      <c r="B323" s="263"/>
      <c r="C323" s="861" t="s">
        <v>405</v>
      </c>
      <c r="D323" s="862"/>
      <c r="E323" s="862"/>
      <c r="F323" s="862"/>
      <c r="G323" s="862"/>
      <c r="H323" s="863"/>
      <c r="I323" s="210"/>
      <c r="J323" s="231"/>
      <c r="K323" s="231"/>
      <c r="L323" s="231"/>
      <c r="M323" s="231"/>
      <c r="N323" s="231"/>
      <c r="O323" s="231"/>
      <c r="P323" s="231"/>
      <c r="Q323" s="231"/>
      <c r="R323" s="231"/>
      <c r="S323" s="231"/>
      <c r="T323" s="231"/>
      <c r="U323" s="231"/>
      <c r="V323" s="231"/>
      <c r="W323" s="231"/>
      <c r="X323" s="231"/>
      <c r="Y323" s="231"/>
      <c r="Z323" s="231"/>
      <c r="AA323" s="231"/>
      <c r="AB323" s="231"/>
      <c r="AC323" s="231"/>
      <c r="AD323" s="231"/>
      <c r="AE323" s="231"/>
      <c r="AF323" s="231"/>
      <c r="AG323" s="231"/>
      <c r="AH323" s="231"/>
    </row>
    <row r="324" spans="1:34" s="203" customFormat="1" ht="39" thickBot="1">
      <c r="A324" s="110" t="s">
        <v>84</v>
      </c>
      <c r="B324" s="116"/>
      <c r="C324" s="35" t="s">
        <v>52</v>
      </c>
      <c r="D324" s="35" t="s">
        <v>53</v>
      </c>
      <c r="E324" s="37" t="s">
        <v>54</v>
      </c>
      <c r="F324" s="37" t="s">
        <v>55</v>
      </c>
      <c r="G324" s="37" t="s">
        <v>241</v>
      </c>
      <c r="H324" s="35" t="s">
        <v>121</v>
      </c>
      <c r="I324" s="29"/>
      <c r="J324" s="231"/>
      <c r="K324" s="231"/>
      <c r="L324" s="231"/>
      <c r="M324" s="231"/>
      <c r="N324" s="231"/>
      <c r="O324" s="231"/>
      <c r="P324" s="231"/>
      <c r="Q324" s="231"/>
      <c r="R324" s="231"/>
      <c r="S324" s="231"/>
      <c r="T324" s="231"/>
      <c r="U324" s="231"/>
      <c r="V324" s="231"/>
      <c r="W324" s="231"/>
      <c r="X324" s="231"/>
      <c r="Y324" s="231"/>
      <c r="Z324" s="231"/>
      <c r="AA324" s="231"/>
      <c r="AB324" s="231"/>
      <c r="AC324" s="231"/>
      <c r="AD324" s="231"/>
      <c r="AE324" s="231"/>
      <c r="AF324" s="231"/>
      <c r="AG324" s="231"/>
      <c r="AH324" s="231"/>
    </row>
    <row r="325" spans="1:34" s="203" customFormat="1" ht="13.5" thickBot="1">
      <c r="A325" s="748">
        <v>1</v>
      </c>
      <c r="B325" s="116" t="s">
        <v>242</v>
      </c>
      <c r="C325" s="193">
        <f t="shared" ref="C325:H325" si="0">SUM(C326:C329)</f>
        <v>13581</v>
      </c>
      <c r="D325" s="193">
        <f t="shared" si="0"/>
        <v>0</v>
      </c>
      <c r="E325" s="193">
        <v>0</v>
      </c>
      <c r="F325" s="193">
        <f t="shared" si="0"/>
        <v>0</v>
      </c>
      <c r="G325" s="193">
        <f>SUM(G326:G329)</f>
        <v>0</v>
      </c>
      <c r="H325" s="193">
        <f t="shared" si="0"/>
        <v>0</v>
      </c>
      <c r="I325" s="207"/>
      <c r="J325" s="231"/>
      <c r="K325" s="231"/>
      <c r="L325" s="231"/>
      <c r="M325" s="231"/>
      <c r="N325" s="231"/>
      <c r="O325" s="231"/>
      <c r="P325" s="231"/>
      <c r="Q325" s="231"/>
      <c r="R325" s="231"/>
      <c r="S325" s="231"/>
      <c r="T325" s="231"/>
      <c r="U325" s="231"/>
      <c r="V325" s="231"/>
      <c r="W325" s="231"/>
      <c r="X325" s="231"/>
      <c r="Y325" s="231"/>
      <c r="Z325" s="231"/>
      <c r="AA325" s="231"/>
      <c r="AB325" s="231"/>
      <c r="AC325" s="231"/>
      <c r="AD325" s="231"/>
      <c r="AE325" s="231"/>
      <c r="AF325" s="231"/>
      <c r="AG325" s="231"/>
      <c r="AH325" s="231"/>
    </row>
    <row r="326" spans="1:34" s="203" customFormat="1">
      <c r="A326" s="748">
        <v>2</v>
      </c>
      <c r="B326" s="47" t="s">
        <v>243</v>
      </c>
      <c r="C326" s="169">
        <v>4040</v>
      </c>
      <c r="D326" s="169"/>
      <c r="E326" s="169"/>
      <c r="F326" s="169"/>
      <c r="G326" s="169"/>
      <c r="H326" s="169"/>
      <c r="I326" s="207"/>
      <c r="J326" s="231"/>
      <c r="K326" s="231"/>
      <c r="L326" s="231"/>
      <c r="M326" s="231"/>
      <c r="N326" s="231"/>
      <c r="O326" s="231"/>
      <c r="P326" s="231"/>
      <c r="Q326" s="231"/>
      <c r="R326" s="231"/>
      <c r="S326" s="231"/>
      <c r="T326" s="231"/>
      <c r="U326" s="231"/>
      <c r="V326" s="231"/>
      <c r="W326" s="231"/>
      <c r="X326" s="231"/>
      <c r="Y326" s="231"/>
      <c r="Z326" s="231"/>
      <c r="AA326" s="231"/>
      <c r="AB326" s="231"/>
      <c r="AC326" s="231"/>
      <c r="AD326" s="231"/>
      <c r="AE326" s="231"/>
      <c r="AF326" s="231"/>
      <c r="AG326" s="231"/>
      <c r="AH326" s="231"/>
    </row>
    <row r="327" spans="1:34" s="203" customFormat="1">
      <c r="A327" s="748">
        <v>3</v>
      </c>
      <c r="B327" s="47" t="s">
        <v>244</v>
      </c>
      <c r="C327" s="99">
        <v>3503</v>
      </c>
      <c r="D327" s="99"/>
      <c r="E327" s="99"/>
      <c r="F327" s="99"/>
      <c r="G327" s="99"/>
      <c r="H327" s="99"/>
      <c r="I327" s="207"/>
      <c r="J327" s="231"/>
      <c r="K327" s="231"/>
      <c r="L327" s="231"/>
      <c r="M327" s="231"/>
      <c r="N327" s="231"/>
      <c r="O327" s="231"/>
      <c r="P327" s="231"/>
      <c r="Q327" s="231"/>
      <c r="R327" s="231"/>
      <c r="S327" s="231"/>
      <c r="T327" s="231"/>
      <c r="U327" s="231"/>
      <c r="V327" s="231"/>
      <c r="W327" s="231"/>
      <c r="X327" s="231"/>
      <c r="Y327" s="231"/>
      <c r="Z327" s="231"/>
      <c r="AA327" s="231"/>
      <c r="AB327" s="231"/>
      <c r="AC327" s="231"/>
      <c r="AD327" s="231"/>
      <c r="AE327" s="231"/>
      <c r="AF327" s="231"/>
      <c r="AG327" s="231"/>
      <c r="AH327" s="231"/>
    </row>
    <row r="328" spans="1:34" s="203" customFormat="1">
      <c r="A328" s="748">
        <v>4</v>
      </c>
      <c r="B328" s="47" t="s">
        <v>245</v>
      </c>
      <c r="C328" s="99">
        <v>4725</v>
      </c>
      <c r="D328" s="99"/>
      <c r="E328" s="99"/>
      <c r="F328" s="99"/>
      <c r="G328" s="99"/>
      <c r="H328" s="99"/>
      <c r="I328" s="207"/>
      <c r="J328" s="231"/>
      <c r="K328" s="231"/>
      <c r="L328" s="231"/>
      <c r="M328" s="231"/>
      <c r="N328" s="231"/>
      <c r="O328" s="231"/>
      <c r="P328" s="231"/>
      <c r="Q328" s="231"/>
      <c r="R328" s="231"/>
      <c r="S328" s="231"/>
      <c r="T328" s="231"/>
      <c r="U328" s="231"/>
      <c r="V328" s="231"/>
      <c r="W328" s="231"/>
      <c r="X328" s="231"/>
      <c r="Y328" s="231"/>
      <c r="Z328" s="231"/>
      <c r="AA328" s="231"/>
      <c r="AB328" s="231"/>
      <c r="AC328" s="231"/>
      <c r="AD328" s="231"/>
      <c r="AE328" s="231"/>
      <c r="AF328" s="231"/>
      <c r="AG328" s="231"/>
      <c r="AH328" s="231"/>
    </row>
    <row r="329" spans="1:34" s="203" customFormat="1">
      <c r="A329" s="749">
        <v>5</v>
      </c>
      <c r="B329" s="54" t="s">
        <v>246</v>
      </c>
      <c r="C329" s="100">
        <v>1313</v>
      </c>
      <c r="D329" s="100"/>
      <c r="E329" s="100"/>
      <c r="F329" s="100"/>
      <c r="G329" s="100"/>
      <c r="H329" s="100"/>
      <c r="I329" s="207"/>
      <c r="J329" s="231"/>
      <c r="K329" s="231"/>
      <c r="L329" s="231"/>
      <c r="M329" s="231"/>
      <c r="N329" s="231"/>
      <c r="O329" s="231"/>
      <c r="P329" s="231"/>
      <c r="Q329" s="231"/>
      <c r="R329" s="231"/>
      <c r="S329" s="231"/>
      <c r="T329" s="231"/>
      <c r="U329" s="231"/>
      <c r="V329" s="231"/>
      <c r="W329" s="231"/>
      <c r="X329" s="231"/>
      <c r="Y329" s="231"/>
      <c r="Z329" s="231"/>
      <c r="AA329" s="231"/>
      <c r="AB329" s="231"/>
      <c r="AC329" s="231"/>
      <c r="AD329" s="231"/>
      <c r="AE329" s="231"/>
      <c r="AF329" s="231"/>
      <c r="AG329" s="231"/>
      <c r="AH329" s="231"/>
    </row>
    <row r="330" spans="1:34" s="203" customFormat="1">
      <c r="A330" s="748"/>
      <c r="B330" s="47"/>
      <c r="C330" s="864" t="s">
        <v>404</v>
      </c>
      <c r="D330" s="865"/>
      <c r="E330" s="865"/>
      <c r="F330" s="865"/>
      <c r="G330" s="865"/>
      <c r="H330" s="866"/>
      <c r="I330" s="207"/>
      <c r="J330" s="231"/>
      <c r="K330" s="231"/>
      <c r="L330" s="231"/>
      <c r="M330" s="231"/>
      <c r="N330" s="231"/>
      <c r="O330" s="231"/>
      <c r="P330" s="231"/>
      <c r="Q330" s="231"/>
      <c r="R330" s="231"/>
      <c r="S330" s="231"/>
      <c r="T330" s="231"/>
      <c r="U330" s="231"/>
      <c r="V330" s="231"/>
      <c r="W330" s="231"/>
      <c r="X330" s="231"/>
      <c r="Y330" s="231"/>
      <c r="Z330" s="231"/>
      <c r="AA330" s="231"/>
      <c r="AB330" s="231"/>
      <c r="AC330" s="231"/>
      <c r="AD330" s="231"/>
      <c r="AE330" s="231"/>
      <c r="AF330" s="231"/>
      <c r="AG330" s="231"/>
      <c r="AH330" s="231"/>
    </row>
    <row r="331" spans="1:34" s="203" customFormat="1" ht="39" thickBot="1">
      <c r="A331" s="110" t="s">
        <v>84</v>
      </c>
      <c r="B331" s="116"/>
      <c r="C331" s="35" t="s">
        <v>52</v>
      </c>
      <c r="D331" s="35" t="s">
        <v>53</v>
      </c>
      <c r="E331" s="37" t="s">
        <v>54</v>
      </c>
      <c r="F331" s="37" t="s">
        <v>55</v>
      </c>
      <c r="G331" s="37" t="s">
        <v>241</v>
      </c>
      <c r="H331" s="35" t="s">
        <v>121</v>
      </c>
      <c r="I331" s="207"/>
      <c r="J331" s="231"/>
      <c r="K331" s="231"/>
      <c r="L331" s="231"/>
      <c r="M331" s="231"/>
      <c r="N331" s="231"/>
      <c r="O331" s="231"/>
      <c r="P331" s="231"/>
      <c r="Q331" s="231"/>
      <c r="R331" s="231"/>
      <c r="S331" s="231"/>
      <c r="T331" s="231"/>
      <c r="U331" s="231"/>
      <c r="V331" s="231"/>
      <c r="W331" s="231"/>
      <c r="X331" s="231"/>
      <c r="Y331" s="231"/>
      <c r="Z331" s="231"/>
      <c r="AA331" s="231"/>
      <c r="AB331" s="231"/>
      <c r="AC331" s="231"/>
      <c r="AD331" s="231"/>
      <c r="AE331" s="231"/>
      <c r="AF331" s="231"/>
      <c r="AG331" s="231"/>
      <c r="AH331" s="231"/>
    </row>
    <row r="332" spans="1:34" s="203" customFormat="1" ht="13.5" thickBot="1">
      <c r="A332" s="748">
        <v>1</v>
      </c>
      <c r="B332" s="116" t="s">
        <v>242</v>
      </c>
      <c r="C332" s="193">
        <f t="shared" ref="C332:H332" si="1">SUM(C333:C336)</f>
        <v>13752</v>
      </c>
      <c r="D332" s="193">
        <f t="shared" si="1"/>
        <v>0</v>
      </c>
      <c r="E332" s="193">
        <v>0</v>
      </c>
      <c r="F332" s="193">
        <f t="shared" si="1"/>
        <v>0</v>
      </c>
      <c r="G332" s="193">
        <f>SUM(G333:G336)</f>
        <v>0</v>
      </c>
      <c r="H332" s="193">
        <f t="shared" si="1"/>
        <v>0</v>
      </c>
      <c r="I332" s="207"/>
      <c r="J332" s="231"/>
      <c r="K332" s="231"/>
      <c r="L332" s="231"/>
      <c r="M332" s="231"/>
      <c r="N332" s="231"/>
      <c r="O332" s="231"/>
      <c r="P332" s="231"/>
      <c r="Q332" s="231"/>
      <c r="R332" s="231"/>
      <c r="S332" s="231"/>
      <c r="T332" s="231"/>
      <c r="U332" s="231"/>
      <c r="V332" s="231"/>
      <c r="W332" s="231"/>
      <c r="X332" s="231"/>
      <c r="Y332" s="231"/>
      <c r="Z332" s="231"/>
      <c r="AA332" s="231"/>
      <c r="AB332" s="231"/>
      <c r="AC332" s="231"/>
      <c r="AD332" s="231"/>
      <c r="AE332" s="231"/>
      <c r="AF332" s="231"/>
      <c r="AG332" s="231"/>
      <c r="AH332" s="231"/>
    </row>
    <row r="333" spans="1:34" s="203" customFormat="1">
      <c r="A333" s="748">
        <v>2</v>
      </c>
      <c r="B333" s="47" t="s">
        <v>243</v>
      </c>
      <c r="C333" s="169">
        <v>4191</v>
      </c>
      <c r="D333" s="169"/>
      <c r="E333" s="169"/>
      <c r="F333" s="169"/>
      <c r="G333" s="169"/>
      <c r="H333" s="169"/>
      <c r="I333" s="207"/>
      <c r="J333" s="231"/>
      <c r="K333" s="231"/>
      <c r="L333" s="231"/>
      <c r="M333" s="231"/>
      <c r="N333" s="231"/>
      <c r="O333" s="231"/>
      <c r="P333" s="231"/>
      <c r="Q333" s="231"/>
      <c r="R333" s="231"/>
      <c r="S333" s="231"/>
      <c r="T333" s="231"/>
      <c r="U333" s="231"/>
      <c r="V333" s="231"/>
      <c r="W333" s="231"/>
      <c r="X333" s="231"/>
      <c r="Y333" s="231"/>
      <c r="Z333" s="231"/>
      <c r="AA333" s="231"/>
      <c r="AB333" s="231"/>
      <c r="AC333" s="231"/>
      <c r="AD333" s="231"/>
      <c r="AE333" s="231"/>
      <c r="AF333" s="231"/>
      <c r="AG333" s="231"/>
      <c r="AH333" s="231"/>
    </row>
    <row r="334" spans="1:34" s="203" customFormat="1">
      <c r="A334" s="748">
        <v>3</v>
      </c>
      <c r="B334" s="47" t="s">
        <v>244</v>
      </c>
      <c r="C334" s="99">
        <v>2230</v>
      </c>
      <c r="D334" s="99"/>
      <c r="E334" s="99"/>
      <c r="F334" s="99"/>
      <c r="G334" s="99"/>
      <c r="H334" s="99"/>
      <c r="I334" s="207"/>
      <c r="J334" s="231"/>
      <c r="K334" s="231"/>
      <c r="L334" s="231"/>
      <c r="M334" s="231"/>
      <c r="N334" s="231"/>
      <c r="O334" s="231"/>
      <c r="P334" s="231"/>
      <c r="Q334" s="231"/>
      <c r="R334" s="231"/>
      <c r="S334" s="231"/>
      <c r="T334" s="231"/>
      <c r="U334" s="231"/>
      <c r="V334" s="231"/>
      <c r="W334" s="231"/>
      <c r="X334" s="231"/>
      <c r="Y334" s="231"/>
      <c r="Z334" s="231"/>
      <c r="AA334" s="231"/>
      <c r="AB334" s="231"/>
      <c r="AC334" s="231"/>
      <c r="AD334" s="231"/>
      <c r="AE334" s="231"/>
      <c r="AF334" s="231"/>
      <c r="AG334" s="231"/>
      <c r="AH334" s="231"/>
    </row>
    <row r="335" spans="1:34" s="203" customFormat="1">
      <c r="A335" s="748">
        <v>4</v>
      </c>
      <c r="B335" s="47" t="s">
        <v>245</v>
      </c>
      <c r="C335" s="99">
        <v>5903</v>
      </c>
      <c r="D335" s="99"/>
      <c r="E335" s="99"/>
      <c r="F335" s="99"/>
      <c r="G335" s="99"/>
      <c r="H335" s="99"/>
      <c r="I335" s="207"/>
      <c r="J335" s="231"/>
      <c r="K335" s="231"/>
      <c r="L335" s="231"/>
      <c r="M335" s="231"/>
      <c r="N335" s="231"/>
      <c r="O335" s="231"/>
      <c r="P335" s="231"/>
      <c r="Q335" s="231"/>
      <c r="R335" s="231"/>
      <c r="S335" s="231"/>
      <c r="T335" s="231"/>
      <c r="U335" s="231"/>
      <c r="V335" s="231"/>
      <c r="W335" s="231"/>
      <c r="X335" s="231"/>
      <c r="Y335" s="231"/>
      <c r="Z335" s="231"/>
      <c r="AA335" s="231"/>
      <c r="AB335" s="231"/>
      <c r="AC335" s="231"/>
      <c r="AD335" s="231"/>
      <c r="AE335" s="231"/>
      <c r="AF335" s="231"/>
      <c r="AG335" s="231"/>
      <c r="AH335" s="231"/>
    </row>
    <row r="336" spans="1:34" s="203" customFormat="1">
      <c r="A336" s="749">
        <v>5</v>
      </c>
      <c r="B336" s="54" t="s">
        <v>246</v>
      </c>
      <c r="C336" s="100">
        <v>1428</v>
      </c>
      <c r="D336" s="100"/>
      <c r="E336" s="100"/>
      <c r="F336" s="100"/>
      <c r="G336" s="100"/>
      <c r="H336" s="100"/>
      <c r="I336" s="207"/>
      <c r="J336" s="231"/>
      <c r="K336" s="231"/>
      <c r="L336" s="231"/>
      <c r="M336" s="231"/>
      <c r="N336" s="231"/>
      <c r="O336" s="231"/>
      <c r="P336" s="231"/>
      <c r="Q336" s="231"/>
      <c r="R336" s="231"/>
      <c r="S336" s="231"/>
      <c r="T336" s="231"/>
      <c r="U336" s="231"/>
      <c r="V336" s="231"/>
      <c r="W336" s="231"/>
      <c r="X336" s="231"/>
      <c r="Y336" s="231"/>
      <c r="Z336" s="231"/>
      <c r="AA336" s="231"/>
      <c r="AB336" s="231"/>
      <c r="AC336" s="231"/>
      <c r="AD336" s="231"/>
      <c r="AE336" s="231"/>
      <c r="AF336" s="231"/>
      <c r="AG336" s="231"/>
      <c r="AH336" s="231"/>
    </row>
    <row r="337" spans="1:34" s="203" customFormat="1">
      <c r="A337" s="23"/>
      <c r="B337" s="207"/>
      <c r="C337" s="207"/>
      <c r="D337" s="207"/>
      <c r="E337" s="207"/>
      <c r="F337" s="207"/>
      <c r="G337" s="207"/>
      <c r="H337" s="21"/>
      <c r="I337" s="21"/>
      <c r="J337" s="231"/>
      <c r="K337" s="231"/>
      <c r="L337" s="231"/>
      <c r="M337" s="231"/>
      <c r="N337" s="231"/>
      <c r="O337" s="231"/>
      <c r="P337" s="231"/>
      <c r="Q337" s="231"/>
      <c r="R337" s="231"/>
      <c r="S337" s="231"/>
      <c r="T337" s="231"/>
      <c r="U337" s="231"/>
      <c r="V337" s="231"/>
      <c r="W337" s="231"/>
      <c r="X337" s="231"/>
      <c r="Y337" s="231"/>
      <c r="Z337" s="231"/>
      <c r="AA337" s="231"/>
      <c r="AB337" s="231"/>
      <c r="AC337" s="231"/>
      <c r="AD337" s="231"/>
      <c r="AE337" s="231"/>
      <c r="AF337" s="231"/>
      <c r="AG337" s="231"/>
      <c r="AH337" s="231"/>
    </row>
    <row r="338" spans="1:34" s="203" customFormat="1" ht="12.75" customHeight="1">
      <c r="A338" s="23"/>
      <c r="B338" s="207"/>
      <c r="C338" s="207"/>
      <c r="D338" s="207"/>
      <c r="E338" s="207"/>
      <c r="F338" s="207"/>
      <c r="G338" s="207"/>
      <c r="H338" s="21"/>
      <c r="I338" s="21"/>
      <c r="J338" s="231"/>
      <c r="K338" s="231"/>
      <c r="L338" s="231"/>
      <c r="M338" s="231"/>
      <c r="N338" s="231"/>
      <c r="O338" s="231"/>
      <c r="P338" s="231"/>
      <c r="Q338" s="231"/>
      <c r="R338" s="231"/>
      <c r="S338" s="231"/>
      <c r="T338" s="231"/>
      <c r="U338" s="231"/>
      <c r="V338" s="231"/>
      <c r="W338" s="231"/>
      <c r="X338" s="231"/>
      <c r="Y338" s="231"/>
      <c r="Z338" s="231"/>
      <c r="AA338" s="231"/>
      <c r="AB338" s="231"/>
      <c r="AC338" s="231"/>
      <c r="AD338" s="231"/>
      <c r="AE338" s="231"/>
      <c r="AF338" s="231"/>
      <c r="AG338" s="231"/>
      <c r="AH338" s="231"/>
    </row>
    <row r="339" spans="1:34" s="203" customFormat="1">
      <c r="A339" s="23"/>
      <c r="B339" s="207"/>
      <c r="C339" s="207"/>
      <c r="D339" s="207"/>
      <c r="E339" s="207"/>
      <c r="F339" s="207"/>
      <c r="G339" s="207"/>
      <c r="H339" s="21"/>
      <c r="I339" s="21"/>
      <c r="J339" s="231"/>
      <c r="K339" s="231"/>
      <c r="L339" s="231"/>
      <c r="M339" s="231"/>
      <c r="N339" s="231"/>
      <c r="O339" s="231"/>
      <c r="P339" s="231"/>
      <c r="Q339" s="231"/>
      <c r="R339" s="231"/>
      <c r="S339" s="231"/>
      <c r="T339" s="231"/>
      <c r="U339" s="231"/>
      <c r="V339" s="231"/>
      <c r="W339" s="231"/>
      <c r="X339" s="231"/>
      <c r="Y339" s="231"/>
      <c r="Z339" s="231"/>
      <c r="AA339" s="231"/>
      <c r="AB339" s="231"/>
      <c r="AC339" s="231"/>
      <c r="AD339" s="231"/>
      <c r="AE339" s="231"/>
      <c r="AF339" s="231"/>
      <c r="AG339" s="231"/>
      <c r="AH339" s="231"/>
    </row>
    <row r="340" spans="1:34" s="203" customFormat="1">
      <c r="A340" s="23"/>
      <c r="B340" s="207"/>
      <c r="C340" s="207"/>
      <c r="D340" s="207"/>
      <c r="E340" s="207"/>
      <c r="F340" s="207"/>
      <c r="G340" s="207"/>
      <c r="H340" s="131" t="s">
        <v>27</v>
      </c>
      <c r="I340" s="21"/>
      <c r="J340" s="231"/>
      <c r="K340" s="231"/>
      <c r="L340" s="231"/>
      <c r="M340" s="231"/>
      <c r="N340" s="231"/>
      <c r="O340" s="231"/>
      <c r="P340" s="231"/>
      <c r="Q340" s="231"/>
      <c r="R340" s="231"/>
      <c r="S340" s="231"/>
      <c r="T340" s="231"/>
      <c r="U340" s="231"/>
      <c r="V340" s="231"/>
      <c r="W340" s="231"/>
      <c r="X340" s="231"/>
      <c r="Y340" s="231"/>
      <c r="Z340" s="231"/>
      <c r="AA340" s="231"/>
      <c r="AB340" s="231"/>
      <c r="AC340" s="231"/>
      <c r="AD340" s="231"/>
      <c r="AE340" s="231"/>
      <c r="AF340" s="231"/>
      <c r="AG340" s="231"/>
      <c r="AH340" s="231"/>
    </row>
    <row r="341" spans="1:34" s="203" customFormat="1">
      <c r="A341" s="197"/>
      <c r="B341" s="69"/>
      <c r="C341" s="69"/>
      <c r="D341" s="69"/>
      <c r="E341" s="856" t="s">
        <v>377</v>
      </c>
      <c r="F341" s="853" t="s">
        <v>402</v>
      </c>
      <c r="G341" s="207"/>
      <c r="H341" s="856" t="s">
        <v>403</v>
      </c>
      <c r="I341" s="21"/>
      <c r="J341" s="231"/>
      <c r="K341" s="231"/>
      <c r="L341" s="231"/>
      <c r="M341" s="231"/>
      <c r="N341" s="231"/>
      <c r="O341" s="231"/>
      <c r="P341" s="231"/>
      <c r="Q341" s="231"/>
      <c r="R341" s="231"/>
      <c r="S341" s="231"/>
      <c r="T341" s="231"/>
      <c r="U341" s="231"/>
      <c r="V341" s="231"/>
      <c r="W341" s="231"/>
      <c r="X341" s="231"/>
      <c r="Y341" s="231"/>
      <c r="Z341" s="231"/>
      <c r="AA341" s="231"/>
      <c r="AB341" s="231"/>
      <c r="AC341" s="231"/>
      <c r="AD341" s="231"/>
      <c r="AE341" s="231"/>
      <c r="AF341" s="231"/>
      <c r="AG341" s="231"/>
      <c r="AH341" s="231"/>
    </row>
    <row r="342" spans="1:34" s="203" customFormat="1">
      <c r="A342" s="144" t="s">
        <v>261</v>
      </c>
      <c r="B342" s="116"/>
      <c r="C342" s="116"/>
      <c r="D342" s="116"/>
      <c r="E342" s="859"/>
      <c r="F342" s="854"/>
      <c r="G342" s="207"/>
      <c r="H342" s="857"/>
      <c r="I342" s="21"/>
      <c r="J342" s="231"/>
      <c r="K342" s="231"/>
      <c r="L342" s="231"/>
      <c r="M342" s="231"/>
      <c r="N342" s="231"/>
      <c r="O342" s="231"/>
      <c r="P342" s="231"/>
      <c r="Q342" s="231"/>
      <c r="R342" s="231"/>
      <c r="S342" s="231"/>
      <c r="T342" s="231"/>
      <c r="U342" s="231"/>
      <c r="V342" s="231"/>
      <c r="W342" s="231"/>
      <c r="X342" s="231"/>
      <c r="Y342" s="231"/>
      <c r="Z342" s="231"/>
      <c r="AA342" s="231"/>
      <c r="AB342" s="231"/>
      <c r="AC342" s="231"/>
      <c r="AD342" s="231"/>
      <c r="AE342" s="231"/>
      <c r="AF342" s="231"/>
      <c r="AG342" s="231"/>
      <c r="AH342" s="231"/>
    </row>
    <row r="343" spans="1:34" s="203" customFormat="1">
      <c r="A343" s="119"/>
      <c r="B343" s="116"/>
      <c r="C343" s="116"/>
      <c r="D343" s="116"/>
      <c r="E343" s="859"/>
      <c r="F343" s="854"/>
      <c r="G343" s="207"/>
      <c r="H343" s="857"/>
      <c r="I343" s="21"/>
      <c r="J343" s="231"/>
      <c r="K343" s="231"/>
      <c r="L343" s="231"/>
      <c r="M343" s="231"/>
      <c r="N343" s="231"/>
      <c r="O343" s="231"/>
      <c r="P343" s="231"/>
      <c r="Q343" s="231"/>
      <c r="R343" s="231"/>
      <c r="S343" s="231"/>
      <c r="T343" s="231"/>
      <c r="U343" s="231"/>
      <c r="V343" s="231"/>
      <c r="W343" s="231"/>
      <c r="X343" s="231"/>
      <c r="Y343" s="231"/>
      <c r="Z343" s="231"/>
      <c r="AA343" s="231"/>
      <c r="AB343" s="231"/>
      <c r="AC343" s="231"/>
      <c r="AD343" s="231"/>
      <c r="AE343" s="231"/>
      <c r="AF343" s="231"/>
      <c r="AG343" s="231"/>
      <c r="AH343" s="231"/>
    </row>
    <row r="344" spans="1:34" s="203" customFormat="1">
      <c r="A344" s="198" t="s">
        <v>262</v>
      </c>
      <c r="B344" s="116"/>
      <c r="C344" s="116"/>
      <c r="D344" s="116"/>
      <c r="E344" s="859"/>
      <c r="F344" s="854"/>
      <c r="G344" s="207"/>
      <c r="H344" s="857"/>
      <c r="I344" s="21"/>
      <c r="J344" s="231"/>
      <c r="K344" s="231"/>
      <c r="L344" s="231"/>
      <c r="M344" s="231"/>
      <c r="N344" s="231"/>
      <c r="O344" s="231"/>
      <c r="P344" s="231"/>
      <c r="Q344" s="231"/>
      <c r="R344" s="231"/>
      <c r="S344" s="231"/>
      <c r="T344" s="231"/>
      <c r="U344" s="231"/>
      <c r="V344" s="231"/>
      <c r="W344" s="231"/>
      <c r="X344" s="231"/>
      <c r="Y344" s="231"/>
      <c r="Z344" s="231"/>
      <c r="AA344" s="231"/>
      <c r="AB344" s="231"/>
      <c r="AC344" s="231"/>
      <c r="AD344" s="231"/>
      <c r="AE344" s="231"/>
      <c r="AF344" s="231"/>
      <c r="AG344" s="231"/>
      <c r="AH344" s="231"/>
    </row>
    <row r="345" spans="1:34" s="203" customFormat="1">
      <c r="A345" s="198" t="s">
        <v>330</v>
      </c>
      <c r="B345" s="116"/>
      <c r="C345" s="116"/>
      <c r="D345" s="116"/>
      <c r="E345" s="860"/>
      <c r="F345" s="855"/>
      <c r="G345" s="207"/>
      <c r="H345" s="858"/>
      <c r="I345" s="21"/>
      <c r="J345" s="231"/>
      <c r="K345" s="231"/>
      <c r="L345" s="231"/>
      <c r="M345" s="231"/>
      <c r="N345" s="231"/>
      <c r="O345" s="231"/>
      <c r="P345" s="231"/>
      <c r="Q345" s="231"/>
      <c r="R345" s="231"/>
      <c r="S345" s="231"/>
      <c r="T345" s="231"/>
      <c r="U345" s="231"/>
      <c r="V345" s="231"/>
      <c r="W345" s="231"/>
      <c r="X345" s="231"/>
      <c r="Y345" s="231"/>
      <c r="Z345" s="231"/>
      <c r="AA345" s="231"/>
      <c r="AB345" s="231"/>
      <c r="AC345" s="231"/>
      <c r="AD345" s="231"/>
      <c r="AE345" s="231"/>
      <c r="AF345" s="231"/>
      <c r="AG345" s="231"/>
      <c r="AH345" s="231"/>
    </row>
    <row r="346" spans="1:34" s="203" customFormat="1">
      <c r="A346" s="119"/>
      <c r="B346" s="47"/>
      <c r="C346" s="116"/>
      <c r="D346" s="116"/>
      <c r="E346" s="178"/>
      <c r="F346" s="146"/>
      <c r="G346" s="23"/>
      <c r="H346" s="264"/>
      <c r="I346" s="21"/>
      <c r="J346" s="231"/>
      <c r="K346" s="231"/>
      <c r="L346" s="231"/>
      <c r="M346" s="231"/>
      <c r="N346" s="231"/>
      <c r="O346" s="231"/>
      <c r="P346" s="231"/>
      <c r="Q346" s="231"/>
      <c r="R346" s="231"/>
      <c r="S346" s="231"/>
      <c r="T346" s="231"/>
      <c r="U346" s="231"/>
      <c r="V346" s="231"/>
      <c r="W346" s="231"/>
      <c r="X346" s="231"/>
      <c r="Y346" s="231"/>
      <c r="Z346" s="231"/>
      <c r="AA346" s="231"/>
      <c r="AB346" s="231"/>
      <c r="AC346" s="231"/>
      <c r="AD346" s="231"/>
      <c r="AE346" s="231"/>
      <c r="AF346" s="231"/>
      <c r="AG346" s="231"/>
      <c r="AH346" s="231"/>
    </row>
    <row r="347" spans="1:34" s="203" customFormat="1">
      <c r="A347" s="748">
        <v>1</v>
      </c>
      <c r="B347" s="47" t="s">
        <v>263</v>
      </c>
      <c r="C347" s="116"/>
      <c r="D347" s="116"/>
      <c r="E347" s="354">
        <v>4800</v>
      </c>
      <c r="F347" s="265">
        <v>4800</v>
      </c>
      <c r="G347" s="43"/>
      <c r="H347" s="126">
        <v>4800</v>
      </c>
      <c r="I347" s="86"/>
      <c r="J347" s="231"/>
      <c r="K347" s="231"/>
      <c r="L347" s="231"/>
      <c r="M347" s="231"/>
      <c r="N347" s="231"/>
      <c r="O347" s="231"/>
      <c r="P347" s="231"/>
      <c r="Q347" s="231"/>
      <c r="R347" s="231"/>
      <c r="S347" s="231"/>
      <c r="T347" s="231"/>
      <c r="U347" s="231"/>
      <c r="V347" s="231"/>
      <c r="W347" s="231"/>
      <c r="X347" s="231"/>
      <c r="Y347" s="231"/>
      <c r="Z347" s="231"/>
      <c r="AA347" s="231"/>
      <c r="AB347" s="231"/>
      <c r="AC347" s="231"/>
      <c r="AD347" s="231"/>
      <c r="AE347" s="231"/>
      <c r="AF347" s="231"/>
      <c r="AG347" s="231"/>
      <c r="AH347" s="231"/>
    </row>
    <row r="348" spans="1:34" s="203" customFormat="1">
      <c r="A348" s="748"/>
      <c r="B348" s="47"/>
      <c r="C348" s="116"/>
      <c r="D348" s="116"/>
      <c r="E348" s="355"/>
      <c r="F348" s="188"/>
      <c r="G348" s="43"/>
      <c r="H348" s="188"/>
      <c r="I348" s="86"/>
      <c r="J348" s="231"/>
      <c r="K348" s="231"/>
      <c r="L348" s="231"/>
      <c r="M348" s="231"/>
      <c r="N348" s="231"/>
      <c r="O348" s="231"/>
      <c r="P348" s="231"/>
      <c r="Q348" s="231"/>
      <c r="R348" s="231"/>
      <c r="S348" s="231"/>
      <c r="T348" s="231"/>
      <c r="U348" s="231"/>
      <c r="V348" s="231"/>
      <c r="W348" s="231"/>
      <c r="X348" s="231"/>
      <c r="Y348" s="231"/>
      <c r="Z348" s="231"/>
      <c r="AA348" s="231"/>
      <c r="AB348" s="231"/>
      <c r="AC348" s="231"/>
      <c r="AD348" s="231"/>
      <c r="AE348" s="231"/>
      <c r="AF348" s="231"/>
      <c r="AG348" s="231"/>
      <c r="AH348" s="231"/>
    </row>
    <row r="349" spans="1:34" s="203" customFormat="1">
      <c r="A349" s="108" t="s">
        <v>378</v>
      </c>
      <c r="B349" s="47"/>
      <c r="C349" s="116"/>
      <c r="D349" s="116"/>
      <c r="E349" s="355"/>
      <c r="F349" s="188"/>
      <c r="G349" s="43"/>
      <c r="H349" s="188"/>
      <c r="I349" s="86"/>
      <c r="J349" s="231"/>
      <c r="K349" s="231"/>
      <c r="L349" s="231"/>
      <c r="M349" s="231"/>
      <c r="N349" s="231"/>
      <c r="O349" s="231"/>
      <c r="P349" s="231"/>
      <c r="Q349" s="231"/>
      <c r="R349" s="231"/>
      <c r="S349" s="231"/>
      <c r="T349" s="231"/>
      <c r="U349" s="231"/>
      <c r="V349" s="231"/>
      <c r="W349" s="231"/>
      <c r="X349" s="231"/>
      <c r="Y349" s="231"/>
      <c r="Z349" s="231"/>
      <c r="AA349" s="231"/>
      <c r="AB349" s="231"/>
      <c r="AC349" s="231"/>
      <c r="AD349" s="231"/>
      <c r="AE349" s="231"/>
      <c r="AF349" s="231"/>
      <c r="AG349" s="231"/>
      <c r="AH349" s="231"/>
    </row>
    <row r="350" spans="1:34" s="203" customFormat="1">
      <c r="A350" s="748"/>
      <c r="B350" s="47"/>
      <c r="C350" s="116"/>
      <c r="D350" s="116"/>
      <c r="E350" s="355"/>
      <c r="F350" s="188"/>
      <c r="G350" s="43"/>
      <c r="H350" s="188"/>
      <c r="I350" s="86"/>
      <c r="J350" s="231"/>
      <c r="K350" s="231"/>
      <c r="L350" s="231"/>
      <c r="M350" s="231"/>
      <c r="N350" s="231"/>
      <c r="O350" s="231"/>
      <c r="P350" s="231"/>
      <c r="Q350" s="231"/>
      <c r="R350" s="231"/>
      <c r="S350" s="231"/>
      <c r="T350" s="231"/>
      <c r="U350" s="231"/>
      <c r="V350" s="231"/>
      <c r="W350" s="231"/>
      <c r="X350" s="231"/>
      <c r="Y350" s="231"/>
      <c r="Z350" s="231"/>
      <c r="AA350" s="231"/>
      <c r="AB350" s="231"/>
      <c r="AC350" s="231"/>
      <c r="AD350" s="231"/>
      <c r="AE350" s="231"/>
      <c r="AF350" s="231"/>
      <c r="AG350" s="231"/>
      <c r="AH350" s="231"/>
    </row>
    <row r="351" spans="1:34" s="203" customFormat="1">
      <c r="A351" s="198" t="s">
        <v>379</v>
      </c>
      <c r="B351" s="47"/>
      <c r="C351" s="116"/>
      <c r="D351" s="116"/>
      <c r="E351" s="355"/>
      <c r="F351" s="188"/>
      <c r="G351" s="43"/>
      <c r="H351" s="188"/>
      <c r="I351" s="86"/>
      <c r="J351" s="231"/>
      <c r="K351" s="231"/>
      <c r="L351" s="231"/>
      <c r="M351" s="231"/>
      <c r="N351" s="231"/>
      <c r="O351" s="231"/>
      <c r="P351" s="231"/>
      <c r="Q351" s="231"/>
      <c r="R351" s="231"/>
      <c r="S351" s="231"/>
      <c r="T351" s="231"/>
      <c r="U351" s="231"/>
      <c r="V351" s="231"/>
      <c r="W351" s="231"/>
      <c r="X351" s="231"/>
      <c r="Y351" s="231"/>
      <c r="Z351" s="231"/>
      <c r="AA351" s="231"/>
      <c r="AB351" s="231"/>
      <c r="AC351" s="231"/>
      <c r="AD351" s="231"/>
      <c r="AE351" s="231"/>
      <c r="AF351" s="231"/>
      <c r="AG351" s="231"/>
      <c r="AH351" s="231"/>
    </row>
    <row r="352" spans="1:34" s="203" customFormat="1">
      <c r="A352" s="748"/>
      <c r="B352" s="47"/>
      <c r="C352" s="116"/>
      <c r="D352" s="116"/>
      <c r="E352" s="355"/>
      <c r="F352" s="188"/>
      <c r="G352" s="43"/>
      <c r="H352" s="188"/>
      <c r="I352" s="86"/>
      <c r="J352" s="231"/>
      <c r="K352" s="231"/>
      <c r="L352" s="231"/>
      <c r="M352" s="231"/>
      <c r="N352" s="231"/>
      <c r="O352" s="231"/>
      <c r="P352" s="231"/>
      <c r="Q352" s="231"/>
      <c r="R352" s="231"/>
      <c r="S352" s="231"/>
      <c r="T352" s="231"/>
      <c r="U352" s="231"/>
      <c r="V352" s="231"/>
      <c r="W352" s="231"/>
      <c r="X352" s="231"/>
      <c r="Y352" s="231"/>
      <c r="Z352" s="231"/>
      <c r="AA352" s="231"/>
      <c r="AB352" s="231"/>
      <c r="AC352" s="231"/>
      <c r="AD352" s="231"/>
      <c r="AE352" s="231"/>
      <c r="AF352" s="231"/>
      <c r="AG352" s="231"/>
      <c r="AH352" s="231"/>
    </row>
    <row r="353" spans="1:34" s="203" customFormat="1">
      <c r="A353" s="748">
        <v>2</v>
      </c>
      <c r="B353" s="47" t="s">
        <v>52</v>
      </c>
      <c r="C353" s="116"/>
      <c r="D353" s="116"/>
      <c r="E353" s="74">
        <v>895</v>
      </c>
      <c r="F353" s="265">
        <v>1313</v>
      </c>
      <c r="G353" s="43"/>
      <c r="H353" s="126">
        <v>1428</v>
      </c>
      <c r="I353" s="86"/>
      <c r="J353" s="231"/>
      <c r="K353" s="231"/>
      <c r="L353" s="231"/>
      <c r="M353" s="231"/>
      <c r="N353" s="231"/>
      <c r="O353" s="231"/>
      <c r="P353" s="231"/>
      <c r="Q353" s="231"/>
      <c r="R353" s="231"/>
      <c r="S353" s="231"/>
      <c r="T353" s="231"/>
      <c r="U353" s="231"/>
      <c r="V353" s="231"/>
      <c r="W353" s="231"/>
      <c r="X353" s="231"/>
      <c r="Y353" s="231"/>
      <c r="Z353" s="231"/>
      <c r="AA353" s="231"/>
      <c r="AB353" s="231"/>
      <c r="AC353" s="231"/>
      <c r="AD353" s="231"/>
      <c r="AE353" s="231"/>
      <c r="AF353" s="231"/>
      <c r="AG353" s="231"/>
      <c r="AH353" s="231"/>
    </row>
    <row r="354" spans="1:34" s="203" customFormat="1">
      <c r="A354" s="748">
        <v>3</v>
      </c>
      <c r="B354" s="47" t="s">
        <v>53</v>
      </c>
      <c r="C354" s="116"/>
      <c r="D354" s="116"/>
      <c r="E354" s="49">
        <v>0</v>
      </c>
      <c r="F354" s="265"/>
      <c r="G354" s="43"/>
      <c r="H354" s="126"/>
      <c r="I354" s="86"/>
      <c r="J354" s="231"/>
      <c r="K354" s="231"/>
      <c r="L354" s="231"/>
      <c r="M354" s="231"/>
      <c r="N354" s="231"/>
      <c r="O354" s="231"/>
      <c r="P354" s="231"/>
      <c r="Q354" s="231"/>
      <c r="R354" s="231"/>
      <c r="S354" s="231"/>
      <c r="T354" s="231"/>
      <c r="U354" s="231"/>
      <c r="V354" s="231"/>
      <c r="W354" s="231"/>
      <c r="X354" s="231"/>
      <c r="Y354" s="231"/>
      <c r="Z354" s="231"/>
      <c r="AA354" s="231"/>
      <c r="AB354" s="231"/>
      <c r="AC354" s="231"/>
      <c r="AD354" s="231"/>
      <c r="AE354" s="231"/>
      <c r="AF354" s="231"/>
      <c r="AG354" s="231"/>
      <c r="AH354" s="231"/>
    </row>
    <row r="355" spans="1:34" s="203" customFormat="1">
      <c r="A355" s="748">
        <v>4</v>
      </c>
      <c r="B355" s="47" t="s">
        <v>54</v>
      </c>
      <c r="C355" s="116"/>
      <c r="D355" s="116"/>
      <c r="E355" s="49">
        <v>0</v>
      </c>
      <c r="F355" s="265"/>
      <c r="G355" s="43"/>
      <c r="H355" s="126"/>
      <c r="I355" s="86"/>
      <c r="J355" s="231"/>
      <c r="K355" s="231"/>
      <c r="L355" s="231"/>
      <c r="M355" s="231"/>
      <c r="N355" s="231"/>
      <c r="O355" s="231"/>
      <c r="P355" s="231"/>
      <c r="Q355" s="231"/>
      <c r="R355" s="231"/>
      <c r="S355" s="231"/>
      <c r="T355" s="231"/>
      <c r="U355" s="231"/>
      <c r="V355" s="231"/>
      <c r="W355" s="231"/>
      <c r="X355" s="231"/>
      <c r="Y355" s="231"/>
      <c r="Z355" s="231"/>
      <c r="AA355" s="231"/>
      <c r="AB355" s="231"/>
      <c r="AC355" s="231"/>
      <c r="AD355" s="231"/>
      <c r="AE355" s="231"/>
      <c r="AF355" s="231"/>
      <c r="AG355" s="231"/>
      <c r="AH355" s="231"/>
    </row>
    <row r="356" spans="1:34" s="203" customFormat="1">
      <c r="A356" s="748">
        <v>5</v>
      </c>
      <c r="B356" s="47" t="s">
        <v>55</v>
      </c>
      <c r="C356" s="116"/>
      <c r="D356" s="116"/>
      <c r="E356" s="49">
        <v>0</v>
      </c>
      <c r="F356" s="265"/>
      <c r="G356" s="43"/>
      <c r="H356" s="126"/>
      <c r="I356" s="86"/>
      <c r="J356" s="231"/>
      <c r="K356" s="231"/>
      <c r="L356" s="231"/>
      <c r="M356" s="231"/>
      <c r="N356" s="231"/>
      <c r="O356" s="231"/>
      <c r="P356" s="231"/>
      <c r="Q356" s="231"/>
      <c r="R356" s="231"/>
      <c r="S356" s="231"/>
      <c r="T356" s="231"/>
      <c r="U356" s="231"/>
      <c r="V356" s="231"/>
      <c r="W356" s="231"/>
      <c r="X356" s="231"/>
      <c r="Y356" s="231"/>
      <c r="Z356" s="231"/>
      <c r="AA356" s="231"/>
      <c r="AB356" s="231"/>
      <c r="AC356" s="231"/>
      <c r="AD356" s="231"/>
      <c r="AE356" s="231"/>
      <c r="AF356" s="231"/>
      <c r="AG356" s="231"/>
      <c r="AH356" s="231"/>
    </row>
    <row r="357" spans="1:34" s="203" customFormat="1">
      <c r="A357" s="748">
        <v>6</v>
      </c>
      <c r="B357" s="47" t="s">
        <v>56</v>
      </c>
      <c r="C357" s="116"/>
      <c r="D357" s="116"/>
      <c r="E357" s="49">
        <v>0</v>
      </c>
      <c r="F357" s="265"/>
      <c r="G357" s="43"/>
      <c r="H357" s="126"/>
      <c r="I357" s="86"/>
      <c r="J357" s="231"/>
      <c r="K357" s="231"/>
      <c r="L357" s="231"/>
      <c r="M357" s="231"/>
      <c r="N357" s="231"/>
      <c r="O357" s="231"/>
      <c r="P357" s="231"/>
      <c r="Q357" s="231"/>
      <c r="R357" s="231"/>
      <c r="S357" s="231"/>
      <c r="T357" s="231"/>
      <c r="U357" s="231"/>
      <c r="V357" s="231"/>
      <c r="W357" s="231"/>
      <c r="X357" s="231"/>
      <c r="Y357" s="231"/>
      <c r="Z357" s="231"/>
      <c r="AA357" s="231"/>
      <c r="AB357" s="231"/>
      <c r="AC357" s="231"/>
      <c r="AD357" s="231"/>
      <c r="AE357" s="231"/>
      <c r="AF357" s="231"/>
      <c r="AG357" s="231"/>
      <c r="AH357" s="231"/>
    </row>
    <row r="358" spans="1:34" s="203" customFormat="1">
      <c r="A358" s="748">
        <v>7</v>
      </c>
      <c r="B358" s="47" t="s">
        <v>57</v>
      </c>
      <c r="C358" s="116"/>
      <c r="D358" s="116"/>
      <c r="E358" s="49">
        <v>0</v>
      </c>
      <c r="F358" s="265"/>
      <c r="G358" s="43"/>
      <c r="H358" s="126"/>
      <c r="I358" s="86"/>
      <c r="J358" s="231"/>
      <c r="K358" s="231"/>
      <c r="L358" s="231"/>
      <c r="M358" s="231"/>
      <c r="N358" s="231"/>
      <c r="O358" s="231"/>
      <c r="P358" s="231"/>
      <c r="Q358" s="231"/>
      <c r="R358" s="231"/>
      <c r="S358" s="231"/>
      <c r="T358" s="231"/>
      <c r="U358" s="231"/>
      <c r="V358" s="231"/>
      <c r="W358" s="231"/>
      <c r="X358" s="231"/>
      <c r="Y358" s="231"/>
      <c r="Z358" s="231"/>
      <c r="AA358" s="231"/>
      <c r="AB358" s="231"/>
      <c r="AC358" s="231"/>
      <c r="AD358" s="231"/>
      <c r="AE358" s="231"/>
      <c r="AF358" s="231"/>
      <c r="AG358" s="231"/>
      <c r="AH358" s="231"/>
    </row>
    <row r="359" spans="1:34" s="203" customFormat="1">
      <c r="A359" s="748">
        <v>8</v>
      </c>
      <c r="B359" s="47" t="s">
        <v>58</v>
      </c>
      <c r="C359" s="116"/>
      <c r="D359" s="116"/>
      <c r="E359" s="49">
        <v>0</v>
      </c>
      <c r="F359" s="265"/>
      <c r="G359" s="43"/>
      <c r="H359" s="126"/>
      <c r="I359" s="86"/>
      <c r="J359" s="231"/>
      <c r="K359" s="231"/>
      <c r="L359" s="231"/>
      <c r="M359" s="231"/>
      <c r="N359" s="231"/>
      <c r="O359" s="231"/>
      <c r="P359" s="231"/>
      <c r="Q359" s="231"/>
      <c r="R359" s="231"/>
      <c r="S359" s="231"/>
      <c r="T359" s="231"/>
      <c r="U359" s="231"/>
      <c r="V359" s="231"/>
      <c r="W359" s="231"/>
      <c r="X359" s="231"/>
      <c r="Y359" s="231"/>
      <c r="Z359" s="231"/>
      <c r="AA359" s="231"/>
      <c r="AB359" s="231"/>
      <c r="AC359" s="231"/>
      <c r="AD359" s="231"/>
      <c r="AE359" s="231"/>
      <c r="AF359" s="231"/>
      <c r="AG359" s="231"/>
      <c r="AH359" s="231"/>
    </row>
    <row r="360" spans="1:34" s="203" customFormat="1">
      <c r="A360" s="748">
        <v>9</v>
      </c>
      <c r="B360" s="47" t="s">
        <v>59</v>
      </c>
      <c r="C360" s="116"/>
      <c r="D360" s="116"/>
      <c r="E360" s="49">
        <v>0</v>
      </c>
      <c r="F360" s="265"/>
      <c r="G360" s="43"/>
      <c r="H360" s="126"/>
      <c r="I360" s="86"/>
      <c r="J360" s="231"/>
      <c r="K360" s="231"/>
      <c r="L360" s="231"/>
      <c r="M360" s="231"/>
      <c r="N360" s="231"/>
      <c r="O360" s="231"/>
      <c r="P360" s="231"/>
      <c r="Q360" s="231"/>
      <c r="R360" s="231"/>
      <c r="S360" s="231"/>
      <c r="T360" s="231"/>
      <c r="U360" s="231"/>
      <c r="V360" s="231"/>
      <c r="W360" s="231"/>
      <c r="X360" s="231"/>
      <c r="Y360" s="231"/>
      <c r="Z360" s="231"/>
      <c r="AA360" s="231"/>
      <c r="AB360" s="231"/>
      <c r="AC360" s="231"/>
      <c r="AD360" s="231"/>
      <c r="AE360" s="231"/>
      <c r="AF360" s="231"/>
      <c r="AG360" s="231"/>
      <c r="AH360" s="231"/>
    </row>
    <row r="361" spans="1:34" s="203" customFormat="1">
      <c r="A361" s="748">
        <v>10</v>
      </c>
      <c r="B361" s="47" t="s">
        <v>60</v>
      </c>
      <c r="C361" s="116"/>
      <c r="D361" s="116"/>
      <c r="E361" s="49">
        <v>0</v>
      </c>
      <c r="F361" s="265"/>
      <c r="G361" s="43"/>
      <c r="H361" s="126"/>
      <c r="I361" s="86"/>
      <c r="J361" s="231"/>
      <c r="K361" s="231"/>
      <c r="L361" s="231"/>
      <c r="M361" s="231"/>
      <c r="N361" s="231"/>
      <c r="O361" s="231"/>
      <c r="P361" s="231"/>
      <c r="Q361" s="231"/>
      <c r="R361" s="231"/>
      <c r="S361" s="231"/>
      <c r="T361" s="231"/>
      <c r="U361" s="231"/>
      <c r="V361" s="231"/>
      <c r="W361" s="231"/>
      <c r="X361" s="231"/>
      <c r="Y361" s="231"/>
      <c r="Z361" s="231"/>
      <c r="AA361" s="231"/>
      <c r="AB361" s="231"/>
      <c r="AC361" s="231"/>
      <c r="AD361" s="231"/>
      <c r="AE361" s="231"/>
      <c r="AF361" s="231"/>
      <c r="AG361" s="231"/>
      <c r="AH361" s="231"/>
    </row>
    <row r="362" spans="1:34" s="203" customFormat="1">
      <c r="A362" s="748">
        <v>11</v>
      </c>
      <c r="B362" s="47" t="s">
        <v>61</v>
      </c>
      <c r="C362" s="116"/>
      <c r="D362" s="116"/>
      <c r="E362" s="49">
        <v>0</v>
      </c>
      <c r="F362" s="265"/>
      <c r="G362" s="43"/>
      <c r="H362" s="126"/>
      <c r="I362" s="86"/>
      <c r="J362" s="231"/>
      <c r="K362" s="231"/>
      <c r="L362" s="231"/>
      <c r="M362" s="231"/>
      <c r="N362" s="231"/>
      <c r="O362" s="231"/>
      <c r="P362" s="231"/>
      <c r="Q362" s="231"/>
      <c r="R362" s="231"/>
      <c r="S362" s="231"/>
      <c r="T362" s="231"/>
      <c r="U362" s="231"/>
      <c r="V362" s="231"/>
      <c r="W362" s="231"/>
      <c r="X362" s="231"/>
      <c r="Y362" s="231"/>
      <c r="Z362" s="231"/>
      <c r="AA362" s="231"/>
      <c r="AB362" s="231"/>
      <c r="AC362" s="231"/>
      <c r="AD362" s="231"/>
      <c r="AE362" s="231"/>
      <c r="AF362" s="231"/>
      <c r="AG362" s="231"/>
      <c r="AH362" s="231"/>
    </row>
    <row r="363" spans="1:34" s="203" customFormat="1">
      <c r="A363" s="749">
        <v>12</v>
      </c>
      <c r="B363" s="54" t="s">
        <v>380</v>
      </c>
      <c r="C363" s="94"/>
      <c r="D363" s="94"/>
      <c r="E363" s="135">
        <v>895</v>
      </c>
      <c r="F363" s="61">
        <f>SUM(F353:F362)</f>
        <v>1313</v>
      </c>
      <c r="G363" s="43"/>
      <c r="H363" s="61">
        <f>SUM(H353:H362)</f>
        <v>1428</v>
      </c>
      <c r="I363" s="86"/>
      <c r="J363" s="231"/>
      <c r="K363" s="231"/>
      <c r="L363" s="231"/>
      <c r="M363" s="231"/>
      <c r="N363" s="231"/>
      <c r="O363" s="231"/>
      <c r="P363" s="231"/>
      <c r="Q363" s="231"/>
      <c r="R363" s="231"/>
      <c r="S363" s="231"/>
      <c r="T363" s="231"/>
      <c r="U363" s="231"/>
      <c r="V363" s="231"/>
      <c r="W363" s="231"/>
      <c r="X363" s="231"/>
      <c r="Y363" s="231"/>
      <c r="Z363" s="231"/>
      <c r="AA363" s="231"/>
      <c r="AB363" s="231"/>
      <c r="AC363" s="231"/>
      <c r="AD363" s="231"/>
      <c r="AE363" s="231"/>
      <c r="AF363" s="231"/>
      <c r="AG363" s="231"/>
      <c r="AH363" s="231"/>
    </row>
    <row r="364" spans="1:34" s="203" customFormat="1">
      <c r="A364" s="199"/>
      <c r="B364" s="15"/>
      <c r="C364" s="15"/>
      <c r="D364" s="15"/>
      <c r="E364" s="15"/>
      <c r="F364" s="15"/>
      <c r="G364" s="15"/>
      <c r="H364" s="15"/>
      <c r="I364" s="86"/>
      <c r="J364" s="231"/>
      <c r="K364" s="231"/>
      <c r="L364" s="231"/>
      <c r="M364" s="231"/>
      <c r="N364" s="231"/>
      <c r="O364" s="231"/>
      <c r="P364" s="231"/>
      <c r="Q364" s="231"/>
      <c r="R364" s="231"/>
      <c r="S364" s="231"/>
      <c r="T364" s="231"/>
      <c r="U364" s="231"/>
      <c r="V364" s="231"/>
      <c r="W364" s="231"/>
      <c r="X364" s="231"/>
      <c r="Y364" s="231"/>
      <c r="Z364" s="231"/>
      <c r="AA364" s="231"/>
      <c r="AB364" s="231"/>
      <c r="AC364" s="231"/>
      <c r="AD364" s="231"/>
      <c r="AE364" s="231"/>
      <c r="AF364" s="231"/>
      <c r="AG364" s="231"/>
      <c r="AH364" s="231"/>
    </row>
    <row r="365" spans="1:34" s="203" customFormat="1">
      <c r="A365" s="199"/>
      <c r="B365" s="15"/>
      <c r="C365" s="15"/>
      <c r="D365" s="15"/>
      <c r="E365" s="15"/>
      <c r="F365" s="15"/>
      <c r="G365" s="15"/>
      <c r="H365" s="86"/>
      <c r="I365" s="86"/>
      <c r="J365" s="231"/>
      <c r="K365" s="231"/>
      <c r="L365" s="231"/>
      <c r="M365" s="231"/>
      <c r="N365" s="231"/>
      <c r="O365" s="231"/>
      <c r="P365" s="231"/>
      <c r="Q365" s="231"/>
      <c r="R365" s="231"/>
      <c r="S365" s="231"/>
      <c r="T365" s="231"/>
      <c r="U365" s="231"/>
      <c r="V365" s="231"/>
      <c r="W365" s="231"/>
      <c r="X365" s="231"/>
      <c r="Y365" s="231"/>
      <c r="Z365" s="231"/>
      <c r="AA365" s="231"/>
      <c r="AB365" s="231"/>
      <c r="AC365" s="231"/>
      <c r="AD365" s="231"/>
      <c r="AE365" s="231"/>
      <c r="AF365" s="231"/>
      <c r="AG365" s="231"/>
      <c r="AH365" s="231"/>
    </row>
    <row r="366" spans="1:34" s="203" customFormat="1">
      <c r="A366" s="199"/>
      <c r="B366" s="15"/>
      <c r="C366" s="15"/>
      <c r="D366" s="15"/>
      <c r="E366" s="15"/>
      <c r="F366" s="15"/>
      <c r="G366" s="15"/>
      <c r="H366" s="86"/>
      <c r="I366" s="86"/>
      <c r="J366" s="231"/>
      <c r="K366" s="231"/>
      <c r="L366" s="231"/>
      <c r="M366" s="231"/>
      <c r="N366" s="231"/>
      <c r="O366" s="231"/>
      <c r="P366" s="231"/>
      <c r="Q366" s="231"/>
      <c r="R366" s="231"/>
      <c r="S366" s="231"/>
      <c r="T366" s="231"/>
      <c r="U366" s="231"/>
      <c r="V366" s="231"/>
      <c r="W366" s="231"/>
      <c r="X366" s="231"/>
      <c r="Y366" s="231"/>
      <c r="Z366" s="231"/>
      <c r="AA366" s="231"/>
      <c r="AB366" s="231"/>
      <c r="AC366" s="231"/>
      <c r="AD366" s="231"/>
      <c r="AE366" s="231"/>
      <c r="AF366" s="231"/>
      <c r="AG366" s="231"/>
      <c r="AH366" s="231"/>
    </row>
    <row r="367" spans="1:34" s="8" customFormat="1"/>
    <row r="368" spans="1:34" s="8" customFormat="1"/>
    <row r="369" s="8" customFormat="1"/>
    <row r="370" s="8" customFormat="1"/>
    <row r="371" s="8" customFormat="1"/>
    <row r="372" s="8" customFormat="1"/>
    <row r="373" s="8" customFormat="1"/>
    <row r="374" s="8" customFormat="1"/>
    <row r="375" s="8" customFormat="1"/>
    <row r="376" s="8" customFormat="1"/>
    <row r="377" s="8" customFormat="1"/>
    <row r="378" s="8" customFormat="1"/>
    <row r="379" s="8" customFormat="1"/>
    <row r="380" s="8" customFormat="1"/>
    <row r="381" s="8" customFormat="1"/>
    <row r="382" s="8" customFormat="1"/>
    <row r="383" s="8" customFormat="1"/>
    <row r="384" s="8" customFormat="1"/>
    <row r="385" spans="1:9" s="8" customFormat="1"/>
    <row r="386" spans="1:9" s="8" customFormat="1"/>
    <row r="387" spans="1:9" s="8" customFormat="1"/>
    <row r="388" spans="1:9" s="8" customFormat="1"/>
    <row r="389" spans="1:9" s="8" customFormat="1"/>
    <row r="390" spans="1:9" s="8" customFormat="1"/>
    <row r="391" spans="1:9" s="8" customFormat="1"/>
    <row r="392" spans="1:9" s="8" customFormat="1"/>
    <row r="393" spans="1:9" s="8" customFormat="1"/>
    <row r="394" spans="1:9" s="8" customFormat="1"/>
    <row r="395" spans="1:9">
      <c r="A395" s="8"/>
      <c r="B395" s="8"/>
      <c r="C395" s="8"/>
      <c r="D395" s="8"/>
      <c r="E395" s="8"/>
      <c r="F395" s="8"/>
      <c r="G395" s="8"/>
      <c r="H395" s="8"/>
      <c r="I395" s="8"/>
    </row>
    <row r="396" spans="1:9">
      <c r="A396" s="8"/>
      <c r="B396" s="8"/>
      <c r="C396" s="8"/>
      <c r="D396" s="8"/>
      <c r="E396" s="8"/>
      <c r="F396" s="8"/>
      <c r="G396" s="8"/>
      <c r="H396" s="8"/>
      <c r="I396" s="8"/>
    </row>
    <row r="397" spans="1:9">
      <c r="A397" s="8"/>
      <c r="B397" s="8"/>
      <c r="C397" s="8"/>
      <c r="D397" s="8"/>
      <c r="E397" s="8"/>
      <c r="F397" s="8"/>
      <c r="G397" s="8"/>
      <c r="H397" s="8"/>
      <c r="I397" s="8"/>
    </row>
    <row r="398" spans="1:9">
      <c r="A398" s="8"/>
      <c r="B398" s="8"/>
      <c r="C398" s="8"/>
      <c r="D398" s="8"/>
      <c r="E398" s="8"/>
      <c r="F398" s="8"/>
      <c r="G398" s="8"/>
      <c r="H398" s="8"/>
      <c r="I398" s="8"/>
    </row>
    <row r="399" spans="1:9">
      <c r="A399" s="8"/>
      <c r="B399" s="8"/>
      <c r="C399" s="8"/>
      <c r="D399" s="8"/>
      <c r="E399" s="8"/>
      <c r="F399" s="8"/>
      <c r="G399" s="8"/>
      <c r="H399" s="8"/>
      <c r="I399" s="8"/>
    </row>
    <row r="400" spans="1:9">
      <c r="A400" s="8"/>
      <c r="B400" s="8"/>
      <c r="C400" s="8"/>
      <c r="D400" s="8"/>
      <c r="E400" s="8"/>
      <c r="F400" s="8"/>
      <c r="G400" s="8"/>
      <c r="H400" s="8"/>
      <c r="I400" s="8"/>
    </row>
    <row r="401" spans="1:9">
      <c r="A401" s="8"/>
      <c r="B401" s="8"/>
      <c r="C401" s="8"/>
      <c r="D401" s="8"/>
      <c r="E401" s="8"/>
      <c r="F401" s="8"/>
      <c r="G401" s="8"/>
      <c r="H401" s="8"/>
      <c r="I401" s="8"/>
    </row>
    <row r="402" spans="1:9">
      <c r="A402" s="8"/>
      <c r="B402" s="8"/>
      <c r="C402" s="8"/>
      <c r="D402" s="8"/>
      <c r="E402" s="8"/>
      <c r="F402" s="8"/>
      <c r="G402" s="8"/>
      <c r="H402" s="8"/>
      <c r="I402" s="8"/>
    </row>
    <row r="403" spans="1:9">
      <c r="A403" s="8"/>
      <c r="B403" s="8"/>
      <c r="C403" s="8"/>
      <c r="D403" s="8"/>
      <c r="E403" s="8"/>
      <c r="F403" s="8"/>
      <c r="G403" s="8"/>
      <c r="H403" s="8"/>
      <c r="I403" s="8"/>
    </row>
    <row r="404" spans="1:9">
      <c r="A404" s="8"/>
      <c r="B404" s="8"/>
      <c r="C404" s="8"/>
      <c r="D404" s="8"/>
      <c r="E404" s="8"/>
      <c r="F404" s="8"/>
      <c r="G404" s="8"/>
      <c r="H404" s="8"/>
      <c r="I404" s="8"/>
    </row>
    <row r="405" spans="1:9">
      <c r="A405" s="8"/>
      <c r="B405" s="8"/>
      <c r="C405" s="8"/>
      <c r="D405" s="8"/>
      <c r="E405" s="8"/>
      <c r="F405" s="8"/>
      <c r="G405" s="8"/>
      <c r="H405" s="8"/>
      <c r="I405" s="8"/>
    </row>
    <row r="406" spans="1:9">
      <c r="A406" s="8"/>
      <c r="B406" s="8"/>
      <c r="C406" s="8"/>
      <c r="D406" s="8"/>
      <c r="E406" s="8"/>
      <c r="F406" s="8"/>
      <c r="G406" s="8"/>
      <c r="H406" s="8"/>
      <c r="I406" s="8"/>
    </row>
    <row r="407" spans="1:9">
      <c r="A407" s="8"/>
      <c r="B407" s="8"/>
      <c r="C407" s="8"/>
      <c r="D407" s="8"/>
      <c r="E407" s="8"/>
      <c r="F407" s="8"/>
      <c r="G407" s="8"/>
      <c r="H407" s="8"/>
      <c r="I407" s="8"/>
    </row>
    <row r="408" spans="1:9">
      <c r="A408" s="8"/>
      <c r="B408" s="8"/>
      <c r="C408" s="8"/>
      <c r="D408" s="8"/>
      <c r="E408" s="8"/>
      <c r="F408" s="8"/>
      <c r="G408" s="8"/>
      <c r="H408" s="8"/>
      <c r="I408" s="8"/>
    </row>
    <row r="409" spans="1:9">
      <c r="A409" s="8"/>
      <c r="B409" s="8"/>
      <c r="C409" s="8"/>
      <c r="D409" s="8"/>
      <c r="E409" s="8"/>
      <c r="F409" s="8"/>
      <c r="G409" s="8"/>
      <c r="H409" s="8"/>
      <c r="I409" s="8"/>
    </row>
  </sheetData>
  <mergeCells count="59">
    <mergeCell ref="C19:F19"/>
    <mergeCell ref="B3:B4"/>
    <mergeCell ref="C3:D4"/>
    <mergeCell ref="A5:B5"/>
    <mergeCell ref="D6:H6"/>
    <mergeCell ref="A9:I9"/>
    <mergeCell ref="D10:F10"/>
    <mergeCell ref="C14:F14"/>
    <mergeCell ref="C15:F15"/>
    <mergeCell ref="C16:F16"/>
    <mergeCell ref="C17:F17"/>
    <mergeCell ref="C18:F18"/>
    <mergeCell ref="A23:D24"/>
    <mergeCell ref="E23:E24"/>
    <mergeCell ref="F23:F24"/>
    <mergeCell ref="H23:H24"/>
    <mergeCell ref="A25:A27"/>
    <mergeCell ref="B25:D27"/>
    <mergeCell ref="E25:E27"/>
    <mergeCell ref="F25:F27"/>
    <mergeCell ref="H25:H27"/>
    <mergeCell ref="A40:D41"/>
    <mergeCell ref="E40:E41"/>
    <mergeCell ref="F40:F41"/>
    <mergeCell ref="H40:H41"/>
    <mergeCell ref="E66:E70"/>
    <mergeCell ref="F66:F70"/>
    <mergeCell ref="G66:G70"/>
    <mergeCell ref="H66:H70"/>
    <mergeCell ref="I66:I70"/>
    <mergeCell ref="F91:F95"/>
    <mergeCell ref="H91:H95"/>
    <mergeCell ref="E193:E197"/>
    <mergeCell ref="F193:F197"/>
    <mergeCell ref="H193:H197"/>
    <mergeCell ref="E153:E157"/>
    <mergeCell ref="F153:F157"/>
    <mergeCell ref="H153:H157"/>
    <mergeCell ref="E91:E95"/>
    <mergeCell ref="E221:E225"/>
    <mergeCell ref="F221:F225"/>
    <mergeCell ref="H221:H225"/>
    <mergeCell ref="E234:E238"/>
    <mergeCell ref="F234:F238"/>
    <mergeCell ref="H234:H238"/>
    <mergeCell ref="E261:E265"/>
    <mergeCell ref="F261:F265"/>
    <mergeCell ref="H261:H265"/>
    <mergeCell ref="E280:E284"/>
    <mergeCell ref="F280:F284"/>
    <mergeCell ref="H280:H284"/>
    <mergeCell ref="E341:E345"/>
    <mergeCell ref="F341:F345"/>
    <mergeCell ref="H341:H345"/>
    <mergeCell ref="E305:E309"/>
    <mergeCell ref="F305:F309"/>
    <mergeCell ref="H305:H309"/>
    <mergeCell ref="C323:H323"/>
    <mergeCell ref="C330:H330"/>
  </mergeCells>
  <phoneticPr fontId="10" type="noConversion"/>
  <conditionalFormatting sqref="F71:F76 F286:F301 F311:F318 F80:F88 F96:F97 F103:F104 F106 F110:F114 F118:F124 F128:F134 F138:F142 F146:F149 F171:F172 F175:F177 F183:F190 F199:F200 F204:F206 F210:F213 F217:F218 F226:F230 F240:F241 F245:F246 F250:F253 F256 F267:F276 H250 F159:F162 F166:F168 H96:H97 H103:H104 H110:H114 H118:H124 H128:H134 H138:H142 H146:H149">
    <cfRule type="expression" dxfId="28" priority="281" stopIfTrue="1">
      <formula>ISBLANK(F71)</formula>
    </cfRule>
    <cfRule type="expression" dxfId="27" priority="282" stopIfTrue="1">
      <formula>IF(AND(OR(F71-E71&gt;500,F71-E71&lt;-500),OR(#REF!&gt;0.1,#REF!&lt;-0.1)),TRUE,FALSE)</formula>
    </cfRule>
  </conditionalFormatting>
  <dataValidations count="1">
    <dataValidation type="list" errorStyle="information" allowBlank="1" showInputMessage="1" showErrorMessage="1" errorTitle="POBE 2006" error="Please select from the drop-down menu..." prompt="Please select your Authority from the drop-down menu..." sqref="C3:D4">
      <formula1>#REF!</formula1>
    </dataValidation>
  </dataValidations>
  <hyperlinks>
    <hyperlink ref="F7" r:id="rId1" display="lgfstats@scotland.gsi.gov.uk"/>
    <hyperlink ref="D6" r:id="rId2"/>
    <hyperlink ref="D10" r:id="rId3" display="^lgfstats@gov.scot"/>
    <hyperlink ref="B14" location="'POBE 2017'!A28" display="PART 1 - Expenditure"/>
    <hyperlink ref="C19:F19" location="'POBE 2017'!A323" display="Sheet 10. - PUBLIC PRIVATE PARTNERSHIPS/PRIVATE FINANCE INITIATIVES"/>
    <hyperlink ref="B15" location="'POBE 2017'!A40" display="PART 2 - Income and Balances"/>
    <hyperlink ref="B16" location="'POBE 2017'!A66" display="Sheet 1. EDUCATION"/>
    <hyperlink ref="B17" location="'POBE 2017'!A91" display="Sheet 2. SOCIAL WORK"/>
    <hyperlink ref="B18" location="'POBE 2017'!A153" display="Sheet 3. ROADS AND TRANSPORT"/>
    <hyperlink ref="B19" location="'POBE 2017'!A193" display="Sheet 4. ENVIRONMENTAL SERVICES"/>
    <hyperlink ref="C14:F14" location="'POBE 2017'!A221" display="Sheet 5. PLANNING AND DEVELOPMENT SERVICES"/>
    <hyperlink ref="C15:F15" location="'POBE 2017'!A234" display="Sheet 6. CULTURAL AND RELATED SERVICES"/>
    <hyperlink ref="C16:F16" location="'POBE 2017'!A261" display="Sheet 7. HOUSING"/>
    <hyperlink ref="C17:F17" location="'POBE 2017'!A280" display="Sheet 8. CENTRAL SERVICES"/>
    <hyperlink ref="C18:F18" location="'POBE 2017'!A305" display="Sheet 9. OTHER EXPENDITURE"/>
  </hyperlinks>
  <pageMargins left="0.75" right="0.75" top="1" bottom="1" header="0.5" footer="0.5"/>
  <pageSetup paperSize="9" orientation="portrait" r:id="rId4"/>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AG414"/>
  <sheetViews>
    <sheetView topLeftCell="A169" zoomScale="80" zoomScaleNormal="80" workbookViewId="0">
      <selection activeCell="F189" sqref="F189"/>
    </sheetView>
  </sheetViews>
  <sheetFormatPr defaultColWidth="9.140625" defaultRowHeight="12.75"/>
  <cols>
    <col min="1" max="1" width="10.5703125" style="1" customWidth="1"/>
    <col min="2" max="2" width="43" style="1" customWidth="1"/>
    <col min="3" max="3" width="24.5703125" style="1" customWidth="1"/>
    <col min="4" max="4" width="14.7109375" style="1" customWidth="1"/>
    <col min="5" max="5" width="21.5703125" style="1" customWidth="1"/>
    <col min="6" max="6" width="19.140625" style="1" customWidth="1"/>
    <col min="7" max="7" width="17.42578125" style="1" customWidth="1"/>
    <col min="8" max="8" width="19.28515625" style="1" customWidth="1"/>
    <col min="9" max="9" width="17.85546875" style="1" customWidth="1"/>
    <col min="10" max="10" width="4.7109375" style="8" customWidth="1"/>
    <col min="11" max="15" width="9.140625" style="8" customWidth="1"/>
    <col min="16" max="26" width="9.140625" style="8"/>
    <col min="27" max="27" width="0" style="8" hidden="1" customWidth="1"/>
    <col min="28" max="33" width="9.140625" style="8"/>
    <col min="34" max="16384" width="9.140625" style="1"/>
  </cols>
  <sheetData>
    <row r="1" spans="1:33" s="203" customFormat="1" ht="51" customHeight="1">
      <c r="A1" s="3" t="s">
        <v>410</v>
      </c>
      <c r="B1" s="4"/>
      <c r="C1" s="224"/>
      <c r="D1" s="224"/>
      <c r="E1" s="224"/>
      <c r="F1" s="224"/>
      <c r="G1" s="225"/>
      <c r="H1" s="226"/>
      <c r="I1" s="227"/>
      <c r="J1" s="228"/>
      <c r="K1" s="231"/>
      <c r="L1" s="231"/>
      <c r="M1" s="231"/>
      <c r="N1" s="231"/>
      <c r="O1" s="231"/>
      <c r="P1" s="231"/>
      <c r="Q1" s="231"/>
      <c r="R1" s="231"/>
      <c r="S1" s="231"/>
      <c r="T1" s="231"/>
      <c r="U1" s="231"/>
      <c r="V1" s="231"/>
      <c r="W1" s="231"/>
      <c r="X1" s="231"/>
      <c r="Y1" s="231"/>
      <c r="Z1" s="231"/>
      <c r="AA1" s="231"/>
      <c r="AB1" s="231"/>
      <c r="AC1" s="231"/>
      <c r="AD1" s="231"/>
      <c r="AE1" s="231"/>
      <c r="AF1" s="231"/>
      <c r="AG1" s="231"/>
    </row>
    <row r="2" spans="1:33" s="203" customFormat="1" ht="35.25">
      <c r="A2" s="9"/>
      <c r="B2" s="10"/>
      <c r="C2" s="232"/>
      <c r="D2" s="232"/>
      <c r="E2" s="232"/>
      <c r="F2" s="11"/>
      <c r="G2" s="11"/>
      <c r="H2" s="11"/>
      <c r="I2" s="11"/>
      <c r="J2" s="11"/>
      <c r="K2" s="231"/>
      <c r="L2" s="231"/>
      <c r="M2" s="231"/>
      <c r="N2" s="231"/>
      <c r="O2" s="231"/>
      <c r="P2" s="231"/>
      <c r="Q2" s="231"/>
      <c r="R2" s="231"/>
      <c r="S2" s="231"/>
      <c r="T2" s="231"/>
      <c r="U2" s="231"/>
      <c r="V2" s="231"/>
      <c r="W2" s="231"/>
      <c r="X2" s="231"/>
      <c r="Y2" s="231"/>
      <c r="Z2" s="231"/>
      <c r="AA2" s="231"/>
      <c r="AB2" s="231"/>
      <c r="AC2" s="231"/>
      <c r="AD2" s="231"/>
      <c r="AE2" s="231"/>
      <c r="AF2" s="231"/>
      <c r="AG2" s="231"/>
    </row>
    <row r="3" spans="1:33" s="203" customFormat="1" ht="15">
      <c r="A3" s="12"/>
      <c r="B3" s="882" t="s">
        <v>0</v>
      </c>
      <c r="C3" s="884" t="s">
        <v>35</v>
      </c>
      <c r="D3" s="885"/>
      <c r="E3" s="13"/>
      <c r="F3" s="14"/>
      <c r="G3" s="14"/>
      <c r="H3" s="15"/>
      <c r="I3" s="14"/>
      <c r="J3" s="14"/>
      <c r="K3" s="231"/>
      <c r="L3" s="231"/>
      <c r="M3" s="231"/>
      <c r="N3" s="231"/>
      <c r="O3" s="231"/>
      <c r="P3" s="231"/>
      <c r="Q3" s="231"/>
      <c r="R3" s="231"/>
      <c r="S3" s="231"/>
      <c r="T3" s="231"/>
      <c r="U3" s="231"/>
      <c r="V3" s="231"/>
      <c r="W3" s="231"/>
      <c r="X3" s="231"/>
      <c r="Y3" s="231"/>
      <c r="Z3" s="231"/>
      <c r="AA3" s="231"/>
      <c r="AB3" s="231"/>
      <c r="AC3" s="231"/>
      <c r="AD3" s="231"/>
      <c r="AE3" s="231"/>
      <c r="AF3" s="231"/>
      <c r="AG3" s="231"/>
    </row>
    <row r="4" spans="1:33" s="203" customFormat="1" ht="15">
      <c r="A4" s="17"/>
      <c r="B4" s="883"/>
      <c r="C4" s="886"/>
      <c r="D4" s="887"/>
      <c r="E4" s="13"/>
      <c r="F4" s="14"/>
      <c r="G4" s="14"/>
      <c r="H4" s="15"/>
      <c r="I4" s="14"/>
      <c r="J4" s="14"/>
      <c r="K4" s="231"/>
      <c r="L4" s="231"/>
      <c r="M4" s="231"/>
      <c r="N4" s="231"/>
      <c r="O4" s="231"/>
      <c r="P4" s="231"/>
      <c r="Q4" s="231"/>
      <c r="R4" s="231"/>
      <c r="S4" s="231"/>
      <c r="T4" s="231"/>
      <c r="U4" s="231"/>
      <c r="V4" s="231"/>
      <c r="W4" s="231"/>
      <c r="X4" s="231"/>
      <c r="Y4" s="231"/>
      <c r="Z4" s="231"/>
      <c r="AA4" s="231"/>
      <c r="AB4" s="231"/>
      <c r="AC4" s="231"/>
      <c r="AD4" s="231"/>
      <c r="AE4" s="231"/>
      <c r="AF4" s="231"/>
      <c r="AG4" s="231"/>
    </row>
    <row r="5" spans="1:33" s="203" customFormat="1" ht="15">
      <c r="A5" s="888"/>
      <c r="B5" s="889"/>
      <c r="C5" s="18"/>
      <c r="D5" s="206"/>
      <c r="E5" s="206"/>
      <c r="F5" s="14"/>
      <c r="G5" s="14"/>
      <c r="H5" s="14"/>
      <c r="I5" s="234"/>
      <c r="J5" s="234"/>
      <c r="K5" s="231"/>
      <c r="L5" s="231"/>
      <c r="M5" s="231"/>
      <c r="N5" s="231"/>
      <c r="O5" s="231"/>
      <c r="P5" s="231"/>
      <c r="Q5" s="231"/>
      <c r="R5" s="231"/>
      <c r="S5" s="231"/>
      <c r="T5" s="231"/>
      <c r="U5" s="231"/>
      <c r="V5" s="231"/>
      <c r="W5" s="231"/>
      <c r="X5" s="231"/>
      <c r="Y5" s="231"/>
      <c r="Z5" s="231"/>
      <c r="AA5" s="231"/>
      <c r="AB5" s="231"/>
      <c r="AC5" s="231"/>
      <c r="AD5" s="231"/>
      <c r="AE5" s="231"/>
      <c r="AF5" s="231"/>
      <c r="AG5" s="231"/>
    </row>
    <row r="6" spans="1:33" s="203" customFormat="1" ht="23.25" customHeight="1">
      <c r="A6" s="19" t="s">
        <v>1</v>
      </c>
      <c r="B6" s="207"/>
      <c r="C6" s="20"/>
      <c r="D6" s="890" t="s">
        <v>249</v>
      </c>
      <c r="E6" s="890"/>
      <c r="F6" s="890"/>
      <c r="G6" s="890"/>
      <c r="H6" s="890"/>
      <c r="I6" s="29"/>
      <c r="J6" s="15"/>
      <c r="K6" s="231"/>
      <c r="L6" s="231"/>
      <c r="M6" s="231"/>
      <c r="N6" s="231"/>
      <c r="O6" s="231"/>
      <c r="P6" s="231"/>
      <c r="Q6" s="231"/>
      <c r="R6" s="231"/>
      <c r="S6" s="231"/>
      <c r="T6" s="231"/>
      <c r="U6" s="231"/>
      <c r="V6" s="231"/>
      <c r="W6" s="231"/>
      <c r="X6" s="231"/>
      <c r="Y6" s="231"/>
      <c r="Z6" s="231"/>
      <c r="AA6" s="231"/>
      <c r="AB6" s="231"/>
      <c r="AC6" s="231"/>
      <c r="AD6" s="231"/>
      <c r="AE6" s="231"/>
      <c r="AF6" s="231"/>
      <c r="AG6" s="231"/>
    </row>
    <row r="7" spans="1:33" s="203" customFormat="1" ht="18.75" customHeight="1">
      <c r="A7" s="19" t="s">
        <v>419</v>
      </c>
      <c r="B7" s="207"/>
      <c r="C7" s="207"/>
      <c r="D7" s="207"/>
      <c r="E7" s="207"/>
      <c r="F7" s="362" t="s">
        <v>250</v>
      </c>
      <c r="G7" s="1"/>
      <c r="H7" s="21"/>
      <c r="I7" s="29"/>
      <c r="J7" s="15"/>
      <c r="K7" s="231"/>
      <c r="L7" s="231"/>
      <c r="M7" s="231"/>
      <c r="N7" s="231"/>
      <c r="O7" s="231"/>
      <c r="P7" s="231"/>
      <c r="Q7" s="231"/>
      <c r="R7" s="231"/>
      <c r="S7" s="231"/>
      <c r="T7" s="231"/>
      <c r="U7" s="231"/>
      <c r="V7" s="231"/>
      <c r="W7" s="231"/>
      <c r="X7" s="231"/>
      <c r="Y7" s="231"/>
      <c r="Z7" s="231"/>
      <c r="AA7" s="231"/>
      <c r="AB7" s="231"/>
      <c r="AC7" s="231"/>
      <c r="AD7" s="231"/>
      <c r="AE7" s="231"/>
      <c r="AF7" s="231"/>
      <c r="AG7" s="231"/>
    </row>
    <row r="8" spans="1:33" s="203" customFormat="1" ht="24" customHeight="1">
      <c r="A8" s="22" t="s">
        <v>408</v>
      </c>
      <c r="B8" s="207"/>
      <c r="C8" s="207"/>
      <c r="D8" s="207"/>
      <c r="E8" s="207"/>
      <c r="F8" s="207"/>
      <c r="G8" s="436"/>
      <c r="H8" s="21"/>
      <c r="I8" s="29"/>
      <c r="J8" s="15"/>
      <c r="K8" s="231"/>
      <c r="L8" s="231"/>
      <c r="M8" s="231"/>
      <c r="N8" s="231"/>
      <c r="O8" s="231"/>
      <c r="P8" s="231"/>
      <c r="Q8" s="231"/>
      <c r="R8" s="231"/>
      <c r="S8" s="231"/>
      <c r="T8" s="231"/>
      <c r="U8" s="231"/>
      <c r="V8" s="231"/>
      <c r="W8" s="231"/>
      <c r="X8" s="231"/>
      <c r="Y8" s="231"/>
      <c r="Z8" s="231"/>
      <c r="AA8" s="231"/>
      <c r="AB8" s="231"/>
      <c r="AC8" s="231"/>
      <c r="AD8" s="231"/>
      <c r="AE8" s="231"/>
      <c r="AF8" s="231"/>
      <c r="AG8" s="231"/>
    </row>
    <row r="9" spans="1:33" s="203" customFormat="1" ht="30.75" customHeight="1">
      <c r="A9" s="891" t="s">
        <v>420</v>
      </c>
      <c r="B9" s="892"/>
      <c r="C9" s="892"/>
      <c r="D9" s="892"/>
      <c r="E9" s="892"/>
      <c r="F9" s="892"/>
      <c r="G9" s="892"/>
      <c r="H9" s="892"/>
      <c r="I9" s="892"/>
      <c r="J9" s="235"/>
      <c r="K9" s="231"/>
      <c r="L9" s="231"/>
      <c r="M9" s="231"/>
      <c r="N9" s="231"/>
      <c r="O9" s="231"/>
      <c r="P9" s="231"/>
      <c r="Q9" s="231"/>
      <c r="R9" s="231"/>
      <c r="S9" s="231"/>
      <c r="T9" s="231"/>
      <c r="U9" s="231"/>
      <c r="V9" s="231"/>
      <c r="W9" s="231"/>
      <c r="X9" s="231"/>
      <c r="Y9" s="231"/>
      <c r="Z9" s="231"/>
      <c r="AA9" s="231"/>
      <c r="AB9" s="231"/>
      <c r="AC9" s="231"/>
      <c r="AD9" s="231"/>
      <c r="AE9" s="231"/>
      <c r="AF9" s="231"/>
      <c r="AG9" s="231"/>
    </row>
    <row r="10" spans="1:33" s="203" customFormat="1" ht="12.75" customHeight="1">
      <c r="A10" s="22" t="s">
        <v>409</v>
      </c>
      <c r="B10" s="19"/>
      <c r="C10" s="1"/>
      <c r="D10" s="880" t="s">
        <v>250</v>
      </c>
      <c r="E10" s="881"/>
      <c r="F10" s="881"/>
      <c r="G10" s="207"/>
      <c r="H10" s="207"/>
      <c r="I10" s="29"/>
      <c r="J10" s="15"/>
      <c r="K10" s="231"/>
      <c r="L10" s="231"/>
      <c r="M10" s="231"/>
      <c r="N10" s="231"/>
      <c r="O10" s="231"/>
      <c r="P10" s="231"/>
      <c r="Q10" s="231"/>
      <c r="R10" s="231"/>
      <c r="S10" s="231"/>
      <c r="T10" s="231"/>
      <c r="U10" s="231"/>
      <c r="V10" s="231"/>
      <c r="W10" s="231"/>
      <c r="X10" s="231"/>
      <c r="Y10" s="231"/>
      <c r="Z10" s="231"/>
      <c r="AA10" s="231"/>
      <c r="AB10" s="231"/>
      <c r="AC10" s="231"/>
      <c r="AD10" s="231"/>
      <c r="AE10" s="231"/>
      <c r="AF10" s="231"/>
      <c r="AG10" s="231"/>
    </row>
    <row r="11" spans="1:33" s="203" customFormat="1">
      <c r="A11" s="23"/>
      <c r="B11" s="207"/>
      <c r="C11" s="207"/>
      <c r="D11" s="207"/>
      <c r="E11" s="207"/>
      <c r="F11" s="207"/>
      <c r="G11" s="21"/>
      <c r="H11" s="21"/>
      <c r="I11" s="29"/>
      <c r="J11" s="15"/>
      <c r="K11" s="231"/>
      <c r="L11" s="231"/>
      <c r="M11" s="231"/>
      <c r="N11" s="231"/>
      <c r="O11" s="231"/>
      <c r="P11" s="231"/>
      <c r="Q11" s="231"/>
      <c r="R11" s="231"/>
      <c r="S11" s="231"/>
      <c r="T11" s="231"/>
      <c r="U11" s="231"/>
      <c r="V11" s="231"/>
      <c r="W11" s="231"/>
      <c r="X11" s="231"/>
      <c r="Y11" s="231"/>
      <c r="Z11" s="231"/>
      <c r="AA11" s="231"/>
      <c r="AB11" s="231"/>
      <c r="AC11" s="231"/>
      <c r="AD11" s="231"/>
      <c r="AE11" s="231"/>
      <c r="AF11" s="231"/>
      <c r="AG11" s="231"/>
    </row>
    <row r="12" spans="1:33" s="203" customFormat="1">
      <c r="A12" s="24"/>
      <c r="B12" s="25" t="s">
        <v>7</v>
      </c>
      <c r="C12" s="26"/>
      <c r="D12" s="356"/>
      <c r="E12" s="356"/>
      <c r="F12" s="357"/>
      <c r="G12" s="21"/>
      <c r="H12" s="21"/>
      <c r="I12" s="29"/>
      <c r="J12" s="15"/>
      <c r="K12" s="231"/>
      <c r="L12" s="231"/>
      <c r="M12" s="231"/>
      <c r="N12" s="231"/>
      <c r="O12" s="231"/>
      <c r="P12" s="231"/>
      <c r="Q12" s="231"/>
      <c r="R12" s="231"/>
      <c r="S12" s="231"/>
      <c r="T12" s="231"/>
      <c r="U12" s="231"/>
      <c r="V12" s="231"/>
      <c r="W12" s="231"/>
      <c r="X12" s="231"/>
      <c r="Y12" s="231"/>
      <c r="Z12" s="231"/>
      <c r="AA12" s="231"/>
      <c r="AB12" s="231"/>
      <c r="AC12" s="231"/>
      <c r="AD12" s="231"/>
      <c r="AE12" s="231"/>
      <c r="AF12" s="231"/>
      <c r="AG12" s="231"/>
    </row>
    <row r="13" spans="1:33" s="203" customFormat="1">
      <c r="A13" s="23"/>
      <c r="B13" s="27"/>
      <c r="C13" s="358"/>
      <c r="D13" s="15"/>
      <c r="E13" s="15"/>
      <c r="F13" s="359"/>
      <c r="G13" s="207"/>
      <c r="H13" s="21"/>
      <c r="I13" s="29"/>
      <c r="J13" s="15"/>
      <c r="K13" s="231"/>
      <c r="L13" s="231"/>
      <c r="M13" s="231"/>
      <c r="N13" s="231"/>
      <c r="O13" s="231"/>
      <c r="P13" s="231"/>
      <c r="Q13" s="231"/>
      <c r="R13" s="231"/>
      <c r="S13" s="231"/>
      <c r="T13" s="231"/>
      <c r="U13" s="231"/>
      <c r="V13" s="231"/>
      <c r="W13" s="231"/>
      <c r="X13" s="231"/>
      <c r="Y13" s="231"/>
      <c r="Z13" s="231"/>
      <c r="AA13" s="231"/>
      <c r="AB13" s="231"/>
      <c r="AC13" s="231"/>
      <c r="AD13" s="231"/>
      <c r="AE13" s="231"/>
      <c r="AF13" s="231"/>
      <c r="AG13" s="231"/>
    </row>
    <row r="14" spans="1:33" s="203" customFormat="1">
      <c r="A14" s="23"/>
      <c r="B14" s="363" t="s">
        <v>328</v>
      </c>
      <c r="C14" s="870" t="s">
        <v>10</v>
      </c>
      <c r="D14" s="870"/>
      <c r="E14" s="870"/>
      <c r="F14" s="871"/>
      <c r="G14" s="207"/>
      <c r="H14" s="21"/>
      <c r="I14" s="29"/>
      <c r="J14" s="15"/>
      <c r="K14" s="231"/>
      <c r="L14" s="231"/>
      <c r="M14" s="231"/>
      <c r="N14" s="231"/>
      <c r="O14" s="231"/>
      <c r="P14" s="231"/>
      <c r="Q14" s="231"/>
      <c r="R14" s="231"/>
      <c r="S14" s="231"/>
      <c r="T14" s="231"/>
      <c r="U14" s="231"/>
      <c r="V14" s="231"/>
      <c r="W14" s="231"/>
      <c r="X14" s="231"/>
      <c r="Y14" s="231"/>
      <c r="Z14" s="231"/>
      <c r="AA14" s="231"/>
      <c r="AB14" s="231"/>
      <c r="AC14" s="231"/>
      <c r="AD14" s="231"/>
      <c r="AE14" s="231"/>
      <c r="AF14" s="231"/>
      <c r="AG14" s="231"/>
    </row>
    <row r="15" spans="1:33" s="203" customFormat="1">
      <c r="A15" s="23"/>
      <c r="B15" s="363" t="s">
        <v>329</v>
      </c>
      <c r="C15" s="870" t="s">
        <v>12</v>
      </c>
      <c r="D15" s="870"/>
      <c r="E15" s="870"/>
      <c r="F15" s="871"/>
      <c r="G15" s="207"/>
      <c r="H15" s="21"/>
      <c r="I15" s="29"/>
      <c r="J15" s="15"/>
      <c r="K15" s="231"/>
      <c r="L15" s="231"/>
      <c r="M15" s="231"/>
      <c r="N15" s="231"/>
      <c r="O15" s="231"/>
      <c r="P15" s="231"/>
      <c r="Q15" s="231"/>
      <c r="R15" s="231"/>
      <c r="S15" s="231"/>
      <c r="T15" s="231"/>
      <c r="U15" s="231"/>
      <c r="V15" s="231"/>
      <c r="W15" s="231"/>
      <c r="X15" s="231"/>
      <c r="Y15" s="231"/>
      <c r="Z15" s="231"/>
      <c r="AA15" s="231"/>
      <c r="AB15" s="231"/>
      <c r="AC15" s="231"/>
      <c r="AD15" s="231"/>
      <c r="AE15" s="231"/>
      <c r="AF15" s="231"/>
      <c r="AG15" s="231"/>
    </row>
    <row r="16" spans="1:33" s="203" customFormat="1">
      <c r="A16" s="23"/>
      <c r="B16" s="360" t="s">
        <v>14</v>
      </c>
      <c r="C16" s="870" t="s">
        <v>15</v>
      </c>
      <c r="D16" s="870"/>
      <c r="E16" s="870"/>
      <c r="F16" s="871"/>
      <c r="G16" s="207"/>
      <c r="H16" s="21"/>
      <c r="I16" s="29"/>
      <c r="J16" s="15"/>
      <c r="K16" s="231"/>
      <c r="L16" s="231"/>
      <c r="M16" s="231"/>
      <c r="N16" s="231"/>
      <c r="O16" s="231"/>
      <c r="P16" s="231"/>
      <c r="Q16" s="231"/>
      <c r="R16" s="231"/>
      <c r="S16" s="231"/>
      <c r="T16" s="231"/>
      <c r="U16" s="231"/>
      <c r="V16" s="231"/>
      <c r="W16" s="231"/>
      <c r="X16" s="231"/>
      <c r="Y16" s="231"/>
      <c r="Z16" s="231"/>
      <c r="AA16" s="231"/>
      <c r="AB16" s="231"/>
      <c r="AC16" s="231"/>
      <c r="AD16" s="231"/>
      <c r="AE16" s="231"/>
      <c r="AF16" s="231"/>
      <c r="AG16" s="231"/>
    </row>
    <row r="17" spans="1:33" s="203" customFormat="1">
      <c r="A17" s="23"/>
      <c r="B17" s="360" t="s">
        <v>17</v>
      </c>
      <c r="C17" s="870" t="s">
        <v>18</v>
      </c>
      <c r="D17" s="870"/>
      <c r="E17" s="870"/>
      <c r="F17" s="871"/>
      <c r="G17" s="207"/>
      <c r="H17" s="21"/>
      <c r="I17" s="29"/>
      <c r="J17" s="15"/>
      <c r="K17" s="231"/>
      <c r="L17" s="231"/>
      <c r="M17" s="231"/>
      <c r="N17" s="231"/>
      <c r="O17" s="231"/>
      <c r="P17" s="231"/>
      <c r="Q17" s="231"/>
      <c r="R17" s="231"/>
      <c r="S17" s="231"/>
      <c r="T17" s="231"/>
      <c r="U17" s="231"/>
      <c r="V17" s="231"/>
      <c r="W17" s="231"/>
      <c r="X17" s="231"/>
      <c r="Y17" s="231"/>
      <c r="Z17" s="231"/>
      <c r="AA17" s="231"/>
      <c r="AB17" s="231"/>
      <c r="AC17" s="231"/>
      <c r="AD17" s="231"/>
      <c r="AE17" s="231"/>
      <c r="AF17" s="231"/>
      <c r="AG17" s="231"/>
    </row>
    <row r="18" spans="1:33" s="203" customFormat="1">
      <c r="A18" s="23"/>
      <c r="B18" s="360" t="s">
        <v>20</v>
      </c>
      <c r="C18" s="870" t="s">
        <v>21</v>
      </c>
      <c r="D18" s="870"/>
      <c r="E18" s="870"/>
      <c r="F18" s="871"/>
      <c r="G18" s="207"/>
      <c r="H18" s="21"/>
      <c r="I18" s="29"/>
      <c r="J18" s="15"/>
      <c r="K18" s="231"/>
      <c r="L18" s="231"/>
      <c r="M18" s="231"/>
      <c r="N18" s="231"/>
      <c r="O18" s="231"/>
      <c r="P18" s="231"/>
      <c r="Q18" s="231"/>
      <c r="R18" s="231"/>
      <c r="S18" s="231"/>
      <c r="T18" s="231"/>
      <c r="U18" s="231"/>
      <c r="V18" s="231"/>
      <c r="W18" s="231"/>
      <c r="X18" s="231"/>
      <c r="Y18" s="231"/>
      <c r="Z18" s="231"/>
      <c r="AA18" s="231"/>
      <c r="AB18" s="231"/>
      <c r="AC18" s="231"/>
      <c r="AD18" s="231"/>
      <c r="AE18" s="231"/>
      <c r="AF18" s="231"/>
      <c r="AG18" s="231"/>
    </row>
    <row r="19" spans="1:33" s="203" customFormat="1">
      <c r="A19" s="23"/>
      <c r="B19" s="361" t="s">
        <v>23</v>
      </c>
      <c r="C19" s="872" t="s">
        <v>24</v>
      </c>
      <c r="D19" s="872"/>
      <c r="E19" s="872"/>
      <c r="F19" s="873"/>
      <c r="G19" s="21"/>
      <c r="H19" s="21"/>
      <c r="I19" s="29"/>
      <c r="J19" s="14"/>
      <c r="K19" s="231"/>
      <c r="L19" s="231"/>
      <c r="M19" s="231"/>
      <c r="N19" s="231"/>
      <c r="O19" s="231"/>
      <c r="P19" s="231"/>
      <c r="Q19" s="231"/>
      <c r="R19" s="231"/>
      <c r="S19" s="231"/>
      <c r="T19" s="231"/>
      <c r="U19" s="231"/>
      <c r="V19" s="231"/>
      <c r="W19" s="231"/>
      <c r="X19" s="231"/>
      <c r="Y19" s="231"/>
      <c r="Z19" s="231"/>
      <c r="AA19" s="231"/>
      <c r="AB19" s="231"/>
      <c r="AC19" s="231"/>
      <c r="AD19" s="231"/>
      <c r="AE19" s="231"/>
      <c r="AF19" s="231"/>
      <c r="AG19" s="231"/>
    </row>
    <row r="20" spans="1:33" s="203" customFormat="1">
      <c r="A20" s="236"/>
      <c r="B20" s="206"/>
      <c r="C20" s="206"/>
      <c r="D20" s="206"/>
      <c r="E20" s="206"/>
      <c r="F20" s="206"/>
      <c r="G20" s="206"/>
      <c r="H20" s="206"/>
      <c r="I20" s="206"/>
      <c r="J20" s="14"/>
      <c r="K20" s="231"/>
      <c r="L20" s="231"/>
      <c r="M20" s="231"/>
      <c r="N20" s="231"/>
      <c r="O20" s="231"/>
      <c r="P20" s="231"/>
      <c r="Q20" s="231"/>
      <c r="R20" s="231"/>
      <c r="S20" s="231"/>
      <c r="T20" s="231"/>
      <c r="U20" s="231"/>
      <c r="V20" s="231"/>
      <c r="W20" s="231"/>
      <c r="X20" s="231"/>
      <c r="Y20" s="231"/>
      <c r="Z20" s="231"/>
      <c r="AA20" s="231"/>
      <c r="AB20" s="231"/>
      <c r="AC20" s="231"/>
      <c r="AD20" s="231"/>
      <c r="AE20" s="231"/>
      <c r="AF20" s="231"/>
      <c r="AG20" s="231"/>
    </row>
    <row r="21" spans="1:33" s="203" customFormat="1" ht="19.5">
      <c r="A21" s="30"/>
      <c r="B21" s="13"/>
      <c r="C21" s="13"/>
      <c r="D21" s="13"/>
      <c r="E21" s="13"/>
      <c r="F21" s="13"/>
      <c r="G21" s="13"/>
      <c r="H21" s="31" t="s">
        <v>27</v>
      </c>
      <c r="I21" s="237"/>
      <c r="J21" s="238"/>
      <c r="K21" s="231"/>
      <c r="L21" s="231"/>
      <c r="M21" s="231"/>
      <c r="N21" s="231"/>
      <c r="O21" s="231"/>
      <c r="P21" s="231"/>
      <c r="Q21" s="231"/>
      <c r="R21" s="231"/>
      <c r="S21" s="231"/>
      <c r="T21" s="231"/>
      <c r="U21" s="231"/>
      <c r="V21" s="231"/>
      <c r="W21" s="231"/>
      <c r="X21" s="231"/>
      <c r="Y21" s="231"/>
      <c r="Z21" s="231"/>
      <c r="AA21" s="231"/>
      <c r="AB21" s="231"/>
      <c r="AC21" s="231"/>
      <c r="AD21" s="231"/>
      <c r="AE21" s="231"/>
      <c r="AF21" s="231"/>
      <c r="AG21" s="231"/>
    </row>
    <row r="22" spans="1:33" s="203" customFormat="1" ht="18.75" customHeight="1">
      <c r="A22" s="32"/>
      <c r="B22" s="29"/>
      <c r="C22" s="29"/>
      <c r="D22" s="29"/>
      <c r="E22" s="29"/>
      <c r="F22" s="33">
        <v>1</v>
      </c>
      <c r="G22" s="34"/>
      <c r="H22" s="33">
        <v>2</v>
      </c>
      <c r="I22" s="34"/>
      <c r="J22" s="239"/>
      <c r="K22" s="231"/>
      <c r="L22" s="231"/>
      <c r="M22" s="231"/>
      <c r="N22" s="231"/>
      <c r="O22" s="231"/>
      <c r="P22" s="231"/>
      <c r="Q22" s="231"/>
      <c r="R22" s="231"/>
      <c r="S22" s="231"/>
      <c r="T22" s="231"/>
      <c r="U22" s="231"/>
      <c r="V22" s="231"/>
      <c r="W22" s="231"/>
      <c r="X22" s="231"/>
      <c r="Y22" s="231"/>
      <c r="Z22" s="231"/>
      <c r="AA22" s="231"/>
      <c r="AB22" s="231"/>
      <c r="AC22" s="231"/>
      <c r="AD22" s="231"/>
      <c r="AE22" s="231"/>
      <c r="AF22" s="231"/>
      <c r="AG22" s="231"/>
    </row>
    <row r="23" spans="1:33" s="203" customFormat="1" ht="21.95" customHeight="1">
      <c r="A23" s="874" t="s">
        <v>30</v>
      </c>
      <c r="B23" s="875"/>
      <c r="C23" s="875"/>
      <c r="D23" s="875"/>
      <c r="E23" s="878" t="s">
        <v>376</v>
      </c>
      <c r="F23" s="856" t="s">
        <v>407</v>
      </c>
      <c r="G23" s="36"/>
      <c r="H23" s="878" t="s">
        <v>406</v>
      </c>
      <c r="I23" s="36"/>
      <c r="J23" s="240"/>
      <c r="K23" s="231"/>
      <c r="L23" s="231"/>
      <c r="M23" s="231"/>
      <c r="N23" s="231"/>
      <c r="O23" s="231"/>
      <c r="P23" s="231"/>
      <c r="Q23" s="231"/>
      <c r="R23" s="231"/>
      <c r="S23" s="231"/>
      <c r="T23" s="231"/>
      <c r="U23" s="231"/>
      <c r="V23" s="231"/>
      <c r="W23" s="231"/>
      <c r="X23" s="231"/>
      <c r="Y23" s="231"/>
      <c r="Z23" s="231"/>
      <c r="AA23" s="231"/>
      <c r="AB23" s="231"/>
      <c r="AC23" s="231"/>
      <c r="AD23" s="231"/>
      <c r="AE23" s="231"/>
      <c r="AF23" s="231"/>
      <c r="AG23" s="231"/>
    </row>
    <row r="24" spans="1:33" s="203" customFormat="1" ht="21.95" customHeight="1">
      <c r="A24" s="876"/>
      <c r="B24" s="877"/>
      <c r="C24" s="877"/>
      <c r="D24" s="877"/>
      <c r="E24" s="879"/>
      <c r="F24" s="860"/>
      <c r="G24" s="23"/>
      <c r="H24" s="879"/>
      <c r="I24" s="36"/>
      <c r="J24" s="240"/>
      <c r="K24" s="231"/>
      <c r="L24" s="231"/>
      <c r="M24" s="231"/>
      <c r="N24" s="231"/>
      <c r="O24" s="231"/>
      <c r="P24" s="231"/>
      <c r="Q24" s="231"/>
      <c r="R24" s="231"/>
      <c r="S24" s="231"/>
      <c r="T24" s="231"/>
      <c r="U24" s="231"/>
      <c r="V24" s="231"/>
      <c r="W24" s="231"/>
      <c r="X24" s="231"/>
      <c r="Y24" s="231"/>
      <c r="Z24" s="231"/>
      <c r="AA24" s="231"/>
      <c r="AB24" s="231"/>
      <c r="AC24" s="231"/>
      <c r="AD24" s="231"/>
      <c r="AE24" s="231"/>
      <c r="AF24" s="231"/>
      <c r="AG24" s="231"/>
    </row>
    <row r="25" spans="1:33" s="203" customFormat="1" ht="21.95" customHeight="1">
      <c r="A25" s="898" t="s">
        <v>48</v>
      </c>
      <c r="B25" s="901" t="s">
        <v>49</v>
      </c>
      <c r="C25" s="901"/>
      <c r="D25" s="902"/>
      <c r="E25" s="907" t="s">
        <v>50</v>
      </c>
      <c r="F25" s="909" t="s">
        <v>51</v>
      </c>
      <c r="G25" s="34"/>
      <c r="H25" s="907" t="s">
        <v>50</v>
      </c>
      <c r="I25" s="36"/>
      <c r="J25" s="240"/>
      <c r="K25" s="231"/>
      <c r="L25" s="231"/>
      <c r="M25" s="231"/>
      <c r="N25" s="231"/>
      <c r="O25" s="231"/>
      <c r="P25" s="231"/>
      <c r="Q25" s="231"/>
      <c r="R25" s="231"/>
      <c r="S25" s="231"/>
      <c r="T25" s="231"/>
      <c r="U25" s="231"/>
      <c r="V25" s="231"/>
      <c r="W25" s="231"/>
      <c r="X25" s="231"/>
      <c r="Y25" s="231"/>
      <c r="Z25" s="231"/>
      <c r="AA25" s="231"/>
      <c r="AB25" s="231"/>
      <c r="AC25" s="231"/>
      <c r="AD25" s="231"/>
      <c r="AE25" s="231"/>
      <c r="AF25" s="231"/>
      <c r="AG25" s="231"/>
    </row>
    <row r="26" spans="1:33" s="203" customFormat="1" ht="21.95" customHeight="1">
      <c r="A26" s="899"/>
      <c r="B26" s="903"/>
      <c r="C26" s="903"/>
      <c r="D26" s="904"/>
      <c r="E26" s="908"/>
      <c r="F26" s="859"/>
      <c r="G26" s="34"/>
      <c r="H26" s="908"/>
      <c r="I26" s="36"/>
      <c r="J26" s="240"/>
      <c r="K26" s="231"/>
      <c r="L26" s="231"/>
      <c r="M26" s="231"/>
      <c r="N26" s="231"/>
      <c r="O26" s="231"/>
      <c r="P26" s="231"/>
      <c r="Q26" s="231"/>
      <c r="R26" s="231"/>
      <c r="S26" s="231"/>
      <c r="T26" s="231"/>
      <c r="U26" s="231"/>
      <c r="V26" s="231"/>
      <c r="W26" s="231"/>
      <c r="X26" s="231"/>
      <c r="Y26" s="231"/>
      <c r="Z26" s="231"/>
      <c r="AA26" s="231"/>
      <c r="AB26" s="231"/>
      <c r="AC26" s="231"/>
      <c r="AD26" s="231"/>
      <c r="AE26" s="231"/>
      <c r="AF26" s="231"/>
      <c r="AG26" s="231"/>
    </row>
    <row r="27" spans="1:33" s="203" customFormat="1" ht="21.95" customHeight="1">
      <c r="A27" s="900"/>
      <c r="B27" s="905"/>
      <c r="C27" s="905"/>
      <c r="D27" s="906"/>
      <c r="E27" s="879"/>
      <c r="F27" s="860"/>
      <c r="G27" s="34"/>
      <c r="H27" s="879"/>
      <c r="I27" s="36"/>
      <c r="J27" s="240"/>
      <c r="K27" s="231"/>
      <c r="L27" s="231"/>
      <c r="M27" s="231"/>
      <c r="N27" s="231"/>
      <c r="O27" s="231"/>
      <c r="P27" s="231"/>
      <c r="Q27" s="231"/>
      <c r="R27" s="231"/>
      <c r="S27" s="231"/>
      <c r="T27" s="231"/>
      <c r="U27" s="231"/>
      <c r="V27" s="231"/>
      <c r="W27" s="231"/>
      <c r="X27" s="231"/>
      <c r="Y27" s="231"/>
      <c r="Z27" s="231"/>
      <c r="AA27" s="231"/>
      <c r="AB27" s="231"/>
      <c r="AC27" s="231"/>
      <c r="AD27" s="231"/>
      <c r="AE27" s="231"/>
      <c r="AF27" s="231"/>
      <c r="AG27" s="231"/>
    </row>
    <row r="28" spans="1:33" s="203" customFormat="1">
      <c r="A28" s="38">
        <v>1</v>
      </c>
      <c r="B28" s="39" t="s">
        <v>52</v>
      </c>
      <c r="C28" s="39"/>
      <c r="D28" s="40"/>
      <c r="E28" s="41">
        <v>88101</v>
      </c>
      <c r="F28" s="42">
        <f>F77</f>
        <v>88065</v>
      </c>
      <c r="G28" s="43"/>
      <c r="H28" s="44">
        <f>H77</f>
        <v>96128</v>
      </c>
      <c r="I28" s="43"/>
      <c r="J28" s="86"/>
      <c r="K28" s="231"/>
      <c r="L28" s="231"/>
      <c r="M28" s="231"/>
      <c r="N28" s="231"/>
      <c r="O28" s="231"/>
      <c r="P28" s="231"/>
      <c r="Q28" s="231"/>
      <c r="R28" s="231"/>
      <c r="S28" s="231"/>
      <c r="T28" s="231"/>
      <c r="U28" s="231"/>
      <c r="V28" s="231"/>
      <c r="W28" s="231"/>
      <c r="X28" s="231"/>
      <c r="Y28" s="231"/>
      <c r="Z28" s="231"/>
      <c r="AA28" s="231"/>
      <c r="AB28" s="231"/>
      <c r="AC28" s="231"/>
      <c r="AD28" s="231"/>
      <c r="AE28" s="231"/>
      <c r="AF28" s="231"/>
      <c r="AG28" s="231"/>
    </row>
    <row r="29" spans="1:33" s="203" customFormat="1">
      <c r="A29" s="46">
        <v>2</v>
      </c>
      <c r="B29" s="47" t="s">
        <v>53</v>
      </c>
      <c r="C29" s="47"/>
      <c r="D29" s="48"/>
      <c r="E29" s="49">
        <v>58072</v>
      </c>
      <c r="F29" s="50">
        <f>F105</f>
        <v>59463</v>
      </c>
      <c r="G29" s="43"/>
      <c r="H29" s="51">
        <f>H105</f>
        <v>61995</v>
      </c>
      <c r="I29" s="43"/>
      <c r="J29" s="86"/>
      <c r="K29" s="231"/>
      <c r="L29" s="231"/>
      <c r="M29" s="231"/>
      <c r="N29" s="231"/>
      <c r="O29" s="231"/>
      <c r="P29" s="231"/>
      <c r="Q29" s="231"/>
      <c r="R29" s="231"/>
      <c r="S29" s="231"/>
      <c r="T29" s="231"/>
      <c r="U29" s="231"/>
      <c r="V29" s="231"/>
      <c r="W29" s="231"/>
      <c r="X29" s="231"/>
      <c r="Y29" s="231"/>
      <c r="Z29" s="231"/>
      <c r="AA29" s="231"/>
      <c r="AB29" s="231"/>
      <c r="AC29" s="231"/>
      <c r="AD29" s="231"/>
      <c r="AE29" s="231"/>
      <c r="AF29" s="231"/>
      <c r="AG29" s="231"/>
    </row>
    <row r="30" spans="1:33" s="203" customFormat="1">
      <c r="A30" s="46">
        <v>3</v>
      </c>
      <c r="B30" s="47" t="s">
        <v>54</v>
      </c>
      <c r="C30" s="47"/>
      <c r="D30" s="48"/>
      <c r="E30" s="49">
        <v>4645</v>
      </c>
      <c r="F30" s="50">
        <f>F180</f>
        <v>5133</v>
      </c>
      <c r="G30" s="43"/>
      <c r="H30" s="51">
        <f>H180</f>
        <v>3950</v>
      </c>
      <c r="I30" s="43"/>
      <c r="J30" s="86"/>
      <c r="K30" s="231"/>
      <c r="L30" s="231"/>
      <c r="M30" s="231"/>
      <c r="N30" s="231"/>
      <c r="O30" s="231"/>
      <c r="P30" s="231"/>
      <c r="Q30" s="231"/>
      <c r="R30" s="231"/>
      <c r="S30" s="231"/>
      <c r="T30" s="231"/>
      <c r="U30" s="231"/>
      <c r="V30" s="231"/>
      <c r="W30" s="231"/>
      <c r="X30" s="231"/>
      <c r="Y30" s="231"/>
      <c r="Z30" s="231"/>
      <c r="AA30" s="231"/>
      <c r="AB30" s="231"/>
      <c r="AC30" s="231"/>
      <c r="AD30" s="231"/>
      <c r="AE30" s="231"/>
      <c r="AF30" s="231"/>
      <c r="AG30" s="231"/>
    </row>
    <row r="31" spans="1:33" s="203" customFormat="1">
      <c r="A31" s="46">
        <v>4</v>
      </c>
      <c r="B31" s="47" t="s">
        <v>55</v>
      </c>
      <c r="C31" s="47"/>
      <c r="D31" s="48"/>
      <c r="E31" s="49">
        <v>10682</v>
      </c>
      <c r="F31" s="50">
        <f>F214</f>
        <v>11387</v>
      </c>
      <c r="G31" s="43"/>
      <c r="H31" s="51">
        <f>H214</f>
        <v>10198</v>
      </c>
      <c r="I31" s="43"/>
      <c r="J31" s="86"/>
      <c r="K31" s="231"/>
      <c r="L31" s="231"/>
      <c r="M31" s="231"/>
      <c r="N31" s="231"/>
      <c r="O31" s="231"/>
      <c r="P31" s="231"/>
      <c r="Q31" s="231"/>
      <c r="R31" s="231"/>
      <c r="S31" s="231"/>
      <c r="T31" s="231"/>
      <c r="U31" s="231"/>
      <c r="V31" s="231"/>
      <c r="W31" s="231"/>
      <c r="X31" s="231"/>
      <c r="Y31" s="231"/>
      <c r="Z31" s="231"/>
      <c r="AA31" s="231"/>
      <c r="AB31" s="231"/>
      <c r="AC31" s="231"/>
      <c r="AD31" s="231"/>
      <c r="AE31" s="231"/>
      <c r="AF31" s="231"/>
      <c r="AG31" s="231"/>
    </row>
    <row r="32" spans="1:33" s="203" customFormat="1">
      <c r="A32" s="46">
        <v>5</v>
      </c>
      <c r="B32" s="47" t="s">
        <v>56</v>
      </c>
      <c r="C32" s="47"/>
      <c r="D32" s="48"/>
      <c r="E32" s="49">
        <v>1475</v>
      </c>
      <c r="F32" s="50">
        <f>F231</f>
        <v>2109</v>
      </c>
      <c r="G32" s="43"/>
      <c r="H32" s="51">
        <f>H231</f>
        <v>2034</v>
      </c>
      <c r="I32" s="43"/>
      <c r="J32" s="86"/>
      <c r="K32" s="231"/>
      <c r="L32" s="231"/>
      <c r="M32" s="231"/>
      <c r="N32" s="231"/>
      <c r="O32" s="231"/>
      <c r="P32" s="231"/>
      <c r="Q32" s="231"/>
      <c r="R32" s="231"/>
      <c r="S32" s="231"/>
      <c r="T32" s="231"/>
      <c r="U32" s="231"/>
      <c r="V32" s="231"/>
      <c r="W32" s="231"/>
      <c r="X32" s="231"/>
      <c r="Y32" s="231"/>
      <c r="Z32" s="231"/>
      <c r="AA32" s="231"/>
      <c r="AB32" s="231"/>
      <c r="AC32" s="231"/>
      <c r="AD32" s="231"/>
      <c r="AE32" s="231"/>
      <c r="AF32" s="231"/>
      <c r="AG32" s="231"/>
    </row>
    <row r="33" spans="1:33" s="203" customFormat="1">
      <c r="A33" s="46">
        <v>6</v>
      </c>
      <c r="B33" s="47" t="s">
        <v>57</v>
      </c>
      <c r="C33" s="47"/>
      <c r="D33" s="48"/>
      <c r="E33" s="49">
        <v>7017</v>
      </c>
      <c r="F33" s="50">
        <f>F257</f>
        <v>7246</v>
      </c>
      <c r="G33" s="43"/>
      <c r="H33" s="51">
        <f>H257</f>
        <v>6382</v>
      </c>
      <c r="I33" s="43"/>
      <c r="J33" s="86"/>
      <c r="K33" s="231"/>
      <c r="L33" s="231"/>
      <c r="M33" s="231"/>
      <c r="N33" s="231"/>
      <c r="O33" s="231"/>
      <c r="P33" s="231"/>
      <c r="Q33" s="231"/>
      <c r="R33" s="231"/>
      <c r="S33" s="231"/>
      <c r="T33" s="231"/>
      <c r="U33" s="231"/>
      <c r="V33" s="231"/>
      <c r="W33" s="231"/>
      <c r="X33" s="231"/>
      <c r="Y33" s="231"/>
      <c r="Z33" s="231"/>
      <c r="AA33" s="231"/>
      <c r="AB33" s="231"/>
      <c r="AC33" s="231"/>
      <c r="AD33" s="231"/>
      <c r="AE33" s="231"/>
      <c r="AF33" s="231"/>
      <c r="AG33" s="231"/>
    </row>
    <row r="34" spans="1:33" s="203" customFormat="1">
      <c r="A34" s="46">
        <v>7</v>
      </c>
      <c r="B34" s="47" t="s">
        <v>58</v>
      </c>
      <c r="C34" s="47"/>
      <c r="D34" s="48"/>
      <c r="E34" s="49">
        <v>7674</v>
      </c>
      <c r="F34" s="50">
        <f>F277</f>
        <v>7734</v>
      </c>
      <c r="G34" s="43"/>
      <c r="H34" s="50">
        <f>H277</f>
        <v>7539</v>
      </c>
      <c r="I34" s="43"/>
      <c r="J34" s="86"/>
      <c r="K34" s="231"/>
      <c r="L34" s="231"/>
      <c r="M34" s="231"/>
      <c r="N34" s="231"/>
      <c r="O34" s="231"/>
      <c r="P34" s="231"/>
      <c r="Q34" s="231"/>
      <c r="R34" s="231"/>
      <c r="S34" s="231"/>
      <c r="T34" s="231"/>
      <c r="U34" s="231"/>
      <c r="V34" s="231"/>
      <c r="W34" s="231"/>
      <c r="X34" s="231"/>
      <c r="Y34" s="231"/>
      <c r="Z34" s="231"/>
      <c r="AA34" s="231"/>
      <c r="AB34" s="231"/>
      <c r="AC34" s="231"/>
      <c r="AD34" s="231"/>
      <c r="AE34" s="231"/>
      <c r="AF34" s="231"/>
      <c r="AG34" s="231"/>
    </row>
    <row r="35" spans="1:33" s="203" customFormat="1">
      <c r="A35" s="46">
        <v>8</v>
      </c>
      <c r="B35" s="47" t="s">
        <v>59</v>
      </c>
      <c r="C35" s="47"/>
      <c r="D35" s="48"/>
      <c r="E35" s="49">
        <v>5931</v>
      </c>
      <c r="F35" s="50">
        <f>F302</f>
        <v>7349</v>
      </c>
      <c r="G35" s="43"/>
      <c r="H35" s="50">
        <f>H302</f>
        <v>6522</v>
      </c>
      <c r="I35" s="21"/>
      <c r="J35" s="86"/>
      <c r="K35" s="231"/>
      <c r="L35" s="231"/>
      <c r="M35" s="231"/>
      <c r="N35" s="231"/>
      <c r="O35" s="231"/>
      <c r="P35" s="231"/>
      <c r="Q35" s="231"/>
      <c r="R35" s="231"/>
      <c r="S35" s="231"/>
      <c r="T35" s="231"/>
      <c r="U35" s="231"/>
      <c r="V35" s="231"/>
      <c r="W35" s="231"/>
      <c r="X35" s="231"/>
      <c r="Y35" s="231"/>
      <c r="Z35" s="231"/>
      <c r="AA35" s="231"/>
      <c r="AB35" s="231"/>
      <c r="AC35" s="231"/>
      <c r="AD35" s="231"/>
      <c r="AE35" s="231"/>
      <c r="AF35" s="231"/>
      <c r="AG35" s="231"/>
    </row>
    <row r="36" spans="1:33" s="203" customFormat="1">
      <c r="A36" s="46">
        <v>9</v>
      </c>
      <c r="B36" s="47" t="s">
        <v>60</v>
      </c>
      <c r="C36" s="47"/>
      <c r="D36" s="48"/>
      <c r="E36" s="49">
        <v>279</v>
      </c>
      <c r="F36" s="52">
        <v>181</v>
      </c>
      <c r="G36" s="43"/>
      <c r="H36" s="52">
        <v>153</v>
      </c>
      <c r="I36" s="21"/>
      <c r="J36" s="86"/>
      <c r="K36" s="231"/>
      <c r="L36" s="231"/>
      <c r="M36" s="231"/>
      <c r="N36" s="231"/>
      <c r="O36" s="231"/>
      <c r="P36" s="231"/>
      <c r="Q36" s="231"/>
      <c r="R36" s="231"/>
      <c r="S36" s="231"/>
      <c r="T36" s="231"/>
      <c r="U36" s="231"/>
      <c r="V36" s="231"/>
      <c r="W36" s="231"/>
      <c r="X36" s="231"/>
      <c r="Y36" s="231"/>
      <c r="Z36" s="231"/>
      <c r="AA36" s="231"/>
      <c r="AB36" s="231"/>
      <c r="AC36" s="231"/>
      <c r="AD36" s="231"/>
      <c r="AE36" s="231"/>
      <c r="AF36" s="231"/>
      <c r="AG36" s="231"/>
    </row>
    <row r="37" spans="1:33" s="203" customFormat="1">
      <c r="A37" s="53">
        <v>10</v>
      </c>
      <c r="B37" s="54" t="s">
        <v>61</v>
      </c>
      <c r="C37" s="54"/>
      <c r="D37" s="55"/>
      <c r="E37" s="56">
        <v>18345</v>
      </c>
      <c r="F37" s="57">
        <f>F320</f>
        <v>20017</v>
      </c>
      <c r="G37" s="43"/>
      <c r="H37" s="57">
        <f>H320</f>
        <v>19358</v>
      </c>
      <c r="I37" s="21"/>
      <c r="J37" s="86"/>
      <c r="K37" s="231"/>
      <c r="L37" s="231"/>
      <c r="M37" s="231"/>
      <c r="N37" s="231"/>
      <c r="O37" s="231"/>
      <c r="P37" s="231"/>
      <c r="Q37" s="231"/>
      <c r="R37" s="231"/>
      <c r="S37" s="231"/>
      <c r="T37" s="231"/>
      <c r="U37" s="231"/>
      <c r="V37" s="231"/>
      <c r="W37" s="231"/>
      <c r="X37" s="231"/>
      <c r="Y37" s="231"/>
      <c r="Z37" s="231"/>
      <c r="AA37" s="231"/>
      <c r="AB37" s="231"/>
      <c r="AC37" s="231"/>
      <c r="AD37" s="231"/>
      <c r="AE37" s="231"/>
      <c r="AF37" s="231"/>
      <c r="AG37" s="231"/>
    </row>
    <row r="38" spans="1:33" s="203" customFormat="1">
      <c r="A38" s="33">
        <v>11</v>
      </c>
      <c r="B38" s="58" t="s">
        <v>62</v>
      </c>
      <c r="C38" s="58"/>
      <c r="D38" s="59"/>
      <c r="E38" s="60">
        <v>202221</v>
      </c>
      <c r="F38" s="61">
        <f>SUM(F28:F37)</f>
        <v>208684</v>
      </c>
      <c r="G38" s="43"/>
      <c r="H38" s="61">
        <f>SUM(H28:H37)</f>
        <v>214259</v>
      </c>
      <c r="I38" s="68"/>
      <c r="J38" s="240"/>
      <c r="K38" s="231"/>
      <c r="L38" s="231"/>
      <c r="M38" s="231"/>
      <c r="N38" s="231"/>
      <c r="O38" s="231"/>
      <c r="P38" s="231"/>
      <c r="Q38" s="231"/>
      <c r="R38" s="231"/>
      <c r="S38" s="231"/>
      <c r="T38" s="231"/>
      <c r="U38" s="231"/>
      <c r="V38" s="231"/>
      <c r="W38" s="231"/>
      <c r="X38" s="231"/>
      <c r="Y38" s="231"/>
      <c r="Z38" s="231"/>
      <c r="AA38" s="231"/>
      <c r="AB38" s="231"/>
      <c r="AC38" s="231"/>
      <c r="AD38" s="231"/>
      <c r="AE38" s="231"/>
      <c r="AF38" s="231"/>
      <c r="AG38" s="231"/>
    </row>
    <row r="39" spans="1:33" s="203" customFormat="1" ht="12.75" customHeight="1">
      <c r="A39" s="63"/>
      <c r="B39" s="64"/>
      <c r="C39" s="64"/>
      <c r="D39" s="65"/>
      <c r="E39" s="66"/>
      <c r="F39" s="67"/>
      <c r="G39" s="21"/>
      <c r="H39" s="67"/>
      <c r="I39" s="68"/>
      <c r="J39" s="240"/>
      <c r="K39" s="231"/>
      <c r="L39" s="231"/>
      <c r="M39" s="231"/>
      <c r="N39" s="231"/>
      <c r="O39" s="231"/>
      <c r="P39" s="231"/>
      <c r="Q39" s="231"/>
      <c r="R39" s="231"/>
      <c r="S39" s="231"/>
      <c r="T39" s="231"/>
      <c r="U39" s="231"/>
      <c r="V39" s="231"/>
      <c r="W39" s="231"/>
      <c r="X39" s="231"/>
      <c r="Y39" s="231"/>
      <c r="Z39" s="231"/>
      <c r="AA39" s="231"/>
      <c r="AB39" s="231"/>
      <c r="AC39" s="231"/>
      <c r="AD39" s="231"/>
      <c r="AE39" s="231"/>
      <c r="AF39" s="231"/>
      <c r="AG39" s="231"/>
    </row>
    <row r="40" spans="1:33" s="203" customFormat="1" ht="12.75" customHeight="1">
      <c r="A40" s="893" t="s">
        <v>63</v>
      </c>
      <c r="B40" s="894"/>
      <c r="C40" s="894"/>
      <c r="D40" s="895"/>
      <c r="E40" s="878" t="s">
        <v>376</v>
      </c>
      <c r="F40" s="856" t="s">
        <v>407</v>
      </c>
      <c r="G40" s="36"/>
      <c r="H40" s="878" t="s">
        <v>406</v>
      </c>
      <c r="I40" s="43"/>
      <c r="J40" s="86"/>
      <c r="K40" s="231"/>
      <c r="L40" s="231"/>
      <c r="M40" s="231"/>
      <c r="N40" s="231"/>
      <c r="O40" s="231"/>
      <c r="P40" s="231"/>
      <c r="Q40" s="231"/>
      <c r="R40" s="231"/>
      <c r="S40" s="231"/>
      <c r="T40" s="231"/>
      <c r="U40" s="231"/>
      <c r="V40" s="231"/>
      <c r="W40" s="231"/>
      <c r="X40" s="231"/>
      <c r="Y40" s="231"/>
      <c r="Z40" s="231"/>
      <c r="AA40" s="231"/>
      <c r="AB40" s="231"/>
      <c r="AC40" s="231"/>
      <c r="AD40" s="231"/>
      <c r="AE40" s="231"/>
      <c r="AF40" s="231"/>
      <c r="AG40" s="231"/>
    </row>
    <row r="41" spans="1:33" s="203" customFormat="1" ht="27.75" customHeight="1">
      <c r="A41" s="876"/>
      <c r="B41" s="877"/>
      <c r="C41" s="877"/>
      <c r="D41" s="896"/>
      <c r="E41" s="879"/>
      <c r="F41" s="860"/>
      <c r="G41" s="23"/>
      <c r="H41" s="879"/>
      <c r="I41" s="43"/>
      <c r="J41" s="86"/>
      <c r="K41" s="231"/>
      <c r="L41" s="231"/>
      <c r="M41" s="231"/>
      <c r="N41" s="231"/>
      <c r="O41" s="231"/>
      <c r="P41" s="231"/>
      <c r="Q41" s="231"/>
      <c r="R41" s="231"/>
      <c r="S41" s="231"/>
      <c r="T41" s="231"/>
      <c r="U41" s="231"/>
      <c r="V41" s="231"/>
      <c r="W41" s="231"/>
      <c r="X41" s="231"/>
      <c r="Y41" s="231"/>
      <c r="Z41" s="231"/>
      <c r="AA41" s="231"/>
      <c r="AB41" s="231"/>
      <c r="AC41" s="231"/>
      <c r="AD41" s="231"/>
      <c r="AE41" s="231"/>
      <c r="AF41" s="231"/>
      <c r="AG41" s="231"/>
    </row>
    <row r="42" spans="1:33" s="203" customFormat="1">
      <c r="A42" s="432" t="s">
        <v>64</v>
      </c>
      <c r="B42" s="69" t="s">
        <v>65</v>
      </c>
      <c r="C42" s="69"/>
      <c r="D42" s="70"/>
      <c r="E42" s="71"/>
      <c r="F42" s="72" t="str">
        <f>IF(OR(F43&lt;0,F44&lt;0,F47&lt;0,F48&lt;0,H43&lt;0,H44&lt;0,H47&lt;0,H48&lt;0),"Funding should be recorded as positive figures",".")</f>
        <v>.</v>
      </c>
      <c r="G42" s="45"/>
      <c r="H42" s="73"/>
      <c r="I42" s="43"/>
      <c r="J42" s="86"/>
      <c r="K42" s="231"/>
      <c r="L42" s="231"/>
      <c r="M42" s="231"/>
      <c r="N42" s="231"/>
      <c r="O42" s="231"/>
      <c r="P42" s="231"/>
      <c r="Q42" s="231"/>
      <c r="R42" s="231"/>
      <c r="S42" s="231"/>
      <c r="T42" s="231"/>
      <c r="U42" s="231"/>
      <c r="V42" s="231"/>
      <c r="W42" s="231"/>
      <c r="X42" s="231"/>
      <c r="Y42" s="231"/>
      <c r="Z42" s="231"/>
      <c r="AA42" s="231"/>
      <c r="AB42" s="231"/>
      <c r="AC42" s="231"/>
      <c r="AD42" s="231"/>
      <c r="AE42" s="231"/>
      <c r="AF42" s="231"/>
      <c r="AG42" s="231"/>
    </row>
    <row r="43" spans="1:33" s="203" customFormat="1">
      <c r="A43" s="46">
        <v>1</v>
      </c>
      <c r="B43" s="47" t="s">
        <v>66</v>
      </c>
      <c r="C43" s="47"/>
      <c r="D43" s="48"/>
      <c r="E43" s="74">
        <v>114728</v>
      </c>
      <c r="F43" s="241">
        <v>117593.99999999994</v>
      </c>
      <c r="G43" s="45"/>
      <c r="H43" s="75">
        <f>109493+2777+1403+2196</f>
        <v>115869</v>
      </c>
      <c r="I43" s="43"/>
      <c r="J43" s="86"/>
      <c r="K43" s="231"/>
      <c r="L43" s="231"/>
      <c r="M43" s="231"/>
      <c r="N43" s="231"/>
      <c r="O43" s="231"/>
      <c r="P43" s="231"/>
      <c r="Q43" s="231"/>
      <c r="R43" s="231"/>
      <c r="S43" s="231"/>
      <c r="T43" s="231"/>
      <c r="U43" s="231"/>
      <c r="V43" s="231"/>
      <c r="W43" s="231"/>
      <c r="X43" s="231"/>
      <c r="Y43" s="231"/>
      <c r="Z43" s="231"/>
      <c r="AA43" s="231"/>
      <c r="AB43" s="231"/>
      <c r="AC43" s="231"/>
      <c r="AD43" s="231"/>
      <c r="AE43" s="231"/>
      <c r="AF43" s="231"/>
      <c r="AG43" s="231"/>
    </row>
    <row r="44" spans="1:33" s="203" customFormat="1">
      <c r="A44" s="46">
        <v>2</v>
      </c>
      <c r="B44" s="47" t="s">
        <v>67</v>
      </c>
      <c r="C44" s="47"/>
      <c r="D44" s="48"/>
      <c r="E44" s="49">
        <v>40151</v>
      </c>
      <c r="F44" s="241">
        <v>40151</v>
      </c>
      <c r="G44" s="45"/>
      <c r="H44" s="75">
        <v>43563</v>
      </c>
      <c r="I44" s="43"/>
      <c r="J44" s="86"/>
      <c r="K44" s="231"/>
      <c r="L44" s="231"/>
      <c r="M44" s="231"/>
      <c r="N44" s="231"/>
      <c r="O44" s="231"/>
      <c r="P44" s="231"/>
      <c r="Q44" s="231"/>
      <c r="R44" s="231"/>
      <c r="S44" s="231"/>
      <c r="T44" s="231"/>
      <c r="U44" s="231"/>
      <c r="V44" s="231"/>
      <c r="W44" s="231"/>
      <c r="X44" s="231"/>
      <c r="Y44" s="231"/>
      <c r="Z44" s="231"/>
      <c r="AA44" s="231"/>
      <c r="AB44" s="231"/>
      <c r="AC44" s="231"/>
      <c r="AD44" s="231"/>
      <c r="AE44" s="231"/>
      <c r="AF44" s="231"/>
      <c r="AG44" s="231"/>
    </row>
    <row r="45" spans="1:33" s="203" customFormat="1">
      <c r="A45" s="46">
        <v>3</v>
      </c>
      <c r="B45" s="47" t="s">
        <v>68</v>
      </c>
      <c r="C45" s="47"/>
      <c r="D45" s="48"/>
      <c r="E45" s="49">
        <v>0</v>
      </c>
      <c r="F45" s="52"/>
      <c r="G45" s="45"/>
      <c r="H45" s="75"/>
      <c r="I45" s="43"/>
      <c r="J45" s="86"/>
      <c r="K45" s="231"/>
      <c r="L45" s="231"/>
      <c r="M45" s="231"/>
      <c r="N45" s="231"/>
      <c r="O45" s="231"/>
      <c r="P45" s="231"/>
      <c r="Q45" s="231"/>
      <c r="R45" s="231"/>
      <c r="S45" s="231"/>
      <c r="T45" s="231"/>
      <c r="U45" s="231"/>
      <c r="V45" s="231"/>
      <c r="W45" s="231"/>
      <c r="X45" s="231"/>
      <c r="Y45" s="231"/>
      <c r="Z45" s="231"/>
      <c r="AA45" s="231"/>
      <c r="AB45" s="231"/>
      <c r="AC45" s="231"/>
      <c r="AD45" s="231"/>
      <c r="AE45" s="231"/>
      <c r="AF45" s="231"/>
      <c r="AG45" s="231"/>
    </row>
    <row r="46" spans="1:33" s="203" customFormat="1">
      <c r="A46" s="46">
        <v>4</v>
      </c>
      <c r="B46" s="47" t="s">
        <v>70</v>
      </c>
      <c r="C46" s="47"/>
      <c r="D46" s="48"/>
      <c r="E46" s="49">
        <v>0</v>
      </c>
      <c r="F46" s="52"/>
      <c r="G46" s="45"/>
      <c r="H46" s="75"/>
      <c r="I46" s="43"/>
      <c r="J46" s="86"/>
      <c r="K46" s="231"/>
      <c r="L46" s="231"/>
      <c r="M46" s="231"/>
      <c r="N46" s="231"/>
      <c r="O46" s="231"/>
      <c r="P46" s="231"/>
      <c r="Q46" s="231"/>
      <c r="R46" s="231"/>
      <c r="S46" s="231"/>
      <c r="T46" s="231"/>
      <c r="U46" s="231"/>
      <c r="V46" s="231"/>
      <c r="W46" s="231"/>
      <c r="X46" s="231"/>
      <c r="Y46" s="231"/>
      <c r="Z46" s="231"/>
      <c r="AA46" s="231"/>
      <c r="AB46" s="231"/>
      <c r="AC46" s="231"/>
      <c r="AD46" s="231"/>
      <c r="AE46" s="231"/>
      <c r="AF46" s="231"/>
      <c r="AG46" s="231"/>
    </row>
    <row r="47" spans="1:33" s="203" customFormat="1">
      <c r="A47" s="46">
        <v>5</v>
      </c>
      <c r="B47" s="47" t="s">
        <v>69</v>
      </c>
      <c r="C47" s="47"/>
      <c r="D47" s="48"/>
      <c r="E47" s="49">
        <v>3116</v>
      </c>
      <c r="F47" s="52">
        <v>3116</v>
      </c>
      <c r="G47" s="45"/>
      <c r="H47" s="76">
        <v>8109</v>
      </c>
      <c r="I47" s="43"/>
      <c r="J47" s="86"/>
      <c r="K47" s="231"/>
      <c r="L47" s="231"/>
      <c r="M47" s="231"/>
      <c r="N47" s="231"/>
      <c r="O47" s="231"/>
      <c r="P47" s="231"/>
      <c r="Q47" s="231"/>
      <c r="R47" s="231"/>
      <c r="S47" s="231"/>
      <c r="T47" s="231"/>
      <c r="U47" s="231"/>
      <c r="V47" s="231"/>
      <c r="W47" s="231"/>
      <c r="X47" s="231"/>
      <c r="Y47" s="231"/>
      <c r="Z47" s="231"/>
      <c r="AA47" s="231"/>
      <c r="AB47" s="231"/>
      <c r="AC47" s="231"/>
      <c r="AD47" s="231"/>
      <c r="AE47" s="231"/>
      <c r="AF47" s="231"/>
      <c r="AG47" s="231"/>
    </row>
    <row r="48" spans="1:33" s="203" customFormat="1">
      <c r="A48" s="46">
        <v>6</v>
      </c>
      <c r="B48" s="90" t="s">
        <v>253</v>
      </c>
      <c r="C48" s="47"/>
      <c r="D48" s="195"/>
      <c r="E48" s="49">
        <v>39500</v>
      </c>
      <c r="F48" s="52">
        <v>39555</v>
      </c>
      <c r="G48" s="45"/>
      <c r="H48" s="52">
        <v>41530</v>
      </c>
      <c r="I48" s="43"/>
      <c r="J48" s="86"/>
      <c r="K48" s="231"/>
      <c r="L48" s="231"/>
      <c r="M48" s="231"/>
      <c r="N48" s="231"/>
      <c r="O48" s="231"/>
      <c r="P48" s="231"/>
      <c r="Q48" s="231"/>
      <c r="R48" s="231"/>
      <c r="S48" s="231"/>
      <c r="T48" s="231"/>
      <c r="U48" s="231"/>
      <c r="V48" s="231"/>
      <c r="W48" s="231"/>
      <c r="X48" s="231"/>
      <c r="Y48" s="231"/>
      <c r="Z48" s="231"/>
      <c r="AA48" s="231"/>
      <c r="AB48" s="231"/>
      <c r="AC48" s="231"/>
      <c r="AD48" s="231"/>
      <c r="AE48" s="231"/>
      <c r="AF48" s="231"/>
      <c r="AG48" s="231"/>
    </row>
    <row r="49" spans="1:33" s="203" customFormat="1">
      <c r="A49" s="77">
        <v>7</v>
      </c>
      <c r="B49" s="78" t="s">
        <v>71</v>
      </c>
      <c r="C49" s="58"/>
      <c r="D49" s="79"/>
      <c r="E49" s="80">
        <v>197495</v>
      </c>
      <c r="F49" s="81">
        <f>SUM(F43:F48)</f>
        <v>200415.99999999994</v>
      </c>
      <c r="G49" s="82"/>
      <c r="H49" s="62">
        <f>SUM(H43:H48)</f>
        <v>209071</v>
      </c>
      <c r="I49" s="242"/>
      <c r="J49" s="243"/>
      <c r="K49" s="231"/>
      <c r="L49" s="231"/>
      <c r="M49" s="231"/>
      <c r="N49" s="231"/>
      <c r="O49" s="231"/>
      <c r="P49" s="231"/>
      <c r="Q49" s="231"/>
      <c r="R49" s="231"/>
      <c r="S49" s="231"/>
      <c r="T49" s="231"/>
      <c r="U49" s="231"/>
      <c r="V49" s="231"/>
      <c r="W49" s="231"/>
      <c r="X49" s="231"/>
      <c r="Y49" s="231"/>
      <c r="Z49" s="231"/>
      <c r="AA49" s="231"/>
      <c r="AB49" s="231"/>
      <c r="AC49" s="231"/>
      <c r="AD49" s="231"/>
      <c r="AE49" s="231"/>
      <c r="AF49" s="231"/>
      <c r="AG49" s="231"/>
    </row>
    <row r="50" spans="1:33" s="203" customFormat="1">
      <c r="A50" s="83"/>
      <c r="B50" s="244"/>
      <c r="C50" s="244"/>
      <c r="D50" s="244"/>
      <c r="E50" s="85"/>
      <c r="F50" s="244"/>
      <c r="G50" s="86"/>
      <c r="H50" s="86"/>
      <c r="I50" s="21"/>
      <c r="J50" s="86"/>
      <c r="K50" s="231"/>
      <c r="L50" s="231"/>
      <c r="M50" s="231"/>
      <c r="N50" s="231"/>
      <c r="O50" s="231"/>
      <c r="P50" s="231"/>
      <c r="Q50" s="231"/>
      <c r="R50" s="231"/>
      <c r="S50" s="231"/>
      <c r="T50" s="231"/>
      <c r="U50" s="231"/>
      <c r="V50" s="231"/>
      <c r="W50" s="231"/>
      <c r="X50" s="231"/>
      <c r="Y50" s="231"/>
      <c r="Z50" s="231"/>
      <c r="AA50" s="231"/>
      <c r="AB50" s="231"/>
      <c r="AC50" s="231"/>
      <c r="AD50" s="231"/>
      <c r="AE50" s="231"/>
      <c r="AF50" s="231"/>
      <c r="AG50" s="231"/>
    </row>
    <row r="51" spans="1:33" s="203" customFormat="1">
      <c r="A51" s="432" t="s">
        <v>72</v>
      </c>
      <c r="B51" s="196" t="s">
        <v>254</v>
      </c>
      <c r="C51" s="69"/>
      <c r="D51" s="70"/>
      <c r="E51" s="87"/>
      <c r="F51" s="88"/>
      <c r="G51" s="45"/>
      <c r="H51" s="89"/>
      <c r="I51" s="43"/>
      <c r="J51" s="86"/>
      <c r="K51" s="231"/>
      <c r="L51" s="231"/>
      <c r="M51" s="231"/>
      <c r="N51" s="231"/>
      <c r="O51" s="231"/>
      <c r="P51" s="231"/>
      <c r="Q51" s="231"/>
      <c r="R51" s="231"/>
      <c r="S51" s="231"/>
      <c r="T51" s="231"/>
      <c r="U51" s="231"/>
      <c r="V51" s="231"/>
      <c r="W51" s="231"/>
      <c r="X51" s="231"/>
      <c r="Y51" s="231"/>
      <c r="Z51" s="231"/>
      <c r="AA51" s="231"/>
      <c r="AB51" s="231"/>
      <c r="AC51" s="231"/>
      <c r="AD51" s="231"/>
      <c r="AE51" s="231"/>
      <c r="AF51" s="231"/>
      <c r="AG51" s="231"/>
    </row>
    <row r="52" spans="1:33" s="203" customFormat="1">
      <c r="A52" s="46">
        <v>8</v>
      </c>
      <c r="B52" s="90" t="s">
        <v>73</v>
      </c>
      <c r="C52" s="47"/>
      <c r="D52" s="48"/>
      <c r="E52" s="74">
        <v>202221</v>
      </c>
      <c r="F52" s="50">
        <f>F38</f>
        <v>208684</v>
      </c>
      <c r="G52" s="45"/>
      <c r="H52" s="91">
        <f>H38</f>
        <v>214259</v>
      </c>
      <c r="I52" s="43"/>
      <c r="J52" s="86"/>
      <c r="K52" s="231"/>
      <c r="L52" s="231"/>
      <c r="M52" s="231"/>
      <c r="N52" s="231"/>
      <c r="O52" s="231"/>
      <c r="P52" s="231"/>
      <c r="Q52" s="231"/>
      <c r="R52" s="231"/>
      <c r="S52" s="231"/>
      <c r="T52" s="231"/>
      <c r="U52" s="231"/>
      <c r="V52" s="231"/>
      <c r="W52" s="231"/>
      <c r="X52" s="231"/>
      <c r="Y52" s="231"/>
      <c r="Z52" s="231"/>
      <c r="AA52" s="231"/>
      <c r="AB52" s="231"/>
      <c r="AC52" s="231"/>
      <c r="AD52" s="231"/>
      <c r="AE52" s="231"/>
      <c r="AF52" s="231"/>
      <c r="AG52" s="231"/>
    </row>
    <row r="53" spans="1:33" s="203" customFormat="1">
      <c r="A53" s="46">
        <v>9</v>
      </c>
      <c r="B53" s="90" t="s">
        <v>74</v>
      </c>
      <c r="C53" s="47"/>
      <c r="D53" s="48"/>
      <c r="E53" s="49">
        <v>197495</v>
      </c>
      <c r="F53" s="92">
        <f>F49</f>
        <v>200415.99999999994</v>
      </c>
      <c r="G53" s="45"/>
      <c r="H53" s="91">
        <f>H49</f>
        <v>209071</v>
      </c>
      <c r="I53" s="43"/>
      <c r="J53" s="86"/>
      <c r="K53" s="231"/>
      <c r="L53" s="231"/>
      <c r="M53" s="231"/>
      <c r="N53" s="231"/>
      <c r="O53" s="231"/>
      <c r="P53" s="231"/>
      <c r="Q53" s="231"/>
      <c r="R53" s="231"/>
      <c r="S53" s="231"/>
      <c r="T53" s="231"/>
      <c r="U53" s="231"/>
      <c r="V53" s="231"/>
      <c r="W53" s="231"/>
      <c r="X53" s="231"/>
      <c r="Y53" s="231"/>
      <c r="Z53" s="231"/>
      <c r="AA53" s="231"/>
      <c r="AB53" s="231"/>
      <c r="AC53" s="231"/>
      <c r="AD53" s="231"/>
      <c r="AE53" s="231"/>
      <c r="AF53" s="231"/>
      <c r="AG53" s="231"/>
    </row>
    <row r="54" spans="1:33" s="203" customFormat="1">
      <c r="A54" s="434">
        <v>10</v>
      </c>
      <c r="B54" s="93" t="s">
        <v>255</v>
      </c>
      <c r="C54" s="94"/>
      <c r="D54" s="55"/>
      <c r="E54" s="95">
        <v>-4726</v>
      </c>
      <c r="F54" s="96">
        <f>F53-F52</f>
        <v>-8268.0000000000582</v>
      </c>
      <c r="G54" s="45"/>
      <c r="H54" s="97">
        <f>H53-H52</f>
        <v>-5188</v>
      </c>
      <c r="I54" s="43"/>
      <c r="J54" s="86"/>
      <c r="K54" s="231"/>
      <c r="L54" s="231"/>
      <c r="M54" s="231"/>
      <c r="N54" s="231"/>
      <c r="O54" s="231"/>
      <c r="P54" s="231"/>
      <c r="Q54" s="231"/>
      <c r="R54" s="231"/>
      <c r="S54" s="231"/>
      <c r="T54" s="231"/>
      <c r="U54" s="231"/>
      <c r="V54" s="231"/>
      <c r="W54" s="231"/>
      <c r="X54" s="231"/>
      <c r="Y54" s="231"/>
      <c r="Z54" s="231"/>
      <c r="AA54" s="231"/>
      <c r="AB54" s="231"/>
      <c r="AC54" s="231"/>
      <c r="AD54" s="231"/>
      <c r="AE54" s="231"/>
      <c r="AF54" s="231"/>
      <c r="AG54" s="231"/>
    </row>
    <row r="55" spans="1:33" s="203" customFormat="1">
      <c r="A55" s="83"/>
      <c r="B55" s="244"/>
      <c r="C55" s="244"/>
      <c r="D55" s="244"/>
      <c r="E55" s="85"/>
      <c r="F55" s="244"/>
      <c r="G55" s="86"/>
      <c r="H55" s="86"/>
      <c r="I55" s="21"/>
      <c r="J55" s="86"/>
      <c r="K55" s="231"/>
      <c r="L55" s="231"/>
      <c r="M55" s="231"/>
      <c r="N55" s="231"/>
      <c r="O55" s="231"/>
      <c r="P55" s="231"/>
      <c r="Q55" s="231"/>
      <c r="R55" s="231"/>
      <c r="S55" s="231"/>
      <c r="T55" s="231"/>
      <c r="U55" s="231"/>
      <c r="V55" s="231"/>
      <c r="W55" s="231"/>
      <c r="X55" s="231"/>
      <c r="Y55" s="231"/>
      <c r="Z55" s="231"/>
      <c r="AA55" s="231"/>
      <c r="AB55" s="231"/>
      <c r="AC55" s="231"/>
      <c r="AD55" s="231"/>
      <c r="AE55" s="231"/>
      <c r="AF55" s="231"/>
      <c r="AG55" s="231"/>
    </row>
    <row r="56" spans="1:33" s="203" customFormat="1">
      <c r="A56" s="432" t="s">
        <v>75</v>
      </c>
      <c r="B56" s="69" t="s">
        <v>256</v>
      </c>
      <c r="C56" s="69"/>
      <c r="D56" s="70"/>
      <c r="E56" s="87"/>
      <c r="F56" s="88"/>
      <c r="G56" s="45"/>
      <c r="H56" s="89"/>
      <c r="I56" s="43"/>
      <c r="J56" s="86"/>
      <c r="K56" s="231"/>
      <c r="L56" s="231"/>
      <c r="M56" s="231"/>
      <c r="N56" s="231"/>
      <c r="O56" s="231"/>
      <c r="P56" s="231"/>
      <c r="Q56" s="231"/>
      <c r="R56" s="231"/>
      <c r="S56" s="231"/>
      <c r="T56" s="231"/>
      <c r="U56" s="231"/>
      <c r="V56" s="231"/>
      <c r="W56" s="231"/>
      <c r="X56" s="231"/>
      <c r="Y56" s="231"/>
      <c r="Z56" s="231"/>
      <c r="AA56" s="231"/>
      <c r="AB56" s="231"/>
      <c r="AC56" s="231"/>
      <c r="AD56" s="231"/>
      <c r="AE56" s="231"/>
      <c r="AF56" s="231"/>
      <c r="AG56" s="231"/>
    </row>
    <row r="57" spans="1:33" s="203" customFormat="1">
      <c r="A57" s="46">
        <v>11</v>
      </c>
      <c r="B57" s="47" t="s">
        <v>76</v>
      </c>
      <c r="C57" s="47"/>
      <c r="D57" s="48"/>
      <c r="E57" s="74">
        <v>14997</v>
      </c>
      <c r="F57" s="52">
        <v>17095</v>
      </c>
      <c r="G57" s="45"/>
      <c r="H57" s="91">
        <f>F61</f>
        <v>8826.9999999999418</v>
      </c>
      <c r="I57" s="43"/>
      <c r="J57" s="86"/>
      <c r="K57" s="231"/>
      <c r="L57" s="231"/>
      <c r="M57" s="231"/>
      <c r="N57" s="231"/>
      <c r="O57" s="231"/>
      <c r="P57" s="231"/>
      <c r="Q57" s="231"/>
      <c r="R57" s="231"/>
      <c r="S57" s="231"/>
      <c r="T57" s="231"/>
      <c r="U57" s="231"/>
      <c r="V57" s="231"/>
      <c r="W57" s="231"/>
      <c r="X57" s="231"/>
      <c r="Y57" s="231"/>
      <c r="Z57" s="231"/>
      <c r="AA57" s="231"/>
      <c r="AB57" s="231"/>
      <c r="AC57" s="231"/>
      <c r="AD57" s="231"/>
      <c r="AE57" s="231"/>
      <c r="AF57" s="231"/>
      <c r="AG57" s="231"/>
    </row>
    <row r="58" spans="1:33" s="203" customFormat="1">
      <c r="A58" s="46">
        <v>12</v>
      </c>
      <c r="B58" s="90" t="s">
        <v>257</v>
      </c>
      <c r="C58" s="47"/>
      <c r="D58" s="48"/>
      <c r="E58" s="49">
        <v>-4726</v>
      </c>
      <c r="F58" s="92">
        <f>F54</f>
        <v>-8268.0000000000582</v>
      </c>
      <c r="G58" s="45"/>
      <c r="H58" s="98">
        <f>H54</f>
        <v>-5188</v>
      </c>
      <c r="I58" s="43"/>
      <c r="J58" s="86"/>
      <c r="K58" s="231"/>
      <c r="L58" s="231"/>
      <c r="M58" s="231"/>
      <c r="N58" s="231"/>
      <c r="O58" s="231"/>
      <c r="P58" s="231"/>
      <c r="Q58" s="231"/>
      <c r="R58" s="231"/>
      <c r="S58" s="231"/>
      <c r="T58" s="231"/>
      <c r="U58" s="231"/>
      <c r="V58" s="231"/>
      <c r="W58" s="231"/>
      <c r="X58" s="231"/>
      <c r="Y58" s="231"/>
      <c r="Z58" s="231"/>
      <c r="AA58" s="231"/>
      <c r="AB58" s="231"/>
      <c r="AC58" s="231"/>
      <c r="AD58" s="231"/>
      <c r="AE58" s="231"/>
      <c r="AF58" s="231"/>
      <c r="AG58" s="231"/>
    </row>
    <row r="59" spans="1:33" s="203" customFormat="1">
      <c r="A59" s="46">
        <v>13</v>
      </c>
      <c r="B59" s="47" t="s">
        <v>77</v>
      </c>
      <c r="C59" s="47"/>
      <c r="D59" s="48"/>
      <c r="E59" s="49">
        <v>0</v>
      </c>
      <c r="F59" s="52"/>
      <c r="G59" s="45"/>
      <c r="H59" s="99"/>
      <c r="I59" s="43"/>
      <c r="J59" s="86"/>
      <c r="K59" s="231"/>
      <c r="L59" s="231"/>
      <c r="M59" s="231"/>
      <c r="N59" s="231"/>
      <c r="O59" s="231"/>
      <c r="P59" s="231"/>
      <c r="Q59" s="231"/>
      <c r="R59" s="231"/>
      <c r="S59" s="231"/>
      <c r="T59" s="231"/>
      <c r="U59" s="231"/>
      <c r="V59" s="231"/>
      <c r="W59" s="231"/>
      <c r="X59" s="231"/>
      <c r="Y59" s="231"/>
      <c r="Z59" s="231"/>
      <c r="AA59" s="231"/>
      <c r="AB59" s="231"/>
      <c r="AC59" s="231"/>
      <c r="AD59" s="231"/>
      <c r="AE59" s="231"/>
      <c r="AF59" s="231"/>
      <c r="AG59" s="231"/>
    </row>
    <row r="60" spans="1:33" s="203" customFormat="1">
      <c r="A60" s="46">
        <v>14</v>
      </c>
      <c r="B60" s="47" t="s">
        <v>78</v>
      </c>
      <c r="C60" s="47"/>
      <c r="D60" s="48"/>
      <c r="E60" s="49">
        <v>0</v>
      </c>
      <c r="F60" s="52"/>
      <c r="G60" s="45"/>
      <c r="H60" s="100">
        <v>704</v>
      </c>
      <c r="I60" s="43"/>
      <c r="J60" s="86"/>
      <c r="K60" s="231"/>
      <c r="L60" s="231"/>
      <c r="M60" s="231"/>
      <c r="N60" s="231"/>
      <c r="O60" s="231"/>
      <c r="P60" s="231"/>
      <c r="Q60" s="231"/>
      <c r="R60" s="231"/>
      <c r="S60" s="231"/>
      <c r="T60" s="231"/>
      <c r="U60" s="231"/>
      <c r="V60" s="231"/>
      <c r="W60" s="231"/>
      <c r="X60" s="231"/>
      <c r="Y60" s="231"/>
      <c r="Z60" s="231"/>
      <c r="AA60" s="231"/>
      <c r="AB60" s="231"/>
      <c r="AC60" s="231"/>
      <c r="AD60" s="231"/>
      <c r="AE60" s="231"/>
      <c r="AF60" s="231"/>
      <c r="AG60" s="231"/>
    </row>
    <row r="61" spans="1:33" s="203" customFormat="1">
      <c r="A61" s="53">
        <v>15</v>
      </c>
      <c r="B61" s="54" t="s">
        <v>79</v>
      </c>
      <c r="C61" s="54"/>
      <c r="D61" s="55"/>
      <c r="E61" s="56">
        <v>10271</v>
      </c>
      <c r="F61" s="96">
        <f>F57+F58+F59+F60</f>
        <v>8826.9999999999418</v>
      </c>
      <c r="G61" s="45"/>
      <c r="H61" s="101">
        <f>H57+H58+H59+H60</f>
        <v>4342.9999999999418</v>
      </c>
      <c r="I61" s="43"/>
      <c r="J61" s="86"/>
      <c r="K61" s="231"/>
      <c r="L61" s="231"/>
      <c r="M61" s="231"/>
      <c r="N61" s="231"/>
      <c r="O61" s="231"/>
      <c r="P61" s="231"/>
      <c r="Q61" s="231"/>
      <c r="R61" s="231"/>
      <c r="S61" s="231"/>
      <c r="T61" s="231"/>
      <c r="U61" s="231"/>
      <c r="V61" s="231"/>
      <c r="W61" s="231"/>
      <c r="X61" s="231"/>
      <c r="Y61" s="231"/>
      <c r="Z61" s="231"/>
      <c r="AA61" s="231"/>
      <c r="AB61" s="231"/>
      <c r="AC61" s="231"/>
      <c r="AD61" s="231"/>
      <c r="AE61" s="231"/>
      <c r="AF61" s="231"/>
      <c r="AG61" s="231"/>
    </row>
    <row r="62" spans="1:33" s="203" customFormat="1">
      <c r="A62" s="102"/>
      <c r="B62" s="207"/>
      <c r="C62" s="207"/>
      <c r="D62" s="207"/>
      <c r="E62" s="103"/>
      <c r="F62" s="21"/>
      <c r="G62" s="21"/>
      <c r="H62" s="21"/>
      <c r="I62" s="21"/>
      <c r="J62" s="86"/>
      <c r="K62" s="231"/>
      <c r="L62" s="231"/>
      <c r="M62" s="231"/>
      <c r="N62" s="231"/>
      <c r="O62" s="231"/>
      <c r="P62" s="231"/>
      <c r="Q62" s="231"/>
      <c r="R62" s="231"/>
      <c r="S62" s="231"/>
      <c r="T62" s="231"/>
      <c r="U62" s="231"/>
      <c r="V62" s="231"/>
      <c r="W62" s="231"/>
      <c r="X62" s="231"/>
      <c r="Y62" s="231"/>
      <c r="Z62" s="231"/>
      <c r="AA62" s="231"/>
      <c r="AB62" s="231"/>
      <c r="AC62" s="231"/>
      <c r="AD62" s="231"/>
      <c r="AE62" s="231"/>
      <c r="AF62" s="231"/>
      <c r="AG62" s="231"/>
    </row>
    <row r="63" spans="1:33" s="203" customFormat="1" ht="12.75" customHeight="1">
      <c r="A63" s="23"/>
      <c r="B63" s="207"/>
      <c r="C63" s="207"/>
      <c r="D63" s="207"/>
      <c r="E63" s="15"/>
      <c r="F63" s="207"/>
      <c r="G63" s="207"/>
      <c r="H63" s="21"/>
      <c r="I63" s="21"/>
      <c r="J63" s="86"/>
      <c r="K63" s="231"/>
      <c r="L63" s="231"/>
      <c r="M63" s="231"/>
      <c r="N63" s="231"/>
      <c r="O63" s="231"/>
      <c r="P63" s="231"/>
      <c r="Q63" s="231"/>
      <c r="R63" s="231"/>
      <c r="S63" s="231"/>
      <c r="T63" s="231"/>
      <c r="U63" s="231"/>
      <c r="V63" s="231"/>
      <c r="W63" s="231"/>
      <c r="X63" s="231"/>
      <c r="Y63" s="231"/>
      <c r="Z63" s="231"/>
      <c r="AA63" s="231"/>
      <c r="AB63" s="231"/>
      <c r="AC63" s="231"/>
      <c r="AD63" s="231"/>
      <c r="AE63" s="231"/>
      <c r="AF63" s="231"/>
      <c r="AG63" s="231"/>
    </row>
    <row r="64" spans="1:33" s="203" customFormat="1" ht="15">
      <c r="A64" s="104" t="s">
        <v>80</v>
      </c>
      <c r="B64" s="29"/>
      <c r="C64" s="29"/>
      <c r="D64" s="29"/>
      <c r="E64" s="15"/>
      <c r="F64" s="29"/>
      <c r="G64" s="29"/>
      <c r="H64" s="29"/>
      <c r="I64" s="29"/>
      <c r="J64" s="15"/>
      <c r="K64" s="231"/>
      <c r="L64" s="231"/>
      <c r="M64" s="231"/>
      <c r="N64" s="231"/>
      <c r="O64" s="231"/>
      <c r="P64" s="231"/>
      <c r="Q64" s="231"/>
      <c r="R64" s="231"/>
      <c r="S64" s="231"/>
      <c r="T64" s="231"/>
      <c r="U64" s="231"/>
      <c r="V64" s="231"/>
      <c r="W64" s="231"/>
      <c r="X64" s="231"/>
      <c r="Y64" s="231"/>
      <c r="Z64" s="231"/>
      <c r="AA64" s="231"/>
      <c r="AB64" s="231"/>
      <c r="AC64" s="231"/>
      <c r="AD64" s="231"/>
      <c r="AE64" s="231"/>
      <c r="AF64" s="231"/>
      <c r="AG64" s="231"/>
    </row>
    <row r="65" spans="1:33" s="203" customFormat="1">
      <c r="A65" s="32"/>
      <c r="B65" s="29"/>
      <c r="C65" s="29"/>
      <c r="D65" s="29"/>
      <c r="E65" s="105"/>
      <c r="F65" s="29"/>
      <c r="G65" s="29"/>
      <c r="H65" s="29"/>
      <c r="I65" s="131" t="s">
        <v>27</v>
      </c>
      <c r="J65" s="246"/>
      <c r="K65" s="231"/>
      <c r="L65" s="231"/>
      <c r="M65" s="231"/>
      <c r="N65" s="231"/>
      <c r="O65" s="231"/>
      <c r="P65" s="231"/>
      <c r="Q65" s="231"/>
      <c r="R65" s="231"/>
      <c r="S65" s="231"/>
      <c r="T65" s="231"/>
      <c r="U65" s="231"/>
      <c r="V65" s="231"/>
      <c r="W65" s="231"/>
      <c r="X65" s="231"/>
      <c r="Y65" s="231"/>
      <c r="Z65" s="231"/>
      <c r="AA65" s="231"/>
      <c r="AB65" s="231"/>
      <c r="AC65" s="231"/>
      <c r="AD65" s="231"/>
      <c r="AE65" s="231"/>
      <c r="AF65" s="231"/>
      <c r="AG65" s="231"/>
    </row>
    <row r="66" spans="1:33" s="203" customFormat="1">
      <c r="A66" s="106" t="s">
        <v>14</v>
      </c>
      <c r="B66" s="107"/>
      <c r="C66" s="107"/>
      <c r="D66" s="107"/>
      <c r="E66" s="856" t="s">
        <v>377</v>
      </c>
      <c r="F66" s="962" t="s">
        <v>402</v>
      </c>
      <c r="G66" s="867" t="s">
        <v>81</v>
      </c>
      <c r="H66" s="962" t="s">
        <v>403</v>
      </c>
      <c r="I66" s="867" t="s">
        <v>81</v>
      </c>
      <c r="J66" s="240"/>
      <c r="K66" s="231"/>
      <c r="L66" s="231"/>
      <c r="M66" s="231"/>
      <c r="N66" s="231"/>
      <c r="O66" s="231"/>
      <c r="P66" s="231"/>
      <c r="Q66" s="231"/>
      <c r="R66" s="231"/>
      <c r="S66" s="231"/>
      <c r="T66" s="231"/>
      <c r="U66" s="231"/>
      <c r="V66" s="231"/>
      <c r="W66" s="231"/>
      <c r="X66" s="231"/>
      <c r="Y66" s="231"/>
      <c r="Z66" s="231"/>
      <c r="AA66" s="231"/>
      <c r="AB66" s="231"/>
      <c r="AC66" s="231"/>
      <c r="AD66" s="231"/>
      <c r="AE66" s="231"/>
      <c r="AF66" s="231"/>
      <c r="AG66" s="231"/>
    </row>
    <row r="67" spans="1:33" s="203" customFormat="1" ht="21" customHeight="1">
      <c r="A67" s="108"/>
      <c r="B67" s="47"/>
      <c r="C67" s="47"/>
      <c r="D67" s="47"/>
      <c r="E67" s="859"/>
      <c r="F67" s="963"/>
      <c r="G67" s="868"/>
      <c r="H67" s="963"/>
      <c r="I67" s="868"/>
      <c r="J67" s="240"/>
      <c r="K67" s="231"/>
      <c r="L67" s="231"/>
      <c r="M67" s="231"/>
      <c r="N67" s="231"/>
      <c r="O67" s="231"/>
      <c r="P67" s="231"/>
      <c r="Q67" s="231"/>
      <c r="R67" s="231"/>
      <c r="S67" s="231"/>
      <c r="T67" s="231"/>
      <c r="U67" s="231"/>
      <c r="V67" s="231"/>
      <c r="W67" s="231"/>
      <c r="X67" s="231"/>
      <c r="Y67" s="231"/>
      <c r="Z67" s="231"/>
      <c r="AA67" s="231"/>
      <c r="AB67" s="231"/>
      <c r="AC67" s="231"/>
      <c r="AD67" s="231"/>
      <c r="AE67" s="231"/>
      <c r="AF67" s="231"/>
      <c r="AG67" s="231"/>
    </row>
    <row r="68" spans="1:33" s="203" customFormat="1">
      <c r="A68" s="109" t="s">
        <v>82</v>
      </c>
      <c r="B68" s="47"/>
      <c r="C68" s="47"/>
      <c r="D68" s="47"/>
      <c r="E68" s="859"/>
      <c r="F68" s="963"/>
      <c r="G68" s="868"/>
      <c r="H68" s="963"/>
      <c r="I68" s="868"/>
      <c r="J68" s="240"/>
      <c r="K68" s="231"/>
      <c r="L68" s="231"/>
      <c r="M68" s="231"/>
      <c r="N68" s="231"/>
      <c r="O68" s="231"/>
      <c r="P68" s="231"/>
      <c r="Q68" s="231"/>
      <c r="R68" s="231"/>
      <c r="S68" s="231"/>
      <c r="T68" s="231"/>
      <c r="U68" s="231"/>
      <c r="V68" s="231"/>
      <c r="W68" s="231"/>
      <c r="X68" s="231"/>
      <c r="Y68" s="231"/>
      <c r="Z68" s="231"/>
      <c r="AA68" s="231"/>
      <c r="AB68" s="231"/>
      <c r="AC68" s="231"/>
      <c r="AD68" s="231"/>
      <c r="AE68" s="231"/>
      <c r="AF68" s="231"/>
      <c r="AG68" s="231"/>
    </row>
    <row r="69" spans="1:33" s="203" customFormat="1">
      <c r="A69" s="109" t="s">
        <v>83</v>
      </c>
      <c r="B69" s="47"/>
      <c r="C69" s="47"/>
      <c r="D69" s="47"/>
      <c r="E69" s="859"/>
      <c r="F69" s="963"/>
      <c r="G69" s="868"/>
      <c r="H69" s="963"/>
      <c r="I69" s="868"/>
      <c r="J69" s="240"/>
      <c r="K69" s="231"/>
      <c r="L69" s="231"/>
      <c r="M69" s="231"/>
      <c r="N69" s="231"/>
      <c r="O69" s="231"/>
      <c r="P69" s="231"/>
      <c r="Q69" s="231"/>
      <c r="R69" s="231"/>
      <c r="S69" s="231"/>
      <c r="T69" s="231"/>
      <c r="U69" s="231"/>
      <c r="V69" s="231"/>
      <c r="W69" s="231"/>
      <c r="X69" s="231"/>
      <c r="Y69" s="231"/>
      <c r="Z69" s="231"/>
      <c r="AA69" s="231"/>
      <c r="AB69" s="231"/>
      <c r="AC69" s="231"/>
      <c r="AD69" s="231"/>
      <c r="AE69" s="231"/>
      <c r="AF69" s="231"/>
      <c r="AG69" s="231"/>
    </row>
    <row r="70" spans="1:33" s="203" customFormat="1">
      <c r="A70" s="110" t="s">
        <v>84</v>
      </c>
      <c r="B70" s="47"/>
      <c r="C70" s="47"/>
      <c r="D70" s="47"/>
      <c r="E70" s="860"/>
      <c r="F70" s="964"/>
      <c r="G70" s="869"/>
      <c r="H70" s="964"/>
      <c r="I70" s="869"/>
      <c r="J70" s="240"/>
      <c r="K70" s="231"/>
      <c r="L70" s="231"/>
      <c r="M70" s="231"/>
      <c r="N70" s="231"/>
      <c r="O70" s="231"/>
      <c r="P70" s="231"/>
      <c r="Q70" s="231"/>
      <c r="R70" s="231"/>
      <c r="S70" s="231"/>
      <c r="T70" s="231"/>
      <c r="U70" s="231"/>
      <c r="V70" s="231"/>
      <c r="W70" s="231"/>
      <c r="X70" s="231"/>
      <c r="Y70" s="231"/>
      <c r="Z70" s="231"/>
      <c r="AA70" s="231"/>
      <c r="AB70" s="231"/>
      <c r="AC70" s="231"/>
      <c r="AD70" s="231"/>
      <c r="AE70" s="231"/>
      <c r="AF70" s="231"/>
      <c r="AG70" s="231"/>
    </row>
    <row r="71" spans="1:33" s="203" customFormat="1">
      <c r="A71" s="111">
        <v>1</v>
      </c>
      <c r="B71" s="47" t="s">
        <v>85</v>
      </c>
      <c r="C71" s="47"/>
      <c r="D71" s="47"/>
      <c r="E71" s="41">
        <v>4909</v>
      </c>
      <c r="F71" s="247">
        <v>4792</v>
      </c>
      <c r="G71" s="112"/>
      <c r="H71" s="248">
        <v>10033</v>
      </c>
      <c r="I71" s="112"/>
      <c r="J71" s="86"/>
      <c r="K71" s="231"/>
      <c r="L71" s="231"/>
      <c r="M71" s="231"/>
      <c r="N71" s="231"/>
      <c r="O71" s="231"/>
      <c r="P71" s="231"/>
      <c r="Q71" s="231"/>
      <c r="R71" s="231"/>
      <c r="S71" s="231"/>
      <c r="T71" s="231"/>
      <c r="U71" s="231"/>
      <c r="V71" s="231"/>
      <c r="W71" s="231"/>
      <c r="X71" s="231"/>
      <c r="Y71" s="231"/>
      <c r="Z71" s="231"/>
      <c r="AA71" s="231"/>
      <c r="AB71" s="231"/>
      <c r="AC71" s="231"/>
      <c r="AD71" s="231"/>
      <c r="AE71" s="231"/>
      <c r="AF71" s="231"/>
      <c r="AG71" s="231"/>
    </row>
    <row r="72" spans="1:33" s="203" customFormat="1">
      <c r="A72" s="111">
        <v>2</v>
      </c>
      <c r="B72" s="47" t="s">
        <v>86</v>
      </c>
      <c r="C72" s="47"/>
      <c r="D72" s="47"/>
      <c r="E72" s="49">
        <v>35474</v>
      </c>
      <c r="F72" s="247">
        <v>35339</v>
      </c>
      <c r="G72" s="113">
        <v>23699</v>
      </c>
      <c r="H72" s="123">
        <v>36885</v>
      </c>
      <c r="I72" s="113">
        <v>25418</v>
      </c>
      <c r="J72" s="86"/>
      <c r="K72" s="231"/>
      <c r="L72" s="231"/>
      <c r="M72" s="231"/>
      <c r="N72" s="231"/>
      <c r="O72" s="231"/>
      <c r="P72" s="231"/>
      <c r="Q72" s="231"/>
      <c r="R72" s="231"/>
      <c r="S72" s="231"/>
      <c r="T72" s="231"/>
      <c r="U72" s="231"/>
      <c r="V72" s="231"/>
      <c r="W72" s="231"/>
      <c r="X72" s="231"/>
      <c r="Y72" s="231"/>
      <c r="Z72" s="231"/>
      <c r="AA72" s="231"/>
      <c r="AB72" s="231"/>
      <c r="AC72" s="231"/>
      <c r="AD72" s="231"/>
      <c r="AE72" s="231"/>
      <c r="AF72" s="231"/>
      <c r="AG72" s="231"/>
    </row>
    <row r="73" spans="1:33" s="203" customFormat="1">
      <c r="A73" s="111">
        <v>3</v>
      </c>
      <c r="B73" s="47" t="s">
        <v>87</v>
      </c>
      <c r="C73" s="47"/>
      <c r="D73" s="47"/>
      <c r="E73" s="114">
        <v>33319</v>
      </c>
      <c r="F73" s="247">
        <f>30976+2196</f>
        <v>33172</v>
      </c>
      <c r="G73" s="113">
        <v>25440</v>
      </c>
      <c r="H73" s="123">
        <f>32074+2196</f>
        <v>34270</v>
      </c>
      <c r="I73" s="113">
        <v>26921</v>
      </c>
      <c r="J73" s="86"/>
      <c r="K73" s="231"/>
      <c r="L73" s="231"/>
      <c r="M73" s="231"/>
      <c r="N73" s="231"/>
      <c r="O73" s="231"/>
      <c r="P73" s="231"/>
      <c r="Q73" s="231"/>
      <c r="R73" s="231"/>
      <c r="S73" s="231"/>
      <c r="T73" s="231"/>
      <c r="U73" s="231"/>
      <c r="V73" s="231"/>
      <c r="W73" s="231"/>
      <c r="X73" s="231"/>
      <c r="Y73" s="231"/>
      <c r="Z73" s="231"/>
      <c r="AA73" s="231"/>
      <c r="AB73" s="231"/>
      <c r="AC73" s="231"/>
      <c r="AD73" s="231"/>
      <c r="AE73" s="231"/>
      <c r="AF73" s="231"/>
      <c r="AG73" s="231"/>
    </row>
    <row r="74" spans="1:33" s="203" customFormat="1">
      <c r="A74" s="111">
        <v>4</v>
      </c>
      <c r="B74" s="47" t="s">
        <v>88</v>
      </c>
      <c r="C74" s="47"/>
      <c r="D74" s="47"/>
      <c r="E74" s="114">
        <v>13255</v>
      </c>
      <c r="F74" s="247">
        <v>13505</v>
      </c>
      <c r="G74" s="113"/>
      <c r="H74" s="123">
        <v>13790</v>
      </c>
      <c r="I74" s="113"/>
      <c r="J74" s="86"/>
      <c r="K74" s="231"/>
      <c r="L74" s="231"/>
      <c r="M74" s="231"/>
      <c r="N74" s="231"/>
      <c r="O74" s="231"/>
      <c r="P74" s="231"/>
      <c r="Q74" s="231"/>
      <c r="R74" s="231"/>
      <c r="S74" s="231"/>
      <c r="T74" s="231"/>
      <c r="U74" s="231"/>
      <c r="V74" s="231"/>
      <c r="W74" s="231"/>
      <c r="X74" s="231"/>
      <c r="Y74" s="231"/>
      <c r="Z74" s="231"/>
      <c r="AA74" s="231"/>
      <c r="AB74" s="231"/>
      <c r="AC74" s="231"/>
      <c r="AD74" s="231"/>
      <c r="AE74" s="231"/>
      <c r="AF74" s="231"/>
      <c r="AG74" s="231"/>
    </row>
    <row r="75" spans="1:33" s="203" customFormat="1">
      <c r="A75" s="111">
        <v>5</v>
      </c>
      <c r="B75" s="47" t="s">
        <v>89</v>
      </c>
      <c r="C75" s="47" t="s">
        <v>90</v>
      </c>
      <c r="D75" s="47"/>
      <c r="E75" s="114">
        <v>1144</v>
      </c>
      <c r="F75" s="247">
        <v>1257</v>
      </c>
      <c r="G75" s="113"/>
      <c r="H75" s="123">
        <v>1150</v>
      </c>
      <c r="I75" s="113"/>
      <c r="J75" s="86"/>
      <c r="K75" s="231"/>
      <c r="L75" s="231"/>
      <c r="M75" s="231"/>
      <c r="N75" s="231"/>
      <c r="O75" s="231"/>
      <c r="P75" s="231"/>
      <c r="Q75" s="231"/>
      <c r="R75" s="231"/>
      <c r="S75" s="231"/>
      <c r="T75" s="231"/>
      <c r="U75" s="231"/>
      <c r="V75" s="231"/>
      <c r="W75" s="231"/>
      <c r="X75" s="231"/>
      <c r="Y75" s="231"/>
      <c r="Z75" s="231"/>
      <c r="AA75" s="231"/>
      <c r="AB75" s="231"/>
      <c r="AC75" s="231"/>
      <c r="AD75" s="231"/>
      <c r="AE75" s="231"/>
      <c r="AF75" s="231"/>
      <c r="AG75" s="231"/>
    </row>
    <row r="76" spans="1:33" s="203" customFormat="1">
      <c r="A76" s="433"/>
      <c r="B76" s="435"/>
      <c r="C76" s="47" t="s">
        <v>91</v>
      </c>
      <c r="D76" s="47"/>
      <c r="E76" s="114">
        <v>0</v>
      </c>
      <c r="F76" s="247"/>
      <c r="G76" s="115"/>
      <c r="H76" s="249"/>
      <c r="I76" s="115"/>
      <c r="J76" s="86"/>
      <c r="K76" s="231"/>
      <c r="L76" s="231"/>
      <c r="M76" s="231"/>
      <c r="N76" s="231"/>
      <c r="O76" s="231"/>
      <c r="P76" s="231"/>
      <c r="Q76" s="231"/>
      <c r="R76" s="231"/>
      <c r="S76" s="231"/>
      <c r="T76" s="231"/>
      <c r="U76" s="231"/>
      <c r="V76" s="231"/>
      <c r="W76" s="231"/>
      <c r="X76" s="231"/>
      <c r="Y76" s="231"/>
      <c r="Z76" s="231"/>
      <c r="AA76" s="231"/>
      <c r="AB76" s="231"/>
      <c r="AC76" s="231"/>
      <c r="AD76" s="231"/>
      <c r="AE76" s="231"/>
      <c r="AF76" s="231"/>
      <c r="AG76" s="231"/>
    </row>
    <row r="77" spans="1:33" s="203" customFormat="1">
      <c r="A77" s="111">
        <v>6</v>
      </c>
      <c r="B77" s="116" t="s">
        <v>92</v>
      </c>
      <c r="C77" s="116"/>
      <c r="D77" s="47"/>
      <c r="E77" s="80">
        <v>88101</v>
      </c>
      <c r="F77" s="250">
        <f>SUM(F71:F76)</f>
        <v>88065</v>
      </c>
      <c r="G77" s="251">
        <f>SUM(G71:G76)</f>
        <v>49139</v>
      </c>
      <c r="H77" s="252">
        <f>SUM(H71:H76)</f>
        <v>96128</v>
      </c>
      <c r="I77" s="251">
        <f>SUM(I71:I76)</f>
        <v>52339</v>
      </c>
      <c r="J77" s="243"/>
      <c r="K77" s="231"/>
      <c r="L77" s="231"/>
      <c r="M77" s="231"/>
      <c r="N77" s="231"/>
      <c r="O77" s="231"/>
      <c r="P77" s="231"/>
      <c r="Q77" s="231"/>
      <c r="R77" s="231"/>
      <c r="S77" s="231"/>
      <c r="T77" s="231"/>
      <c r="U77" s="231"/>
      <c r="V77" s="231"/>
      <c r="W77" s="231"/>
      <c r="X77" s="231"/>
      <c r="Y77" s="231"/>
      <c r="Z77" s="231"/>
      <c r="AA77" s="231"/>
      <c r="AB77" s="231"/>
      <c r="AC77" s="231"/>
      <c r="AD77" s="231"/>
      <c r="AE77" s="231"/>
      <c r="AF77" s="231"/>
      <c r="AG77" s="231"/>
    </row>
    <row r="78" spans="1:33" s="203" customFormat="1">
      <c r="A78" s="433"/>
      <c r="B78" s="47"/>
      <c r="C78" s="47"/>
      <c r="D78" s="47"/>
      <c r="E78" s="117"/>
      <c r="F78" s="118"/>
      <c r="G78" s="118"/>
      <c r="H78" s="118"/>
      <c r="I78" s="118"/>
      <c r="J78" s="86"/>
      <c r="K78" s="231"/>
      <c r="L78" s="231"/>
      <c r="M78" s="231"/>
      <c r="N78" s="231"/>
      <c r="O78" s="231"/>
      <c r="P78" s="231"/>
      <c r="Q78" s="231"/>
      <c r="R78" s="231"/>
      <c r="S78" s="231"/>
      <c r="T78" s="231"/>
      <c r="U78" s="231"/>
      <c r="V78" s="231"/>
      <c r="W78" s="231"/>
      <c r="X78" s="231"/>
      <c r="Y78" s="231"/>
      <c r="Z78" s="231"/>
      <c r="AA78" s="231"/>
      <c r="AB78" s="231"/>
      <c r="AC78" s="231"/>
      <c r="AD78" s="231"/>
      <c r="AE78" s="231"/>
      <c r="AF78" s="231"/>
      <c r="AG78" s="231"/>
    </row>
    <row r="79" spans="1:33" s="203" customFormat="1">
      <c r="A79" s="119" t="s">
        <v>93</v>
      </c>
      <c r="B79" s="116"/>
      <c r="C79" s="116"/>
      <c r="D79" s="116"/>
      <c r="E79" s="117"/>
      <c r="F79" s="118"/>
      <c r="G79" s="118"/>
      <c r="H79" s="118"/>
      <c r="I79" s="118"/>
      <c r="J79" s="86"/>
      <c r="K79" s="231"/>
      <c r="L79" s="231"/>
      <c r="M79" s="231"/>
      <c r="N79" s="231"/>
      <c r="O79" s="231"/>
      <c r="P79" s="231"/>
      <c r="Q79" s="231"/>
      <c r="R79" s="231"/>
      <c r="S79" s="231"/>
      <c r="T79" s="231"/>
      <c r="U79" s="231"/>
      <c r="V79" s="231"/>
      <c r="W79" s="231"/>
      <c r="X79" s="231"/>
      <c r="Y79" s="231"/>
      <c r="Z79" s="231"/>
      <c r="AA79" s="231"/>
      <c r="AB79" s="231"/>
      <c r="AC79" s="231"/>
      <c r="AD79" s="231"/>
      <c r="AE79" s="231"/>
      <c r="AF79" s="231"/>
      <c r="AG79" s="231"/>
    </row>
    <row r="80" spans="1:33" s="203" customFormat="1">
      <c r="A80" s="120">
        <v>7</v>
      </c>
      <c r="B80" s="47" t="s">
        <v>94</v>
      </c>
      <c r="C80" s="47"/>
      <c r="D80" s="47"/>
      <c r="E80" s="41">
        <v>462</v>
      </c>
      <c r="F80" s="253">
        <v>589</v>
      </c>
      <c r="G80" s="112"/>
      <c r="H80" s="248">
        <v>479</v>
      </c>
      <c r="I80" s="112"/>
      <c r="J80" s="86"/>
      <c r="K80" s="231"/>
      <c r="L80" s="231"/>
      <c r="M80" s="231"/>
      <c r="N80" s="231"/>
      <c r="O80" s="231"/>
      <c r="P80" s="231"/>
      <c r="Q80" s="231"/>
      <c r="R80" s="231"/>
      <c r="S80" s="231"/>
      <c r="T80" s="231"/>
      <c r="U80" s="231"/>
      <c r="V80" s="231"/>
      <c r="W80" s="231"/>
      <c r="X80" s="231"/>
      <c r="Y80" s="231"/>
      <c r="Z80" s="231"/>
      <c r="AA80" s="231"/>
      <c r="AB80" s="231"/>
      <c r="AC80" s="231"/>
      <c r="AD80" s="231"/>
      <c r="AE80" s="231"/>
      <c r="AF80" s="231"/>
      <c r="AG80" s="231"/>
    </row>
    <row r="81" spans="1:33" s="203" customFormat="1">
      <c r="A81" s="120">
        <v>8</v>
      </c>
      <c r="B81" s="47" t="s">
        <v>95</v>
      </c>
      <c r="C81" s="47"/>
      <c r="D81" s="47"/>
      <c r="E81" s="49">
        <v>20338</v>
      </c>
      <c r="F81" s="247">
        <v>20046</v>
      </c>
      <c r="G81" s="113">
        <v>18820</v>
      </c>
      <c r="H81" s="123">
        <v>20661</v>
      </c>
      <c r="I81" s="113">
        <v>19513</v>
      </c>
      <c r="J81" s="86"/>
      <c r="K81" s="231"/>
      <c r="L81" s="231"/>
      <c r="M81" s="231"/>
      <c r="N81" s="231"/>
      <c r="O81" s="231"/>
      <c r="P81" s="231"/>
      <c r="Q81" s="231"/>
      <c r="R81" s="231"/>
      <c r="S81" s="231"/>
      <c r="T81" s="231"/>
      <c r="U81" s="231"/>
      <c r="V81" s="231"/>
      <c r="W81" s="231"/>
      <c r="X81" s="231"/>
      <c r="Y81" s="231"/>
      <c r="Z81" s="231"/>
      <c r="AA81" s="231"/>
      <c r="AB81" s="231"/>
      <c r="AC81" s="231"/>
      <c r="AD81" s="231"/>
      <c r="AE81" s="231"/>
      <c r="AF81" s="231"/>
      <c r="AG81" s="231"/>
    </row>
    <row r="82" spans="1:33" s="203" customFormat="1">
      <c r="A82" s="120">
        <v>9</v>
      </c>
      <c r="B82" s="47" t="s">
        <v>96</v>
      </c>
      <c r="C82" s="47"/>
      <c r="D82" s="47"/>
      <c r="E82" s="49">
        <v>20139</v>
      </c>
      <c r="F82" s="247">
        <v>20220</v>
      </c>
      <c r="G82" s="113">
        <v>19265</v>
      </c>
      <c r="H82" s="123">
        <v>20930</v>
      </c>
      <c r="I82" s="113">
        <v>20093</v>
      </c>
      <c r="J82" s="86"/>
      <c r="K82" s="231"/>
      <c r="L82" s="231"/>
      <c r="M82" s="231"/>
      <c r="N82" s="231"/>
      <c r="O82" s="231"/>
      <c r="P82" s="231"/>
      <c r="Q82" s="231"/>
      <c r="R82" s="231"/>
      <c r="S82" s="231"/>
      <c r="T82" s="231"/>
      <c r="U82" s="231"/>
      <c r="V82" s="231"/>
      <c r="W82" s="231"/>
      <c r="X82" s="231"/>
      <c r="Y82" s="231"/>
      <c r="Z82" s="231"/>
      <c r="AA82" s="231"/>
      <c r="AB82" s="231"/>
      <c r="AC82" s="231"/>
      <c r="AD82" s="231"/>
      <c r="AE82" s="231"/>
      <c r="AF82" s="231"/>
      <c r="AG82" s="231"/>
    </row>
    <row r="83" spans="1:33" s="203" customFormat="1">
      <c r="A83" s="120">
        <v>10</v>
      </c>
      <c r="B83" s="90" t="s">
        <v>97</v>
      </c>
      <c r="C83" s="47"/>
      <c r="D83" s="47"/>
      <c r="E83" s="49">
        <v>13255</v>
      </c>
      <c r="F83" s="247">
        <v>13505</v>
      </c>
      <c r="G83" s="113"/>
      <c r="H83" s="123">
        <v>13790</v>
      </c>
      <c r="I83" s="113"/>
      <c r="J83" s="86"/>
      <c r="K83" s="231"/>
      <c r="L83" s="231"/>
      <c r="M83" s="231"/>
      <c r="N83" s="231"/>
      <c r="O83" s="231"/>
      <c r="P83" s="231"/>
      <c r="Q83" s="231"/>
      <c r="R83" s="231"/>
      <c r="S83" s="231"/>
      <c r="T83" s="231"/>
      <c r="U83" s="231"/>
      <c r="V83" s="231"/>
      <c r="W83" s="231"/>
      <c r="X83" s="231"/>
      <c r="Y83" s="231"/>
      <c r="Z83" s="231"/>
      <c r="AA83" s="231"/>
      <c r="AB83" s="231"/>
      <c r="AC83" s="231"/>
      <c r="AD83" s="231"/>
      <c r="AE83" s="231"/>
      <c r="AF83" s="231"/>
      <c r="AG83" s="231"/>
    </row>
    <row r="84" spans="1:33" s="203" customFormat="1">
      <c r="A84" s="120">
        <v>11</v>
      </c>
      <c r="B84" s="90" t="s">
        <v>98</v>
      </c>
      <c r="C84" s="47"/>
      <c r="D84" s="47"/>
      <c r="E84" s="49">
        <v>4624</v>
      </c>
      <c r="F84" s="247">
        <v>4435</v>
      </c>
      <c r="G84" s="113"/>
      <c r="H84" s="123">
        <v>4126</v>
      </c>
      <c r="I84" s="113"/>
      <c r="J84" s="86"/>
      <c r="K84" s="231"/>
      <c r="L84" s="231"/>
      <c r="M84" s="231"/>
      <c r="N84" s="231"/>
      <c r="O84" s="231"/>
      <c r="P84" s="231"/>
      <c r="Q84" s="231"/>
      <c r="R84" s="231"/>
      <c r="S84" s="231"/>
      <c r="T84" s="231"/>
      <c r="U84" s="231"/>
      <c r="V84" s="231"/>
      <c r="W84" s="231"/>
      <c r="X84" s="231"/>
      <c r="Y84" s="231"/>
      <c r="Z84" s="231"/>
      <c r="AA84" s="231"/>
      <c r="AB84" s="231"/>
      <c r="AC84" s="231"/>
      <c r="AD84" s="231"/>
      <c r="AE84" s="231"/>
      <c r="AF84" s="231"/>
      <c r="AG84" s="231"/>
    </row>
    <row r="85" spans="1:33" s="203" customFormat="1">
      <c r="A85" s="120">
        <v>12</v>
      </c>
      <c r="B85" s="47" t="s">
        <v>99</v>
      </c>
      <c r="C85" s="47"/>
      <c r="D85" s="47"/>
      <c r="E85" s="49">
        <v>2599</v>
      </c>
      <c r="F85" s="247">
        <v>2590</v>
      </c>
      <c r="G85" s="113"/>
      <c r="H85" s="123">
        <v>2612</v>
      </c>
      <c r="I85" s="113"/>
      <c r="J85" s="86"/>
      <c r="K85" s="231"/>
      <c r="L85" s="231"/>
      <c r="M85" s="231"/>
      <c r="N85" s="231"/>
      <c r="O85" s="231"/>
      <c r="P85" s="231"/>
      <c r="Q85" s="231"/>
      <c r="R85" s="231"/>
      <c r="S85" s="231"/>
      <c r="T85" s="231"/>
      <c r="U85" s="231"/>
      <c r="V85" s="231"/>
      <c r="W85" s="231"/>
      <c r="X85" s="231"/>
      <c r="Y85" s="231"/>
      <c r="Z85" s="231"/>
      <c r="AA85" s="231"/>
      <c r="AB85" s="231"/>
      <c r="AC85" s="231"/>
      <c r="AD85" s="231"/>
      <c r="AE85" s="231"/>
      <c r="AF85" s="231"/>
      <c r="AG85" s="231"/>
    </row>
    <row r="86" spans="1:33" s="203" customFormat="1">
      <c r="A86" s="120">
        <v>13</v>
      </c>
      <c r="B86" s="47" t="s">
        <v>100</v>
      </c>
      <c r="C86" s="47"/>
      <c r="D86" s="47"/>
      <c r="E86" s="49">
        <v>13957</v>
      </c>
      <c r="F86" s="247">
        <v>12862</v>
      </c>
      <c r="G86" s="113">
        <v>5033</v>
      </c>
      <c r="H86" s="123">
        <v>13056</v>
      </c>
      <c r="I86" s="113">
        <v>4871</v>
      </c>
      <c r="J86" s="86"/>
      <c r="K86" s="231"/>
      <c r="L86" s="231"/>
      <c r="M86" s="231"/>
      <c r="N86" s="231"/>
      <c r="O86" s="231"/>
      <c r="P86" s="231"/>
      <c r="Q86" s="231"/>
      <c r="R86" s="231"/>
      <c r="S86" s="231"/>
      <c r="T86" s="231"/>
      <c r="U86" s="231"/>
      <c r="V86" s="231"/>
      <c r="W86" s="231"/>
      <c r="X86" s="231"/>
      <c r="Y86" s="231"/>
      <c r="Z86" s="231"/>
      <c r="AA86" s="231"/>
      <c r="AB86" s="231"/>
      <c r="AC86" s="231"/>
      <c r="AD86" s="231"/>
      <c r="AE86" s="231"/>
      <c r="AF86" s="231"/>
      <c r="AG86" s="231"/>
    </row>
    <row r="87" spans="1:33" s="203" customFormat="1">
      <c r="A87" s="120">
        <v>14</v>
      </c>
      <c r="B87" s="47" t="s">
        <v>101</v>
      </c>
      <c r="C87" s="47"/>
      <c r="D87" s="47"/>
      <c r="E87" s="49">
        <v>0</v>
      </c>
      <c r="F87" s="247"/>
      <c r="G87" s="113"/>
      <c r="H87" s="123"/>
      <c r="I87" s="113"/>
      <c r="J87" s="86"/>
      <c r="K87" s="231"/>
      <c r="L87" s="231"/>
      <c r="M87" s="231"/>
      <c r="N87" s="231"/>
      <c r="O87" s="231"/>
      <c r="P87" s="231"/>
      <c r="Q87" s="231"/>
      <c r="R87" s="231"/>
      <c r="S87" s="231"/>
      <c r="T87" s="231"/>
      <c r="U87" s="231"/>
      <c r="V87" s="231"/>
      <c r="W87" s="231"/>
      <c r="X87" s="231"/>
      <c r="Y87" s="231"/>
      <c r="Z87" s="231"/>
      <c r="AA87" s="231"/>
      <c r="AB87" s="231"/>
      <c r="AC87" s="231"/>
      <c r="AD87" s="231"/>
      <c r="AE87" s="231"/>
      <c r="AF87" s="231"/>
      <c r="AG87" s="231"/>
    </row>
    <row r="88" spans="1:33" s="203" customFormat="1">
      <c r="A88" s="124">
        <v>15</v>
      </c>
      <c r="B88" s="125" t="s">
        <v>102</v>
      </c>
      <c r="C88" s="54"/>
      <c r="D88" s="54"/>
      <c r="E88" s="56">
        <v>0</v>
      </c>
      <c r="F88" s="254"/>
      <c r="G88" s="127"/>
      <c r="H88" s="255"/>
      <c r="I88" s="127"/>
      <c r="J88" s="86"/>
      <c r="K88" s="231"/>
      <c r="L88" s="231"/>
      <c r="M88" s="231"/>
      <c r="N88" s="231"/>
      <c r="O88" s="231"/>
      <c r="P88" s="231"/>
      <c r="Q88" s="231"/>
      <c r="R88" s="231"/>
      <c r="S88" s="231"/>
      <c r="T88" s="231"/>
      <c r="U88" s="231"/>
      <c r="V88" s="231"/>
      <c r="W88" s="231"/>
      <c r="X88" s="231"/>
      <c r="Y88" s="231"/>
      <c r="Z88" s="231"/>
      <c r="AA88" s="231"/>
      <c r="AB88" s="231"/>
      <c r="AC88" s="231"/>
      <c r="AD88" s="231"/>
      <c r="AE88" s="231"/>
      <c r="AF88" s="231"/>
      <c r="AG88" s="231"/>
    </row>
    <row r="89" spans="1:33" s="203" customFormat="1">
      <c r="A89" s="128"/>
      <c r="B89" s="129"/>
      <c r="C89" s="129"/>
      <c r="D89" s="129"/>
      <c r="E89" s="15"/>
      <c r="F89" s="130"/>
      <c r="G89" s="29"/>
      <c r="H89" s="207"/>
      <c r="I89" s="29"/>
      <c r="J89" s="15"/>
      <c r="K89" s="231"/>
      <c r="L89" s="231"/>
      <c r="M89" s="231"/>
      <c r="N89" s="231"/>
      <c r="O89" s="231"/>
      <c r="P89" s="231"/>
      <c r="Q89" s="231"/>
      <c r="R89" s="231"/>
      <c r="S89" s="231"/>
      <c r="T89" s="231"/>
      <c r="U89" s="231"/>
      <c r="V89" s="231"/>
      <c r="W89" s="231"/>
      <c r="X89" s="231"/>
      <c r="Y89" s="231"/>
      <c r="Z89" s="231"/>
      <c r="AA89" s="231"/>
      <c r="AB89" s="231"/>
      <c r="AC89" s="231"/>
      <c r="AD89" s="231"/>
      <c r="AE89" s="231"/>
      <c r="AF89" s="231"/>
      <c r="AG89" s="231"/>
    </row>
    <row r="90" spans="1:33" s="203" customFormat="1">
      <c r="A90" s="128"/>
      <c r="B90" s="129"/>
      <c r="C90" s="129"/>
      <c r="D90" s="129"/>
      <c r="E90" s="105"/>
      <c r="F90" s="130"/>
      <c r="G90" s="29"/>
      <c r="H90" s="131" t="s">
        <v>27</v>
      </c>
      <c r="I90" s="29"/>
      <c r="J90" s="15"/>
      <c r="K90" s="231"/>
      <c r="L90" s="231"/>
      <c r="M90" s="231"/>
      <c r="N90" s="231"/>
      <c r="O90" s="231"/>
      <c r="P90" s="231"/>
      <c r="Q90" s="231"/>
      <c r="R90" s="231"/>
      <c r="S90" s="231"/>
      <c r="T90" s="231"/>
      <c r="U90" s="231"/>
      <c r="V90" s="231"/>
      <c r="W90" s="231"/>
      <c r="X90" s="231"/>
      <c r="Y90" s="231"/>
      <c r="Z90" s="231"/>
      <c r="AA90" s="231"/>
      <c r="AB90" s="231"/>
      <c r="AC90" s="231"/>
      <c r="AD90" s="231"/>
      <c r="AE90" s="231"/>
      <c r="AF90" s="231"/>
      <c r="AG90" s="231"/>
    </row>
    <row r="91" spans="1:33" s="203" customFormat="1">
      <c r="A91" s="106" t="s">
        <v>17</v>
      </c>
      <c r="B91" s="107"/>
      <c r="C91" s="107"/>
      <c r="D91" s="107"/>
      <c r="E91" s="856" t="s">
        <v>421</v>
      </c>
      <c r="F91" s="856" t="s">
        <v>402</v>
      </c>
      <c r="G91" s="257"/>
      <c r="H91" s="856" t="s">
        <v>403</v>
      </c>
      <c r="I91" s="29"/>
      <c r="J91" s="15"/>
      <c r="K91" s="231"/>
      <c r="L91" s="231"/>
      <c r="M91" s="231"/>
      <c r="N91" s="231"/>
      <c r="O91" s="231"/>
      <c r="P91" s="231"/>
      <c r="Q91" s="231"/>
      <c r="R91" s="231"/>
      <c r="S91" s="231"/>
      <c r="T91" s="231"/>
      <c r="U91" s="231"/>
      <c r="V91" s="231"/>
      <c r="W91" s="231"/>
      <c r="X91" s="231"/>
      <c r="Y91" s="231"/>
      <c r="Z91" s="231"/>
      <c r="AA91" s="231"/>
      <c r="AB91" s="231"/>
      <c r="AC91" s="231"/>
      <c r="AD91" s="231"/>
      <c r="AE91" s="231"/>
      <c r="AF91" s="231"/>
      <c r="AG91" s="231"/>
    </row>
    <row r="92" spans="1:33" s="203" customFormat="1" ht="12.75" customHeight="1">
      <c r="A92" s="109"/>
      <c r="B92" s="132"/>
      <c r="C92" s="132"/>
      <c r="D92" s="132"/>
      <c r="E92" s="859"/>
      <c r="F92" s="859"/>
      <c r="G92" s="29"/>
      <c r="H92" s="859"/>
      <c r="I92" s="29"/>
      <c r="J92" s="15"/>
      <c r="K92" s="231"/>
      <c r="L92" s="231"/>
      <c r="M92" s="231"/>
      <c r="N92" s="231"/>
      <c r="O92" s="231"/>
      <c r="P92" s="231"/>
      <c r="Q92" s="231"/>
      <c r="R92" s="231"/>
      <c r="S92" s="231"/>
      <c r="T92" s="231"/>
      <c r="U92" s="231"/>
      <c r="V92" s="231"/>
      <c r="W92" s="231"/>
      <c r="X92" s="231"/>
      <c r="Y92" s="231"/>
      <c r="Z92" s="231"/>
      <c r="AA92" s="231"/>
      <c r="AB92" s="231"/>
      <c r="AC92" s="231"/>
      <c r="AD92" s="231"/>
      <c r="AE92" s="231"/>
      <c r="AF92" s="231"/>
      <c r="AG92" s="231"/>
    </row>
    <row r="93" spans="1:33" s="203" customFormat="1">
      <c r="A93" s="109" t="s">
        <v>103</v>
      </c>
      <c r="B93" s="132"/>
      <c r="C93" s="132"/>
      <c r="D93" s="132"/>
      <c r="E93" s="859"/>
      <c r="F93" s="859"/>
      <c r="G93" s="29"/>
      <c r="H93" s="859"/>
      <c r="I93" s="29"/>
      <c r="J93" s="15"/>
      <c r="K93" s="231"/>
      <c r="L93" s="231"/>
      <c r="M93" s="231"/>
      <c r="N93" s="231"/>
      <c r="O93" s="231"/>
      <c r="P93" s="231"/>
      <c r="Q93" s="231"/>
      <c r="R93" s="231"/>
      <c r="S93" s="231"/>
      <c r="T93" s="231"/>
      <c r="U93" s="231"/>
      <c r="V93" s="231"/>
      <c r="W93" s="231"/>
      <c r="X93" s="231"/>
      <c r="Y93" s="231"/>
      <c r="Z93" s="231"/>
      <c r="AA93" s="231"/>
      <c r="AB93" s="231"/>
      <c r="AC93" s="231"/>
      <c r="AD93" s="231"/>
      <c r="AE93" s="231"/>
      <c r="AF93" s="231"/>
      <c r="AG93" s="231"/>
    </row>
    <row r="94" spans="1:33" s="203" customFormat="1">
      <c r="A94" s="109" t="s">
        <v>83</v>
      </c>
      <c r="B94" s="132"/>
      <c r="C94" s="132"/>
      <c r="D94" s="132"/>
      <c r="E94" s="859"/>
      <c r="F94" s="859"/>
      <c r="G94" s="130"/>
      <c r="H94" s="859"/>
      <c r="I94" s="29"/>
      <c r="J94" s="15"/>
      <c r="K94" s="231"/>
      <c r="L94" s="231"/>
      <c r="M94" s="231"/>
      <c r="N94" s="231"/>
      <c r="O94" s="231"/>
      <c r="P94" s="231"/>
      <c r="Q94" s="231"/>
      <c r="R94" s="231"/>
      <c r="S94" s="231"/>
      <c r="T94" s="231"/>
      <c r="U94" s="231"/>
      <c r="V94" s="231"/>
      <c r="W94" s="231"/>
      <c r="X94" s="231"/>
      <c r="Y94" s="231"/>
      <c r="Z94" s="231"/>
      <c r="AA94" s="231"/>
      <c r="AB94" s="231"/>
      <c r="AC94" s="231"/>
      <c r="AD94" s="231"/>
      <c r="AE94" s="231"/>
      <c r="AF94" s="231"/>
      <c r="AG94" s="231"/>
    </row>
    <row r="95" spans="1:33" s="203" customFormat="1">
      <c r="A95" s="110" t="s">
        <v>84</v>
      </c>
      <c r="B95" s="132"/>
      <c r="C95" s="132"/>
      <c r="D95" s="132"/>
      <c r="E95" s="860"/>
      <c r="F95" s="860"/>
      <c r="G95" s="130"/>
      <c r="H95" s="860"/>
      <c r="I95" s="130"/>
      <c r="J95" s="239"/>
      <c r="K95" s="231"/>
      <c r="L95" s="231"/>
      <c r="M95" s="231"/>
      <c r="N95" s="231"/>
      <c r="O95" s="231"/>
      <c r="P95" s="231"/>
      <c r="Q95" s="231"/>
      <c r="R95" s="231"/>
      <c r="S95" s="231"/>
      <c r="T95" s="231"/>
      <c r="U95" s="231"/>
      <c r="V95" s="231"/>
      <c r="W95" s="231"/>
      <c r="X95" s="231"/>
      <c r="Y95" s="231"/>
      <c r="Z95" s="231"/>
      <c r="AA95" s="231"/>
      <c r="AB95" s="231"/>
      <c r="AC95" s="231"/>
      <c r="AD95" s="231"/>
      <c r="AE95" s="231"/>
      <c r="AF95" s="231"/>
      <c r="AG95" s="231"/>
    </row>
    <row r="96" spans="1:33" s="203" customFormat="1">
      <c r="A96" s="120">
        <v>1</v>
      </c>
      <c r="B96" s="47" t="s">
        <v>104</v>
      </c>
      <c r="C96" s="47"/>
      <c r="D96" s="47"/>
      <c r="E96" s="41">
        <v>365</v>
      </c>
      <c r="F96" s="52">
        <v>455</v>
      </c>
      <c r="G96" s="118"/>
      <c r="H96" s="133">
        <v>518</v>
      </c>
      <c r="I96" s="139"/>
      <c r="J96" s="258"/>
      <c r="K96" s="231"/>
      <c r="L96" s="231"/>
      <c r="M96" s="231"/>
      <c r="N96" s="231"/>
      <c r="O96" s="231"/>
      <c r="P96" s="231"/>
      <c r="Q96" s="231"/>
      <c r="R96" s="231"/>
      <c r="S96" s="231"/>
      <c r="T96" s="231"/>
      <c r="U96" s="231"/>
      <c r="V96" s="231"/>
      <c r="W96" s="231"/>
      <c r="X96" s="231"/>
      <c r="Y96" s="231"/>
      <c r="Z96" s="231"/>
      <c r="AA96" s="231"/>
      <c r="AB96" s="231"/>
      <c r="AC96" s="231"/>
      <c r="AD96" s="231"/>
      <c r="AE96" s="231"/>
      <c r="AF96" s="231"/>
      <c r="AG96" s="231"/>
    </row>
    <row r="97" spans="1:33" s="203" customFormat="1">
      <c r="A97" s="120">
        <v>2</v>
      </c>
      <c r="B97" s="47" t="s">
        <v>105</v>
      </c>
      <c r="C97" s="47"/>
      <c r="D97" s="47"/>
      <c r="E97" s="49">
        <v>20</v>
      </c>
      <c r="F97" s="52">
        <v>20</v>
      </c>
      <c r="G97" s="118"/>
      <c r="H97" s="122">
        <v>20</v>
      </c>
      <c r="I97" s="139"/>
      <c r="J97" s="258"/>
      <c r="K97" s="231"/>
      <c r="L97" s="231"/>
      <c r="M97" s="231"/>
      <c r="N97" s="231"/>
      <c r="O97" s="231"/>
      <c r="P97" s="231"/>
      <c r="Q97" s="231"/>
      <c r="R97" s="231"/>
      <c r="S97" s="231"/>
      <c r="T97" s="231"/>
      <c r="U97" s="231"/>
      <c r="V97" s="231"/>
      <c r="W97" s="231"/>
      <c r="X97" s="231"/>
      <c r="Y97" s="231"/>
      <c r="Z97" s="231"/>
      <c r="AA97" s="231"/>
      <c r="AB97" s="231"/>
      <c r="AC97" s="231"/>
      <c r="AD97" s="231"/>
      <c r="AE97" s="231"/>
      <c r="AF97" s="231"/>
      <c r="AG97" s="231"/>
    </row>
    <row r="98" spans="1:33" s="203" customFormat="1">
      <c r="A98" s="120">
        <v>3</v>
      </c>
      <c r="B98" s="47" t="s">
        <v>106</v>
      </c>
      <c r="C98" s="47"/>
      <c r="D98" s="47"/>
      <c r="E98" s="114">
        <v>20596</v>
      </c>
      <c r="F98" s="50">
        <f>F115</f>
        <v>21297</v>
      </c>
      <c r="G98" s="118"/>
      <c r="H98" s="50">
        <f>H115</f>
        <v>21767</v>
      </c>
      <c r="I98" s="139"/>
      <c r="J98" s="258"/>
      <c r="K98" s="231"/>
      <c r="L98" s="231"/>
      <c r="M98" s="231"/>
      <c r="N98" s="231"/>
      <c r="O98" s="231"/>
      <c r="P98" s="231"/>
      <c r="Q98" s="231"/>
      <c r="R98" s="231"/>
      <c r="S98" s="231"/>
      <c r="T98" s="231"/>
      <c r="U98" s="231"/>
      <c r="V98" s="231"/>
      <c r="W98" s="231"/>
      <c r="X98" s="231"/>
      <c r="Y98" s="231"/>
      <c r="Z98" s="231"/>
      <c r="AA98" s="231"/>
      <c r="AB98" s="231"/>
      <c r="AC98" s="231"/>
      <c r="AD98" s="231"/>
      <c r="AE98" s="231"/>
      <c r="AF98" s="231"/>
      <c r="AG98" s="231"/>
    </row>
    <row r="99" spans="1:33" s="203" customFormat="1">
      <c r="A99" s="120">
        <v>4</v>
      </c>
      <c r="B99" s="47" t="s">
        <v>107</v>
      </c>
      <c r="C99" s="47"/>
      <c r="D99" s="47"/>
      <c r="E99" s="114">
        <v>22964</v>
      </c>
      <c r="F99" s="50">
        <f>F125</f>
        <v>23943</v>
      </c>
      <c r="G99" s="118"/>
      <c r="H99" s="50">
        <f>H125</f>
        <v>23423</v>
      </c>
      <c r="I99" s="139"/>
      <c r="J99" s="258"/>
      <c r="K99" s="231"/>
      <c r="L99" s="231"/>
      <c r="M99" s="231"/>
      <c r="N99" s="231"/>
      <c r="O99" s="231"/>
      <c r="P99" s="231"/>
      <c r="Q99" s="231"/>
      <c r="R99" s="231"/>
      <c r="S99" s="231"/>
      <c r="T99" s="231"/>
      <c r="U99" s="231"/>
      <c r="V99" s="231"/>
      <c r="W99" s="231"/>
      <c r="X99" s="231"/>
      <c r="Y99" s="231"/>
      <c r="Z99" s="231"/>
      <c r="AA99" s="231"/>
      <c r="AB99" s="231"/>
      <c r="AC99" s="231"/>
      <c r="AD99" s="231"/>
      <c r="AE99" s="231"/>
      <c r="AF99" s="231"/>
      <c r="AG99" s="231"/>
    </row>
    <row r="100" spans="1:33" s="203" customFormat="1">
      <c r="A100" s="120">
        <v>5</v>
      </c>
      <c r="B100" s="47" t="s">
        <v>108</v>
      </c>
      <c r="C100" s="47"/>
      <c r="D100" s="47"/>
      <c r="E100" s="114">
        <v>3039</v>
      </c>
      <c r="F100" s="50">
        <f>F135</f>
        <v>3218</v>
      </c>
      <c r="G100" s="118"/>
      <c r="H100" s="50">
        <f>H135</f>
        <v>3428</v>
      </c>
      <c r="I100" s="139"/>
      <c r="J100" s="258"/>
      <c r="K100" s="231"/>
      <c r="L100" s="231"/>
      <c r="M100" s="231"/>
      <c r="N100" s="231"/>
      <c r="O100" s="231"/>
      <c r="P100" s="231"/>
      <c r="Q100" s="231"/>
      <c r="R100" s="231"/>
      <c r="S100" s="231"/>
      <c r="T100" s="231"/>
      <c r="U100" s="231"/>
      <c r="V100" s="231"/>
      <c r="W100" s="231"/>
      <c r="X100" s="231"/>
      <c r="Y100" s="231"/>
      <c r="Z100" s="231"/>
      <c r="AA100" s="231"/>
      <c r="AB100" s="231"/>
      <c r="AC100" s="231"/>
      <c r="AD100" s="231"/>
      <c r="AE100" s="231"/>
      <c r="AF100" s="231"/>
      <c r="AG100" s="231"/>
    </row>
    <row r="101" spans="1:33" s="203" customFormat="1">
      <c r="A101" s="120">
        <v>6</v>
      </c>
      <c r="B101" s="47" t="s">
        <v>109</v>
      </c>
      <c r="C101" s="47"/>
      <c r="D101" s="47"/>
      <c r="E101" s="114">
        <v>7650</v>
      </c>
      <c r="F101" s="50">
        <f>F143</f>
        <v>7561</v>
      </c>
      <c r="G101" s="118"/>
      <c r="H101" s="50">
        <f>H143</f>
        <v>9652</v>
      </c>
      <c r="I101" s="139"/>
      <c r="J101" s="258"/>
      <c r="K101" s="231"/>
      <c r="L101" s="231"/>
      <c r="M101" s="231"/>
      <c r="N101" s="231"/>
      <c r="O101" s="231"/>
      <c r="P101" s="231"/>
      <c r="Q101" s="231"/>
      <c r="R101" s="231"/>
      <c r="S101" s="231"/>
      <c r="T101" s="231"/>
      <c r="U101" s="231"/>
      <c r="V101" s="231"/>
      <c r="W101" s="231"/>
      <c r="X101" s="231"/>
      <c r="Y101" s="231"/>
      <c r="Z101" s="231"/>
      <c r="AA101" s="231"/>
      <c r="AB101" s="231"/>
      <c r="AC101" s="231"/>
      <c r="AD101" s="231"/>
      <c r="AE101" s="231"/>
      <c r="AF101" s="231"/>
      <c r="AG101" s="231"/>
    </row>
    <row r="102" spans="1:33" s="203" customFormat="1">
      <c r="A102" s="120">
        <v>7</v>
      </c>
      <c r="B102" s="47" t="s">
        <v>110</v>
      </c>
      <c r="C102" s="47"/>
      <c r="D102" s="47"/>
      <c r="E102" s="114">
        <v>1613</v>
      </c>
      <c r="F102" s="50">
        <f>F150</f>
        <v>1499</v>
      </c>
      <c r="G102" s="118"/>
      <c r="H102" s="50">
        <f>H150</f>
        <v>1545</v>
      </c>
      <c r="I102" s="139"/>
      <c r="J102" s="258"/>
      <c r="K102" s="231"/>
      <c r="L102" s="231"/>
      <c r="M102" s="231"/>
      <c r="N102" s="231"/>
      <c r="O102" s="231"/>
      <c r="P102" s="231"/>
      <c r="Q102" s="231"/>
      <c r="R102" s="231"/>
      <c r="S102" s="231"/>
      <c r="T102" s="231"/>
      <c r="U102" s="231"/>
      <c r="V102" s="231"/>
      <c r="W102" s="231"/>
      <c r="X102" s="231"/>
      <c r="Y102" s="231"/>
      <c r="Z102" s="231"/>
      <c r="AA102" s="231"/>
      <c r="AB102" s="231"/>
      <c r="AC102" s="231"/>
      <c r="AD102" s="231"/>
      <c r="AE102" s="231"/>
      <c r="AF102" s="231"/>
      <c r="AG102" s="231"/>
    </row>
    <row r="103" spans="1:33" s="203" customFormat="1">
      <c r="A103" s="120">
        <v>8</v>
      </c>
      <c r="B103" s="47" t="s">
        <v>111</v>
      </c>
      <c r="C103" s="47"/>
      <c r="D103" s="47"/>
      <c r="E103" s="114">
        <v>692</v>
      </c>
      <c r="F103" s="52">
        <v>337</v>
      </c>
      <c r="G103" s="118"/>
      <c r="H103" s="122">
        <v>458</v>
      </c>
      <c r="I103" s="139"/>
      <c r="J103" s="258"/>
      <c r="K103" s="231"/>
      <c r="L103" s="231"/>
      <c r="M103" s="231"/>
      <c r="N103" s="231"/>
      <c r="O103" s="231"/>
      <c r="P103" s="231"/>
      <c r="Q103" s="231"/>
      <c r="R103" s="231"/>
      <c r="S103" s="231"/>
      <c r="T103" s="231"/>
      <c r="U103" s="231"/>
      <c r="V103" s="231"/>
      <c r="W103" s="231"/>
      <c r="X103" s="231"/>
      <c r="Y103" s="231"/>
      <c r="Z103" s="231"/>
      <c r="AA103" s="231"/>
      <c r="AB103" s="231"/>
      <c r="AC103" s="231"/>
      <c r="AD103" s="231"/>
      <c r="AE103" s="231"/>
      <c r="AF103" s="231"/>
      <c r="AG103" s="231"/>
    </row>
    <row r="104" spans="1:33" s="203" customFormat="1">
      <c r="A104" s="120">
        <v>9</v>
      </c>
      <c r="B104" s="47" t="s">
        <v>112</v>
      </c>
      <c r="C104" s="47"/>
      <c r="D104" s="47"/>
      <c r="E104" s="114">
        <v>1133</v>
      </c>
      <c r="F104" s="52">
        <v>1133</v>
      </c>
      <c r="G104" s="118"/>
      <c r="H104" s="122">
        <v>1184</v>
      </c>
      <c r="I104" s="139"/>
      <c r="J104" s="258"/>
      <c r="K104" s="231"/>
      <c r="L104" s="231"/>
      <c r="M104" s="231"/>
      <c r="N104" s="231"/>
      <c r="O104" s="231"/>
      <c r="P104" s="231"/>
      <c r="Q104" s="231"/>
      <c r="R104" s="231"/>
      <c r="S104" s="231"/>
      <c r="T104" s="231"/>
      <c r="U104" s="231"/>
      <c r="V104" s="231"/>
      <c r="W104" s="231"/>
      <c r="X104" s="231"/>
      <c r="Y104" s="231"/>
      <c r="Z104" s="231"/>
      <c r="AA104" s="231"/>
      <c r="AB104" s="231"/>
      <c r="AC104" s="231"/>
      <c r="AD104" s="231"/>
      <c r="AE104" s="231"/>
      <c r="AF104" s="231"/>
      <c r="AG104" s="231"/>
    </row>
    <row r="105" spans="1:33" s="203" customFormat="1">
      <c r="A105" s="111" t="s">
        <v>113</v>
      </c>
      <c r="B105" s="116" t="s">
        <v>114</v>
      </c>
      <c r="C105" s="116"/>
      <c r="D105" s="47"/>
      <c r="E105" s="134">
        <v>58072</v>
      </c>
      <c r="F105" s="61">
        <f>SUM(F96:F104)</f>
        <v>59463</v>
      </c>
      <c r="G105" s="118"/>
      <c r="H105" s="61">
        <f>SUM(H96:H104)</f>
        <v>61995</v>
      </c>
      <c r="I105" s="139"/>
      <c r="J105" s="258"/>
      <c r="K105" s="231"/>
      <c r="L105" s="231"/>
      <c r="M105" s="231"/>
      <c r="N105" s="231"/>
      <c r="O105" s="231"/>
      <c r="P105" s="231"/>
      <c r="Q105" s="231"/>
      <c r="R105" s="231"/>
      <c r="S105" s="231"/>
      <c r="T105" s="231"/>
      <c r="U105" s="231"/>
      <c r="V105" s="231"/>
      <c r="W105" s="231"/>
      <c r="X105" s="231"/>
      <c r="Y105" s="231"/>
      <c r="Z105" s="231"/>
      <c r="AA105" s="231"/>
      <c r="AB105" s="231"/>
      <c r="AC105" s="231"/>
      <c r="AD105" s="231"/>
      <c r="AE105" s="231"/>
      <c r="AF105" s="231"/>
      <c r="AG105" s="231"/>
    </row>
    <row r="106" spans="1:33" s="203" customFormat="1">
      <c r="A106" s="120">
        <v>11</v>
      </c>
      <c r="B106" s="90" t="s">
        <v>115</v>
      </c>
      <c r="C106" s="47"/>
      <c r="D106" s="47"/>
      <c r="E106" s="135">
        <v>346</v>
      </c>
      <c r="F106" s="136">
        <v>231</v>
      </c>
      <c r="G106" s="118"/>
      <c r="H106" s="137">
        <v>327</v>
      </c>
      <c r="I106" s="139"/>
      <c r="J106" s="258"/>
      <c r="K106" s="231"/>
      <c r="L106" s="231"/>
      <c r="M106" s="231"/>
      <c r="N106" s="231"/>
      <c r="O106" s="231"/>
      <c r="P106" s="231"/>
      <c r="Q106" s="231"/>
      <c r="R106" s="231"/>
      <c r="S106" s="231"/>
      <c r="T106" s="231"/>
      <c r="U106" s="231"/>
      <c r="V106" s="231"/>
      <c r="W106" s="231"/>
      <c r="X106" s="231"/>
      <c r="Y106" s="231"/>
      <c r="Z106" s="231"/>
      <c r="AA106" s="231"/>
      <c r="AB106" s="231"/>
      <c r="AC106" s="231"/>
      <c r="AD106" s="231"/>
      <c r="AE106" s="231"/>
      <c r="AF106" s="231"/>
      <c r="AG106" s="231"/>
    </row>
    <row r="107" spans="1:33" s="203" customFormat="1">
      <c r="A107" s="111"/>
      <c r="B107" s="47"/>
      <c r="C107" s="47"/>
      <c r="D107" s="138"/>
      <c r="E107" s="117"/>
      <c r="F107" s="139"/>
      <c r="G107" s="139"/>
      <c r="H107" s="139"/>
      <c r="I107" s="139"/>
      <c r="J107" s="258"/>
      <c r="K107" s="231"/>
      <c r="L107" s="231"/>
      <c r="M107" s="231"/>
      <c r="N107" s="231"/>
      <c r="O107" s="231"/>
      <c r="P107" s="231"/>
      <c r="Q107" s="231"/>
      <c r="R107" s="231"/>
      <c r="S107" s="231"/>
      <c r="T107" s="231"/>
      <c r="U107" s="231"/>
      <c r="V107" s="231"/>
      <c r="W107" s="231"/>
      <c r="X107" s="231"/>
      <c r="Y107" s="231"/>
      <c r="Z107" s="231"/>
      <c r="AA107" s="231"/>
      <c r="AB107" s="231"/>
      <c r="AC107" s="231"/>
      <c r="AD107" s="231"/>
      <c r="AE107" s="231"/>
      <c r="AF107" s="231"/>
      <c r="AG107" s="231"/>
    </row>
    <row r="108" spans="1:33" s="203" customFormat="1">
      <c r="A108" s="119" t="s">
        <v>116</v>
      </c>
      <c r="B108" s="47"/>
      <c r="C108" s="47"/>
      <c r="D108" s="47"/>
      <c r="E108" s="117"/>
      <c r="F108" s="139"/>
      <c r="G108" s="139"/>
      <c r="H108" s="139"/>
      <c r="I108" s="139"/>
      <c r="J108" s="258"/>
      <c r="K108" s="231"/>
      <c r="L108" s="231"/>
      <c r="M108" s="231"/>
      <c r="N108" s="231"/>
      <c r="O108" s="231"/>
      <c r="P108" s="231"/>
      <c r="Q108" s="231"/>
      <c r="R108" s="231"/>
      <c r="S108" s="231"/>
      <c r="T108" s="231"/>
      <c r="U108" s="231"/>
      <c r="V108" s="231"/>
      <c r="W108" s="231"/>
      <c r="X108" s="231"/>
      <c r="Y108" s="231"/>
      <c r="Z108" s="231"/>
      <c r="AA108" s="231"/>
      <c r="AB108" s="231"/>
      <c r="AC108" s="231"/>
      <c r="AD108" s="231"/>
      <c r="AE108" s="231"/>
      <c r="AF108" s="231"/>
      <c r="AG108" s="231"/>
    </row>
    <row r="109" spans="1:33" s="203" customFormat="1">
      <c r="A109" s="119" t="s">
        <v>106</v>
      </c>
      <c r="B109" s="47"/>
      <c r="C109" s="47"/>
      <c r="D109" s="47"/>
      <c r="E109" s="140"/>
      <c r="F109" s="141"/>
      <c r="G109" s="139"/>
      <c r="H109" s="141"/>
      <c r="I109" s="139"/>
      <c r="J109" s="258"/>
      <c r="K109" s="231"/>
      <c r="L109" s="231"/>
      <c r="M109" s="231"/>
      <c r="N109" s="231"/>
      <c r="O109" s="231"/>
      <c r="P109" s="231"/>
      <c r="Q109" s="231"/>
      <c r="R109" s="231"/>
      <c r="S109" s="231"/>
      <c r="T109" s="231"/>
      <c r="U109" s="231"/>
      <c r="V109" s="231"/>
      <c r="W109" s="231"/>
      <c r="X109" s="231"/>
      <c r="Y109" s="231"/>
      <c r="Z109" s="231"/>
      <c r="AA109" s="231"/>
      <c r="AB109" s="231"/>
      <c r="AC109" s="231"/>
      <c r="AD109" s="231"/>
      <c r="AE109" s="231"/>
      <c r="AF109" s="231"/>
      <c r="AG109" s="231"/>
    </row>
    <row r="110" spans="1:33" s="203" customFormat="1">
      <c r="A110" s="120">
        <v>12</v>
      </c>
      <c r="B110" s="47" t="s">
        <v>117</v>
      </c>
      <c r="C110" s="47"/>
      <c r="D110" s="47"/>
      <c r="E110" s="49">
        <v>6400</v>
      </c>
      <c r="F110" s="52">
        <v>6677</v>
      </c>
      <c r="G110" s="118"/>
      <c r="H110" s="122">
        <v>6466</v>
      </c>
      <c r="I110" s="139"/>
      <c r="J110" s="258"/>
      <c r="K110" s="231"/>
      <c r="L110" s="231"/>
      <c r="M110" s="231"/>
      <c r="N110" s="231"/>
      <c r="O110" s="231"/>
      <c r="P110" s="231"/>
      <c r="Q110" s="231"/>
      <c r="R110" s="231"/>
      <c r="S110" s="231"/>
      <c r="T110" s="231"/>
      <c r="U110" s="231"/>
      <c r="V110" s="231"/>
      <c r="W110" s="231"/>
      <c r="X110" s="231"/>
      <c r="Y110" s="231"/>
      <c r="Z110" s="231"/>
      <c r="AA110" s="231"/>
      <c r="AB110" s="231"/>
      <c r="AC110" s="231"/>
      <c r="AD110" s="231"/>
      <c r="AE110" s="231"/>
      <c r="AF110" s="231"/>
      <c r="AG110" s="231"/>
    </row>
    <row r="111" spans="1:33" s="203" customFormat="1">
      <c r="A111" s="120">
        <v>13</v>
      </c>
      <c r="B111" s="47" t="s">
        <v>118</v>
      </c>
      <c r="C111" s="47"/>
      <c r="D111" s="47"/>
      <c r="E111" s="49">
        <v>4274</v>
      </c>
      <c r="F111" s="52">
        <v>4472</v>
      </c>
      <c r="G111" s="118"/>
      <c r="H111" s="122">
        <v>4091</v>
      </c>
      <c r="I111" s="139"/>
      <c r="J111" s="258"/>
      <c r="K111" s="231"/>
      <c r="L111" s="231"/>
      <c r="M111" s="231"/>
      <c r="N111" s="231"/>
      <c r="O111" s="231"/>
      <c r="P111" s="231"/>
      <c r="Q111" s="231"/>
      <c r="R111" s="231"/>
      <c r="S111" s="231"/>
      <c r="T111" s="231"/>
      <c r="U111" s="231"/>
      <c r="V111" s="231"/>
      <c r="W111" s="231"/>
      <c r="X111" s="231"/>
      <c r="Y111" s="231"/>
      <c r="Z111" s="231"/>
      <c r="AA111" s="231"/>
      <c r="AB111" s="231"/>
      <c r="AC111" s="231"/>
      <c r="AD111" s="231"/>
      <c r="AE111" s="231"/>
      <c r="AF111" s="231"/>
      <c r="AG111" s="231"/>
    </row>
    <row r="112" spans="1:33" s="203" customFormat="1">
      <c r="A112" s="120">
        <v>14</v>
      </c>
      <c r="B112" s="47" t="s">
        <v>119</v>
      </c>
      <c r="C112" s="47"/>
      <c r="D112" s="47"/>
      <c r="E112" s="49">
        <v>8718</v>
      </c>
      <c r="F112" s="52">
        <v>8969</v>
      </c>
      <c r="G112" s="118"/>
      <c r="H112" s="122">
        <v>9907</v>
      </c>
      <c r="I112" s="139"/>
      <c r="J112" s="258"/>
      <c r="K112" s="231"/>
      <c r="L112" s="231"/>
      <c r="M112" s="231"/>
      <c r="N112" s="231"/>
      <c r="O112" s="231"/>
      <c r="P112" s="231"/>
      <c r="Q112" s="231"/>
      <c r="R112" s="231"/>
      <c r="S112" s="231"/>
      <c r="T112" s="231"/>
      <c r="U112" s="231"/>
      <c r="V112" s="231"/>
      <c r="W112" s="231"/>
      <c r="X112" s="231"/>
      <c r="Y112" s="231"/>
      <c r="Z112" s="231"/>
      <c r="AA112" s="231"/>
      <c r="AB112" s="231"/>
      <c r="AC112" s="231"/>
      <c r="AD112" s="231"/>
      <c r="AE112" s="231"/>
      <c r="AF112" s="231"/>
      <c r="AG112" s="231"/>
    </row>
    <row r="113" spans="1:33" s="203" customFormat="1">
      <c r="A113" s="120">
        <v>15</v>
      </c>
      <c r="B113" s="47" t="s">
        <v>120</v>
      </c>
      <c r="C113" s="47"/>
      <c r="D113" s="47"/>
      <c r="E113" s="49">
        <v>20</v>
      </c>
      <c r="F113" s="52">
        <v>20</v>
      </c>
      <c r="G113" s="118"/>
      <c r="H113" s="122">
        <v>20</v>
      </c>
      <c r="I113" s="139"/>
      <c r="J113" s="258"/>
      <c r="K113" s="231"/>
      <c r="L113" s="231"/>
      <c r="M113" s="231"/>
      <c r="N113" s="231"/>
      <c r="O113" s="231"/>
      <c r="P113" s="231"/>
      <c r="Q113" s="231"/>
      <c r="R113" s="231"/>
      <c r="S113" s="231"/>
      <c r="T113" s="231"/>
      <c r="U113" s="231"/>
      <c r="V113" s="231"/>
      <c r="W113" s="231"/>
      <c r="X113" s="231"/>
      <c r="Y113" s="231"/>
      <c r="Z113" s="231"/>
      <c r="AA113" s="231"/>
      <c r="AB113" s="231"/>
      <c r="AC113" s="231"/>
      <c r="AD113" s="231"/>
      <c r="AE113" s="231"/>
      <c r="AF113" s="231"/>
      <c r="AG113" s="231"/>
    </row>
    <row r="114" spans="1:33" s="203" customFormat="1">
      <c r="A114" s="120">
        <v>16</v>
      </c>
      <c r="B114" s="47" t="s">
        <v>121</v>
      </c>
      <c r="C114" s="47"/>
      <c r="D114" s="47"/>
      <c r="E114" s="49">
        <v>1184</v>
      </c>
      <c r="F114" s="52">
        <v>1159</v>
      </c>
      <c r="G114" s="118"/>
      <c r="H114" s="100">
        <v>1283</v>
      </c>
      <c r="I114" s="139"/>
      <c r="J114" s="258"/>
      <c r="K114" s="231"/>
      <c r="L114" s="231"/>
      <c r="M114" s="231"/>
      <c r="N114" s="231"/>
      <c r="O114" s="231"/>
      <c r="P114" s="231"/>
      <c r="Q114" s="231"/>
      <c r="R114" s="231"/>
      <c r="S114" s="231"/>
      <c r="T114" s="231"/>
      <c r="U114" s="231"/>
      <c r="V114" s="231"/>
      <c r="W114" s="231"/>
      <c r="X114" s="231"/>
      <c r="Y114" s="231"/>
      <c r="Z114" s="231"/>
      <c r="AA114" s="231"/>
      <c r="AB114" s="231"/>
      <c r="AC114" s="231"/>
      <c r="AD114" s="231"/>
      <c r="AE114" s="231"/>
      <c r="AF114" s="231"/>
      <c r="AG114" s="231"/>
    </row>
    <row r="115" spans="1:33" s="203" customFormat="1">
      <c r="A115" s="120">
        <v>17</v>
      </c>
      <c r="B115" s="116" t="s">
        <v>122</v>
      </c>
      <c r="C115" s="116"/>
      <c r="D115" s="116"/>
      <c r="E115" s="80">
        <v>20596</v>
      </c>
      <c r="F115" s="142">
        <f>SUM(F110:F114)</f>
        <v>21297</v>
      </c>
      <c r="G115" s="118"/>
      <c r="H115" s="142">
        <f>SUM(H110:H114)</f>
        <v>21767</v>
      </c>
      <c r="I115" s="139"/>
      <c r="J115" s="258"/>
      <c r="K115" s="231"/>
      <c r="L115" s="231"/>
      <c r="M115" s="231"/>
      <c r="N115" s="231"/>
      <c r="O115" s="231"/>
      <c r="P115" s="231"/>
      <c r="Q115" s="231"/>
      <c r="R115" s="231"/>
      <c r="S115" s="231"/>
      <c r="T115" s="231"/>
      <c r="U115" s="231"/>
      <c r="V115" s="231"/>
      <c r="W115" s="231"/>
      <c r="X115" s="231"/>
      <c r="Y115" s="231"/>
      <c r="Z115" s="231"/>
      <c r="AA115" s="231"/>
      <c r="AB115" s="231"/>
      <c r="AC115" s="231"/>
      <c r="AD115" s="231"/>
      <c r="AE115" s="231"/>
      <c r="AF115" s="231"/>
      <c r="AG115" s="231"/>
    </row>
    <row r="116" spans="1:33" s="203" customFormat="1">
      <c r="A116" s="111"/>
      <c r="B116" s="116"/>
      <c r="C116" s="116"/>
      <c r="D116" s="116"/>
      <c r="E116" s="143"/>
      <c r="F116" s="118"/>
      <c r="G116" s="118"/>
      <c r="H116" s="118"/>
      <c r="I116" s="139"/>
      <c r="J116" s="258"/>
      <c r="K116" s="231"/>
      <c r="L116" s="231"/>
      <c r="M116" s="231"/>
      <c r="N116" s="231"/>
      <c r="O116" s="231"/>
      <c r="P116" s="231"/>
      <c r="Q116" s="231"/>
      <c r="R116" s="231"/>
      <c r="S116" s="231"/>
      <c r="T116" s="231"/>
      <c r="U116" s="231"/>
      <c r="V116" s="231"/>
      <c r="W116" s="231"/>
      <c r="X116" s="231"/>
      <c r="Y116" s="231"/>
      <c r="Z116" s="231"/>
      <c r="AA116" s="231"/>
      <c r="AB116" s="231"/>
      <c r="AC116" s="231"/>
      <c r="AD116" s="231"/>
      <c r="AE116" s="231"/>
      <c r="AF116" s="231"/>
      <c r="AG116" s="231"/>
    </row>
    <row r="117" spans="1:33" s="203" customFormat="1">
      <c r="A117" s="144" t="s">
        <v>107</v>
      </c>
      <c r="B117" s="116"/>
      <c r="C117" s="116"/>
      <c r="D117" s="116"/>
      <c r="E117" s="145"/>
      <c r="F117" s="146"/>
      <c r="G117" s="118"/>
      <c r="H117" s="146"/>
      <c r="I117" s="139"/>
      <c r="J117" s="258"/>
      <c r="K117" s="231"/>
      <c r="L117" s="231"/>
      <c r="M117" s="231"/>
      <c r="N117" s="231"/>
      <c r="O117" s="231"/>
      <c r="P117" s="231"/>
      <c r="Q117" s="231"/>
      <c r="R117" s="231"/>
      <c r="S117" s="231"/>
      <c r="T117" s="231"/>
      <c r="U117" s="231"/>
      <c r="V117" s="231"/>
      <c r="W117" s="231"/>
      <c r="X117" s="231"/>
      <c r="Y117" s="231"/>
      <c r="Z117" s="231"/>
      <c r="AA117" s="231"/>
      <c r="AB117" s="231"/>
      <c r="AC117" s="231"/>
      <c r="AD117" s="231"/>
      <c r="AE117" s="231"/>
      <c r="AF117" s="231"/>
      <c r="AG117" s="231"/>
    </row>
    <row r="118" spans="1:33" s="203" customFormat="1">
      <c r="A118" s="120">
        <v>18</v>
      </c>
      <c r="B118" s="47" t="s">
        <v>123</v>
      </c>
      <c r="C118" s="47"/>
      <c r="D118" s="47"/>
      <c r="E118" s="49">
        <v>4818</v>
      </c>
      <c r="F118" s="52">
        <v>4419</v>
      </c>
      <c r="G118" s="118"/>
      <c r="H118" s="122">
        <v>4456</v>
      </c>
      <c r="I118" s="139"/>
      <c r="J118" s="258"/>
      <c r="K118" s="231"/>
      <c r="L118" s="231"/>
      <c r="M118" s="231"/>
      <c r="N118" s="231"/>
      <c r="O118" s="231"/>
      <c r="P118" s="231"/>
      <c r="Q118" s="231"/>
      <c r="R118" s="231"/>
      <c r="S118" s="231"/>
      <c r="T118" s="231"/>
      <c r="U118" s="231"/>
      <c r="V118" s="231"/>
      <c r="W118" s="231"/>
      <c r="X118" s="231"/>
      <c r="Y118" s="231"/>
      <c r="Z118" s="231"/>
      <c r="AA118" s="231"/>
      <c r="AB118" s="231"/>
      <c r="AC118" s="231"/>
      <c r="AD118" s="231"/>
      <c r="AE118" s="231"/>
      <c r="AF118" s="231"/>
      <c r="AG118" s="231"/>
    </row>
    <row r="119" spans="1:33" s="203" customFormat="1">
      <c r="A119" s="120">
        <v>19</v>
      </c>
      <c r="B119" s="47" t="s">
        <v>124</v>
      </c>
      <c r="C119" s="47"/>
      <c r="D119" s="47"/>
      <c r="E119" s="49">
        <v>8898</v>
      </c>
      <c r="F119" s="52">
        <v>9787</v>
      </c>
      <c r="G119" s="118"/>
      <c r="H119" s="122">
        <v>8119</v>
      </c>
      <c r="I119" s="139"/>
      <c r="J119" s="258"/>
      <c r="K119" s="231"/>
      <c r="L119" s="231"/>
      <c r="M119" s="231"/>
      <c r="N119" s="231"/>
      <c r="O119" s="231"/>
      <c r="P119" s="231"/>
      <c r="Q119" s="231"/>
      <c r="R119" s="231"/>
      <c r="S119" s="231"/>
      <c r="T119" s="231"/>
      <c r="U119" s="231"/>
      <c r="V119" s="231"/>
      <c r="W119" s="231"/>
      <c r="X119" s="231"/>
      <c r="Y119" s="231"/>
      <c r="Z119" s="231"/>
      <c r="AA119" s="231"/>
      <c r="AB119" s="231"/>
      <c r="AC119" s="231"/>
      <c r="AD119" s="231"/>
      <c r="AE119" s="231"/>
      <c r="AF119" s="231"/>
      <c r="AG119" s="231"/>
    </row>
    <row r="120" spans="1:33" s="203" customFormat="1">
      <c r="A120" s="120">
        <v>20</v>
      </c>
      <c r="B120" s="47" t="s">
        <v>119</v>
      </c>
      <c r="C120" s="47"/>
      <c r="D120" s="47"/>
      <c r="E120" s="49">
        <v>6574</v>
      </c>
      <c r="F120" s="52">
        <v>7231</v>
      </c>
      <c r="G120" s="118"/>
      <c r="H120" s="122">
        <v>8332</v>
      </c>
      <c r="I120" s="139"/>
      <c r="J120" s="258"/>
      <c r="K120" s="231"/>
      <c r="L120" s="231"/>
      <c r="M120" s="231"/>
      <c r="N120" s="231"/>
      <c r="O120" s="231"/>
      <c r="P120" s="231"/>
      <c r="Q120" s="231"/>
      <c r="R120" s="231"/>
      <c r="S120" s="231"/>
      <c r="T120" s="231"/>
      <c r="U120" s="231"/>
      <c r="V120" s="231"/>
      <c r="W120" s="231"/>
      <c r="X120" s="231"/>
      <c r="Y120" s="231"/>
      <c r="Z120" s="231"/>
      <c r="AA120" s="231"/>
      <c r="AB120" s="231"/>
      <c r="AC120" s="231"/>
      <c r="AD120" s="231"/>
      <c r="AE120" s="231"/>
      <c r="AF120" s="231"/>
      <c r="AG120" s="231"/>
    </row>
    <row r="121" spans="1:33" s="203" customFormat="1">
      <c r="A121" s="120">
        <v>21</v>
      </c>
      <c r="B121" s="47" t="s">
        <v>120</v>
      </c>
      <c r="C121" s="47"/>
      <c r="D121" s="47"/>
      <c r="E121" s="49">
        <v>1261</v>
      </c>
      <c r="F121" s="52">
        <v>1220</v>
      </c>
      <c r="G121" s="118"/>
      <c r="H121" s="122">
        <v>1254</v>
      </c>
      <c r="I121" s="139"/>
      <c r="J121" s="258"/>
      <c r="K121" s="231"/>
      <c r="L121" s="231"/>
      <c r="M121" s="231"/>
      <c r="N121" s="231"/>
      <c r="O121" s="231"/>
      <c r="P121" s="231"/>
      <c r="Q121" s="231"/>
      <c r="R121" s="231"/>
      <c r="S121" s="231"/>
      <c r="T121" s="231"/>
      <c r="U121" s="231"/>
      <c r="V121" s="231"/>
      <c r="W121" s="231"/>
      <c r="X121" s="231"/>
      <c r="Y121" s="231"/>
      <c r="Z121" s="231"/>
      <c r="AA121" s="231"/>
      <c r="AB121" s="231"/>
      <c r="AC121" s="231"/>
      <c r="AD121" s="231"/>
      <c r="AE121" s="231"/>
      <c r="AF121" s="231"/>
      <c r="AG121" s="231"/>
    </row>
    <row r="122" spans="1:33" s="203" customFormat="1">
      <c r="A122" s="120">
        <v>22</v>
      </c>
      <c r="B122" s="47" t="s">
        <v>125</v>
      </c>
      <c r="C122" s="47"/>
      <c r="D122" s="47"/>
      <c r="E122" s="49">
        <v>259</v>
      </c>
      <c r="F122" s="52">
        <v>266</v>
      </c>
      <c r="G122" s="118"/>
      <c r="H122" s="122">
        <v>214</v>
      </c>
      <c r="I122" s="139"/>
      <c r="J122" s="258"/>
      <c r="K122" s="231"/>
      <c r="L122" s="231"/>
      <c r="M122" s="231"/>
      <c r="N122" s="231"/>
      <c r="O122" s="231"/>
      <c r="P122" s="231"/>
      <c r="Q122" s="231"/>
      <c r="R122" s="231"/>
      <c r="S122" s="231"/>
      <c r="T122" s="231"/>
      <c r="U122" s="231"/>
      <c r="V122" s="231"/>
      <c r="W122" s="231"/>
      <c r="X122" s="231"/>
      <c r="Y122" s="231"/>
      <c r="Z122" s="231"/>
      <c r="AA122" s="231"/>
      <c r="AB122" s="231"/>
      <c r="AC122" s="231"/>
      <c r="AD122" s="231"/>
      <c r="AE122" s="231"/>
      <c r="AF122" s="231"/>
      <c r="AG122" s="231"/>
    </row>
    <row r="123" spans="1:33" s="203" customFormat="1">
      <c r="A123" s="120">
        <v>23</v>
      </c>
      <c r="B123" s="90" t="s">
        <v>126</v>
      </c>
      <c r="C123" s="47"/>
      <c r="D123" s="47"/>
      <c r="E123" s="49">
        <v>994</v>
      </c>
      <c r="F123" s="52">
        <v>1007</v>
      </c>
      <c r="G123" s="118"/>
      <c r="H123" s="99">
        <v>1007</v>
      </c>
      <c r="I123" s="139"/>
      <c r="J123" s="258"/>
      <c r="K123" s="231"/>
      <c r="L123" s="231"/>
      <c r="M123" s="231"/>
      <c r="N123" s="231"/>
      <c r="O123" s="231"/>
      <c r="P123" s="231"/>
      <c r="Q123" s="231"/>
      <c r="R123" s="231"/>
      <c r="S123" s="231"/>
      <c r="T123" s="231"/>
      <c r="U123" s="231"/>
      <c r="V123" s="231"/>
      <c r="W123" s="231"/>
      <c r="X123" s="231"/>
      <c r="Y123" s="231"/>
      <c r="Z123" s="231"/>
      <c r="AA123" s="231"/>
      <c r="AB123" s="231"/>
      <c r="AC123" s="231"/>
      <c r="AD123" s="231"/>
      <c r="AE123" s="231"/>
      <c r="AF123" s="231"/>
      <c r="AG123" s="231"/>
    </row>
    <row r="124" spans="1:33" s="203" customFormat="1">
      <c r="A124" s="120">
        <v>24</v>
      </c>
      <c r="B124" s="47" t="s">
        <v>121</v>
      </c>
      <c r="C124" s="47"/>
      <c r="D124" s="47"/>
      <c r="E124" s="49">
        <v>160</v>
      </c>
      <c r="F124" s="52">
        <v>13</v>
      </c>
      <c r="G124" s="118"/>
      <c r="H124" s="100">
        <v>41</v>
      </c>
      <c r="I124" s="139"/>
      <c r="J124" s="258"/>
      <c r="K124" s="231"/>
      <c r="L124" s="231"/>
      <c r="M124" s="231"/>
      <c r="N124" s="231"/>
      <c r="O124" s="231"/>
      <c r="P124" s="231"/>
      <c r="Q124" s="231"/>
      <c r="R124" s="231"/>
      <c r="S124" s="231"/>
      <c r="T124" s="231"/>
      <c r="U124" s="231"/>
      <c r="V124" s="231"/>
      <c r="W124" s="231"/>
      <c r="X124" s="231"/>
      <c r="Y124" s="231"/>
      <c r="Z124" s="231"/>
      <c r="AA124" s="231"/>
      <c r="AB124" s="231"/>
      <c r="AC124" s="231"/>
      <c r="AD124" s="231"/>
      <c r="AE124" s="231"/>
      <c r="AF124" s="231"/>
      <c r="AG124" s="231"/>
    </row>
    <row r="125" spans="1:33" s="203" customFormat="1">
      <c r="A125" s="120">
        <v>25</v>
      </c>
      <c r="B125" s="147" t="s">
        <v>127</v>
      </c>
      <c r="C125" s="147"/>
      <c r="D125" s="147"/>
      <c r="E125" s="80">
        <v>22964</v>
      </c>
      <c r="F125" s="142">
        <f>SUM(F118:F124)</f>
        <v>23943</v>
      </c>
      <c r="G125" s="118"/>
      <c r="H125" s="142">
        <f>SUM(H118:H124)</f>
        <v>23423</v>
      </c>
      <c r="I125" s="139"/>
      <c r="J125" s="258"/>
      <c r="K125" s="231"/>
      <c r="L125" s="231"/>
      <c r="M125" s="231"/>
      <c r="N125" s="231"/>
      <c r="O125" s="231"/>
      <c r="P125" s="231"/>
      <c r="Q125" s="231"/>
      <c r="R125" s="231"/>
      <c r="S125" s="231"/>
      <c r="T125" s="231"/>
      <c r="U125" s="231"/>
      <c r="V125" s="231"/>
      <c r="W125" s="231"/>
      <c r="X125" s="231"/>
      <c r="Y125" s="231"/>
      <c r="Z125" s="231"/>
      <c r="AA125" s="231"/>
      <c r="AB125" s="231"/>
      <c r="AC125" s="231"/>
      <c r="AD125" s="231"/>
      <c r="AE125" s="231"/>
      <c r="AF125" s="231"/>
      <c r="AG125" s="231"/>
    </row>
    <row r="126" spans="1:33" s="203" customFormat="1">
      <c r="A126" s="111"/>
      <c r="B126" s="47"/>
      <c r="C126" s="47"/>
      <c r="D126" s="47"/>
      <c r="E126" s="117"/>
      <c r="F126" s="118"/>
      <c r="G126" s="118"/>
      <c r="H126" s="118"/>
      <c r="I126" s="139"/>
      <c r="J126" s="258"/>
      <c r="K126" s="231"/>
      <c r="L126" s="231"/>
      <c r="M126" s="231"/>
      <c r="N126" s="231"/>
      <c r="O126" s="231"/>
      <c r="P126" s="231"/>
      <c r="Q126" s="231"/>
      <c r="R126" s="231"/>
      <c r="S126" s="231"/>
      <c r="T126" s="231"/>
      <c r="U126" s="231"/>
      <c r="V126" s="231"/>
      <c r="W126" s="231"/>
      <c r="X126" s="231"/>
      <c r="Y126" s="231"/>
      <c r="Z126" s="231"/>
      <c r="AA126" s="231"/>
      <c r="AB126" s="231"/>
      <c r="AC126" s="231"/>
      <c r="AD126" s="231"/>
      <c r="AE126" s="231"/>
      <c r="AF126" s="231"/>
      <c r="AG126" s="231"/>
    </row>
    <row r="127" spans="1:33" s="203" customFormat="1">
      <c r="A127" s="119" t="s">
        <v>108</v>
      </c>
      <c r="B127" s="147"/>
      <c r="C127" s="147"/>
      <c r="D127" s="147"/>
      <c r="E127" s="140"/>
      <c r="F127" s="146"/>
      <c r="G127" s="118"/>
      <c r="H127" s="146"/>
      <c r="I127" s="139"/>
      <c r="J127" s="258"/>
      <c r="K127" s="231"/>
      <c r="L127" s="231"/>
      <c r="M127" s="231"/>
      <c r="N127" s="231"/>
      <c r="O127" s="231"/>
      <c r="P127" s="231"/>
      <c r="Q127" s="231"/>
      <c r="R127" s="231"/>
      <c r="S127" s="231"/>
      <c r="T127" s="231"/>
      <c r="U127" s="231"/>
      <c r="V127" s="231"/>
      <c r="W127" s="231"/>
      <c r="X127" s="231"/>
      <c r="Y127" s="231"/>
      <c r="Z127" s="231"/>
      <c r="AA127" s="231"/>
      <c r="AB127" s="231"/>
      <c r="AC127" s="231"/>
      <c r="AD127" s="231"/>
      <c r="AE127" s="231"/>
      <c r="AF127" s="231"/>
      <c r="AG127" s="231"/>
    </row>
    <row r="128" spans="1:33" s="203" customFormat="1">
      <c r="A128" s="120">
        <v>26</v>
      </c>
      <c r="B128" s="47" t="s">
        <v>123</v>
      </c>
      <c r="C128" s="47"/>
      <c r="D128" s="47"/>
      <c r="E128" s="74">
        <v>332</v>
      </c>
      <c r="F128" s="52">
        <v>331</v>
      </c>
      <c r="G128" s="118"/>
      <c r="H128" s="122">
        <v>302</v>
      </c>
      <c r="I128" s="139"/>
      <c r="J128" s="258"/>
      <c r="K128" s="231"/>
      <c r="L128" s="231"/>
      <c r="M128" s="231"/>
      <c r="N128" s="231"/>
      <c r="O128" s="231"/>
      <c r="P128" s="231"/>
      <c r="Q128" s="231"/>
      <c r="R128" s="231"/>
      <c r="S128" s="231"/>
      <c r="T128" s="231"/>
      <c r="U128" s="231"/>
      <c r="V128" s="231"/>
      <c r="W128" s="231"/>
      <c r="X128" s="231"/>
      <c r="Y128" s="231"/>
      <c r="Z128" s="231"/>
      <c r="AA128" s="231"/>
      <c r="AB128" s="231"/>
      <c r="AC128" s="231"/>
      <c r="AD128" s="231"/>
      <c r="AE128" s="231"/>
      <c r="AF128" s="231"/>
      <c r="AG128" s="231"/>
    </row>
    <row r="129" spans="1:33" s="203" customFormat="1">
      <c r="A129" s="120">
        <v>27</v>
      </c>
      <c r="B129" s="47" t="s">
        <v>124</v>
      </c>
      <c r="C129" s="47"/>
      <c r="D129" s="47"/>
      <c r="E129" s="49">
        <v>388</v>
      </c>
      <c r="F129" s="52">
        <v>317</v>
      </c>
      <c r="G129" s="118"/>
      <c r="H129" s="122">
        <v>377</v>
      </c>
      <c r="I129" s="139"/>
      <c r="J129" s="258"/>
      <c r="K129" s="231"/>
      <c r="L129" s="231"/>
      <c r="M129" s="231"/>
      <c r="N129" s="231"/>
      <c r="O129" s="231"/>
      <c r="P129" s="231"/>
      <c r="Q129" s="231"/>
      <c r="R129" s="231"/>
      <c r="S129" s="231"/>
      <c r="T129" s="231"/>
      <c r="U129" s="231"/>
      <c r="V129" s="231"/>
      <c r="W129" s="231"/>
      <c r="X129" s="231"/>
      <c r="Y129" s="231"/>
      <c r="Z129" s="231"/>
      <c r="AA129" s="231"/>
      <c r="AB129" s="231"/>
      <c r="AC129" s="231"/>
      <c r="AD129" s="231"/>
      <c r="AE129" s="231"/>
      <c r="AF129" s="231"/>
      <c r="AG129" s="231"/>
    </row>
    <row r="130" spans="1:33" s="203" customFormat="1">
      <c r="A130" s="120">
        <v>28</v>
      </c>
      <c r="B130" s="47" t="s">
        <v>119</v>
      </c>
      <c r="C130" s="47"/>
      <c r="D130" s="47"/>
      <c r="E130" s="49">
        <v>964</v>
      </c>
      <c r="F130" s="52">
        <v>1115</v>
      </c>
      <c r="G130" s="118"/>
      <c r="H130" s="122">
        <v>1112</v>
      </c>
      <c r="I130" s="139"/>
      <c r="J130" s="258"/>
      <c r="K130" s="231"/>
      <c r="L130" s="231"/>
      <c r="M130" s="231"/>
      <c r="N130" s="231"/>
      <c r="O130" s="231"/>
      <c r="P130" s="231"/>
      <c r="Q130" s="231"/>
      <c r="R130" s="231"/>
      <c r="S130" s="231"/>
      <c r="T130" s="231"/>
      <c r="U130" s="231"/>
      <c r="V130" s="231"/>
      <c r="W130" s="231"/>
      <c r="X130" s="231"/>
      <c r="Y130" s="231"/>
      <c r="Z130" s="231"/>
      <c r="AA130" s="231"/>
      <c r="AB130" s="231"/>
      <c r="AC130" s="231"/>
      <c r="AD130" s="231"/>
      <c r="AE130" s="231"/>
      <c r="AF130" s="231"/>
      <c r="AG130" s="231"/>
    </row>
    <row r="131" spans="1:33" s="203" customFormat="1">
      <c r="A131" s="120">
        <v>29</v>
      </c>
      <c r="B131" s="47" t="s">
        <v>120</v>
      </c>
      <c r="C131" s="47"/>
      <c r="D131" s="47"/>
      <c r="E131" s="49">
        <v>362</v>
      </c>
      <c r="F131" s="52">
        <v>321</v>
      </c>
      <c r="G131" s="118"/>
      <c r="H131" s="122">
        <v>342</v>
      </c>
      <c r="I131" s="139"/>
      <c r="J131" s="258"/>
      <c r="K131" s="231"/>
      <c r="L131" s="231"/>
      <c r="M131" s="231"/>
      <c r="N131" s="231"/>
      <c r="O131" s="231"/>
      <c r="P131" s="231"/>
      <c r="Q131" s="231"/>
      <c r="R131" s="231"/>
      <c r="S131" s="231"/>
      <c r="T131" s="231"/>
      <c r="U131" s="231"/>
      <c r="V131" s="231"/>
      <c r="W131" s="231"/>
      <c r="X131" s="231"/>
      <c r="Y131" s="231"/>
      <c r="Z131" s="231"/>
      <c r="AA131" s="231"/>
      <c r="AB131" s="231"/>
      <c r="AC131" s="231"/>
      <c r="AD131" s="231"/>
      <c r="AE131" s="231"/>
      <c r="AF131" s="231"/>
      <c r="AG131" s="231"/>
    </row>
    <row r="132" spans="1:33" s="203" customFormat="1">
      <c r="A132" s="120">
        <v>30</v>
      </c>
      <c r="B132" s="47" t="s">
        <v>125</v>
      </c>
      <c r="C132" s="47"/>
      <c r="D132" s="47"/>
      <c r="E132" s="49">
        <v>130</v>
      </c>
      <c r="F132" s="52">
        <v>143</v>
      </c>
      <c r="G132" s="118"/>
      <c r="H132" s="122">
        <v>122</v>
      </c>
      <c r="I132" s="139"/>
      <c r="J132" s="258"/>
      <c r="K132" s="231"/>
      <c r="L132" s="231"/>
      <c r="M132" s="231"/>
      <c r="N132" s="231"/>
      <c r="O132" s="231"/>
      <c r="P132" s="231"/>
      <c r="Q132" s="231"/>
      <c r="R132" s="231"/>
      <c r="S132" s="231"/>
      <c r="T132" s="231"/>
      <c r="U132" s="231"/>
      <c r="V132" s="231"/>
      <c r="W132" s="231"/>
      <c r="X132" s="231"/>
      <c r="Y132" s="231"/>
      <c r="Z132" s="231"/>
      <c r="AA132" s="231"/>
      <c r="AB132" s="231"/>
      <c r="AC132" s="231"/>
      <c r="AD132" s="231"/>
      <c r="AE132" s="231"/>
      <c r="AF132" s="231"/>
      <c r="AG132" s="231"/>
    </row>
    <row r="133" spans="1:33" s="203" customFormat="1">
      <c r="A133" s="120">
        <v>31</v>
      </c>
      <c r="B133" s="90" t="s">
        <v>126</v>
      </c>
      <c r="C133" s="47"/>
      <c r="D133" s="47"/>
      <c r="E133" s="49">
        <v>431</v>
      </c>
      <c r="F133" s="52">
        <v>522</v>
      </c>
      <c r="G133" s="118"/>
      <c r="H133" s="122">
        <v>522</v>
      </c>
      <c r="I133" s="139"/>
      <c r="J133" s="258"/>
      <c r="K133" s="231"/>
      <c r="L133" s="231"/>
      <c r="M133" s="231"/>
      <c r="N133" s="231"/>
      <c r="O133" s="231"/>
      <c r="P133" s="231"/>
      <c r="Q133" s="231"/>
      <c r="R133" s="231"/>
      <c r="S133" s="231"/>
      <c r="T133" s="231"/>
      <c r="U133" s="231"/>
      <c r="V133" s="231"/>
      <c r="W133" s="231"/>
      <c r="X133" s="231"/>
      <c r="Y133" s="231"/>
      <c r="Z133" s="231"/>
      <c r="AA133" s="231"/>
      <c r="AB133" s="231"/>
      <c r="AC133" s="231"/>
      <c r="AD133" s="231"/>
      <c r="AE133" s="231"/>
      <c r="AF133" s="231"/>
      <c r="AG133" s="231"/>
    </row>
    <row r="134" spans="1:33" s="203" customFormat="1">
      <c r="A134" s="120">
        <v>32</v>
      </c>
      <c r="B134" s="47" t="s">
        <v>121</v>
      </c>
      <c r="C134" s="47"/>
      <c r="D134" s="47"/>
      <c r="E134" s="49">
        <v>432</v>
      </c>
      <c r="F134" s="52">
        <v>469</v>
      </c>
      <c r="G134" s="118"/>
      <c r="H134" s="100">
        <v>651</v>
      </c>
      <c r="I134" s="139"/>
      <c r="J134" s="258"/>
      <c r="K134" s="231"/>
      <c r="L134" s="231"/>
      <c r="M134" s="231"/>
      <c r="N134" s="231"/>
      <c r="O134" s="231"/>
      <c r="P134" s="231"/>
      <c r="Q134" s="231"/>
      <c r="R134" s="231"/>
      <c r="S134" s="231"/>
      <c r="T134" s="231"/>
      <c r="U134" s="231"/>
      <c r="V134" s="231"/>
      <c r="W134" s="231"/>
      <c r="X134" s="231"/>
      <c r="Y134" s="231"/>
      <c r="Z134" s="231"/>
      <c r="AA134" s="231"/>
      <c r="AB134" s="231"/>
      <c r="AC134" s="231"/>
      <c r="AD134" s="231"/>
      <c r="AE134" s="231"/>
      <c r="AF134" s="231"/>
      <c r="AG134" s="231"/>
    </row>
    <row r="135" spans="1:33" s="203" customFormat="1">
      <c r="A135" s="120">
        <v>33</v>
      </c>
      <c r="B135" s="116" t="s">
        <v>128</v>
      </c>
      <c r="C135" s="116"/>
      <c r="D135" s="116"/>
      <c r="E135" s="80">
        <v>3039</v>
      </c>
      <c r="F135" s="142">
        <f>SUM(F128:F134)</f>
        <v>3218</v>
      </c>
      <c r="G135" s="118"/>
      <c r="H135" s="142">
        <f>SUM(H128:H134)</f>
        <v>3428</v>
      </c>
      <c r="I135" s="139"/>
      <c r="J135" s="258"/>
      <c r="K135" s="231"/>
      <c r="L135" s="231"/>
      <c r="M135" s="231"/>
      <c r="N135" s="231"/>
      <c r="O135" s="231"/>
      <c r="P135" s="231"/>
      <c r="Q135" s="231"/>
      <c r="R135" s="231"/>
      <c r="S135" s="231"/>
      <c r="T135" s="231"/>
      <c r="U135" s="231"/>
      <c r="V135" s="231"/>
      <c r="W135" s="231"/>
      <c r="X135" s="231"/>
      <c r="Y135" s="231"/>
      <c r="Z135" s="231"/>
      <c r="AA135" s="231"/>
      <c r="AB135" s="231"/>
      <c r="AC135" s="231"/>
      <c r="AD135" s="231"/>
      <c r="AE135" s="231"/>
      <c r="AF135" s="231"/>
      <c r="AG135" s="231"/>
    </row>
    <row r="136" spans="1:33" s="203" customFormat="1">
      <c r="A136" s="111"/>
      <c r="B136" s="47"/>
      <c r="C136" s="47"/>
      <c r="D136" s="138"/>
      <c r="E136" s="117"/>
      <c r="F136" s="118"/>
      <c r="G136" s="118"/>
      <c r="H136" s="118"/>
      <c r="I136" s="139"/>
      <c r="J136" s="258"/>
      <c r="K136" s="231"/>
      <c r="L136" s="231"/>
      <c r="M136" s="231"/>
      <c r="N136" s="231"/>
      <c r="O136" s="231"/>
      <c r="P136" s="231"/>
      <c r="Q136" s="231"/>
      <c r="R136" s="231"/>
      <c r="S136" s="231"/>
      <c r="T136" s="231"/>
      <c r="U136" s="231"/>
      <c r="V136" s="231"/>
      <c r="W136" s="231"/>
      <c r="X136" s="231"/>
      <c r="Y136" s="231"/>
      <c r="Z136" s="231"/>
      <c r="AA136" s="231"/>
      <c r="AB136" s="231"/>
      <c r="AC136" s="231"/>
      <c r="AD136" s="231"/>
      <c r="AE136" s="231"/>
      <c r="AF136" s="231"/>
      <c r="AG136" s="231"/>
    </row>
    <row r="137" spans="1:33" s="203" customFormat="1">
      <c r="A137" s="119" t="s">
        <v>109</v>
      </c>
      <c r="B137" s="116"/>
      <c r="C137" s="116"/>
      <c r="D137" s="116"/>
      <c r="E137" s="140"/>
      <c r="F137" s="146"/>
      <c r="G137" s="118"/>
      <c r="H137" s="146"/>
      <c r="I137" s="139"/>
      <c r="J137" s="258"/>
      <c r="K137" s="231"/>
      <c r="L137" s="231"/>
      <c r="M137" s="231"/>
      <c r="N137" s="231"/>
      <c r="O137" s="231"/>
      <c r="P137" s="231"/>
      <c r="Q137" s="231"/>
      <c r="R137" s="231"/>
      <c r="S137" s="231"/>
      <c r="T137" s="231"/>
      <c r="U137" s="231"/>
      <c r="V137" s="231"/>
      <c r="W137" s="231"/>
      <c r="X137" s="231"/>
      <c r="Y137" s="231"/>
      <c r="Z137" s="231"/>
      <c r="AA137" s="231"/>
      <c r="AB137" s="231"/>
      <c r="AC137" s="231"/>
      <c r="AD137" s="231"/>
      <c r="AE137" s="231"/>
      <c r="AF137" s="231"/>
      <c r="AG137" s="231"/>
    </row>
    <row r="138" spans="1:33" s="203" customFormat="1">
      <c r="A138" s="120">
        <v>34</v>
      </c>
      <c r="B138" s="47" t="s">
        <v>123</v>
      </c>
      <c r="C138" s="47"/>
      <c r="D138" s="47"/>
      <c r="E138" s="49">
        <v>1674</v>
      </c>
      <c r="F138" s="52">
        <v>1492</v>
      </c>
      <c r="G138" s="118"/>
      <c r="H138" s="122">
        <v>1511</v>
      </c>
      <c r="I138" s="139"/>
      <c r="J138" s="258"/>
      <c r="K138" s="231"/>
      <c r="L138" s="231"/>
      <c r="M138" s="231"/>
      <c r="N138" s="231"/>
      <c r="O138" s="231"/>
      <c r="P138" s="231"/>
      <c r="Q138" s="231"/>
      <c r="R138" s="231"/>
      <c r="S138" s="231"/>
      <c r="T138" s="231"/>
      <c r="U138" s="231"/>
      <c r="V138" s="231"/>
      <c r="W138" s="231"/>
      <c r="X138" s="231"/>
      <c r="Y138" s="231"/>
      <c r="Z138" s="231"/>
      <c r="AA138" s="231"/>
      <c r="AB138" s="231"/>
      <c r="AC138" s="231"/>
      <c r="AD138" s="231"/>
      <c r="AE138" s="231"/>
      <c r="AF138" s="231"/>
      <c r="AG138" s="231"/>
    </row>
    <row r="139" spans="1:33" s="203" customFormat="1">
      <c r="A139" s="120">
        <v>35</v>
      </c>
      <c r="B139" s="47" t="s">
        <v>119</v>
      </c>
      <c r="C139" s="47"/>
      <c r="D139" s="47"/>
      <c r="E139" s="49">
        <v>1888</v>
      </c>
      <c r="F139" s="52">
        <v>1826</v>
      </c>
      <c r="G139" s="118"/>
      <c r="H139" s="122">
        <v>3116</v>
      </c>
      <c r="I139" s="139"/>
      <c r="J139" s="258"/>
      <c r="K139" s="231"/>
      <c r="L139" s="231"/>
      <c r="M139" s="231"/>
      <c r="N139" s="231"/>
      <c r="O139" s="231"/>
      <c r="P139" s="231"/>
      <c r="Q139" s="231"/>
      <c r="R139" s="231"/>
      <c r="S139" s="231"/>
      <c r="T139" s="231"/>
      <c r="U139" s="231"/>
      <c r="V139" s="231"/>
      <c r="W139" s="231"/>
      <c r="X139" s="231"/>
      <c r="Y139" s="231"/>
      <c r="Z139" s="231"/>
      <c r="AA139" s="231"/>
      <c r="AB139" s="231"/>
      <c r="AC139" s="231"/>
      <c r="AD139" s="231"/>
      <c r="AE139" s="231"/>
      <c r="AF139" s="231"/>
      <c r="AG139" s="231"/>
    </row>
    <row r="140" spans="1:33" s="203" customFormat="1">
      <c r="A140" s="120">
        <v>36</v>
      </c>
      <c r="B140" s="47" t="s">
        <v>120</v>
      </c>
      <c r="C140" s="47"/>
      <c r="D140" s="47"/>
      <c r="E140" s="49">
        <v>2158</v>
      </c>
      <c r="F140" s="52">
        <v>1969</v>
      </c>
      <c r="G140" s="118"/>
      <c r="H140" s="122">
        <v>2258</v>
      </c>
      <c r="I140" s="139"/>
      <c r="J140" s="258"/>
      <c r="K140" s="231"/>
      <c r="L140" s="231"/>
      <c r="M140" s="231"/>
      <c r="N140" s="231"/>
      <c r="O140" s="231"/>
      <c r="P140" s="231"/>
      <c r="Q140" s="231"/>
      <c r="R140" s="231"/>
      <c r="S140" s="231"/>
      <c r="T140" s="231"/>
      <c r="U140" s="231"/>
      <c r="V140" s="231"/>
      <c r="W140" s="231"/>
      <c r="X140" s="231"/>
      <c r="Y140" s="231"/>
      <c r="Z140" s="231"/>
      <c r="AA140" s="231"/>
      <c r="AB140" s="231"/>
      <c r="AC140" s="231"/>
      <c r="AD140" s="231"/>
      <c r="AE140" s="231"/>
      <c r="AF140" s="231"/>
      <c r="AG140" s="231"/>
    </row>
    <row r="141" spans="1:33" s="203" customFormat="1">
      <c r="A141" s="120">
        <v>37</v>
      </c>
      <c r="B141" s="90" t="s">
        <v>126</v>
      </c>
      <c r="C141" s="47"/>
      <c r="D141" s="47"/>
      <c r="E141" s="49">
        <v>610</v>
      </c>
      <c r="F141" s="52">
        <v>553</v>
      </c>
      <c r="G141" s="118"/>
      <c r="H141" s="99">
        <v>562</v>
      </c>
      <c r="I141" s="139"/>
      <c r="J141" s="258"/>
      <c r="K141" s="231"/>
      <c r="L141" s="231"/>
      <c r="M141" s="231"/>
      <c r="N141" s="231"/>
      <c r="O141" s="231"/>
      <c r="P141" s="231"/>
      <c r="Q141" s="231"/>
      <c r="R141" s="231"/>
      <c r="S141" s="231"/>
      <c r="T141" s="231"/>
      <c r="U141" s="231"/>
      <c r="V141" s="231"/>
      <c r="W141" s="231"/>
      <c r="X141" s="231"/>
      <c r="Y141" s="231"/>
      <c r="Z141" s="231"/>
      <c r="AA141" s="231"/>
      <c r="AB141" s="231"/>
      <c r="AC141" s="231"/>
      <c r="AD141" s="231"/>
      <c r="AE141" s="231"/>
      <c r="AF141" s="231"/>
      <c r="AG141" s="231"/>
    </row>
    <row r="142" spans="1:33" s="203" customFormat="1">
      <c r="A142" s="120">
        <v>38</v>
      </c>
      <c r="B142" s="47" t="s">
        <v>121</v>
      </c>
      <c r="C142" s="47"/>
      <c r="D142" s="47"/>
      <c r="E142" s="49">
        <v>1320</v>
      </c>
      <c r="F142" s="52">
        <v>1721</v>
      </c>
      <c r="G142" s="118"/>
      <c r="H142" s="100">
        <v>2205</v>
      </c>
      <c r="I142" s="139"/>
      <c r="J142" s="258"/>
      <c r="K142" s="231"/>
      <c r="L142" s="231"/>
      <c r="M142" s="231"/>
      <c r="N142" s="231"/>
      <c r="O142" s="231"/>
      <c r="P142" s="231"/>
      <c r="Q142" s="231"/>
      <c r="R142" s="231"/>
      <c r="S142" s="231"/>
      <c r="T142" s="231"/>
      <c r="U142" s="231"/>
      <c r="V142" s="231"/>
      <c r="W142" s="231"/>
      <c r="X142" s="231"/>
      <c r="Y142" s="231"/>
      <c r="Z142" s="231"/>
      <c r="AA142" s="231"/>
      <c r="AB142" s="231"/>
      <c r="AC142" s="231"/>
      <c r="AD142" s="231"/>
      <c r="AE142" s="231"/>
      <c r="AF142" s="231"/>
      <c r="AG142" s="231"/>
    </row>
    <row r="143" spans="1:33" s="203" customFormat="1">
      <c r="A143" s="120">
        <v>39</v>
      </c>
      <c r="B143" s="116" t="s">
        <v>129</v>
      </c>
      <c r="C143" s="116"/>
      <c r="D143" s="116"/>
      <c r="E143" s="80">
        <v>7650</v>
      </c>
      <c r="F143" s="142">
        <f>SUM(F138:F142)</f>
        <v>7561</v>
      </c>
      <c r="G143" s="118"/>
      <c r="H143" s="142">
        <f>SUM(H138:H142)</f>
        <v>9652</v>
      </c>
      <c r="I143" s="139"/>
      <c r="J143" s="258"/>
      <c r="K143" s="231"/>
      <c r="L143" s="231"/>
      <c r="M143" s="231"/>
      <c r="N143" s="231"/>
      <c r="O143" s="231"/>
      <c r="P143" s="231"/>
      <c r="Q143" s="231"/>
      <c r="R143" s="231"/>
      <c r="S143" s="231"/>
      <c r="T143" s="231"/>
      <c r="U143" s="231"/>
      <c r="V143" s="231"/>
      <c r="W143" s="231"/>
      <c r="X143" s="231"/>
      <c r="Y143" s="231"/>
      <c r="Z143" s="231"/>
      <c r="AA143" s="231"/>
      <c r="AB143" s="231"/>
      <c r="AC143" s="231"/>
      <c r="AD143" s="231"/>
      <c r="AE143" s="231"/>
      <c r="AF143" s="231"/>
      <c r="AG143" s="231"/>
    </row>
    <row r="144" spans="1:33" s="203" customFormat="1">
      <c r="A144" s="111"/>
      <c r="B144" s="47"/>
      <c r="C144" s="47"/>
      <c r="D144" s="47"/>
      <c r="E144" s="117"/>
      <c r="F144" s="118"/>
      <c r="G144" s="118"/>
      <c r="H144" s="118"/>
      <c r="I144" s="139"/>
      <c r="J144" s="258"/>
      <c r="K144" s="231"/>
      <c r="L144" s="231"/>
      <c r="M144" s="231"/>
      <c r="N144" s="231"/>
      <c r="O144" s="231"/>
      <c r="P144" s="231"/>
      <c r="Q144" s="231"/>
      <c r="R144" s="231"/>
      <c r="S144" s="231"/>
      <c r="T144" s="231"/>
      <c r="U144" s="231"/>
      <c r="V144" s="231"/>
      <c r="W144" s="231"/>
      <c r="X144" s="231"/>
      <c r="Y144" s="231"/>
      <c r="Z144" s="231"/>
      <c r="AA144" s="231"/>
      <c r="AB144" s="231"/>
      <c r="AC144" s="231"/>
      <c r="AD144" s="231"/>
      <c r="AE144" s="231"/>
      <c r="AF144" s="231"/>
      <c r="AG144" s="231"/>
    </row>
    <row r="145" spans="1:33" s="203" customFormat="1">
      <c r="A145" s="119" t="s">
        <v>110</v>
      </c>
      <c r="B145" s="116"/>
      <c r="C145" s="116"/>
      <c r="D145" s="116"/>
      <c r="E145" s="140"/>
      <c r="F145" s="146"/>
      <c r="G145" s="118"/>
      <c r="H145" s="146"/>
      <c r="I145" s="139"/>
      <c r="J145" s="258"/>
      <c r="K145" s="231"/>
      <c r="L145" s="231"/>
      <c r="M145" s="231"/>
      <c r="N145" s="231"/>
      <c r="O145" s="231"/>
      <c r="P145" s="231"/>
      <c r="Q145" s="231"/>
      <c r="R145" s="231"/>
      <c r="S145" s="231"/>
      <c r="T145" s="231"/>
      <c r="U145" s="231"/>
      <c r="V145" s="231"/>
      <c r="W145" s="231"/>
      <c r="X145" s="231"/>
      <c r="Y145" s="231"/>
      <c r="Z145" s="231"/>
      <c r="AA145" s="231"/>
      <c r="AB145" s="231"/>
      <c r="AC145" s="231"/>
      <c r="AD145" s="231"/>
      <c r="AE145" s="231"/>
      <c r="AF145" s="231"/>
      <c r="AG145" s="231"/>
    </row>
    <row r="146" spans="1:33" s="203" customFormat="1">
      <c r="A146" s="120">
        <v>40</v>
      </c>
      <c r="B146" s="47" t="s">
        <v>123</v>
      </c>
      <c r="C146" s="47"/>
      <c r="D146" s="47"/>
      <c r="E146" s="49">
        <v>764</v>
      </c>
      <c r="F146" s="52">
        <v>763</v>
      </c>
      <c r="G146" s="118"/>
      <c r="H146" s="122">
        <v>791</v>
      </c>
      <c r="I146" s="139"/>
      <c r="J146" s="258"/>
      <c r="K146" s="231"/>
      <c r="L146" s="231"/>
      <c r="M146" s="231"/>
      <c r="N146" s="231"/>
      <c r="O146" s="231"/>
      <c r="P146" s="231"/>
      <c r="Q146" s="231"/>
      <c r="R146" s="231"/>
      <c r="S146" s="231"/>
      <c r="T146" s="231"/>
      <c r="U146" s="231"/>
      <c r="V146" s="231"/>
      <c r="W146" s="231"/>
      <c r="X146" s="231"/>
      <c r="Y146" s="231"/>
      <c r="Z146" s="231"/>
      <c r="AA146" s="231"/>
      <c r="AB146" s="231"/>
      <c r="AC146" s="231"/>
      <c r="AD146" s="231"/>
      <c r="AE146" s="231"/>
      <c r="AF146" s="231"/>
      <c r="AG146" s="231"/>
    </row>
    <row r="147" spans="1:33" s="203" customFormat="1">
      <c r="A147" s="120">
        <v>41</v>
      </c>
      <c r="B147" s="47" t="s">
        <v>119</v>
      </c>
      <c r="C147" s="47"/>
      <c r="D147" s="47"/>
      <c r="E147" s="49">
        <v>337</v>
      </c>
      <c r="F147" s="52">
        <v>405</v>
      </c>
      <c r="G147" s="118"/>
      <c r="H147" s="122">
        <v>392</v>
      </c>
      <c r="I147" s="139"/>
      <c r="J147" s="258"/>
      <c r="K147" s="231"/>
      <c r="L147" s="231"/>
      <c r="M147" s="231"/>
      <c r="N147" s="231"/>
      <c r="O147" s="231"/>
      <c r="P147" s="231"/>
      <c r="Q147" s="231"/>
      <c r="R147" s="231"/>
      <c r="S147" s="231"/>
      <c r="T147" s="231"/>
      <c r="U147" s="231"/>
      <c r="V147" s="231"/>
      <c r="W147" s="231"/>
      <c r="X147" s="231"/>
      <c r="Y147" s="231"/>
      <c r="Z147" s="231"/>
      <c r="AA147" s="231"/>
      <c r="AB147" s="231"/>
      <c r="AC147" s="231"/>
      <c r="AD147" s="231"/>
      <c r="AE147" s="231"/>
      <c r="AF147" s="231"/>
      <c r="AG147" s="231"/>
    </row>
    <row r="148" spans="1:33" s="203" customFormat="1">
      <c r="A148" s="120">
        <v>42</v>
      </c>
      <c r="B148" s="47" t="s">
        <v>120</v>
      </c>
      <c r="C148" s="47"/>
      <c r="D148" s="47"/>
      <c r="E148" s="49">
        <v>339</v>
      </c>
      <c r="F148" s="52">
        <v>286</v>
      </c>
      <c r="G148" s="118"/>
      <c r="H148" s="122">
        <v>336</v>
      </c>
      <c r="I148" s="139"/>
      <c r="J148" s="258"/>
      <c r="K148" s="231"/>
      <c r="L148" s="231"/>
      <c r="M148" s="231"/>
      <c r="N148" s="231"/>
      <c r="O148" s="231"/>
      <c r="P148" s="231"/>
      <c r="Q148" s="231"/>
      <c r="R148" s="231"/>
      <c r="S148" s="231"/>
      <c r="T148" s="231"/>
      <c r="U148" s="231"/>
      <c r="V148" s="231"/>
      <c r="W148" s="231"/>
      <c r="X148" s="231"/>
      <c r="Y148" s="231"/>
      <c r="Z148" s="231"/>
      <c r="AA148" s="231"/>
      <c r="AB148" s="231"/>
      <c r="AC148" s="231"/>
      <c r="AD148" s="231"/>
      <c r="AE148" s="231"/>
      <c r="AF148" s="231"/>
      <c r="AG148" s="231"/>
    </row>
    <row r="149" spans="1:33" s="203" customFormat="1">
      <c r="A149" s="120">
        <v>43</v>
      </c>
      <c r="B149" s="47" t="s">
        <v>121</v>
      </c>
      <c r="C149" s="47"/>
      <c r="D149" s="47"/>
      <c r="E149" s="49">
        <v>173</v>
      </c>
      <c r="F149" s="52">
        <v>45</v>
      </c>
      <c r="G149" s="118"/>
      <c r="H149" s="100">
        <v>26</v>
      </c>
      <c r="I149" s="139"/>
      <c r="J149" s="258"/>
      <c r="K149" s="231"/>
      <c r="L149" s="231"/>
      <c r="M149" s="231"/>
      <c r="N149" s="231"/>
      <c r="O149" s="231"/>
      <c r="P149" s="231"/>
      <c r="Q149" s="231"/>
      <c r="R149" s="231"/>
      <c r="S149" s="231"/>
      <c r="T149" s="231"/>
      <c r="U149" s="231"/>
      <c r="V149" s="231"/>
      <c r="W149" s="231"/>
      <c r="X149" s="231"/>
      <c r="Y149" s="231"/>
      <c r="Z149" s="231"/>
      <c r="AA149" s="231"/>
      <c r="AB149" s="231"/>
      <c r="AC149" s="231"/>
      <c r="AD149" s="231"/>
      <c r="AE149" s="231"/>
      <c r="AF149" s="231"/>
      <c r="AG149" s="231"/>
    </row>
    <row r="150" spans="1:33" s="203" customFormat="1">
      <c r="A150" s="124">
        <v>44</v>
      </c>
      <c r="B150" s="94" t="s">
        <v>130</v>
      </c>
      <c r="C150" s="94"/>
      <c r="D150" s="94"/>
      <c r="E150" s="80">
        <v>1613</v>
      </c>
      <c r="F150" s="142">
        <f>SUM(F146:F149)</f>
        <v>1499</v>
      </c>
      <c r="G150" s="259"/>
      <c r="H150" s="142">
        <f>SUM(H146:H149)</f>
        <v>1545</v>
      </c>
      <c r="I150" s="139"/>
      <c r="J150" s="258"/>
      <c r="K150" s="231"/>
      <c r="L150" s="231"/>
      <c r="M150" s="231"/>
      <c r="N150" s="231"/>
      <c r="O150" s="231"/>
      <c r="P150" s="231"/>
      <c r="Q150" s="231"/>
      <c r="R150" s="231"/>
      <c r="S150" s="231"/>
      <c r="T150" s="231"/>
      <c r="U150" s="231"/>
      <c r="V150" s="231"/>
      <c r="W150" s="231"/>
      <c r="X150" s="231"/>
      <c r="Y150" s="231"/>
      <c r="Z150" s="231"/>
      <c r="AA150" s="231"/>
      <c r="AB150" s="231"/>
      <c r="AC150" s="231"/>
      <c r="AD150" s="231"/>
      <c r="AE150" s="231"/>
      <c r="AF150" s="231"/>
      <c r="AG150" s="231"/>
    </row>
    <row r="151" spans="1:33" s="203" customFormat="1">
      <c r="A151" s="148"/>
      <c r="B151" s="129"/>
      <c r="C151" s="129"/>
      <c r="D151" s="149"/>
      <c r="E151" s="150"/>
      <c r="F151" s="29"/>
      <c r="G151" s="29"/>
      <c r="H151" s="207"/>
      <c r="I151" s="29"/>
      <c r="J151" s="15"/>
      <c r="K151" s="231"/>
      <c r="L151" s="231"/>
      <c r="M151" s="231"/>
      <c r="N151" s="231"/>
      <c r="O151" s="231"/>
      <c r="P151" s="231"/>
      <c r="Q151" s="231"/>
      <c r="R151" s="231"/>
      <c r="S151" s="231"/>
      <c r="T151" s="231"/>
      <c r="U151" s="231"/>
      <c r="V151" s="231"/>
      <c r="W151" s="231"/>
      <c r="X151" s="231"/>
      <c r="Y151" s="231"/>
      <c r="Z151" s="231"/>
      <c r="AA151" s="231"/>
      <c r="AB151" s="231"/>
      <c r="AC151" s="231"/>
      <c r="AD151" s="231"/>
      <c r="AE151" s="231"/>
      <c r="AF151" s="231"/>
      <c r="AG151" s="231"/>
    </row>
    <row r="152" spans="1:33" s="203" customFormat="1">
      <c r="A152" s="148"/>
      <c r="B152" s="129"/>
      <c r="C152" s="129"/>
      <c r="D152" s="151"/>
      <c r="E152" s="152"/>
      <c r="F152" s="29"/>
      <c r="G152" s="29"/>
      <c r="H152" s="131" t="s">
        <v>27</v>
      </c>
      <c r="I152" s="29"/>
      <c r="J152" s="15"/>
      <c r="K152" s="231"/>
      <c r="L152" s="231"/>
      <c r="M152" s="231"/>
      <c r="N152" s="231"/>
      <c r="O152" s="231"/>
      <c r="P152" s="231"/>
      <c r="Q152" s="231"/>
      <c r="R152" s="231"/>
      <c r="S152" s="231"/>
      <c r="T152" s="231"/>
      <c r="U152" s="231"/>
      <c r="V152" s="231"/>
      <c r="W152" s="231"/>
      <c r="X152" s="231"/>
      <c r="Y152" s="231"/>
      <c r="Z152" s="231"/>
      <c r="AA152" s="231"/>
      <c r="AB152" s="231"/>
      <c r="AC152" s="231"/>
      <c r="AD152" s="231"/>
      <c r="AE152" s="231"/>
      <c r="AF152" s="231"/>
      <c r="AG152" s="231"/>
    </row>
    <row r="153" spans="1:33" s="203" customFormat="1">
      <c r="A153" s="106" t="s">
        <v>20</v>
      </c>
      <c r="B153" s="107"/>
      <c r="C153" s="107"/>
      <c r="D153" s="107"/>
      <c r="E153" s="856" t="s">
        <v>377</v>
      </c>
      <c r="F153" s="856" t="s">
        <v>402</v>
      </c>
      <c r="G153" s="130"/>
      <c r="H153" s="856" t="s">
        <v>403</v>
      </c>
      <c r="I153" s="130"/>
      <c r="J153" s="239"/>
      <c r="K153" s="231"/>
      <c r="L153" s="231"/>
      <c r="M153" s="231"/>
      <c r="N153" s="231"/>
      <c r="O153" s="231"/>
      <c r="P153" s="231"/>
      <c r="Q153" s="231"/>
      <c r="R153" s="231"/>
      <c r="S153" s="231"/>
      <c r="T153" s="231"/>
      <c r="U153" s="231"/>
      <c r="V153" s="231"/>
      <c r="W153" s="231"/>
      <c r="X153" s="231"/>
      <c r="Y153" s="231"/>
      <c r="Z153" s="231"/>
      <c r="AA153" s="231"/>
      <c r="AB153" s="231"/>
      <c r="AC153" s="231"/>
      <c r="AD153" s="231"/>
      <c r="AE153" s="231"/>
      <c r="AF153" s="231"/>
      <c r="AG153" s="231"/>
    </row>
    <row r="154" spans="1:33" s="203" customFormat="1">
      <c r="A154" s="153"/>
      <c r="B154" s="132"/>
      <c r="C154" s="132"/>
      <c r="D154" s="132"/>
      <c r="E154" s="859"/>
      <c r="F154" s="859"/>
      <c r="G154" s="130"/>
      <c r="H154" s="859"/>
      <c r="I154" s="130"/>
      <c r="J154" s="239"/>
      <c r="K154" s="231"/>
      <c r="L154" s="231"/>
      <c r="M154" s="231"/>
      <c r="N154" s="231"/>
      <c r="O154" s="231"/>
      <c r="P154" s="231"/>
      <c r="Q154" s="231"/>
      <c r="R154" s="231"/>
      <c r="S154" s="231"/>
      <c r="T154" s="231"/>
      <c r="U154" s="231"/>
      <c r="V154" s="231"/>
      <c r="W154" s="231"/>
      <c r="X154" s="231"/>
      <c r="Y154" s="231"/>
      <c r="Z154" s="231"/>
      <c r="AA154" s="231"/>
      <c r="AB154" s="231"/>
      <c r="AC154" s="231"/>
      <c r="AD154" s="231"/>
      <c r="AE154" s="231"/>
      <c r="AF154" s="231"/>
      <c r="AG154" s="231"/>
    </row>
    <row r="155" spans="1:33" s="203" customFormat="1">
      <c r="A155" s="154" t="s">
        <v>131</v>
      </c>
      <c r="B155" s="116"/>
      <c r="C155" s="116"/>
      <c r="D155" s="116"/>
      <c r="E155" s="859"/>
      <c r="F155" s="859"/>
      <c r="G155" s="130"/>
      <c r="H155" s="859"/>
      <c r="I155" s="130"/>
      <c r="J155" s="239"/>
      <c r="K155" s="231"/>
      <c r="L155" s="231"/>
      <c r="M155" s="231"/>
      <c r="N155" s="231"/>
      <c r="O155" s="231"/>
      <c r="P155" s="231"/>
      <c r="Q155" s="231"/>
      <c r="R155" s="231"/>
      <c r="S155" s="231"/>
      <c r="T155" s="231"/>
      <c r="U155" s="231"/>
      <c r="V155" s="231"/>
      <c r="W155" s="231"/>
      <c r="X155" s="231"/>
      <c r="Y155" s="231"/>
      <c r="Z155" s="231"/>
      <c r="AA155" s="231"/>
      <c r="AB155" s="231"/>
      <c r="AC155" s="231"/>
      <c r="AD155" s="231"/>
      <c r="AE155" s="231"/>
      <c r="AF155" s="231"/>
      <c r="AG155" s="231"/>
    </row>
    <row r="156" spans="1:33" s="203" customFormat="1" ht="12.75" customHeight="1">
      <c r="A156" s="109" t="s">
        <v>83</v>
      </c>
      <c r="B156" s="47"/>
      <c r="C156" s="47"/>
      <c r="D156" s="47"/>
      <c r="E156" s="859"/>
      <c r="F156" s="859"/>
      <c r="G156" s="130"/>
      <c r="H156" s="859"/>
      <c r="I156" s="130"/>
      <c r="J156" s="239"/>
      <c r="K156" s="231"/>
      <c r="L156" s="231"/>
      <c r="M156" s="231"/>
      <c r="N156" s="231"/>
      <c r="O156" s="231"/>
      <c r="P156" s="231"/>
      <c r="Q156" s="231"/>
      <c r="R156" s="231"/>
      <c r="S156" s="231"/>
      <c r="T156" s="231"/>
      <c r="U156" s="231"/>
      <c r="V156" s="231"/>
      <c r="W156" s="231"/>
      <c r="X156" s="231"/>
      <c r="Y156" s="231"/>
      <c r="Z156" s="231"/>
      <c r="AA156" s="231"/>
      <c r="AB156" s="231"/>
      <c r="AC156" s="231"/>
      <c r="AD156" s="231"/>
      <c r="AE156" s="231"/>
      <c r="AF156" s="231"/>
      <c r="AG156" s="231"/>
    </row>
    <row r="157" spans="1:33" s="203" customFormat="1">
      <c r="A157" s="110" t="s">
        <v>84</v>
      </c>
      <c r="B157" s="132"/>
      <c r="C157" s="132"/>
      <c r="D157" s="132"/>
      <c r="E157" s="860"/>
      <c r="F157" s="860"/>
      <c r="G157" s="130"/>
      <c r="H157" s="860"/>
      <c r="I157" s="130"/>
      <c r="J157" s="239"/>
      <c r="K157" s="231"/>
      <c r="L157" s="231"/>
      <c r="M157" s="231"/>
      <c r="N157" s="231"/>
      <c r="O157" s="231"/>
      <c r="P157" s="231"/>
      <c r="Q157" s="231"/>
      <c r="R157" s="231"/>
      <c r="S157" s="231"/>
      <c r="T157" s="231"/>
      <c r="U157" s="231"/>
      <c r="V157" s="231"/>
      <c r="W157" s="231"/>
      <c r="X157" s="231"/>
      <c r="Y157" s="231"/>
      <c r="Z157" s="231"/>
      <c r="AA157" s="231"/>
      <c r="AB157" s="231"/>
      <c r="AC157" s="231"/>
      <c r="AD157" s="231"/>
      <c r="AE157" s="231"/>
      <c r="AF157" s="231"/>
      <c r="AG157" s="231"/>
    </row>
    <row r="158" spans="1:33" s="203" customFormat="1">
      <c r="A158" s="119" t="s">
        <v>132</v>
      </c>
      <c r="B158" s="47"/>
      <c r="C158" s="47"/>
      <c r="D158" s="47"/>
      <c r="E158" s="155"/>
      <c r="F158" s="146" t="s">
        <v>133</v>
      </c>
      <c r="G158" s="118"/>
      <c r="H158" s="146"/>
      <c r="I158" s="29"/>
      <c r="J158" s="15"/>
      <c r="K158" s="231"/>
      <c r="L158" s="231"/>
      <c r="M158" s="231"/>
      <c r="N158" s="231"/>
      <c r="O158" s="231"/>
      <c r="P158" s="231"/>
      <c r="Q158" s="231"/>
      <c r="R158" s="231"/>
      <c r="S158" s="231"/>
      <c r="T158" s="231"/>
      <c r="U158" s="231"/>
      <c r="V158" s="231"/>
      <c r="W158" s="231"/>
      <c r="X158" s="231"/>
      <c r="Y158" s="231"/>
      <c r="Z158" s="231"/>
      <c r="AA158" s="231"/>
      <c r="AB158" s="231"/>
      <c r="AC158" s="231"/>
      <c r="AD158" s="231"/>
      <c r="AE158" s="231"/>
      <c r="AF158" s="231"/>
      <c r="AG158" s="231"/>
    </row>
    <row r="159" spans="1:33" s="203" customFormat="1">
      <c r="A159" s="120">
        <v>1</v>
      </c>
      <c r="B159" s="47" t="s">
        <v>134</v>
      </c>
      <c r="C159" s="47"/>
      <c r="D159" s="47"/>
      <c r="E159" s="74">
        <v>0</v>
      </c>
      <c r="F159" s="52">
        <v>0</v>
      </c>
      <c r="G159" s="118"/>
      <c r="H159" s="122"/>
      <c r="I159" s="29"/>
      <c r="J159" s="15"/>
      <c r="K159" s="231"/>
      <c r="L159" s="231"/>
      <c r="M159" s="231"/>
      <c r="N159" s="231"/>
      <c r="O159" s="231"/>
      <c r="P159" s="231"/>
      <c r="Q159" s="231"/>
      <c r="R159" s="231"/>
      <c r="S159" s="231"/>
      <c r="T159" s="231"/>
      <c r="U159" s="231"/>
      <c r="V159" s="231"/>
      <c r="W159" s="231"/>
      <c r="X159" s="231"/>
      <c r="Y159" s="231"/>
      <c r="Z159" s="231"/>
      <c r="AA159" s="231"/>
      <c r="AB159" s="231"/>
      <c r="AC159" s="231"/>
      <c r="AD159" s="231"/>
      <c r="AE159" s="231"/>
      <c r="AF159" s="231"/>
      <c r="AG159" s="231"/>
    </row>
    <row r="160" spans="1:33" s="203" customFormat="1">
      <c r="A160" s="120">
        <v>2</v>
      </c>
      <c r="B160" s="47" t="s">
        <v>135</v>
      </c>
      <c r="C160" s="47"/>
      <c r="D160" s="47"/>
      <c r="E160" s="49">
        <v>1718</v>
      </c>
      <c r="F160" s="52">
        <v>1684</v>
      </c>
      <c r="G160" s="118"/>
      <c r="H160" s="122">
        <v>1360</v>
      </c>
      <c r="I160" s="29"/>
      <c r="J160" s="15"/>
      <c r="K160" s="231"/>
      <c r="L160" s="231"/>
      <c r="M160" s="231"/>
      <c r="N160" s="231"/>
      <c r="O160" s="231"/>
      <c r="P160" s="231"/>
      <c r="Q160" s="231"/>
      <c r="R160" s="231"/>
      <c r="S160" s="231"/>
      <c r="T160" s="231"/>
      <c r="U160" s="231"/>
      <c r="V160" s="231"/>
      <c r="W160" s="231"/>
      <c r="X160" s="231"/>
      <c r="Y160" s="231"/>
      <c r="Z160" s="231"/>
      <c r="AA160" s="231"/>
      <c r="AB160" s="231"/>
      <c r="AC160" s="231"/>
      <c r="AD160" s="231"/>
      <c r="AE160" s="231"/>
      <c r="AF160" s="231"/>
      <c r="AG160" s="231"/>
    </row>
    <row r="161" spans="1:33" s="203" customFormat="1">
      <c r="A161" s="120">
        <v>3</v>
      </c>
      <c r="B161" s="47" t="s">
        <v>136</v>
      </c>
      <c r="C161" s="47"/>
      <c r="D161" s="47"/>
      <c r="E161" s="114">
        <v>1075</v>
      </c>
      <c r="F161" s="52">
        <v>1530</v>
      </c>
      <c r="G161" s="118"/>
      <c r="H161" s="122">
        <v>927</v>
      </c>
      <c r="I161" s="29"/>
      <c r="J161" s="15"/>
      <c r="K161" s="231"/>
      <c r="L161" s="231"/>
      <c r="M161" s="231"/>
      <c r="N161" s="231"/>
      <c r="O161" s="231"/>
      <c r="P161" s="231"/>
      <c r="Q161" s="231"/>
      <c r="R161" s="231"/>
      <c r="S161" s="231"/>
      <c r="T161" s="231"/>
      <c r="U161" s="231"/>
      <c r="V161" s="231"/>
      <c r="W161" s="231"/>
      <c r="X161" s="231"/>
      <c r="Y161" s="231"/>
      <c r="Z161" s="231"/>
      <c r="AA161" s="231"/>
      <c r="AB161" s="231"/>
      <c r="AC161" s="231"/>
      <c r="AD161" s="231"/>
      <c r="AE161" s="231"/>
      <c r="AF161" s="231"/>
      <c r="AG161" s="231"/>
    </row>
    <row r="162" spans="1:33" s="203" customFormat="1">
      <c r="A162" s="120">
        <v>4</v>
      </c>
      <c r="B162" s="47" t="s">
        <v>137</v>
      </c>
      <c r="C162" s="47"/>
      <c r="D162" s="47"/>
      <c r="E162" s="114">
        <v>657</v>
      </c>
      <c r="F162" s="52">
        <v>696</v>
      </c>
      <c r="G162" s="118"/>
      <c r="H162" s="100">
        <v>633</v>
      </c>
      <c r="I162" s="29"/>
      <c r="J162" s="15"/>
      <c r="K162" s="231"/>
      <c r="L162" s="231"/>
      <c r="M162" s="231"/>
      <c r="N162" s="231"/>
      <c r="O162" s="231"/>
      <c r="P162" s="231"/>
      <c r="Q162" s="231"/>
      <c r="R162" s="231"/>
      <c r="S162" s="231"/>
      <c r="T162" s="231"/>
      <c r="U162" s="231"/>
      <c r="V162" s="231"/>
      <c r="W162" s="231"/>
      <c r="X162" s="231"/>
      <c r="Y162" s="231"/>
      <c r="Z162" s="231"/>
      <c r="AA162" s="231"/>
      <c r="AB162" s="231"/>
      <c r="AC162" s="231"/>
      <c r="AD162" s="231"/>
      <c r="AE162" s="231"/>
      <c r="AF162" s="231"/>
      <c r="AG162" s="231"/>
    </row>
    <row r="163" spans="1:33" s="203" customFormat="1">
      <c r="A163" s="120">
        <v>5</v>
      </c>
      <c r="B163" s="116" t="s">
        <v>138</v>
      </c>
      <c r="C163" s="116"/>
      <c r="D163" s="116"/>
      <c r="E163" s="80">
        <v>3450</v>
      </c>
      <c r="F163" s="142">
        <f>SUM(F159:F162)</f>
        <v>3910</v>
      </c>
      <c r="G163" s="118"/>
      <c r="H163" s="142">
        <f>SUM(H159:H162)</f>
        <v>2920</v>
      </c>
      <c r="I163" s="29"/>
      <c r="J163" s="15"/>
      <c r="K163" s="231"/>
      <c r="L163" s="231"/>
      <c r="M163" s="231"/>
      <c r="N163" s="231"/>
      <c r="O163" s="231"/>
      <c r="P163" s="231"/>
      <c r="Q163" s="231"/>
      <c r="R163" s="231"/>
      <c r="S163" s="231"/>
      <c r="T163" s="231"/>
      <c r="U163" s="231"/>
      <c r="V163" s="231"/>
      <c r="W163" s="231"/>
      <c r="X163" s="231"/>
      <c r="Y163" s="231"/>
      <c r="Z163" s="231"/>
      <c r="AA163" s="231"/>
      <c r="AB163" s="231"/>
      <c r="AC163" s="231"/>
      <c r="AD163" s="231"/>
      <c r="AE163" s="231"/>
      <c r="AF163" s="231"/>
      <c r="AG163" s="231"/>
    </row>
    <row r="164" spans="1:33" s="203" customFormat="1">
      <c r="A164" s="46"/>
      <c r="B164" s="132"/>
      <c r="C164" s="132"/>
      <c r="D164" s="132"/>
      <c r="E164" s="156"/>
      <c r="F164" s="139"/>
      <c r="G164" s="139"/>
      <c r="H164" s="139"/>
      <c r="I164" s="29"/>
      <c r="J164" s="15"/>
      <c r="K164" s="231"/>
      <c r="L164" s="231"/>
      <c r="M164" s="231"/>
      <c r="N164" s="231"/>
      <c r="O164" s="231"/>
      <c r="P164" s="231"/>
      <c r="Q164" s="231"/>
      <c r="R164" s="231"/>
      <c r="S164" s="231"/>
      <c r="T164" s="231"/>
      <c r="U164" s="231"/>
      <c r="V164" s="231"/>
      <c r="W164" s="231"/>
      <c r="X164" s="231"/>
      <c r="Y164" s="231"/>
      <c r="Z164" s="231"/>
      <c r="AA164" s="231"/>
      <c r="AB164" s="231"/>
      <c r="AC164" s="231"/>
      <c r="AD164" s="231"/>
      <c r="AE164" s="231"/>
      <c r="AF164" s="231"/>
      <c r="AG164" s="231"/>
    </row>
    <row r="165" spans="1:33" s="203" customFormat="1">
      <c r="A165" s="119" t="s">
        <v>139</v>
      </c>
      <c r="B165" s="47"/>
      <c r="C165" s="47"/>
      <c r="D165" s="47"/>
      <c r="E165" s="140"/>
      <c r="F165" s="146"/>
      <c r="G165" s="118"/>
      <c r="H165" s="146"/>
      <c r="I165" s="29"/>
      <c r="J165" s="15"/>
      <c r="K165" s="231"/>
      <c r="L165" s="231"/>
      <c r="M165" s="231"/>
      <c r="N165" s="231"/>
      <c r="O165" s="231"/>
      <c r="P165" s="231"/>
      <c r="Q165" s="231"/>
      <c r="R165" s="231"/>
      <c r="S165" s="231"/>
      <c r="T165" s="231"/>
      <c r="U165" s="231"/>
      <c r="V165" s="231"/>
      <c r="W165" s="231"/>
      <c r="X165" s="231"/>
      <c r="Y165" s="231"/>
      <c r="Z165" s="231"/>
      <c r="AA165" s="231"/>
      <c r="AB165" s="231"/>
      <c r="AC165" s="231"/>
      <c r="AD165" s="231"/>
      <c r="AE165" s="231"/>
      <c r="AF165" s="231"/>
      <c r="AG165" s="231"/>
    </row>
    <row r="166" spans="1:33" s="203" customFormat="1">
      <c r="A166" s="120">
        <v>6</v>
      </c>
      <c r="B166" s="47" t="s">
        <v>140</v>
      </c>
      <c r="C166" s="47"/>
      <c r="D166" s="47"/>
      <c r="E166" s="74">
        <v>159</v>
      </c>
      <c r="F166" s="52">
        <v>185</v>
      </c>
      <c r="G166" s="118"/>
      <c r="H166" s="122">
        <v>60</v>
      </c>
      <c r="I166" s="29"/>
      <c r="J166" s="15"/>
      <c r="K166" s="231"/>
      <c r="L166" s="231"/>
      <c r="M166" s="231"/>
      <c r="N166" s="231"/>
      <c r="O166" s="231"/>
      <c r="P166" s="231"/>
      <c r="Q166" s="231"/>
      <c r="R166" s="231"/>
      <c r="S166" s="231"/>
      <c r="T166" s="231"/>
      <c r="U166" s="231"/>
      <c r="V166" s="231"/>
      <c r="W166" s="231"/>
      <c r="X166" s="231"/>
      <c r="Y166" s="231"/>
      <c r="Z166" s="231"/>
      <c r="AA166" s="231"/>
      <c r="AB166" s="231"/>
      <c r="AC166" s="231"/>
      <c r="AD166" s="231"/>
      <c r="AE166" s="231"/>
      <c r="AF166" s="231"/>
      <c r="AG166" s="231"/>
    </row>
    <row r="167" spans="1:33" s="203" customFormat="1">
      <c r="A167" s="120">
        <v>7</v>
      </c>
      <c r="B167" s="47" t="s">
        <v>141</v>
      </c>
      <c r="C167" s="47"/>
      <c r="D167" s="47"/>
      <c r="E167" s="49">
        <v>0</v>
      </c>
      <c r="F167" s="52">
        <v>0</v>
      </c>
      <c r="G167" s="118"/>
      <c r="H167" s="122">
        <v>0</v>
      </c>
      <c r="I167" s="29"/>
      <c r="J167" s="15"/>
      <c r="K167" s="231"/>
      <c r="L167" s="231"/>
      <c r="M167" s="231"/>
      <c r="N167" s="231"/>
      <c r="O167" s="231"/>
      <c r="P167" s="231"/>
      <c r="Q167" s="231"/>
      <c r="R167" s="231"/>
      <c r="S167" s="231"/>
      <c r="T167" s="231"/>
      <c r="U167" s="231"/>
      <c r="V167" s="231"/>
      <c r="W167" s="231"/>
      <c r="X167" s="231"/>
      <c r="Y167" s="231"/>
      <c r="Z167" s="231"/>
      <c r="AA167" s="231"/>
      <c r="AB167" s="231"/>
      <c r="AC167" s="231"/>
      <c r="AD167" s="231"/>
      <c r="AE167" s="231"/>
      <c r="AF167" s="231"/>
      <c r="AG167" s="231"/>
    </row>
    <row r="168" spans="1:33" s="203" customFormat="1">
      <c r="A168" s="120">
        <v>8</v>
      </c>
      <c r="B168" s="47" t="s">
        <v>121</v>
      </c>
      <c r="C168" s="47"/>
      <c r="D168" s="47"/>
      <c r="E168" s="49">
        <v>835</v>
      </c>
      <c r="F168" s="52">
        <v>853</v>
      </c>
      <c r="G168" s="118"/>
      <c r="H168" s="100">
        <v>747</v>
      </c>
      <c r="I168" s="29"/>
      <c r="J168" s="15"/>
      <c r="K168" s="231"/>
      <c r="L168" s="231"/>
      <c r="M168" s="231"/>
      <c r="N168" s="231"/>
      <c r="O168" s="231"/>
      <c r="P168" s="231"/>
      <c r="Q168" s="231"/>
      <c r="R168" s="231"/>
      <c r="S168" s="231"/>
      <c r="T168" s="231"/>
      <c r="U168" s="231"/>
      <c r="V168" s="231"/>
      <c r="W168" s="231"/>
      <c r="X168" s="231"/>
      <c r="Y168" s="231"/>
      <c r="Z168" s="231"/>
      <c r="AA168" s="231"/>
      <c r="AB168" s="231"/>
      <c r="AC168" s="231"/>
      <c r="AD168" s="231"/>
      <c r="AE168" s="231"/>
      <c r="AF168" s="231"/>
      <c r="AG168" s="231"/>
    </row>
    <row r="169" spans="1:33" s="203" customFormat="1">
      <c r="A169" s="120">
        <v>9</v>
      </c>
      <c r="B169" s="116" t="s">
        <v>142</v>
      </c>
      <c r="C169" s="116"/>
      <c r="D169" s="116"/>
      <c r="E169" s="80">
        <v>994</v>
      </c>
      <c r="F169" s="142">
        <f>SUM(F166:F168)</f>
        <v>1038</v>
      </c>
      <c r="G169" s="118"/>
      <c r="H169" s="142">
        <f>SUM(H166:H168)</f>
        <v>807</v>
      </c>
      <c r="I169" s="29"/>
      <c r="J169" s="15"/>
      <c r="K169" s="231"/>
      <c r="L169" s="231"/>
      <c r="M169" s="231"/>
      <c r="N169" s="231"/>
      <c r="O169" s="231"/>
      <c r="P169" s="231"/>
      <c r="Q169" s="231"/>
      <c r="R169" s="231"/>
      <c r="S169" s="231"/>
      <c r="T169" s="231"/>
      <c r="U169" s="231"/>
      <c r="V169" s="231"/>
      <c r="W169" s="231"/>
      <c r="X169" s="231"/>
      <c r="Y169" s="231"/>
      <c r="Z169" s="231"/>
      <c r="AA169" s="231"/>
      <c r="AB169" s="231"/>
      <c r="AC169" s="231"/>
      <c r="AD169" s="231"/>
      <c r="AE169" s="231"/>
      <c r="AF169" s="231"/>
      <c r="AG169" s="231"/>
    </row>
    <row r="170" spans="1:33" s="203" customFormat="1">
      <c r="A170" s="46"/>
      <c r="B170" s="132"/>
      <c r="C170" s="132"/>
      <c r="D170" s="132"/>
      <c r="E170" s="156"/>
      <c r="F170" s="139"/>
      <c r="G170" s="139"/>
      <c r="H170" s="139"/>
      <c r="I170" s="29"/>
      <c r="J170" s="15"/>
      <c r="K170" s="231"/>
      <c r="L170" s="231"/>
      <c r="M170" s="231"/>
      <c r="N170" s="231"/>
      <c r="O170" s="231"/>
      <c r="P170" s="231"/>
      <c r="Q170" s="231"/>
      <c r="R170" s="231"/>
      <c r="S170" s="231"/>
      <c r="T170" s="231"/>
      <c r="U170" s="231"/>
      <c r="V170" s="231"/>
      <c r="W170" s="231"/>
      <c r="X170" s="231"/>
      <c r="Y170" s="231"/>
      <c r="Z170" s="231"/>
      <c r="AA170" s="231"/>
      <c r="AB170" s="231"/>
      <c r="AC170" s="231"/>
      <c r="AD170" s="231"/>
      <c r="AE170" s="231"/>
      <c r="AF170" s="231"/>
      <c r="AG170" s="231"/>
    </row>
    <row r="171" spans="1:33" s="203" customFormat="1">
      <c r="A171" s="120">
        <v>10</v>
      </c>
      <c r="B171" s="47" t="s">
        <v>143</v>
      </c>
      <c r="C171" s="47"/>
      <c r="D171" s="47"/>
      <c r="E171" s="41">
        <v>-381</v>
      </c>
      <c r="F171" s="121">
        <v>-361</v>
      </c>
      <c r="G171" s="118"/>
      <c r="H171" s="133">
        <v>-344</v>
      </c>
      <c r="I171" s="29"/>
      <c r="J171" s="15"/>
      <c r="K171" s="231"/>
      <c r="L171" s="231"/>
      <c r="M171" s="231"/>
      <c r="N171" s="231"/>
      <c r="O171" s="231"/>
      <c r="P171" s="231"/>
      <c r="Q171" s="231"/>
      <c r="R171" s="231"/>
      <c r="S171" s="231"/>
      <c r="T171" s="231"/>
      <c r="U171" s="231"/>
      <c r="V171" s="231"/>
      <c r="W171" s="231"/>
      <c r="X171" s="231"/>
      <c r="Y171" s="231"/>
      <c r="Z171" s="231"/>
      <c r="AA171" s="231"/>
      <c r="AB171" s="231"/>
      <c r="AC171" s="231"/>
      <c r="AD171" s="231"/>
      <c r="AE171" s="231"/>
      <c r="AF171" s="231"/>
      <c r="AG171" s="231"/>
    </row>
    <row r="172" spans="1:33" s="203" customFormat="1">
      <c r="A172" s="120">
        <v>11</v>
      </c>
      <c r="B172" s="47" t="s">
        <v>144</v>
      </c>
      <c r="C172" s="47"/>
      <c r="D172" s="47"/>
      <c r="E172" s="56">
        <v>57</v>
      </c>
      <c r="F172" s="126">
        <v>143</v>
      </c>
      <c r="G172" s="118"/>
      <c r="H172" s="100">
        <v>143</v>
      </c>
      <c r="I172" s="29"/>
      <c r="J172" s="15"/>
      <c r="K172" s="231"/>
      <c r="L172" s="231"/>
      <c r="M172" s="231"/>
      <c r="N172" s="231"/>
      <c r="O172" s="231"/>
      <c r="P172" s="231"/>
      <c r="Q172" s="231"/>
      <c r="R172" s="231"/>
      <c r="S172" s="231"/>
      <c r="T172" s="231"/>
      <c r="U172" s="231"/>
      <c r="V172" s="231"/>
      <c r="W172" s="231"/>
      <c r="X172" s="231"/>
      <c r="Y172" s="231"/>
      <c r="Z172" s="231"/>
      <c r="AA172" s="231"/>
      <c r="AB172" s="231"/>
      <c r="AC172" s="231"/>
      <c r="AD172" s="231"/>
      <c r="AE172" s="231"/>
      <c r="AF172" s="231"/>
      <c r="AG172" s="231"/>
    </row>
    <row r="173" spans="1:33" s="203" customFormat="1">
      <c r="A173" s="46"/>
      <c r="B173" s="132"/>
      <c r="C173" s="132"/>
      <c r="D173" s="132"/>
      <c r="E173" s="156"/>
      <c r="F173" s="139"/>
      <c r="G173" s="139"/>
      <c r="H173" s="139"/>
      <c r="I173" s="29"/>
      <c r="J173" s="15"/>
      <c r="K173" s="231"/>
      <c r="L173" s="231"/>
      <c r="M173" s="231"/>
      <c r="N173" s="231"/>
      <c r="O173" s="231"/>
      <c r="P173" s="231"/>
      <c r="Q173" s="231"/>
      <c r="R173" s="231"/>
      <c r="S173" s="231"/>
      <c r="T173" s="231"/>
      <c r="U173" s="231"/>
      <c r="V173" s="231"/>
      <c r="W173" s="231"/>
      <c r="X173" s="231"/>
      <c r="Y173" s="231"/>
      <c r="Z173" s="231"/>
      <c r="AA173" s="231"/>
      <c r="AB173" s="231"/>
      <c r="AC173" s="231"/>
      <c r="AD173" s="231"/>
      <c r="AE173" s="231"/>
      <c r="AF173" s="231"/>
      <c r="AG173" s="231"/>
    </row>
    <row r="174" spans="1:33" s="203" customFormat="1">
      <c r="A174" s="119" t="s">
        <v>145</v>
      </c>
      <c r="B174" s="47"/>
      <c r="C174" s="47"/>
      <c r="D174" s="47"/>
      <c r="E174" s="157"/>
      <c r="F174" s="146"/>
      <c r="G174" s="118"/>
      <c r="H174" s="146"/>
      <c r="I174" s="29"/>
      <c r="J174" s="15"/>
      <c r="K174" s="231"/>
      <c r="L174" s="231"/>
      <c r="M174" s="231"/>
      <c r="N174" s="231"/>
      <c r="O174" s="231"/>
      <c r="P174" s="231"/>
      <c r="Q174" s="231"/>
      <c r="R174" s="231"/>
      <c r="S174" s="231"/>
      <c r="T174" s="231"/>
      <c r="U174" s="231"/>
      <c r="V174" s="231"/>
      <c r="W174" s="231"/>
      <c r="X174" s="231"/>
      <c r="Y174" s="231"/>
      <c r="Z174" s="231"/>
      <c r="AA174" s="231"/>
      <c r="AB174" s="231"/>
      <c r="AC174" s="231"/>
      <c r="AD174" s="231"/>
      <c r="AE174" s="231"/>
      <c r="AF174" s="231"/>
      <c r="AG174" s="231"/>
    </row>
    <row r="175" spans="1:33" s="203" customFormat="1">
      <c r="A175" s="120">
        <v>12</v>
      </c>
      <c r="B175" s="47" t="s">
        <v>146</v>
      </c>
      <c r="C175" s="47"/>
      <c r="D175" s="47"/>
      <c r="E175" s="74">
        <v>0</v>
      </c>
      <c r="F175" s="52">
        <v>0</v>
      </c>
      <c r="G175" s="118"/>
      <c r="H175" s="122"/>
      <c r="I175" s="29"/>
      <c r="J175" s="15"/>
      <c r="K175" s="231"/>
      <c r="L175" s="231"/>
      <c r="M175" s="231"/>
      <c r="N175" s="231"/>
      <c r="O175" s="231"/>
      <c r="P175" s="231"/>
      <c r="Q175" s="231"/>
      <c r="R175" s="231"/>
      <c r="S175" s="231"/>
      <c r="T175" s="231"/>
      <c r="U175" s="231"/>
      <c r="V175" s="231"/>
      <c r="W175" s="231"/>
      <c r="X175" s="231"/>
      <c r="Y175" s="231"/>
      <c r="Z175" s="231"/>
      <c r="AA175" s="231"/>
      <c r="AB175" s="231"/>
      <c r="AC175" s="231"/>
      <c r="AD175" s="231"/>
      <c r="AE175" s="231"/>
      <c r="AF175" s="231"/>
      <c r="AG175" s="231"/>
    </row>
    <row r="176" spans="1:33" s="203" customFormat="1">
      <c r="A176" s="120">
        <v>13</v>
      </c>
      <c r="B176" s="47" t="s">
        <v>147</v>
      </c>
      <c r="C176" s="47"/>
      <c r="D176" s="47"/>
      <c r="E176" s="49">
        <v>228</v>
      </c>
      <c r="F176" s="52">
        <f>262-143</f>
        <v>119</v>
      </c>
      <c r="G176" s="118"/>
      <c r="H176" s="122">
        <f>278-143</f>
        <v>135</v>
      </c>
      <c r="I176" s="29"/>
      <c r="J176" s="15"/>
      <c r="K176" s="231"/>
      <c r="L176" s="231"/>
      <c r="M176" s="231"/>
      <c r="N176" s="231"/>
      <c r="O176" s="231"/>
      <c r="P176" s="231"/>
      <c r="Q176" s="231"/>
      <c r="R176" s="231"/>
      <c r="S176" s="231"/>
      <c r="T176" s="231"/>
      <c r="U176" s="231"/>
      <c r="V176" s="231"/>
      <c r="W176" s="231"/>
      <c r="X176" s="231"/>
      <c r="Y176" s="231"/>
      <c r="Z176" s="231"/>
      <c r="AA176" s="231"/>
      <c r="AB176" s="231"/>
      <c r="AC176" s="231"/>
      <c r="AD176" s="231"/>
      <c r="AE176" s="231"/>
      <c r="AF176" s="231"/>
      <c r="AG176" s="231"/>
    </row>
    <row r="177" spans="1:33" s="203" customFormat="1">
      <c r="A177" s="120">
        <v>14</v>
      </c>
      <c r="B177" s="47" t="s">
        <v>148</v>
      </c>
      <c r="C177" s="47"/>
      <c r="D177" s="47"/>
      <c r="E177" s="56">
        <v>297</v>
      </c>
      <c r="F177" s="52">
        <v>284</v>
      </c>
      <c r="G177" s="118"/>
      <c r="H177" s="100">
        <v>289</v>
      </c>
      <c r="I177" s="29"/>
      <c r="J177" s="15"/>
      <c r="K177" s="231"/>
      <c r="L177" s="231"/>
      <c r="M177" s="231"/>
      <c r="N177" s="231"/>
      <c r="O177" s="231"/>
      <c r="P177" s="231"/>
      <c r="Q177" s="231"/>
      <c r="R177" s="231"/>
      <c r="S177" s="231"/>
      <c r="T177" s="231"/>
      <c r="U177" s="231"/>
      <c r="V177" s="231"/>
      <c r="W177" s="231"/>
      <c r="X177" s="231"/>
      <c r="Y177" s="231"/>
      <c r="Z177" s="231"/>
      <c r="AA177" s="231"/>
      <c r="AB177" s="231"/>
      <c r="AC177" s="231"/>
      <c r="AD177" s="231"/>
      <c r="AE177" s="231"/>
      <c r="AF177" s="231"/>
      <c r="AG177" s="231"/>
    </row>
    <row r="178" spans="1:33" s="203" customFormat="1">
      <c r="A178" s="120">
        <v>15</v>
      </c>
      <c r="B178" s="116" t="s">
        <v>149</v>
      </c>
      <c r="C178" s="116"/>
      <c r="D178" s="116"/>
      <c r="E178" s="80">
        <v>525</v>
      </c>
      <c r="F178" s="142">
        <f>SUM(F175:F177)</f>
        <v>403</v>
      </c>
      <c r="G178" s="118"/>
      <c r="H178" s="142">
        <f>SUM(H175:H177)</f>
        <v>424</v>
      </c>
      <c r="I178" s="29"/>
      <c r="J178" s="15"/>
      <c r="K178" s="231"/>
      <c r="L178" s="231"/>
      <c r="M178" s="231"/>
      <c r="N178" s="231"/>
      <c r="O178" s="231"/>
      <c r="P178" s="231"/>
      <c r="Q178" s="231"/>
      <c r="R178" s="231"/>
      <c r="S178" s="231"/>
      <c r="T178" s="231"/>
      <c r="U178" s="231"/>
      <c r="V178" s="231"/>
      <c r="W178" s="231"/>
      <c r="X178" s="231"/>
      <c r="Y178" s="231"/>
      <c r="Z178" s="231"/>
      <c r="AA178" s="231"/>
      <c r="AB178" s="231"/>
      <c r="AC178" s="231"/>
      <c r="AD178" s="231"/>
      <c r="AE178" s="231"/>
      <c r="AF178" s="231"/>
      <c r="AG178" s="231"/>
    </row>
    <row r="179" spans="1:33" s="203" customFormat="1">
      <c r="A179" s="120">
        <v>16</v>
      </c>
      <c r="B179" s="116" t="s">
        <v>150</v>
      </c>
      <c r="C179" s="116"/>
      <c r="D179" s="116"/>
      <c r="E179" s="80">
        <v>582</v>
      </c>
      <c r="F179" s="158">
        <f>F172+F178</f>
        <v>546</v>
      </c>
      <c r="G179" s="118"/>
      <c r="H179" s="158">
        <f>H172+H178</f>
        <v>567</v>
      </c>
      <c r="I179" s="29"/>
      <c r="J179" s="15"/>
      <c r="K179" s="231"/>
      <c r="L179" s="231"/>
      <c r="M179" s="231"/>
      <c r="N179" s="231"/>
      <c r="O179" s="231"/>
      <c r="P179" s="231"/>
      <c r="Q179" s="231"/>
      <c r="R179" s="231"/>
      <c r="S179" s="231"/>
      <c r="T179" s="231"/>
      <c r="U179" s="231"/>
      <c r="V179" s="231"/>
      <c r="W179" s="231"/>
      <c r="X179" s="231"/>
      <c r="Y179" s="231"/>
      <c r="Z179" s="231"/>
      <c r="AA179" s="231"/>
      <c r="AB179" s="231"/>
      <c r="AC179" s="231"/>
      <c r="AD179" s="231"/>
      <c r="AE179" s="231"/>
      <c r="AF179" s="231"/>
      <c r="AG179" s="231"/>
    </row>
    <row r="180" spans="1:33" s="203" customFormat="1">
      <c r="A180" s="120">
        <v>17</v>
      </c>
      <c r="B180" s="116" t="s">
        <v>151</v>
      </c>
      <c r="C180" s="116"/>
      <c r="D180" s="116"/>
      <c r="E180" s="159">
        <v>4645</v>
      </c>
      <c r="F180" s="61">
        <f>SUM(F163+F169+F171+F179)</f>
        <v>5133</v>
      </c>
      <c r="G180" s="118"/>
      <c r="H180" s="61">
        <f>SUM(H163+H169+H171+H179)</f>
        <v>3950</v>
      </c>
      <c r="I180" s="29"/>
      <c r="J180" s="15"/>
      <c r="K180" s="231"/>
      <c r="L180" s="231"/>
      <c r="M180" s="231"/>
      <c r="N180" s="231"/>
      <c r="O180" s="231"/>
      <c r="P180" s="231"/>
      <c r="Q180" s="231"/>
      <c r="R180" s="231"/>
      <c r="S180" s="231"/>
      <c r="T180" s="231"/>
      <c r="U180" s="231"/>
      <c r="V180" s="231"/>
      <c r="W180" s="231"/>
      <c r="X180" s="231"/>
      <c r="Y180" s="231"/>
      <c r="Z180" s="231"/>
      <c r="AA180" s="231"/>
      <c r="AB180" s="231"/>
      <c r="AC180" s="231"/>
      <c r="AD180" s="231"/>
      <c r="AE180" s="231"/>
      <c r="AF180" s="231"/>
      <c r="AG180" s="231"/>
    </row>
    <row r="181" spans="1:33" s="203" customFormat="1">
      <c r="A181" s="46"/>
      <c r="B181" s="132"/>
      <c r="C181" s="132"/>
      <c r="D181" s="132"/>
      <c r="E181" s="156"/>
      <c r="F181" s="139"/>
      <c r="G181" s="139"/>
      <c r="H181" s="139"/>
      <c r="I181" s="29"/>
      <c r="J181" s="15"/>
      <c r="K181" s="231"/>
      <c r="L181" s="231"/>
      <c r="M181" s="231"/>
      <c r="N181" s="231"/>
      <c r="O181" s="231"/>
      <c r="P181" s="231"/>
      <c r="Q181" s="231"/>
      <c r="R181" s="231"/>
      <c r="S181" s="231"/>
      <c r="T181" s="231"/>
      <c r="U181" s="231"/>
      <c r="V181" s="231"/>
      <c r="W181" s="231"/>
      <c r="X181" s="231"/>
      <c r="Y181" s="231"/>
      <c r="Z181" s="231"/>
      <c r="AA181" s="231"/>
      <c r="AB181" s="231"/>
      <c r="AC181" s="231"/>
      <c r="AD181" s="231"/>
      <c r="AE181" s="231"/>
      <c r="AF181" s="231"/>
      <c r="AG181" s="231"/>
    </row>
    <row r="182" spans="1:33" s="203" customFormat="1">
      <c r="A182" s="119" t="s">
        <v>152</v>
      </c>
      <c r="B182" s="47"/>
      <c r="C182" s="47"/>
      <c r="D182" s="116"/>
      <c r="E182" s="117"/>
      <c r="F182" s="118"/>
      <c r="G182" s="118"/>
      <c r="H182" s="118"/>
      <c r="I182" s="29"/>
      <c r="J182" s="15"/>
      <c r="K182" s="231"/>
      <c r="L182" s="231"/>
      <c r="M182" s="231"/>
      <c r="N182" s="231"/>
      <c r="O182" s="231"/>
      <c r="P182" s="231"/>
      <c r="Q182" s="231"/>
      <c r="R182" s="231"/>
      <c r="S182" s="231"/>
      <c r="T182" s="231"/>
      <c r="U182" s="231"/>
      <c r="V182" s="231"/>
      <c r="W182" s="231"/>
      <c r="X182" s="231"/>
      <c r="Y182" s="231"/>
      <c r="Z182" s="231"/>
      <c r="AA182" s="231"/>
      <c r="AB182" s="231"/>
      <c r="AC182" s="231"/>
      <c r="AD182" s="231"/>
      <c r="AE182" s="231"/>
      <c r="AF182" s="231"/>
      <c r="AG182" s="231"/>
    </row>
    <row r="183" spans="1:33" s="203" customFormat="1">
      <c r="A183" s="120">
        <v>18</v>
      </c>
      <c r="B183" s="47" t="s">
        <v>153</v>
      </c>
      <c r="C183" s="47"/>
      <c r="D183" s="47"/>
      <c r="E183" s="41">
        <v>75</v>
      </c>
      <c r="F183" s="121">
        <v>80</v>
      </c>
      <c r="G183" s="118"/>
      <c r="H183" s="133">
        <v>80</v>
      </c>
      <c r="I183" s="29"/>
      <c r="J183" s="15"/>
      <c r="K183" s="231"/>
      <c r="L183" s="231"/>
      <c r="M183" s="231"/>
      <c r="N183" s="231"/>
      <c r="O183" s="231"/>
      <c r="P183" s="231"/>
      <c r="Q183" s="231"/>
      <c r="R183" s="231"/>
      <c r="S183" s="231"/>
      <c r="T183" s="231"/>
      <c r="U183" s="231"/>
      <c r="V183" s="231"/>
      <c r="W183" s="231"/>
      <c r="X183" s="231"/>
      <c r="Y183" s="231"/>
      <c r="Z183" s="231"/>
      <c r="AA183" s="231"/>
      <c r="AB183" s="231"/>
      <c r="AC183" s="231"/>
      <c r="AD183" s="231"/>
      <c r="AE183" s="231"/>
      <c r="AF183" s="231"/>
      <c r="AG183" s="231"/>
    </row>
    <row r="184" spans="1:33" s="203" customFormat="1">
      <c r="A184" s="120">
        <v>19</v>
      </c>
      <c r="B184" s="47" t="s">
        <v>154</v>
      </c>
      <c r="C184" s="47"/>
      <c r="D184" s="47"/>
      <c r="E184" s="49">
        <v>0</v>
      </c>
      <c r="F184" s="52">
        <v>0</v>
      </c>
      <c r="G184" s="118"/>
      <c r="H184" s="122">
        <v>0</v>
      </c>
      <c r="I184" s="29"/>
      <c r="J184" s="15"/>
      <c r="K184" s="231"/>
      <c r="L184" s="231"/>
      <c r="M184" s="231"/>
      <c r="N184" s="231"/>
      <c r="O184" s="231"/>
      <c r="P184" s="231"/>
      <c r="Q184" s="231"/>
      <c r="R184" s="231"/>
      <c r="S184" s="231"/>
      <c r="T184" s="231"/>
      <c r="U184" s="231"/>
      <c r="V184" s="231"/>
      <c r="W184" s="231"/>
      <c r="X184" s="231"/>
      <c r="Y184" s="231"/>
      <c r="Z184" s="231"/>
      <c r="AA184" s="231"/>
      <c r="AB184" s="231"/>
      <c r="AC184" s="231"/>
      <c r="AD184" s="231"/>
      <c r="AE184" s="231"/>
      <c r="AF184" s="231"/>
      <c r="AG184" s="231"/>
    </row>
    <row r="185" spans="1:33" s="203" customFormat="1">
      <c r="A185" s="120">
        <v>20</v>
      </c>
      <c r="B185" s="47" t="s">
        <v>155</v>
      </c>
      <c r="C185" s="47"/>
      <c r="D185" s="47"/>
      <c r="E185" s="49">
        <v>5</v>
      </c>
      <c r="F185" s="52">
        <v>5</v>
      </c>
      <c r="G185" s="118"/>
      <c r="H185" s="122">
        <v>5</v>
      </c>
      <c r="I185" s="29"/>
      <c r="J185" s="15"/>
      <c r="K185" s="231"/>
      <c r="L185" s="231"/>
      <c r="M185" s="231"/>
      <c r="N185" s="231"/>
      <c r="O185" s="231"/>
      <c r="P185" s="231"/>
      <c r="Q185" s="231"/>
      <c r="R185" s="231"/>
      <c r="S185" s="231"/>
      <c r="T185" s="231"/>
      <c r="U185" s="231"/>
      <c r="V185" s="231"/>
      <c r="W185" s="231"/>
      <c r="X185" s="231"/>
      <c r="Y185" s="231"/>
      <c r="Z185" s="231"/>
      <c r="AA185" s="231"/>
      <c r="AB185" s="231"/>
      <c r="AC185" s="231"/>
      <c r="AD185" s="231"/>
      <c r="AE185" s="231"/>
      <c r="AF185" s="231"/>
      <c r="AG185" s="231"/>
    </row>
    <row r="186" spans="1:33" s="203" customFormat="1">
      <c r="A186" s="120">
        <v>21</v>
      </c>
      <c r="B186" s="47" t="s">
        <v>156</v>
      </c>
      <c r="C186" s="47"/>
      <c r="D186" s="47"/>
      <c r="E186" s="49">
        <v>0</v>
      </c>
      <c r="F186" s="52">
        <v>0</v>
      </c>
      <c r="G186" s="118"/>
      <c r="H186" s="122">
        <v>0</v>
      </c>
      <c r="I186" s="29"/>
      <c r="J186" s="15"/>
      <c r="K186" s="231"/>
      <c r="L186" s="231"/>
      <c r="M186" s="231"/>
      <c r="N186" s="231"/>
      <c r="O186" s="231"/>
      <c r="P186" s="231"/>
      <c r="Q186" s="231"/>
      <c r="R186" s="231"/>
      <c r="S186" s="231"/>
      <c r="T186" s="231"/>
      <c r="U186" s="231"/>
      <c r="V186" s="231"/>
      <c r="W186" s="231"/>
      <c r="X186" s="231"/>
      <c r="Y186" s="231"/>
      <c r="Z186" s="231"/>
      <c r="AA186" s="231"/>
      <c r="AB186" s="231"/>
      <c r="AC186" s="231"/>
      <c r="AD186" s="231"/>
      <c r="AE186" s="231"/>
      <c r="AF186" s="231"/>
      <c r="AG186" s="231"/>
    </row>
    <row r="187" spans="1:33" s="203" customFormat="1">
      <c r="A187" s="120">
        <v>22</v>
      </c>
      <c r="B187" s="47" t="s">
        <v>157</v>
      </c>
      <c r="C187" s="47"/>
      <c r="D187" s="47"/>
      <c r="E187" s="49">
        <v>0</v>
      </c>
      <c r="F187" s="52">
        <v>0</v>
      </c>
      <c r="G187" s="118"/>
      <c r="H187" s="122">
        <v>0</v>
      </c>
      <c r="I187" s="29"/>
      <c r="J187" s="15"/>
      <c r="K187" s="231"/>
      <c r="L187" s="231"/>
      <c r="M187" s="231"/>
      <c r="N187" s="231"/>
      <c r="O187" s="231"/>
      <c r="P187" s="231"/>
      <c r="Q187" s="231"/>
      <c r="R187" s="231"/>
      <c r="S187" s="231"/>
      <c r="T187" s="231"/>
      <c r="U187" s="231"/>
      <c r="V187" s="231"/>
      <c r="W187" s="231"/>
      <c r="X187" s="231"/>
      <c r="Y187" s="231"/>
      <c r="Z187" s="231"/>
      <c r="AA187" s="231"/>
      <c r="AB187" s="231"/>
      <c r="AC187" s="231"/>
      <c r="AD187" s="231"/>
      <c r="AE187" s="231"/>
      <c r="AF187" s="231"/>
      <c r="AG187" s="231"/>
    </row>
    <row r="188" spans="1:33" s="203" customFormat="1">
      <c r="A188" s="120">
        <v>23</v>
      </c>
      <c r="B188" s="47" t="s">
        <v>158</v>
      </c>
      <c r="C188" s="47"/>
      <c r="D188" s="47"/>
      <c r="E188" s="49">
        <v>0</v>
      </c>
      <c r="F188" s="52">
        <v>0</v>
      </c>
      <c r="G188" s="118"/>
      <c r="H188" s="122">
        <v>0</v>
      </c>
      <c r="I188" s="29"/>
      <c r="J188" s="15"/>
      <c r="K188" s="231"/>
      <c r="L188" s="231"/>
      <c r="M188" s="231"/>
      <c r="N188" s="231"/>
      <c r="O188" s="231"/>
      <c r="P188" s="231"/>
      <c r="Q188" s="231"/>
      <c r="R188" s="231"/>
      <c r="S188" s="231"/>
      <c r="T188" s="231"/>
      <c r="U188" s="231"/>
      <c r="V188" s="231"/>
      <c r="W188" s="231"/>
      <c r="X188" s="231"/>
      <c r="Y188" s="231"/>
      <c r="Z188" s="231"/>
      <c r="AA188" s="231"/>
      <c r="AB188" s="231"/>
      <c r="AC188" s="231"/>
      <c r="AD188" s="231"/>
      <c r="AE188" s="231"/>
      <c r="AF188" s="231"/>
      <c r="AG188" s="231"/>
    </row>
    <row r="189" spans="1:33" s="203" customFormat="1">
      <c r="A189" s="120">
        <v>24</v>
      </c>
      <c r="B189" s="47" t="s">
        <v>159</v>
      </c>
      <c r="C189" s="47"/>
      <c r="D189" s="47"/>
      <c r="E189" s="49">
        <v>0</v>
      </c>
      <c r="F189" s="52">
        <v>0</v>
      </c>
      <c r="G189" s="118"/>
      <c r="H189" s="122">
        <v>0</v>
      </c>
      <c r="I189" s="29"/>
      <c r="J189" s="15"/>
      <c r="K189" s="231"/>
      <c r="L189" s="231"/>
      <c r="M189" s="231"/>
      <c r="N189" s="231"/>
      <c r="O189" s="231"/>
      <c r="P189" s="231"/>
      <c r="Q189" s="231"/>
      <c r="R189" s="231"/>
      <c r="S189" s="231"/>
      <c r="T189" s="231"/>
      <c r="U189" s="231"/>
      <c r="V189" s="231"/>
      <c r="W189" s="231"/>
      <c r="X189" s="231"/>
      <c r="Y189" s="231"/>
      <c r="Z189" s="231"/>
      <c r="AA189" s="231"/>
      <c r="AB189" s="231"/>
      <c r="AC189" s="231"/>
      <c r="AD189" s="231"/>
      <c r="AE189" s="231"/>
      <c r="AF189" s="231"/>
      <c r="AG189" s="231"/>
    </row>
    <row r="190" spans="1:33" s="203" customFormat="1">
      <c r="A190" s="124">
        <v>25</v>
      </c>
      <c r="B190" s="54" t="s">
        <v>160</v>
      </c>
      <c r="C190" s="54"/>
      <c r="D190" s="54"/>
      <c r="E190" s="56">
        <v>0</v>
      </c>
      <c r="F190" s="126">
        <v>0</v>
      </c>
      <c r="G190" s="118"/>
      <c r="H190" s="100">
        <v>0</v>
      </c>
      <c r="I190" s="24"/>
      <c r="J190" s="15"/>
      <c r="K190" s="231"/>
      <c r="L190" s="231"/>
      <c r="M190" s="231"/>
      <c r="N190" s="231"/>
      <c r="O190" s="231"/>
      <c r="P190" s="231"/>
      <c r="Q190" s="231"/>
      <c r="R190" s="231"/>
      <c r="S190" s="231"/>
      <c r="T190" s="231"/>
      <c r="U190" s="231"/>
      <c r="V190" s="231"/>
      <c r="W190" s="231"/>
      <c r="X190" s="231"/>
      <c r="Y190" s="231"/>
      <c r="Z190" s="231"/>
      <c r="AA190" s="231"/>
      <c r="AB190" s="231"/>
      <c r="AC190" s="231"/>
      <c r="AD190" s="231"/>
      <c r="AE190" s="231"/>
      <c r="AF190" s="231"/>
      <c r="AG190" s="231"/>
    </row>
    <row r="191" spans="1:33" s="203" customFormat="1">
      <c r="A191" s="161"/>
      <c r="B191" s="129"/>
      <c r="C191" s="129"/>
      <c r="D191" s="149"/>
      <c r="E191" s="162"/>
      <c r="F191" s="29"/>
      <c r="G191" s="29"/>
      <c r="H191" s="207"/>
      <c r="I191" s="29"/>
      <c r="J191" s="15"/>
      <c r="K191" s="231"/>
      <c r="L191" s="231"/>
      <c r="M191" s="231"/>
      <c r="N191" s="231"/>
      <c r="O191" s="231"/>
      <c r="P191" s="231"/>
      <c r="Q191" s="231"/>
      <c r="R191" s="231"/>
      <c r="S191" s="231"/>
      <c r="T191" s="231"/>
      <c r="U191" s="231"/>
      <c r="V191" s="231"/>
      <c r="W191" s="231"/>
      <c r="X191" s="231"/>
      <c r="Y191" s="231"/>
      <c r="Z191" s="231"/>
      <c r="AA191" s="231"/>
      <c r="AB191" s="231"/>
      <c r="AC191" s="231"/>
      <c r="AD191" s="231"/>
      <c r="AE191" s="231"/>
      <c r="AF191" s="231"/>
      <c r="AG191" s="231"/>
    </row>
    <row r="192" spans="1:33" s="203" customFormat="1">
      <c r="A192" s="161"/>
      <c r="B192" s="129"/>
      <c r="C192" s="129"/>
      <c r="D192" s="151"/>
      <c r="E192" s="163"/>
      <c r="F192" s="29"/>
      <c r="G192" s="29"/>
      <c r="H192" s="131" t="s">
        <v>27</v>
      </c>
      <c r="I192" s="29"/>
      <c r="J192" s="15"/>
      <c r="K192" s="231"/>
      <c r="L192" s="231"/>
      <c r="M192" s="231"/>
      <c r="N192" s="231"/>
      <c r="O192" s="231"/>
      <c r="P192" s="231"/>
      <c r="Q192" s="231"/>
      <c r="R192" s="231"/>
      <c r="S192" s="231"/>
      <c r="T192" s="231"/>
      <c r="U192" s="231"/>
      <c r="V192" s="231"/>
      <c r="W192" s="231"/>
      <c r="X192" s="231"/>
      <c r="Y192" s="231"/>
      <c r="Z192" s="231"/>
      <c r="AA192" s="231"/>
      <c r="AB192" s="231"/>
      <c r="AC192" s="231"/>
      <c r="AD192" s="231"/>
      <c r="AE192" s="231"/>
      <c r="AF192" s="231"/>
      <c r="AG192" s="231"/>
    </row>
    <row r="193" spans="1:33" s="203" customFormat="1" ht="12.75" customHeight="1">
      <c r="A193" s="106" t="s">
        <v>23</v>
      </c>
      <c r="B193" s="164"/>
      <c r="C193" s="164"/>
      <c r="D193" s="164"/>
      <c r="E193" s="856" t="s">
        <v>377</v>
      </c>
      <c r="F193" s="856" t="s">
        <v>402</v>
      </c>
      <c r="G193" s="130"/>
      <c r="H193" s="856" t="s">
        <v>403</v>
      </c>
      <c r="I193" s="130"/>
      <c r="J193" s="239"/>
      <c r="K193" s="231"/>
      <c r="L193" s="231"/>
      <c r="M193" s="231"/>
      <c r="N193" s="231"/>
      <c r="O193" s="231"/>
      <c r="P193" s="231"/>
      <c r="Q193" s="231"/>
      <c r="R193" s="231"/>
      <c r="S193" s="231"/>
      <c r="T193" s="231"/>
      <c r="U193" s="231"/>
      <c r="V193" s="231"/>
      <c r="W193" s="231"/>
      <c r="X193" s="231"/>
      <c r="Y193" s="231"/>
      <c r="Z193" s="231"/>
      <c r="AA193" s="231"/>
      <c r="AB193" s="231"/>
      <c r="AC193" s="231"/>
      <c r="AD193" s="231"/>
      <c r="AE193" s="231"/>
      <c r="AF193" s="231"/>
      <c r="AG193" s="231"/>
    </row>
    <row r="194" spans="1:33" s="203" customFormat="1" ht="23.25" customHeight="1">
      <c r="A194" s="165"/>
      <c r="B194" s="132"/>
      <c r="C194" s="132"/>
      <c r="D194" s="132"/>
      <c r="E194" s="859"/>
      <c r="F194" s="859"/>
      <c r="G194" s="130"/>
      <c r="H194" s="859"/>
      <c r="I194" s="130"/>
      <c r="J194" s="239"/>
      <c r="K194" s="231"/>
      <c r="L194" s="231"/>
      <c r="M194" s="231"/>
      <c r="N194" s="231"/>
      <c r="O194" s="231"/>
      <c r="P194" s="231"/>
      <c r="Q194" s="231"/>
      <c r="R194" s="231"/>
      <c r="S194" s="231"/>
      <c r="T194" s="231"/>
      <c r="U194" s="231"/>
      <c r="V194" s="231"/>
      <c r="W194" s="231"/>
      <c r="X194" s="231"/>
      <c r="Y194" s="231"/>
      <c r="Z194" s="231"/>
      <c r="AA194" s="231"/>
      <c r="AB194" s="231"/>
      <c r="AC194" s="231"/>
      <c r="AD194" s="231"/>
      <c r="AE194" s="231"/>
      <c r="AF194" s="231"/>
      <c r="AG194" s="231"/>
    </row>
    <row r="195" spans="1:33" s="203" customFormat="1">
      <c r="A195" s="154" t="s">
        <v>161</v>
      </c>
      <c r="B195" s="116"/>
      <c r="C195" s="116"/>
      <c r="D195" s="116"/>
      <c r="E195" s="859"/>
      <c r="F195" s="859"/>
      <c r="G195" s="130"/>
      <c r="H195" s="859"/>
      <c r="I195" s="130"/>
      <c r="J195" s="239"/>
      <c r="K195" s="231"/>
      <c r="L195" s="231"/>
      <c r="M195" s="231"/>
      <c r="N195" s="231"/>
      <c r="O195" s="231"/>
      <c r="P195" s="231"/>
      <c r="Q195" s="231"/>
      <c r="R195" s="231"/>
      <c r="S195" s="231"/>
      <c r="T195" s="231"/>
      <c r="U195" s="231"/>
      <c r="V195" s="231"/>
      <c r="W195" s="231"/>
      <c r="X195" s="231"/>
      <c r="Y195" s="231"/>
      <c r="Z195" s="231"/>
      <c r="AA195" s="231"/>
      <c r="AB195" s="231"/>
      <c r="AC195" s="231"/>
      <c r="AD195" s="231"/>
      <c r="AE195" s="231"/>
      <c r="AF195" s="231"/>
      <c r="AG195" s="231"/>
    </row>
    <row r="196" spans="1:33" s="203" customFormat="1">
      <c r="A196" s="109" t="s">
        <v>83</v>
      </c>
      <c r="B196" s="47"/>
      <c r="C196" s="47"/>
      <c r="D196" s="47"/>
      <c r="E196" s="859"/>
      <c r="F196" s="859"/>
      <c r="G196" s="130"/>
      <c r="H196" s="859"/>
      <c r="I196" s="130"/>
      <c r="J196" s="239"/>
      <c r="K196" s="231"/>
      <c r="L196" s="231"/>
      <c r="M196" s="231"/>
      <c r="N196" s="231"/>
      <c r="O196" s="231"/>
      <c r="P196" s="231"/>
      <c r="Q196" s="231"/>
      <c r="R196" s="231"/>
      <c r="S196" s="231"/>
      <c r="T196" s="231"/>
      <c r="U196" s="231"/>
      <c r="V196" s="231"/>
      <c r="W196" s="231"/>
      <c r="X196" s="231"/>
      <c r="Y196" s="231"/>
      <c r="Z196" s="231"/>
      <c r="AA196" s="231"/>
      <c r="AB196" s="231"/>
      <c r="AC196" s="231"/>
      <c r="AD196" s="231"/>
      <c r="AE196" s="231"/>
      <c r="AF196" s="231"/>
      <c r="AG196" s="231"/>
    </row>
    <row r="197" spans="1:33" s="203" customFormat="1">
      <c r="A197" s="110" t="s">
        <v>84</v>
      </c>
      <c r="B197" s="132"/>
      <c r="C197" s="132"/>
      <c r="D197" s="132"/>
      <c r="E197" s="860"/>
      <c r="F197" s="860"/>
      <c r="G197" s="130"/>
      <c r="H197" s="860"/>
      <c r="I197" s="130"/>
      <c r="J197" s="239"/>
      <c r="K197" s="231"/>
      <c r="L197" s="231"/>
      <c r="M197" s="231"/>
      <c r="N197" s="231"/>
      <c r="O197" s="231"/>
      <c r="P197" s="231"/>
      <c r="Q197" s="231"/>
      <c r="R197" s="231"/>
      <c r="S197" s="231"/>
      <c r="T197" s="231"/>
      <c r="U197" s="231"/>
      <c r="V197" s="231"/>
      <c r="W197" s="231"/>
      <c r="X197" s="231"/>
      <c r="Y197" s="231"/>
      <c r="Z197" s="231"/>
      <c r="AA197" s="231"/>
      <c r="AB197" s="231"/>
      <c r="AC197" s="231"/>
      <c r="AD197" s="231"/>
      <c r="AE197" s="231"/>
      <c r="AF197" s="231"/>
      <c r="AG197" s="231"/>
    </row>
    <row r="198" spans="1:33" s="203" customFormat="1">
      <c r="A198" s="153" t="s">
        <v>162</v>
      </c>
      <c r="B198" s="166"/>
      <c r="C198" s="166"/>
      <c r="D198" s="166"/>
      <c r="E198" s="167"/>
      <c r="F198" s="146"/>
      <c r="G198" s="118"/>
      <c r="H198" s="146"/>
      <c r="I198" s="29"/>
      <c r="J198" s="15"/>
      <c r="K198" s="231"/>
      <c r="L198" s="231"/>
      <c r="M198" s="231"/>
      <c r="N198" s="231"/>
      <c r="O198" s="231"/>
      <c r="P198" s="231"/>
      <c r="Q198" s="231"/>
      <c r="R198" s="231"/>
      <c r="S198" s="231"/>
      <c r="T198" s="231"/>
      <c r="U198" s="231"/>
      <c r="V198" s="231"/>
      <c r="W198" s="231"/>
      <c r="X198" s="231"/>
      <c r="Y198" s="231"/>
      <c r="Z198" s="231"/>
      <c r="AA198" s="231"/>
      <c r="AB198" s="231"/>
      <c r="AC198" s="231"/>
      <c r="AD198" s="231"/>
      <c r="AE198" s="231"/>
      <c r="AF198" s="231"/>
      <c r="AG198" s="231"/>
    </row>
    <row r="199" spans="1:33" s="203" customFormat="1">
      <c r="A199" s="120">
        <v>1</v>
      </c>
      <c r="B199" s="47" t="s">
        <v>163</v>
      </c>
      <c r="C199" s="47"/>
      <c r="D199" s="47"/>
      <c r="E199" s="74">
        <v>11</v>
      </c>
      <c r="F199" s="52">
        <v>11</v>
      </c>
      <c r="G199" s="118"/>
      <c r="H199" s="122">
        <v>11</v>
      </c>
      <c r="I199" s="29"/>
      <c r="J199" s="15"/>
      <c r="K199" s="231"/>
      <c r="L199" s="231"/>
      <c r="M199" s="231"/>
      <c r="N199" s="231"/>
      <c r="O199" s="231"/>
      <c r="P199" s="231"/>
      <c r="Q199" s="231"/>
      <c r="R199" s="231"/>
      <c r="S199" s="231"/>
      <c r="T199" s="231"/>
      <c r="U199" s="231"/>
      <c r="V199" s="231"/>
      <c r="W199" s="231"/>
      <c r="X199" s="231"/>
      <c r="Y199" s="231"/>
      <c r="Z199" s="231"/>
      <c r="AA199" s="231"/>
      <c r="AB199" s="231"/>
      <c r="AC199" s="231"/>
      <c r="AD199" s="231"/>
      <c r="AE199" s="231"/>
      <c r="AF199" s="231"/>
      <c r="AG199" s="231"/>
    </row>
    <row r="200" spans="1:33" s="203" customFormat="1">
      <c r="A200" s="120">
        <v>2</v>
      </c>
      <c r="B200" s="47" t="s">
        <v>164</v>
      </c>
      <c r="C200" s="47"/>
      <c r="D200" s="47"/>
      <c r="E200" s="56">
        <v>463</v>
      </c>
      <c r="F200" s="52">
        <v>433</v>
      </c>
      <c r="G200" s="118"/>
      <c r="H200" s="100">
        <v>467</v>
      </c>
      <c r="I200" s="29"/>
      <c r="J200" s="15"/>
      <c r="K200" s="231"/>
      <c r="L200" s="231"/>
      <c r="M200" s="231"/>
      <c r="N200" s="231"/>
      <c r="O200" s="231"/>
      <c r="P200" s="231"/>
      <c r="Q200" s="231"/>
      <c r="R200" s="231"/>
      <c r="S200" s="231"/>
      <c r="T200" s="231"/>
      <c r="U200" s="231"/>
      <c r="V200" s="231"/>
      <c r="W200" s="231"/>
      <c r="X200" s="231"/>
      <c r="Y200" s="231"/>
      <c r="Z200" s="231"/>
      <c r="AA200" s="231"/>
      <c r="AB200" s="231"/>
      <c r="AC200" s="231"/>
      <c r="AD200" s="231"/>
      <c r="AE200" s="231"/>
      <c r="AF200" s="231"/>
      <c r="AG200" s="231"/>
    </row>
    <row r="201" spans="1:33" s="203" customFormat="1">
      <c r="A201" s="120">
        <v>3</v>
      </c>
      <c r="B201" s="116" t="s">
        <v>165</v>
      </c>
      <c r="C201" s="116"/>
      <c r="D201" s="116"/>
      <c r="E201" s="80">
        <v>474</v>
      </c>
      <c r="F201" s="142">
        <f>SUM(F199:F200)</f>
        <v>444</v>
      </c>
      <c r="G201" s="118"/>
      <c r="H201" s="142">
        <f>SUM(H199:H200)</f>
        <v>478</v>
      </c>
      <c r="I201" s="29"/>
      <c r="J201" s="15"/>
      <c r="K201" s="231"/>
      <c r="L201" s="231"/>
      <c r="M201" s="231"/>
      <c r="N201" s="231"/>
      <c r="O201" s="231"/>
      <c r="P201" s="231"/>
      <c r="Q201" s="231"/>
      <c r="R201" s="231"/>
      <c r="S201" s="231"/>
      <c r="T201" s="231"/>
      <c r="U201" s="231"/>
      <c r="V201" s="231"/>
      <c r="W201" s="231"/>
      <c r="X201" s="231"/>
      <c r="Y201" s="231"/>
      <c r="Z201" s="231"/>
      <c r="AA201" s="231"/>
      <c r="AB201" s="231"/>
      <c r="AC201" s="231"/>
      <c r="AD201" s="231"/>
      <c r="AE201" s="231"/>
      <c r="AF201" s="231"/>
      <c r="AG201" s="231"/>
    </row>
    <row r="202" spans="1:33" s="203" customFormat="1">
      <c r="A202" s="46"/>
      <c r="B202" s="132"/>
      <c r="C202" s="132"/>
      <c r="D202" s="132"/>
      <c r="E202" s="156"/>
      <c r="F202" s="139"/>
      <c r="G202" s="139"/>
      <c r="H202" s="139"/>
      <c r="I202" s="29"/>
      <c r="J202" s="15"/>
      <c r="K202" s="231"/>
      <c r="L202" s="231"/>
      <c r="M202" s="231"/>
      <c r="N202" s="231"/>
      <c r="O202" s="231"/>
      <c r="P202" s="231"/>
      <c r="Q202" s="231"/>
      <c r="R202" s="231"/>
      <c r="S202" s="231"/>
      <c r="T202" s="231"/>
      <c r="U202" s="231"/>
      <c r="V202" s="231"/>
      <c r="W202" s="231"/>
      <c r="X202" s="231"/>
      <c r="Y202" s="231"/>
      <c r="Z202" s="231"/>
      <c r="AA202" s="231"/>
      <c r="AB202" s="231"/>
      <c r="AC202" s="231"/>
      <c r="AD202" s="231"/>
      <c r="AE202" s="231"/>
      <c r="AF202" s="231"/>
      <c r="AG202" s="231"/>
    </row>
    <row r="203" spans="1:33" s="203" customFormat="1">
      <c r="A203" s="153" t="s">
        <v>166</v>
      </c>
      <c r="B203" s="116"/>
      <c r="C203" s="116"/>
      <c r="D203" s="116"/>
      <c r="E203" s="140"/>
      <c r="F203" s="146"/>
      <c r="G203" s="118"/>
      <c r="H203" s="146"/>
      <c r="I203" s="29"/>
      <c r="J203" s="15"/>
      <c r="K203" s="231"/>
      <c r="L203" s="231"/>
      <c r="M203" s="231"/>
      <c r="N203" s="231"/>
      <c r="O203" s="231"/>
      <c r="P203" s="231"/>
      <c r="Q203" s="231"/>
      <c r="R203" s="231"/>
      <c r="S203" s="231"/>
      <c r="T203" s="231"/>
      <c r="U203" s="231"/>
      <c r="V203" s="231"/>
      <c r="W203" s="231"/>
      <c r="X203" s="231"/>
      <c r="Y203" s="231"/>
      <c r="Z203" s="231"/>
      <c r="AA203" s="231"/>
      <c r="AB203" s="231"/>
      <c r="AC203" s="231"/>
      <c r="AD203" s="231"/>
      <c r="AE203" s="231"/>
      <c r="AF203" s="231"/>
      <c r="AG203" s="231"/>
    </row>
    <row r="204" spans="1:33" s="203" customFormat="1">
      <c r="A204" s="120">
        <v>4</v>
      </c>
      <c r="B204" s="47" t="s">
        <v>167</v>
      </c>
      <c r="C204" s="47"/>
      <c r="D204" s="47"/>
      <c r="E204" s="74">
        <v>1847</v>
      </c>
      <c r="F204" s="52">
        <v>2240</v>
      </c>
      <c r="G204" s="118"/>
      <c r="H204" s="122">
        <v>1441</v>
      </c>
      <c r="I204" s="29"/>
      <c r="J204" s="15"/>
      <c r="K204" s="231"/>
      <c r="L204" s="231"/>
      <c r="M204" s="231"/>
      <c r="N204" s="231"/>
      <c r="O204" s="231"/>
      <c r="P204" s="231"/>
      <c r="Q204" s="231"/>
      <c r="R204" s="231"/>
      <c r="S204" s="231"/>
      <c r="T204" s="231"/>
      <c r="U204" s="231"/>
      <c r="V204" s="231"/>
      <c r="W204" s="231"/>
      <c r="X204" s="231"/>
      <c r="Y204" s="231"/>
      <c r="Z204" s="231"/>
      <c r="AA204" s="231"/>
      <c r="AB204" s="231"/>
      <c r="AC204" s="231"/>
      <c r="AD204" s="231"/>
      <c r="AE204" s="231"/>
      <c r="AF204" s="231"/>
      <c r="AG204" s="231"/>
    </row>
    <row r="205" spans="1:33" s="203" customFormat="1">
      <c r="A205" s="120">
        <v>5</v>
      </c>
      <c r="B205" s="47" t="s">
        <v>168</v>
      </c>
      <c r="C205" s="47"/>
      <c r="D205" s="47"/>
      <c r="E205" s="49">
        <v>5116</v>
      </c>
      <c r="F205" s="52">
        <v>5503</v>
      </c>
      <c r="G205" s="118"/>
      <c r="H205" s="122">
        <v>5145</v>
      </c>
      <c r="I205" s="29"/>
      <c r="J205" s="15"/>
      <c r="K205" s="231"/>
      <c r="L205" s="231"/>
      <c r="M205" s="231"/>
      <c r="N205" s="231"/>
      <c r="O205" s="231"/>
      <c r="P205" s="231"/>
      <c r="Q205" s="231"/>
      <c r="R205" s="231"/>
      <c r="S205" s="231"/>
      <c r="T205" s="231"/>
      <c r="U205" s="231"/>
      <c r="V205" s="231"/>
      <c r="W205" s="231"/>
      <c r="X205" s="231"/>
      <c r="Y205" s="231"/>
      <c r="Z205" s="231"/>
      <c r="AA205" s="231"/>
      <c r="AB205" s="231"/>
      <c r="AC205" s="231"/>
      <c r="AD205" s="231"/>
      <c r="AE205" s="231"/>
      <c r="AF205" s="231"/>
      <c r="AG205" s="231"/>
    </row>
    <row r="206" spans="1:33" s="203" customFormat="1">
      <c r="A206" s="120">
        <v>6</v>
      </c>
      <c r="B206" s="47" t="s">
        <v>169</v>
      </c>
      <c r="C206" s="47"/>
      <c r="D206" s="47"/>
      <c r="E206" s="49">
        <v>801</v>
      </c>
      <c r="F206" s="52">
        <v>800</v>
      </c>
      <c r="G206" s="118"/>
      <c r="H206" s="100">
        <v>746</v>
      </c>
      <c r="I206" s="29"/>
      <c r="J206" s="15"/>
      <c r="K206" s="231"/>
      <c r="L206" s="231"/>
      <c r="M206" s="231"/>
      <c r="N206" s="231"/>
      <c r="O206" s="231"/>
      <c r="P206" s="231"/>
      <c r="Q206" s="231"/>
      <c r="R206" s="231"/>
      <c r="S206" s="231"/>
      <c r="T206" s="231"/>
      <c r="U206" s="231"/>
      <c r="V206" s="231"/>
      <c r="W206" s="231"/>
      <c r="X206" s="231"/>
      <c r="Y206" s="231"/>
      <c r="Z206" s="231"/>
      <c r="AA206" s="231"/>
      <c r="AB206" s="231"/>
      <c r="AC206" s="231"/>
      <c r="AD206" s="231"/>
      <c r="AE206" s="231"/>
      <c r="AF206" s="231"/>
      <c r="AG206" s="231"/>
    </row>
    <row r="207" spans="1:33" s="203" customFormat="1">
      <c r="A207" s="120">
        <v>7</v>
      </c>
      <c r="B207" s="116" t="s">
        <v>170</v>
      </c>
      <c r="C207" s="116"/>
      <c r="D207" s="116"/>
      <c r="E207" s="80">
        <v>7764</v>
      </c>
      <c r="F207" s="142">
        <f>SUM(F204:F206)</f>
        <v>8543</v>
      </c>
      <c r="G207" s="118"/>
      <c r="H207" s="142">
        <f>SUM(H204:H206)</f>
        <v>7332</v>
      </c>
      <c r="I207" s="29"/>
      <c r="J207" s="15"/>
      <c r="K207" s="231"/>
      <c r="L207" s="231"/>
      <c r="M207" s="231"/>
      <c r="N207" s="231"/>
      <c r="O207" s="231"/>
      <c r="P207" s="231"/>
      <c r="Q207" s="231"/>
      <c r="R207" s="231"/>
      <c r="S207" s="231"/>
      <c r="T207" s="231"/>
      <c r="U207" s="231"/>
      <c r="V207" s="231"/>
      <c r="W207" s="231"/>
      <c r="X207" s="231"/>
      <c r="Y207" s="231"/>
      <c r="Z207" s="231"/>
      <c r="AA207" s="231"/>
      <c r="AB207" s="231"/>
      <c r="AC207" s="231"/>
      <c r="AD207" s="231"/>
      <c r="AE207" s="231"/>
      <c r="AF207" s="231"/>
      <c r="AG207" s="231"/>
    </row>
    <row r="208" spans="1:33" s="203" customFormat="1">
      <c r="A208" s="46"/>
      <c r="B208" s="132"/>
      <c r="C208" s="132"/>
      <c r="D208" s="132"/>
      <c r="E208" s="156"/>
      <c r="F208" s="139"/>
      <c r="G208" s="139"/>
      <c r="H208" s="139"/>
      <c r="I208" s="29"/>
      <c r="J208" s="15"/>
      <c r="K208" s="231"/>
      <c r="L208" s="231"/>
      <c r="M208" s="231"/>
      <c r="N208" s="231"/>
      <c r="O208" s="231"/>
      <c r="P208" s="231"/>
      <c r="Q208" s="231"/>
      <c r="R208" s="231"/>
      <c r="S208" s="231"/>
      <c r="T208" s="231"/>
      <c r="U208" s="231"/>
      <c r="V208" s="231"/>
      <c r="W208" s="231"/>
      <c r="X208" s="231"/>
      <c r="Y208" s="231"/>
      <c r="Z208" s="231"/>
      <c r="AA208" s="231"/>
      <c r="AB208" s="231"/>
      <c r="AC208" s="231"/>
      <c r="AD208" s="231"/>
      <c r="AE208" s="231"/>
      <c r="AF208" s="231"/>
      <c r="AG208" s="231"/>
    </row>
    <row r="209" spans="1:33" s="203" customFormat="1">
      <c r="A209" s="153" t="s">
        <v>121</v>
      </c>
      <c r="B209" s="168"/>
      <c r="C209" s="168"/>
      <c r="D209" s="168"/>
      <c r="E209" s="140"/>
      <c r="F209" s="146"/>
      <c r="G209" s="118"/>
      <c r="H209" s="146"/>
      <c r="I209" s="29"/>
      <c r="J209" s="15"/>
      <c r="K209" s="231"/>
      <c r="L209" s="231"/>
      <c r="M209" s="231"/>
      <c r="N209" s="231"/>
      <c r="O209" s="231"/>
      <c r="P209" s="231"/>
      <c r="Q209" s="231"/>
      <c r="R209" s="231"/>
      <c r="S209" s="231"/>
      <c r="T209" s="231"/>
      <c r="U209" s="231"/>
      <c r="V209" s="231"/>
      <c r="W209" s="231"/>
      <c r="X209" s="231"/>
      <c r="Y209" s="231"/>
      <c r="Z209" s="231"/>
      <c r="AA209" s="231"/>
      <c r="AB209" s="231"/>
      <c r="AC209" s="231"/>
      <c r="AD209" s="231"/>
      <c r="AE209" s="231"/>
      <c r="AF209" s="231"/>
      <c r="AG209" s="231"/>
    </row>
    <row r="210" spans="1:33" s="203" customFormat="1">
      <c r="A210" s="120">
        <v>8</v>
      </c>
      <c r="B210" s="47" t="s">
        <v>171</v>
      </c>
      <c r="C210" s="47"/>
      <c r="D210" s="47"/>
      <c r="E210" s="74">
        <v>43</v>
      </c>
      <c r="F210" s="52">
        <v>3</v>
      </c>
      <c r="G210" s="118"/>
      <c r="H210" s="122">
        <v>-55</v>
      </c>
      <c r="I210" s="29"/>
      <c r="J210" s="15"/>
      <c r="K210" s="231"/>
      <c r="L210" s="231"/>
      <c r="M210" s="231"/>
      <c r="N210" s="231"/>
      <c r="O210" s="231"/>
      <c r="P210" s="231"/>
      <c r="Q210" s="231"/>
      <c r="R210" s="231"/>
      <c r="S210" s="231"/>
      <c r="T210" s="231"/>
      <c r="U210" s="231"/>
      <c r="V210" s="231"/>
      <c r="W210" s="231"/>
      <c r="X210" s="231"/>
      <c r="Y210" s="231"/>
      <c r="Z210" s="231"/>
      <c r="AA210" s="231"/>
      <c r="AB210" s="231"/>
      <c r="AC210" s="231"/>
      <c r="AD210" s="231"/>
      <c r="AE210" s="231"/>
      <c r="AF210" s="231"/>
      <c r="AG210" s="231"/>
    </row>
    <row r="211" spans="1:33" s="203" customFormat="1">
      <c r="A211" s="120">
        <v>9</v>
      </c>
      <c r="B211" s="47" t="s">
        <v>172</v>
      </c>
      <c r="C211" s="47"/>
      <c r="D211" s="47"/>
      <c r="E211" s="49">
        <v>183</v>
      </c>
      <c r="F211" s="52">
        <v>183</v>
      </c>
      <c r="G211" s="118"/>
      <c r="H211" s="122">
        <v>194</v>
      </c>
      <c r="I211" s="29"/>
      <c r="J211" s="15"/>
      <c r="K211" s="231"/>
      <c r="L211" s="231"/>
      <c r="M211" s="231"/>
      <c r="N211" s="231"/>
      <c r="O211" s="231"/>
      <c r="P211" s="231"/>
      <c r="Q211" s="231"/>
      <c r="R211" s="231"/>
      <c r="S211" s="231"/>
      <c r="T211" s="231"/>
      <c r="U211" s="231"/>
      <c r="V211" s="231"/>
      <c r="W211" s="231"/>
      <c r="X211" s="231"/>
      <c r="Y211" s="231"/>
      <c r="Z211" s="231"/>
      <c r="AA211" s="231"/>
      <c r="AB211" s="231"/>
      <c r="AC211" s="231"/>
      <c r="AD211" s="231"/>
      <c r="AE211" s="231"/>
      <c r="AF211" s="231"/>
      <c r="AG211" s="231"/>
    </row>
    <row r="212" spans="1:33" s="203" customFormat="1">
      <c r="A212" s="120">
        <v>10</v>
      </c>
      <c r="B212" s="47" t="s">
        <v>173</v>
      </c>
      <c r="C212" s="47"/>
      <c r="D212" s="47"/>
      <c r="E212" s="49">
        <v>526</v>
      </c>
      <c r="F212" s="52">
        <v>575</v>
      </c>
      <c r="G212" s="118"/>
      <c r="H212" s="122">
        <v>621</v>
      </c>
      <c r="I212" s="29"/>
      <c r="J212" s="15"/>
      <c r="K212" s="231"/>
      <c r="L212" s="231"/>
      <c r="M212" s="231"/>
      <c r="N212" s="231"/>
      <c r="O212" s="231"/>
      <c r="P212" s="231"/>
      <c r="Q212" s="231"/>
      <c r="R212" s="231"/>
      <c r="S212" s="231"/>
      <c r="T212" s="231"/>
      <c r="U212" s="231"/>
      <c r="V212" s="231"/>
      <c r="W212" s="231"/>
      <c r="X212" s="231"/>
      <c r="Y212" s="231"/>
      <c r="Z212" s="231"/>
      <c r="AA212" s="231"/>
      <c r="AB212" s="231"/>
      <c r="AC212" s="231"/>
      <c r="AD212" s="231"/>
      <c r="AE212" s="231"/>
      <c r="AF212" s="231"/>
      <c r="AG212" s="231"/>
    </row>
    <row r="213" spans="1:33" s="203" customFormat="1">
      <c r="A213" s="120">
        <v>11</v>
      </c>
      <c r="B213" s="47" t="s">
        <v>174</v>
      </c>
      <c r="C213" s="47"/>
      <c r="D213" s="47"/>
      <c r="E213" s="49">
        <v>1692</v>
      </c>
      <c r="F213" s="52">
        <v>1639</v>
      </c>
      <c r="G213" s="118"/>
      <c r="H213" s="99">
        <v>1628</v>
      </c>
      <c r="I213" s="29"/>
      <c r="J213" s="15"/>
      <c r="K213" s="231"/>
      <c r="L213" s="231"/>
      <c r="M213" s="231"/>
      <c r="N213" s="231"/>
      <c r="O213" s="231"/>
      <c r="P213" s="231"/>
      <c r="Q213" s="231"/>
      <c r="R213" s="231"/>
      <c r="S213" s="231"/>
      <c r="T213" s="231"/>
      <c r="U213" s="231"/>
      <c r="V213" s="231"/>
      <c r="W213" s="231"/>
      <c r="X213" s="231"/>
      <c r="Y213" s="231"/>
      <c r="Z213" s="231"/>
      <c r="AA213" s="231"/>
      <c r="AB213" s="231"/>
      <c r="AC213" s="231"/>
      <c r="AD213" s="231"/>
      <c r="AE213" s="231"/>
      <c r="AF213" s="231"/>
      <c r="AG213" s="231"/>
    </row>
    <row r="214" spans="1:33" s="203" customFormat="1">
      <c r="A214" s="120">
        <v>12</v>
      </c>
      <c r="B214" s="116" t="s">
        <v>175</v>
      </c>
      <c r="C214" s="116"/>
      <c r="D214" s="116"/>
      <c r="E214" s="159">
        <v>10682</v>
      </c>
      <c r="F214" s="61">
        <f>F201+F207+SUM(F210:F213)</f>
        <v>11387</v>
      </c>
      <c r="G214" s="118"/>
      <c r="H214" s="61">
        <f>H201+H207+SUM(H210:H213)</f>
        <v>10198</v>
      </c>
      <c r="I214" s="29"/>
      <c r="J214" s="15"/>
      <c r="K214" s="231"/>
      <c r="L214" s="231"/>
      <c r="M214" s="231"/>
      <c r="N214" s="231"/>
      <c r="O214" s="231"/>
      <c r="P214" s="231"/>
      <c r="Q214" s="231"/>
      <c r="R214" s="231"/>
      <c r="S214" s="231"/>
      <c r="T214" s="231"/>
      <c r="U214" s="231"/>
      <c r="V214" s="231"/>
      <c r="W214" s="231"/>
      <c r="X214" s="231"/>
      <c r="Y214" s="231"/>
      <c r="Z214" s="231"/>
      <c r="AA214" s="231"/>
      <c r="AB214" s="231"/>
      <c r="AC214" s="231"/>
      <c r="AD214" s="231"/>
      <c r="AE214" s="231"/>
      <c r="AF214" s="231"/>
      <c r="AG214" s="231"/>
    </row>
    <row r="215" spans="1:33" s="203" customFormat="1">
      <c r="A215" s="111"/>
      <c r="B215" s="47"/>
      <c r="C215" s="47"/>
      <c r="D215" s="47"/>
      <c r="E215" s="117"/>
      <c r="F215" s="118"/>
      <c r="G215" s="118"/>
      <c r="H215" s="118"/>
      <c r="I215" s="29"/>
      <c r="J215" s="15"/>
      <c r="K215" s="231"/>
      <c r="L215" s="231"/>
      <c r="M215" s="231"/>
      <c r="N215" s="231"/>
      <c r="O215" s="231"/>
      <c r="P215" s="231"/>
      <c r="Q215" s="231"/>
      <c r="R215" s="231"/>
      <c r="S215" s="231"/>
      <c r="T215" s="231"/>
      <c r="U215" s="231"/>
      <c r="V215" s="231"/>
      <c r="W215" s="231"/>
      <c r="X215" s="231"/>
      <c r="Y215" s="231"/>
      <c r="Z215" s="231"/>
      <c r="AA215" s="231"/>
      <c r="AB215" s="231"/>
      <c r="AC215" s="231"/>
      <c r="AD215" s="231"/>
      <c r="AE215" s="231"/>
      <c r="AF215" s="231"/>
      <c r="AG215" s="231"/>
    </row>
    <row r="216" spans="1:33" s="203" customFormat="1">
      <c r="A216" s="119" t="s">
        <v>176</v>
      </c>
      <c r="B216" s="116"/>
      <c r="C216" s="116"/>
      <c r="D216" s="116"/>
      <c r="E216" s="117"/>
      <c r="F216" s="160"/>
      <c r="G216" s="118"/>
      <c r="H216" s="160"/>
      <c r="I216" s="29"/>
      <c r="J216" s="15"/>
      <c r="K216" s="231"/>
      <c r="L216" s="231"/>
      <c r="M216" s="231"/>
      <c r="N216" s="231"/>
      <c r="O216" s="231"/>
      <c r="P216" s="231"/>
      <c r="Q216" s="231"/>
      <c r="R216" s="231"/>
      <c r="S216" s="231"/>
      <c r="T216" s="231"/>
      <c r="U216" s="231"/>
      <c r="V216" s="231"/>
      <c r="W216" s="231"/>
      <c r="X216" s="231"/>
      <c r="Y216" s="231"/>
      <c r="Z216" s="231"/>
      <c r="AA216" s="231"/>
      <c r="AB216" s="231"/>
      <c r="AC216" s="231"/>
      <c r="AD216" s="231"/>
      <c r="AE216" s="231"/>
      <c r="AF216" s="231"/>
      <c r="AG216" s="231"/>
    </row>
    <row r="217" spans="1:33" s="203" customFormat="1">
      <c r="A217" s="120">
        <v>13</v>
      </c>
      <c r="B217" s="47" t="s">
        <v>177</v>
      </c>
      <c r="C217" s="47"/>
      <c r="D217" s="47"/>
      <c r="E217" s="41">
        <v>67</v>
      </c>
      <c r="F217" s="121">
        <v>54</v>
      </c>
      <c r="G217" s="118"/>
      <c r="H217" s="169">
        <v>55</v>
      </c>
      <c r="I217" s="29"/>
      <c r="J217" s="15"/>
      <c r="K217" s="231"/>
      <c r="L217" s="231"/>
      <c r="M217" s="231"/>
      <c r="N217" s="231"/>
      <c r="O217" s="231"/>
      <c r="P217" s="231"/>
      <c r="Q217" s="231"/>
      <c r="R217" s="231"/>
      <c r="S217" s="231"/>
      <c r="T217" s="231"/>
      <c r="U217" s="231"/>
      <c r="V217" s="231"/>
      <c r="W217" s="231"/>
      <c r="X217" s="231"/>
      <c r="Y217" s="231"/>
      <c r="Z217" s="231"/>
      <c r="AA217" s="231"/>
      <c r="AB217" s="231"/>
      <c r="AC217" s="231"/>
      <c r="AD217" s="231"/>
      <c r="AE217" s="231"/>
      <c r="AF217" s="231"/>
      <c r="AG217" s="231"/>
    </row>
    <row r="218" spans="1:33" s="203" customFormat="1">
      <c r="A218" s="124">
        <v>14</v>
      </c>
      <c r="B218" s="54" t="s">
        <v>178</v>
      </c>
      <c r="C218" s="54"/>
      <c r="D218" s="54"/>
      <c r="E218" s="56">
        <v>833</v>
      </c>
      <c r="F218" s="126">
        <v>800</v>
      </c>
      <c r="G218" s="118"/>
      <c r="H218" s="100">
        <v>746</v>
      </c>
      <c r="I218" s="29"/>
      <c r="J218" s="15"/>
      <c r="K218" s="231"/>
      <c r="L218" s="231"/>
      <c r="M218" s="231"/>
      <c r="N218" s="231"/>
      <c r="O218" s="231"/>
      <c r="P218" s="231"/>
      <c r="Q218" s="231"/>
      <c r="R218" s="231"/>
      <c r="S218" s="231"/>
      <c r="T218" s="231"/>
      <c r="U218" s="231"/>
      <c r="V218" s="231"/>
      <c r="W218" s="231"/>
      <c r="X218" s="231"/>
      <c r="Y218" s="231"/>
      <c r="Z218" s="231"/>
      <c r="AA218" s="231"/>
      <c r="AB218" s="231"/>
      <c r="AC218" s="231"/>
      <c r="AD218" s="231"/>
      <c r="AE218" s="231"/>
      <c r="AF218" s="231"/>
      <c r="AG218" s="231"/>
    </row>
    <row r="219" spans="1:33" s="203" customFormat="1">
      <c r="A219" s="148"/>
      <c r="B219" s="29"/>
      <c r="C219" s="29"/>
      <c r="D219" s="170"/>
      <c r="E219" s="171"/>
      <c r="F219" s="29"/>
      <c r="G219" s="29"/>
      <c r="H219" s="207"/>
      <c r="I219" s="29"/>
      <c r="J219" s="15"/>
      <c r="K219" s="231"/>
      <c r="L219" s="231"/>
      <c r="M219" s="231"/>
      <c r="N219" s="231"/>
      <c r="O219" s="231"/>
      <c r="P219" s="231"/>
      <c r="Q219" s="231"/>
      <c r="R219" s="231"/>
      <c r="S219" s="231"/>
      <c r="T219" s="231"/>
      <c r="U219" s="231"/>
      <c r="V219" s="231"/>
      <c r="W219" s="231"/>
      <c r="X219" s="231"/>
      <c r="Y219" s="231"/>
      <c r="Z219" s="231"/>
      <c r="AA219" s="231"/>
      <c r="AB219" s="231"/>
      <c r="AC219" s="231"/>
      <c r="AD219" s="231"/>
      <c r="AE219" s="231"/>
      <c r="AF219" s="231"/>
      <c r="AG219" s="231"/>
    </row>
    <row r="220" spans="1:33" s="203" customFormat="1">
      <c r="A220" s="148"/>
      <c r="B220" s="29"/>
      <c r="C220" s="29"/>
      <c r="D220" s="172"/>
      <c r="E220" s="152"/>
      <c r="F220" s="29"/>
      <c r="G220" s="29"/>
      <c r="H220" s="131" t="s">
        <v>27</v>
      </c>
      <c r="I220" s="29"/>
      <c r="J220" s="15"/>
      <c r="K220" s="231"/>
      <c r="L220" s="231"/>
      <c r="M220" s="231"/>
      <c r="N220" s="231"/>
      <c r="O220" s="231"/>
      <c r="P220" s="231"/>
      <c r="Q220" s="231"/>
      <c r="R220" s="231"/>
      <c r="S220" s="231"/>
      <c r="T220" s="231"/>
      <c r="U220" s="231"/>
      <c r="V220" s="231"/>
      <c r="W220" s="231"/>
      <c r="X220" s="231"/>
      <c r="Y220" s="231"/>
      <c r="Z220" s="231"/>
      <c r="AA220" s="231"/>
      <c r="AB220" s="231"/>
      <c r="AC220" s="231"/>
      <c r="AD220" s="231"/>
      <c r="AE220" s="231"/>
      <c r="AF220" s="231"/>
      <c r="AG220" s="231"/>
    </row>
    <row r="221" spans="1:33" s="203" customFormat="1" ht="12.75" customHeight="1">
      <c r="A221" s="106" t="s">
        <v>10</v>
      </c>
      <c r="B221" s="164"/>
      <c r="C221" s="164"/>
      <c r="D221" s="164"/>
      <c r="E221" s="856" t="s">
        <v>377</v>
      </c>
      <c r="F221" s="856" t="s">
        <v>402</v>
      </c>
      <c r="G221" s="130"/>
      <c r="H221" s="856" t="s">
        <v>403</v>
      </c>
      <c r="I221" s="130"/>
      <c r="J221" s="239"/>
      <c r="K221" s="231"/>
      <c r="L221" s="231"/>
      <c r="M221" s="231"/>
      <c r="N221" s="231"/>
      <c r="O221" s="231"/>
      <c r="P221" s="231"/>
      <c r="Q221" s="231"/>
      <c r="R221" s="231"/>
      <c r="S221" s="231"/>
      <c r="T221" s="231"/>
      <c r="U221" s="231"/>
      <c r="V221" s="231"/>
      <c r="W221" s="231"/>
      <c r="X221" s="231"/>
      <c r="Y221" s="231"/>
      <c r="Z221" s="231"/>
      <c r="AA221" s="231"/>
      <c r="AB221" s="231"/>
      <c r="AC221" s="231"/>
      <c r="AD221" s="231"/>
      <c r="AE221" s="231"/>
      <c r="AF221" s="231"/>
      <c r="AG221" s="231"/>
    </row>
    <row r="222" spans="1:33" s="203" customFormat="1">
      <c r="A222" s="109"/>
      <c r="B222" s="132"/>
      <c r="C222" s="132"/>
      <c r="D222" s="132"/>
      <c r="E222" s="859"/>
      <c r="F222" s="859"/>
      <c r="G222" s="130"/>
      <c r="H222" s="859"/>
      <c r="I222" s="130"/>
      <c r="J222" s="239"/>
      <c r="K222" s="231"/>
      <c r="L222" s="231"/>
      <c r="M222" s="231"/>
      <c r="N222" s="231"/>
      <c r="O222" s="231"/>
      <c r="P222" s="231"/>
      <c r="Q222" s="231"/>
      <c r="R222" s="231"/>
      <c r="S222" s="231"/>
      <c r="T222" s="231"/>
      <c r="U222" s="231"/>
      <c r="V222" s="231"/>
      <c r="W222" s="231"/>
      <c r="X222" s="231"/>
      <c r="Y222" s="231"/>
      <c r="Z222" s="231"/>
      <c r="AA222" s="231"/>
      <c r="AB222" s="231"/>
      <c r="AC222" s="231"/>
      <c r="AD222" s="231"/>
      <c r="AE222" s="231"/>
      <c r="AF222" s="231"/>
      <c r="AG222" s="231"/>
    </row>
    <row r="223" spans="1:33" s="203" customFormat="1">
      <c r="A223" s="154" t="s">
        <v>179</v>
      </c>
      <c r="B223" s="116"/>
      <c r="C223" s="116"/>
      <c r="D223" s="116"/>
      <c r="E223" s="859"/>
      <c r="F223" s="859"/>
      <c r="G223" s="130"/>
      <c r="H223" s="859"/>
      <c r="I223" s="130"/>
      <c r="J223" s="239"/>
      <c r="K223" s="231"/>
      <c r="L223" s="231"/>
      <c r="M223" s="231"/>
      <c r="N223" s="231"/>
      <c r="O223" s="231"/>
      <c r="P223" s="231"/>
      <c r="Q223" s="231"/>
      <c r="R223" s="231"/>
      <c r="S223" s="231"/>
      <c r="T223" s="231"/>
      <c r="U223" s="231"/>
      <c r="V223" s="231"/>
      <c r="W223" s="231"/>
      <c r="X223" s="231"/>
      <c r="Y223" s="231"/>
      <c r="Z223" s="231"/>
      <c r="AA223" s="231"/>
      <c r="AB223" s="231"/>
      <c r="AC223" s="231"/>
      <c r="AD223" s="231"/>
      <c r="AE223" s="231"/>
      <c r="AF223" s="231"/>
      <c r="AG223" s="231"/>
    </row>
    <row r="224" spans="1:33" s="203" customFormat="1">
      <c r="A224" s="109" t="s">
        <v>83</v>
      </c>
      <c r="B224" s="47"/>
      <c r="C224" s="47"/>
      <c r="D224" s="47"/>
      <c r="E224" s="859"/>
      <c r="F224" s="859"/>
      <c r="G224" s="130"/>
      <c r="H224" s="859"/>
      <c r="I224" s="130"/>
      <c r="J224" s="239"/>
      <c r="K224" s="231"/>
      <c r="L224" s="231"/>
      <c r="M224" s="231"/>
      <c r="N224" s="231"/>
      <c r="O224" s="231"/>
      <c r="P224" s="231"/>
      <c r="Q224" s="231"/>
      <c r="R224" s="231"/>
      <c r="S224" s="231"/>
      <c r="T224" s="231"/>
      <c r="U224" s="231"/>
      <c r="V224" s="231"/>
      <c r="W224" s="231"/>
      <c r="X224" s="231"/>
      <c r="Y224" s="231"/>
      <c r="Z224" s="231"/>
      <c r="AA224" s="231"/>
      <c r="AB224" s="231"/>
      <c r="AC224" s="231"/>
      <c r="AD224" s="231"/>
      <c r="AE224" s="231"/>
      <c r="AF224" s="231"/>
      <c r="AG224" s="231"/>
    </row>
    <row r="225" spans="1:33" s="203" customFormat="1">
      <c r="A225" s="110" t="s">
        <v>84</v>
      </c>
      <c r="B225" s="132"/>
      <c r="C225" s="132"/>
      <c r="D225" s="132"/>
      <c r="E225" s="860"/>
      <c r="F225" s="860"/>
      <c r="G225" s="130"/>
      <c r="H225" s="860"/>
      <c r="I225" s="130"/>
      <c r="J225" s="239"/>
      <c r="K225" s="231"/>
      <c r="L225" s="231"/>
      <c r="M225" s="231"/>
      <c r="N225" s="231"/>
      <c r="O225" s="231"/>
      <c r="P225" s="231"/>
      <c r="Q225" s="231"/>
      <c r="R225" s="231"/>
      <c r="S225" s="231"/>
      <c r="T225" s="231"/>
      <c r="U225" s="231"/>
      <c r="V225" s="231"/>
      <c r="W225" s="231"/>
      <c r="X225" s="231"/>
      <c r="Y225" s="231"/>
      <c r="Z225" s="231"/>
      <c r="AA225" s="231"/>
      <c r="AB225" s="231"/>
      <c r="AC225" s="231"/>
      <c r="AD225" s="231"/>
      <c r="AE225" s="231"/>
      <c r="AF225" s="231"/>
      <c r="AG225" s="231"/>
    </row>
    <row r="226" spans="1:33" s="203" customFormat="1">
      <c r="A226" s="120">
        <v>1</v>
      </c>
      <c r="B226" s="47" t="s">
        <v>180</v>
      </c>
      <c r="C226" s="47"/>
      <c r="D226" s="47"/>
      <c r="E226" s="41">
        <v>157</v>
      </c>
      <c r="F226" s="52">
        <v>257</v>
      </c>
      <c r="G226" s="118"/>
      <c r="H226" s="133">
        <v>218</v>
      </c>
      <c r="I226" s="29"/>
      <c r="J226" s="15"/>
      <c r="K226" s="231"/>
      <c r="L226" s="231"/>
      <c r="M226" s="231"/>
      <c r="N226" s="231"/>
      <c r="O226" s="231"/>
      <c r="P226" s="231"/>
      <c r="Q226" s="231"/>
      <c r="R226" s="231"/>
      <c r="S226" s="231"/>
      <c r="T226" s="231"/>
      <c r="U226" s="231"/>
      <c r="V226" s="231"/>
      <c r="W226" s="231"/>
      <c r="X226" s="231"/>
      <c r="Y226" s="231"/>
      <c r="Z226" s="231"/>
      <c r="AA226" s="231"/>
      <c r="AB226" s="231"/>
      <c r="AC226" s="231"/>
      <c r="AD226" s="231"/>
      <c r="AE226" s="231"/>
      <c r="AF226" s="231"/>
      <c r="AG226" s="231"/>
    </row>
    <row r="227" spans="1:33" s="203" customFormat="1">
      <c r="A227" s="120">
        <v>2</v>
      </c>
      <c r="B227" s="47" t="s">
        <v>181</v>
      </c>
      <c r="C227" s="47"/>
      <c r="D227" s="47"/>
      <c r="E227" s="49">
        <v>320</v>
      </c>
      <c r="F227" s="52">
        <v>320</v>
      </c>
      <c r="G227" s="118"/>
      <c r="H227" s="122">
        <v>283</v>
      </c>
      <c r="I227" s="29"/>
      <c r="J227" s="15"/>
      <c r="K227" s="231"/>
      <c r="L227" s="231"/>
      <c r="M227" s="231"/>
      <c r="N227" s="231"/>
      <c r="O227" s="231"/>
      <c r="P227" s="231"/>
      <c r="Q227" s="231"/>
      <c r="R227" s="231"/>
      <c r="S227" s="231"/>
      <c r="T227" s="231"/>
      <c r="U227" s="231"/>
      <c r="V227" s="231"/>
      <c r="W227" s="231"/>
      <c r="X227" s="231"/>
      <c r="Y227" s="231"/>
      <c r="Z227" s="231"/>
      <c r="AA227" s="231"/>
      <c r="AB227" s="231"/>
      <c r="AC227" s="231"/>
      <c r="AD227" s="231"/>
      <c r="AE227" s="231"/>
      <c r="AF227" s="231"/>
      <c r="AG227" s="231"/>
    </row>
    <row r="228" spans="1:33" s="203" customFormat="1">
      <c r="A228" s="120">
        <v>3</v>
      </c>
      <c r="B228" s="47" t="s">
        <v>182</v>
      </c>
      <c r="C228" s="47"/>
      <c r="D228" s="47"/>
      <c r="E228" s="114">
        <v>678</v>
      </c>
      <c r="F228" s="52">
        <v>737</v>
      </c>
      <c r="G228" s="118"/>
      <c r="H228" s="122">
        <v>800</v>
      </c>
      <c r="I228" s="29"/>
      <c r="J228" s="15"/>
      <c r="K228" s="231"/>
      <c r="L228" s="231"/>
      <c r="M228" s="231"/>
      <c r="N228" s="231"/>
      <c r="O228" s="231"/>
      <c r="P228" s="231"/>
      <c r="Q228" s="231"/>
      <c r="R228" s="231"/>
      <c r="S228" s="231"/>
      <c r="T228" s="231"/>
      <c r="U228" s="231"/>
      <c r="V228" s="231"/>
      <c r="W228" s="231"/>
      <c r="X228" s="231"/>
      <c r="Y228" s="231"/>
      <c r="Z228" s="231"/>
      <c r="AA228" s="231"/>
      <c r="AB228" s="231"/>
      <c r="AC228" s="231"/>
      <c r="AD228" s="231"/>
      <c r="AE228" s="231"/>
      <c r="AF228" s="231"/>
      <c r="AG228" s="231"/>
    </row>
    <row r="229" spans="1:33" s="203" customFormat="1">
      <c r="A229" s="120">
        <v>4</v>
      </c>
      <c r="B229" s="47" t="s">
        <v>183</v>
      </c>
      <c r="C229" s="47"/>
      <c r="D229" s="47"/>
      <c r="E229" s="114">
        <v>122</v>
      </c>
      <c r="F229" s="52">
        <v>125</v>
      </c>
      <c r="G229" s="118"/>
      <c r="H229" s="122">
        <v>127</v>
      </c>
      <c r="I229" s="29"/>
      <c r="J229" s="15"/>
      <c r="K229" s="231"/>
      <c r="L229" s="231"/>
      <c r="M229" s="231"/>
      <c r="N229" s="231"/>
      <c r="O229" s="231"/>
      <c r="P229" s="231"/>
      <c r="Q229" s="231"/>
      <c r="R229" s="231"/>
      <c r="S229" s="231"/>
      <c r="T229" s="231"/>
      <c r="U229" s="231"/>
      <c r="V229" s="231"/>
      <c r="W229" s="231"/>
      <c r="X229" s="231"/>
      <c r="Y229" s="231"/>
      <c r="Z229" s="231"/>
      <c r="AA229" s="231"/>
      <c r="AB229" s="231"/>
      <c r="AC229" s="231"/>
      <c r="AD229" s="231"/>
      <c r="AE229" s="231"/>
      <c r="AF229" s="231"/>
      <c r="AG229" s="231"/>
    </row>
    <row r="230" spans="1:33" s="203" customFormat="1">
      <c r="A230" s="120">
        <v>5</v>
      </c>
      <c r="B230" s="47" t="s">
        <v>184</v>
      </c>
      <c r="C230" s="47"/>
      <c r="D230" s="47"/>
      <c r="E230" s="114">
        <v>198</v>
      </c>
      <c r="F230" s="52">
        <v>670</v>
      </c>
      <c r="G230" s="118"/>
      <c r="H230" s="99">
        <v>606</v>
      </c>
      <c r="I230" s="29"/>
      <c r="J230" s="15"/>
      <c r="K230" s="231"/>
      <c r="L230" s="231"/>
      <c r="M230" s="231"/>
      <c r="N230" s="231"/>
      <c r="O230" s="231"/>
      <c r="P230" s="231"/>
      <c r="Q230" s="231"/>
      <c r="R230" s="231"/>
      <c r="S230" s="231"/>
      <c r="T230" s="231"/>
      <c r="U230" s="231"/>
      <c r="V230" s="231"/>
      <c r="W230" s="231"/>
      <c r="X230" s="231"/>
      <c r="Y230" s="231"/>
      <c r="Z230" s="231"/>
      <c r="AA230" s="231"/>
      <c r="AB230" s="231"/>
      <c r="AC230" s="231"/>
      <c r="AD230" s="231"/>
      <c r="AE230" s="231"/>
      <c r="AF230" s="231"/>
      <c r="AG230" s="231"/>
    </row>
    <row r="231" spans="1:33" s="203" customFormat="1">
      <c r="A231" s="124">
        <v>6</v>
      </c>
      <c r="B231" s="173" t="s">
        <v>185</v>
      </c>
      <c r="C231" s="173"/>
      <c r="D231" s="173"/>
      <c r="E231" s="159">
        <v>1475</v>
      </c>
      <c r="F231" s="61">
        <f>SUM(F226:F230)</f>
        <v>2109</v>
      </c>
      <c r="G231" s="118"/>
      <c r="H231" s="61">
        <f>SUM(H226:H230)</f>
        <v>2034</v>
      </c>
      <c r="I231" s="29"/>
      <c r="J231" s="15"/>
      <c r="K231" s="231"/>
      <c r="L231" s="231"/>
      <c r="M231" s="231"/>
      <c r="N231" s="231"/>
      <c r="O231" s="231"/>
      <c r="P231" s="231"/>
      <c r="Q231" s="231"/>
      <c r="R231" s="231"/>
      <c r="S231" s="231"/>
      <c r="T231" s="231"/>
      <c r="U231" s="231"/>
      <c r="V231" s="231"/>
      <c r="W231" s="231"/>
      <c r="X231" s="231"/>
      <c r="Y231" s="231"/>
      <c r="Z231" s="231"/>
      <c r="AA231" s="231"/>
      <c r="AB231" s="231"/>
      <c r="AC231" s="231"/>
      <c r="AD231" s="231"/>
      <c r="AE231" s="231"/>
      <c r="AF231" s="231"/>
      <c r="AG231" s="231"/>
    </row>
    <row r="232" spans="1:33" s="203" customFormat="1">
      <c r="A232" s="148"/>
      <c r="B232" s="29"/>
      <c r="C232" s="29"/>
      <c r="D232" s="170"/>
      <c r="E232" s="150"/>
      <c r="F232" s="29"/>
      <c r="G232" s="29"/>
      <c r="H232" s="207"/>
      <c r="I232" s="29"/>
      <c r="J232" s="15"/>
      <c r="K232" s="231"/>
      <c r="L232" s="231"/>
      <c r="M232" s="231"/>
      <c r="N232" s="231"/>
      <c r="O232" s="231"/>
      <c r="P232" s="231"/>
      <c r="Q232" s="231"/>
      <c r="R232" s="231"/>
      <c r="S232" s="231"/>
      <c r="T232" s="231"/>
      <c r="U232" s="231"/>
      <c r="V232" s="231"/>
      <c r="W232" s="231"/>
      <c r="X232" s="231"/>
      <c r="Y232" s="231"/>
      <c r="Z232" s="231"/>
      <c r="AA232" s="231"/>
      <c r="AB232" s="231"/>
      <c r="AC232" s="231"/>
      <c r="AD232" s="231"/>
      <c r="AE232" s="231"/>
      <c r="AF232" s="231"/>
      <c r="AG232" s="231"/>
    </row>
    <row r="233" spans="1:33" s="203" customFormat="1">
      <c r="A233" s="148"/>
      <c r="B233" s="29"/>
      <c r="C233" s="29"/>
      <c r="D233" s="172"/>
      <c r="E233" s="152"/>
      <c r="F233" s="29"/>
      <c r="G233" s="29"/>
      <c r="H233" s="131" t="s">
        <v>27</v>
      </c>
      <c r="I233" s="29"/>
      <c r="J233" s="15"/>
      <c r="K233" s="231"/>
      <c r="L233" s="231"/>
      <c r="M233" s="231"/>
      <c r="N233" s="231"/>
      <c r="O233" s="231"/>
      <c r="P233" s="231"/>
      <c r="Q233" s="231"/>
      <c r="R233" s="231"/>
      <c r="S233" s="231"/>
      <c r="T233" s="231"/>
      <c r="U233" s="231"/>
      <c r="V233" s="231"/>
      <c r="W233" s="231"/>
      <c r="X233" s="231"/>
      <c r="Y233" s="231"/>
      <c r="Z233" s="231"/>
      <c r="AA233" s="231"/>
      <c r="AB233" s="231"/>
      <c r="AC233" s="231"/>
      <c r="AD233" s="231"/>
      <c r="AE233" s="231"/>
      <c r="AF233" s="231"/>
      <c r="AG233" s="231"/>
    </row>
    <row r="234" spans="1:33" s="203" customFormat="1" ht="12.75" customHeight="1">
      <c r="A234" s="106" t="s">
        <v>12</v>
      </c>
      <c r="B234" s="164"/>
      <c r="C234" s="164"/>
      <c r="D234" s="164"/>
      <c r="E234" s="856" t="s">
        <v>377</v>
      </c>
      <c r="F234" s="856" t="s">
        <v>402</v>
      </c>
      <c r="G234" s="130"/>
      <c r="H234" s="856" t="s">
        <v>403</v>
      </c>
      <c r="I234" s="130"/>
      <c r="J234" s="239"/>
      <c r="K234" s="231"/>
      <c r="L234" s="231"/>
      <c r="M234" s="231"/>
      <c r="N234" s="231"/>
      <c r="O234" s="231"/>
      <c r="P234" s="231"/>
      <c r="Q234" s="231"/>
      <c r="R234" s="231"/>
      <c r="S234" s="231"/>
      <c r="T234" s="231"/>
      <c r="U234" s="231"/>
      <c r="V234" s="231"/>
      <c r="W234" s="231"/>
      <c r="X234" s="231"/>
      <c r="Y234" s="231"/>
      <c r="Z234" s="231"/>
      <c r="AA234" s="231"/>
      <c r="AB234" s="231"/>
      <c r="AC234" s="231"/>
      <c r="AD234" s="231"/>
      <c r="AE234" s="231"/>
      <c r="AF234" s="231"/>
      <c r="AG234" s="231"/>
    </row>
    <row r="235" spans="1:33" s="203" customFormat="1">
      <c r="A235" s="165"/>
      <c r="B235" s="47"/>
      <c r="C235" s="47"/>
      <c r="D235" s="47"/>
      <c r="E235" s="859"/>
      <c r="F235" s="859"/>
      <c r="G235" s="130"/>
      <c r="H235" s="859"/>
      <c r="I235" s="130"/>
      <c r="J235" s="239"/>
      <c r="K235" s="231"/>
      <c r="L235" s="231"/>
      <c r="M235" s="231"/>
      <c r="N235" s="231"/>
      <c r="O235" s="231"/>
      <c r="P235" s="231"/>
      <c r="Q235" s="231"/>
      <c r="R235" s="231"/>
      <c r="S235" s="231"/>
      <c r="T235" s="231"/>
      <c r="U235" s="231"/>
      <c r="V235" s="231"/>
      <c r="W235" s="231"/>
      <c r="X235" s="231"/>
      <c r="Y235" s="231"/>
      <c r="Z235" s="231"/>
      <c r="AA235" s="231"/>
      <c r="AB235" s="231"/>
      <c r="AC235" s="231"/>
      <c r="AD235" s="231"/>
      <c r="AE235" s="231"/>
      <c r="AF235" s="231"/>
      <c r="AG235" s="231"/>
    </row>
    <row r="236" spans="1:33" s="203" customFormat="1">
      <c r="A236" s="154" t="s">
        <v>186</v>
      </c>
      <c r="B236" s="174"/>
      <c r="C236" s="174"/>
      <c r="D236" s="174"/>
      <c r="E236" s="859"/>
      <c r="F236" s="859"/>
      <c r="G236" s="130"/>
      <c r="H236" s="859"/>
      <c r="I236" s="130"/>
      <c r="J236" s="239"/>
      <c r="K236" s="231"/>
      <c r="L236" s="231"/>
      <c r="M236" s="231"/>
      <c r="N236" s="231"/>
      <c r="O236" s="231"/>
      <c r="P236" s="231"/>
      <c r="Q236" s="231"/>
      <c r="R236" s="231"/>
      <c r="S236" s="231"/>
      <c r="T236" s="231"/>
      <c r="U236" s="231"/>
      <c r="V236" s="231"/>
      <c r="W236" s="231"/>
      <c r="X236" s="231"/>
      <c r="Y236" s="231"/>
      <c r="Z236" s="231"/>
      <c r="AA236" s="231"/>
      <c r="AB236" s="231"/>
      <c r="AC236" s="231"/>
      <c r="AD236" s="231"/>
      <c r="AE236" s="231"/>
      <c r="AF236" s="231"/>
      <c r="AG236" s="231"/>
    </row>
    <row r="237" spans="1:33" s="203" customFormat="1">
      <c r="A237" s="109" t="s">
        <v>83</v>
      </c>
      <c r="B237" s="47"/>
      <c r="C237" s="47"/>
      <c r="D237" s="47"/>
      <c r="E237" s="859"/>
      <c r="F237" s="859"/>
      <c r="G237" s="130"/>
      <c r="H237" s="859"/>
      <c r="I237" s="130"/>
      <c r="J237" s="239"/>
      <c r="K237" s="231"/>
      <c r="L237" s="231"/>
      <c r="M237" s="231"/>
      <c r="N237" s="231"/>
      <c r="O237" s="231"/>
      <c r="P237" s="231"/>
      <c r="Q237" s="231"/>
      <c r="R237" s="231"/>
      <c r="S237" s="231"/>
      <c r="T237" s="231"/>
      <c r="U237" s="231"/>
      <c r="V237" s="231"/>
      <c r="W237" s="231"/>
      <c r="X237" s="231"/>
      <c r="Y237" s="231"/>
      <c r="Z237" s="231"/>
      <c r="AA237" s="231"/>
      <c r="AB237" s="231"/>
      <c r="AC237" s="231"/>
      <c r="AD237" s="231"/>
      <c r="AE237" s="231"/>
      <c r="AF237" s="231"/>
      <c r="AG237" s="231"/>
    </row>
    <row r="238" spans="1:33" s="203" customFormat="1">
      <c r="A238" s="110" t="s">
        <v>84</v>
      </c>
      <c r="B238" s="174"/>
      <c r="C238" s="174"/>
      <c r="D238" s="174"/>
      <c r="E238" s="860"/>
      <c r="F238" s="860"/>
      <c r="G238" s="130"/>
      <c r="H238" s="860"/>
      <c r="I238" s="130"/>
      <c r="J238" s="239"/>
      <c r="K238" s="231"/>
      <c r="L238" s="231"/>
      <c r="M238" s="231"/>
      <c r="N238" s="231"/>
      <c r="O238" s="231"/>
      <c r="P238" s="231"/>
      <c r="Q238" s="231"/>
      <c r="R238" s="231"/>
      <c r="S238" s="231"/>
      <c r="T238" s="231"/>
      <c r="U238" s="231"/>
      <c r="V238" s="231"/>
      <c r="W238" s="231"/>
      <c r="X238" s="231"/>
      <c r="Y238" s="231"/>
      <c r="Z238" s="231"/>
      <c r="AA238" s="231"/>
      <c r="AB238" s="231"/>
      <c r="AC238" s="231"/>
      <c r="AD238" s="231"/>
      <c r="AE238" s="231"/>
      <c r="AF238" s="231"/>
      <c r="AG238" s="231"/>
    </row>
    <row r="239" spans="1:33" s="203" customFormat="1">
      <c r="A239" s="153" t="s">
        <v>187</v>
      </c>
      <c r="B239" s="116"/>
      <c r="C239" s="116"/>
      <c r="D239" s="116"/>
      <c r="E239" s="167"/>
      <c r="F239" s="146"/>
      <c r="G239" s="118"/>
      <c r="H239" s="146"/>
      <c r="I239" s="29"/>
      <c r="J239" s="15"/>
      <c r="K239" s="231"/>
      <c r="L239" s="231"/>
      <c r="M239" s="231"/>
      <c r="N239" s="231"/>
      <c r="O239" s="231"/>
      <c r="P239" s="231"/>
      <c r="Q239" s="231"/>
      <c r="R239" s="231"/>
      <c r="S239" s="231"/>
      <c r="T239" s="231"/>
      <c r="U239" s="231"/>
      <c r="V239" s="231"/>
      <c r="W239" s="231"/>
      <c r="X239" s="231"/>
      <c r="Y239" s="231"/>
      <c r="Z239" s="231"/>
      <c r="AA239" s="231"/>
      <c r="AB239" s="231"/>
      <c r="AC239" s="231"/>
      <c r="AD239" s="231"/>
      <c r="AE239" s="231"/>
      <c r="AF239" s="231"/>
      <c r="AG239" s="231"/>
    </row>
    <row r="240" spans="1:33" s="203" customFormat="1">
      <c r="A240" s="120">
        <v>1</v>
      </c>
      <c r="B240" s="47" t="s">
        <v>188</v>
      </c>
      <c r="C240" s="47"/>
      <c r="D240" s="47"/>
      <c r="E240" s="74">
        <v>148</v>
      </c>
      <c r="F240" s="52">
        <v>157</v>
      </c>
      <c r="G240" s="118"/>
      <c r="H240" s="122">
        <v>168</v>
      </c>
      <c r="I240" s="29"/>
      <c r="J240" s="15"/>
      <c r="K240" s="231"/>
      <c r="L240" s="231"/>
      <c r="M240" s="231"/>
      <c r="N240" s="231"/>
      <c r="O240" s="231"/>
      <c r="P240" s="231"/>
      <c r="Q240" s="231"/>
      <c r="R240" s="231"/>
      <c r="S240" s="231"/>
      <c r="T240" s="231"/>
      <c r="U240" s="231"/>
      <c r="V240" s="231"/>
      <c r="W240" s="231"/>
      <c r="X240" s="231"/>
      <c r="Y240" s="231"/>
      <c r="Z240" s="231"/>
      <c r="AA240" s="231"/>
      <c r="AB240" s="231"/>
      <c r="AC240" s="231"/>
      <c r="AD240" s="231"/>
      <c r="AE240" s="231"/>
      <c r="AF240" s="231"/>
      <c r="AG240" s="231"/>
    </row>
    <row r="241" spans="1:33" s="203" customFormat="1">
      <c r="A241" s="433">
        <v>2</v>
      </c>
      <c r="B241" s="47" t="s">
        <v>189</v>
      </c>
      <c r="C241" s="47"/>
      <c r="D241" s="47"/>
      <c r="E241" s="114">
        <v>235</v>
      </c>
      <c r="F241" s="52">
        <v>288</v>
      </c>
      <c r="G241" s="118"/>
      <c r="H241" s="100">
        <v>0</v>
      </c>
      <c r="I241" s="29"/>
      <c r="J241" s="15"/>
      <c r="K241" s="231"/>
      <c r="L241" s="231"/>
      <c r="M241" s="231"/>
      <c r="N241" s="231"/>
      <c r="O241" s="231"/>
      <c r="P241" s="231"/>
      <c r="Q241" s="231"/>
      <c r="R241" s="231"/>
      <c r="S241" s="231"/>
      <c r="T241" s="231"/>
      <c r="U241" s="231"/>
      <c r="V241" s="231"/>
      <c r="W241" s="231"/>
      <c r="X241" s="231"/>
      <c r="Y241" s="231"/>
      <c r="Z241" s="231"/>
      <c r="AA241" s="231"/>
      <c r="AB241" s="231"/>
      <c r="AC241" s="231"/>
      <c r="AD241" s="231"/>
      <c r="AE241" s="231"/>
      <c r="AF241" s="231"/>
      <c r="AG241" s="231"/>
    </row>
    <row r="242" spans="1:33" s="203" customFormat="1">
      <c r="A242" s="433">
        <v>3</v>
      </c>
      <c r="B242" s="168" t="s">
        <v>190</v>
      </c>
      <c r="C242" s="168"/>
      <c r="D242" s="168"/>
      <c r="E242" s="80">
        <v>383</v>
      </c>
      <c r="F242" s="142">
        <f>SUM(F240:F241)</f>
        <v>445</v>
      </c>
      <c r="G242" s="118"/>
      <c r="H242" s="142">
        <f>SUM(H240:H241)</f>
        <v>168</v>
      </c>
      <c r="I242" s="29"/>
      <c r="J242" s="15"/>
      <c r="K242" s="231"/>
      <c r="L242" s="231"/>
      <c r="M242" s="231"/>
      <c r="N242" s="231"/>
      <c r="O242" s="231"/>
      <c r="P242" s="231"/>
      <c r="Q242" s="231"/>
      <c r="R242" s="231"/>
      <c r="S242" s="231"/>
      <c r="T242" s="231"/>
      <c r="U242" s="231"/>
      <c r="V242" s="231"/>
      <c r="W242" s="231"/>
      <c r="X242" s="231"/>
      <c r="Y242" s="231"/>
      <c r="Z242" s="231"/>
      <c r="AA242" s="231"/>
      <c r="AB242" s="231"/>
      <c r="AC242" s="231"/>
      <c r="AD242" s="231"/>
      <c r="AE242" s="231"/>
      <c r="AF242" s="231"/>
      <c r="AG242" s="231"/>
    </row>
    <row r="243" spans="1:33" s="203" customFormat="1">
      <c r="A243" s="433"/>
      <c r="B243" s="116"/>
      <c r="C243" s="116"/>
      <c r="D243" s="116"/>
      <c r="E243" s="117"/>
      <c r="F243" s="118"/>
      <c r="G243" s="118"/>
      <c r="H243" s="118"/>
      <c r="I243" s="29"/>
      <c r="J243" s="15"/>
      <c r="K243" s="231"/>
      <c r="L243" s="231"/>
      <c r="M243" s="231"/>
      <c r="N243" s="231"/>
      <c r="O243" s="231"/>
      <c r="P243" s="231"/>
      <c r="Q243" s="231"/>
      <c r="R243" s="231"/>
      <c r="S243" s="231"/>
      <c r="T243" s="231"/>
      <c r="U243" s="231"/>
      <c r="V243" s="231"/>
      <c r="W243" s="231"/>
      <c r="X243" s="231"/>
      <c r="Y243" s="231"/>
      <c r="Z243" s="231"/>
      <c r="AA243" s="231"/>
      <c r="AB243" s="231"/>
      <c r="AC243" s="231"/>
      <c r="AD243" s="231"/>
      <c r="AE243" s="231"/>
      <c r="AF243" s="231"/>
      <c r="AG243" s="231"/>
    </row>
    <row r="244" spans="1:33" s="203" customFormat="1">
      <c r="A244" s="108" t="s">
        <v>191</v>
      </c>
      <c r="B244" s="47"/>
      <c r="C244" s="47"/>
      <c r="D244" s="47"/>
      <c r="E244" s="140"/>
      <c r="F244" s="146"/>
      <c r="G244" s="118"/>
      <c r="H244" s="146"/>
      <c r="I244" s="29"/>
      <c r="J244" s="15"/>
      <c r="K244" s="231"/>
      <c r="L244" s="231"/>
      <c r="M244" s="231"/>
      <c r="N244" s="231"/>
      <c r="O244" s="231"/>
      <c r="P244" s="231"/>
      <c r="Q244" s="231"/>
      <c r="R244" s="231"/>
      <c r="S244" s="231"/>
      <c r="T244" s="231"/>
      <c r="U244" s="231"/>
      <c r="V244" s="231"/>
      <c r="W244" s="231"/>
      <c r="X244" s="231"/>
      <c r="Y244" s="231"/>
      <c r="Z244" s="231"/>
      <c r="AA244" s="231"/>
      <c r="AB244" s="231"/>
      <c r="AC244" s="231"/>
      <c r="AD244" s="231"/>
      <c r="AE244" s="231"/>
      <c r="AF244" s="231"/>
      <c r="AG244" s="231"/>
    </row>
    <row r="245" spans="1:33" s="203" customFormat="1">
      <c r="A245" s="433">
        <v>4</v>
      </c>
      <c r="B245" s="47" t="s">
        <v>192</v>
      </c>
      <c r="C245" s="47"/>
      <c r="D245" s="47"/>
      <c r="E245" s="74">
        <v>0</v>
      </c>
      <c r="F245" s="52"/>
      <c r="G245" s="118"/>
      <c r="H245" s="122"/>
      <c r="I245" s="29"/>
      <c r="J245" s="15"/>
      <c r="K245" s="231"/>
      <c r="L245" s="231"/>
      <c r="M245" s="231"/>
      <c r="N245" s="231"/>
      <c r="O245" s="231"/>
      <c r="P245" s="231"/>
      <c r="Q245" s="231"/>
      <c r="R245" s="231"/>
      <c r="S245" s="231"/>
      <c r="T245" s="231"/>
      <c r="U245" s="231"/>
      <c r="V245" s="231"/>
      <c r="W245" s="231"/>
      <c r="X245" s="231"/>
      <c r="Y245" s="231"/>
      <c r="Z245" s="231"/>
      <c r="AA245" s="231"/>
      <c r="AB245" s="231"/>
      <c r="AC245" s="231"/>
      <c r="AD245" s="231"/>
      <c r="AE245" s="231"/>
      <c r="AF245" s="231"/>
      <c r="AG245" s="231"/>
    </row>
    <row r="246" spans="1:33" s="203" customFormat="1">
      <c r="A246" s="433">
        <v>5</v>
      </c>
      <c r="B246" s="47" t="s">
        <v>193</v>
      </c>
      <c r="C246" s="47"/>
      <c r="D246" s="47"/>
      <c r="E246" s="49">
        <v>0</v>
      </c>
      <c r="F246" s="52">
        <v>15</v>
      </c>
      <c r="G246" s="118"/>
      <c r="H246" s="100">
        <v>15</v>
      </c>
      <c r="I246" s="29"/>
      <c r="J246" s="15"/>
      <c r="K246" s="231"/>
      <c r="L246" s="231"/>
      <c r="M246" s="231"/>
      <c r="N246" s="231"/>
      <c r="O246" s="231"/>
      <c r="P246" s="231"/>
      <c r="Q246" s="231"/>
      <c r="R246" s="231"/>
      <c r="S246" s="231"/>
      <c r="T246" s="231"/>
      <c r="U246" s="231"/>
      <c r="V246" s="231"/>
      <c r="W246" s="231"/>
      <c r="X246" s="231"/>
      <c r="Y246" s="231"/>
      <c r="Z246" s="231"/>
      <c r="AA246" s="231"/>
      <c r="AB246" s="231"/>
      <c r="AC246" s="231"/>
      <c r="AD246" s="231"/>
      <c r="AE246" s="231"/>
      <c r="AF246" s="231"/>
      <c r="AG246" s="231"/>
    </row>
    <row r="247" spans="1:33" s="203" customFormat="1">
      <c r="A247" s="433">
        <v>6</v>
      </c>
      <c r="B247" s="116" t="s">
        <v>194</v>
      </c>
      <c r="C247" s="116"/>
      <c r="D247" s="116"/>
      <c r="E247" s="80">
        <v>0</v>
      </c>
      <c r="F247" s="142">
        <f>SUM(F245:F246)</f>
        <v>15</v>
      </c>
      <c r="G247" s="118"/>
      <c r="H247" s="142">
        <f>SUM(H245:H246)</f>
        <v>15</v>
      </c>
      <c r="I247" s="29"/>
      <c r="J247" s="15"/>
      <c r="K247" s="231"/>
      <c r="L247" s="231"/>
      <c r="M247" s="231"/>
      <c r="N247" s="231"/>
      <c r="O247" s="231"/>
      <c r="P247" s="231"/>
      <c r="Q247" s="231"/>
      <c r="R247" s="231"/>
      <c r="S247" s="231"/>
      <c r="T247" s="231"/>
      <c r="U247" s="231"/>
      <c r="V247" s="231"/>
      <c r="W247" s="231"/>
      <c r="X247" s="231"/>
      <c r="Y247" s="231"/>
      <c r="Z247" s="231"/>
      <c r="AA247" s="231"/>
      <c r="AB247" s="231"/>
      <c r="AC247" s="231"/>
      <c r="AD247" s="231"/>
      <c r="AE247" s="231"/>
      <c r="AF247" s="231"/>
      <c r="AG247" s="231"/>
    </row>
    <row r="248" spans="1:33" s="203" customFormat="1">
      <c r="A248" s="433"/>
      <c r="B248" s="116"/>
      <c r="C248" s="116"/>
      <c r="D248" s="116"/>
      <c r="E248" s="117"/>
      <c r="F248" s="118"/>
      <c r="G248" s="118"/>
      <c r="H248" s="118"/>
      <c r="I248" s="29"/>
      <c r="J248" s="15"/>
      <c r="K248" s="231"/>
      <c r="L248" s="231"/>
      <c r="M248" s="231"/>
      <c r="N248" s="231"/>
      <c r="O248" s="231"/>
      <c r="P248" s="231"/>
      <c r="Q248" s="231"/>
      <c r="R248" s="231"/>
      <c r="S248" s="231"/>
      <c r="T248" s="231"/>
      <c r="U248" s="231"/>
      <c r="V248" s="231"/>
      <c r="W248" s="231"/>
      <c r="X248" s="231"/>
      <c r="Y248" s="231"/>
      <c r="Z248" s="231"/>
      <c r="AA248" s="231"/>
      <c r="AB248" s="231"/>
      <c r="AC248" s="231"/>
      <c r="AD248" s="231"/>
      <c r="AE248" s="231"/>
      <c r="AF248" s="231"/>
      <c r="AG248" s="231"/>
    </row>
    <row r="249" spans="1:33" s="203" customFormat="1">
      <c r="A249" s="108" t="s">
        <v>195</v>
      </c>
      <c r="B249" s="116"/>
      <c r="C249" s="116"/>
      <c r="D249" s="116"/>
      <c r="E249" s="140"/>
      <c r="F249" s="146"/>
      <c r="G249" s="118"/>
      <c r="H249" s="146"/>
      <c r="I249" s="29"/>
      <c r="J249" s="15"/>
      <c r="K249" s="231"/>
      <c r="L249" s="231"/>
      <c r="M249" s="231"/>
      <c r="N249" s="231"/>
      <c r="O249" s="231"/>
      <c r="P249" s="231"/>
      <c r="Q249" s="231"/>
      <c r="R249" s="231"/>
      <c r="S249" s="231"/>
      <c r="T249" s="231"/>
      <c r="U249" s="231"/>
      <c r="V249" s="231"/>
      <c r="W249" s="231"/>
      <c r="X249" s="231"/>
      <c r="Y249" s="231"/>
      <c r="Z249" s="231"/>
      <c r="AA249" s="231"/>
      <c r="AB249" s="231"/>
      <c r="AC249" s="231"/>
      <c r="AD249" s="231"/>
      <c r="AE249" s="231"/>
      <c r="AF249" s="231"/>
      <c r="AG249" s="231"/>
    </row>
    <row r="250" spans="1:33" s="203" customFormat="1">
      <c r="A250" s="433">
        <v>7</v>
      </c>
      <c r="B250" s="47" t="s">
        <v>196</v>
      </c>
      <c r="C250" s="47"/>
      <c r="D250" s="47"/>
      <c r="E250" s="74">
        <v>148</v>
      </c>
      <c r="F250" s="52">
        <v>144</v>
      </c>
      <c r="G250" s="118"/>
      <c r="H250" s="52">
        <v>149</v>
      </c>
      <c r="I250" s="29"/>
      <c r="J250" s="15"/>
      <c r="K250" s="231"/>
      <c r="L250" s="231"/>
      <c r="M250" s="231"/>
      <c r="N250" s="231"/>
      <c r="O250" s="231"/>
      <c r="P250" s="231"/>
      <c r="Q250" s="231"/>
      <c r="R250" s="231"/>
      <c r="S250" s="231"/>
      <c r="T250" s="231"/>
      <c r="U250" s="231"/>
      <c r="V250" s="231"/>
      <c r="W250" s="231"/>
      <c r="X250" s="231"/>
      <c r="Y250" s="231"/>
      <c r="Z250" s="231"/>
      <c r="AA250" s="231"/>
      <c r="AB250" s="231"/>
      <c r="AC250" s="231"/>
      <c r="AD250" s="231"/>
      <c r="AE250" s="231"/>
      <c r="AF250" s="231"/>
      <c r="AG250" s="231"/>
    </row>
    <row r="251" spans="1:33" s="203" customFormat="1">
      <c r="A251" s="433">
        <v>8</v>
      </c>
      <c r="B251" s="47" t="s">
        <v>197</v>
      </c>
      <c r="C251" s="47"/>
      <c r="D251" s="47"/>
      <c r="E251" s="49">
        <v>2218</v>
      </c>
      <c r="F251" s="52">
        <v>2339</v>
      </c>
      <c r="G251" s="118"/>
      <c r="H251" s="122">
        <v>2159</v>
      </c>
      <c r="I251" s="29"/>
      <c r="J251" s="15"/>
      <c r="K251" s="231"/>
      <c r="L251" s="231"/>
      <c r="M251" s="231"/>
      <c r="N251" s="231"/>
      <c r="O251" s="231"/>
      <c r="P251" s="231"/>
      <c r="Q251" s="231"/>
      <c r="R251" s="231"/>
      <c r="S251" s="231"/>
      <c r="T251" s="231"/>
      <c r="U251" s="231"/>
      <c r="V251" s="231"/>
      <c r="W251" s="231"/>
      <c r="X251" s="231"/>
      <c r="Y251" s="231"/>
      <c r="Z251" s="231"/>
      <c r="AA251" s="231"/>
      <c r="AB251" s="231"/>
      <c r="AC251" s="231"/>
      <c r="AD251" s="231"/>
      <c r="AE251" s="231"/>
      <c r="AF251" s="231"/>
      <c r="AG251" s="231"/>
    </row>
    <row r="252" spans="1:33" s="203" customFormat="1">
      <c r="A252" s="433">
        <v>9</v>
      </c>
      <c r="B252" s="47" t="s">
        <v>198</v>
      </c>
      <c r="C252" s="47"/>
      <c r="D252" s="47"/>
      <c r="E252" s="49">
        <v>1478</v>
      </c>
      <c r="F252" s="52">
        <v>1449</v>
      </c>
      <c r="G252" s="118"/>
      <c r="H252" s="122">
        <v>1308</v>
      </c>
      <c r="I252" s="29"/>
      <c r="J252" s="15"/>
      <c r="K252" s="231"/>
      <c r="L252" s="231"/>
      <c r="M252" s="231"/>
      <c r="N252" s="231"/>
      <c r="O252" s="231"/>
      <c r="P252" s="231"/>
      <c r="Q252" s="231"/>
      <c r="R252" s="231"/>
      <c r="S252" s="231"/>
      <c r="T252" s="231"/>
      <c r="U252" s="231"/>
      <c r="V252" s="231"/>
      <c r="W252" s="231"/>
      <c r="X252" s="231"/>
      <c r="Y252" s="231"/>
      <c r="Z252" s="231"/>
      <c r="AA252" s="231"/>
      <c r="AB252" s="231"/>
      <c r="AC252" s="231"/>
      <c r="AD252" s="231"/>
      <c r="AE252" s="231"/>
      <c r="AF252" s="231"/>
      <c r="AG252" s="231"/>
    </row>
    <row r="253" spans="1:33" s="203" customFormat="1">
      <c r="A253" s="433">
        <v>10</v>
      </c>
      <c r="B253" s="47" t="s">
        <v>199</v>
      </c>
      <c r="C253" s="47"/>
      <c r="D253" s="47"/>
      <c r="E253" s="49">
        <v>605</v>
      </c>
      <c r="F253" s="52">
        <v>570</v>
      </c>
      <c r="G253" s="118"/>
      <c r="H253" s="100">
        <v>499</v>
      </c>
      <c r="I253" s="29"/>
      <c r="J253" s="15"/>
      <c r="K253" s="231"/>
      <c r="L253" s="231"/>
      <c r="M253" s="231"/>
      <c r="N253" s="231"/>
      <c r="O253" s="231"/>
      <c r="P253" s="231"/>
      <c r="Q253" s="231"/>
      <c r="R253" s="231"/>
      <c r="S253" s="231"/>
      <c r="T253" s="231"/>
      <c r="U253" s="231"/>
      <c r="V253" s="231"/>
      <c r="W253" s="231"/>
      <c r="X253" s="231"/>
      <c r="Y253" s="231"/>
      <c r="Z253" s="231"/>
      <c r="AA253" s="231"/>
      <c r="AB253" s="231"/>
      <c r="AC253" s="231"/>
      <c r="AD253" s="231"/>
      <c r="AE253" s="231"/>
      <c r="AF253" s="231"/>
      <c r="AG253" s="231"/>
    </row>
    <row r="254" spans="1:33" s="203" customFormat="1">
      <c r="A254" s="433">
        <v>11</v>
      </c>
      <c r="B254" s="116" t="s">
        <v>200</v>
      </c>
      <c r="C254" s="116"/>
      <c r="D254" s="116"/>
      <c r="E254" s="80">
        <v>4449</v>
      </c>
      <c r="F254" s="142">
        <f>SUM(F250:F253)</f>
        <v>4502</v>
      </c>
      <c r="G254" s="118"/>
      <c r="H254" s="142">
        <f>SUM(H250:H253)</f>
        <v>4115</v>
      </c>
      <c r="I254" s="260"/>
      <c r="J254" s="261"/>
      <c r="K254" s="231"/>
      <c r="L254" s="231"/>
      <c r="M254" s="231"/>
      <c r="N254" s="231"/>
      <c r="O254" s="231"/>
      <c r="P254" s="231"/>
      <c r="Q254" s="231"/>
      <c r="R254" s="231"/>
      <c r="S254" s="231"/>
      <c r="T254" s="231"/>
      <c r="U254" s="231"/>
      <c r="V254" s="231"/>
      <c r="W254" s="231"/>
      <c r="X254" s="231"/>
      <c r="Y254" s="231"/>
      <c r="Z254" s="231"/>
      <c r="AA254" s="231"/>
      <c r="AB254" s="231"/>
      <c r="AC254" s="231"/>
      <c r="AD254" s="231"/>
      <c r="AE254" s="231"/>
      <c r="AF254" s="231"/>
      <c r="AG254" s="231"/>
    </row>
    <row r="255" spans="1:33" s="203" customFormat="1">
      <c r="A255" s="433"/>
      <c r="B255" s="116"/>
      <c r="C255" s="116"/>
      <c r="D255" s="116"/>
      <c r="E255" s="117"/>
      <c r="F255" s="118"/>
      <c r="G255" s="118"/>
      <c r="H255" s="118"/>
      <c r="I255" s="29"/>
      <c r="J255" s="15"/>
      <c r="K255" s="231"/>
      <c r="L255" s="231"/>
      <c r="M255" s="231"/>
      <c r="N255" s="231"/>
      <c r="O255" s="231"/>
      <c r="P255" s="231"/>
      <c r="Q255" s="231"/>
      <c r="R255" s="231"/>
      <c r="S255" s="231"/>
      <c r="T255" s="231"/>
      <c r="U255" s="231"/>
      <c r="V255" s="231"/>
      <c r="W255" s="231"/>
      <c r="X255" s="231"/>
      <c r="Y255" s="231"/>
      <c r="Z255" s="231"/>
      <c r="AA255" s="231"/>
      <c r="AB255" s="231"/>
      <c r="AC255" s="231"/>
      <c r="AD255" s="231"/>
      <c r="AE255" s="231"/>
      <c r="AF255" s="231"/>
      <c r="AG255" s="231"/>
    </row>
    <row r="256" spans="1:33" s="203" customFormat="1">
      <c r="A256" s="433">
        <v>12</v>
      </c>
      <c r="B256" s="47" t="s">
        <v>201</v>
      </c>
      <c r="C256" s="47"/>
      <c r="D256" s="47"/>
      <c r="E256" s="176">
        <v>2185</v>
      </c>
      <c r="F256" s="136">
        <v>2284</v>
      </c>
      <c r="G256" s="118"/>
      <c r="H256" s="177">
        <v>2084</v>
      </c>
      <c r="I256" s="260"/>
      <c r="J256" s="261"/>
      <c r="K256" s="231"/>
      <c r="L256" s="231"/>
      <c r="M256" s="231"/>
      <c r="N256" s="231"/>
      <c r="O256" s="231"/>
      <c r="P256" s="231"/>
      <c r="Q256" s="231"/>
      <c r="R256" s="231"/>
      <c r="S256" s="231"/>
      <c r="T256" s="231"/>
      <c r="U256" s="231"/>
      <c r="V256" s="231"/>
      <c r="W256" s="231"/>
      <c r="X256" s="231"/>
      <c r="Y256" s="231"/>
      <c r="Z256" s="231"/>
      <c r="AA256" s="231"/>
      <c r="AB256" s="231"/>
      <c r="AC256" s="231"/>
      <c r="AD256" s="231"/>
      <c r="AE256" s="231"/>
      <c r="AF256" s="231"/>
      <c r="AG256" s="231"/>
    </row>
    <row r="257" spans="1:33" s="203" customFormat="1">
      <c r="A257" s="124">
        <v>13</v>
      </c>
      <c r="B257" s="94" t="s">
        <v>202</v>
      </c>
      <c r="C257" s="94"/>
      <c r="D257" s="94"/>
      <c r="E257" s="159">
        <v>7017</v>
      </c>
      <c r="F257" s="61">
        <f>F242+F247+F254+F256</f>
        <v>7246</v>
      </c>
      <c r="G257" s="118"/>
      <c r="H257" s="61">
        <f>H242+H247+H254+H256</f>
        <v>6382</v>
      </c>
      <c r="I257" s="21"/>
      <c r="J257" s="86"/>
      <c r="K257" s="231"/>
      <c r="L257" s="231"/>
      <c r="M257" s="231"/>
      <c r="N257" s="231"/>
      <c r="O257" s="231"/>
      <c r="P257" s="231"/>
      <c r="Q257" s="231"/>
      <c r="R257" s="231"/>
      <c r="S257" s="231"/>
      <c r="T257" s="231"/>
      <c r="U257" s="231"/>
      <c r="V257" s="231"/>
      <c r="W257" s="231"/>
      <c r="X257" s="231"/>
      <c r="Y257" s="231"/>
      <c r="Z257" s="231"/>
      <c r="AA257" s="231"/>
      <c r="AB257" s="231"/>
      <c r="AC257" s="231"/>
      <c r="AD257" s="231"/>
      <c r="AE257" s="231"/>
      <c r="AF257" s="231"/>
      <c r="AG257" s="231"/>
    </row>
    <row r="258" spans="1:33" s="203" customFormat="1">
      <c r="A258" s="207"/>
      <c r="B258" s="207"/>
      <c r="C258" s="207"/>
      <c r="D258" s="208"/>
      <c r="E258" s="208"/>
      <c r="F258" s="207"/>
      <c r="G258" s="207"/>
      <c r="H258" s="207"/>
      <c r="I258" s="21"/>
      <c r="J258" s="86"/>
      <c r="K258" s="231"/>
      <c r="L258" s="231"/>
      <c r="M258" s="231"/>
      <c r="N258" s="231"/>
      <c r="O258" s="231"/>
      <c r="P258" s="231"/>
      <c r="Q258" s="231"/>
      <c r="R258" s="231"/>
      <c r="S258" s="231"/>
      <c r="T258" s="231"/>
      <c r="U258" s="231"/>
      <c r="V258" s="231"/>
      <c r="W258" s="231"/>
      <c r="X258" s="231"/>
      <c r="Y258" s="231"/>
      <c r="Z258" s="231"/>
      <c r="AA258" s="231"/>
      <c r="AB258" s="231"/>
      <c r="AC258" s="231"/>
      <c r="AD258" s="231"/>
      <c r="AE258" s="231"/>
      <c r="AF258" s="231"/>
      <c r="AG258" s="231"/>
    </row>
    <row r="259" spans="1:33" s="203" customFormat="1">
      <c r="A259" s="23"/>
      <c r="B259" s="207"/>
      <c r="C259" s="207"/>
      <c r="D259" s="207"/>
      <c r="E259" s="207"/>
      <c r="F259" s="207"/>
      <c r="G259" s="207"/>
      <c r="H259" s="21"/>
      <c r="I259" s="21"/>
      <c r="J259" s="86"/>
      <c r="K259" s="231"/>
      <c r="L259" s="231"/>
      <c r="M259" s="231"/>
      <c r="N259" s="231"/>
      <c r="O259" s="231"/>
      <c r="P259" s="231"/>
      <c r="Q259" s="231"/>
      <c r="R259" s="231"/>
      <c r="S259" s="231"/>
      <c r="T259" s="231"/>
      <c r="U259" s="231"/>
      <c r="V259" s="231"/>
      <c r="W259" s="231"/>
      <c r="X259" s="231"/>
      <c r="Y259" s="231"/>
      <c r="Z259" s="231"/>
      <c r="AA259" s="231"/>
      <c r="AB259" s="231"/>
      <c r="AC259" s="231"/>
      <c r="AD259" s="231"/>
      <c r="AE259" s="231"/>
      <c r="AF259" s="231"/>
      <c r="AG259" s="231"/>
    </row>
    <row r="260" spans="1:33" s="203" customFormat="1">
      <c r="A260" s="148"/>
      <c r="B260" s="29"/>
      <c r="C260" s="29"/>
      <c r="D260" s="172"/>
      <c r="E260" s="152"/>
      <c r="F260" s="29"/>
      <c r="G260" s="29"/>
      <c r="H260" s="131" t="s">
        <v>27</v>
      </c>
      <c r="I260" s="21"/>
      <c r="J260" s="86"/>
      <c r="K260" s="231"/>
      <c r="L260" s="231"/>
      <c r="M260" s="231"/>
      <c r="N260" s="231"/>
      <c r="O260" s="231"/>
      <c r="P260" s="231"/>
      <c r="Q260" s="231"/>
      <c r="R260" s="231"/>
      <c r="S260" s="231"/>
      <c r="T260" s="231"/>
      <c r="U260" s="231"/>
      <c r="V260" s="231"/>
      <c r="W260" s="231"/>
      <c r="X260" s="231"/>
      <c r="Y260" s="231"/>
      <c r="Z260" s="231"/>
      <c r="AA260" s="231"/>
      <c r="AB260" s="231"/>
      <c r="AC260" s="231"/>
      <c r="AD260" s="231"/>
      <c r="AE260" s="231"/>
      <c r="AF260" s="231"/>
      <c r="AG260" s="231"/>
    </row>
    <row r="261" spans="1:33" s="203" customFormat="1" ht="12.75" customHeight="1">
      <c r="A261" s="106" t="s">
        <v>15</v>
      </c>
      <c r="B261" s="164"/>
      <c r="C261" s="164"/>
      <c r="D261" s="164"/>
      <c r="E261" s="856" t="s">
        <v>377</v>
      </c>
      <c r="F261" s="856" t="s">
        <v>402</v>
      </c>
      <c r="G261" s="130"/>
      <c r="H261" s="856" t="s">
        <v>403</v>
      </c>
      <c r="I261" s="21"/>
      <c r="J261" s="86"/>
      <c r="K261" s="231"/>
      <c r="L261" s="231"/>
      <c r="M261" s="231"/>
      <c r="N261" s="231"/>
      <c r="O261" s="231"/>
      <c r="P261" s="231"/>
      <c r="Q261" s="231"/>
      <c r="R261" s="231"/>
      <c r="S261" s="231"/>
      <c r="T261" s="231"/>
      <c r="U261" s="231"/>
      <c r="V261" s="231"/>
      <c r="W261" s="231"/>
      <c r="X261" s="231"/>
      <c r="Y261" s="231"/>
      <c r="Z261" s="231"/>
      <c r="AA261" s="231"/>
      <c r="AB261" s="231"/>
      <c r="AC261" s="231"/>
      <c r="AD261" s="231"/>
      <c r="AE261" s="231"/>
      <c r="AF261" s="231"/>
      <c r="AG261" s="231"/>
    </row>
    <row r="262" spans="1:33" s="203" customFormat="1">
      <c r="A262" s="165"/>
      <c r="B262" s="47"/>
      <c r="C262" s="47"/>
      <c r="D262" s="47"/>
      <c r="E262" s="859"/>
      <c r="F262" s="859"/>
      <c r="G262" s="130"/>
      <c r="H262" s="859"/>
      <c r="I262" s="21"/>
      <c r="J262" s="86"/>
      <c r="K262" s="231"/>
      <c r="L262" s="231"/>
      <c r="M262" s="231"/>
      <c r="N262" s="231"/>
      <c r="O262" s="231"/>
      <c r="P262" s="231"/>
      <c r="Q262" s="231"/>
      <c r="R262" s="231"/>
      <c r="S262" s="231"/>
      <c r="T262" s="231"/>
      <c r="U262" s="231"/>
      <c r="V262" s="231"/>
      <c r="W262" s="231"/>
      <c r="X262" s="231"/>
      <c r="Y262" s="231"/>
      <c r="Z262" s="231"/>
      <c r="AA262" s="231"/>
      <c r="AB262" s="231"/>
      <c r="AC262" s="231"/>
      <c r="AD262" s="231"/>
      <c r="AE262" s="231"/>
      <c r="AF262" s="231"/>
      <c r="AG262" s="231"/>
    </row>
    <row r="263" spans="1:33" s="203" customFormat="1">
      <c r="A263" s="109"/>
      <c r="B263" s="174"/>
      <c r="C263" s="174"/>
      <c r="D263" s="174"/>
      <c r="E263" s="859"/>
      <c r="F263" s="859"/>
      <c r="G263" s="130"/>
      <c r="H263" s="859"/>
      <c r="I263" s="21"/>
      <c r="J263" s="86"/>
      <c r="K263" s="231"/>
      <c r="L263" s="231"/>
      <c r="M263" s="231"/>
      <c r="N263" s="231"/>
      <c r="O263" s="231"/>
      <c r="P263" s="231"/>
      <c r="Q263" s="231"/>
      <c r="R263" s="231"/>
      <c r="S263" s="231"/>
      <c r="T263" s="231"/>
      <c r="U263" s="231"/>
      <c r="V263" s="231"/>
      <c r="W263" s="231"/>
      <c r="X263" s="231"/>
      <c r="Y263" s="231"/>
      <c r="Z263" s="231"/>
      <c r="AA263" s="231"/>
      <c r="AB263" s="231"/>
      <c r="AC263" s="231"/>
      <c r="AD263" s="231"/>
      <c r="AE263" s="231"/>
      <c r="AF263" s="231"/>
      <c r="AG263" s="231"/>
    </row>
    <row r="264" spans="1:33" s="203" customFormat="1">
      <c r="A264" s="154" t="s">
        <v>203</v>
      </c>
      <c r="B264" s="47"/>
      <c r="C264" s="47"/>
      <c r="D264" s="47"/>
      <c r="E264" s="859"/>
      <c r="F264" s="859"/>
      <c r="G264" s="130"/>
      <c r="H264" s="859"/>
      <c r="I264" s="21"/>
      <c r="J264" s="86"/>
      <c r="K264" s="231"/>
      <c r="L264" s="231"/>
      <c r="M264" s="231"/>
      <c r="N264" s="231"/>
      <c r="O264" s="231"/>
      <c r="P264" s="231"/>
      <c r="Q264" s="231"/>
      <c r="R264" s="231"/>
      <c r="S264" s="231"/>
      <c r="T264" s="231"/>
      <c r="U264" s="231"/>
      <c r="V264" s="231"/>
      <c r="W264" s="231"/>
      <c r="X264" s="231"/>
      <c r="Y264" s="231"/>
      <c r="Z264" s="231"/>
      <c r="AA264" s="231"/>
      <c r="AB264" s="231"/>
      <c r="AC264" s="231"/>
      <c r="AD264" s="231"/>
      <c r="AE264" s="231"/>
      <c r="AF264" s="231"/>
      <c r="AG264" s="231"/>
    </row>
    <row r="265" spans="1:33" s="203" customFormat="1">
      <c r="A265" s="109" t="s">
        <v>83</v>
      </c>
      <c r="B265" s="174"/>
      <c r="C265" s="174"/>
      <c r="D265" s="174"/>
      <c r="E265" s="860"/>
      <c r="F265" s="860"/>
      <c r="G265" s="130"/>
      <c r="H265" s="860"/>
      <c r="I265" s="21"/>
      <c r="J265" s="86"/>
      <c r="K265" s="231"/>
      <c r="L265" s="231"/>
      <c r="M265" s="231"/>
      <c r="N265" s="231"/>
      <c r="O265" s="231"/>
      <c r="P265" s="231"/>
      <c r="Q265" s="231"/>
      <c r="R265" s="231"/>
      <c r="S265" s="231"/>
      <c r="T265" s="231"/>
      <c r="U265" s="231"/>
      <c r="V265" s="231"/>
      <c r="W265" s="231"/>
      <c r="X265" s="231"/>
      <c r="Y265" s="231"/>
      <c r="Z265" s="231"/>
      <c r="AA265" s="231"/>
      <c r="AB265" s="231"/>
      <c r="AC265" s="231"/>
      <c r="AD265" s="231"/>
      <c r="AE265" s="231"/>
      <c r="AF265" s="231"/>
      <c r="AG265" s="231"/>
    </row>
    <row r="266" spans="1:33" s="203" customFormat="1">
      <c r="A266" s="110" t="s">
        <v>84</v>
      </c>
      <c r="B266" s="116"/>
      <c r="C266" s="116"/>
      <c r="D266" s="116"/>
      <c r="E266" s="178"/>
      <c r="F266" s="146"/>
      <c r="G266" s="118"/>
      <c r="H266" s="146"/>
      <c r="I266" s="21"/>
      <c r="J266" s="86"/>
      <c r="K266" s="231"/>
      <c r="L266" s="231"/>
      <c r="M266" s="231"/>
      <c r="N266" s="231"/>
      <c r="O266" s="231"/>
      <c r="P266" s="231"/>
      <c r="Q266" s="231"/>
      <c r="R266" s="231"/>
      <c r="S266" s="231"/>
      <c r="T266" s="231"/>
      <c r="U266" s="231"/>
      <c r="V266" s="231"/>
      <c r="W266" s="231"/>
      <c r="X266" s="231"/>
      <c r="Y266" s="231"/>
      <c r="Z266" s="231"/>
      <c r="AA266" s="231"/>
      <c r="AB266" s="231"/>
      <c r="AC266" s="231"/>
      <c r="AD266" s="231"/>
      <c r="AE266" s="231"/>
      <c r="AF266" s="231"/>
      <c r="AG266" s="231"/>
    </row>
    <row r="267" spans="1:33" s="203" customFormat="1">
      <c r="A267" s="120">
        <v>1</v>
      </c>
      <c r="B267" s="47" t="s">
        <v>204</v>
      </c>
      <c r="C267" s="47"/>
      <c r="D267" s="47"/>
      <c r="E267" s="74">
        <v>0</v>
      </c>
      <c r="F267" s="52">
        <v>-1</v>
      </c>
      <c r="G267" s="118"/>
      <c r="H267" s="122">
        <v>-1</v>
      </c>
      <c r="I267" s="21"/>
      <c r="J267" s="86"/>
      <c r="K267" s="231"/>
      <c r="L267" s="231"/>
      <c r="M267" s="231"/>
      <c r="N267" s="231"/>
      <c r="O267" s="231"/>
      <c r="P267" s="231"/>
      <c r="Q267" s="231"/>
      <c r="R267" s="231"/>
      <c r="S267" s="231"/>
      <c r="T267" s="231"/>
      <c r="U267" s="231"/>
      <c r="V267" s="231"/>
      <c r="W267" s="231"/>
      <c r="X267" s="231"/>
      <c r="Y267" s="231"/>
      <c r="Z267" s="231"/>
      <c r="AA267" s="231"/>
      <c r="AB267" s="231"/>
      <c r="AC267" s="231"/>
      <c r="AD267" s="231"/>
      <c r="AE267" s="231"/>
      <c r="AF267" s="231"/>
      <c r="AG267" s="231"/>
    </row>
    <row r="268" spans="1:33" s="203" customFormat="1">
      <c r="A268" s="433">
        <v>2</v>
      </c>
      <c r="B268" s="166" t="s">
        <v>205</v>
      </c>
      <c r="C268" s="166"/>
      <c r="D268" s="47"/>
      <c r="E268" s="114">
        <v>150</v>
      </c>
      <c r="F268" s="52">
        <v>135</v>
      </c>
      <c r="G268" s="118"/>
      <c r="H268" s="122">
        <v>150</v>
      </c>
      <c r="I268" s="21"/>
      <c r="J268" s="86"/>
      <c r="K268" s="231"/>
      <c r="L268" s="231"/>
      <c r="M268" s="231"/>
      <c r="N268" s="231"/>
      <c r="O268" s="231"/>
      <c r="P268" s="231"/>
      <c r="Q268" s="231"/>
      <c r="R268" s="231"/>
      <c r="S268" s="231"/>
      <c r="T268" s="231"/>
      <c r="U268" s="231"/>
      <c r="V268" s="231"/>
      <c r="W268" s="231"/>
      <c r="X268" s="231"/>
      <c r="Y268" s="231"/>
      <c r="Z268" s="231"/>
      <c r="AA268" s="231"/>
      <c r="AB268" s="231"/>
      <c r="AC268" s="231"/>
      <c r="AD268" s="231"/>
      <c r="AE268" s="231"/>
      <c r="AF268" s="231"/>
      <c r="AG268" s="231"/>
    </row>
    <row r="269" spans="1:33" s="203" customFormat="1">
      <c r="A269" s="120">
        <v>3</v>
      </c>
      <c r="B269" s="47" t="s">
        <v>206</v>
      </c>
      <c r="C269" s="47"/>
      <c r="D269" s="168"/>
      <c r="E269" s="114">
        <v>196</v>
      </c>
      <c r="F269" s="52">
        <v>188</v>
      </c>
      <c r="G269" s="118"/>
      <c r="H269" s="122">
        <v>193</v>
      </c>
      <c r="I269" s="21"/>
      <c r="J269" s="86"/>
      <c r="K269" s="231"/>
      <c r="L269" s="231"/>
      <c r="M269" s="231"/>
      <c r="N269" s="231"/>
      <c r="O269" s="231"/>
      <c r="P269" s="231"/>
      <c r="Q269" s="231"/>
      <c r="R269" s="231"/>
      <c r="S269" s="231"/>
      <c r="T269" s="231"/>
      <c r="U269" s="231"/>
      <c r="V269" s="231"/>
      <c r="W269" s="231"/>
      <c r="X269" s="231"/>
      <c r="Y269" s="231"/>
      <c r="Z269" s="231"/>
      <c r="AA269" s="231"/>
      <c r="AB269" s="231"/>
      <c r="AC269" s="231"/>
      <c r="AD269" s="231"/>
      <c r="AE269" s="231"/>
      <c r="AF269" s="231"/>
      <c r="AG269" s="231"/>
    </row>
    <row r="270" spans="1:33" s="203" customFormat="1">
      <c r="A270" s="433">
        <v>4</v>
      </c>
      <c r="B270" s="47" t="s">
        <v>207</v>
      </c>
      <c r="C270" s="47"/>
      <c r="D270" s="116"/>
      <c r="E270" s="114">
        <v>201</v>
      </c>
      <c r="F270" s="52">
        <v>217</v>
      </c>
      <c r="G270" s="118"/>
      <c r="H270" s="122">
        <v>183</v>
      </c>
      <c r="I270" s="21"/>
      <c r="J270" s="86"/>
      <c r="K270" s="231"/>
      <c r="L270" s="231"/>
      <c r="M270" s="231"/>
      <c r="N270" s="231"/>
      <c r="O270" s="231"/>
      <c r="P270" s="231"/>
      <c r="Q270" s="231"/>
      <c r="R270" s="231"/>
      <c r="S270" s="231"/>
      <c r="T270" s="231"/>
      <c r="U270" s="231"/>
      <c r="V270" s="231"/>
      <c r="W270" s="231"/>
      <c r="X270" s="231"/>
      <c r="Y270" s="231"/>
      <c r="Z270" s="231"/>
      <c r="AA270" s="231"/>
      <c r="AB270" s="231"/>
      <c r="AC270" s="231"/>
      <c r="AD270" s="231"/>
      <c r="AE270" s="231"/>
      <c r="AF270" s="231"/>
      <c r="AG270" s="231"/>
    </row>
    <row r="271" spans="1:33" s="203" customFormat="1">
      <c r="A271" s="120">
        <v>5</v>
      </c>
      <c r="B271" s="47" t="s">
        <v>208</v>
      </c>
      <c r="C271" s="47"/>
      <c r="D271" s="47"/>
      <c r="E271" s="114">
        <v>-69</v>
      </c>
      <c r="F271" s="52">
        <v>-46</v>
      </c>
      <c r="G271" s="118"/>
      <c r="H271" s="122">
        <v>-69</v>
      </c>
      <c r="I271" s="21"/>
      <c r="J271" s="86"/>
      <c r="K271" s="231"/>
      <c r="L271" s="231"/>
      <c r="M271" s="231"/>
      <c r="N271" s="231"/>
      <c r="O271" s="231"/>
      <c r="P271" s="231"/>
      <c r="Q271" s="231"/>
      <c r="R271" s="231"/>
      <c r="S271" s="231"/>
      <c r="T271" s="231"/>
      <c r="U271" s="231"/>
      <c r="V271" s="231"/>
      <c r="W271" s="231"/>
      <c r="X271" s="231"/>
      <c r="Y271" s="231"/>
      <c r="Z271" s="231"/>
      <c r="AA271" s="231"/>
      <c r="AB271" s="231"/>
      <c r="AC271" s="231"/>
      <c r="AD271" s="231"/>
      <c r="AE271" s="231"/>
      <c r="AF271" s="231"/>
      <c r="AG271" s="231"/>
    </row>
    <row r="272" spans="1:33" s="203" customFormat="1">
      <c r="A272" s="433">
        <v>6</v>
      </c>
      <c r="B272" s="47" t="s">
        <v>209</v>
      </c>
      <c r="C272" s="47"/>
      <c r="D272" s="47"/>
      <c r="E272" s="114">
        <v>43</v>
      </c>
      <c r="F272" s="52">
        <v>43</v>
      </c>
      <c r="G272" s="118"/>
      <c r="H272" s="122">
        <v>43</v>
      </c>
      <c r="I272" s="21"/>
      <c r="J272" s="86"/>
      <c r="K272" s="231"/>
      <c r="L272" s="231"/>
      <c r="M272" s="231"/>
      <c r="N272" s="231"/>
      <c r="O272" s="231"/>
      <c r="P272" s="231"/>
      <c r="Q272" s="231"/>
      <c r="R272" s="231"/>
      <c r="S272" s="231"/>
      <c r="T272" s="231"/>
      <c r="U272" s="231"/>
      <c r="V272" s="231"/>
      <c r="W272" s="231"/>
      <c r="X272" s="231"/>
      <c r="Y272" s="231"/>
      <c r="Z272" s="231"/>
      <c r="AA272" s="231"/>
      <c r="AB272" s="231"/>
      <c r="AC272" s="231"/>
      <c r="AD272" s="231"/>
      <c r="AE272" s="231"/>
      <c r="AF272" s="231"/>
      <c r="AG272" s="231"/>
    </row>
    <row r="273" spans="1:33" s="203" customFormat="1">
      <c r="A273" s="120">
        <v>7</v>
      </c>
      <c r="B273" s="47" t="s">
        <v>210</v>
      </c>
      <c r="C273" s="47"/>
      <c r="D273" s="47"/>
      <c r="E273" s="114">
        <v>1057</v>
      </c>
      <c r="F273" s="52">
        <v>1142</v>
      </c>
      <c r="G273" s="118"/>
      <c r="H273" s="122">
        <v>899</v>
      </c>
      <c r="I273" s="21"/>
      <c r="J273" s="86"/>
      <c r="K273" s="231"/>
      <c r="L273" s="231"/>
      <c r="M273" s="231"/>
      <c r="N273" s="231"/>
      <c r="O273" s="231"/>
      <c r="P273" s="231"/>
      <c r="Q273" s="231"/>
      <c r="R273" s="231"/>
      <c r="S273" s="231"/>
      <c r="T273" s="231"/>
      <c r="U273" s="231"/>
      <c r="V273" s="231"/>
      <c r="W273" s="231"/>
      <c r="X273" s="231"/>
      <c r="Y273" s="231"/>
      <c r="Z273" s="231"/>
      <c r="AA273" s="231"/>
      <c r="AB273" s="231"/>
      <c r="AC273" s="231"/>
      <c r="AD273" s="231"/>
      <c r="AE273" s="231"/>
      <c r="AF273" s="231"/>
      <c r="AG273" s="231"/>
    </row>
    <row r="274" spans="1:33" s="203" customFormat="1">
      <c r="A274" s="433">
        <v>8</v>
      </c>
      <c r="B274" s="47" t="s">
        <v>211</v>
      </c>
      <c r="C274" s="47"/>
      <c r="D274" s="47"/>
      <c r="E274" s="114">
        <v>5751</v>
      </c>
      <c r="F274" s="52">
        <v>5633</v>
      </c>
      <c r="G274" s="118"/>
      <c r="H274" s="122">
        <v>5712</v>
      </c>
      <c r="I274" s="21"/>
      <c r="J274" s="86"/>
      <c r="K274" s="231"/>
      <c r="L274" s="231"/>
      <c r="M274" s="231"/>
      <c r="N274" s="231"/>
      <c r="O274" s="231"/>
      <c r="P274" s="231"/>
      <c r="Q274" s="231"/>
      <c r="R274" s="231"/>
      <c r="S274" s="231"/>
      <c r="T274" s="231"/>
      <c r="U274" s="231"/>
      <c r="V274" s="231"/>
      <c r="W274" s="231"/>
      <c r="X274" s="231"/>
      <c r="Y274" s="231"/>
      <c r="Z274" s="231"/>
      <c r="AA274" s="231"/>
      <c r="AB274" s="231"/>
      <c r="AC274" s="231"/>
      <c r="AD274" s="231"/>
      <c r="AE274" s="231"/>
      <c r="AF274" s="231"/>
      <c r="AG274" s="231"/>
    </row>
    <row r="275" spans="1:33" s="203" customFormat="1">
      <c r="A275" s="120">
        <v>9</v>
      </c>
      <c r="B275" s="47" t="s">
        <v>212</v>
      </c>
      <c r="C275" s="47"/>
      <c r="D275" s="47"/>
      <c r="E275" s="114">
        <v>0</v>
      </c>
      <c r="F275" s="52"/>
      <c r="G275" s="118"/>
      <c r="H275" s="122"/>
      <c r="I275" s="21"/>
      <c r="J275" s="86"/>
      <c r="K275" s="231"/>
      <c r="L275" s="231"/>
      <c r="M275" s="231"/>
      <c r="N275" s="231"/>
      <c r="O275" s="231"/>
      <c r="P275" s="231"/>
      <c r="Q275" s="231"/>
      <c r="R275" s="231"/>
      <c r="S275" s="231"/>
      <c r="T275" s="231"/>
      <c r="U275" s="231"/>
      <c r="V275" s="231"/>
      <c r="W275" s="231"/>
      <c r="X275" s="231"/>
      <c r="Y275" s="231"/>
      <c r="Z275" s="231"/>
      <c r="AA275" s="231"/>
      <c r="AB275" s="231"/>
      <c r="AC275" s="231"/>
      <c r="AD275" s="231"/>
      <c r="AE275" s="231"/>
      <c r="AF275" s="231"/>
      <c r="AG275" s="231"/>
    </row>
    <row r="276" spans="1:33" s="203" customFormat="1">
      <c r="A276" s="433">
        <v>10</v>
      </c>
      <c r="B276" s="47" t="s">
        <v>213</v>
      </c>
      <c r="C276" s="47"/>
      <c r="D276" s="47"/>
      <c r="E276" s="114">
        <v>345</v>
      </c>
      <c r="F276" s="52">
        <v>423</v>
      </c>
      <c r="G276" s="118"/>
      <c r="H276" s="99">
        <v>429</v>
      </c>
      <c r="I276" s="21"/>
      <c r="J276" s="86"/>
      <c r="K276" s="231"/>
      <c r="L276" s="231"/>
      <c r="M276" s="231"/>
      <c r="N276" s="231"/>
      <c r="O276" s="231"/>
      <c r="P276" s="231"/>
      <c r="Q276" s="231"/>
      <c r="R276" s="231"/>
      <c r="S276" s="231"/>
      <c r="T276" s="231"/>
      <c r="U276" s="231"/>
      <c r="V276" s="231"/>
      <c r="W276" s="231"/>
      <c r="X276" s="231"/>
      <c r="Y276" s="231"/>
      <c r="Z276" s="231"/>
      <c r="AA276" s="231"/>
      <c r="AB276" s="231"/>
      <c r="AC276" s="231"/>
      <c r="AD276" s="231"/>
      <c r="AE276" s="231"/>
      <c r="AF276" s="231"/>
      <c r="AG276" s="231"/>
    </row>
    <row r="277" spans="1:33" s="203" customFormat="1">
      <c r="A277" s="124">
        <v>11</v>
      </c>
      <c r="B277" s="94" t="s">
        <v>214</v>
      </c>
      <c r="C277" s="94"/>
      <c r="D277" s="94"/>
      <c r="E277" s="159">
        <v>7674</v>
      </c>
      <c r="F277" s="61">
        <f>SUM(F267:F276)</f>
        <v>7734</v>
      </c>
      <c r="G277" s="118"/>
      <c r="H277" s="61">
        <f>SUM(H267:H276)</f>
        <v>7539</v>
      </c>
      <c r="I277" s="21"/>
      <c r="J277" s="86"/>
      <c r="K277" s="231"/>
      <c r="L277" s="231"/>
      <c r="M277" s="231"/>
      <c r="N277" s="231"/>
      <c r="O277" s="231"/>
      <c r="P277" s="231"/>
      <c r="Q277" s="231"/>
      <c r="R277" s="231"/>
      <c r="S277" s="231"/>
      <c r="T277" s="231"/>
      <c r="U277" s="231"/>
      <c r="V277" s="231"/>
      <c r="W277" s="231"/>
      <c r="X277" s="231"/>
      <c r="Y277" s="231"/>
      <c r="Z277" s="231"/>
      <c r="AA277" s="231"/>
      <c r="AB277" s="231"/>
      <c r="AC277" s="231"/>
      <c r="AD277" s="231"/>
      <c r="AE277" s="231"/>
      <c r="AF277" s="231"/>
      <c r="AG277" s="231"/>
    </row>
    <row r="278" spans="1:33" s="203" customFormat="1">
      <c r="A278" s="207"/>
      <c r="B278" s="207"/>
      <c r="C278" s="207"/>
      <c r="D278" s="207"/>
      <c r="E278" s="207"/>
      <c r="F278" s="207"/>
      <c r="G278" s="207"/>
      <c r="H278" s="207"/>
      <c r="I278" s="21"/>
      <c r="J278" s="86"/>
      <c r="K278" s="231"/>
      <c r="L278" s="231"/>
      <c r="M278" s="231"/>
      <c r="N278" s="231"/>
      <c r="O278" s="231"/>
      <c r="P278" s="231"/>
      <c r="Q278" s="231"/>
      <c r="R278" s="231"/>
      <c r="S278" s="231"/>
      <c r="T278" s="231"/>
      <c r="U278" s="231"/>
      <c r="V278" s="231"/>
      <c r="W278" s="231"/>
      <c r="X278" s="231"/>
      <c r="Y278" s="231"/>
      <c r="Z278" s="231"/>
      <c r="AA278" s="231"/>
      <c r="AB278" s="231"/>
      <c r="AC278" s="231"/>
      <c r="AD278" s="231"/>
      <c r="AE278" s="231"/>
      <c r="AF278" s="231"/>
      <c r="AG278" s="231"/>
    </row>
    <row r="279" spans="1:33" s="203" customFormat="1">
      <c r="A279" s="207"/>
      <c r="B279" s="207"/>
      <c r="C279" s="207"/>
      <c r="D279" s="207"/>
      <c r="E279" s="207"/>
      <c r="F279" s="207"/>
      <c r="G279" s="207"/>
      <c r="H279" s="131" t="s">
        <v>27</v>
      </c>
      <c r="I279" s="21"/>
      <c r="J279" s="86"/>
      <c r="K279" s="231"/>
      <c r="L279" s="231"/>
      <c r="M279" s="231"/>
      <c r="N279" s="231"/>
      <c r="O279" s="231"/>
      <c r="P279" s="231"/>
      <c r="Q279" s="231"/>
      <c r="R279" s="231"/>
      <c r="S279" s="231"/>
      <c r="T279" s="231"/>
      <c r="U279" s="231"/>
      <c r="V279" s="231"/>
      <c r="W279" s="231"/>
      <c r="X279" s="231"/>
      <c r="Y279" s="231"/>
      <c r="Z279" s="231"/>
      <c r="AA279" s="231"/>
      <c r="AB279" s="231"/>
      <c r="AC279" s="231"/>
      <c r="AD279" s="231"/>
      <c r="AE279" s="231"/>
      <c r="AF279" s="231"/>
      <c r="AG279" s="231"/>
    </row>
    <row r="280" spans="1:33" s="203" customFormat="1" ht="12.75" customHeight="1">
      <c r="A280" s="106" t="s">
        <v>18</v>
      </c>
      <c r="B280" s="164"/>
      <c r="C280" s="164"/>
      <c r="D280" s="164"/>
      <c r="E280" s="856" t="s">
        <v>377</v>
      </c>
      <c r="F280" s="856" t="s">
        <v>402</v>
      </c>
      <c r="G280" s="130"/>
      <c r="H280" s="856" t="s">
        <v>403</v>
      </c>
      <c r="I280" s="21"/>
      <c r="J280" s="86"/>
      <c r="K280" s="231"/>
      <c r="L280" s="231"/>
      <c r="M280" s="231"/>
      <c r="N280" s="231"/>
      <c r="O280" s="231"/>
      <c r="P280" s="231"/>
      <c r="Q280" s="231"/>
      <c r="R280" s="231"/>
      <c r="S280" s="231"/>
      <c r="T280" s="231"/>
      <c r="U280" s="231"/>
      <c r="V280" s="231"/>
      <c r="W280" s="231"/>
      <c r="X280" s="231"/>
      <c r="Y280" s="231"/>
      <c r="Z280" s="231"/>
      <c r="AA280" s="231"/>
      <c r="AB280" s="231"/>
      <c r="AC280" s="231"/>
      <c r="AD280" s="231"/>
      <c r="AE280" s="231"/>
      <c r="AF280" s="231"/>
      <c r="AG280" s="231"/>
    </row>
    <row r="281" spans="1:33" s="203" customFormat="1">
      <c r="A281" s="165"/>
      <c r="B281" s="47"/>
      <c r="C281" s="47"/>
      <c r="D281" s="47"/>
      <c r="E281" s="859"/>
      <c r="F281" s="859"/>
      <c r="G281" s="130"/>
      <c r="H281" s="859"/>
      <c r="I281" s="21"/>
      <c r="J281" s="86"/>
      <c r="K281" s="231"/>
      <c r="L281" s="231"/>
      <c r="M281" s="231"/>
      <c r="N281" s="231"/>
      <c r="O281" s="231"/>
      <c r="P281" s="231"/>
      <c r="Q281" s="231"/>
      <c r="R281" s="231"/>
      <c r="S281" s="231"/>
      <c r="T281" s="231"/>
      <c r="U281" s="231"/>
      <c r="V281" s="231"/>
      <c r="W281" s="231"/>
      <c r="X281" s="231"/>
      <c r="Y281" s="231"/>
      <c r="Z281" s="231"/>
      <c r="AA281" s="231"/>
      <c r="AB281" s="231"/>
      <c r="AC281" s="231"/>
      <c r="AD281" s="231"/>
      <c r="AE281" s="231"/>
      <c r="AF281" s="231"/>
      <c r="AG281" s="231"/>
    </row>
    <row r="282" spans="1:33" s="203" customFormat="1" ht="21.75" customHeight="1">
      <c r="A282" s="109"/>
      <c r="B282" s="174"/>
      <c r="C282" s="174"/>
      <c r="D282" s="174"/>
      <c r="E282" s="859"/>
      <c r="F282" s="859"/>
      <c r="G282" s="130"/>
      <c r="H282" s="859"/>
      <c r="I282" s="21"/>
      <c r="J282" s="86"/>
      <c r="K282" s="231"/>
      <c r="L282" s="231"/>
      <c r="M282" s="231"/>
      <c r="N282" s="231"/>
      <c r="O282" s="231"/>
      <c r="P282" s="231"/>
      <c r="Q282" s="231"/>
      <c r="R282" s="231"/>
      <c r="S282" s="231"/>
      <c r="T282" s="231"/>
      <c r="U282" s="231"/>
      <c r="V282" s="231"/>
      <c r="W282" s="231"/>
      <c r="X282" s="231"/>
      <c r="Y282" s="231"/>
      <c r="Z282" s="231"/>
      <c r="AA282" s="231"/>
      <c r="AB282" s="231"/>
      <c r="AC282" s="231"/>
      <c r="AD282" s="231"/>
      <c r="AE282" s="231"/>
      <c r="AF282" s="231"/>
      <c r="AG282" s="231"/>
    </row>
    <row r="283" spans="1:33" s="203" customFormat="1">
      <c r="A283" s="154" t="s">
        <v>215</v>
      </c>
      <c r="B283" s="47"/>
      <c r="C283" s="47"/>
      <c r="D283" s="47"/>
      <c r="E283" s="859"/>
      <c r="F283" s="859"/>
      <c r="G283" s="130"/>
      <c r="H283" s="859"/>
      <c r="I283" s="21"/>
      <c r="J283" s="86"/>
      <c r="K283" s="231"/>
      <c r="L283" s="231"/>
      <c r="M283" s="231"/>
      <c r="N283" s="231"/>
      <c r="O283" s="231"/>
      <c r="P283" s="231"/>
      <c r="Q283" s="231"/>
      <c r="R283" s="231"/>
      <c r="S283" s="231"/>
      <c r="T283" s="231"/>
      <c r="U283" s="231"/>
      <c r="V283" s="231"/>
      <c r="W283" s="231"/>
      <c r="X283" s="231"/>
      <c r="Y283" s="231"/>
      <c r="Z283" s="231"/>
      <c r="AA283" s="231"/>
      <c r="AB283" s="231"/>
      <c r="AC283" s="231"/>
      <c r="AD283" s="231"/>
      <c r="AE283" s="231"/>
      <c r="AF283" s="231"/>
      <c r="AG283" s="231"/>
    </row>
    <row r="284" spans="1:33" s="203" customFormat="1">
      <c r="A284" s="109" t="s">
        <v>83</v>
      </c>
      <c r="B284" s="174"/>
      <c r="C284" s="174"/>
      <c r="D284" s="174"/>
      <c r="E284" s="860"/>
      <c r="F284" s="860"/>
      <c r="G284" s="130"/>
      <c r="H284" s="860"/>
      <c r="I284" s="21"/>
      <c r="J284" s="86"/>
      <c r="K284" s="231"/>
      <c r="L284" s="231"/>
      <c r="M284" s="231"/>
      <c r="N284" s="231"/>
      <c r="O284" s="231"/>
      <c r="P284" s="231"/>
      <c r="Q284" s="231"/>
      <c r="R284" s="231"/>
      <c r="S284" s="231"/>
      <c r="T284" s="231"/>
      <c r="U284" s="231"/>
      <c r="V284" s="231"/>
      <c r="W284" s="231"/>
      <c r="X284" s="231"/>
      <c r="Y284" s="231"/>
      <c r="Z284" s="231"/>
      <c r="AA284" s="231"/>
      <c r="AB284" s="231"/>
      <c r="AC284" s="231"/>
      <c r="AD284" s="231"/>
      <c r="AE284" s="231"/>
      <c r="AF284" s="231"/>
      <c r="AG284" s="231"/>
    </row>
    <row r="285" spans="1:33" s="203" customFormat="1">
      <c r="A285" s="110" t="s">
        <v>84</v>
      </c>
      <c r="B285" s="116"/>
      <c r="C285" s="116"/>
      <c r="D285" s="116"/>
      <c r="E285" s="178"/>
      <c r="F285" s="146"/>
      <c r="G285" s="118"/>
      <c r="H285" s="146"/>
      <c r="I285" s="21"/>
      <c r="J285" s="86"/>
      <c r="K285" s="231"/>
      <c r="L285" s="231"/>
      <c r="M285" s="231"/>
      <c r="N285" s="231"/>
      <c r="O285" s="231"/>
      <c r="P285" s="231"/>
      <c r="Q285" s="231"/>
      <c r="R285" s="231"/>
      <c r="S285" s="231"/>
      <c r="T285" s="231"/>
      <c r="U285" s="231"/>
      <c r="V285" s="231"/>
      <c r="W285" s="231"/>
      <c r="X285" s="231"/>
      <c r="Y285" s="231"/>
      <c r="Z285" s="231"/>
      <c r="AA285" s="231"/>
      <c r="AB285" s="231"/>
      <c r="AC285" s="231"/>
      <c r="AD285" s="231"/>
      <c r="AE285" s="231"/>
      <c r="AF285" s="231"/>
      <c r="AG285" s="231"/>
    </row>
    <row r="286" spans="1:33" s="203" customFormat="1">
      <c r="A286" s="120">
        <v>1</v>
      </c>
      <c r="B286" s="47" t="s">
        <v>216</v>
      </c>
      <c r="C286" s="47"/>
      <c r="D286" s="47"/>
      <c r="E286" s="74">
        <v>490</v>
      </c>
      <c r="F286" s="52">
        <v>442</v>
      </c>
      <c r="G286" s="118"/>
      <c r="H286" s="122">
        <v>457</v>
      </c>
      <c r="I286" s="21"/>
      <c r="J286" s="86"/>
      <c r="K286" s="231"/>
      <c r="L286" s="231"/>
      <c r="M286" s="231"/>
      <c r="N286" s="231"/>
      <c r="O286" s="231"/>
      <c r="P286" s="231"/>
      <c r="Q286" s="231"/>
      <c r="R286" s="231"/>
      <c r="S286" s="231"/>
      <c r="T286" s="231"/>
      <c r="U286" s="231"/>
      <c r="V286" s="231"/>
      <c r="W286" s="231"/>
      <c r="X286" s="231"/>
      <c r="Y286" s="231"/>
      <c r="Z286" s="231"/>
      <c r="AA286" s="231"/>
      <c r="AB286" s="231"/>
      <c r="AC286" s="231"/>
      <c r="AD286" s="231"/>
      <c r="AE286" s="231"/>
      <c r="AF286" s="231"/>
      <c r="AG286" s="231"/>
    </row>
    <row r="287" spans="1:33" s="203" customFormat="1">
      <c r="A287" s="433">
        <v>2</v>
      </c>
      <c r="B287" s="47" t="s">
        <v>217</v>
      </c>
      <c r="C287" s="47"/>
      <c r="D287" s="47"/>
      <c r="E287" s="114">
        <v>240</v>
      </c>
      <c r="F287" s="52">
        <v>197</v>
      </c>
      <c r="G287" s="118"/>
      <c r="H287" s="122">
        <v>204</v>
      </c>
      <c r="I287" s="21"/>
      <c r="J287" s="86"/>
      <c r="K287" s="231"/>
      <c r="L287" s="231"/>
      <c r="M287" s="231"/>
      <c r="N287" s="231"/>
      <c r="O287" s="231"/>
      <c r="P287" s="231"/>
      <c r="Q287" s="231"/>
      <c r="R287" s="231"/>
      <c r="S287" s="231"/>
      <c r="T287" s="231"/>
      <c r="U287" s="231"/>
      <c r="V287" s="231"/>
      <c r="W287" s="231"/>
      <c r="X287" s="231"/>
      <c r="Y287" s="231"/>
      <c r="Z287" s="231"/>
      <c r="AA287" s="231"/>
      <c r="AB287" s="231"/>
      <c r="AC287" s="231"/>
      <c r="AD287" s="231"/>
      <c r="AE287" s="231"/>
      <c r="AF287" s="231"/>
      <c r="AG287" s="231"/>
    </row>
    <row r="288" spans="1:33" s="203" customFormat="1">
      <c r="A288" s="120">
        <v>3</v>
      </c>
      <c r="B288" s="90" t="s">
        <v>218</v>
      </c>
      <c r="C288" s="166"/>
      <c r="D288" s="168"/>
      <c r="E288" s="114">
        <v>700</v>
      </c>
      <c r="F288" s="52">
        <v>688</v>
      </c>
      <c r="G288" s="118"/>
      <c r="H288" s="122">
        <v>712</v>
      </c>
      <c r="I288" s="21"/>
      <c r="J288" s="86"/>
      <c r="K288" s="231"/>
      <c r="L288" s="231"/>
      <c r="M288" s="231"/>
      <c r="N288" s="231"/>
      <c r="O288" s="231"/>
      <c r="P288" s="231"/>
      <c r="Q288" s="231"/>
      <c r="R288" s="231"/>
      <c r="S288" s="231"/>
      <c r="T288" s="231"/>
      <c r="U288" s="231"/>
      <c r="V288" s="231"/>
      <c r="W288" s="231"/>
      <c r="X288" s="231"/>
      <c r="Y288" s="231"/>
      <c r="Z288" s="231"/>
      <c r="AA288" s="231"/>
      <c r="AB288" s="231"/>
      <c r="AC288" s="231"/>
      <c r="AD288" s="231"/>
      <c r="AE288" s="231"/>
      <c r="AF288" s="231"/>
      <c r="AG288" s="231"/>
    </row>
    <row r="289" spans="1:33" s="203" customFormat="1">
      <c r="A289" s="433">
        <v>4</v>
      </c>
      <c r="B289" s="47" t="s">
        <v>219</v>
      </c>
      <c r="C289" s="47"/>
      <c r="D289" s="116"/>
      <c r="E289" s="114">
        <v>32</v>
      </c>
      <c r="F289" s="52">
        <v>32</v>
      </c>
      <c r="G289" s="118"/>
      <c r="H289" s="122">
        <v>32</v>
      </c>
      <c r="I289" s="21"/>
      <c r="J289" s="86"/>
      <c r="K289" s="231"/>
      <c r="L289" s="231"/>
      <c r="M289" s="231"/>
      <c r="N289" s="231"/>
      <c r="O289" s="231"/>
      <c r="P289" s="231"/>
      <c r="Q289" s="231"/>
      <c r="R289" s="231"/>
      <c r="S289" s="231"/>
      <c r="T289" s="231"/>
      <c r="U289" s="231"/>
      <c r="V289" s="231"/>
      <c r="W289" s="231"/>
      <c r="X289" s="231"/>
      <c r="Y289" s="231"/>
      <c r="Z289" s="231"/>
      <c r="AA289" s="231"/>
      <c r="AB289" s="231"/>
      <c r="AC289" s="231"/>
      <c r="AD289" s="231"/>
      <c r="AE289" s="231"/>
      <c r="AF289" s="231"/>
      <c r="AG289" s="231"/>
    </row>
    <row r="290" spans="1:33" s="203" customFormat="1">
      <c r="A290" s="433">
        <v>5</v>
      </c>
      <c r="B290" s="47" t="s">
        <v>220</v>
      </c>
      <c r="C290" s="47"/>
      <c r="D290" s="47"/>
      <c r="E290" s="114">
        <v>-33</v>
      </c>
      <c r="F290" s="52">
        <v>-5</v>
      </c>
      <c r="G290" s="118"/>
      <c r="H290" s="122">
        <v>-10</v>
      </c>
      <c r="I290" s="21"/>
      <c r="J290" s="86"/>
      <c r="K290" s="231"/>
      <c r="L290" s="231"/>
      <c r="M290" s="231"/>
      <c r="N290" s="231"/>
      <c r="O290" s="231"/>
      <c r="P290" s="231"/>
      <c r="Q290" s="231"/>
      <c r="R290" s="231"/>
      <c r="S290" s="231"/>
      <c r="T290" s="231"/>
      <c r="U290" s="231"/>
      <c r="V290" s="231"/>
      <c r="W290" s="231"/>
      <c r="X290" s="231"/>
      <c r="Y290" s="231"/>
      <c r="Z290" s="231"/>
      <c r="AA290" s="231"/>
      <c r="AB290" s="231"/>
      <c r="AC290" s="231"/>
      <c r="AD290" s="231"/>
      <c r="AE290" s="231"/>
      <c r="AF290" s="231"/>
      <c r="AG290" s="231"/>
    </row>
    <row r="291" spans="1:33" s="203" customFormat="1">
      <c r="A291" s="120">
        <v>6</v>
      </c>
      <c r="B291" s="47" t="s">
        <v>221</v>
      </c>
      <c r="C291" s="47"/>
      <c r="D291" s="47"/>
      <c r="E291" s="114">
        <v>40</v>
      </c>
      <c r="F291" s="52">
        <v>33</v>
      </c>
      <c r="G291" s="118"/>
      <c r="H291" s="122">
        <v>40</v>
      </c>
      <c r="I291" s="21"/>
      <c r="J291" s="86"/>
      <c r="K291" s="231"/>
      <c r="L291" s="231"/>
      <c r="M291" s="231"/>
      <c r="N291" s="231"/>
      <c r="O291" s="231"/>
      <c r="P291" s="231"/>
      <c r="Q291" s="231"/>
      <c r="R291" s="231"/>
      <c r="S291" s="231"/>
      <c r="T291" s="231"/>
      <c r="U291" s="231"/>
      <c r="V291" s="231"/>
      <c r="W291" s="231"/>
      <c r="X291" s="231"/>
      <c r="Y291" s="231"/>
      <c r="Z291" s="231"/>
      <c r="AA291" s="231"/>
      <c r="AB291" s="231"/>
      <c r="AC291" s="231"/>
      <c r="AD291" s="231"/>
      <c r="AE291" s="231"/>
      <c r="AF291" s="231"/>
      <c r="AG291" s="231"/>
    </row>
    <row r="292" spans="1:33" s="203" customFormat="1">
      <c r="A292" s="433">
        <v>7</v>
      </c>
      <c r="B292" s="47" t="s">
        <v>222</v>
      </c>
      <c r="C292" s="47"/>
      <c r="D292" s="116"/>
      <c r="E292" s="114">
        <v>128</v>
      </c>
      <c r="F292" s="52">
        <v>133</v>
      </c>
      <c r="G292" s="118"/>
      <c r="H292" s="122">
        <v>136</v>
      </c>
      <c r="I292" s="21"/>
      <c r="J292" s="86"/>
      <c r="K292" s="231"/>
      <c r="L292" s="231"/>
      <c r="M292" s="231"/>
      <c r="N292" s="231"/>
      <c r="O292" s="231"/>
      <c r="P292" s="231"/>
      <c r="Q292" s="231"/>
      <c r="R292" s="231"/>
      <c r="S292" s="231"/>
      <c r="T292" s="231"/>
      <c r="U292" s="231"/>
      <c r="V292" s="231"/>
      <c r="W292" s="231"/>
      <c r="X292" s="231"/>
      <c r="Y292" s="231"/>
      <c r="Z292" s="231"/>
      <c r="AA292" s="231"/>
      <c r="AB292" s="231"/>
      <c r="AC292" s="231"/>
      <c r="AD292" s="231"/>
      <c r="AE292" s="231"/>
      <c r="AF292" s="231"/>
      <c r="AG292" s="231"/>
    </row>
    <row r="293" spans="1:33" s="203" customFormat="1">
      <c r="A293" s="120">
        <v>8</v>
      </c>
      <c r="B293" s="47" t="s">
        <v>223</v>
      </c>
      <c r="C293" s="47"/>
      <c r="D293" s="116"/>
      <c r="E293" s="114">
        <v>357</v>
      </c>
      <c r="F293" s="52">
        <v>372</v>
      </c>
      <c r="G293" s="118"/>
      <c r="H293" s="122">
        <v>381</v>
      </c>
      <c r="I293" s="21"/>
      <c r="J293" s="86"/>
      <c r="K293" s="231"/>
      <c r="L293" s="231"/>
      <c r="M293" s="231"/>
      <c r="N293" s="231"/>
      <c r="O293" s="231"/>
      <c r="P293" s="231"/>
      <c r="Q293" s="231"/>
      <c r="R293" s="231"/>
      <c r="S293" s="231"/>
      <c r="T293" s="231"/>
      <c r="U293" s="231"/>
      <c r="V293" s="231"/>
      <c r="W293" s="231"/>
      <c r="X293" s="231"/>
      <c r="Y293" s="231"/>
      <c r="Z293" s="231"/>
      <c r="AA293" s="231"/>
      <c r="AB293" s="231"/>
      <c r="AC293" s="231"/>
      <c r="AD293" s="231"/>
      <c r="AE293" s="231"/>
      <c r="AF293" s="231"/>
      <c r="AG293" s="231"/>
    </row>
    <row r="294" spans="1:33" s="203" customFormat="1">
      <c r="A294" s="433">
        <v>9</v>
      </c>
      <c r="B294" s="47" t="s">
        <v>224</v>
      </c>
      <c r="C294" s="47"/>
      <c r="D294" s="116"/>
      <c r="E294" s="114">
        <v>189</v>
      </c>
      <c r="F294" s="52">
        <v>196</v>
      </c>
      <c r="G294" s="118"/>
      <c r="H294" s="122">
        <v>201</v>
      </c>
      <c r="I294" s="21"/>
      <c r="J294" s="86"/>
      <c r="K294" s="231"/>
      <c r="L294" s="231"/>
      <c r="M294" s="231"/>
      <c r="N294" s="231"/>
      <c r="O294" s="231"/>
      <c r="P294" s="231"/>
      <c r="Q294" s="231"/>
      <c r="R294" s="231"/>
      <c r="S294" s="231"/>
      <c r="T294" s="231"/>
      <c r="U294" s="231"/>
      <c r="V294" s="231"/>
      <c r="W294" s="231"/>
      <c r="X294" s="231"/>
      <c r="Y294" s="231"/>
      <c r="Z294" s="231"/>
      <c r="AA294" s="231"/>
      <c r="AB294" s="231"/>
      <c r="AC294" s="231"/>
      <c r="AD294" s="231"/>
      <c r="AE294" s="231"/>
      <c r="AF294" s="231"/>
      <c r="AG294" s="231"/>
    </row>
    <row r="295" spans="1:33" s="203" customFormat="1">
      <c r="A295" s="120">
        <v>10</v>
      </c>
      <c r="B295" s="47" t="s">
        <v>225</v>
      </c>
      <c r="C295" s="47"/>
      <c r="D295" s="47"/>
      <c r="E295" s="114">
        <v>0</v>
      </c>
      <c r="F295" s="52"/>
      <c r="G295" s="118"/>
      <c r="H295" s="122"/>
      <c r="I295" s="21"/>
      <c r="J295" s="86"/>
      <c r="K295" s="231"/>
      <c r="L295" s="231"/>
      <c r="M295" s="231"/>
      <c r="N295" s="231"/>
      <c r="O295" s="231"/>
      <c r="P295" s="231"/>
      <c r="Q295" s="231"/>
      <c r="R295" s="231"/>
      <c r="S295" s="231"/>
      <c r="T295" s="231"/>
      <c r="U295" s="231"/>
      <c r="V295" s="231"/>
      <c r="W295" s="231"/>
      <c r="X295" s="231"/>
      <c r="Y295" s="231"/>
      <c r="Z295" s="231"/>
      <c r="AA295" s="231"/>
      <c r="AB295" s="231"/>
      <c r="AC295" s="231"/>
      <c r="AD295" s="231"/>
      <c r="AE295" s="231"/>
      <c r="AF295" s="231"/>
      <c r="AG295" s="231"/>
    </row>
    <row r="296" spans="1:33" s="203" customFormat="1">
      <c r="A296" s="433">
        <v>11</v>
      </c>
      <c r="B296" s="47" t="s">
        <v>226</v>
      </c>
      <c r="C296" s="47"/>
      <c r="D296" s="47"/>
      <c r="E296" s="114">
        <v>0</v>
      </c>
      <c r="F296" s="52"/>
      <c r="G296" s="118"/>
      <c r="H296" s="122"/>
      <c r="I296" s="21"/>
      <c r="J296" s="86"/>
      <c r="K296" s="231"/>
      <c r="L296" s="231"/>
      <c r="M296" s="231"/>
      <c r="N296" s="231"/>
      <c r="O296" s="231"/>
      <c r="P296" s="231"/>
      <c r="Q296" s="231"/>
      <c r="R296" s="231"/>
      <c r="S296" s="231"/>
      <c r="T296" s="231"/>
      <c r="U296" s="231"/>
      <c r="V296" s="231"/>
      <c r="W296" s="231"/>
      <c r="X296" s="231"/>
      <c r="Y296" s="231"/>
      <c r="Z296" s="231"/>
      <c r="AA296" s="231"/>
      <c r="AB296" s="231"/>
      <c r="AC296" s="231"/>
      <c r="AD296" s="231"/>
      <c r="AE296" s="231"/>
      <c r="AF296" s="231"/>
      <c r="AG296" s="231"/>
    </row>
    <row r="297" spans="1:33" s="203" customFormat="1">
      <c r="A297" s="120">
        <v>12</v>
      </c>
      <c r="B297" s="47" t="s">
        <v>227</v>
      </c>
      <c r="C297" s="47"/>
      <c r="D297" s="47"/>
      <c r="E297" s="114">
        <v>94</v>
      </c>
      <c r="F297" s="52">
        <v>116</v>
      </c>
      <c r="G297" s="118"/>
      <c r="H297" s="122">
        <v>104</v>
      </c>
      <c r="I297" s="21"/>
      <c r="J297" s="86"/>
      <c r="K297" s="231"/>
      <c r="L297" s="231"/>
      <c r="M297" s="231"/>
      <c r="N297" s="231"/>
      <c r="O297" s="231"/>
      <c r="P297" s="231"/>
      <c r="Q297" s="231"/>
      <c r="R297" s="231"/>
      <c r="S297" s="231"/>
      <c r="T297" s="231"/>
      <c r="U297" s="231"/>
      <c r="V297" s="231"/>
      <c r="W297" s="231"/>
      <c r="X297" s="231"/>
      <c r="Y297" s="231"/>
      <c r="Z297" s="231"/>
      <c r="AA297" s="231"/>
      <c r="AB297" s="231"/>
      <c r="AC297" s="231"/>
      <c r="AD297" s="231"/>
      <c r="AE297" s="231"/>
      <c r="AF297" s="231"/>
      <c r="AG297" s="231"/>
    </row>
    <row r="298" spans="1:33" s="203" customFormat="1">
      <c r="A298" s="433">
        <v>13</v>
      </c>
      <c r="B298" s="47" t="s">
        <v>228</v>
      </c>
      <c r="C298" s="47"/>
      <c r="D298" s="47"/>
      <c r="E298" s="114">
        <v>2599</v>
      </c>
      <c r="F298" s="52">
        <v>2787</v>
      </c>
      <c r="G298" s="118"/>
      <c r="H298" s="122">
        <v>2713</v>
      </c>
      <c r="I298" s="21"/>
      <c r="J298" s="86"/>
      <c r="K298" s="231"/>
      <c r="L298" s="231"/>
      <c r="M298" s="231"/>
      <c r="N298" s="231"/>
      <c r="O298" s="231"/>
      <c r="P298" s="231"/>
      <c r="Q298" s="231"/>
      <c r="R298" s="231"/>
      <c r="S298" s="231"/>
      <c r="T298" s="231"/>
      <c r="U298" s="231"/>
      <c r="V298" s="231"/>
      <c r="W298" s="231"/>
      <c r="X298" s="231"/>
      <c r="Y298" s="231"/>
      <c r="Z298" s="231"/>
      <c r="AA298" s="231"/>
      <c r="AB298" s="231"/>
      <c r="AC298" s="231"/>
      <c r="AD298" s="231"/>
      <c r="AE298" s="231"/>
      <c r="AF298" s="231"/>
      <c r="AG298" s="231"/>
    </row>
    <row r="299" spans="1:33" s="203" customFormat="1">
      <c r="A299" s="120">
        <v>14</v>
      </c>
      <c r="B299" s="47" t="s">
        <v>229</v>
      </c>
      <c r="C299" s="47"/>
      <c r="D299" s="116"/>
      <c r="E299" s="114">
        <v>0</v>
      </c>
      <c r="F299" s="52"/>
      <c r="G299" s="118"/>
      <c r="H299" s="122"/>
      <c r="I299" s="21"/>
      <c r="J299" s="86"/>
      <c r="K299" s="231"/>
      <c r="L299" s="231"/>
      <c r="M299" s="231"/>
      <c r="N299" s="231"/>
      <c r="O299" s="231"/>
      <c r="P299" s="231"/>
      <c r="Q299" s="231"/>
      <c r="R299" s="231"/>
      <c r="S299" s="231"/>
      <c r="T299" s="231"/>
      <c r="U299" s="231"/>
      <c r="V299" s="231"/>
      <c r="W299" s="231"/>
      <c r="X299" s="231"/>
      <c r="Y299" s="231"/>
      <c r="Z299" s="231"/>
      <c r="AA299" s="231"/>
      <c r="AB299" s="231"/>
      <c r="AC299" s="231"/>
      <c r="AD299" s="231"/>
      <c r="AE299" s="231"/>
      <c r="AF299" s="231"/>
      <c r="AG299" s="231"/>
    </row>
    <row r="300" spans="1:33" s="203" customFormat="1">
      <c r="A300" s="433">
        <v>15</v>
      </c>
      <c r="B300" s="47" t="s">
        <v>230</v>
      </c>
      <c r="C300" s="47"/>
      <c r="D300" s="116"/>
      <c r="E300" s="114">
        <v>1095</v>
      </c>
      <c r="F300" s="52">
        <v>2358</v>
      </c>
      <c r="G300" s="118"/>
      <c r="H300" s="122">
        <v>1552</v>
      </c>
      <c r="I300" s="21"/>
      <c r="J300" s="86"/>
      <c r="K300" s="231"/>
      <c r="L300" s="231"/>
      <c r="M300" s="231"/>
      <c r="N300" s="231"/>
      <c r="O300" s="231"/>
      <c r="P300" s="231"/>
      <c r="Q300" s="231"/>
      <c r="R300" s="231"/>
      <c r="S300" s="231"/>
      <c r="T300" s="231"/>
      <c r="U300" s="231"/>
      <c r="V300" s="231"/>
      <c r="W300" s="231"/>
      <c r="X300" s="231"/>
      <c r="Y300" s="231"/>
      <c r="Z300" s="231"/>
      <c r="AA300" s="231"/>
      <c r="AB300" s="231"/>
      <c r="AC300" s="231"/>
      <c r="AD300" s="231"/>
      <c r="AE300" s="231"/>
      <c r="AF300" s="231"/>
      <c r="AG300" s="231"/>
    </row>
    <row r="301" spans="1:33" s="203" customFormat="1">
      <c r="A301" s="120">
        <v>17</v>
      </c>
      <c r="B301" s="47" t="s">
        <v>231</v>
      </c>
      <c r="C301" s="47"/>
      <c r="D301" s="47"/>
      <c r="E301" s="114">
        <v>0</v>
      </c>
      <c r="F301" s="52"/>
      <c r="G301" s="118"/>
      <c r="H301" s="99"/>
      <c r="I301" s="21"/>
      <c r="J301" s="86"/>
      <c r="K301" s="231"/>
      <c r="L301" s="231"/>
      <c r="M301" s="231"/>
      <c r="N301" s="231"/>
      <c r="O301" s="231"/>
      <c r="P301" s="231"/>
      <c r="Q301" s="231"/>
      <c r="R301" s="231"/>
      <c r="S301" s="231"/>
      <c r="T301" s="231"/>
      <c r="U301" s="231"/>
      <c r="V301" s="231"/>
      <c r="W301" s="231"/>
      <c r="X301" s="231"/>
      <c r="Y301" s="231"/>
      <c r="Z301" s="231"/>
      <c r="AA301" s="231"/>
      <c r="AB301" s="231"/>
      <c r="AC301" s="231"/>
      <c r="AD301" s="231"/>
      <c r="AE301" s="231"/>
      <c r="AF301" s="231"/>
      <c r="AG301" s="231"/>
    </row>
    <row r="302" spans="1:33" s="203" customFormat="1">
      <c r="A302" s="434">
        <v>18</v>
      </c>
      <c r="B302" s="94" t="s">
        <v>232</v>
      </c>
      <c r="C302" s="94"/>
      <c r="D302" s="94"/>
      <c r="E302" s="159">
        <v>5931</v>
      </c>
      <c r="F302" s="61">
        <f>SUM(F286:F301)</f>
        <v>7349</v>
      </c>
      <c r="G302" s="118"/>
      <c r="H302" s="61">
        <f>SUM(H286:H301)</f>
        <v>6522</v>
      </c>
      <c r="I302" s="21"/>
      <c r="J302" s="86"/>
      <c r="K302" s="231"/>
      <c r="L302" s="231"/>
      <c r="M302" s="231"/>
      <c r="N302" s="231"/>
      <c r="O302" s="231"/>
      <c r="P302" s="231"/>
      <c r="Q302" s="231"/>
      <c r="R302" s="231"/>
      <c r="S302" s="231"/>
      <c r="T302" s="231"/>
      <c r="U302" s="231"/>
      <c r="V302" s="231"/>
      <c r="W302" s="231"/>
      <c r="X302" s="231"/>
      <c r="Y302" s="231"/>
      <c r="Z302" s="231"/>
      <c r="AA302" s="231"/>
      <c r="AB302" s="231"/>
      <c r="AC302" s="231"/>
      <c r="AD302" s="231"/>
      <c r="AE302" s="231"/>
      <c r="AF302" s="231"/>
      <c r="AG302" s="231"/>
    </row>
    <row r="303" spans="1:33" s="203" customFormat="1">
      <c r="A303" s="179"/>
      <c r="B303" s="180"/>
      <c r="C303" s="180"/>
      <c r="D303" s="181"/>
      <c r="E303" s="182"/>
      <c r="F303" s="183"/>
      <c r="G303" s="21"/>
      <c r="H303" s="183"/>
      <c r="I303" s="21"/>
      <c r="J303" s="86"/>
      <c r="K303" s="231"/>
      <c r="L303" s="231"/>
      <c r="M303" s="231"/>
      <c r="N303" s="231"/>
      <c r="O303" s="231"/>
      <c r="P303" s="231"/>
      <c r="Q303" s="231"/>
      <c r="R303" s="231"/>
      <c r="S303" s="231"/>
      <c r="T303" s="231"/>
      <c r="U303" s="231"/>
      <c r="V303" s="231"/>
      <c r="W303" s="231"/>
      <c r="X303" s="231"/>
      <c r="Y303" s="231"/>
      <c r="Z303" s="231"/>
      <c r="AA303" s="231"/>
      <c r="AB303" s="231"/>
      <c r="AC303" s="231"/>
      <c r="AD303" s="231"/>
      <c r="AE303" s="231"/>
      <c r="AF303" s="231"/>
      <c r="AG303" s="231"/>
    </row>
    <row r="304" spans="1:33" s="203" customFormat="1">
      <c r="A304" s="184"/>
      <c r="B304" s="207"/>
      <c r="C304" s="207"/>
      <c r="D304" s="209"/>
      <c r="E304" s="185"/>
      <c r="F304" s="207"/>
      <c r="G304" s="207"/>
      <c r="H304" s="131" t="s">
        <v>27</v>
      </c>
      <c r="I304" s="21"/>
      <c r="J304" s="86"/>
      <c r="K304" s="231"/>
      <c r="L304" s="231"/>
      <c r="M304" s="231"/>
      <c r="N304" s="231"/>
      <c r="O304" s="231"/>
      <c r="P304" s="231"/>
      <c r="Q304" s="231"/>
      <c r="R304" s="231"/>
      <c r="S304" s="231"/>
      <c r="T304" s="231"/>
      <c r="U304" s="231"/>
      <c r="V304" s="231"/>
      <c r="W304" s="231"/>
      <c r="X304" s="231"/>
      <c r="Y304" s="231"/>
      <c r="Z304" s="231"/>
      <c r="AA304" s="231"/>
      <c r="AB304" s="231"/>
      <c r="AC304" s="231"/>
      <c r="AD304" s="231"/>
      <c r="AE304" s="231"/>
      <c r="AF304" s="231"/>
      <c r="AG304" s="231"/>
    </row>
    <row r="305" spans="1:33" s="203" customFormat="1" ht="12.75" customHeight="1">
      <c r="A305" s="106" t="s">
        <v>21</v>
      </c>
      <c r="B305" s="164"/>
      <c r="C305" s="164"/>
      <c r="D305" s="164"/>
      <c r="E305" s="856" t="s">
        <v>377</v>
      </c>
      <c r="F305" s="856" t="s">
        <v>402</v>
      </c>
      <c r="G305" s="130"/>
      <c r="H305" s="856" t="s">
        <v>403</v>
      </c>
      <c r="I305" s="21"/>
      <c r="J305" s="86"/>
      <c r="K305" s="231"/>
      <c r="L305" s="231"/>
      <c r="M305" s="231"/>
      <c r="N305" s="231"/>
      <c r="O305" s="231"/>
      <c r="P305" s="231"/>
      <c r="Q305" s="231"/>
      <c r="R305" s="231"/>
      <c r="S305" s="231"/>
      <c r="T305" s="231"/>
      <c r="U305" s="231"/>
      <c r="V305" s="231"/>
      <c r="W305" s="231"/>
      <c r="X305" s="231"/>
      <c r="Y305" s="231"/>
      <c r="Z305" s="231"/>
      <c r="AA305" s="231"/>
      <c r="AB305" s="231"/>
      <c r="AC305" s="231"/>
      <c r="AD305" s="231"/>
      <c r="AE305" s="231"/>
      <c r="AF305" s="231"/>
      <c r="AG305" s="231"/>
    </row>
    <row r="306" spans="1:33" s="203" customFormat="1">
      <c r="A306" s="165"/>
      <c r="B306" s="47"/>
      <c r="C306" s="47"/>
      <c r="D306" s="47"/>
      <c r="E306" s="859"/>
      <c r="F306" s="859"/>
      <c r="G306" s="130"/>
      <c r="H306" s="859"/>
      <c r="I306" s="21"/>
      <c r="J306" s="86"/>
      <c r="K306" s="231"/>
      <c r="L306" s="231"/>
      <c r="M306" s="231"/>
      <c r="N306" s="231"/>
      <c r="O306" s="231"/>
      <c r="P306" s="231"/>
      <c r="Q306" s="231"/>
      <c r="R306" s="231"/>
      <c r="S306" s="231"/>
      <c r="T306" s="231"/>
      <c r="U306" s="231"/>
      <c r="V306" s="231"/>
      <c r="W306" s="231"/>
      <c r="X306" s="231"/>
      <c r="Y306" s="231"/>
      <c r="Z306" s="231"/>
      <c r="AA306" s="231"/>
      <c r="AB306" s="231"/>
      <c r="AC306" s="231"/>
      <c r="AD306" s="231"/>
      <c r="AE306" s="231"/>
      <c r="AF306" s="231"/>
      <c r="AG306" s="231"/>
    </row>
    <row r="307" spans="1:33" s="203" customFormat="1" ht="12.75" customHeight="1">
      <c r="A307" s="109"/>
      <c r="B307" s="174"/>
      <c r="C307" s="174"/>
      <c r="D307" s="174"/>
      <c r="E307" s="859"/>
      <c r="F307" s="859"/>
      <c r="G307" s="130"/>
      <c r="H307" s="859"/>
      <c r="I307" s="21"/>
      <c r="J307" s="86"/>
      <c r="K307" s="231"/>
      <c r="L307" s="231"/>
      <c r="M307" s="231"/>
      <c r="N307" s="231"/>
      <c r="O307" s="231"/>
      <c r="P307" s="231"/>
      <c r="Q307" s="231"/>
      <c r="R307" s="231"/>
      <c r="S307" s="231"/>
      <c r="T307" s="231"/>
      <c r="U307" s="231"/>
      <c r="V307" s="231"/>
      <c r="W307" s="231"/>
      <c r="X307" s="231"/>
      <c r="Y307" s="231"/>
      <c r="Z307" s="231"/>
      <c r="AA307" s="231"/>
      <c r="AB307" s="231"/>
      <c r="AC307" s="231"/>
      <c r="AD307" s="231"/>
      <c r="AE307" s="231"/>
      <c r="AF307" s="231"/>
      <c r="AG307" s="231"/>
    </row>
    <row r="308" spans="1:33" s="203" customFormat="1">
      <c r="A308" s="154" t="s">
        <v>233</v>
      </c>
      <c r="B308" s="47"/>
      <c r="C308" s="47"/>
      <c r="D308" s="47"/>
      <c r="E308" s="859"/>
      <c r="F308" s="859"/>
      <c r="G308" s="130"/>
      <c r="H308" s="859"/>
      <c r="I308" s="21"/>
      <c r="J308" s="86"/>
      <c r="K308" s="231"/>
      <c r="L308" s="231"/>
      <c r="M308" s="231"/>
      <c r="N308" s="231"/>
      <c r="O308" s="231"/>
      <c r="P308" s="231"/>
      <c r="Q308" s="231"/>
      <c r="R308" s="231"/>
      <c r="S308" s="231"/>
      <c r="T308" s="231"/>
      <c r="U308" s="231"/>
      <c r="V308" s="231"/>
      <c r="W308" s="231"/>
      <c r="X308" s="231"/>
      <c r="Y308" s="231"/>
      <c r="Z308" s="231"/>
      <c r="AA308" s="231"/>
      <c r="AB308" s="231"/>
      <c r="AC308" s="231"/>
      <c r="AD308" s="231"/>
      <c r="AE308" s="231"/>
      <c r="AF308" s="231"/>
      <c r="AG308" s="231"/>
    </row>
    <row r="309" spans="1:33" s="203" customFormat="1">
      <c r="A309" s="109" t="s">
        <v>83</v>
      </c>
      <c r="B309" s="174"/>
      <c r="C309" s="174"/>
      <c r="D309" s="174"/>
      <c r="E309" s="860"/>
      <c r="F309" s="860"/>
      <c r="G309" s="130"/>
      <c r="H309" s="860"/>
      <c r="I309" s="21"/>
      <c r="J309" s="86"/>
      <c r="K309" s="231"/>
      <c r="L309" s="231"/>
      <c r="M309" s="231"/>
      <c r="N309" s="231"/>
      <c r="O309" s="231"/>
      <c r="P309" s="231"/>
      <c r="Q309" s="231"/>
      <c r="R309" s="231"/>
      <c r="S309" s="231"/>
      <c r="T309" s="231"/>
      <c r="U309" s="231"/>
      <c r="V309" s="231"/>
      <c r="W309" s="231"/>
      <c r="X309" s="231"/>
      <c r="Y309" s="231"/>
      <c r="Z309" s="231"/>
      <c r="AA309" s="231"/>
      <c r="AB309" s="231"/>
      <c r="AC309" s="231"/>
      <c r="AD309" s="231"/>
      <c r="AE309" s="231"/>
      <c r="AF309" s="231"/>
      <c r="AG309" s="231"/>
    </row>
    <row r="310" spans="1:33" s="203" customFormat="1">
      <c r="A310" s="110" t="s">
        <v>84</v>
      </c>
      <c r="B310" s="116"/>
      <c r="C310" s="116"/>
      <c r="D310" s="116"/>
      <c r="E310" s="262"/>
      <c r="F310" s="146"/>
      <c r="G310" s="118"/>
      <c r="H310" s="146"/>
      <c r="I310" s="21"/>
      <c r="J310" s="86"/>
      <c r="K310" s="231"/>
      <c r="L310" s="231"/>
      <c r="M310" s="231"/>
      <c r="N310" s="231"/>
      <c r="O310" s="231"/>
      <c r="P310" s="231"/>
      <c r="Q310" s="231"/>
      <c r="R310" s="231"/>
      <c r="S310" s="231"/>
      <c r="T310" s="231"/>
      <c r="U310" s="231"/>
      <c r="V310" s="231"/>
      <c r="W310" s="231"/>
      <c r="X310" s="231"/>
      <c r="Y310" s="231"/>
      <c r="Z310" s="231"/>
      <c r="AA310" s="231"/>
      <c r="AB310" s="231"/>
      <c r="AC310" s="231"/>
      <c r="AD310" s="231"/>
      <c r="AE310" s="231"/>
      <c r="AF310" s="231"/>
      <c r="AG310" s="231"/>
    </row>
    <row r="311" spans="1:33" s="203" customFormat="1">
      <c r="A311" s="120">
        <v>1</v>
      </c>
      <c r="B311" s="47" t="s">
        <v>258</v>
      </c>
      <c r="C311" s="47"/>
      <c r="D311" s="186"/>
      <c r="E311" s="74">
        <v>0</v>
      </c>
      <c r="F311" s="52">
        <v>0</v>
      </c>
      <c r="G311" s="43"/>
      <c r="H311" s="52">
        <v>0</v>
      </c>
      <c r="I311" s="21"/>
      <c r="J311" s="86"/>
      <c r="K311" s="231"/>
      <c r="L311" s="231"/>
      <c r="M311" s="231"/>
      <c r="N311" s="231"/>
      <c r="O311" s="231"/>
      <c r="P311" s="231"/>
      <c r="Q311" s="231"/>
      <c r="R311" s="231"/>
      <c r="S311" s="231"/>
      <c r="T311" s="231"/>
      <c r="U311" s="231"/>
      <c r="V311" s="231"/>
      <c r="W311" s="231"/>
      <c r="X311" s="231"/>
      <c r="Y311" s="231"/>
      <c r="Z311" s="231"/>
      <c r="AA311" s="231"/>
      <c r="AB311" s="231"/>
      <c r="AC311" s="231"/>
      <c r="AD311" s="231"/>
      <c r="AE311" s="231"/>
      <c r="AF311" s="231"/>
      <c r="AG311" s="231"/>
    </row>
    <row r="312" spans="1:33" s="203" customFormat="1">
      <c r="A312" s="120">
        <v>2</v>
      </c>
      <c r="B312" s="47" t="s">
        <v>234</v>
      </c>
      <c r="C312" s="47"/>
      <c r="D312" s="186"/>
      <c r="E312" s="114">
        <v>0</v>
      </c>
      <c r="F312" s="52">
        <v>0</v>
      </c>
      <c r="G312" s="43"/>
      <c r="H312" s="52">
        <v>0</v>
      </c>
      <c r="I312" s="21"/>
      <c r="J312" s="86"/>
      <c r="K312" s="231"/>
      <c r="L312" s="231"/>
      <c r="M312" s="231"/>
      <c r="N312" s="231"/>
      <c r="O312" s="231"/>
      <c r="P312" s="231"/>
      <c r="Q312" s="231"/>
      <c r="R312" s="231"/>
      <c r="S312" s="231"/>
      <c r="T312" s="231"/>
      <c r="U312" s="231"/>
      <c r="V312" s="231"/>
      <c r="W312" s="231"/>
      <c r="X312" s="231"/>
      <c r="Y312" s="231"/>
      <c r="Z312" s="231"/>
      <c r="AA312" s="231"/>
      <c r="AB312" s="231"/>
      <c r="AC312" s="231"/>
      <c r="AD312" s="231"/>
      <c r="AE312" s="231"/>
      <c r="AF312" s="231"/>
      <c r="AG312" s="231"/>
    </row>
    <row r="313" spans="1:33" s="203" customFormat="1">
      <c r="A313" s="120">
        <v>3</v>
      </c>
      <c r="B313" s="47" t="s">
        <v>259</v>
      </c>
      <c r="C313" s="47"/>
      <c r="D313" s="186"/>
      <c r="E313" s="114">
        <v>-156</v>
      </c>
      <c r="F313" s="52">
        <f>-85-233</f>
        <v>-318</v>
      </c>
      <c r="G313" s="43"/>
      <c r="H313" s="52">
        <f>-36-233</f>
        <v>-269</v>
      </c>
      <c r="I313" s="21"/>
      <c r="J313" s="86"/>
      <c r="K313" s="231"/>
      <c r="L313" s="231"/>
      <c r="M313" s="231"/>
      <c r="N313" s="231"/>
      <c r="O313" s="231"/>
      <c r="P313" s="231"/>
      <c r="Q313" s="231"/>
      <c r="R313" s="231"/>
      <c r="S313" s="231"/>
      <c r="T313" s="231"/>
      <c r="U313" s="231"/>
      <c r="V313" s="231"/>
      <c r="W313" s="231"/>
      <c r="X313" s="231"/>
      <c r="Y313" s="231"/>
      <c r="Z313" s="231"/>
      <c r="AA313" s="231"/>
      <c r="AB313" s="231"/>
      <c r="AC313" s="231"/>
      <c r="AD313" s="231"/>
      <c r="AE313" s="231"/>
      <c r="AF313" s="231"/>
      <c r="AG313" s="231"/>
    </row>
    <row r="314" spans="1:33" s="203" customFormat="1">
      <c r="A314" s="120">
        <v>4</v>
      </c>
      <c r="B314" s="47" t="s">
        <v>235</v>
      </c>
      <c r="C314" s="47"/>
      <c r="D314" s="186"/>
      <c r="E314" s="114">
        <v>8097</v>
      </c>
      <c r="F314" s="52">
        <f>7705</f>
        <v>7705</v>
      </c>
      <c r="G314" s="43"/>
      <c r="H314" s="52">
        <f>7805-46</f>
        <v>7759</v>
      </c>
      <c r="I314" s="21"/>
      <c r="J314" s="86"/>
      <c r="K314" s="231"/>
      <c r="L314" s="231"/>
      <c r="M314" s="231"/>
      <c r="N314" s="231"/>
      <c r="O314" s="231"/>
      <c r="P314" s="231"/>
      <c r="Q314" s="231"/>
      <c r="R314" s="231"/>
      <c r="S314" s="231"/>
      <c r="T314" s="231"/>
      <c r="U314" s="231"/>
      <c r="V314" s="231"/>
      <c r="W314" s="231"/>
      <c r="X314" s="231"/>
      <c r="Y314" s="231"/>
      <c r="Z314" s="231"/>
      <c r="AA314" s="231"/>
      <c r="AB314" s="231"/>
      <c r="AC314" s="231"/>
      <c r="AD314" s="231"/>
      <c r="AE314" s="231"/>
      <c r="AF314" s="231"/>
      <c r="AG314" s="231"/>
    </row>
    <row r="315" spans="1:33" s="203" customFormat="1">
      <c r="A315" s="120">
        <v>5</v>
      </c>
      <c r="B315" s="47" t="s">
        <v>236</v>
      </c>
      <c r="C315" s="47"/>
      <c r="D315" s="186"/>
      <c r="E315" s="114">
        <v>767</v>
      </c>
      <c r="F315" s="52">
        <f>117+650+672</f>
        <v>1439</v>
      </c>
      <c r="G315" s="43"/>
      <c r="H315" s="52">
        <f>122+655+722</f>
        <v>1499</v>
      </c>
      <c r="I315" s="21"/>
      <c r="J315" s="86"/>
      <c r="K315" s="231"/>
      <c r="L315" s="231"/>
      <c r="M315" s="231"/>
      <c r="N315" s="231"/>
      <c r="O315" s="231"/>
      <c r="P315" s="231"/>
      <c r="Q315" s="231"/>
      <c r="R315" s="231"/>
      <c r="S315" s="231"/>
      <c r="T315" s="231"/>
      <c r="U315" s="231"/>
      <c r="V315" s="231"/>
      <c r="W315" s="231"/>
      <c r="X315" s="231"/>
      <c r="Y315" s="231"/>
      <c r="Z315" s="231"/>
      <c r="AA315" s="231"/>
      <c r="AB315" s="231"/>
      <c r="AC315" s="231"/>
      <c r="AD315" s="231"/>
      <c r="AE315" s="231"/>
      <c r="AF315" s="231"/>
      <c r="AG315" s="231"/>
    </row>
    <row r="316" spans="1:33" s="203" customFormat="1">
      <c r="A316" s="120">
        <v>6</v>
      </c>
      <c r="B316" s="47" t="s">
        <v>237</v>
      </c>
      <c r="C316" s="47"/>
      <c r="D316" s="186"/>
      <c r="E316" s="114">
        <v>9331</v>
      </c>
      <c r="F316" s="52">
        <f>6192+18+3102+1560</f>
        <v>10872</v>
      </c>
      <c r="G316" s="43"/>
      <c r="H316" s="52">
        <f>5414+13-21+3082+1560</f>
        <v>10048</v>
      </c>
      <c r="I316" s="21"/>
      <c r="J316" s="86"/>
      <c r="K316" s="231"/>
      <c r="L316" s="231"/>
      <c r="M316" s="231"/>
      <c r="N316" s="231"/>
      <c r="O316" s="231"/>
      <c r="P316" s="231"/>
      <c r="Q316" s="231"/>
      <c r="R316" s="231"/>
      <c r="S316" s="231"/>
      <c r="T316" s="231"/>
      <c r="U316" s="231"/>
      <c r="V316" s="231"/>
      <c r="W316" s="231"/>
      <c r="X316" s="231"/>
      <c r="Y316" s="231"/>
      <c r="Z316" s="231"/>
      <c r="AA316" s="231"/>
      <c r="AB316" s="231"/>
      <c r="AC316" s="231"/>
      <c r="AD316" s="231"/>
      <c r="AE316" s="231"/>
      <c r="AF316" s="231"/>
      <c r="AG316" s="231"/>
    </row>
    <row r="317" spans="1:33" s="203" customFormat="1">
      <c r="A317" s="120">
        <v>7</v>
      </c>
      <c r="B317" s="47" t="s">
        <v>238</v>
      </c>
      <c r="C317" s="47"/>
      <c r="D317" s="186"/>
      <c r="E317" s="114">
        <v>219</v>
      </c>
      <c r="F317" s="52">
        <f>219</f>
        <v>219</v>
      </c>
      <c r="G317" s="43"/>
      <c r="H317" s="52">
        <f>219</f>
        <v>219</v>
      </c>
      <c r="I317" s="21"/>
      <c r="J317" s="86"/>
      <c r="K317" s="231"/>
      <c r="L317" s="231"/>
      <c r="M317" s="231"/>
      <c r="N317" s="231"/>
      <c r="O317" s="231"/>
      <c r="P317" s="231"/>
      <c r="Q317" s="231"/>
      <c r="R317" s="231"/>
      <c r="S317" s="231"/>
      <c r="T317" s="231"/>
      <c r="U317" s="231"/>
      <c r="V317" s="231"/>
      <c r="W317" s="231"/>
      <c r="X317" s="231"/>
      <c r="Y317" s="231"/>
      <c r="Z317" s="231"/>
      <c r="AA317" s="231"/>
      <c r="AB317" s="231"/>
      <c r="AC317" s="231"/>
      <c r="AD317" s="231"/>
      <c r="AE317" s="231"/>
      <c r="AF317" s="231"/>
      <c r="AG317" s="231"/>
    </row>
    <row r="318" spans="1:33" s="203" customFormat="1">
      <c r="A318" s="120">
        <v>8</v>
      </c>
      <c r="B318" s="47" t="s">
        <v>239</v>
      </c>
      <c r="C318" s="47"/>
      <c r="D318" s="186"/>
      <c r="E318" s="114">
        <v>87</v>
      </c>
      <c r="F318" s="52">
        <f>100</f>
        <v>100</v>
      </c>
      <c r="G318" s="43"/>
      <c r="H318" s="52">
        <f>102</f>
        <v>102</v>
      </c>
      <c r="I318" s="21"/>
      <c r="J318" s="86"/>
      <c r="K318" s="231"/>
      <c r="L318" s="231"/>
      <c r="M318" s="231"/>
      <c r="N318" s="231"/>
      <c r="O318" s="231"/>
      <c r="P318" s="231"/>
      <c r="Q318" s="231"/>
      <c r="R318" s="231"/>
      <c r="S318" s="231"/>
      <c r="T318" s="231"/>
      <c r="U318" s="231"/>
      <c r="V318" s="231"/>
      <c r="W318" s="231"/>
      <c r="X318" s="231"/>
      <c r="Y318" s="231"/>
      <c r="Z318" s="231"/>
      <c r="AA318" s="231"/>
      <c r="AB318" s="231"/>
      <c r="AC318" s="231"/>
      <c r="AD318" s="231"/>
      <c r="AE318" s="231"/>
      <c r="AF318" s="231"/>
      <c r="AG318" s="231"/>
    </row>
    <row r="319" spans="1:33" s="203" customFormat="1">
      <c r="A319" s="433">
        <v>9</v>
      </c>
      <c r="B319" s="90" t="s">
        <v>260</v>
      </c>
      <c r="C319" s="47"/>
      <c r="D319" s="47"/>
      <c r="E319" s="114">
        <v>0</v>
      </c>
      <c r="F319" s="188"/>
      <c r="G319" s="43"/>
      <c r="H319" s="189"/>
      <c r="I319" s="21"/>
      <c r="J319" s="86"/>
      <c r="K319" s="231"/>
      <c r="L319" s="231"/>
      <c r="M319" s="231"/>
      <c r="N319" s="231"/>
      <c r="O319" s="231"/>
      <c r="P319" s="231"/>
      <c r="Q319" s="231"/>
      <c r="R319" s="231"/>
      <c r="S319" s="231"/>
      <c r="T319" s="231"/>
      <c r="U319" s="231"/>
      <c r="V319" s="231"/>
      <c r="W319" s="231"/>
      <c r="X319" s="231"/>
      <c r="Y319" s="231"/>
      <c r="Z319" s="231"/>
      <c r="AA319" s="231"/>
      <c r="AB319" s="231"/>
      <c r="AC319" s="231"/>
      <c r="AD319" s="231"/>
      <c r="AE319" s="231"/>
      <c r="AF319" s="231"/>
      <c r="AG319" s="231"/>
    </row>
    <row r="320" spans="1:33" s="203" customFormat="1">
      <c r="A320" s="124">
        <v>10</v>
      </c>
      <c r="B320" s="94" t="s">
        <v>62</v>
      </c>
      <c r="C320" s="94"/>
      <c r="D320" s="94"/>
      <c r="E320" s="159">
        <v>18345</v>
      </c>
      <c r="F320" s="61">
        <f>F311+F312+F313+F314+F315+F316+F317+F318</f>
        <v>20017</v>
      </c>
      <c r="G320" s="43"/>
      <c r="H320" s="61">
        <f>H311+H312+H313+H314+H315+H316+H317+H318+H319</f>
        <v>19358</v>
      </c>
      <c r="I320" s="183"/>
      <c r="J320" s="243"/>
      <c r="K320" s="231"/>
      <c r="L320" s="231"/>
      <c r="M320" s="231"/>
      <c r="N320" s="231"/>
      <c r="O320" s="231"/>
      <c r="P320" s="231"/>
      <c r="Q320" s="231"/>
      <c r="R320" s="231"/>
      <c r="S320" s="231"/>
      <c r="T320" s="231"/>
      <c r="U320" s="231"/>
      <c r="V320" s="231"/>
      <c r="W320" s="231"/>
      <c r="X320" s="231"/>
      <c r="Y320" s="231"/>
      <c r="Z320" s="231"/>
      <c r="AA320" s="231"/>
      <c r="AB320" s="231"/>
      <c r="AC320" s="231"/>
      <c r="AD320" s="231"/>
      <c r="AE320" s="231"/>
      <c r="AF320" s="231"/>
      <c r="AG320" s="231"/>
    </row>
    <row r="321" spans="1:33" s="203" customFormat="1">
      <c r="A321" s="179"/>
      <c r="B321" s="180"/>
      <c r="C321" s="180"/>
      <c r="D321" s="180"/>
      <c r="E321" s="180"/>
      <c r="F321" s="183"/>
      <c r="G321" s="21"/>
      <c r="H321" s="183"/>
      <c r="I321" s="183"/>
      <c r="J321" s="243"/>
      <c r="K321" s="231"/>
      <c r="L321" s="231"/>
      <c r="M321" s="231"/>
      <c r="N321" s="231"/>
      <c r="O321" s="231"/>
      <c r="P321" s="231"/>
      <c r="Q321" s="231"/>
      <c r="R321" s="231"/>
      <c r="S321" s="231"/>
      <c r="T321" s="231"/>
      <c r="U321" s="231"/>
      <c r="V321" s="231"/>
      <c r="W321" s="231"/>
      <c r="X321" s="231"/>
      <c r="Y321" s="231"/>
      <c r="Z321" s="231"/>
      <c r="AA321" s="231"/>
      <c r="AB321" s="231"/>
      <c r="AC321" s="231"/>
      <c r="AD321" s="231"/>
      <c r="AE321" s="231"/>
      <c r="AF321" s="231"/>
      <c r="AG321" s="231"/>
    </row>
    <row r="322" spans="1:33" s="203" customFormat="1">
      <c r="A322" s="148"/>
      <c r="B322" s="207"/>
      <c r="C322" s="207"/>
      <c r="D322" s="29"/>
      <c r="E322" s="29"/>
      <c r="F322" s="29"/>
      <c r="G322" s="29"/>
      <c r="H322" s="31" t="s">
        <v>27</v>
      </c>
      <c r="I322" s="2"/>
      <c r="J322" s="14"/>
      <c r="K322" s="231"/>
      <c r="L322" s="231"/>
      <c r="M322" s="231"/>
      <c r="N322" s="231"/>
      <c r="O322" s="231"/>
      <c r="P322" s="231"/>
      <c r="Q322" s="231"/>
      <c r="R322" s="231"/>
      <c r="S322" s="231"/>
      <c r="T322" s="231"/>
      <c r="U322" s="231"/>
      <c r="V322" s="231"/>
      <c r="W322" s="231"/>
      <c r="X322" s="231"/>
      <c r="Y322" s="231"/>
      <c r="Z322" s="231"/>
      <c r="AA322" s="231"/>
      <c r="AB322" s="231"/>
      <c r="AC322" s="231"/>
      <c r="AD322" s="231"/>
      <c r="AE322" s="231"/>
      <c r="AF322" s="231"/>
      <c r="AG322" s="231"/>
    </row>
    <row r="323" spans="1:33" s="203" customFormat="1">
      <c r="A323" s="190" t="s">
        <v>240</v>
      </c>
      <c r="B323" s="263"/>
      <c r="C323" s="861" t="s">
        <v>405</v>
      </c>
      <c r="D323" s="862"/>
      <c r="E323" s="862"/>
      <c r="F323" s="862"/>
      <c r="G323" s="862"/>
      <c r="H323" s="863"/>
      <c r="I323" s="210"/>
      <c r="J323" s="192"/>
      <c r="K323" s="231"/>
      <c r="L323" s="231"/>
      <c r="M323" s="231"/>
      <c r="N323" s="231"/>
      <c r="O323" s="231"/>
      <c r="P323" s="231"/>
      <c r="Q323" s="231"/>
      <c r="R323" s="231"/>
      <c r="S323" s="231"/>
      <c r="T323" s="231"/>
      <c r="U323" s="231"/>
      <c r="V323" s="231"/>
      <c r="W323" s="231"/>
      <c r="X323" s="231"/>
      <c r="Y323" s="231"/>
      <c r="Z323" s="231"/>
      <c r="AA323" s="231"/>
      <c r="AB323" s="231"/>
      <c r="AC323" s="231"/>
      <c r="AD323" s="231"/>
      <c r="AE323" s="231"/>
      <c r="AF323" s="231"/>
      <c r="AG323" s="231"/>
    </row>
    <row r="324" spans="1:33" s="203" customFormat="1" ht="39" thickBot="1">
      <c r="A324" s="110" t="s">
        <v>84</v>
      </c>
      <c r="B324" s="116"/>
      <c r="C324" s="35" t="s">
        <v>52</v>
      </c>
      <c r="D324" s="35" t="s">
        <v>53</v>
      </c>
      <c r="E324" s="37" t="s">
        <v>54</v>
      </c>
      <c r="F324" s="37" t="s">
        <v>55</v>
      </c>
      <c r="G324" s="37" t="s">
        <v>241</v>
      </c>
      <c r="H324" s="35" t="s">
        <v>121</v>
      </c>
      <c r="I324" s="29"/>
      <c r="J324" s="15"/>
      <c r="K324" s="231"/>
      <c r="L324" s="231"/>
      <c r="M324" s="231"/>
      <c r="N324" s="231"/>
      <c r="O324" s="231"/>
      <c r="P324" s="231"/>
      <c r="Q324" s="231"/>
      <c r="R324" s="231"/>
      <c r="S324" s="231"/>
      <c r="T324" s="231"/>
      <c r="U324" s="231"/>
      <c r="V324" s="231"/>
      <c r="W324" s="231"/>
      <c r="X324" s="231"/>
      <c r="Y324" s="231"/>
      <c r="Z324" s="231"/>
      <c r="AA324" s="231"/>
      <c r="AB324" s="231"/>
      <c r="AC324" s="231"/>
      <c r="AD324" s="231"/>
      <c r="AE324" s="231"/>
      <c r="AF324" s="231"/>
      <c r="AG324" s="231"/>
    </row>
    <row r="325" spans="1:33" s="203" customFormat="1" ht="13.5" thickBot="1">
      <c r="A325" s="433">
        <v>1</v>
      </c>
      <c r="B325" s="116" t="s">
        <v>242</v>
      </c>
      <c r="C325" s="193">
        <f t="shared" ref="C325:H325" si="0">SUM(C326:C329)</f>
        <v>7453</v>
      </c>
      <c r="D325" s="193">
        <f t="shared" si="0"/>
        <v>0</v>
      </c>
      <c r="E325" s="193">
        <v>0</v>
      </c>
      <c r="F325" s="193">
        <f t="shared" si="0"/>
        <v>0</v>
      </c>
      <c r="G325" s="193">
        <f>SUM(G326:G329)</f>
        <v>0</v>
      </c>
      <c r="H325" s="193">
        <f t="shared" si="0"/>
        <v>0</v>
      </c>
      <c r="I325" s="207"/>
      <c r="J325" s="15"/>
      <c r="K325" s="231"/>
      <c r="L325" s="231"/>
      <c r="M325" s="231"/>
      <c r="N325" s="231"/>
      <c r="O325" s="231"/>
      <c r="P325" s="231"/>
      <c r="Q325" s="231"/>
      <c r="R325" s="231"/>
      <c r="S325" s="231"/>
      <c r="T325" s="231"/>
      <c r="U325" s="231"/>
      <c r="V325" s="231"/>
      <c r="W325" s="231"/>
      <c r="X325" s="231"/>
      <c r="Y325" s="231"/>
      <c r="Z325" s="231"/>
      <c r="AA325" s="231"/>
      <c r="AB325" s="231"/>
      <c r="AC325" s="231"/>
      <c r="AD325" s="231"/>
      <c r="AE325" s="231"/>
      <c r="AF325" s="231"/>
      <c r="AG325" s="231"/>
    </row>
    <row r="326" spans="1:33" s="203" customFormat="1">
      <c r="A326" s="433">
        <v>2</v>
      </c>
      <c r="B326" s="47" t="s">
        <v>243</v>
      </c>
      <c r="C326" s="169">
        <f>1208+261</f>
        <v>1469</v>
      </c>
      <c r="D326" s="169"/>
      <c r="E326" s="169"/>
      <c r="F326" s="169"/>
      <c r="G326" s="169"/>
      <c r="H326" s="169"/>
      <c r="I326" s="207"/>
      <c r="J326" s="15"/>
      <c r="K326" s="231"/>
      <c r="L326" s="231"/>
      <c r="M326" s="231"/>
      <c r="N326" s="231"/>
      <c r="O326" s="231"/>
      <c r="P326" s="231"/>
      <c r="Q326" s="231"/>
      <c r="R326" s="231"/>
      <c r="S326" s="231"/>
      <c r="T326" s="231"/>
      <c r="U326" s="231"/>
      <c r="V326" s="231"/>
      <c r="W326" s="231"/>
      <c r="X326" s="231"/>
      <c r="Y326" s="231"/>
      <c r="Z326" s="231"/>
      <c r="AA326" s="231"/>
      <c r="AB326" s="231"/>
      <c r="AC326" s="231"/>
      <c r="AD326" s="231"/>
      <c r="AE326" s="231"/>
      <c r="AF326" s="231"/>
      <c r="AG326" s="231"/>
    </row>
    <row r="327" spans="1:33" s="203" customFormat="1">
      <c r="A327" s="433">
        <v>3</v>
      </c>
      <c r="B327" s="47" t="s">
        <v>244</v>
      </c>
      <c r="C327" s="99">
        <f>3102+1560</f>
        <v>4662</v>
      </c>
      <c r="D327" s="99"/>
      <c r="E327" s="99"/>
      <c r="F327" s="99"/>
      <c r="G327" s="99"/>
      <c r="H327" s="99"/>
      <c r="I327" s="207"/>
      <c r="J327" s="15"/>
      <c r="K327" s="231"/>
      <c r="L327" s="231"/>
      <c r="M327" s="231"/>
      <c r="N327" s="231"/>
      <c r="O327" s="231"/>
      <c r="P327" s="231"/>
      <c r="Q327" s="231"/>
      <c r="R327" s="231"/>
      <c r="S327" s="231"/>
      <c r="T327" s="231"/>
      <c r="U327" s="231"/>
      <c r="V327" s="231"/>
      <c r="W327" s="231"/>
      <c r="X327" s="231"/>
      <c r="Y327" s="231"/>
      <c r="Z327" s="231"/>
      <c r="AA327" s="231"/>
      <c r="AB327" s="231"/>
      <c r="AC327" s="231"/>
      <c r="AD327" s="231"/>
      <c r="AE327" s="231"/>
      <c r="AF327" s="231"/>
      <c r="AG327" s="231"/>
    </row>
    <row r="328" spans="1:33" s="203" customFormat="1">
      <c r="A328" s="433">
        <v>4</v>
      </c>
      <c r="B328" s="47" t="s">
        <v>245</v>
      </c>
      <c r="C328" s="99">
        <f>650+672</f>
        <v>1322</v>
      </c>
      <c r="D328" s="99"/>
      <c r="E328" s="99"/>
      <c r="F328" s="99"/>
      <c r="G328" s="99"/>
      <c r="H328" s="99"/>
      <c r="I328" s="207"/>
      <c r="J328" s="15"/>
      <c r="K328" s="231"/>
      <c r="L328" s="231"/>
      <c r="M328" s="231"/>
      <c r="N328" s="231"/>
      <c r="O328" s="231"/>
      <c r="P328" s="231"/>
      <c r="Q328" s="231"/>
      <c r="R328" s="231"/>
      <c r="S328" s="231"/>
      <c r="T328" s="231"/>
      <c r="U328" s="231"/>
      <c r="V328" s="231"/>
      <c r="W328" s="231"/>
      <c r="X328" s="231"/>
      <c r="Y328" s="231"/>
      <c r="Z328" s="231"/>
      <c r="AA328" s="231"/>
      <c r="AB328" s="231"/>
      <c r="AC328" s="231"/>
      <c r="AD328" s="231"/>
      <c r="AE328" s="231"/>
      <c r="AF328" s="231"/>
      <c r="AG328" s="231"/>
    </row>
    <row r="329" spans="1:33" s="203" customFormat="1">
      <c r="A329" s="434">
        <v>5</v>
      </c>
      <c r="B329" s="54" t="s">
        <v>246</v>
      </c>
      <c r="C329" s="100"/>
      <c r="D329" s="100"/>
      <c r="E329" s="100"/>
      <c r="F329" s="100"/>
      <c r="G329" s="100"/>
      <c r="H329" s="100"/>
      <c r="I329" s="207"/>
      <c r="J329" s="15"/>
      <c r="K329" s="231"/>
      <c r="L329" s="231"/>
      <c r="M329" s="231"/>
      <c r="N329" s="231"/>
      <c r="O329" s="231"/>
      <c r="P329" s="231"/>
      <c r="Q329" s="231"/>
      <c r="R329" s="231"/>
      <c r="S329" s="231"/>
      <c r="T329" s="231"/>
      <c r="U329" s="231"/>
      <c r="V329" s="231"/>
      <c r="W329" s="231"/>
      <c r="X329" s="231"/>
      <c r="Y329" s="231"/>
      <c r="Z329" s="231"/>
      <c r="AA329" s="231"/>
      <c r="AB329" s="231"/>
      <c r="AC329" s="231"/>
      <c r="AD329" s="231"/>
      <c r="AE329" s="231"/>
      <c r="AF329" s="231"/>
      <c r="AG329" s="231"/>
    </row>
    <row r="330" spans="1:33" s="203" customFormat="1">
      <c r="A330" s="433"/>
      <c r="B330" s="47"/>
      <c r="C330" s="864" t="s">
        <v>404</v>
      </c>
      <c r="D330" s="865"/>
      <c r="E330" s="865"/>
      <c r="F330" s="865"/>
      <c r="G330" s="865"/>
      <c r="H330" s="866"/>
      <c r="I330" s="207"/>
      <c r="J330" s="15"/>
      <c r="K330" s="231"/>
      <c r="L330" s="231"/>
      <c r="M330" s="231"/>
      <c r="N330" s="231"/>
      <c r="O330" s="231"/>
      <c r="P330" s="231"/>
      <c r="Q330" s="231"/>
      <c r="R330" s="231"/>
      <c r="S330" s="231"/>
      <c r="T330" s="231"/>
      <c r="U330" s="231"/>
      <c r="V330" s="231"/>
      <c r="W330" s="231"/>
      <c r="X330" s="231"/>
      <c r="Y330" s="231"/>
      <c r="Z330" s="231"/>
      <c r="AA330" s="231"/>
      <c r="AB330" s="231"/>
      <c r="AC330" s="231"/>
      <c r="AD330" s="231"/>
      <c r="AE330" s="231"/>
      <c r="AF330" s="231"/>
      <c r="AG330" s="231"/>
    </row>
    <row r="331" spans="1:33" s="203" customFormat="1" ht="39" thickBot="1">
      <c r="A331" s="110" t="s">
        <v>84</v>
      </c>
      <c r="B331" s="116"/>
      <c r="C331" s="35" t="s">
        <v>52</v>
      </c>
      <c r="D331" s="35" t="s">
        <v>53</v>
      </c>
      <c r="E331" s="37" t="s">
        <v>54</v>
      </c>
      <c r="F331" s="37" t="s">
        <v>55</v>
      </c>
      <c r="G331" s="37" t="s">
        <v>241</v>
      </c>
      <c r="H331" s="35" t="s">
        <v>121</v>
      </c>
      <c r="I331" s="207"/>
      <c r="J331" s="15"/>
      <c r="K331" s="231"/>
      <c r="L331" s="231"/>
      <c r="M331" s="231"/>
      <c r="N331" s="231"/>
      <c r="O331" s="231"/>
      <c r="P331" s="231"/>
      <c r="Q331" s="231"/>
      <c r="R331" s="231"/>
      <c r="S331" s="231"/>
      <c r="T331" s="231"/>
      <c r="U331" s="231"/>
      <c r="V331" s="231"/>
      <c r="W331" s="231"/>
      <c r="X331" s="231"/>
      <c r="Y331" s="231"/>
      <c r="Z331" s="231"/>
      <c r="AA331" s="231"/>
      <c r="AB331" s="231"/>
      <c r="AC331" s="231"/>
      <c r="AD331" s="231"/>
      <c r="AE331" s="231"/>
      <c r="AF331" s="231"/>
      <c r="AG331" s="231"/>
    </row>
    <row r="332" spans="1:33" s="203" customFormat="1" ht="13.5" thickBot="1">
      <c r="A332" s="433">
        <v>1</v>
      </c>
      <c r="B332" s="116" t="s">
        <v>242</v>
      </c>
      <c r="C332" s="193">
        <f t="shared" ref="C332:H332" si="1">SUM(C333:C336)</f>
        <v>7576</v>
      </c>
      <c r="D332" s="193">
        <f t="shared" si="1"/>
        <v>0</v>
      </c>
      <c r="E332" s="193">
        <v>0</v>
      </c>
      <c r="F332" s="193">
        <f t="shared" si="1"/>
        <v>0</v>
      </c>
      <c r="G332" s="193">
        <f>SUM(G333:G336)</f>
        <v>0</v>
      </c>
      <c r="H332" s="193">
        <f t="shared" si="1"/>
        <v>0</v>
      </c>
      <c r="I332" s="207"/>
      <c r="J332" s="15"/>
      <c r="K332" s="231"/>
      <c r="L332" s="231"/>
      <c r="M332" s="231"/>
      <c r="N332" s="231"/>
      <c r="O332" s="231"/>
      <c r="P332" s="231"/>
      <c r="Q332" s="231"/>
      <c r="R332" s="231"/>
      <c r="S332" s="231"/>
      <c r="T332" s="231"/>
      <c r="U332" s="231"/>
      <c r="V332" s="231"/>
      <c r="W332" s="231"/>
      <c r="X332" s="231"/>
      <c r="Y332" s="231"/>
      <c r="Z332" s="231"/>
      <c r="AA332" s="231"/>
      <c r="AB332" s="231"/>
      <c r="AC332" s="231"/>
      <c r="AD332" s="231"/>
      <c r="AE332" s="231"/>
      <c r="AF332" s="231"/>
      <c r="AG332" s="231"/>
    </row>
    <row r="333" spans="1:33" s="203" customFormat="1">
      <c r="A333" s="433">
        <v>2</v>
      </c>
      <c r="B333" s="47" t="s">
        <v>243</v>
      </c>
      <c r="C333" s="169">
        <f>1284+273</f>
        <v>1557</v>
      </c>
      <c r="D333" s="169"/>
      <c r="E333" s="169"/>
      <c r="F333" s="169"/>
      <c r="G333" s="169"/>
      <c r="H333" s="169"/>
      <c r="I333" s="207"/>
      <c r="J333" s="15"/>
      <c r="K333" s="231"/>
      <c r="L333" s="231"/>
      <c r="M333" s="231"/>
      <c r="N333" s="231"/>
      <c r="O333" s="231"/>
      <c r="P333" s="231"/>
      <c r="Q333" s="231"/>
      <c r="R333" s="231"/>
      <c r="S333" s="231"/>
      <c r="T333" s="231"/>
      <c r="U333" s="231"/>
      <c r="V333" s="231"/>
      <c r="W333" s="231"/>
      <c r="X333" s="231"/>
      <c r="Y333" s="231"/>
      <c r="Z333" s="231"/>
      <c r="AA333" s="231"/>
      <c r="AB333" s="231"/>
      <c r="AC333" s="231"/>
      <c r="AD333" s="231"/>
      <c r="AE333" s="231"/>
      <c r="AF333" s="231"/>
      <c r="AG333" s="231"/>
    </row>
    <row r="334" spans="1:33" s="203" customFormat="1">
      <c r="A334" s="433">
        <v>3</v>
      </c>
      <c r="B334" s="47" t="s">
        <v>244</v>
      </c>
      <c r="C334" s="99">
        <f>3082+1560</f>
        <v>4642</v>
      </c>
      <c r="D334" s="99"/>
      <c r="E334" s="99"/>
      <c r="F334" s="99"/>
      <c r="G334" s="99"/>
      <c r="H334" s="99"/>
      <c r="I334" s="207"/>
      <c r="J334" s="15"/>
      <c r="K334" s="231"/>
      <c r="L334" s="231"/>
      <c r="M334" s="231"/>
      <c r="N334" s="231"/>
      <c r="O334" s="231"/>
      <c r="P334" s="231"/>
      <c r="Q334" s="231"/>
      <c r="R334" s="231"/>
      <c r="S334" s="231"/>
      <c r="T334" s="231"/>
      <c r="U334" s="231"/>
      <c r="V334" s="231"/>
      <c r="W334" s="231"/>
      <c r="X334" s="231"/>
      <c r="Y334" s="231"/>
      <c r="Z334" s="231"/>
      <c r="AA334" s="231"/>
      <c r="AB334" s="231"/>
      <c r="AC334" s="231"/>
      <c r="AD334" s="231"/>
      <c r="AE334" s="231"/>
      <c r="AF334" s="231"/>
      <c r="AG334" s="231"/>
    </row>
    <row r="335" spans="1:33" s="203" customFormat="1">
      <c r="A335" s="433">
        <v>4</v>
      </c>
      <c r="B335" s="47" t="s">
        <v>245</v>
      </c>
      <c r="C335" s="99">
        <f>655+722</f>
        <v>1377</v>
      </c>
      <c r="D335" s="99"/>
      <c r="E335" s="99"/>
      <c r="F335" s="99"/>
      <c r="G335" s="99"/>
      <c r="H335" s="99"/>
      <c r="I335" s="207"/>
      <c r="J335" s="15"/>
      <c r="K335" s="231"/>
      <c r="L335" s="231"/>
      <c r="M335" s="231"/>
      <c r="N335" s="231"/>
      <c r="O335" s="231"/>
      <c r="P335" s="231"/>
      <c r="Q335" s="231"/>
      <c r="R335" s="231"/>
      <c r="S335" s="231"/>
      <c r="T335" s="231"/>
      <c r="U335" s="231"/>
      <c r="V335" s="231"/>
      <c r="W335" s="231"/>
      <c r="X335" s="231"/>
      <c r="Y335" s="231"/>
      <c r="Z335" s="231"/>
      <c r="AA335" s="231"/>
      <c r="AB335" s="231"/>
      <c r="AC335" s="231"/>
      <c r="AD335" s="231"/>
      <c r="AE335" s="231"/>
      <c r="AF335" s="231"/>
      <c r="AG335" s="231"/>
    </row>
    <row r="336" spans="1:33" s="203" customFormat="1">
      <c r="A336" s="434">
        <v>5</v>
      </c>
      <c r="B336" s="54" t="s">
        <v>246</v>
      </c>
      <c r="C336" s="100"/>
      <c r="D336" s="100"/>
      <c r="E336" s="100"/>
      <c r="F336" s="100"/>
      <c r="G336" s="100"/>
      <c r="H336" s="100"/>
      <c r="I336" s="207"/>
      <c r="J336" s="15"/>
      <c r="K336" s="231"/>
      <c r="L336" s="231"/>
      <c r="M336" s="231"/>
      <c r="N336" s="231"/>
      <c r="O336" s="231"/>
      <c r="P336" s="231"/>
      <c r="Q336" s="231"/>
      <c r="R336" s="231"/>
      <c r="S336" s="231"/>
      <c r="T336" s="231"/>
      <c r="U336" s="231"/>
      <c r="V336" s="231"/>
      <c r="W336" s="231"/>
      <c r="X336" s="231"/>
      <c r="Y336" s="231"/>
      <c r="Z336" s="231"/>
      <c r="AA336" s="231"/>
      <c r="AB336" s="231"/>
      <c r="AC336" s="231"/>
      <c r="AD336" s="231"/>
      <c r="AE336" s="231"/>
      <c r="AF336" s="231"/>
      <c r="AG336" s="231"/>
    </row>
    <row r="337" spans="1:33" s="203" customFormat="1">
      <c r="A337" s="23"/>
      <c r="B337" s="207"/>
      <c r="C337" s="207"/>
      <c r="D337" s="207"/>
      <c r="E337" s="207"/>
      <c r="F337" s="207"/>
      <c r="G337" s="207"/>
      <c r="H337" s="21"/>
      <c r="I337" s="21"/>
      <c r="J337" s="86"/>
      <c r="K337" s="231"/>
      <c r="L337" s="231"/>
      <c r="M337" s="231"/>
      <c r="N337" s="231"/>
      <c r="O337" s="231"/>
      <c r="P337" s="231"/>
      <c r="Q337" s="231"/>
      <c r="R337" s="231"/>
      <c r="S337" s="231"/>
      <c r="T337" s="231"/>
      <c r="U337" s="231"/>
      <c r="V337" s="231"/>
      <c r="W337" s="231"/>
      <c r="X337" s="231"/>
      <c r="Y337" s="231"/>
      <c r="Z337" s="231"/>
      <c r="AA337" s="231"/>
      <c r="AB337" s="231"/>
      <c r="AC337" s="231"/>
      <c r="AD337" s="231"/>
      <c r="AE337" s="231"/>
      <c r="AF337" s="231"/>
      <c r="AG337" s="231"/>
    </row>
    <row r="338" spans="1:33" s="203" customFormat="1" ht="12.75" customHeight="1">
      <c r="A338" s="23"/>
      <c r="B338" s="207"/>
      <c r="C338" s="207"/>
      <c r="D338" s="207"/>
      <c r="E338" s="207"/>
      <c r="F338" s="207"/>
      <c r="G338" s="207"/>
      <c r="H338" s="21"/>
      <c r="I338" s="21"/>
      <c r="J338" s="86"/>
      <c r="K338" s="231"/>
      <c r="L338" s="231"/>
      <c r="M338" s="231"/>
      <c r="N338" s="231"/>
      <c r="O338" s="231"/>
      <c r="P338" s="231"/>
      <c r="Q338" s="231"/>
      <c r="R338" s="231"/>
      <c r="S338" s="231"/>
      <c r="T338" s="231"/>
      <c r="U338" s="231"/>
      <c r="V338" s="231"/>
      <c r="W338" s="231"/>
      <c r="X338" s="231"/>
      <c r="Y338" s="231"/>
      <c r="Z338" s="231"/>
      <c r="AA338" s="231"/>
      <c r="AB338" s="231"/>
      <c r="AC338" s="231"/>
      <c r="AD338" s="231"/>
      <c r="AE338" s="231"/>
      <c r="AF338" s="231"/>
      <c r="AG338" s="231"/>
    </row>
    <row r="339" spans="1:33" s="203" customFormat="1">
      <c r="A339" s="23"/>
      <c r="B339" s="207"/>
      <c r="C339" s="207"/>
      <c r="D339" s="207"/>
      <c r="E339" s="207"/>
      <c r="F339" s="207"/>
      <c r="G339" s="207"/>
      <c r="H339" s="21"/>
      <c r="I339" s="21"/>
      <c r="J339" s="86"/>
      <c r="K339" s="231"/>
      <c r="L339" s="231"/>
      <c r="M339" s="231"/>
      <c r="N339" s="231"/>
      <c r="O339" s="231"/>
      <c r="P339" s="231"/>
      <c r="Q339" s="231"/>
      <c r="R339" s="231"/>
      <c r="S339" s="231"/>
      <c r="T339" s="231"/>
      <c r="U339" s="231"/>
      <c r="V339" s="231"/>
      <c r="W339" s="231"/>
      <c r="X339" s="231"/>
      <c r="Y339" s="231"/>
      <c r="Z339" s="231"/>
      <c r="AA339" s="231"/>
      <c r="AB339" s="231"/>
      <c r="AC339" s="231"/>
      <c r="AD339" s="231"/>
      <c r="AE339" s="231"/>
      <c r="AF339" s="231"/>
      <c r="AG339" s="231"/>
    </row>
    <row r="340" spans="1:33" s="203" customFormat="1">
      <c r="A340" s="23"/>
      <c r="B340" s="207"/>
      <c r="C340" s="207"/>
      <c r="D340" s="207"/>
      <c r="E340" s="207"/>
      <c r="F340" s="207"/>
      <c r="G340" s="207"/>
      <c r="H340" s="131" t="s">
        <v>27</v>
      </c>
      <c r="I340" s="21"/>
      <c r="J340" s="86"/>
      <c r="K340" s="231"/>
      <c r="L340" s="231"/>
      <c r="M340" s="231"/>
      <c r="N340" s="231"/>
      <c r="O340" s="231"/>
      <c r="P340" s="231"/>
      <c r="Q340" s="231"/>
      <c r="R340" s="231"/>
      <c r="S340" s="231"/>
      <c r="T340" s="231"/>
      <c r="U340" s="231"/>
      <c r="V340" s="231"/>
      <c r="W340" s="231"/>
      <c r="X340" s="231"/>
      <c r="Y340" s="231"/>
      <c r="Z340" s="231"/>
      <c r="AA340" s="231"/>
      <c r="AB340" s="231"/>
      <c r="AC340" s="231"/>
      <c r="AD340" s="231"/>
      <c r="AE340" s="231"/>
      <c r="AF340" s="231"/>
      <c r="AG340" s="231"/>
    </row>
    <row r="341" spans="1:33" s="203" customFormat="1">
      <c r="A341" s="197"/>
      <c r="B341" s="69"/>
      <c r="C341" s="69"/>
      <c r="D341" s="69"/>
      <c r="E341" s="856" t="s">
        <v>377</v>
      </c>
      <c r="F341" s="853" t="s">
        <v>402</v>
      </c>
      <c r="G341" s="207"/>
      <c r="H341" s="856" t="s">
        <v>403</v>
      </c>
      <c r="I341" s="21"/>
      <c r="J341" s="86"/>
      <c r="K341" s="231"/>
      <c r="L341" s="231"/>
      <c r="M341" s="231"/>
      <c r="N341" s="231"/>
      <c r="O341" s="231"/>
      <c r="P341" s="231"/>
      <c r="Q341" s="231"/>
      <c r="R341" s="231"/>
      <c r="S341" s="231"/>
      <c r="T341" s="231"/>
      <c r="U341" s="231"/>
      <c r="V341" s="231"/>
      <c r="W341" s="231"/>
      <c r="X341" s="231"/>
      <c r="Y341" s="231"/>
      <c r="Z341" s="231"/>
      <c r="AA341" s="231"/>
      <c r="AB341" s="231"/>
      <c r="AC341" s="231"/>
      <c r="AD341" s="231"/>
      <c r="AE341" s="231"/>
      <c r="AF341" s="231"/>
      <c r="AG341" s="231"/>
    </row>
    <row r="342" spans="1:33" s="203" customFormat="1">
      <c r="A342" s="144" t="s">
        <v>261</v>
      </c>
      <c r="B342" s="116"/>
      <c r="C342" s="116"/>
      <c r="D342" s="116"/>
      <c r="E342" s="859"/>
      <c r="F342" s="854"/>
      <c r="G342" s="207"/>
      <c r="H342" s="857"/>
      <c r="I342" s="21"/>
      <c r="J342" s="86"/>
      <c r="K342" s="231"/>
      <c r="L342" s="231"/>
      <c r="M342" s="231"/>
      <c r="N342" s="231"/>
      <c r="O342" s="231"/>
      <c r="P342" s="231"/>
      <c r="Q342" s="231"/>
      <c r="R342" s="231"/>
      <c r="S342" s="231"/>
      <c r="T342" s="231"/>
      <c r="U342" s="231"/>
      <c r="V342" s="231"/>
      <c r="W342" s="231"/>
      <c r="X342" s="231"/>
      <c r="Y342" s="231"/>
      <c r="Z342" s="231"/>
      <c r="AA342" s="231"/>
      <c r="AB342" s="231"/>
      <c r="AC342" s="231"/>
      <c r="AD342" s="231"/>
      <c r="AE342" s="231"/>
      <c r="AF342" s="231"/>
      <c r="AG342" s="231"/>
    </row>
    <row r="343" spans="1:33" s="203" customFormat="1">
      <c r="A343" s="119"/>
      <c r="B343" s="116"/>
      <c r="C343" s="116"/>
      <c r="D343" s="116"/>
      <c r="E343" s="859"/>
      <c r="F343" s="854"/>
      <c r="G343" s="207"/>
      <c r="H343" s="857"/>
      <c r="I343" s="21"/>
      <c r="J343" s="86"/>
      <c r="K343" s="231"/>
      <c r="L343" s="231"/>
      <c r="M343" s="231"/>
      <c r="N343" s="231"/>
      <c r="O343" s="231"/>
      <c r="P343" s="231"/>
      <c r="Q343" s="231"/>
      <c r="R343" s="231"/>
      <c r="S343" s="231"/>
      <c r="T343" s="231"/>
      <c r="U343" s="231"/>
      <c r="V343" s="231"/>
      <c r="W343" s="231"/>
      <c r="X343" s="231"/>
      <c r="Y343" s="231"/>
      <c r="Z343" s="231"/>
      <c r="AA343" s="231"/>
      <c r="AB343" s="231"/>
      <c r="AC343" s="231"/>
      <c r="AD343" s="231"/>
      <c r="AE343" s="231"/>
      <c r="AF343" s="231"/>
      <c r="AG343" s="231"/>
    </row>
    <row r="344" spans="1:33" s="203" customFormat="1">
      <c r="A344" s="198" t="s">
        <v>262</v>
      </c>
      <c r="B344" s="116"/>
      <c r="C344" s="116"/>
      <c r="D344" s="116"/>
      <c r="E344" s="859"/>
      <c r="F344" s="854"/>
      <c r="G344" s="207"/>
      <c r="H344" s="857"/>
      <c r="I344" s="21"/>
      <c r="J344" s="86"/>
      <c r="K344" s="231"/>
      <c r="L344" s="231"/>
      <c r="M344" s="231"/>
      <c r="N344" s="231"/>
      <c r="O344" s="231"/>
      <c r="P344" s="231"/>
      <c r="Q344" s="231"/>
      <c r="R344" s="231"/>
      <c r="S344" s="231"/>
      <c r="T344" s="231"/>
      <c r="U344" s="231"/>
      <c r="V344" s="231"/>
      <c r="W344" s="231"/>
      <c r="X344" s="231"/>
      <c r="Y344" s="231"/>
      <c r="Z344" s="231"/>
      <c r="AA344" s="231"/>
      <c r="AB344" s="231"/>
      <c r="AC344" s="231"/>
      <c r="AD344" s="231"/>
      <c r="AE344" s="231"/>
      <c r="AF344" s="231"/>
      <c r="AG344" s="231"/>
    </row>
    <row r="345" spans="1:33" s="203" customFormat="1">
      <c r="A345" s="198" t="s">
        <v>330</v>
      </c>
      <c r="B345" s="116"/>
      <c r="C345" s="116"/>
      <c r="D345" s="116"/>
      <c r="E345" s="860"/>
      <c r="F345" s="855"/>
      <c r="G345" s="207"/>
      <c r="H345" s="858"/>
      <c r="I345" s="21"/>
      <c r="J345" s="86"/>
      <c r="K345" s="231"/>
      <c r="L345" s="231"/>
      <c r="M345" s="231"/>
      <c r="N345" s="231"/>
      <c r="O345" s="231"/>
      <c r="P345" s="231"/>
      <c r="Q345" s="231"/>
      <c r="R345" s="231"/>
      <c r="S345" s="231"/>
      <c r="T345" s="231"/>
      <c r="U345" s="231"/>
      <c r="V345" s="231"/>
      <c r="W345" s="231"/>
      <c r="X345" s="231"/>
      <c r="Y345" s="231"/>
      <c r="Z345" s="231"/>
      <c r="AA345" s="231"/>
      <c r="AB345" s="231"/>
      <c r="AC345" s="231"/>
      <c r="AD345" s="231"/>
      <c r="AE345" s="231"/>
      <c r="AF345" s="231"/>
      <c r="AG345" s="231"/>
    </row>
    <row r="346" spans="1:33" s="203" customFormat="1">
      <c r="A346" s="119"/>
      <c r="B346" s="47"/>
      <c r="C346" s="116"/>
      <c r="D346" s="116"/>
      <c r="E346" s="178"/>
      <c r="F346" s="146"/>
      <c r="G346" s="23"/>
      <c r="H346" s="264"/>
      <c r="I346" s="21"/>
      <c r="J346" s="86"/>
      <c r="K346" s="231"/>
      <c r="L346" s="231"/>
      <c r="M346" s="231"/>
      <c r="N346" s="231"/>
      <c r="O346" s="231"/>
      <c r="P346" s="231"/>
      <c r="Q346" s="231"/>
      <c r="R346" s="231"/>
      <c r="S346" s="231"/>
      <c r="T346" s="231"/>
      <c r="U346" s="231"/>
      <c r="V346" s="231"/>
      <c r="W346" s="231"/>
      <c r="X346" s="231"/>
      <c r="Y346" s="231"/>
      <c r="Z346" s="231"/>
      <c r="AA346" s="231"/>
      <c r="AB346" s="231"/>
      <c r="AC346" s="231"/>
      <c r="AD346" s="231"/>
      <c r="AE346" s="231"/>
      <c r="AF346" s="231"/>
      <c r="AG346" s="231"/>
    </row>
    <row r="347" spans="1:33" s="203" customFormat="1">
      <c r="A347" s="433">
        <v>1</v>
      </c>
      <c r="B347" s="47" t="s">
        <v>263</v>
      </c>
      <c r="C347" s="116"/>
      <c r="D347" s="116"/>
      <c r="E347" s="354">
        <v>3818</v>
      </c>
      <c r="F347" s="265">
        <v>3741</v>
      </c>
      <c r="G347" s="43"/>
      <c r="H347" s="126">
        <v>4000</v>
      </c>
      <c r="I347" s="86"/>
      <c r="J347" s="86"/>
      <c r="K347" s="231"/>
      <c r="L347" s="231"/>
      <c r="M347" s="231"/>
      <c r="N347" s="231"/>
      <c r="O347" s="231"/>
      <c r="P347" s="231"/>
      <c r="Q347" s="231"/>
      <c r="R347" s="231"/>
      <c r="S347" s="231"/>
      <c r="T347" s="231"/>
      <c r="U347" s="231"/>
      <c r="V347" s="231"/>
      <c r="W347" s="231"/>
      <c r="X347" s="231"/>
      <c r="Y347" s="231"/>
      <c r="Z347" s="231"/>
      <c r="AA347" s="231"/>
      <c r="AB347" s="231"/>
      <c r="AC347" s="231"/>
      <c r="AD347" s="231"/>
      <c r="AE347" s="231"/>
      <c r="AF347" s="231"/>
      <c r="AG347" s="231"/>
    </row>
    <row r="348" spans="1:33" s="203" customFormat="1">
      <c r="A348" s="433"/>
      <c r="B348" s="47"/>
      <c r="C348" s="116"/>
      <c r="D348" s="116"/>
      <c r="E348" s="355"/>
      <c r="F348" s="188"/>
      <c r="G348" s="43"/>
      <c r="H348" s="188"/>
      <c r="I348" s="86"/>
      <c r="J348" s="86"/>
      <c r="K348" s="231"/>
      <c r="L348" s="231"/>
      <c r="M348" s="231"/>
      <c r="N348" s="231"/>
      <c r="O348" s="231"/>
      <c r="P348" s="231"/>
      <c r="Q348" s="231"/>
      <c r="R348" s="231"/>
      <c r="S348" s="231"/>
      <c r="T348" s="231"/>
      <c r="U348" s="231"/>
      <c r="V348" s="231"/>
      <c r="W348" s="231"/>
      <c r="X348" s="231"/>
      <c r="Y348" s="231"/>
      <c r="Z348" s="231"/>
      <c r="AA348" s="231"/>
      <c r="AB348" s="231"/>
      <c r="AC348" s="231"/>
      <c r="AD348" s="231"/>
      <c r="AE348" s="231"/>
      <c r="AF348" s="231"/>
      <c r="AG348" s="231"/>
    </row>
    <row r="349" spans="1:33" s="203" customFormat="1">
      <c r="A349" s="108" t="s">
        <v>378</v>
      </c>
      <c r="B349" s="47"/>
      <c r="C349" s="116"/>
      <c r="D349" s="116"/>
      <c r="E349" s="355"/>
      <c r="F349" s="188"/>
      <c r="G349" s="43"/>
      <c r="H349" s="188"/>
      <c r="I349" s="86"/>
      <c r="J349" s="86"/>
      <c r="K349" s="231"/>
      <c r="L349" s="231"/>
      <c r="M349" s="231"/>
      <c r="N349" s="231"/>
      <c r="O349" s="231"/>
      <c r="P349" s="231"/>
      <c r="Q349" s="231"/>
      <c r="R349" s="231"/>
      <c r="S349" s="231"/>
      <c r="T349" s="231"/>
      <c r="U349" s="231"/>
      <c r="V349" s="231"/>
      <c r="W349" s="231"/>
      <c r="X349" s="231"/>
      <c r="Y349" s="231"/>
      <c r="Z349" s="231"/>
      <c r="AA349" s="231"/>
      <c r="AB349" s="231"/>
      <c r="AC349" s="231"/>
      <c r="AD349" s="231"/>
      <c r="AE349" s="231"/>
      <c r="AF349" s="231"/>
      <c r="AG349" s="231"/>
    </row>
    <row r="350" spans="1:33" s="203" customFormat="1">
      <c r="A350" s="433"/>
      <c r="B350" s="47"/>
      <c r="C350" s="116"/>
      <c r="D350" s="116"/>
      <c r="E350" s="355"/>
      <c r="F350" s="188"/>
      <c r="G350" s="43"/>
      <c r="H350" s="188"/>
      <c r="I350" s="86"/>
      <c r="J350" s="86"/>
      <c r="K350" s="231"/>
      <c r="L350" s="231"/>
      <c r="M350" s="231"/>
      <c r="N350" s="231"/>
      <c r="O350" s="231"/>
      <c r="P350" s="231"/>
      <c r="Q350" s="231"/>
      <c r="R350" s="231"/>
      <c r="S350" s="231"/>
      <c r="T350" s="231"/>
      <c r="U350" s="231"/>
      <c r="V350" s="231"/>
      <c r="W350" s="231"/>
      <c r="X350" s="231"/>
      <c r="Y350" s="231"/>
      <c r="Z350" s="231"/>
      <c r="AA350" s="231"/>
      <c r="AB350" s="231"/>
      <c r="AC350" s="231"/>
      <c r="AD350" s="231"/>
      <c r="AE350" s="231"/>
      <c r="AF350" s="231"/>
      <c r="AG350" s="231"/>
    </row>
    <row r="351" spans="1:33" s="203" customFormat="1">
      <c r="A351" s="198" t="s">
        <v>379</v>
      </c>
      <c r="B351" s="47"/>
      <c r="C351" s="116"/>
      <c r="D351" s="116"/>
      <c r="E351" s="355"/>
      <c r="F351" s="188"/>
      <c r="G351" s="43"/>
      <c r="H351" s="188"/>
      <c r="I351" s="86"/>
      <c r="J351" s="86"/>
      <c r="K351" s="231"/>
      <c r="L351" s="231"/>
      <c r="M351" s="231"/>
      <c r="N351" s="231"/>
      <c r="O351" s="231"/>
      <c r="P351" s="231"/>
      <c r="Q351" s="231"/>
      <c r="R351" s="231"/>
      <c r="S351" s="231"/>
      <c r="T351" s="231"/>
      <c r="U351" s="231"/>
      <c r="V351" s="231"/>
      <c r="W351" s="231"/>
      <c r="X351" s="231"/>
      <c r="Y351" s="231"/>
      <c r="Z351" s="231"/>
      <c r="AA351" s="231"/>
      <c r="AB351" s="231"/>
      <c r="AC351" s="231"/>
      <c r="AD351" s="231"/>
      <c r="AE351" s="231"/>
      <c r="AF351" s="231"/>
      <c r="AG351" s="231"/>
    </row>
    <row r="352" spans="1:33" s="203" customFormat="1">
      <c r="A352" s="433"/>
      <c r="B352" s="47"/>
      <c r="C352" s="116"/>
      <c r="D352" s="116"/>
      <c r="E352" s="355"/>
      <c r="F352" s="188"/>
      <c r="G352" s="43"/>
      <c r="H352" s="188"/>
      <c r="I352" s="86"/>
      <c r="J352" s="86"/>
      <c r="K352" s="231"/>
      <c r="L352" s="231"/>
      <c r="M352" s="231"/>
      <c r="N352" s="231"/>
      <c r="O352" s="231"/>
      <c r="P352" s="231"/>
      <c r="Q352" s="231"/>
      <c r="R352" s="231"/>
      <c r="S352" s="231"/>
      <c r="T352" s="231"/>
      <c r="U352" s="231"/>
      <c r="V352" s="231"/>
      <c r="W352" s="231"/>
      <c r="X352" s="231"/>
      <c r="Y352" s="231"/>
      <c r="Z352" s="231"/>
      <c r="AA352" s="231"/>
      <c r="AB352" s="231"/>
      <c r="AC352" s="231"/>
      <c r="AD352" s="231"/>
      <c r="AE352" s="231"/>
      <c r="AF352" s="231"/>
      <c r="AG352" s="231"/>
    </row>
    <row r="353" spans="1:33" s="203" customFormat="1">
      <c r="A353" s="433">
        <v>2</v>
      </c>
      <c r="B353" s="47" t="s">
        <v>52</v>
      </c>
      <c r="C353" s="116"/>
      <c r="D353" s="116"/>
      <c r="E353" s="74">
        <v>0</v>
      </c>
      <c r="F353" s="265"/>
      <c r="G353" s="43"/>
      <c r="H353" s="126"/>
      <c r="I353" s="86"/>
      <c r="J353" s="86"/>
      <c r="K353" s="231"/>
      <c r="L353" s="231"/>
      <c r="M353" s="231"/>
      <c r="N353" s="231"/>
      <c r="O353" s="231"/>
      <c r="P353" s="231"/>
      <c r="Q353" s="231"/>
      <c r="R353" s="231"/>
      <c r="S353" s="231"/>
      <c r="T353" s="231"/>
      <c r="U353" s="231"/>
      <c r="V353" s="231"/>
      <c r="W353" s="231"/>
      <c r="X353" s="231"/>
      <c r="Y353" s="231"/>
      <c r="Z353" s="231"/>
      <c r="AA353" s="231"/>
      <c r="AB353" s="231"/>
      <c r="AC353" s="231"/>
      <c r="AD353" s="231"/>
      <c r="AE353" s="231"/>
      <c r="AF353" s="231"/>
      <c r="AG353" s="231"/>
    </row>
    <row r="354" spans="1:33" s="203" customFormat="1">
      <c r="A354" s="433">
        <v>3</v>
      </c>
      <c r="B354" s="47" t="s">
        <v>53</v>
      </c>
      <c r="C354" s="116"/>
      <c r="D354" s="116"/>
      <c r="E354" s="49">
        <v>0</v>
      </c>
      <c r="F354" s="265"/>
      <c r="G354" s="43"/>
      <c r="H354" s="126"/>
      <c r="I354" s="86"/>
      <c r="J354" s="86"/>
      <c r="K354" s="231"/>
      <c r="L354" s="231"/>
      <c r="M354" s="231"/>
      <c r="N354" s="231"/>
      <c r="O354" s="231"/>
      <c r="P354" s="231"/>
      <c r="Q354" s="231"/>
      <c r="R354" s="231"/>
      <c r="S354" s="231"/>
      <c r="T354" s="231"/>
      <c r="U354" s="231"/>
      <c r="V354" s="231"/>
      <c r="W354" s="231"/>
      <c r="X354" s="231"/>
      <c r="Y354" s="231"/>
      <c r="Z354" s="231"/>
      <c r="AA354" s="231"/>
      <c r="AB354" s="231"/>
      <c r="AC354" s="231"/>
      <c r="AD354" s="231"/>
      <c r="AE354" s="231"/>
      <c r="AF354" s="231"/>
      <c r="AG354" s="231"/>
    </row>
    <row r="355" spans="1:33" s="203" customFormat="1">
      <c r="A355" s="433">
        <v>4</v>
      </c>
      <c r="B355" s="47" t="s">
        <v>54</v>
      </c>
      <c r="C355" s="116"/>
      <c r="D355" s="116"/>
      <c r="E355" s="49">
        <v>0</v>
      </c>
      <c r="F355" s="265"/>
      <c r="G355" s="43"/>
      <c r="H355" s="126"/>
      <c r="I355" s="86"/>
      <c r="J355" s="86"/>
      <c r="K355" s="231"/>
      <c r="L355" s="231"/>
      <c r="M355" s="231"/>
      <c r="N355" s="231"/>
      <c r="O355" s="231"/>
      <c r="P355" s="231"/>
      <c r="Q355" s="231"/>
      <c r="R355" s="231"/>
      <c r="S355" s="231"/>
      <c r="T355" s="231"/>
      <c r="U355" s="231"/>
      <c r="V355" s="231"/>
      <c r="W355" s="231"/>
      <c r="X355" s="231"/>
      <c r="Y355" s="231"/>
      <c r="Z355" s="231"/>
      <c r="AA355" s="231"/>
      <c r="AB355" s="231"/>
      <c r="AC355" s="231"/>
      <c r="AD355" s="231"/>
      <c r="AE355" s="231"/>
      <c r="AF355" s="231"/>
      <c r="AG355" s="231"/>
    </row>
    <row r="356" spans="1:33" s="203" customFormat="1">
      <c r="A356" s="433">
        <v>5</v>
      </c>
      <c r="B356" s="47" t="s">
        <v>55</v>
      </c>
      <c r="C356" s="116"/>
      <c r="D356" s="116"/>
      <c r="E356" s="49">
        <v>0</v>
      </c>
      <c r="F356" s="265"/>
      <c r="G356" s="43"/>
      <c r="H356" s="126"/>
      <c r="I356" s="86"/>
      <c r="J356" s="86"/>
      <c r="K356" s="231"/>
      <c r="L356" s="231"/>
      <c r="M356" s="231"/>
      <c r="N356" s="231"/>
      <c r="O356" s="231"/>
      <c r="P356" s="231"/>
      <c r="Q356" s="231"/>
      <c r="R356" s="231"/>
      <c r="S356" s="231"/>
      <c r="T356" s="231"/>
      <c r="U356" s="231"/>
      <c r="V356" s="231"/>
      <c r="W356" s="231"/>
      <c r="X356" s="231"/>
      <c r="Y356" s="231"/>
      <c r="Z356" s="231"/>
      <c r="AA356" s="231"/>
      <c r="AB356" s="231"/>
      <c r="AC356" s="231"/>
      <c r="AD356" s="231"/>
      <c r="AE356" s="231"/>
      <c r="AF356" s="231"/>
      <c r="AG356" s="231"/>
    </row>
    <row r="357" spans="1:33" s="203" customFormat="1">
      <c r="A357" s="433">
        <v>6</v>
      </c>
      <c r="B357" s="47" t="s">
        <v>56</v>
      </c>
      <c r="C357" s="116"/>
      <c r="D357" s="116"/>
      <c r="E357" s="49">
        <v>0</v>
      </c>
      <c r="F357" s="265"/>
      <c r="G357" s="43"/>
      <c r="H357" s="126"/>
      <c r="I357" s="86"/>
      <c r="J357" s="86"/>
      <c r="K357" s="231"/>
      <c r="L357" s="231"/>
      <c r="M357" s="231"/>
      <c r="N357" s="231"/>
      <c r="O357" s="231"/>
      <c r="P357" s="231"/>
      <c r="Q357" s="231"/>
      <c r="R357" s="231"/>
      <c r="S357" s="231"/>
      <c r="T357" s="231"/>
      <c r="U357" s="231"/>
      <c r="V357" s="231"/>
      <c r="W357" s="231"/>
      <c r="X357" s="231"/>
      <c r="Y357" s="231"/>
      <c r="Z357" s="231"/>
      <c r="AA357" s="231"/>
      <c r="AB357" s="231"/>
      <c r="AC357" s="231"/>
      <c r="AD357" s="231"/>
      <c r="AE357" s="231"/>
      <c r="AF357" s="231"/>
      <c r="AG357" s="231"/>
    </row>
    <row r="358" spans="1:33" s="203" customFormat="1">
      <c r="A358" s="433">
        <v>7</v>
      </c>
      <c r="B358" s="47" t="s">
        <v>57</v>
      </c>
      <c r="C358" s="116"/>
      <c r="D358" s="116"/>
      <c r="E358" s="49">
        <v>0</v>
      </c>
      <c r="F358" s="265"/>
      <c r="G358" s="43"/>
      <c r="H358" s="126"/>
      <c r="I358" s="86"/>
      <c r="J358" s="86"/>
      <c r="K358" s="231"/>
      <c r="L358" s="231"/>
      <c r="M358" s="231"/>
      <c r="N358" s="231"/>
      <c r="O358" s="231"/>
      <c r="P358" s="231"/>
      <c r="Q358" s="231"/>
      <c r="R358" s="231"/>
      <c r="S358" s="231"/>
      <c r="T358" s="231"/>
      <c r="U358" s="231"/>
      <c r="V358" s="231"/>
      <c r="W358" s="231"/>
      <c r="X358" s="231"/>
      <c r="Y358" s="231"/>
      <c r="Z358" s="231"/>
      <c r="AA358" s="231"/>
      <c r="AB358" s="231"/>
      <c r="AC358" s="231"/>
      <c r="AD358" s="231"/>
      <c r="AE358" s="231"/>
      <c r="AF358" s="231"/>
      <c r="AG358" s="231"/>
    </row>
    <row r="359" spans="1:33" s="203" customFormat="1">
      <c r="A359" s="433">
        <v>8</v>
      </c>
      <c r="B359" s="47" t="s">
        <v>58</v>
      </c>
      <c r="C359" s="116"/>
      <c r="D359" s="116"/>
      <c r="E359" s="49">
        <v>0</v>
      </c>
      <c r="F359" s="265"/>
      <c r="G359" s="43"/>
      <c r="H359" s="126"/>
      <c r="I359" s="86"/>
      <c r="J359" s="86"/>
      <c r="K359" s="231"/>
      <c r="L359" s="231"/>
      <c r="M359" s="231"/>
      <c r="N359" s="231"/>
      <c r="O359" s="231"/>
      <c r="P359" s="231"/>
      <c r="Q359" s="231"/>
      <c r="R359" s="231"/>
      <c r="S359" s="231"/>
      <c r="T359" s="231"/>
      <c r="U359" s="231"/>
      <c r="V359" s="231"/>
      <c r="W359" s="231"/>
      <c r="X359" s="231"/>
      <c r="Y359" s="231"/>
      <c r="Z359" s="231"/>
      <c r="AA359" s="231"/>
      <c r="AB359" s="231"/>
      <c r="AC359" s="231"/>
      <c r="AD359" s="231"/>
      <c r="AE359" s="231"/>
      <c r="AF359" s="231"/>
      <c r="AG359" s="231"/>
    </row>
    <row r="360" spans="1:33" s="203" customFormat="1">
      <c r="A360" s="433">
        <v>9</v>
      </c>
      <c r="B360" s="47" t="s">
        <v>59</v>
      </c>
      <c r="C360" s="116"/>
      <c r="D360" s="116"/>
      <c r="E360" s="49">
        <v>0</v>
      </c>
      <c r="F360" s="265"/>
      <c r="G360" s="43"/>
      <c r="H360" s="126"/>
      <c r="I360" s="86"/>
      <c r="J360" s="86"/>
      <c r="K360" s="231"/>
      <c r="L360" s="231"/>
      <c r="M360" s="231"/>
      <c r="N360" s="231"/>
      <c r="O360" s="231"/>
      <c r="P360" s="231"/>
      <c r="Q360" s="231"/>
      <c r="R360" s="231"/>
      <c r="S360" s="231"/>
      <c r="T360" s="231"/>
      <c r="U360" s="231"/>
      <c r="V360" s="231"/>
      <c r="W360" s="231"/>
      <c r="X360" s="231"/>
      <c r="Y360" s="231"/>
      <c r="Z360" s="231"/>
      <c r="AA360" s="231"/>
      <c r="AB360" s="231"/>
      <c r="AC360" s="231"/>
      <c r="AD360" s="231"/>
      <c r="AE360" s="231"/>
      <c r="AF360" s="231"/>
      <c r="AG360" s="231"/>
    </row>
    <row r="361" spans="1:33" s="203" customFormat="1">
      <c r="A361" s="433">
        <v>10</v>
      </c>
      <c r="B361" s="47" t="s">
        <v>60</v>
      </c>
      <c r="C361" s="116"/>
      <c r="D361" s="116"/>
      <c r="E361" s="49">
        <v>0</v>
      </c>
      <c r="F361" s="265"/>
      <c r="G361" s="43"/>
      <c r="H361" s="126"/>
      <c r="I361" s="86"/>
      <c r="J361" s="86"/>
      <c r="K361" s="231"/>
      <c r="L361" s="231"/>
      <c r="M361" s="231"/>
      <c r="N361" s="231"/>
      <c r="O361" s="231"/>
      <c r="P361" s="231"/>
      <c r="Q361" s="231"/>
      <c r="R361" s="231"/>
      <c r="S361" s="231"/>
      <c r="T361" s="231"/>
      <c r="U361" s="231"/>
      <c r="V361" s="231"/>
      <c r="W361" s="231"/>
      <c r="X361" s="231"/>
      <c r="Y361" s="231"/>
      <c r="Z361" s="231"/>
      <c r="AA361" s="231"/>
      <c r="AB361" s="231"/>
      <c r="AC361" s="231"/>
      <c r="AD361" s="231"/>
      <c r="AE361" s="231"/>
      <c r="AF361" s="231"/>
      <c r="AG361" s="231"/>
    </row>
    <row r="362" spans="1:33" s="203" customFormat="1">
      <c r="A362" s="433">
        <v>11</v>
      </c>
      <c r="B362" s="47" t="s">
        <v>61</v>
      </c>
      <c r="C362" s="116"/>
      <c r="D362" s="116"/>
      <c r="E362" s="49">
        <v>0</v>
      </c>
      <c r="F362" s="265"/>
      <c r="G362" s="43"/>
      <c r="H362" s="126"/>
      <c r="I362" s="86"/>
      <c r="J362" s="86"/>
      <c r="K362" s="231"/>
      <c r="L362" s="231"/>
      <c r="M362" s="231"/>
      <c r="N362" s="231"/>
      <c r="O362" s="231"/>
      <c r="P362" s="231"/>
      <c r="Q362" s="231"/>
      <c r="R362" s="231"/>
      <c r="S362" s="231"/>
      <c r="T362" s="231"/>
      <c r="U362" s="231"/>
      <c r="V362" s="231"/>
      <c r="W362" s="231"/>
      <c r="X362" s="231"/>
      <c r="Y362" s="231"/>
      <c r="Z362" s="231"/>
      <c r="AA362" s="231"/>
      <c r="AB362" s="231"/>
      <c r="AC362" s="231"/>
      <c r="AD362" s="231"/>
      <c r="AE362" s="231"/>
      <c r="AF362" s="231"/>
      <c r="AG362" s="231"/>
    </row>
    <row r="363" spans="1:33" s="203" customFormat="1">
      <c r="A363" s="434">
        <v>12</v>
      </c>
      <c r="B363" s="54" t="s">
        <v>380</v>
      </c>
      <c r="C363" s="94"/>
      <c r="D363" s="94"/>
      <c r="E363" s="135">
        <v>0</v>
      </c>
      <c r="F363" s="61">
        <f>SUM(F353:F362)</f>
        <v>0</v>
      </c>
      <c r="G363" s="43"/>
      <c r="H363" s="61">
        <f>SUM(H353:H362)</f>
        <v>0</v>
      </c>
      <c r="I363" s="86"/>
      <c r="J363" s="86"/>
      <c r="K363" s="231"/>
      <c r="L363" s="231"/>
      <c r="M363" s="231"/>
      <c r="N363" s="231"/>
      <c r="O363" s="231"/>
      <c r="P363" s="231"/>
      <c r="Q363" s="231"/>
      <c r="R363" s="231"/>
      <c r="S363" s="231"/>
      <c r="T363" s="231"/>
      <c r="U363" s="231"/>
      <c r="V363" s="231"/>
      <c r="W363" s="231"/>
      <c r="X363" s="231"/>
      <c r="Y363" s="231"/>
      <c r="Z363" s="231"/>
      <c r="AA363" s="231"/>
      <c r="AB363" s="231"/>
      <c r="AC363" s="231"/>
      <c r="AD363" s="231"/>
      <c r="AE363" s="231"/>
      <c r="AF363" s="231"/>
      <c r="AG363" s="231"/>
    </row>
    <row r="364" spans="1:33" s="203" customFormat="1">
      <c r="A364" s="199"/>
      <c r="B364" s="15"/>
      <c r="C364" s="15"/>
      <c r="D364" s="15"/>
      <c r="E364" s="15"/>
      <c r="F364" s="15"/>
      <c r="G364" s="15"/>
      <c r="H364" s="15"/>
      <c r="I364" s="86"/>
      <c r="J364" s="86"/>
      <c r="K364" s="231"/>
      <c r="L364" s="231"/>
      <c r="M364" s="231"/>
      <c r="N364" s="231"/>
      <c r="O364" s="231"/>
      <c r="P364" s="231"/>
      <c r="Q364" s="231"/>
      <c r="R364" s="231"/>
      <c r="S364" s="231"/>
      <c r="T364" s="231"/>
      <c r="U364" s="231"/>
      <c r="V364" s="231"/>
      <c r="W364" s="231"/>
      <c r="X364" s="231"/>
      <c r="Y364" s="231"/>
      <c r="Z364" s="231"/>
      <c r="AA364" s="231"/>
      <c r="AB364" s="231"/>
      <c r="AC364" s="231"/>
      <c r="AD364" s="231"/>
      <c r="AE364" s="231"/>
      <c r="AF364" s="231"/>
      <c r="AG364" s="231"/>
    </row>
    <row r="365" spans="1:33" s="203" customFormat="1">
      <c r="A365" s="199"/>
      <c r="B365" s="15"/>
      <c r="C365" s="15"/>
      <c r="D365" s="15"/>
      <c r="E365" s="15"/>
      <c r="F365" s="15"/>
      <c r="G365" s="15"/>
      <c r="H365" s="86"/>
      <c r="I365" s="86"/>
      <c r="J365" s="86"/>
      <c r="K365" s="231"/>
      <c r="L365" s="231"/>
      <c r="M365" s="231"/>
      <c r="N365" s="231"/>
      <c r="O365" s="231"/>
      <c r="P365" s="231"/>
      <c r="Q365" s="231"/>
      <c r="R365" s="231"/>
      <c r="S365" s="231"/>
      <c r="T365" s="231"/>
      <c r="U365" s="231"/>
      <c r="V365" s="231"/>
      <c r="W365" s="231"/>
      <c r="X365" s="231"/>
      <c r="Y365" s="231"/>
      <c r="Z365" s="231"/>
      <c r="AA365" s="231"/>
      <c r="AB365" s="231"/>
      <c r="AC365" s="231"/>
      <c r="AD365" s="231"/>
      <c r="AE365" s="231"/>
      <c r="AF365" s="231"/>
      <c r="AG365" s="231"/>
    </row>
    <row r="366" spans="1:33" s="203" customFormat="1">
      <c r="A366" s="199"/>
      <c r="B366" s="15"/>
      <c r="C366" s="15"/>
      <c r="D366" s="15"/>
      <c r="E366" s="15"/>
      <c r="F366" s="15"/>
      <c r="G366" s="15"/>
      <c r="H366" s="86"/>
      <c r="I366" s="86"/>
      <c r="J366" s="86"/>
      <c r="K366" s="231"/>
      <c r="L366" s="231"/>
      <c r="M366" s="231"/>
      <c r="N366" s="231"/>
      <c r="O366" s="231"/>
      <c r="P366" s="231"/>
      <c r="Q366" s="231"/>
      <c r="R366" s="231"/>
      <c r="S366" s="231"/>
      <c r="T366" s="231"/>
      <c r="U366" s="231"/>
      <c r="V366" s="231"/>
      <c r="W366" s="231"/>
      <c r="X366" s="231"/>
      <c r="Y366" s="231"/>
      <c r="Z366" s="231"/>
      <c r="AA366" s="231"/>
      <c r="AB366" s="231"/>
      <c r="AC366" s="231"/>
      <c r="AD366" s="231"/>
      <c r="AE366" s="231"/>
      <c r="AF366" s="231"/>
      <c r="AG366" s="231"/>
    </row>
    <row r="367" spans="1:33" s="8" customFormat="1"/>
    <row r="368" spans="1:33" s="8" customFormat="1"/>
    <row r="369" s="8" customFormat="1"/>
    <row r="370" s="8" customFormat="1"/>
    <row r="371" s="8" customFormat="1"/>
    <row r="372" s="8" customFormat="1"/>
    <row r="373" s="8" customFormat="1"/>
    <row r="374" s="8" customFormat="1"/>
    <row r="375" s="8" customFormat="1"/>
    <row r="376" s="8" customFormat="1"/>
    <row r="377" s="8" customFormat="1"/>
    <row r="378" s="8" customFormat="1"/>
    <row r="379" s="8" customFormat="1"/>
    <row r="380" s="8" customFormat="1"/>
    <row r="381" s="8" customFormat="1"/>
    <row r="382" s="8" customFormat="1"/>
    <row r="383" s="8" customFormat="1"/>
    <row r="384" s="8" customFormat="1"/>
    <row r="385" spans="1:9" s="8" customFormat="1"/>
    <row r="386" spans="1:9" s="8" customFormat="1"/>
    <row r="387" spans="1:9" s="8" customFormat="1"/>
    <row r="388" spans="1:9" s="8" customFormat="1"/>
    <row r="389" spans="1:9" s="8" customFormat="1"/>
    <row r="390" spans="1:9" s="8" customFormat="1"/>
    <row r="391" spans="1:9" s="8" customFormat="1"/>
    <row r="392" spans="1:9" s="8" customFormat="1"/>
    <row r="393" spans="1:9" s="8" customFormat="1"/>
    <row r="394" spans="1:9" s="8" customFormat="1"/>
    <row r="395" spans="1:9" s="8" customFormat="1"/>
    <row r="396" spans="1:9" s="8" customFormat="1"/>
    <row r="397" spans="1:9" s="8" customFormat="1"/>
    <row r="398" spans="1:9" s="8" customFormat="1"/>
    <row r="399" spans="1:9" s="8" customFormat="1"/>
    <row r="400" spans="1:9">
      <c r="A400" s="8"/>
      <c r="B400" s="8"/>
      <c r="C400" s="8"/>
      <c r="D400" s="8"/>
      <c r="E400" s="8"/>
      <c r="F400" s="8"/>
      <c r="G400" s="8"/>
      <c r="H400" s="8"/>
      <c r="I400" s="8"/>
    </row>
    <row r="401" spans="1:9">
      <c r="A401" s="8"/>
      <c r="B401" s="8"/>
      <c r="C401" s="8"/>
      <c r="D401" s="8"/>
      <c r="E401" s="8"/>
      <c r="F401" s="8"/>
      <c r="G401" s="8"/>
      <c r="H401" s="8"/>
      <c r="I401" s="8"/>
    </row>
    <row r="402" spans="1:9">
      <c r="A402" s="8"/>
      <c r="B402" s="8"/>
      <c r="C402" s="8"/>
      <c r="D402" s="8"/>
      <c r="E402" s="8"/>
      <c r="F402" s="8"/>
      <c r="G402" s="8"/>
      <c r="H402" s="8"/>
      <c r="I402" s="8"/>
    </row>
    <row r="403" spans="1:9">
      <c r="A403" s="8"/>
      <c r="B403" s="8"/>
      <c r="C403" s="8"/>
      <c r="D403" s="8"/>
      <c r="E403" s="8"/>
      <c r="F403" s="8"/>
      <c r="G403" s="8"/>
      <c r="H403" s="8"/>
      <c r="I403" s="8"/>
    </row>
    <row r="404" spans="1:9">
      <c r="A404" s="8"/>
      <c r="B404" s="8"/>
      <c r="C404" s="8"/>
      <c r="D404" s="8"/>
      <c r="E404" s="8"/>
      <c r="F404" s="8"/>
      <c r="G404" s="8"/>
      <c r="H404" s="8"/>
      <c r="I404" s="8"/>
    </row>
    <row r="405" spans="1:9">
      <c r="A405" s="8"/>
      <c r="B405" s="8"/>
      <c r="C405" s="8"/>
      <c r="D405" s="8"/>
      <c r="E405" s="8"/>
      <c r="F405" s="8"/>
      <c r="G405" s="8"/>
      <c r="H405" s="8"/>
      <c r="I405" s="8"/>
    </row>
    <row r="406" spans="1:9">
      <c r="A406" s="8"/>
      <c r="B406" s="8"/>
      <c r="C406" s="8"/>
      <c r="D406" s="8"/>
      <c r="E406" s="8"/>
      <c r="F406" s="8"/>
      <c r="G406" s="8"/>
      <c r="H406" s="8"/>
      <c r="I406" s="8"/>
    </row>
    <row r="407" spans="1:9">
      <c r="A407" s="8"/>
      <c r="B407" s="8"/>
      <c r="C407" s="8"/>
      <c r="D407" s="8"/>
      <c r="E407" s="8"/>
      <c r="F407" s="8"/>
      <c r="G407" s="8"/>
      <c r="H407" s="8"/>
      <c r="I407" s="8"/>
    </row>
    <row r="408" spans="1:9">
      <c r="A408" s="8"/>
      <c r="B408" s="8"/>
      <c r="C408" s="8"/>
      <c r="D408" s="8"/>
      <c r="E408" s="8"/>
      <c r="F408" s="8"/>
      <c r="G408" s="8"/>
      <c r="H408" s="8"/>
      <c r="I408" s="8"/>
    </row>
    <row r="409" spans="1:9">
      <c r="A409" s="8"/>
      <c r="B409" s="8"/>
      <c r="C409" s="8"/>
      <c r="D409" s="8"/>
      <c r="E409" s="8"/>
      <c r="F409" s="8"/>
      <c r="G409" s="8"/>
      <c r="H409" s="8"/>
      <c r="I409" s="8"/>
    </row>
    <row r="410" spans="1:9">
      <c r="A410" s="8"/>
      <c r="B410" s="8"/>
      <c r="C410" s="8"/>
      <c r="D410" s="8"/>
      <c r="E410" s="8"/>
      <c r="F410" s="8"/>
      <c r="G410" s="8"/>
      <c r="H410" s="8"/>
      <c r="I410" s="8"/>
    </row>
    <row r="411" spans="1:9">
      <c r="A411" s="8"/>
      <c r="B411" s="8"/>
      <c r="C411" s="8"/>
      <c r="D411" s="8"/>
      <c r="E411" s="8"/>
      <c r="F411" s="8"/>
      <c r="G411" s="8"/>
      <c r="H411" s="8"/>
      <c r="I411" s="8"/>
    </row>
    <row r="412" spans="1:9">
      <c r="A412" s="8"/>
      <c r="B412" s="8"/>
      <c r="C412" s="8"/>
      <c r="D412" s="8"/>
      <c r="E412" s="8"/>
      <c r="F412" s="8"/>
      <c r="G412" s="8"/>
      <c r="H412" s="8"/>
      <c r="I412" s="8"/>
    </row>
    <row r="413" spans="1:9">
      <c r="A413" s="8"/>
      <c r="B413" s="8"/>
      <c r="C413" s="8"/>
      <c r="D413" s="8"/>
      <c r="E413" s="8"/>
      <c r="F413" s="8"/>
      <c r="G413" s="8"/>
      <c r="H413" s="8"/>
      <c r="I413" s="8"/>
    </row>
    <row r="414" spans="1:9">
      <c r="A414" s="8"/>
      <c r="B414" s="8"/>
      <c r="C414" s="8"/>
      <c r="D414" s="8"/>
      <c r="E414" s="8"/>
      <c r="F414" s="8"/>
      <c r="G414" s="8"/>
      <c r="H414" s="8"/>
      <c r="I414" s="8"/>
    </row>
  </sheetData>
  <mergeCells count="59">
    <mergeCell ref="F341:F345"/>
    <mergeCell ref="H341:H345"/>
    <mergeCell ref="E261:E265"/>
    <mergeCell ref="F261:F265"/>
    <mergeCell ref="H261:H265"/>
    <mergeCell ref="E280:E284"/>
    <mergeCell ref="F280:F284"/>
    <mergeCell ref="H280:H284"/>
    <mergeCell ref="E305:E309"/>
    <mergeCell ref="F305:F309"/>
    <mergeCell ref="H305:H309"/>
    <mergeCell ref="C323:H323"/>
    <mergeCell ref="C330:H330"/>
    <mergeCell ref="E341:E345"/>
    <mergeCell ref="E221:E225"/>
    <mergeCell ref="F221:F225"/>
    <mergeCell ref="H221:H225"/>
    <mergeCell ref="E234:E238"/>
    <mergeCell ref="F234:F238"/>
    <mergeCell ref="H234:H238"/>
    <mergeCell ref="G66:G70"/>
    <mergeCell ref="H66:H70"/>
    <mergeCell ref="F91:F95"/>
    <mergeCell ref="H91:H95"/>
    <mergeCell ref="E193:E197"/>
    <mergeCell ref="F193:F197"/>
    <mergeCell ref="H193:H197"/>
    <mergeCell ref="E153:E157"/>
    <mergeCell ref="F153:F157"/>
    <mergeCell ref="H153:H157"/>
    <mergeCell ref="E91:E95"/>
    <mergeCell ref="I66:I70"/>
    <mergeCell ref="A23:D24"/>
    <mergeCell ref="E23:E24"/>
    <mergeCell ref="F23:F24"/>
    <mergeCell ref="H23:H24"/>
    <mergeCell ref="A25:A27"/>
    <mergeCell ref="B25:D27"/>
    <mergeCell ref="E25:E27"/>
    <mergeCell ref="F25:F27"/>
    <mergeCell ref="H25:H27"/>
    <mergeCell ref="A40:D41"/>
    <mergeCell ref="E40:E41"/>
    <mergeCell ref="F40:F41"/>
    <mergeCell ref="H40:H41"/>
    <mergeCell ref="E66:E70"/>
    <mergeCell ref="F66:F70"/>
    <mergeCell ref="C19:F19"/>
    <mergeCell ref="B3:B4"/>
    <mergeCell ref="C3:D4"/>
    <mergeCell ref="A5:B5"/>
    <mergeCell ref="D6:H6"/>
    <mergeCell ref="A9:I9"/>
    <mergeCell ref="D10:F10"/>
    <mergeCell ref="C14:F14"/>
    <mergeCell ref="C15:F15"/>
    <mergeCell ref="C16:F16"/>
    <mergeCell ref="C17:F17"/>
    <mergeCell ref="C18:F18"/>
  </mergeCells>
  <phoneticPr fontId="10" type="noConversion"/>
  <conditionalFormatting sqref="F71:F76 F286:F301 F311:F318 F80:F88 F96:F97 F103:F104 F106 F110:F114 F118:F124 F128:F134 F138:F142 F146:F149 F159:F162 F166:F168 F171:F172 F175:F177 F183:F190 F199:F200 F204:F206 F210:F213 F217:F218 F226:F230 F240:F241 F245:F246 F250:F253 F256 F267:F276 H250">
    <cfRule type="expression" dxfId="26" priority="283" stopIfTrue="1">
      <formula>ISBLANK(F71)</formula>
    </cfRule>
    <cfRule type="expression" dxfId="25" priority="284" stopIfTrue="1">
      <formula>IF(AND(OR(F71-E71&gt;500,F71-E71&lt;-500),OR(#REF!&gt;0.1,#REF!&lt;-0.1)),TRUE,FALSE)</formula>
    </cfRule>
  </conditionalFormatting>
  <dataValidations count="1">
    <dataValidation type="list" errorStyle="information" allowBlank="1" showInputMessage="1" showErrorMessage="1" errorTitle="POBE 2006" error="Please select from the drop-down menu..." prompt="Please select your Authority from the drop-down menu..." sqref="C3:D4">
      <formula1>#REF!</formula1>
    </dataValidation>
  </dataValidations>
  <hyperlinks>
    <hyperlink ref="F7" r:id="rId1" display="lgfstats@scotland.gsi.gov.uk"/>
    <hyperlink ref="D6" r:id="rId2"/>
    <hyperlink ref="D10" r:id="rId3" display="^lgfstats@gov.scot"/>
    <hyperlink ref="B14" location="'POBE 2017'!A28" display="PART 1 - Expenditure"/>
    <hyperlink ref="C19:F19" location="'POBE 2017'!A323" display="Sheet 10. - PUBLIC PRIVATE PARTNERSHIPS/PRIVATE FINANCE INITIATIVES"/>
    <hyperlink ref="B15" location="'POBE 2017'!A40" display="PART 2 - Income and Balances"/>
    <hyperlink ref="B16" location="'POBE 2017'!A66" display="Sheet 1. EDUCATION"/>
    <hyperlink ref="B17" location="'POBE 2017'!A91" display="Sheet 2. SOCIAL WORK"/>
    <hyperlink ref="B18" location="'POBE 2017'!A153" display="Sheet 3. ROADS AND TRANSPORT"/>
    <hyperlink ref="B19" location="'POBE 2017'!A193" display="Sheet 4. ENVIRONMENTAL SERVICES"/>
    <hyperlink ref="C14:F14" location="'POBE 2017'!A221" display="Sheet 5. PLANNING AND DEVELOPMENT SERVICES"/>
    <hyperlink ref="C15:F15" location="'POBE 2017'!A234" display="Sheet 6. CULTURAL AND RELATED SERVICES"/>
    <hyperlink ref="C16:F16" location="'POBE 2017'!A261" display="Sheet 7. HOUSING"/>
    <hyperlink ref="C17:F17" location="'POBE 2017'!A280" display="Sheet 8. CENTRAL SERVICES"/>
    <hyperlink ref="C18:F18" location="'POBE 2017'!A305" display="Sheet 9. OTHER EXPENDITURE"/>
  </hyperlinks>
  <pageMargins left="0.75" right="0.75" top="1" bottom="1" header="0.5" footer="0.5"/>
  <pageSetup paperSize="9" orientation="portrait" r:id="rId4"/>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AK414"/>
  <sheetViews>
    <sheetView topLeftCell="A187" zoomScale="80" zoomScaleNormal="80" workbookViewId="0">
      <selection activeCell="G270" sqref="G270"/>
    </sheetView>
  </sheetViews>
  <sheetFormatPr defaultColWidth="9.140625" defaultRowHeight="12.75"/>
  <cols>
    <col min="1" max="1" width="10.5703125" style="1" customWidth="1"/>
    <col min="2" max="2" width="43" style="1" customWidth="1"/>
    <col min="3" max="3" width="24.5703125" style="1" customWidth="1"/>
    <col min="4" max="4" width="14.7109375" style="1" customWidth="1"/>
    <col min="5" max="5" width="21.5703125" style="1" customWidth="1"/>
    <col min="6" max="6" width="19.140625" style="1" customWidth="1"/>
    <col min="7" max="7" width="17.42578125" style="1" customWidth="1"/>
    <col min="8" max="8" width="19.28515625" style="1" customWidth="1"/>
    <col min="9" max="9" width="17.85546875" style="1" customWidth="1"/>
    <col min="10" max="19" width="9.140625" style="8" customWidth="1"/>
    <col min="20" max="30" width="9.140625" style="8"/>
    <col min="31" max="31" width="0" style="8" hidden="1" customWidth="1"/>
    <col min="32" max="37" width="9.140625" style="8"/>
    <col min="38" max="16384" width="9.140625" style="1"/>
  </cols>
  <sheetData>
    <row r="1" spans="1:37" s="203" customFormat="1" ht="51" customHeight="1">
      <c r="A1" s="3" t="s">
        <v>410</v>
      </c>
      <c r="B1" s="4"/>
      <c r="C1" s="224"/>
      <c r="D1" s="224"/>
      <c r="E1" s="224"/>
      <c r="F1" s="224"/>
      <c r="G1" s="225"/>
      <c r="H1" s="226"/>
      <c r="I1" s="227"/>
      <c r="J1" s="231"/>
      <c r="K1" s="231"/>
      <c r="L1" s="231"/>
      <c r="M1" s="231"/>
      <c r="N1" s="231"/>
      <c r="O1" s="231"/>
      <c r="P1" s="231"/>
      <c r="Q1" s="231"/>
      <c r="R1" s="231"/>
      <c r="S1" s="231"/>
      <c r="T1" s="231"/>
      <c r="U1" s="231"/>
      <c r="V1" s="231"/>
      <c r="W1" s="231"/>
      <c r="X1" s="231"/>
      <c r="Y1" s="231"/>
      <c r="Z1" s="231"/>
      <c r="AA1" s="231"/>
      <c r="AB1" s="231"/>
      <c r="AC1" s="231"/>
      <c r="AD1" s="231"/>
      <c r="AE1" s="231"/>
      <c r="AF1" s="231"/>
      <c r="AG1" s="231"/>
      <c r="AH1" s="231"/>
      <c r="AI1" s="231"/>
      <c r="AJ1" s="231"/>
      <c r="AK1" s="231"/>
    </row>
    <row r="2" spans="1:37" s="203" customFormat="1" ht="35.25">
      <c r="A2" s="9"/>
      <c r="B2" s="10"/>
      <c r="C2" s="232"/>
      <c r="D2" s="232"/>
      <c r="E2" s="232"/>
      <c r="F2" s="11"/>
      <c r="G2" s="11"/>
      <c r="H2" s="11"/>
      <c r="I2" s="11"/>
      <c r="J2" s="231"/>
      <c r="K2" s="231"/>
      <c r="L2" s="231"/>
      <c r="M2" s="231"/>
      <c r="N2" s="231"/>
      <c r="O2" s="231"/>
      <c r="P2" s="231"/>
      <c r="Q2" s="231"/>
      <c r="R2" s="231"/>
      <c r="S2" s="231"/>
      <c r="T2" s="231"/>
      <c r="U2" s="231"/>
      <c r="V2" s="231"/>
      <c r="W2" s="231"/>
      <c r="X2" s="231"/>
      <c r="Y2" s="231"/>
      <c r="Z2" s="231"/>
      <c r="AA2" s="231"/>
      <c r="AB2" s="231"/>
      <c r="AC2" s="231"/>
      <c r="AD2" s="231"/>
      <c r="AE2" s="231"/>
      <c r="AF2" s="231"/>
      <c r="AG2" s="231"/>
      <c r="AH2" s="231"/>
      <c r="AI2" s="231"/>
      <c r="AJ2" s="231"/>
      <c r="AK2" s="231"/>
    </row>
    <row r="3" spans="1:37" s="203" customFormat="1" ht="15">
      <c r="A3" s="12"/>
      <c r="B3" s="882" t="s">
        <v>0</v>
      </c>
      <c r="C3" s="884" t="s">
        <v>36</v>
      </c>
      <c r="D3" s="885"/>
      <c r="E3" s="13"/>
      <c r="F3" s="14"/>
      <c r="G3" s="14"/>
      <c r="H3" s="15"/>
      <c r="I3" s="14"/>
      <c r="J3" s="231"/>
      <c r="K3" s="231"/>
      <c r="L3" s="231"/>
      <c r="M3" s="231"/>
      <c r="N3" s="231"/>
      <c r="O3" s="231"/>
      <c r="P3" s="231"/>
      <c r="Q3" s="231"/>
      <c r="R3" s="231"/>
      <c r="S3" s="231"/>
      <c r="T3" s="231"/>
      <c r="U3" s="231"/>
      <c r="V3" s="231"/>
      <c r="W3" s="231"/>
      <c r="X3" s="231"/>
      <c r="Y3" s="231"/>
      <c r="Z3" s="231"/>
      <c r="AA3" s="231"/>
      <c r="AB3" s="231"/>
      <c r="AC3" s="231"/>
      <c r="AD3" s="231"/>
      <c r="AE3" s="231"/>
      <c r="AF3" s="231"/>
      <c r="AG3" s="231"/>
      <c r="AH3" s="231"/>
      <c r="AI3" s="231"/>
      <c r="AJ3" s="231"/>
      <c r="AK3" s="231"/>
    </row>
    <row r="4" spans="1:37" s="203" customFormat="1" ht="15">
      <c r="A4" s="17"/>
      <c r="B4" s="883"/>
      <c r="C4" s="886"/>
      <c r="D4" s="887"/>
      <c r="E4" s="13"/>
      <c r="F4" s="14"/>
      <c r="G4" s="14"/>
      <c r="H4" s="15"/>
      <c r="I4" s="14"/>
      <c r="J4" s="231"/>
      <c r="K4" s="231"/>
      <c r="L4" s="231"/>
      <c r="M4" s="231"/>
      <c r="N4" s="231"/>
      <c r="O4" s="231"/>
      <c r="P4" s="231"/>
      <c r="Q4" s="231"/>
      <c r="R4" s="231"/>
      <c r="S4" s="231"/>
      <c r="T4" s="231"/>
      <c r="U4" s="231"/>
      <c r="V4" s="231"/>
      <c r="W4" s="231"/>
      <c r="X4" s="231"/>
      <c r="Y4" s="231"/>
      <c r="Z4" s="231"/>
      <c r="AA4" s="231"/>
      <c r="AB4" s="231"/>
      <c r="AC4" s="231"/>
      <c r="AD4" s="231"/>
      <c r="AE4" s="231"/>
      <c r="AF4" s="231"/>
      <c r="AG4" s="231"/>
      <c r="AH4" s="231"/>
      <c r="AI4" s="231"/>
      <c r="AJ4" s="231"/>
      <c r="AK4" s="231"/>
    </row>
    <row r="5" spans="1:37" s="203" customFormat="1" ht="15">
      <c r="A5" s="888"/>
      <c r="B5" s="889"/>
      <c r="C5" s="18"/>
      <c r="D5" s="206"/>
      <c r="E5" s="206"/>
      <c r="F5" s="14"/>
      <c r="G5" s="14"/>
      <c r="H5" s="14"/>
      <c r="I5" s="234"/>
      <c r="J5" s="231"/>
      <c r="K5" s="231"/>
      <c r="L5" s="231"/>
      <c r="M5" s="231"/>
      <c r="N5" s="231"/>
      <c r="O5" s="231"/>
      <c r="P5" s="231"/>
      <c r="Q5" s="231"/>
      <c r="R5" s="231"/>
      <c r="S5" s="231"/>
      <c r="T5" s="231"/>
      <c r="U5" s="231"/>
      <c r="V5" s="231"/>
      <c r="W5" s="231"/>
      <c r="X5" s="231"/>
      <c r="Y5" s="231"/>
      <c r="Z5" s="231"/>
      <c r="AA5" s="231"/>
      <c r="AB5" s="231"/>
      <c r="AC5" s="231"/>
      <c r="AD5" s="231"/>
      <c r="AE5" s="231"/>
      <c r="AF5" s="231"/>
      <c r="AG5" s="231"/>
      <c r="AH5" s="231"/>
      <c r="AI5" s="231"/>
      <c r="AJ5" s="231"/>
      <c r="AK5" s="231"/>
    </row>
    <row r="6" spans="1:37" s="203" customFormat="1" ht="23.25" customHeight="1">
      <c r="A6" s="19" t="s">
        <v>1</v>
      </c>
      <c r="B6" s="207"/>
      <c r="C6" s="20"/>
      <c r="D6" s="890" t="s">
        <v>249</v>
      </c>
      <c r="E6" s="890"/>
      <c r="F6" s="890"/>
      <c r="G6" s="890"/>
      <c r="H6" s="890"/>
      <c r="I6" s="29"/>
      <c r="J6" s="231"/>
      <c r="K6" s="231"/>
      <c r="L6" s="231"/>
      <c r="M6" s="231"/>
      <c r="N6" s="231"/>
      <c r="O6" s="231"/>
      <c r="P6" s="231"/>
      <c r="Q6" s="231"/>
      <c r="R6" s="231"/>
      <c r="S6" s="231"/>
      <c r="T6" s="231"/>
      <c r="U6" s="231"/>
      <c r="V6" s="231"/>
      <c r="W6" s="231"/>
      <c r="X6" s="231"/>
      <c r="Y6" s="231"/>
      <c r="Z6" s="231"/>
      <c r="AA6" s="231"/>
      <c r="AB6" s="231"/>
      <c r="AC6" s="231"/>
      <c r="AD6" s="231"/>
      <c r="AE6" s="231"/>
      <c r="AF6" s="231"/>
      <c r="AG6" s="231"/>
      <c r="AH6" s="231"/>
      <c r="AI6" s="231"/>
      <c r="AJ6" s="231"/>
      <c r="AK6" s="231"/>
    </row>
    <row r="7" spans="1:37" s="203" customFormat="1" ht="18.75" customHeight="1">
      <c r="A7" s="19" t="s">
        <v>419</v>
      </c>
      <c r="B7" s="207"/>
      <c r="C7" s="207"/>
      <c r="D7" s="207"/>
      <c r="E7" s="207"/>
      <c r="F7" s="362" t="s">
        <v>250</v>
      </c>
      <c r="G7" s="1"/>
      <c r="H7" s="21"/>
      <c r="I7" s="29"/>
      <c r="J7" s="231"/>
      <c r="K7" s="231"/>
      <c r="L7" s="231"/>
      <c r="M7" s="231"/>
      <c r="N7" s="231"/>
      <c r="O7" s="231"/>
      <c r="P7" s="231"/>
      <c r="Q7" s="231"/>
      <c r="R7" s="231"/>
      <c r="S7" s="231"/>
      <c r="T7" s="231"/>
      <c r="U7" s="231"/>
      <c r="V7" s="231"/>
      <c r="W7" s="231"/>
      <c r="X7" s="231"/>
      <c r="Y7" s="231"/>
      <c r="Z7" s="231"/>
      <c r="AA7" s="231"/>
      <c r="AB7" s="231"/>
      <c r="AC7" s="231"/>
      <c r="AD7" s="231"/>
      <c r="AE7" s="231"/>
      <c r="AF7" s="231"/>
      <c r="AG7" s="231"/>
      <c r="AH7" s="231"/>
      <c r="AI7" s="231"/>
      <c r="AJ7" s="231"/>
      <c r="AK7" s="231"/>
    </row>
    <row r="8" spans="1:37" s="203" customFormat="1" ht="24" customHeight="1">
      <c r="A8" s="22" t="s">
        <v>408</v>
      </c>
      <c r="B8" s="207"/>
      <c r="C8" s="207"/>
      <c r="D8" s="207"/>
      <c r="E8" s="207"/>
      <c r="F8" s="207"/>
      <c r="G8" s="782"/>
      <c r="H8" s="21"/>
      <c r="I8" s="29"/>
      <c r="J8" s="231"/>
      <c r="K8" s="231"/>
      <c r="L8" s="231"/>
      <c r="M8" s="231"/>
      <c r="N8" s="231"/>
      <c r="O8" s="231"/>
      <c r="P8" s="231"/>
      <c r="Q8" s="231"/>
      <c r="R8" s="231"/>
      <c r="S8" s="231"/>
      <c r="T8" s="231"/>
      <c r="U8" s="231"/>
      <c r="V8" s="231"/>
      <c r="W8" s="231"/>
      <c r="X8" s="231"/>
      <c r="Y8" s="231"/>
      <c r="Z8" s="231"/>
      <c r="AA8" s="231"/>
      <c r="AB8" s="231"/>
      <c r="AC8" s="231"/>
      <c r="AD8" s="231"/>
      <c r="AE8" s="231"/>
      <c r="AF8" s="231"/>
      <c r="AG8" s="231"/>
      <c r="AH8" s="231"/>
      <c r="AI8" s="231"/>
      <c r="AJ8" s="231"/>
      <c r="AK8" s="231"/>
    </row>
    <row r="9" spans="1:37" s="203" customFormat="1" ht="30.75" customHeight="1">
      <c r="A9" s="891" t="s">
        <v>420</v>
      </c>
      <c r="B9" s="892"/>
      <c r="C9" s="892"/>
      <c r="D9" s="892"/>
      <c r="E9" s="892"/>
      <c r="F9" s="892"/>
      <c r="G9" s="892"/>
      <c r="H9" s="892"/>
      <c r="I9" s="892"/>
      <c r="J9" s="231"/>
      <c r="K9" s="231"/>
      <c r="L9" s="231"/>
      <c r="M9" s="231"/>
      <c r="N9" s="231"/>
      <c r="O9" s="231"/>
      <c r="P9" s="231"/>
      <c r="Q9" s="231"/>
      <c r="R9" s="231"/>
      <c r="S9" s="231"/>
      <c r="T9" s="231"/>
      <c r="U9" s="231"/>
      <c r="V9" s="231"/>
      <c r="W9" s="231"/>
      <c r="X9" s="231"/>
      <c r="Y9" s="231"/>
      <c r="Z9" s="231"/>
      <c r="AA9" s="231"/>
      <c r="AB9" s="231"/>
      <c r="AC9" s="231"/>
      <c r="AD9" s="231"/>
      <c r="AE9" s="231"/>
      <c r="AF9" s="231"/>
      <c r="AG9" s="231"/>
      <c r="AH9" s="231"/>
      <c r="AI9" s="231"/>
      <c r="AJ9" s="231"/>
      <c r="AK9" s="231"/>
    </row>
    <row r="10" spans="1:37" s="203" customFormat="1" ht="12.75" customHeight="1">
      <c r="A10" s="22" t="s">
        <v>409</v>
      </c>
      <c r="B10" s="19"/>
      <c r="C10" s="1"/>
      <c r="D10" s="880" t="s">
        <v>250</v>
      </c>
      <c r="E10" s="881"/>
      <c r="F10" s="881"/>
      <c r="G10" s="207"/>
      <c r="H10" s="207"/>
      <c r="I10" s="29"/>
      <c r="J10" s="231"/>
      <c r="K10" s="231"/>
      <c r="L10" s="231"/>
      <c r="M10" s="231"/>
      <c r="N10" s="231"/>
      <c r="O10" s="231"/>
      <c r="P10" s="231"/>
      <c r="Q10" s="231"/>
      <c r="R10" s="231"/>
      <c r="S10" s="231"/>
      <c r="T10" s="231"/>
      <c r="U10" s="231"/>
      <c r="V10" s="231"/>
      <c r="W10" s="231"/>
      <c r="X10" s="231"/>
      <c r="Y10" s="231"/>
      <c r="Z10" s="231"/>
      <c r="AA10" s="231"/>
      <c r="AB10" s="231"/>
      <c r="AC10" s="231"/>
      <c r="AD10" s="231"/>
      <c r="AE10" s="231"/>
      <c r="AF10" s="231"/>
      <c r="AG10" s="231"/>
      <c r="AH10" s="231"/>
      <c r="AI10" s="231"/>
      <c r="AJ10" s="231"/>
      <c r="AK10" s="231"/>
    </row>
    <row r="11" spans="1:37" s="203" customFormat="1">
      <c r="A11" s="23"/>
      <c r="B11" s="207"/>
      <c r="C11" s="207"/>
      <c r="D11" s="207"/>
      <c r="E11" s="207"/>
      <c r="F11" s="207"/>
      <c r="G11" s="21"/>
      <c r="H11" s="21"/>
      <c r="I11" s="29"/>
      <c r="J11" s="231"/>
      <c r="K11" s="231"/>
      <c r="L11" s="231"/>
      <c r="M11" s="231"/>
      <c r="N11" s="231"/>
      <c r="O11" s="231"/>
      <c r="P11" s="231"/>
      <c r="Q11" s="231"/>
      <c r="R11" s="231"/>
      <c r="S11" s="231"/>
      <c r="T11" s="231"/>
      <c r="U11" s="231"/>
      <c r="V11" s="231"/>
      <c r="W11" s="231"/>
      <c r="X11" s="231"/>
      <c r="Y11" s="231"/>
      <c r="Z11" s="231"/>
      <c r="AA11" s="231"/>
      <c r="AB11" s="231"/>
      <c r="AC11" s="231"/>
      <c r="AD11" s="231"/>
      <c r="AE11" s="231"/>
      <c r="AF11" s="231"/>
      <c r="AG11" s="231"/>
      <c r="AH11" s="231"/>
      <c r="AI11" s="231"/>
      <c r="AJ11" s="231"/>
      <c r="AK11" s="231"/>
    </row>
    <row r="12" spans="1:37" s="203" customFormat="1">
      <c r="A12" s="24"/>
      <c r="B12" s="25" t="s">
        <v>7</v>
      </c>
      <c r="C12" s="26"/>
      <c r="D12" s="356"/>
      <c r="E12" s="356"/>
      <c r="F12" s="357"/>
      <c r="G12" s="21"/>
      <c r="H12" s="21"/>
      <c r="I12" s="29"/>
      <c r="J12" s="231"/>
      <c r="K12" s="231"/>
      <c r="L12" s="231"/>
      <c r="M12" s="231"/>
      <c r="N12" s="231"/>
      <c r="O12" s="231"/>
      <c r="P12" s="231"/>
      <c r="Q12" s="231"/>
      <c r="R12" s="231"/>
      <c r="S12" s="231"/>
      <c r="T12" s="231"/>
      <c r="U12" s="231"/>
      <c r="V12" s="231"/>
      <c r="W12" s="231"/>
      <c r="X12" s="231"/>
      <c r="Y12" s="231"/>
      <c r="Z12" s="231"/>
      <c r="AA12" s="231"/>
      <c r="AB12" s="231"/>
      <c r="AC12" s="231"/>
      <c r="AD12" s="231"/>
      <c r="AE12" s="231"/>
      <c r="AF12" s="231"/>
      <c r="AG12" s="231"/>
      <c r="AH12" s="231"/>
      <c r="AI12" s="231"/>
      <c r="AJ12" s="231"/>
      <c r="AK12" s="231"/>
    </row>
    <row r="13" spans="1:37" s="203" customFormat="1">
      <c r="A13" s="23"/>
      <c r="B13" s="27"/>
      <c r="C13" s="358"/>
      <c r="D13" s="15"/>
      <c r="E13" s="15"/>
      <c r="F13" s="359"/>
      <c r="G13" s="207"/>
      <c r="H13" s="21"/>
      <c r="I13" s="29"/>
      <c r="J13" s="231"/>
      <c r="K13" s="231"/>
      <c r="L13" s="231"/>
      <c r="M13" s="231"/>
      <c r="N13" s="231"/>
      <c r="O13" s="231"/>
      <c r="P13" s="231"/>
      <c r="Q13" s="231"/>
      <c r="R13" s="231"/>
      <c r="S13" s="231"/>
      <c r="T13" s="231"/>
      <c r="U13" s="231"/>
      <c r="V13" s="231"/>
      <c r="W13" s="231"/>
      <c r="X13" s="231"/>
      <c r="Y13" s="231"/>
      <c r="Z13" s="231"/>
      <c r="AA13" s="231"/>
      <c r="AB13" s="231"/>
      <c r="AC13" s="231"/>
      <c r="AD13" s="231"/>
      <c r="AE13" s="231"/>
      <c r="AF13" s="231"/>
      <c r="AG13" s="231"/>
      <c r="AH13" s="231"/>
      <c r="AI13" s="231"/>
      <c r="AJ13" s="231"/>
      <c r="AK13" s="231"/>
    </row>
    <row r="14" spans="1:37" s="203" customFormat="1">
      <c r="A14" s="23"/>
      <c r="B14" s="363" t="s">
        <v>328</v>
      </c>
      <c r="C14" s="870" t="s">
        <v>10</v>
      </c>
      <c r="D14" s="870"/>
      <c r="E14" s="870"/>
      <c r="F14" s="871"/>
      <c r="G14" s="207"/>
      <c r="H14" s="21"/>
      <c r="I14" s="29"/>
      <c r="J14" s="231"/>
      <c r="K14" s="231"/>
      <c r="L14" s="231"/>
      <c r="M14" s="231"/>
      <c r="N14" s="231"/>
      <c r="O14" s="231"/>
      <c r="P14" s="231"/>
      <c r="Q14" s="231"/>
      <c r="R14" s="231"/>
      <c r="S14" s="231"/>
      <c r="T14" s="231"/>
      <c r="U14" s="231"/>
      <c r="V14" s="231"/>
      <c r="W14" s="231"/>
      <c r="X14" s="231"/>
      <c r="Y14" s="231"/>
      <c r="Z14" s="231"/>
      <c r="AA14" s="231"/>
      <c r="AB14" s="231"/>
      <c r="AC14" s="231"/>
      <c r="AD14" s="231"/>
      <c r="AE14" s="231"/>
      <c r="AF14" s="231"/>
      <c r="AG14" s="231"/>
      <c r="AH14" s="231"/>
      <c r="AI14" s="231"/>
      <c r="AJ14" s="231"/>
      <c r="AK14" s="231"/>
    </row>
    <row r="15" spans="1:37" s="203" customFormat="1">
      <c r="A15" s="23"/>
      <c r="B15" s="363" t="s">
        <v>329</v>
      </c>
      <c r="C15" s="870" t="s">
        <v>12</v>
      </c>
      <c r="D15" s="870"/>
      <c r="E15" s="870"/>
      <c r="F15" s="871"/>
      <c r="G15" s="207"/>
      <c r="H15" s="21"/>
      <c r="I15" s="29"/>
      <c r="J15" s="231"/>
      <c r="K15" s="231"/>
      <c r="L15" s="231"/>
      <c r="M15" s="231"/>
      <c r="N15" s="231"/>
      <c r="O15" s="231"/>
      <c r="P15" s="231"/>
      <c r="Q15" s="231"/>
      <c r="R15" s="231"/>
      <c r="S15" s="231"/>
      <c r="T15" s="231"/>
      <c r="U15" s="231"/>
      <c r="V15" s="231"/>
      <c r="W15" s="231"/>
      <c r="X15" s="231"/>
      <c r="Y15" s="231"/>
      <c r="Z15" s="231"/>
      <c r="AA15" s="231"/>
      <c r="AB15" s="231"/>
      <c r="AC15" s="231"/>
      <c r="AD15" s="231"/>
      <c r="AE15" s="231"/>
      <c r="AF15" s="231"/>
      <c r="AG15" s="231"/>
      <c r="AH15" s="231"/>
      <c r="AI15" s="231"/>
      <c r="AJ15" s="231"/>
      <c r="AK15" s="231"/>
    </row>
    <row r="16" spans="1:37" s="203" customFormat="1">
      <c r="A16" s="23"/>
      <c r="B16" s="360" t="s">
        <v>14</v>
      </c>
      <c r="C16" s="870" t="s">
        <v>15</v>
      </c>
      <c r="D16" s="870"/>
      <c r="E16" s="870"/>
      <c r="F16" s="871"/>
      <c r="G16" s="207"/>
      <c r="H16" s="21"/>
      <c r="I16" s="29"/>
      <c r="J16" s="231"/>
      <c r="K16" s="231"/>
      <c r="L16" s="231"/>
      <c r="M16" s="231"/>
      <c r="N16" s="231"/>
      <c r="O16" s="231"/>
      <c r="P16" s="231"/>
      <c r="Q16" s="231"/>
      <c r="R16" s="231"/>
      <c r="S16" s="231"/>
      <c r="T16" s="231"/>
      <c r="U16" s="231"/>
      <c r="V16" s="231"/>
      <c r="W16" s="231"/>
      <c r="X16" s="231"/>
      <c r="Y16" s="231"/>
      <c r="Z16" s="231"/>
      <c r="AA16" s="231"/>
      <c r="AB16" s="231"/>
      <c r="AC16" s="231"/>
      <c r="AD16" s="231"/>
      <c r="AE16" s="231"/>
      <c r="AF16" s="231"/>
      <c r="AG16" s="231"/>
      <c r="AH16" s="231"/>
      <c r="AI16" s="231"/>
      <c r="AJ16" s="231"/>
      <c r="AK16" s="231"/>
    </row>
    <row r="17" spans="1:37" s="203" customFormat="1">
      <c r="A17" s="23"/>
      <c r="B17" s="360" t="s">
        <v>17</v>
      </c>
      <c r="C17" s="870" t="s">
        <v>18</v>
      </c>
      <c r="D17" s="870"/>
      <c r="E17" s="870"/>
      <c r="F17" s="871"/>
      <c r="G17" s="207"/>
      <c r="H17" s="21"/>
      <c r="I17" s="29"/>
      <c r="J17" s="231"/>
      <c r="K17" s="231"/>
      <c r="L17" s="231"/>
      <c r="M17" s="231"/>
      <c r="N17" s="231"/>
      <c r="O17" s="231"/>
      <c r="P17" s="231"/>
      <c r="Q17" s="231"/>
      <c r="R17" s="231"/>
      <c r="S17" s="231"/>
      <c r="T17" s="231"/>
      <c r="U17" s="231"/>
      <c r="V17" s="231"/>
      <c r="W17" s="231"/>
      <c r="X17" s="231"/>
      <c r="Y17" s="231"/>
      <c r="Z17" s="231"/>
      <c r="AA17" s="231"/>
      <c r="AB17" s="231"/>
      <c r="AC17" s="231"/>
      <c r="AD17" s="231"/>
      <c r="AE17" s="231"/>
      <c r="AF17" s="231"/>
      <c r="AG17" s="231"/>
      <c r="AH17" s="231"/>
      <c r="AI17" s="231"/>
      <c r="AJ17" s="231"/>
      <c r="AK17" s="231"/>
    </row>
    <row r="18" spans="1:37" s="203" customFormat="1">
      <c r="A18" s="23"/>
      <c r="B18" s="360" t="s">
        <v>20</v>
      </c>
      <c r="C18" s="870" t="s">
        <v>21</v>
      </c>
      <c r="D18" s="870"/>
      <c r="E18" s="870"/>
      <c r="F18" s="871"/>
      <c r="G18" s="207"/>
      <c r="H18" s="21"/>
      <c r="I18" s="29"/>
      <c r="J18" s="231"/>
      <c r="K18" s="231"/>
      <c r="L18" s="231"/>
      <c r="M18" s="231"/>
      <c r="N18" s="231"/>
      <c r="O18" s="231"/>
      <c r="P18" s="231"/>
      <c r="Q18" s="231"/>
      <c r="R18" s="231"/>
      <c r="S18" s="231"/>
      <c r="T18" s="231"/>
      <c r="U18" s="231"/>
      <c r="V18" s="231"/>
      <c r="W18" s="231"/>
      <c r="X18" s="231"/>
      <c r="Y18" s="231"/>
      <c r="Z18" s="231"/>
      <c r="AA18" s="231"/>
      <c r="AB18" s="231"/>
      <c r="AC18" s="231"/>
      <c r="AD18" s="231"/>
      <c r="AE18" s="231"/>
      <c r="AF18" s="231"/>
      <c r="AG18" s="231"/>
      <c r="AH18" s="231"/>
      <c r="AI18" s="231"/>
      <c r="AJ18" s="231"/>
      <c r="AK18" s="231"/>
    </row>
    <row r="19" spans="1:37" s="203" customFormat="1">
      <c r="A19" s="23"/>
      <c r="B19" s="361" t="s">
        <v>23</v>
      </c>
      <c r="C19" s="872" t="s">
        <v>24</v>
      </c>
      <c r="D19" s="872"/>
      <c r="E19" s="872"/>
      <c r="F19" s="873"/>
      <c r="G19" s="21"/>
      <c r="H19" s="21"/>
      <c r="I19" s="29"/>
      <c r="J19" s="231"/>
      <c r="K19" s="231"/>
      <c r="L19" s="231"/>
      <c r="M19" s="231"/>
      <c r="N19" s="231"/>
      <c r="O19" s="231"/>
      <c r="P19" s="231"/>
      <c r="Q19" s="231"/>
      <c r="R19" s="231"/>
      <c r="S19" s="231"/>
      <c r="T19" s="231"/>
      <c r="U19" s="231"/>
      <c r="V19" s="231"/>
      <c r="W19" s="231"/>
      <c r="X19" s="231"/>
      <c r="Y19" s="231"/>
      <c r="Z19" s="231"/>
      <c r="AA19" s="231"/>
      <c r="AB19" s="231"/>
      <c r="AC19" s="231"/>
      <c r="AD19" s="231"/>
      <c r="AE19" s="231"/>
      <c r="AF19" s="231"/>
      <c r="AG19" s="231"/>
      <c r="AH19" s="231"/>
      <c r="AI19" s="231"/>
      <c r="AJ19" s="231"/>
      <c r="AK19" s="231"/>
    </row>
    <row r="20" spans="1:37" s="203" customFormat="1">
      <c r="A20" s="236"/>
      <c r="B20" s="206"/>
      <c r="C20" s="206"/>
      <c r="D20" s="206"/>
      <c r="E20" s="206"/>
      <c r="F20" s="206"/>
      <c r="G20" s="206"/>
      <c r="H20" s="206"/>
      <c r="I20" s="206"/>
      <c r="J20" s="231"/>
      <c r="K20" s="231"/>
      <c r="L20" s="231"/>
      <c r="M20" s="231"/>
      <c r="N20" s="231"/>
      <c r="O20" s="231"/>
      <c r="P20" s="231"/>
      <c r="Q20" s="231"/>
      <c r="R20" s="231"/>
      <c r="S20" s="231"/>
      <c r="T20" s="231"/>
      <c r="U20" s="231"/>
      <c r="V20" s="231"/>
      <c r="W20" s="231"/>
      <c r="X20" s="231"/>
      <c r="Y20" s="231"/>
      <c r="Z20" s="231"/>
      <c r="AA20" s="231"/>
      <c r="AB20" s="231"/>
      <c r="AC20" s="231"/>
      <c r="AD20" s="231"/>
      <c r="AE20" s="231"/>
      <c r="AF20" s="231"/>
      <c r="AG20" s="231"/>
      <c r="AH20" s="231"/>
      <c r="AI20" s="231"/>
      <c r="AJ20" s="231"/>
      <c r="AK20" s="231"/>
    </row>
    <row r="21" spans="1:37" s="203" customFormat="1" ht="19.5">
      <c r="A21" s="30"/>
      <c r="B21" s="13"/>
      <c r="C21" s="13"/>
      <c r="D21" s="13"/>
      <c r="E21" s="13"/>
      <c r="F21" s="13"/>
      <c r="G21" s="13"/>
      <c r="H21" s="31" t="s">
        <v>27</v>
      </c>
      <c r="I21" s="237"/>
      <c r="J21" s="231"/>
      <c r="K21" s="231"/>
      <c r="L21" s="231"/>
      <c r="M21" s="231"/>
      <c r="N21" s="231"/>
      <c r="O21" s="231"/>
      <c r="P21" s="231"/>
      <c r="Q21" s="231"/>
      <c r="R21" s="231"/>
      <c r="S21" s="231"/>
      <c r="T21" s="231"/>
      <c r="U21" s="231"/>
      <c r="V21" s="231"/>
      <c r="W21" s="231"/>
      <c r="X21" s="231"/>
      <c r="Y21" s="231"/>
      <c r="Z21" s="231"/>
      <c r="AA21" s="231"/>
      <c r="AB21" s="231"/>
      <c r="AC21" s="231"/>
      <c r="AD21" s="231"/>
      <c r="AE21" s="231"/>
      <c r="AF21" s="231"/>
      <c r="AG21" s="231"/>
      <c r="AH21" s="231"/>
      <c r="AI21" s="231"/>
      <c r="AJ21" s="231"/>
      <c r="AK21" s="231"/>
    </row>
    <row r="22" spans="1:37" s="203" customFormat="1" ht="18.75" customHeight="1">
      <c r="A22" s="32"/>
      <c r="B22" s="29"/>
      <c r="C22" s="29"/>
      <c r="D22" s="29"/>
      <c r="E22" s="29"/>
      <c r="F22" s="33">
        <v>1</v>
      </c>
      <c r="G22" s="34"/>
      <c r="H22" s="33">
        <v>2</v>
      </c>
      <c r="I22" s="34"/>
      <c r="J22" s="231"/>
      <c r="K22" s="231"/>
      <c r="L22" s="231"/>
      <c r="M22" s="231"/>
      <c r="N22" s="231"/>
      <c r="O22" s="231"/>
      <c r="P22" s="231"/>
      <c r="Q22" s="231"/>
      <c r="R22" s="231"/>
      <c r="S22" s="231"/>
      <c r="T22" s="231"/>
      <c r="U22" s="231"/>
      <c r="V22" s="231"/>
      <c r="W22" s="231"/>
      <c r="X22" s="231"/>
      <c r="Y22" s="231"/>
      <c r="Z22" s="231"/>
      <c r="AA22" s="231"/>
      <c r="AB22" s="231"/>
      <c r="AC22" s="231"/>
      <c r="AD22" s="231"/>
      <c r="AE22" s="231"/>
      <c r="AF22" s="231"/>
      <c r="AG22" s="231"/>
      <c r="AH22" s="231"/>
      <c r="AI22" s="231"/>
      <c r="AJ22" s="231"/>
      <c r="AK22" s="231"/>
    </row>
    <row r="23" spans="1:37" s="203" customFormat="1" ht="21.95" customHeight="1">
      <c r="A23" s="874" t="s">
        <v>30</v>
      </c>
      <c r="B23" s="875"/>
      <c r="C23" s="875"/>
      <c r="D23" s="875"/>
      <c r="E23" s="878" t="s">
        <v>376</v>
      </c>
      <c r="F23" s="856" t="s">
        <v>407</v>
      </c>
      <c r="G23" s="36"/>
      <c r="H23" s="878" t="s">
        <v>406</v>
      </c>
      <c r="I23" s="36"/>
      <c r="J23" s="231"/>
      <c r="K23" s="231"/>
      <c r="L23" s="231"/>
      <c r="M23" s="231"/>
      <c r="N23" s="231"/>
      <c r="O23" s="231"/>
      <c r="P23" s="231"/>
      <c r="Q23" s="231"/>
      <c r="R23" s="231"/>
      <c r="S23" s="231"/>
      <c r="T23" s="231"/>
      <c r="U23" s="231"/>
      <c r="V23" s="231"/>
      <c r="W23" s="231"/>
      <c r="X23" s="231"/>
      <c r="Y23" s="231"/>
      <c r="Z23" s="231"/>
      <c r="AA23" s="231"/>
      <c r="AB23" s="231"/>
      <c r="AC23" s="231"/>
      <c r="AD23" s="231"/>
      <c r="AE23" s="231"/>
      <c r="AF23" s="231"/>
      <c r="AG23" s="231"/>
      <c r="AH23" s="231"/>
      <c r="AI23" s="231"/>
      <c r="AJ23" s="231"/>
      <c r="AK23" s="231"/>
    </row>
    <row r="24" spans="1:37" s="203" customFormat="1" ht="21.95" customHeight="1">
      <c r="A24" s="876"/>
      <c r="B24" s="877"/>
      <c r="C24" s="877"/>
      <c r="D24" s="877"/>
      <c r="E24" s="879"/>
      <c r="F24" s="860"/>
      <c r="G24" s="23"/>
      <c r="H24" s="879"/>
      <c r="I24" s="36"/>
      <c r="J24" s="231"/>
      <c r="K24" s="231"/>
      <c r="L24" s="231"/>
      <c r="M24" s="231"/>
      <c r="N24" s="231"/>
      <c r="O24" s="231"/>
      <c r="P24" s="231"/>
      <c r="Q24" s="231"/>
      <c r="R24" s="231"/>
      <c r="S24" s="231"/>
      <c r="T24" s="231"/>
      <c r="U24" s="231"/>
      <c r="V24" s="231"/>
      <c r="W24" s="231"/>
      <c r="X24" s="231"/>
      <c r="Y24" s="231"/>
      <c r="Z24" s="231"/>
      <c r="AA24" s="231"/>
      <c r="AB24" s="231"/>
      <c r="AC24" s="231"/>
      <c r="AD24" s="231"/>
      <c r="AE24" s="231"/>
      <c r="AF24" s="231"/>
      <c r="AG24" s="231"/>
      <c r="AH24" s="231"/>
      <c r="AI24" s="231"/>
      <c r="AJ24" s="231"/>
      <c r="AK24" s="231"/>
    </row>
    <row r="25" spans="1:37" s="203" customFormat="1" ht="21.95" customHeight="1">
      <c r="A25" s="898" t="s">
        <v>48</v>
      </c>
      <c r="B25" s="901" t="s">
        <v>49</v>
      </c>
      <c r="C25" s="901"/>
      <c r="D25" s="902"/>
      <c r="E25" s="907" t="s">
        <v>50</v>
      </c>
      <c r="F25" s="909" t="s">
        <v>51</v>
      </c>
      <c r="G25" s="34"/>
      <c r="H25" s="907" t="s">
        <v>50</v>
      </c>
      <c r="I25" s="36"/>
      <c r="J25" s="231"/>
      <c r="K25" s="231"/>
      <c r="L25" s="231"/>
      <c r="M25" s="231"/>
      <c r="N25" s="231"/>
      <c r="O25" s="231"/>
      <c r="P25" s="231"/>
      <c r="Q25" s="231"/>
      <c r="R25" s="231"/>
      <c r="S25" s="231"/>
      <c r="T25" s="231"/>
      <c r="U25" s="231"/>
      <c r="V25" s="231"/>
      <c r="W25" s="231"/>
      <c r="X25" s="231"/>
      <c r="Y25" s="231"/>
      <c r="Z25" s="231"/>
      <c r="AA25" s="231"/>
      <c r="AB25" s="231"/>
      <c r="AC25" s="231"/>
      <c r="AD25" s="231"/>
      <c r="AE25" s="231"/>
      <c r="AF25" s="231"/>
      <c r="AG25" s="231"/>
      <c r="AH25" s="231"/>
      <c r="AI25" s="231"/>
      <c r="AJ25" s="231"/>
      <c r="AK25" s="231"/>
    </row>
    <row r="26" spans="1:37" s="203" customFormat="1" ht="21.95" customHeight="1">
      <c r="A26" s="899"/>
      <c r="B26" s="903"/>
      <c r="C26" s="903"/>
      <c r="D26" s="904"/>
      <c r="E26" s="908"/>
      <c r="F26" s="859"/>
      <c r="G26" s="34"/>
      <c r="H26" s="908"/>
      <c r="I26" s="36"/>
      <c r="J26" s="231"/>
      <c r="K26" s="231"/>
      <c r="L26" s="231"/>
      <c r="M26" s="231"/>
      <c r="N26" s="231"/>
      <c r="O26" s="231"/>
      <c r="P26" s="231"/>
      <c r="Q26" s="231"/>
      <c r="R26" s="231"/>
      <c r="S26" s="231"/>
      <c r="T26" s="231"/>
      <c r="U26" s="231"/>
      <c r="V26" s="231"/>
      <c r="W26" s="231"/>
      <c r="X26" s="231"/>
      <c r="Y26" s="231"/>
      <c r="Z26" s="231"/>
      <c r="AA26" s="231"/>
      <c r="AB26" s="231"/>
      <c r="AC26" s="231"/>
      <c r="AD26" s="231"/>
      <c r="AE26" s="231"/>
      <c r="AF26" s="231"/>
      <c r="AG26" s="231"/>
      <c r="AH26" s="231"/>
      <c r="AI26" s="231"/>
      <c r="AJ26" s="231"/>
      <c r="AK26" s="231"/>
    </row>
    <row r="27" spans="1:37" s="203" customFormat="1" ht="21.95" customHeight="1">
      <c r="A27" s="900"/>
      <c r="B27" s="905"/>
      <c r="C27" s="905"/>
      <c r="D27" s="906"/>
      <c r="E27" s="879"/>
      <c r="F27" s="860"/>
      <c r="G27" s="34"/>
      <c r="H27" s="879"/>
      <c r="I27" s="36"/>
      <c r="J27" s="231"/>
      <c r="K27" s="231"/>
      <c r="L27" s="231"/>
      <c r="M27" s="231"/>
      <c r="N27" s="231"/>
      <c r="O27" s="231"/>
      <c r="P27" s="231"/>
      <c r="Q27" s="231"/>
      <c r="R27" s="231"/>
      <c r="S27" s="231"/>
      <c r="T27" s="231"/>
      <c r="U27" s="231"/>
      <c r="V27" s="231"/>
      <c r="W27" s="231"/>
      <c r="X27" s="231"/>
      <c r="Y27" s="231"/>
      <c r="Z27" s="231"/>
      <c r="AA27" s="231"/>
      <c r="AB27" s="231"/>
      <c r="AC27" s="231"/>
      <c r="AD27" s="231"/>
      <c r="AE27" s="231"/>
      <c r="AF27" s="231"/>
      <c r="AG27" s="231"/>
      <c r="AH27" s="231"/>
      <c r="AI27" s="231"/>
      <c r="AJ27" s="231"/>
      <c r="AK27" s="231"/>
    </row>
    <row r="28" spans="1:37" s="203" customFormat="1">
      <c r="A28" s="38">
        <v>1</v>
      </c>
      <c r="B28" s="39" t="s">
        <v>52</v>
      </c>
      <c r="C28" s="39"/>
      <c r="D28" s="40"/>
      <c r="E28" s="41">
        <v>140055</v>
      </c>
      <c r="F28" s="42">
        <f>F77</f>
        <v>145394</v>
      </c>
      <c r="G28" s="43"/>
      <c r="H28" s="44">
        <f>H77</f>
        <v>150815</v>
      </c>
      <c r="I28" s="43"/>
      <c r="J28" s="231"/>
      <c r="K28" s="231"/>
      <c r="L28" s="231"/>
      <c r="M28" s="231"/>
      <c r="N28" s="231"/>
      <c r="O28" s="231"/>
      <c r="P28" s="231"/>
      <c r="Q28" s="231"/>
      <c r="R28" s="231"/>
      <c r="S28" s="231"/>
      <c r="T28" s="231"/>
      <c r="U28" s="231"/>
      <c r="V28" s="231"/>
      <c r="W28" s="231"/>
      <c r="X28" s="231"/>
      <c r="Y28" s="231"/>
      <c r="Z28" s="231"/>
      <c r="AA28" s="231"/>
      <c r="AB28" s="231"/>
      <c r="AC28" s="231"/>
      <c r="AD28" s="231"/>
      <c r="AE28" s="231"/>
      <c r="AF28" s="231"/>
      <c r="AG28" s="231"/>
      <c r="AH28" s="231"/>
      <c r="AI28" s="231"/>
      <c r="AJ28" s="231"/>
      <c r="AK28" s="231"/>
    </row>
    <row r="29" spans="1:37" s="203" customFormat="1">
      <c r="A29" s="46">
        <v>2</v>
      </c>
      <c r="B29" s="47" t="s">
        <v>53</v>
      </c>
      <c r="C29" s="47"/>
      <c r="D29" s="48"/>
      <c r="E29" s="49">
        <v>98129</v>
      </c>
      <c r="F29" s="50">
        <f>F105</f>
        <v>96532</v>
      </c>
      <c r="G29" s="43"/>
      <c r="H29" s="51">
        <f>H105</f>
        <v>99704</v>
      </c>
      <c r="I29" s="43"/>
      <c r="J29" s="231"/>
      <c r="K29" s="231"/>
      <c r="L29" s="231"/>
      <c r="M29" s="231"/>
      <c r="N29" s="231"/>
      <c r="O29" s="231"/>
      <c r="P29" s="231"/>
      <c r="Q29" s="231"/>
      <c r="R29" s="231"/>
      <c r="S29" s="231"/>
      <c r="T29" s="231"/>
      <c r="U29" s="231"/>
      <c r="V29" s="231"/>
      <c r="W29" s="231"/>
      <c r="X29" s="231"/>
      <c r="Y29" s="231"/>
      <c r="Z29" s="231"/>
      <c r="AA29" s="231"/>
      <c r="AB29" s="231"/>
      <c r="AC29" s="231"/>
      <c r="AD29" s="231"/>
      <c r="AE29" s="231"/>
      <c r="AF29" s="231"/>
      <c r="AG29" s="231"/>
      <c r="AH29" s="231"/>
      <c r="AI29" s="231"/>
      <c r="AJ29" s="231"/>
      <c r="AK29" s="231"/>
    </row>
    <row r="30" spans="1:37" s="203" customFormat="1">
      <c r="A30" s="46">
        <v>3</v>
      </c>
      <c r="B30" s="47" t="s">
        <v>54</v>
      </c>
      <c r="C30" s="47"/>
      <c r="D30" s="48"/>
      <c r="E30" s="49">
        <v>11635</v>
      </c>
      <c r="F30" s="50">
        <f>F180</f>
        <v>11594</v>
      </c>
      <c r="G30" s="43"/>
      <c r="H30" s="51">
        <f>H180</f>
        <v>11360</v>
      </c>
      <c r="I30" s="43"/>
      <c r="J30" s="231"/>
      <c r="K30" s="231"/>
      <c r="L30" s="231"/>
      <c r="M30" s="231"/>
      <c r="N30" s="231"/>
      <c r="O30" s="231"/>
      <c r="P30" s="231"/>
      <c r="Q30" s="231"/>
      <c r="R30" s="231"/>
      <c r="S30" s="231"/>
      <c r="T30" s="231"/>
      <c r="U30" s="231"/>
      <c r="V30" s="231"/>
      <c r="W30" s="231"/>
      <c r="X30" s="231"/>
      <c r="Y30" s="231"/>
      <c r="Z30" s="231"/>
      <c r="AA30" s="231"/>
      <c r="AB30" s="231"/>
      <c r="AC30" s="231"/>
      <c r="AD30" s="231"/>
      <c r="AE30" s="231"/>
      <c r="AF30" s="231"/>
      <c r="AG30" s="231"/>
      <c r="AH30" s="231"/>
      <c r="AI30" s="231"/>
      <c r="AJ30" s="231"/>
      <c r="AK30" s="231"/>
    </row>
    <row r="31" spans="1:37" s="203" customFormat="1">
      <c r="A31" s="46">
        <v>4</v>
      </c>
      <c r="B31" s="47" t="s">
        <v>55</v>
      </c>
      <c r="C31" s="47"/>
      <c r="D31" s="48"/>
      <c r="E31" s="49">
        <v>16522</v>
      </c>
      <c r="F31" s="50">
        <f>F214</f>
        <v>17805</v>
      </c>
      <c r="G31" s="43"/>
      <c r="H31" s="51">
        <f>H214</f>
        <v>15755</v>
      </c>
      <c r="I31" s="43"/>
      <c r="J31" s="231"/>
      <c r="K31" s="231"/>
      <c r="L31" s="231"/>
      <c r="M31" s="231"/>
      <c r="N31" s="231"/>
      <c r="O31" s="231"/>
      <c r="P31" s="231"/>
      <c r="Q31" s="231"/>
      <c r="R31" s="231"/>
      <c r="S31" s="231"/>
      <c r="T31" s="231"/>
      <c r="U31" s="231"/>
      <c r="V31" s="231"/>
      <c r="W31" s="231"/>
      <c r="X31" s="231"/>
      <c r="Y31" s="231"/>
      <c r="Z31" s="231"/>
      <c r="AA31" s="231"/>
      <c r="AB31" s="231"/>
      <c r="AC31" s="231"/>
      <c r="AD31" s="231"/>
      <c r="AE31" s="231"/>
      <c r="AF31" s="231"/>
      <c r="AG31" s="231"/>
      <c r="AH31" s="231"/>
      <c r="AI31" s="231"/>
      <c r="AJ31" s="231"/>
      <c r="AK31" s="231"/>
    </row>
    <row r="32" spans="1:37" s="203" customFormat="1">
      <c r="A32" s="46">
        <v>5</v>
      </c>
      <c r="B32" s="47" t="s">
        <v>56</v>
      </c>
      <c r="C32" s="47"/>
      <c r="D32" s="48"/>
      <c r="E32" s="49">
        <v>6611</v>
      </c>
      <c r="F32" s="50">
        <f>F231</f>
        <v>5836</v>
      </c>
      <c r="G32" s="43"/>
      <c r="H32" s="51">
        <f>H231</f>
        <v>5648</v>
      </c>
      <c r="I32" s="43"/>
      <c r="J32" s="231"/>
      <c r="K32" s="231"/>
      <c r="L32" s="231"/>
      <c r="M32" s="231"/>
      <c r="N32" s="231"/>
      <c r="O32" s="231"/>
      <c r="P32" s="231"/>
      <c r="Q32" s="231"/>
      <c r="R32" s="231"/>
      <c r="S32" s="231"/>
      <c r="T32" s="231"/>
      <c r="U32" s="231"/>
      <c r="V32" s="231"/>
      <c r="W32" s="231"/>
      <c r="X32" s="231"/>
      <c r="Y32" s="231"/>
      <c r="Z32" s="231"/>
      <c r="AA32" s="231"/>
      <c r="AB32" s="231"/>
      <c r="AC32" s="231"/>
      <c r="AD32" s="231"/>
      <c r="AE32" s="231"/>
      <c r="AF32" s="231"/>
      <c r="AG32" s="231"/>
      <c r="AH32" s="231"/>
      <c r="AI32" s="231"/>
      <c r="AJ32" s="231"/>
      <c r="AK32" s="231"/>
    </row>
    <row r="33" spans="1:37" s="203" customFormat="1">
      <c r="A33" s="46">
        <v>6</v>
      </c>
      <c r="B33" s="47" t="s">
        <v>57</v>
      </c>
      <c r="C33" s="47"/>
      <c r="D33" s="48"/>
      <c r="E33" s="49">
        <v>14483</v>
      </c>
      <c r="F33" s="50">
        <f>F257</f>
        <v>14473</v>
      </c>
      <c r="G33" s="43"/>
      <c r="H33" s="51">
        <f>H257</f>
        <v>14342</v>
      </c>
      <c r="I33" s="43"/>
      <c r="J33" s="231"/>
      <c r="K33" s="231"/>
      <c r="L33" s="231"/>
      <c r="M33" s="231"/>
      <c r="N33" s="231"/>
      <c r="O33" s="231"/>
      <c r="P33" s="231"/>
      <c r="Q33" s="231"/>
      <c r="R33" s="231"/>
      <c r="S33" s="231"/>
      <c r="T33" s="231"/>
      <c r="U33" s="231"/>
      <c r="V33" s="231"/>
      <c r="W33" s="231"/>
      <c r="X33" s="231"/>
      <c r="Y33" s="231"/>
      <c r="Z33" s="231"/>
      <c r="AA33" s="231"/>
      <c r="AB33" s="231"/>
      <c r="AC33" s="231"/>
      <c r="AD33" s="231"/>
      <c r="AE33" s="231"/>
      <c r="AF33" s="231"/>
      <c r="AG33" s="231"/>
      <c r="AH33" s="231"/>
      <c r="AI33" s="231"/>
      <c r="AJ33" s="231"/>
      <c r="AK33" s="231"/>
    </row>
    <row r="34" spans="1:37" s="203" customFormat="1">
      <c r="A34" s="46">
        <v>7</v>
      </c>
      <c r="B34" s="47" t="s">
        <v>58</v>
      </c>
      <c r="C34" s="47"/>
      <c r="D34" s="48"/>
      <c r="E34" s="49">
        <v>9851</v>
      </c>
      <c r="F34" s="50">
        <f>F277</f>
        <v>10433</v>
      </c>
      <c r="G34" s="43"/>
      <c r="H34" s="50">
        <f>H277</f>
        <v>10140</v>
      </c>
      <c r="I34" s="43"/>
      <c r="J34" s="231"/>
      <c r="K34" s="231"/>
      <c r="L34" s="231"/>
      <c r="M34" s="231"/>
      <c r="N34" s="231"/>
      <c r="O34" s="231"/>
      <c r="P34" s="231"/>
      <c r="Q34" s="231"/>
      <c r="R34" s="231"/>
      <c r="S34" s="231"/>
      <c r="T34" s="231"/>
      <c r="U34" s="231"/>
      <c r="V34" s="231"/>
      <c r="W34" s="231"/>
      <c r="X34" s="231"/>
      <c r="Y34" s="231"/>
      <c r="Z34" s="231"/>
      <c r="AA34" s="231"/>
      <c r="AB34" s="231"/>
      <c r="AC34" s="231"/>
      <c r="AD34" s="231"/>
      <c r="AE34" s="231"/>
      <c r="AF34" s="231"/>
      <c r="AG34" s="231"/>
      <c r="AH34" s="231"/>
      <c r="AI34" s="231"/>
      <c r="AJ34" s="231"/>
      <c r="AK34" s="231"/>
    </row>
    <row r="35" spans="1:37" s="203" customFormat="1">
      <c r="A35" s="46">
        <v>8</v>
      </c>
      <c r="B35" s="47" t="s">
        <v>59</v>
      </c>
      <c r="C35" s="47"/>
      <c r="D35" s="48"/>
      <c r="E35" s="49">
        <v>10155</v>
      </c>
      <c r="F35" s="50">
        <f>F302</f>
        <v>10369</v>
      </c>
      <c r="G35" s="43"/>
      <c r="H35" s="50">
        <f>H302</f>
        <v>9331</v>
      </c>
      <c r="I35" s="21"/>
      <c r="J35" s="231"/>
      <c r="K35" s="231"/>
      <c r="L35" s="231"/>
      <c r="M35" s="231"/>
      <c r="N35" s="231"/>
      <c r="O35" s="231"/>
      <c r="P35" s="231"/>
      <c r="Q35" s="231"/>
      <c r="R35" s="231"/>
      <c r="S35" s="231"/>
      <c r="T35" s="231"/>
      <c r="U35" s="231"/>
      <c r="V35" s="231"/>
      <c r="W35" s="231"/>
      <c r="X35" s="231"/>
      <c r="Y35" s="231"/>
      <c r="Z35" s="231"/>
      <c r="AA35" s="231"/>
      <c r="AB35" s="231"/>
      <c r="AC35" s="231"/>
      <c r="AD35" s="231"/>
      <c r="AE35" s="231"/>
      <c r="AF35" s="231"/>
      <c r="AG35" s="231"/>
      <c r="AH35" s="231"/>
      <c r="AI35" s="231"/>
      <c r="AJ35" s="231"/>
      <c r="AK35" s="231"/>
    </row>
    <row r="36" spans="1:37" s="203" customFormat="1">
      <c r="A36" s="46">
        <v>9</v>
      </c>
      <c r="B36" s="47" t="s">
        <v>60</v>
      </c>
      <c r="C36" s="47"/>
      <c r="D36" s="48"/>
      <c r="E36" s="49">
        <v>0</v>
      </c>
      <c r="F36" s="52"/>
      <c r="G36" s="43"/>
      <c r="H36" s="52"/>
      <c r="I36" s="21"/>
      <c r="J36" s="231"/>
      <c r="K36" s="231"/>
      <c r="L36" s="231"/>
      <c r="M36" s="231"/>
      <c r="N36" s="231"/>
      <c r="O36" s="231"/>
      <c r="P36" s="231"/>
      <c r="Q36" s="231"/>
      <c r="R36" s="231"/>
      <c r="S36" s="231"/>
      <c r="T36" s="231"/>
      <c r="U36" s="231"/>
      <c r="V36" s="231"/>
      <c r="W36" s="231"/>
      <c r="X36" s="231"/>
      <c r="Y36" s="231"/>
      <c r="Z36" s="231"/>
      <c r="AA36" s="231"/>
      <c r="AB36" s="231"/>
      <c r="AC36" s="231"/>
      <c r="AD36" s="231"/>
      <c r="AE36" s="231"/>
      <c r="AF36" s="231"/>
      <c r="AG36" s="231"/>
      <c r="AH36" s="231"/>
      <c r="AI36" s="231"/>
      <c r="AJ36" s="231"/>
      <c r="AK36" s="231"/>
    </row>
    <row r="37" spans="1:37" s="203" customFormat="1">
      <c r="A37" s="53">
        <v>10</v>
      </c>
      <c r="B37" s="54" t="s">
        <v>61</v>
      </c>
      <c r="C37" s="54"/>
      <c r="D37" s="55"/>
      <c r="E37" s="56">
        <v>25934</v>
      </c>
      <c r="F37" s="57">
        <f>F320</f>
        <v>24647</v>
      </c>
      <c r="G37" s="43"/>
      <c r="H37" s="57">
        <f>H320</f>
        <v>26426</v>
      </c>
      <c r="I37" s="21"/>
      <c r="J37" s="231"/>
      <c r="K37" s="231"/>
      <c r="L37" s="231"/>
      <c r="M37" s="231"/>
      <c r="N37" s="231"/>
      <c r="O37" s="231"/>
      <c r="P37" s="231"/>
      <c r="Q37" s="231"/>
      <c r="R37" s="231"/>
      <c r="S37" s="231"/>
      <c r="T37" s="231"/>
      <c r="U37" s="231"/>
      <c r="V37" s="231"/>
      <c r="W37" s="231"/>
      <c r="X37" s="231"/>
      <c r="Y37" s="231"/>
      <c r="Z37" s="231"/>
      <c r="AA37" s="231"/>
      <c r="AB37" s="231"/>
      <c r="AC37" s="231"/>
      <c r="AD37" s="231"/>
      <c r="AE37" s="231"/>
      <c r="AF37" s="231"/>
      <c r="AG37" s="231"/>
      <c r="AH37" s="231"/>
      <c r="AI37" s="231"/>
      <c r="AJ37" s="231"/>
      <c r="AK37" s="231"/>
    </row>
    <row r="38" spans="1:37" s="203" customFormat="1">
      <c r="A38" s="33">
        <v>11</v>
      </c>
      <c r="B38" s="58" t="s">
        <v>62</v>
      </c>
      <c r="C38" s="58"/>
      <c r="D38" s="59"/>
      <c r="E38" s="60">
        <v>333375</v>
      </c>
      <c r="F38" s="61">
        <f>SUM(F28:F37)</f>
        <v>337083</v>
      </c>
      <c r="G38" s="43"/>
      <c r="H38" s="61">
        <f>SUM(H28:H37)</f>
        <v>343521</v>
      </c>
      <c r="I38" s="68"/>
      <c r="J38" s="231"/>
      <c r="K38" s="231"/>
      <c r="L38" s="231"/>
      <c r="M38" s="231"/>
      <c r="N38" s="231"/>
      <c r="O38" s="231"/>
      <c r="P38" s="231"/>
      <c r="Q38" s="231"/>
      <c r="R38" s="231"/>
      <c r="S38" s="231"/>
      <c r="T38" s="231"/>
      <c r="U38" s="231"/>
      <c r="V38" s="231"/>
      <c r="W38" s="231"/>
      <c r="X38" s="231"/>
      <c r="Y38" s="231"/>
      <c r="Z38" s="231"/>
      <c r="AA38" s="231"/>
      <c r="AB38" s="231"/>
      <c r="AC38" s="231"/>
      <c r="AD38" s="231"/>
      <c r="AE38" s="231"/>
      <c r="AF38" s="231"/>
      <c r="AG38" s="231"/>
      <c r="AH38" s="231"/>
      <c r="AI38" s="231"/>
      <c r="AJ38" s="231"/>
      <c r="AK38" s="231"/>
    </row>
    <row r="39" spans="1:37" s="203" customFormat="1" ht="12.75" customHeight="1">
      <c r="A39" s="63"/>
      <c r="B39" s="64"/>
      <c r="C39" s="64"/>
      <c r="D39" s="65"/>
      <c r="E39" s="66"/>
      <c r="F39" s="67"/>
      <c r="G39" s="21"/>
      <c r="H39" s="67"/>
      <c r="I39" s="68"/>
      <c r="J39" s="231"/>
      <c r="K39" s="231"/>
      <c r="L39" s="231"/>
      <c r="M39" s="231"/>
      <c r="N39" s="231"/>
      <c r="O39" s="231"/>
      <c r="P39" s="231"/>
      <c r="Q39" s="231"/>
      <c r="R39" s="231"/>
      <c r="S39" s="231"/>
      <c r="T39" s="231"/>
      <c r="U39" s="231"/>
      <c r="V39" s="231"/>
      <c r="W39" s="231"/>
      <c r="X39" s="231"/>
      <c r="Y39" s="231"/>
      <c r="Z39" s="231"/>
      <c r="AA39" s="231"/>
      <c r="AB39" s="231"/>
      <c r="AC39" s="231"/>
      <c r="AD39" s="231"/>
      <c r="AE39" s="231"/>
      <c r="AF39" s="231"/>
      <c r="AG39" s="231"/>
      <c r="AH39" s="231"/>
      <c r="AI39" s="231"/>
      <c r="AJ39" s="231"/>
      <c r="AK39" s="231"/>
    </row>
    <row r="40" spans="1:37" s="203" customFormat="1" ht="12.75" customHeight="1">
      <c r="A40" s="893" t="s">
        <v>63</v>
      </c>
      <c r="B40" s="894"/>
      <c r="C40" s="894"/>
      <c r="D40" s="895"/>
      <c r="E40" s="878" t="s">
        <v>376</v>
      </c>
      <c r="F40" s="856" t="s">
        <v>407</v>
      </c>
      <c r="G40" s="36"/>
      <c r="H40" s="878" t="s">
        <v>406</v>
      </c>
      <c r="I40" s="43"/>
      <c r="J40" s="231"/>
      <c r="K40" s="231"/>
      <c r="L40" s="231"/>
      <c r="M40" s="231"/>
      <c r="N40" s="231"/>
      <c r="O40" s="231"/>
      <c r="P40" s="231"/>
      <c r="Q40" s="231"/>
      <c r="R40" s="231"/>
      <c r="S40" s="231"/>
      <c r="T40" s="231"/>
      <c r="U40" s="231"/>
      <c r="V40" s="231"/>
      <c r="W40" s="231"/>
      <c r="X40" s="231"/>
      <c r="Y40" s="231"/>
      <c r="Z40" s="231"/>
      <c r="AA40" s="231"/>
      <c r="AB40" s="231"/>
      <c r="AC40" s="231"/>
      <c r="AD40" s="231"/>
      <c r="AE40" s="231"/>
      <c r="AF40" s="231"/>
      <c r="AG40" s="231"/>
      <c r="AH40" s="231"/>
      <c r="AI40" s="231"/>
      <c r="AJ40" s="231"/>
      <c r="AK40" s="231"/>
    </row>
    <row r="41" spans="1:37" s="203" customFormat="1" ht="27.75" customHeight="1">
      <c r="A41" s="876"/>
      <c r="B41" s="877"/>
      <c r="C41" s="877"/>
      <c r="D41" s="896"/>
      <c r="E41" s="879"/>
      <c r="F41" s="860"/>
      <c r="G41" s="23"/>
      <c r="H41" s="879"/>
      <c r="I41" s="43"/>
      <c r="J41" s="231"/>
      <c r="K41" s="231"/>
      <c r="L41" s="231"/>
      <c r="M41" s="231"/>
      <c r="N41" s="231"/>
      <c r="O41" s="231"/>
      <c r="P41" s="231"/>
      <c r="Q41" s="231"/>
      <c r="R41" s="231"/>
      <c r="S41" s="231"/>
      <c r="T41" s="231"/>
      <c r="U41" s="231"/>
      <c r="V41" s="231"/>
      <c r="W41" s="231"/>
      <c r="X41" s="231"/>
      <c r="Y41" s="231"/>
      <c r="Z41" s="231"/>
      <c r="AA41" s="231"/>
      <c r="AB41" s="231"/>
      <c r="AC41" s="231"/>
      <c r="AD41" s="231"/>
      <c r="AE41" s="231"/>
      <c r="AF41" s="231"/>
      <c r="AG41" s="231"/>
      <c r="AH41" s="231"/>
      <c r="AI41" s="231"/>
      <c r="AJ41" s="231"/>
      <c r="AK41" s="231"/>
    </row>
    <row r="42" spans="1:37" s="203" customFormat="1">
      <c r="A42" s="783" t="s">
        <v>64</v>
      </c>
      <c r="B42" s="69" t="s">
        <v>65</v>
      </c>
      <c r="C42" s="69"/>
      <c r="D42" s="70"/>
      <c r="E42" s="71"/>
      <c r="F42" s="72" t="str">
        <f>IF(OR(F43&lt;0,F44&lt;0,F47&lt;0,F48&lt;0,H43&lt;0,H44&lt;0,H47&lt;0,H48&lt;0),"Funding should be recorded as positive figures",".")</f>
        <v>.</v>
      </c>
      <c r="G42" s="45"/>
      <c r="H42" s="73"/>
      <c r="I42" s="43"/>
      <c r="J42" s="231"/>
      <c r="K42" s="231"/>
      <c r="L42" s="231"/>
      <c r="M42" s="231"/>
      <c r="N42" s="231"/>
      <c r="O42" s="231"/>
      <c r="P42" s="231"/>
      <c r="Q42" s="231"/>
      <c r="R42" s="231"/>
      <c r="S42" s="231"/>
      <c r="T42" s="231"/>
      <c r="U42" s="231"/>
      <c r="V42" s="231"/>
      <c r="W42" s="231"/>
      <c r="X42" s="231"/>
      <c r="Y42" s="231"/>
      <c r="Z42" s="231"/>
      <c r="AA42" s="231"/>
      <c r="AB42" s="231"/>
      <c r="AC42" s="231"/>
      <c r="AD42" s="231"/>
      <c r="AE42" s="231"/>
      <c r="AF42" s="231"/>
      <c r="AG42" s="231"/>
      <c r="AH42" s="231"/>
      <c r="AI42" s="231"/>
      <c r="AJ42" s="231"/>
      <c r="AK42" s="231"/>
    </row>
    <row r="43" spans="1:37" s="203" customFormat="1">
      <c r="A43" s="46">
        <v>1</v>
      </c>
      <c r="B43" s="47" t="s">
        <v>66</v>
      </c>
      <c r="C43" s="47"/>
      <c r="D43" s="48"/>
      <c r="E43" s="74">
        <v>226978</v>
      </c>
      <c r="F43" s="241">
        <v>228714.99999999997</v>
      </c>
      <c r="G43" s="45"/>
      <c r="H43" s="75">
        <v>222589</v>
      </c>
      <c r="I43" s="43"/>
      <c r="J43" s="231"/>
      <c r="K43" s="231"/>
      <c r="L43" s="231"/>
      <c r="M43" s="231"/>
      <c r="N43" s="231"/>
      <c r="O43" s="231"/>
      <c r="P43" s="231"/>
      <c r="Q43" s="231"/>
      <c r="R43" s="231"/>
      <c r="S43" s="231"/>
      <c r="T43" s="231"/>
      <c r="U43" s="231"/>
      <c r="V43" s="231"/>
      <c r="W43" s="231"/>
      <c r="X43" s="231"/>
      <c r="Y43" s="231"/>
      <c r="Z43" s="231"/>
      <c r="AA43" s="231"/>
      <c r="AB43" s="231"/>
      <c r="AC43" s="231"/>
      <c r="AD43" s="231"/>
      <c r="AE43" s="231"/>
      <c r="AF43" s="231"/>
      <c r="AG43" s="231"/>
      <c r="AH43" s="231"/>
      <c r="AI43" s="231"/>
      <c r="AJ43" s="231"/>
      <c r="AK43" s="231"/>
    </row>
    <row r="44" spans="1:37" s="203" customFormat="1">
      <c r="A44" s="46">
        <v>2</v>
      </c>
      <c r="B44" s="47" t="s">
        <v>67</v>
      </c>
      <c r="C44" s="47"/>
      <c r="D44" s="48"/>
      <c r="E44" s="49">
        <v>39471</v>
      </c>
      <c r="F44" s="241">
        <v>39471</v>
      </c>
      <c r="G44" s="45"/>
      <c r="H44" s="75">
        <v>41124</v>
      </c>
      <c r="I44" s="43"/>
      <c r="J44" s="231"/>
      <c r="K44" s="231"/>
      <c r="L44" s="231"/>
      <c r="M44" s="231"/>
      <c r="N44" s="231"/>
      <c r="O44" s="231"/>
      <c r="P44" s="231"/>
      <c r="Q44" s="231"/>
      <c r="R44" s="231"/>
      <c r="S44" s="231"/>
      <c r="T44" s="231"/>
      <c r="U44" s="231"/>
      <c r="V44" s="231"/>
      <c r="W44" s="231"/>
      <c r="X44" s="231"/>
      <c r="Y44" s="231"/>
      <c r="Z44" s="231"/>
      <c r="AA44" s="231"/>
      <c r="AB44" s="231"/>
      <c r="AC44" s="231"/>
      <c r="AD44" s="231"/>
      <c r="AE44" s="231"/>
      <c r="AF44" s="231"/>
      <c r="AG44" s="231"/>
      <c r="AH44" s="231"/>
      <c r="AI44" s="231"/>
      <c r="AJ44" s="231"/>
      <c r="AK44" s="231"/>
    </row>
    <row r="45" spans="1:37" s="203" customFormat="1">
      <c r="A45" s="46">
        <v>3</v>
      </c>
      <c r="B45" s="47" t="s">
        <v>68</v>
      </c>
      <c r="C45" s="47"/>
      <c r="D45" s="48"/>
      <c r="E45" s="49">
        <v>0</v>
      </c>
      <c r="F45" s="52">
        <v>240</v>
      </c>
      <c r="G45" s="45"/>
      <c r="H45" s="75"/>
      <c r="I45" s="43"/>
      <c r="J45" s="231"/>
      <c r="K45" s="231"/>
      <c r="L45" s="231"/>
      <c r="M45" s="231"/>
      <c r="N45" s="231"/>
      <c r="O45" s="231"/>
      <c r="P45" s="231"/>
      <c r="Q45" s="231"/>
      <c r="R45" s="231"/>
      <c r="S45" s="231"/>
      <c r="T45" s="231"/>
      <c r="U45" s="231"/>
      <c r="V45" s="231"/>
      <c r="W45" s="231"/>
      <c r="X45" s="231"/>
      <c r="Y45" s="231"/>
      <c r="Z45" s="231"/>
      <c r="AA45" s="231"/>
      <c r="AB45" s="231"/>
      <c r="AC45" s="231"/>
      <c r="AD45" s="231"/>
      <c r="AE45" s="231"/>
      <c r="AF45" s="231"/>
      <c r="AG45" s="231"/>
      <c r="AH45" s="231"/>
      <c r="AI45" s="231"/>
      <c r="AJ45" s="231"/>
      <c r="AK45" s="231"/>
    </row>
    <row r="46" spans="1:37" s="203" customFormat="1">
      <c r="A46" s="46">
        <v>4</v>
      </c>
      <c r="B46" s="47" t="s">
        <v>70</v>
      </c>
      <c r="C46" s="47"/>
      <c r="D46" s="48"/>
      <c r="E46" s="49">
        <v>0</v>
      </c>
      <c r="F46" s="52"/>
      <c r="G46" s="45"/>
      <c r="H46" s="75"/>
      <c r="I46" s="43"/>
      <c r="J46" s="231"/>
      <c r="K46" s="231"/>
      <c r="L46" s="231"/>
      <c r="M46" s="231"/>
      <c r="N46" s="231"/>
      <c r="O46" s="231"/>
      <c r="P46" s="231"/>
      <c r="Q46" s="231"/>
      <c r="R46" s="231"/>
      <c r="S46" s="231"/>
      <c r="T46" s="231"/>
      <c r="U46" s="231"/>
      <c r="V46" s="231"/>
      <c r="W46" s="231"/>
      <c r="X46" s="231"/>
      <c r="Y46" s="231"/>
      <c r="Z46" s="231"/>
      <c r="AA46" s="231"/>
      <c r="AB46" s="231"/>
      <c r="AC46" s="231"/>
      <c r="AD46" s="231"/>
      <c r="AE46" s="231"/>
      <c r="AF46" s="231"/>
      <c r="AG46" s="231"/>
      <c r="AH46" s="231"/>
      <c r="AI46" s="231"/>
      <c r="AJ46" s="231"/>
      <c r="AK46" s="231"/>
    </row>
    <row r="47" spans="1:37" s="203" customFormat="1">
      <c r="A47" s="46">
        <v>5</v>
      </c>
      <c r="B47" s="47" t="s">
        <v>69</v>
      </c>
      <c r="C47" s="47"/>
      <c r="D47" s="48"/>
      <c r="E47" s="49">
        <v>9787</v>
      </c>
      <c r="F47" s="52">
        <f>10977-2017</f>
        <v>8960</v>
      </c>
      <c r="G47" s="45"/>
      <c r="H47" s="76">
        <v>19309</v>
      </c>
      <c r="I47" s="43"/>
      <c r="J47" s="231"/>
      <c r="K47" s="231"/>
      <c r="L47" s="231"/>
      <c r="M47" s="231"/>
      <c r="N47" s="231"/>
      <c r="O47" s="231"/>
      <c r="P47" s="231"/>
      <c r="Q47" s="231"/>
      <c r="R47" s="231"/>
      <c r="S47" s="231"/>
      <c r="T47" s="231"/>
      <c r="U47" s="231"/>
      <c r="V47" s="231"/>
      <c r="W47" s="231"/>
      <c r="X47" s="231"/>
      <c r="Y47" s="231"/>
      <c r="Z47" s="231"/>
      <c r="AA47" s="231"/>
      <c r="AB47" s="231"/>
      <c r="AC47" s="231"/>
      <c r="AD47" s="231"/>
      <c r="AE47" s="231"/>
      <c r="AF47" s="231"/>
      <c r="AG47" s="231"/>
      <c r="AH47" s="231"/>
      <c r="AI47" s="231"/>
      <c r="AJ47" s="231"/>
      <c r="AK47" s="231"/>
    </row>
    <row r="48" spans="1:37" s="203" customFormat="1">
      <c r="A48" s="46">
        <v>6</v>
      </c>
      <c r="B48" s="90" t="s">
        <v>253</v>
      </c>
      <c r="C48" s="47"/>
      <c r="D48" s="195"/>
      <c r="E48" s="49">
        <v>53639</v>
      </c>
      <c r="F48" s="52">
        <v>53842</v>
      </c>
      <c r="G48" s="45"/>
      <c r="H48" s="52">
        <v>56619</v>
      </c>
      <c r="I48" s="43"/>
      <c r="J48" s="231"/>
      <c r="K48" s="231"/>
      <c r="L48" s="231"/>
      <c r="M48" s="231"/>
      <c r="N48" s="231"/>
      <c r="O48" s="231"/>
      <c r="P48" s="231"/>
      <c r="Q48" s="231"/>
      <c r="R48" s="231"/>
      <c r="S48" s="231"/>
      <c r="T48" s="231"/>
      <c r="U48" s="231"/>
      <c r="V48" s="231"/>
      <c r="W48" s="231"/>
      <c r="X48" s="231"/>
      <c r="Y48" s="231"/>
      <c r="Z48" s="231"/>
      <c r="AA48" s="231"/>
      <c r="AB48" s="231"/>
      <c r="AC48" s="231"/>
      <c r="AD48" s="231"/>
      <c r="AE48" s="231"/>
      <c r="AF48" s="231"/>
      <c r="AG48" s="231"/>
      <c r="AH48" s="231"/>
      <c r="AI48" s="231"/>
      <c r="AJ48" s="231"/>
      <c r="AK48" s="231"/>
    </row>
    <row r="49" spans="1:37" s="203" customFormat="1">
      <c r="A49" s="77">
        <v>7</v>
      </c>
      <c r="B49" s="78" t="s">
        <v>71</v>
      </c>
      <c r="C49" s="58"/>
      <c r="D49" s="79"/>
      <c r="E49" s="80">
        <v>329875</v>
      </c>
      <c r="F49" s="81">
        <f>SUM(F43:F48)</f>
        <v>331228</v>
      </c>
      <c r="G49" s="82"/>
      <c r="H49" s="62">
        <f>SUM(H43:H48)</f>
        <v>339641</v>
      </c>
      <c r="I49" s="242"/>
      <c r="J49" s="231"/>
      <c r="K49" s="231"/>
      <c r="L49" s="231"/>
      <c r="M49" s="231"/>
      <c r="N49" s="231"/>
      <c r="O49" s="231"/>
      <c r="P49" s="231"/>
      <c r="Q49" s="231"/>
      <c r="R49" s="231"/>
      <c r="S49" s="231"/>
      <c r="T49" s="231"/>
      <c r="U49" s="231"/>
      <c r="V49" s="231"/>
      <c r="W49" s="231"/>
      <c r="X49" s="231"/>
      <c r="Y49" s="231"/>
      <c r="Z49" s="231"/>
      <c r="AA49" s="231"/>
      <c r="AB49" s="231"/>
      <c r="AC49" s="231"/>
      <c r="AD49" s="231"/>
      <c r="AE49" s="231"/>
      <c r="AF49" s="231"/>
      <c r="AG49" s="231"/>
      <c r="AH49" s="231"/>
      <c r="AI49" s="231"/>
      <c r="AJ49" s="231"/>
      <c r="AK49" s="231"/>
    </row>
    <row r="50" spans="1:37" s="203" customFormat="1">
      <c r="A50" s="83"/>
      <c r="B50" s="244"/>
      <c r="C50" s="244"/>
      <c r="D50" s="244"/>
      <c r="E50" s="85"/>
      <c r="F50" s="244"/>
      <c r="G50" s="86"/>
      <c r="H50" s="86"/>
      <c r="I50" s="21"/>
      <c r="J50" s="231"/>
      <c r="K50" s="231"/>
      <c r="L50" s="231"/>
      <c r="M50" s="231"/>
      <c r="N50" s="231"/>
      <c r="O50" s="231"/>
      <c r="P50" s="231"/>
      <c r="Q50" s="231"/>
      <c r="R50" s="231"/>
      <c r="S50" s="231"/>
      <c r="T50" s="231"/>
      <c r="U50" s="231"/>
      <c r="V50" s="231"/>
      <c r="W50" s="231"/>
      <c r="X50" s="231"/>
      <c r="Y50" s="231"/>
      <c r="Z50" s="231"/>
      <c r="AA50" s="231"/>
      <c r="AB50" s="231"/>
      <c r="AC50" s="231"/>
      <c r="AD50" s="231"/>
      <c r="AE50" s="231"/>
      <c r="AF50" s="231"/>
      <c r="AG50" s="231"/>
      <c r="AH50" s="231"/>
      <c r="AI50" s="231"/>
      <c r="AJ50" s="231"/>
      <c r="AK50" s="231"/>
    </row>
    <row r="51" spans="1:37" s="203" customFormat="1">
      <c r="A51" s="783" t="s">
        <v>72</v>
      </c>
      <c r="B51" s="196" t="s">
        <v>254</v>
      </c>
      <c r="C51" s="69"/>
      <c r="D51" s="70"/>
      <c r="E51" s="87"/>
      <c r="F51" s="88"/>
      <c r="G51" s="45"/>
      <c r="H51" s="89"/>
      <c r="I51" s="43"/>
      <c r="J51" s="231"/>
      <c r="K51" s="231"/>
      <c r="L51" s="231"/>
      <c r="M51" s="231"/>
      <c r="N51" s="231"/>
      <c r="O51" s="231"/>
      <c r="P51" s="231"/>
      <c r="Q51" s="231"/>
      <c r="R51" s="231"/>
      <c r="S51" s="231"/>
      <c r="T51" s="231"/>
      <c r="U51" s="231"/>
      <c r="V51" s="231"/>
      <c r="W51" s="231"/>
      <c r="X51" s="231"/>
      <c r="Y51" s="231"/>
      <c r="Z51" s="231"/>
      <c r="AA51" s="231"/>
      <c r="AB51" s="231"/>
      <c r="AC51" s="231"/>
      <c r="AD51" s="231"/>
      <c r="AE51" s="231"/>
      <c r="AF51" s="231"/>
      <c r="AG51" s="231"/>
      <c r="AH51" s="231"/>
      <c r="AI51" s="231"/>
      <c r="AJ51" s="231"/>
      <c r="AK51" s="231"/>
    </row>
    <row r="52" spans="1:37" s="203" customFormat="1">
      <c r="A52" s="46">
        <v>8</v>
      </c>
      <c r="B52" s="90" t="s">
        <v>73</v>
      </c>
      <c r="C52" s="47"/>
      <c r="D52" s="48"/>
      <c r="E52" s="74">
        <v>333375</v>
      </c>
      <c r="F52" s="50">
        <f>F38</f>
        <v>337083</v>
      </c>
      <c r="G52" s="45"/>
      <c r="H52" s="91">
        <f>H38</f>
        <v>343521</v>
      </c>
      <c r="I52" s="43"/>
      <c r="J52" s="231"/>
      <c r="K52" s="231"/>
      <c r="L52" s="231"/>
      <c r="M52" s="231"/>
      <c r="N52" s="231"/>
      <c r="O52" s="231"/>
      <c r="P52" s="231"/>
      <c r="Q52" s="231"/>
      <c r="R52" s="231"/>
      <c r="S52" s="231"/>
      <c r="T52" s="231"/>
      <c r="U52" s="231"/>
      <c r="V52" s="231"/>
      <c r="W52" s="231"/>
      <c r="X52" s="231"/>
      <c r="Y52" s="231"/>
      <c r="Z52" s="231"/>
      <c r="AA52" s="231"/>
      <c r="AB52" s="231"/>
      <c r="AC52" s="231"/>
      <c r="AD52" s="231"/>
      <c r="AE52" s="231"/>
      <c r="AF52" s="231"/>
      <c r="AG52" s="231"/>
      <c r="AH52" s="231"/>
      <c r="AI52" s="231"/>
      <c r="AJ52" s="231"/>
      <c r="AK52" s="231"/>
    </row>
    <row r="53" spans="1:37" s="203" customFormat="1">
      <c r="A53" s="46">
        <v>9</v>
      </c>
      <c r="B53" s="90" t="s">
        <v>74</v>
      </c>
      <c r="C53" s="47"/>
      <c r="D53" s="48"/>
      <c r="E53" s="49">
        <v>329875</v>
      </c>
      <c r="F53" s="92">
        <f>F49</f>
        <v>331228</v>
      </c>
      <c r="G53" s="45"/>
      <c r="H53" s="91">
        <f>H49</f>
        <v>339641</v>
      </c>
      <c r="I53" s="43"/>
      <c r="J53" s="231"/>
      <c r="K53" s="231"/>
      <c r="L53" s="231"/>
      <c r="M53" s="231"/>
      <c r="N53" s="231"/>
      <c r="O53" s="231"/>
      <c r="P53" s="231"/>
      <c r="Q53" s="231"/>
      <c r="R53" s="231"/>
      <c r="S53" s="231"/>
      <c r="T53" s="231"/>
      <c r="U53" s="231"/>
      <c r="V53" s="231"/>
      <c r="W53" s="231"/>
      <c r="X53" s="231"/>
      <c r="Y53" s="231"/>
      <c r="Z53" s="231"/>
      <c r="AA53" s="231"/>
      <c r="AB53" s="231"/>
      <c r="AC53" s="231"/>
      <c r="AD53" s="231"/>
      <c r="AE53" s="231"/>
      <c r="AF53" s="231"/>
      <c r="AG53" s="231"/>
      <c r="AH53" s="231"/>
      <c r="AI53" s="231"/>
      <c r="AJ53" s="231"/>
      <c r="AK53" s="231"/>
    </row>
    <row r="54" spans="1:37" s="203" customFormat="1">
      <c r="A54" s="785">
        <v>10</v>
      </c>
      <c r="B54" s="93" t="s">
        <v>255</v>
      </c>
      <c r="C54" s="94"/>
      <c r="D54" s="55"/>
      <c r="E54" s="95">
        <v>-3500</v>
      </c>
      <c r="F54" s="96">
        <f>F53-F52</f>
        <v>-5855</v>
      </c>
      <c r="G54" s="45"/>
      <c r="H54" s="97">
        <f>H53-H52</f>
        <v>-3880</v>
      </c>
      <c r="I54" s="43"/>
      <c r="J54" s="231"/>
      <c r="K54" s="231"/>
      <c r="L54" s="231"/>
      <c r="M54" s="231"/>
      <c r="N54" s="231"/>
      <c r="O54" s="231"/>
      <c r="P54" s="231"/>
      <c r="Q54" s="231"/>
      <c r="R54" s="231"/>
      <c r="S54" s="231"/>
      <c r="T54" s="231"/>
      <c r="U54" s="231"/>
      <c r="V54" s="231"/>
      <c r="W54" s="231"/>
      <c r="X54" s="231"/>
      <c r="Y54" s="231"/>
      <c r="Z54" s="231"/>
      <c r="AA54" s="231"/>
      <c r="AB54" s="231"/>
      <c r="AC54" s="231"/>
      <c r="AD54" s="231"/>
      <c r="AE54" s="231"/>
      <c r="AF54" s="231"/>
      <c r="AG54" s="231"/>
      <c r="AH54" s="231"/>
      <c r="AI54" s="231"/>
      <c r="AJ54" s="231"/>
      <c r="AK54" s="231"/>
    </row>
    <row r="55" spans="1:37" s="203" customFormat="1">
      <c r="A55" s="83"/>
      <c r="B55" s="244"/>
      <c r="C55" s="244"/>
      <c r="D55" s="244"/>
      <c r="E55" s="85"/>
      <c r="F55" s="244"/>
      <c r="G55" s="86"/>
      <c r="H55" s="86"/>
      <c r="I55" s="21"/>
      <c r="J55" s="231"/>
      <c r="K55" s="231"/>
      <c r="L55" s="231"/>
      <c r="M55" s="231"/>
      <c r="N55" s="231"/>
      <c r="O55" s="231"/>
      <c r="P55" s="231"/>
      <c r="Q55" s="231"/>
      <c r="R55" s="231"/>
      <c r="S55" s="231"/>
      <c r="T55" s="231"/>
      <c r="U55" s="231"/>
      <c r="V55" s="231"/>
      <c r="W55" s="231"/>
      <c r="X55" s="231"/>
      <c r="Y55" s="231"/>
      <c r="Z55" s="231"/>
      <c r="AA55" s="231"/>
      <c r="AB55" s="231"/>
      <c r="AC55" s="231"/>
      <c r="AD55" s="231"/>
      <c r="AE55" s="231"/>
      <c r="AF55" s="231"/>
      <c r="AG55" s="231"/>
      <c r="AH55" s="231"/>
      <c r="AI55" s="231"/>
      <c r="AJ55" s="231"/>
      <c r="AK55" s="231"/>
    </row>
    <row r="56" spans="1:37" s="203" customFormat="1">
      <c r="A56" s="783" t="s">
        <v>75</v>
      </c>
      <c r="B56" s="69" t="s">
        <v>256</v>
      </c>
      <c r="C56" s="69"/>
      <c r="D56" s="70"/>
      <c r="E56" s="87"/>
      <c r="F56" s="88"/>
      <c r="G56" s="45"/>
      <c r="H56" s="89"/>
      <c r="I56" s="43"/>
      <c r="J56" s="231"/>
      <c r="K56" s="231"/>
      <c r="L56" s="231"/>
      <c r="M56" s="231"/>
      <c r="N56" s="231"/>
      <c r="O56" s="231"/>
      <c r="P56" s="231"/>
      <c r="Q56" s="231"/>
      <c r="R56" s="231"/>
      <c r="S56" s="231"/>
      <c r="T56" s="231"/>
      <c r="U56" s="231"/>
      <c r="V56" s="231"/>
      <c r="W56" s="231"/>
      <c r="X56" s="231"/>
      <c r="Y56" s="231"/>
      <c r="Z56" s="231"/>
      <c r="AA56" s="231"/>
      <c r="AB56" s="231"/>
      <c r="AC56" s="231"/>
      <c r="AD56" s="231"/>
      <c r="AE56" s="231"/>
      <c r="AF56" s="231"/>
      <c r="AG56" s="231"/>
      <c r="AH56" s="231"/>
      <c r="AI56" s="231"/>
      <c r="AJ56" s="231"/>
      <c r="AK56" s="231"/>
    </row>
    <row r="57" spans="1:37" s="203" customFormat="1">
      <c r="A57" s="46">
        <v>11</v>
      </c>
      <c r="B57" s="47" t="s">
        <v>76</v>
      </c>
      <c r="C57" s="47"/>
      <c r="D57" s="48"/>
      <c r="E57" s="74">
        <v>27444</v>
      </c>
      <c r="F57" s="52">
        <v>33235</v>
      </c>
      <c r="G57" s="45"/>
      <c r="H57" s="91">
        <f>F61</f>
        <v>36250</v>
      </c>
      <c r="I57" s="43"/>
      <c r="J57" s="231"/>
      <c r="K57" s="231"/>
      <c r="L57" s="231"/>
      <c r="M57" s="231"/>
      <c r="N57" s="231"/>
      <c r="O57" s="231"/>
      <c r="P57" s="231"/>
      <c r="Q57" s="231"/>
      <c r="R57" s="231"/>
      <c r="S57" s="231"/>
      <c r="T57" s="231"/>
      <c r="U57" s="231"/>
      <c r="V57" s="231"/>
      <c r="W57" s="231"/>
      <c r="X57" s="231"/>
      <c r="Y57" s="231"/>
      <c r="Z57" s="231"/>
      <c r="AA57" s="231"/>
      <c r="AB57" s="231"/>
      <c r="AC57" s="231"/>
      <c r="AD57" s="231"/>
      <c r="AE57" s="231"/>
      <c r="AF57" s="231"/>
      <c r="AG57" s="231"/>
      <c r="AH57" s="231"/>
      <c r="AI57" s="231"/>
      <c r="AJ57" s="231"/>
      <c r="AK57" s="231"/>
    </row>
    <row r="58" spans="1:37" s="203" customFormat="1">
      <c r="A58" s="46">
        <v>12</v>
      </c>
      <c r="B58" s="90" t="s">
        <v>257</v>
      </c>
      <c r="C58" s="47"/>
      <c r="D58" s="48"/>
      <c r="E58" s="49">
        <v>-3500</v>
      </c>
      <c r="F58" s="92">
        <f>F54</f>
        <v>-5855</v>
      </c>
      <c r="G58" s="45"/>
      <c r="H58" s="98">
        <f>H54</f>
        <v>-3880</v>
      </c>
      <c r="I58" s="43"/>
      <c r="J58" s="231"/>
      <c r="K58" s="231"/>
      <c r="L58" s="231"/>
      <c r="M58" s="231"/>
      <c r="N58" s="231"/>
      <c r="O58" s="231"/>
      <c r="P58" s="231"/>
      <c r="Q58" s="231"/>
      <c r="R58" s="231"/>
      <c r="S58" s="231"/>
      <c r="T58" s="231"/>
      <c r="U58" s="231"/>
      <c r="V58" s="231"/>
      <c r="W58" s="231"/>
      <c r="X58" s="231"/>
      <c r="Y58" s="231"/>
      <c r="Z58" s="231"/>
      <c r="AA58" s="231"/>
      <c r="AB58" s="231"/>
      <c r="AC58" s="231"/>
      <c r="AD58" s="231"/>
      <c r="AE58" s="231"/>
      <c r="AF58" s="231"/>
      <c r="AG58" s="231"/>
      <c r="AH58" s="231"/>
      <c r="AI58" s="231"/>
      <c r="AJ58" s="231"/>
      <c r="AK58" s="231"/>
    </row>
    <row r="59" spans="1:37" s="203" customFormat="1">
      <c r="A59" s="46">
        <v>13</v>
      </c>
      <c r="B59" s="47" t="s">
        <v>77</v>
      </c>
      <c r="C59" s="47"/>
      <c r="D59" s="48"/>
      <c r="E59" s="49">
        <v>0</v>
      </c>
      <c r="F59" s="52"/>
      <c r="G59" s="45"/>
      <c r="H59" s="99"/>
      <c r="I59" s="43"/>
      <c r="J59" s="231"/>
      <c r="K59" s="231"/>
      <c r="L59" s="231"/>
      <c r="M59" s="231"/>
      <c r="N59" s="231"/>
      <c r="O59" s="231"/>
      <c r="P59" s="231"/>
      <c r="Q59" s="231"/>
      <c r="R59" s="231"/>
      <c r="S59" s="231"/>
      <c r="T59" s="231"/>
      <c r="U59" s="231"/>
      <c r="V59" s="231"/>
      <c r="W59" s="231"/>
      <c r="X59" s="231"/>
      <c r="Y59" s="231"/>
      <c r="Z59" s="231"/>
      <c r="AA59" s="231"/>
      <c r="AB59" s="231"/>
      <c r="AC59" s="231"/>
      <c r="AD59" s="231"/>
      <c r="AE59" s="231"/>
      <c r="AF59" s="231"/>
      <c r="AG59" s="231"/>
      <c r="AH59" s="231"/>
      <c r="AI59" s="231"/>
      <c r="AJ59" s="231"/>
      <c r="AK59" s="231"/>
    </row>
    <row r="60" spans="1:37" s="203" customFormat="1">
      <c r="A60" s="46">
        <v>14</v>
      </c>
      <c r="B60" s="47" t="s">
        <v>78</v>
      </c>
      <c r="C60" s="47"/>
      <c r="D60" s="48"/>
      <c r="E60" s="49">
        <v>0</v>
      </c>
      <c r="F60" s="52">
        <f>5928+2017+925</f>
        <v>8870</v>
      </c>
      <c r="G60" s="45"/>
      <c r="H60" s="100"/>
      <c r="I60" s="43"/>
      <c r="J60" s="231"/>
      <c r="K60" s="231"/>
      <c r="L60" s="231"/>
      <c r="M60" s="231"/>
      <c r="N60" s="231"/>
      <c r="O60" s="231"/>
      <c r="P60" s="231"/>
      <c r="Q60" s="231"/>
      <c r="R60" s="231"/>
      <c r="S60" s="231"/>
      <c r="T60" s="231"/>
      <c r="U60" s="231"/>
      <c r="V60" s="231"/>
      <c r="W60" s="231"/>
      <c r="X60" s="231"/>
      <c r="Y60" s="231"/>
      <c r="Z60" s="231"/>
      <c r="AA60" s="231"/>
      <c r="AB60" s="231"/>
      <c r="AC60" s="231"/>
      <c r="AD60" s="231"/>
      <c r="AE60" s="231"/>
      <c r="AF60" s="231"/>
      <c r="AG60" s="231"/>
      <c r="AH60" s="231"/>
      <c r="AI60" s="231"/>
      <c r="AJ60" s="231"/>
      <c r="AK60" s="231"/>
    </row>
    <row r="61" spans="1:37" s="203" customFormat="1">
      <c r="A61" s="53">
        <v>15</v>
      </c>
      <c r="B61" s="54" t="s">
        <v>79</v>
      </c>
      <c r="C61" s="54"/>
      <c r="D61" s="55"/>
      <c r="E61" s="56">
        <v>23944</v>
      </c>
      <c r="F61" s="96">
        <f>F57+F58+F59+F60</f>
        <v>36250</v>
      </c>
      <c r="G61" s="45"/>
      <c r="H61" s="101">
        <f>H57+H58+H59+H60</f>
        <v>32370</v>
      </c>
      <c r="I61" s="43"/>
      <c r="J61" s="231"/>
      <c r="K61" s="231"/>
      <c r="L61" s="231"/>
      <c r="M61" s="231"/>
      <c r="N61" s="231"/>
      <c r="O61" s="231"/>
      <c r="P61" s="231"/>
      <c r="Q61" s="231"/>
      <c r="R61" s="231"/>
      <c r="S61" s="231"/>
      <c r="T61" s="231"/>
      <c r="U61" s="231"/>
      <c r="V61" s="231"/>
      <c r="W61" s="231"/>
      <c r="X61" s="231"/>
      <c r="Y61" s="231"/>
      <c r="Z61" s="231"/>
      <c r="AA61" s="231"/>
      <c r="AB61" s="231"/>
      <c r="AC61" s="231"/>
      <c r="AD61" s="231"/>
      <c r="AE61" s="231"/>
      <c r="AF61" s="231"/>
      <c r="AG61" s="231"/>
      <c r="AH61" s="231"/>
      <c r="AI61" s="231"/>
      <c r="AJ61" s="231"/>
      <c r="AK61" s="231"/>
    </row>
    <row r="62" spans="1:37" s="203" customFormat="1">
      <c r="A62" s="102"/>
      <c r="B62" s="207"/>
      <c r="C62" s="207"/>
      <c r="D62" s="207"/>
      <c r="E62" s="103"/>
      <c r="F62" s="21"/>
      <c r="G62" s="21"/>
      <c r="H62" s="21"/>
      <c r="I62" s="21"/>
      <c r="J62" s="231"/>
      <c r="K62" s="231"/>
      <c r="L62" s="231"/>
      <c r="M62" s="231"/>
      <c r="N62" s="231"/>
      <c r="O62" s="231"/>
      <c r="P62" s="231"/>
      <c r="Q62" s="231"/>
      <c r="R62" s="231"/>
      <c r="S62" s="231"/>
      <c r="T62" s="231"/>
      <c r="U62" s="231"/>
      <c r="V62" s="231"/>
      <c r="W62" s="231"/>
      <c r="X62" s="231"/>
      <c r="Y62" s="231"/>
      <c r="Z62" s="231"/>
      <c r="AA62" s="231"/>
      <c r="AB62" s="231"/>
      <c r="AC62" s="231"/>
      <c r="AD62" s="231"/>
      <c r="AE62" s="231"/>
      <c r="AF62" s="231"/>
      <c r="AG62" s="231"/>
      <c r="AH62" s="231"/>
      <c r="AI62" s="231"/>
      <c r="AJ62" s="231"/>
      <c r="AK62" s="231"/>
    </row>
    <row r="63" spans="1:37" s="203" customFormat="1" ht="12.75" customHeight="1">
      <c r="A63" s="23"/>
      <c r="B63" s="207"/>
      <c r="C63" s="207"/>
      <c r="D63" s="207"/>
      <c r="E63" s="15"/>
      <c r="F63" s="207"/>
      <c r="G63" s="207"/>
      <c r="H63" s="21"/>
      <c r="I63" s="21"/>
      <c r="J63" s="231"/>
      <c r="K63" s="231"/>
      <c r="L63" s="231"/>
      <c r="M63" s="231"/>
      <c r="N63" s="231"/>
      <c r="O63" s="231"/>
      <c r="P63" s="231"/>
      <c r="Q63" s="231"/>
      <c r="R63" s="231"/>
      <c r="S63" s="231"/>
      <c r="T63" s="231"/>
      <c r="U63" s="231"/>
      <c r="V63" s="231"/>
      <c r="W63" s="231"/>
      <c r="X63" s="231"/>
      <c r="Y63" s="231"/>
      <c r="Z63" s="231"/>
      <c r="AA63" s="231"/>
      <c r="AB63" s="231"/>
      <c r="AC63" s="231"/>
      <c r="AD63" s="231"/>
      <c r="AE63" s="231"/>
      <c r="AF63" s="231"/>
      <c r="AG63" s="231"/>
      <c r="AH63" s="231"/>
      <c r="AI63" s="231"/>
      <c r="AJ63" s="231"/>
      <c r="AK63" s="231"/>
    </row>
    <row r="64" spans="1:37" s="203" customFormat="1" ht="15">
      <c r="A64" s="104" t="s">
        <v>80</v>
      </c>
      <c r="B64" s="29"/>
      <c r="C64" s="29"/>
      <c r="D64" s="29"/>
      <c r="E64" s="15"/>
      <c r="F64" s="29"/>
      <c r="G64" s="29"/>
      <c r="H64" s="29"/>
      <c r="I64" s="29"/>
      <c r="J64" s="231"/>
      <c r="K64" s="231"/>
      <c r="L64" s="231"/>
      <c r="M64" s="231"/>
      <c r="N64" s="231"/>
      <c r="O64" s="231"/>
      <c r="P64" s="231"/>
      <c r="Q64" s="231"/>
      <c r="R64" s="231"/>
      <c r="S64" s="231"/>
      <c r="T64" s="231"/>
      <c r="U64" s="231"/>
      <c r="V64" s="231"/>
      <c r="W64" s="231"/>
      <c r="X64" s="231"/>
      <c r="Y64" s="231"/>
      <c r="Z64" s="231"/>
      <c r="AA64" s="231"/>
      <c r="AB64" s="231"/>
      <c r="AC64" s="231"/>
      <c r="AD64" s="231"/>
      <c r="AE64" s="231"/>
      <c r="AF64" s="231"/>
      <c r="AG64" s="231"/>
      <c r="AH64" s="231"/>
      <c r="AI64" s="231"/>
      <c r="AJ64" s="231"/>
      <c r="AK64" s="231"/>
    </row>
    <row r="65" spans="1:37" s="203" customFormat="1">
      <c r="A65" s="32"/>
      <c r="B65" s="29"/>
      <c r="C65" s="29"/>
      <c r="D65" s="29"/>
      <c r="E65" s="105"/>
      <c r="F65" s="29"/>
      <c r="G65" s="29"/>
      <c r="H65" s="29"/>
      <c r="I65" s="131" t="s">
        <v>27</v>
      </c>
      <c r="J65" s="231"/>
      <c r="K65" s="231"/>
      <c r="L65" s="231"/>
      <c r="M65" s="231"/>
      <c r="N65" s="231"/>
      <c r="O65" s="231"/>
      <c r="P65" s="231"/>
      <c r="Q65" s="231"/>
      <c r="R65" s="231"/>
      <c r="S65" s="231"/>
      <c r="T65" s="231"/>
      <c r="U65" s="231"/>
      <c r="V65" s="231"/>
      <c r="W65" s="231"/>
      <c r="X65" s="231"/>
      <c r="Y65" s="231"/>
      <c r="Z65" s="231"/>
      <c r="AA65" s="231"/>
      <c r="AB65" s="231"/>
      <c r="AC65" s="231"/>
      <c r="AD65" s="231"/>
      <c r="AE65" s="231"/>
      <c r="AF65" s="231"/>
      <c r="AG65" s="231"/>
      <c r="AH65" s="231"/>
      <c r="AI65" s="231"/>
      <c r="AJ65" s="231"/>
      <c r="AK65" s="231"/>
    </row>
    <row r="66" spans="1:37" s="203" customFormat="1">
      <c r="A66" s="106" t="s">
        <v>14</v>
      </c>
      <c r="B66" s="107"/>
      <c r="C66" s="107"/>
      <c r="D66" s="107"/>
      <c r="E66" s="856" t="s">
        <v>377</v>
      </c>
      <c r="F66" s="962" t="s">
        <v>402</v>
      </c>
      <c r="G66" s="867" t="s">
        <v>81</v>
      </c>
      <c r="H66" s="962" t="s">
        <v>403</v>
      </c>
      <c r="I66" s="867" t="s">
        <v>81</v>
      </c>
      <c r="J66" s="231"/>
      <c r="K66" s="231"/>
      <c r="L66" s="231"/>
      <c r="M66" s="231"/>
      <c r="N66" s="231"/>
      <c r="O66" s="231"/>
      <c r="P66" s="231"/>
      <c r="Q66" s="231"/>
      <c r="R66" s="231"/>
      <c r="S66" s="231"/>
      <c r="T66" s="231"/>
      <c r="U66" s="231"/>
      <c r="V66" s="231"/>
      <c r="W66" s="231"/>
      <c r="X66" s="231"/>
      <c r="Y66" s="231"/>
      <c r="Z66" s="231"/>
      <c r="AA66" s="231"/>
      <c r="AB66" s="231"/>
      <c r="AC66" s="231"/>
      <c r="AD66" s="231"/>
      <c r="AE66" s="231"/>
      <c r="AF66" s="231"/>
      <c r="AG66" s="231"/>
      <c r="AH66" s="231"/>
      <c r="AI66" s="231"/>
      <c r="AJ66" s="231"/>
      <c r="AK66" s="231"/>
    </row>
    <row r="67" spans="1:37" s="203" customFormat="1" ht="21" customHeight="1">
      <c r="A67" s="108"/>
      <c r="B67" s="47"/>
      <c r="C67" s="47"/>
      <c r="D67" s="47"/>
      <c r="E67" s="859"/>
      <c r="F67" s="963"/>
      <c r="G67" s="868"/>
      <c r="H67" s="963"/>
      <c r="I67" s="868"/>
      <c r="J67" s="231"/>
      <c r="K67" s="231"/>
      <c r="L67" s="231"/>
      <c r="M67" s="231"/>
      <c r="N67" s="231"/>
      <c r="O67" s="231"/>
      <c r="P67" s="231"/>
      <c r="Q67" s="231"/>
      <c r="R67" s="231"/>
      <c r="S67" s="231"/>
      <c r="T67" s="231"/>
      <c r="U67" s="231"/>
      <c r="V67" s="231"/>
      <c r="W67" s="231"/>
      <c r="X67" s="231"/>
      <c r="Y67" s="231"/>
      <c r="Z67" s="231"/>
      <c r="AA67" s="231"/>
      <c r="AB67" s="231"/>
      <c r="AC67" s="231"/>
      <c r="AD67" s="231"/>
      <c r="AE67" s="231"/>
      <c r="AF67" s="231"/>
      <c r="AG67" s="231"/>
      <c r="AH67" s="231"/>
      <c r="AI67" s="231"/>
      <c r="AJ67" s="231"/>
      <c r="AK67" s="231"/>
    </row>
    <row r="68" spans="1:37" s="203" customFormat="1">
      <c r="A68" s="109" t="s">
        <v>82</v>
      </c>
      <c r="B68" s="47"/>
      <c r="C68" s="47"/>
      <c r="D68" s="47"/>
      <c r="E68" s="859"/>
      <c r="F68" s="963"/>
      <c r="G68" s="868"/>
      <c r="H68" s="963"/>
      <c r="I68" s="868"/>
      <c r="J68" s="231"/>
      <c r="K68" s="231"/>
      <c r="L68" s="231"/>
      <c r="M68" s="231"/>
      <c r="N68" s="231"/>
      <c r="O68" s="231"/>
      <c r="P68" s="231"/>
      <c r="Q68" s="231"/>
      <c r="R68" s="231"/>
      <c r="S68" s="231"/>
      <c r="T68" s="231"/>
      <c r="U68" s="231"/>
      <c r="V68" s="231"/>
      <c r="W68" s="231"/>
      <c r="X68" s="231"/>
      <c r="Y68" s="231"/>
      <c r="Z68" s="231"/>
      <c r="AA68" s="231"/>
      <c r="AB68" s="231"/>
      <c r="AC68" s="231"/>
      <c r="AD68" s="231"/>
      <c r="AE68" s="231"/>
      <c r="AF68" s="231"/>
      <c r="AG68" s="231"/>
      <c r="AH68" s="231"/>
      <c r="AI68" s="231"/>
      <c r="AJ68" s="231"/>
      <c r="AK68" s="231"/>
    </row>
    <row r="69" spans="1:37" s="203" customFormat="1">
      <c r="A69" s="109" t="s">
        <v>83</v>
      </c>
      <c r="B69" s="47"/>
      <c r="C69" s="47"/>
      <c r="D69" s="47"/>
      <c r="E69" s="859"/>
      <c r="F69" s="963"/>
      <c r="G69" s="868"/>
      <c r="H69" s="963"/>
      <c r="I69" s="868"/>
      <c r="J69" s="231"/>
      <c r="K69" s="231"/>
      <c r="L69" s="231"/>
      <c r="M69" s="231"/>
      <c r="N69" s="231"/>
      <c r="O69" s="231"/>
      <c r="P69" s="231"/>
      <c r="Q69" s="231"/>
      <c r="R69" s="231"/>
      <c r="S69" s="231"/>
      <c r="T69" s="231"/>
      <c r="U69" s="231"/>
      <c r="V69" s="231"/>
      <c r="W69" s="231"/>
      <c r="X69" s="231"/>
      <c r="Y69" s="231"/>
      <c r="Z69" s="231"/>
      <c r="AA69" s="231"/>
      <c r="AB69" s="231"/>
      <c r="AC69" s="231"/>
      <c r="AD69" s="231"/>
      <c r="AE69" s="231"/>
      <c r="AF69" s="231"/>
      <c r="AG69" s="231"/>
      <c r="AH69" s="231"/>
      <c r="AI69" s="231"/>
      <c r="AJ69" s="231"/>
      <c r="AK69" s="231"/>
    </row>
    <row r="70" spans="1:37" s="203" customFormat="1">
      <c r="A70" s="110" t="s">
        <v>84</v>
      </c>
      <c r="B70" s="47"/>
      <c r="C70" s="47"/>
      <c r="D70" s="47"/>
      <c r="E70" s="860"/>
      <c r="F70" s="964"/>
      <c r="G70" s="869"/>
      <c r="H70" s="964"/>
      <c r="I70" s="869"/>
      <c r="J70" s="231"/>
      <c r="K70" s="231"/>
      <c r="L70" s="231"/>
      <c r="M70" s="231"/>
      <c r="N70" s="231"/>
      <c r="O70" s="231"/>
      <c r="P70" s="231"/>
      <c r="Q70" s="231"/>
      <c r="R70" s="231"/>
      <c r="S70" s="231"/>
      <c r="T70" s="231"/>
      <c r="U70" s="231"/>
      <c r="V70" s="231"/>
      <c r="W70" s="231"/>
      <c r="X70" s="231"/>
      <c r="Y70" s="231"/>
      <c r="Z70" s="231"/>
      <c r="AA70" s="231"/>
      <c r="AB70" s="231"/>
      <c r="AC70" s="231"/>
      <c r="AD70" s="231"/>
      <c r="AE70" s="231"/>
      <c r="AF70" s="231"/>
      <c r="AG70" s="231"/>
      <c r="AH70" s="231"/>
      <c r="AI70" s="231"/>
      <c r="AJ70" s="231"/>
      <c r="AK70" s="231"/>
    </row>
    <row r="71" spans="1:37" s="203" customFormat="1">
      <c r="A71" s="111">
        <v>1</v>
      </c>
      <c r="B71" s="47" t="s">
        <v>85</v>
      </c>
      <c r="C71" s="47"/>
      <c r="D71" s="47"/>
      <c r="E71" s="41">
        <v>15499</v>
      </c>
      <c r="F71" s="247">
        <v>14974</v>
      </c>
      <c r="G71" s="112">
        <v>7845</v>
      </c>
      <c r="H71" s="248">
        <v>19493</v>
      </c>
      <c r="I71" s="112">
        <v>8343</v>
      </c>
      <c r="J71" s="231"/>
      <c r="K71" s="231"/>
      <c r="L71" s="231"/>
      <c r="M71" s="231"/>
      <c r="N71" s="231"/>
      <c r="O71" s="231"/>
      <c r="P71" s="231"/>
      <c r="Q71" s="231"/>
      <c r="R71" s="231"/>
      <c r="S71" s="231"/>
      <c r="T71" s="231"/>
      <c r="U71" s="231"/>
      <c r="V71" s="231"/>
      <c r="W71" s="231"/>
      <c r="X71" s="231"/>
      <c r="Y71" s="231"/>
      <c r="Z71" s="231"/>
      <c r="AA71" s="231"/>
      <c r="AB71" s="231"/>
      <c r="AC71" s="231"/>
      <c r="AD71" s="231"/>
      <c r="AE71" s="231"/>
      <c r="AF71" s="231"/>
      <c r="AG71" s="231"/>
      <c r="AH71" s="231"/>
      <c r="AI71" s="231"/>
      <c r="AJ71" s="231"/>
      <c r="AK71" s="231"/>
    </row>
    <row r="72" spans="1:37" s="203" customFormat="1">
      <c r="A72" s="111">
        <v>2</v>
      </c>
      <c r="B72" s="47" t="s">
        <v>86</v>
      </c>
      <c r="C72" s="47"/>
      <c r="D72" s="47"/>
      <c r="E72" s="49">
        <v>52688</v>
      </c>
      <c r="F72" s="247">
        <f>55407+242</f>
        <v>55649</v>
      </c>
      <c r="G72" s="113">
        <v>37302</v>
      </c>
      <c r="H72" s="123">
        <f>55249+203</f>
        <v>55452</v>
      </c>
      <c r="I72" s="113">
        <v>35184</v>
      </c>
      <c r="J72" s="231"/>
      <c r="K72" s="231"/>
      <c r="L72" s="231"/>
      <c r="M72" s="231"/>
      <c r="N72" s="231"/>
      <c r="O72" s="231"/>
      <c r="P72" s="231"/>
      <c r="Q72" s="231"/>
      <c r="R72" s="231"/>
      <c r="S72" s="231"/>
      <c r="T72" s="231"/>
      <c r="U72" s="231"/>
      <c r="V72" s="231"/>
      <c r="W72" s="231"/>
      <c r="X72" s="231"/>
      <c r="Y72" s="231"/>
      <c r="Z72" s="231"/>
      <c r="AA72" s="231"/>
      <c r="AB72" s="231"/>
      <c r="AC72" s="231"/>
      <c r="AD72" s="231"/>
      <c r="AE72" s="231"/>
      <c r="AF72" s="231"/>
      <c r="AG72" s="231"/>
      <c r="AH72" s="231"/>
      <c r="AI72" s="231"/>
      <c r="AJ72" s="231"/>
      <c r="AK72" s="231"/>
    </row>
    <row r="73" spans="1:37" s="203" customFormat="1">
      <c r="A73" s="111">
        <v>3</v>
      </c>
      <c r="B73" s="47" t="s">
        <v>87</v>
      </c>
      <c r="C73" s="47"/>
      <c r="D73" s="47"/>
      <c r="E73" s="114">
        <v>56018</v>
      </c>
      <c r="F73" s="247">
        <f>56754+80+619</f>
        <v>57453</v>
      </c>
      <c r="G73" s="113">
        <v>35517</v>
      </c>
      <c r="H73" s="123">
        <f>57802+521</f>
        <v>58323</v>
      </c>
      <c r="I73" s="113">
        <v>36358</v>
      </c>
      <c r="J73" s="231"/>
      <c r="K73" s="231"/>
      <c r="L73" s="231"/>
      <c r="M73" s="231"/>
      <c r="N73" s="231"/>
      <c r="O73" s="231"/>
      <c r="P73" s="231"/>
      <c r="Q73" s="231"/>
      <c r="R73" s="231"/>
      <c r="S73" s="231"/>
      <c r="T73" s="231"/>
      <c r="U73" s="231"/>
      <c r="V73" s="231"/>
      <c r="W73" s="231"/>
      <c r="X73" s="231"/>
      <c r="Y73" s="231"/>
      <c r="Z73" s="231"/>
      <c r="AA73" s="231"/>
      <c r="AB73" s="231"/>
      <c r="AC73" s="231"/>
      <c r="AD73" s="231"/>
      <c r="AE73" s="231"/>
      <c r="AF73" s="231"/>
      <c r="AG73" s="231"/>
      <c r="AH73" s="231"/>
      <c r="AI73" s="231"/>
      <c r="AJ73" s="231"/>
      <c r="AK73" s="231"/>
    </row>
    <row r="74" spans="1:37" s="203" customFormat="1">
      <c r="A74" s="111">
        <v>4</v>
      </c>
      <c r="B74" s="47" t="s">
        <v>88</v>
      </c>
      <c r="C74" s="47"/>
      <c r="D74" s="47"/>
      <c r="E74" s="114">
        <v>13167</v>
      </c>
      <c r="F74" s="247">
        <v>14605</v>
      </c>
      <c r="G74" s="113">
        <v>4385</v>
      </c>
      <c r="H74" s="123">
        <v>14882</v>
      </c>
      <c r="I74" s="113">
        <v>4901</v>
      </c>
      <c r="J74" s="231"/>
      <c r="K74" s="231"/>
      <c r="L74" s="231"/>
      <c r="M74" s="231"/>
      <c r="N74" s="231"/>
      <c r="O74" s="231"/>
      <c r="P74" s="231"/>
      <c r="Q74" s="231"/>
      <c r="R74" s="231"/>
      <c r="S74" s="231"/>
      <c r="T74" s="231"/>
      <c r="U74" s="231"/>
      <c r="V74" s="231"/>
      <c r="W74" s="231"/>
      <c r="X74" s="231"/>
      <c r="Y74" s="231"/>
      <c r="Z74" s="231"/>
      <c r="AA74" s="231"/>
      <c r="AB74" s="231"/>
      <c r="AC74" s="231"/>
      <c r="AD74" s="231"/>
      <c r="AE74" s="231"/>
      <c r="AF74" s="231"/>
      <c r="AG74" s="231"/>
      <c r="AH74" s="231"/>
      <c r="AI74" s="231"/>
      <c r="AJ74" s="231"/>
      <c r="AK74" s="231"/>
    </row>
    <row r="75" spans="1:37" s="203" customFormat="1">
      <c r="A75" s="111">
        <v>5</v>
      </c>
      <c r="B75" s="47" t="s">
        <v>89</v>
      </c>
      <c r="C75" s="47" t="s">
        <v>90</v>
      </c>
      <c r="D75" s="47"/>
      <c r="E75" s="114">
        <v>2683</v>
      </c>
      <c r="F75" s="247">
        <v>2713</v>
      </c>
      <c r="G75" s="113">
        <v>0</v>
      </c>
      <c r="H75" s="123">
        <v>2665</v>
      </c>
      <c r="I75" s="113">
        <v>0</v>
      </c>
      <c r="J75" s="231"/>
      <c r="K75" s="231"/>
      <c r="L75" s="231"/>
      <c r="M75" s="231"/>
      <c r="N75" s="231"/>
      <c r="O75" s="231"/>
      <c r="P75" s="231"/>
      <c r="Q75" s="231"/>
      <c r="R75" s="231"/>
      <c r="S75" s="231"/>
      <c r="T75" s="231"/>
      <c r="U75" s="231"/>
      <c r="V75" s="231"/>
      <c r="W75" s="231"/>
      <c r="X75" s="231"/>
      <c r="Y75" s="231"/>
      <c r="Z75" s="231"/>
      <c r="AA75" s="231"/>
      <c r="AB75" s="231"/>
      <c r="AC75" s="231"/>
      <c r="AD75" s="231"/>
      <c r="AE75" s="231"/>
      <c r="AF75" s="231"/>
      <c r="AG75" s="231"/>
      <c r="AH75" s="231"/>
      <c r="AI75" s="231"/>
      <c r="AJ75" s="231"/>
      <c r="AK75" s="231"/>
    </row>
    <row r="76" spans="1:37" s="203" customFormat="1">
      <c r="A76" s="784"/>
      <c r="B76" s="786"/>
      <c r="C76" s="47" t="s">
        <v>91</v>
      </c>
      <c r="D76" s="47"/>
      <c r="E76" s="114">
        <v>0</v>
      </c>
      <c r="F76" s="247">
        <v>0</v>
      </c>
      <c r="G76" s="115">
        <v>0</v>
      </c>
      <c r="H76" s="249">
        <v>0</v>
      </c>
      <c r="I76" s="115">
        <v>0</v>
      </c>
      <c r="J76" s="231"/>
      <c r="K76" s="231"/>
      <c r="L76" s="231"/>
      <c r="M76" s="231"/>
      <c r="N76" s="231"/>
      <c r="O76" s="231"/>
      <c r="P76" s="231"/>
      <c r="Q76" s="231"/>
      <c r="R76" s="231"/>
      <c r="S76" s="231"/>
      <c r="T76" s="231"/>
      <c r="U76" s="231"/>
      <c r="V76" s="231"/>
      <c r="W76" s="231"/>
      <c r="X76" s="231"/>
      <c r="Y76" s="231"/>
      <c r="Z76" s="231"/>
      <c r="AA76" s="231"/>
      <c r="AB76" s="231"/>
      <c r="AC76" s="231"/>
      <c r="AD76" s="231"/>
      <c r="AE76" s="231"/>
      <c r="AF76" s="231"/>
      <c r="AG76" s="231"/>
      <c r="AH76" s="231"/>
      <c r="AI76" s="231"/>
      <c r="AJ76" s="231"/>
      <c r="AK76" s="231"/>
    </row>
    <row r="77" spans="1:37" s="203" customFormat="1">
      <c r="A77" s="111">
        <v>6</v>
      </c>
      <c r="B77" s="116" t="s">
        <v>92</v>
      </c>
      <c r="C77" s="116"/>
      <c r="D77" s="47"/>
      <c r="E77" s="80">
        <v>140055</v>
      </c>
      <c r="F77" s="250">
        <f>SUM(F71:F76)</f>
        <v>145394</v>
      </c>
      <c r="G77" s="251">
        <f>SUM(G71:G76)</f>
        <v>85049</v>
      </c>
      <c r="H77" s="252">
        <f>SUM(H71:H76)</f>
        <v>150815</v>
      </c>
      <c r="I77" s="251">
        <f>SUM(I71:I76)</f>
        <v>84786</v>
      </c>
      <c r="J77" s="231"/>
      <c r="K77" s="231"/>
      <c r="L77" s="231"/>
      <c r="M77" s="231"/>
      <c r="N77" s="231"/>
      <c r="O77" s="231"/>
      <c r="P77" s="231"/>
      <c r="Q77" s="231"/>
      <c r="R77" s="231"/>
      <c r="S77" s="231"/>
      <c r="T77" s="231"/>
      <c r="U77" s="231"/>
      <c r="V77" s="231"/>
      <c r="W77" s="231"/>
      <c r="X77" s="231"/>
      <c r="Y77" s="231"/>
      <c r="Z77" s="231"/>
      <c r="AA77" s="231"/>
      <c r="AB77" s="231"/>
      <c r="AC77" s="231"/>
      <c r="AD77" s="231"/>
      <c r="AE77" s="231"/>
      <c r="AF77" s="231"/>
      <c r="AG77" s="231"/>
      <c r="AH77" s="231"/>
      <c r="AI77" s="231"/>
      <c r="AJ77" s="231"/>
      <c r="AK77" s="231"/>
    </row>
    <row r="78" spans="1:37" s="203" customFormat="1">
      <c r="A78" s="784"/>
      <c r="B78" s="47"/>
      <c r="C78" s="47"/>
      <c r="D78" s="47"/>
      <c r="E78" s="117"/>
      <c r="F78" s="118"/>
      <c r="G78" s="118"/>
      <c r="H78" s="118"/>
      <c r="I78" s="118"/>
      <c r="J78" s="231"/>
      <c r="K78" s="231"/>
      <c r="L78" s="231"/>
      <c r="M78" s="231"/>
      <c r="N78" s="231"/>
      <c r="O78" s="231"/>
      <c r="P78" s="231"/>
      <c r="Q78" s="231"/>
      <c r="R78" s="231"/>
      <c r="S78" s="231"/>
      <c r="T78" s="231"/>
      <c r="U78" s="231"/>
      <c r="V78" s="231"/>
      <c r="W78" s="231"/>
      <c r="X78" s="231"/>
      <c r="Y78" s="231"/>
      <c r="Z78" s="231"/>
      <c r="AA78" s="231"/>
      <c r="AB78" s="231"/>
      <c r="AC78" s="231"/>
      <c r="AD78" s="231"/>
      <c r="AE78" s="231"/>
      <c r="AF78" s="231"/>
      <c r="AG78" s="231"/>
      <c r="AH78" s="231"/>
      <c r="AI78" s="231"/>
      <c r="AJ78" s="231"/>
      <c r="AK78" s="231"/>
    </row>
    <row r="79" spans="1:37" s="203" customFormat="1">
      <c r="A79" s="119" t="s">
        <v>93</v>
      </c>
      <c r="B79" s="116"/>
      <c r="C79" s="116"/>
      <c r="D79" s="116"/>
      <c r="E79" s="117"/>
      <c r="F79" s="118"/>
      <c r="G79" s="118"/>
      <c r="H79" s="118"/>
      <c r="I79" s="118"/>
      <c r="J79" s="231"/>
      <c r="K79" s="231"/>
      <c r="L79" s="231"/>
      <c r="M79" s="231"/>
      <c r="N79" s="231"/>
      <c r="O79" s="231"/>
      <c r="P79" s="231"/>
      <c r="Q79" s="231"/>
      <c r="R79" s="231"/>
      <c r="S79" s="231"/>
      <c r="T79" s="231"/>
      <c r="U79" s="231"/>
      <c r="V79" s="231"/>
      <c r="W79" s="231"/>
      <c r="X79" s="231"/>
      <c r="Y79" s="231"/>
      <c r="Z79" s="231"/>
      <c r="AA79" s="231"/>
      <c r="AB79" s="231"/>
      <c r="AC79" s="231"/>
      <c r="AD79" s="231"/>
      <c r="AE79" s="231"/>
      <c r="AF79" s="231"/>
      <c r="AG79" s="231"/>
      <c r="AH79" s="231"/>
      <c r="AI79" s="231"/>
      <c r="AJ79" s="231"/>
      <c r="AK79" s="231"/>
    </row>
    <row r="80" spans="1:37" s="203" customFormat="1">
      <c r="A80" s="120">
        <v>7</v>
      </c>
      <c r="B80" s="47" t="s">
        <v>94</v>
      </c>
      <c r="C80" s="47"/>
      <c r="D80" s="47"/>
      <c r="E80" s="41">
        <v>1210</v>
      </c>
      <c r="F80" s="253">
        <v>682</v>
      </c>
      <c r="G80" s="112"/>
      <c r="H80" s="248">
        <v>1057</v>
      </c>
      <c r="I80" s="112"/>
      <c r="J80" s="231"/>
      <c r="K80" s="231"/>
      <c r="L80" s="231"/>
      <c r="M80" s="231"/>
      <c r="N80" s="231"/>
      <c r="O80" s="231"/>
      <c r="P80" s="231"/>
      <c r="Q80" s="231"/>
      <c r="R80" s="231"/>
      <c r="S80" s="231"/>
      <c r="T80" s="231"/>
      <c r="U80" s="231"/>
      <c r="V80" s="231"/>
      <c r="W80" s="231"/>
      <c r="X80" s="231"/>
      <c r="Y80" s="231"/>
      <c r="Z80" s="231"/>
      <c r="AA80" s="231"/>
      <c r="AB80" s="231"/>
      <c r="AC80" s="231"/>
      <c r="AD80" s="231"/>
      <c r="AE80" s="231"/>
      <c r="AF80" s="231"/>
      <c r="AG80" s="231"/>
      <c r="AH80" s="231"/>
      <c r="AI80" s="231"/>
      <c r="AJ80" s="231"/>
      <c r="AK80" s="231"/>
    </row>
    <row r="81" spans="1:37" s="203" customFormat="1">
      <c r="A81" s="120">
        <v>8</v>
      </c>
      <c r="B81" s="47" t="s">
        <v>95</v>
      </c>
      <c r="C81" s="47"/>
      <c r="D81" s="47"/>
      <c r="E81" s="49">
        <v>30728</v>
      </c>
      <c r="F81" s="247">
        <v>33067</v>
      </c>
      <c r="G81" s="113"/>
      <c r="H81" s="123">
        <v>35250</v>
      </c>
      <c r="I81" s="113"/>
      <c r="J81" s="231"/>
      <c r="K81" s="231"/>
      <c r="L81" s="231"/>
      <c r="M81" s="231"/>
      <c r="N81" s="231"/>
      <c r="O81" s="231"/>
      <c r="P81" s="231"/>
      <c r="Q81" s="231"/>
      <c r="R81" s="231"/>
      <c r="S81" s="231"/>
      <c r="T81" s="231"/>
      <c r="U81" s="231"/>
      <c r="V81" s="231"/>
      <c r="W81" s="231"/>
      <c r="X81" s="231"/>
      <c r="Y81" s="231"/>
      <c r="Z81" s="231"/>
      <c r="AA81" s="231"/>
      <c r="AB81" s="231"/>
      <c r="AC81" s="231"/>
      <c r="AD81" s="231"/>
      <c r="AE81" s="231"/>
      <c r="AF81" s="231"/>
      <c r="AG81" s="231"/>
      <c r="AH81" s="231"/>
      <c r="AI81" s="231"/>
      <c r="AJ81" s="231"/>
      <c r="AK81" s="231"/>
    </row>
    <row r="82" spans="1:37" s="203" customFormat="1">
      <c r="A82" s="120">
        <v>9</v>
      </c>
      <c r="B82" s="47" t="s">
        <v>96</v>
      </c>
      <c r="C82" s="47"/>
      <c r="D82" s="47"/>
      <c r="E82" s="49">
        <v>31682</v>
      </c>
      <c r="F82" s="247">
        <v>32365</v>
      </c>
      <c r="G82" s="113"/>
      <c r="H82" s="123">
        <v>34166</v>
      </c>
      <c r="I82" s="113"/>
      <c r="J82" s="231"/>
      <c r="K82" s="231"/>
      <c r="L82" s="231"/>
      <c r="M82" s="231"/>
      <c r="N82" s="231"/>
      <c r="O82" s="231"/>
      <c r="P82" s="231"/>
      <c r="Q82" s="231"/>
      <c r="R82" s="231"/>
      <c r="S82" s="231"/>
      <c r="T82" s="231"/>
      <c r="U82" s="231"/>
      <c r="V82" s="231"/>
      <c r="W82" s="231"/>
      <c r="X82" s="231"/>
      <c r="Y82" s="231"/>
      <c r="Z82" s="231"/>
      <c r="AA82" s="231"/>
      <c r="AB82" s="231"/>
      <c r="AC82" s="231"/>
      <c r="AD82" s="231"/>
      <c r="AE82" s="231"/>
      <c r="AF82" s="231"/>
      <c r="AG82" s="231"/>
      <c r="AH82" s="231"/>
      <c r="AI82" s="231"/>
      <c r="AJ82" s="231"/>
      <c r="AK82" s="231"/>
    </row>
    <row r="83" spans="1:37" s="203" customFormat="1">
      <c r="A83" s="120">
        <v>10</v>
      </c>
      <c r="B83" s="90" t="s">
        <v>97</v>
      </c>
      <c r="C83" s="47"/>
      <c r="D83" s="47"/>
      <c r="E83" s="49">
        <v>13965</v>
      </c>
      <c r="F83" s="247">
        <v>14605</v>
      </c>
      <c r="G83" s="113"/>
      <c r="H83" s="123">
        <v>14882</v>
      </c>
      <c r="I83" s="113"/>
      <c r="J83" s="231"/>
      <c r="K83" s="231"/>
      <c r="L83" s="231"/>
      <c r="M83" s="231"/>
      <c r="N83" s="231"/>
      <c r="O83" s="231"/>
      <c r="P83" s="231"/>
      <c r="Q83" s="231"/>
      <c r="R83" s="231"/>
      <c r="S83" s="231"/>
      <c r="T83" s="231"/>
      <c r="U83" s="231"/>
      <c r="V83" s="231"/>
      <c r="W83" s="231"/>
      <c r="X83" s="231"/>
      <c r="Y83" s="231"/>
      <c r="Z83" s="231"/>
      <c r="AA83" s="231"/>
      <c r="AB83" s="231"/>
      <c r="AC83" s="231"/>
      <c r="AD83" s="231"/>
      <c r="AE83" s="231"/>
      <c r="AF83" s="231"/>
      <c r="AG83" s="231"/>
      <c r="AH83" s="231"/>
      <c r="AI83" s="231"/>
      <c r="AJ83" s="231"/>
      <c r="AK83" s="231"/>
    </row>
    <row r="84" spans="1:37" s="203" customFormat="1">
      <c r="A84" s="120">
        <v>11</v>
      </c>
      <c r="B84" s="90" t="s">
        <v>98</v>
      </c>
      <c r="C84" s="47"/>
      <c r="D84" s="47"/>
      <c r="E84" s="49">
        <v>4201</v>
      </c>
      <c r="F84" s="247">
        <v>4399</v>
      </c>
      <c r="G84" s="113"/>
      <c r="H84" s="123">
        <v>4329</v>
      </c>
      <c r="I84" s="113"/>
      <c r="J84" s="231"/>
      <c r="K84" s="231"/>
      <c r="L84" s="231"/>
      <c r="M84" s="231"/>
      <c r="N84" s="231"/>
      <c r="O84" s="231"/>
      <c r="P84" s="231"/>
      <c r="Q84" s="231"/>
      <c r="R84" s="231"/>
      <c r="S84" s="231"/>
      <c r="T84" s="231"/>
      <c r="U84" s="231"/>
      <c r="V84" s="231"/>
      <c r="W84" s="231"/>
      <c r="X84" s="231"/>
      <c r="Y84" s="231"/>
      <c r="Z84" s="231"/>
      <c r="AA84" s="231"/>
      <c r="AB84" s="231"/>
      <c r="AC84" s="231"/>
      <c r="AD84" s="231"/>
      <c r="AE84" s="231"/>
      <c r="AF84" s="231"/>
      <c r="AG84" s="231"/>
      <c r="AH84" s="231"/>
      <c r="AI84" s="231"/>
      <c r="AJ84" s="231"/>
      <c r="AK84" s="231"/>
    </row>
    <row r="85" spans="1:37" s="203" customFormat="1">
      <c r="A85" s="120">
        <v>12</v>
      </c>
      <c r="B85" s="47" t="s">
        <v>99</v>
      </c>
      <c r="C85" s="47"/>
      <c r="D85" s="47"/>
      <c r="E85" s="49">
        <v>4442</v>
      </c>
      <c r="F85" s="247">
        <v>4332</v>
      </c>
      <c r="G85" s="113"/>
      <c r="H85" s="123">
        <v>4436</v>
      </c>
      <c r="I85" s="113"/>
      <c r="J85" s="231"/>
      <c r="K85" s="231"/>
      <c r="L85" s="231"/>
      <c r="M85" s="231"/>
      <c r="N85" s="231"/>
      <c r="O85" s="231"/>
      <c r="P85" s="231"/>
      <c r="Q85" s="231"/>
      <c r="R85" s="231"/>
      <c r="S85" s="231"/>
      <c r="T85" s="231"/>
      <c r="U85" s="231"/>
      <c r="V85" s="231"/>
      <c r="W85" s="231"/>
      <c r="X85" s="231"/>
      <c r="Y85" s="231"/>
      <c r="Z85" s="231"/>
      <c r="AA85" s="231"/>
      <c r="AB85" s="231"/>
      <c r="AC85" s="231"/>
      <c r="AD85" s="231"/>
      <c r="AE85" s="231"/>
      <c r="AF85" s="231"/>
      <c r="AG85" s="231"/>
      <c r="AH85" s="231"/>
      <c r="AI85" s="231"/>
      <c r="AJ85" s="231"/>
      <c r="AK85" s="231"/>
    </row>
    <row r="86" spans="1:37" s="203" customFormat="1">
      <c r="A86" s="120">
        <v>13</v>
      </c>
      <c r="B86" s="47" t="s">
        <v>100</v>
      </c>
      <c r="C86" s="47"/>
      <c r="D86" s="47"/>
      <c r="E86" s="49">
        <v>18511</v>
      </c>
      <c r="F86" s="247">
        <v>19871</v>
      </c>
      <c r="G86" s="113"/>
      <c r="H86" s="123">
        <v>19576</v>
      </c>
      <c r="I86" s="113"/>
      <c r="J86" s="231"/>
      <c r="K86" s="231"/>
      <c r="L86" s="231"/>
      <c r="M86" s="231"/>
      <c r="N86" s="231"/>
      <c r="O86" s="231"/>
      <c r="P86" s="231"/>
      <c r="Q86" s="231"/>
      <c r="R86" s="231"/>
      <c r="S86" s="231"/>
      <c r="T86" s="231"/>
      <c r="U86" s="231"/>
      <c r="V86" s="231"/>
      <c r="W86" s="231"/>
      <c r="X86" s="231"/>
      <c r="Y86" s="231"/>
      <c r="Z86" s="231"/>
      <c r="AA86" s="231"/>
      <c r="AB86" s="231"/>
      <c r="AC86" s="231"/>
      <c r="AD86" s="231"/>
      <c r="AE86" s="231"/>
      <c r="AF86" s="231"/>
      <c r="AG86" s="231"/>
      <c r="AH86" s="231"/>
      <c r="AI86" s="231"/>
      <c r="AJ86" s="231"/>
      <c r="AK86" s="231"/>
    </row>
    <row r="87" spans="1:37" s="203" customFormat="1">
      <c r="A87" s="120">
        <v>14</v>
      </c>
      <c r="B87" s="47" t="s">
        <v>101</v>
      </c>
      <c r="C87" s="47"/>
      <c r="D87" s="47"/>
      <c r="E87" s="49">
        <v>0</v>
      </c>
      <c r="F87" s="247">
        <v>0</v>
      </c>
      <c r="G87" s="113"/>
      <c r="H87" s="123">
        <v>0</v>
      </c>
      <c r="I87" s="113"/>
      <c r="J87" s="231"/>
      <c r="K87" s="231"/>
      <c r="L87" s="231"/>
      <c r="M87" s="231"/>
      <c r="N87" s="231"/>
      <c r="O87" s="231"/>
      <c r="P87" s="231"/>
      <c r="Q87" s="231"/>
      <c r="R87" s="231"/>
      <c r="S87" s="231"/>
      <c r="T87" s="231"/>
      <c r="U87" s="231"/>
      <c r="V87" s="231"/>
      <c r="W87" s="231"/>
      <c r="X87" s="231"/>
      <c r="Y87" s="231"/>
      <c r="Z87" s="231"/>
      <c r="AA87" s="231"/>
      <c r="AB87" s="231"/>
      <c r="AC87" s="231"/>
      <c r="AD87" s="231"/>
      <c r="AE87" s="231"/>
      <c r="AF87" s="231"/>
      <c r="AG87" s="231"/>
      <c r="AH87" s="231"/>
      <c r="AI87" s="231"/>
      <c r="AJ87" s="231"/>
      <c r="AK87" s="231"/>
    </row>
    <row r="88" spans="1:37" s="203" customFormat="1">
      <c r="A88" s="124">
        <v>15</v>
      </c>
      <c r="B88" s="125" t="s">
        <v>102</v>
      </c>
      <c r="C88" s="54"/>
      <c r="D88" s="54"/>
      <c r="E88" s="56">
        <v>0</v>
      </c>
      <c r="F88" s="254">
        <v>0</v>
      </c>
      <c r="G88" s="127"/>
      <c r="H88" s="255">
        <v>0</v>
      </c>
      <c r="I88" s="127"/>
      <c r="J88" s="231"/>
      <c r="K88" s="231"/>
      <c r="L88" s="231"/>
      <c r="M88" s="231"/>
      <c r="N88" s="231"/>
      <c r="O88" s="231"/>
      <c r="P88" s="231"/>
      <c r="Q88" s="231"/>
      <c r="R88" s="231"/>
      <c r="S88" s="231"/>
      <c r="T88" s="231"/>
      <c r="U88" s="231"/>
      <c r="V88" s="231"/>
      <c r="W88" s="231"/>
      <c r="X88" s="231"/>
      <c r="Y88" s="231"/>
      <c r="Z88" s="231"/>
      <c r="AA88" s="231"/>
      <c r="AB88" s="231"/>
      <c r="AC88" s="231"/>
      <c r="AD88" s="231"/>
      <c r="AE88" s="231"/>
      <c r="AF88" s="231"/>
      <c r="AG88" s="231"/>
      <c r="AH88" s="231"/>
      <c r="AI88" s="231"/>
      <c r="AJ88" s="231"/>
      <c r="AK88" s="231"/>
    </row>
    <row r="89" spans="1:37" s="203" customFormat="1">
      <c r="A89" s="128"/>
      <c r="B89" s="129"/>
      <c r="C89" s="129"/>
      <c r="D89" s="129"/>
      <c r="E89" s="15"/>
      <c r="F89" s="130"/>
      <c r="G89" s="29"/>
      <c r="H89" s="207"/>
      <c r="I89" s="29"/>
      <c r="J89" s="231"/>
      <c r="K89" s="231"/>
      <c r="L89" s="231"/>
      <c r="M89" s="231"/>
      <c r="N89" s="231"/>
      <c r="O89" s="231"/>
      <c r="P89" s="231"/>
      <c r="Q89" s="231"/>
      <c r="R89" s="231"/>
      <c r="S89" s="231"/>
      <c r="T89" s="231"/>
      <c r="U89" s="231"/>
      <c r="V89" s="231"/>
      <c r="W89" s="231"/>
      <c r="X89" s="231"/>
      <c r="Y89" s="231"/>
      <c r="Z89" s="231"/>
      <c r="AA89" s="231"/>
      <c r="AB89" s="231"/>
      <c r="AC89" s="231"/>
      <c r="AD89" s="231"/>
      <c r="AE89" s="231"/>
      <c r="AF89" s="231"/>
      <c r="AG89" s="231"/>
      <c r="AH89" s="231"/>
      <c r="AI89" s="231"/>
      <c r="AJ89" s="231"/>
      <c r="AK89" s="231"/>
    </row>
    <row r="90" spans="1:37" s="203" customFormat="1">
      <c r="A90" s="128"/>
      <c r="B90" s="129"/>
      <c r="C90" s="129"/>
      <c r="D90" s="129"/>
      <c r="E90" s="105"/>
      <c r="F90" s="130"/>
      <c r="G90" s="29"/>
      <c r="H90" s="131" t="s">
        <v>27</v>
      </c>
      <c r="I90" s="29"/>
      <c r="J90" s="231"/>
      <c r="K90" s="231"/>
      <c r="L90" s="231"/>
      <c r="M90" s="231"/>
      <c r="N90" s="231"/>
      <c r="O90" s="231"/>
      <c r="P90" s="231"/>
      <c r="Q90" s="231"/>
      <c r="R90" s="231"/>
      <c r="S90" s="231"/>
      <c r="T90" s="231"/>
      <c r="U90" s="231"/>
      <c r="V90" s="231"/>
      <c r="W90" s="231"/>
      <c r="X90" s="231"/>
      <c r="Y90" s="231"/>
      <c r="Z90" s="231"/>
      <c r="AA90" s="231"/>
      <c r="AB90" s="231"/>
      <c r="AC90" s="231"/>
      <c r="AD90" s="231"/>
      <c r="AE90" s="231"/>
      <c r="AF90" s="231"/>
      <c r="AG90" s="231"/>
      <c r="AH90" s="231"/>
      <c r="AI90" s="231"/>
      <c r="AJ90" s="231"/>
      <c r="AK90" s="231"/>
    </row>
    <row r="91" spans="1:37" s="203" customFormat="1">
      <c r="A91" s="106" t="s">
        <v>17</v>
      </c>
      <c r="B91" s="107"/>
      <c r="C91" s="107"/>
      <c r="D91" s="107"/>
      <c r="E91" s="856" t="s">
        <v>421</v>
      </c>
      <c r="F91" s="856" t="s">
        <v>402</v>
      </c>
      <c r="G91" s="257"/>
      <c r="H91" s="856" t="s">
        <v>403</v>
      </c>
      <c r="I91" s="29"/>
      <c r="J91" s="231"/>
      <c r="K91" s="231"/>
      <c r="L91" s="231"/>
      <c r="M91" s="231"/>
      <c r="N91" s="231"/>
      <c r="O91" s="231"/>
      <c r="P91" s="231"/>
      <c r="Q91" s="231"/>
      <c r="R91" s="231"/>
      <c r="S91" s="231"/>
      <c r="T91" s="231"/>
      <c r="U91" s="231"/>
      <c r="V91" s="231"/>
      <c r="W91" s="231"/>
      <c r="X91" s="231"/>
      <c r="Y91" s="231"/>
      <c r="Z91" s="231"/>
      <c r="AA91" s="231"/>
      <c r="AB91" s="231"/>
      <c r="AC91" s="231"/>
      <c r="AD91" s="231"/>
      <c r="AE91" s="231"/>
      <c r="AF91" s="231"/>
      <c r="AG91" s="231"/>
      <c r="AH91" s="231"/>
      <c r="AI91" s="231"/>
      <c r="AJ91" s="231"/>
      <c r="AK91" s="231"/>
    </row>
    <row r="92" spans="1:37" s="203" customFormat="1" ht="12.75" customHeight="1">
      <c r="A92" s="109"/>
      <c r="B92" s="132"/>
      <c r="C92" s="132"/>
      <c r="D92" s="132"/>
      <c r="E92" s="859"/>
      <c r="F92" s="859"/>
      <c r="G92" s="29"/>
      <c r="H92" s="859"/>
      <c r="I92" s="29"/>
      <c r="J92" s="231"/>
      <c r="K92" s="231"/>
      <c r="L92" s="231"/>
      <c r="M92" s="231"/>
      <c r="N92" s="231"/>
      <c r="O92" s="231"/>
      <c r="P92" s="231"/>
      <c r="Q92" s="231"/>
      <c r="R92" s="231"/>
      <c r="S92" s="231"/>
      <c r="T92" s="231"/>
      <c r="U92" s="231"/>
      <c r="V92" s="231"/>
      <c r="W92" s="231"/>
      <c r="X92" s="231"/>
      <c r="Y92" s="231"/>
      <c r="Z92" s="231"/>
      <c r="AA92" s="231"/>
      <c r="AB92" s="231"/>
      <c r="AC92" s="231"/>
      <c r="AD92" s="231"/>
      <c r="AE92" s="231"/>
      <c r="AF92" s="231"/>
      <c r="AG92" s="231"/>
      <c r="AH92" s="231"/>
      <c r="AI92" s="231"/>
      <c r="AJ92" s="231"/>
      <c r="AK92" s="231"/>
    </row>
    <row r="93" spans="1:37" s="203" customFormat="1">
      <c r="A93" s="109" t="s">
        <v>103</v>
      </c>
      <c r="B93" s="132"/>
      <c r="C93" s="132"/>
      <c r="D93" s="132"/>
      <c r="E93" s="859"/>
      <c r="F93" s="859"/>
      <c r="G93" s="29"/>
      <c r="H93" s="859"/>
      <c r="I93" s="29"/>
      <c r="J93" s="231"/>
      <c r="K93" s="231"/>
      <c r="L93" s="231"/>
      <c r="M93" s="231"/>
      <c r="N93" s="231"/>
      <c r="O93" s="231"/>
      <c r="P93" s="231"/>
      <c r="Q93" s="231"/>
      <c r="R93" s="231"/>
      <c r="S93" s="231"/>
      <c r="T93" s="231"/>
      <c r="U93" s="231"/>
      <c r="V93" s="231"/>
      <c r="W93" s="231"/>
      <c r="X93" s="231"/>
      <c r="Y93" s="231"/>
      <c r="Z93" s="231"/>
      <c r="AA93" s="231"/>
      <c r="AB93" s="231"/>
      <c r="AC93" s="231"/>
      <c r="AD93" s="231"/>
      <c r="AE93" s="231"/>
      <c r="AF93" s="231"/>
      <c r="AG93" s="231"/>
      <c r="AH93" s="231"/>
      <c r="AI93" s="231"/>
      <c r="AJ93" s="231"/>
      <c r="AK93" s="231"/>
    </row>
    <row r="94" spans="1:37" s="203" customFormat="1">
      <c r="A94" s="109" t="s">
        <v>83</v>
      </c>
      <c r="B94" s="132"/>
      <c r="C94" s="132"/>
      <c r="D94" s="132"/>
      <c r="E94" s="859"/>
      <c r="F94" s="859"/>
      <c r="G94" s="130"/>
      <c r="H94" s="859"/>
      <c r="I94" s="29"/>
      <c r="J94" s="231"/>
      <c r="K94" s="231"/>
      <c r="L94" s="231"/>
      <c r="M94" s="231"/>
      <c r="N94" s="231"/>
      <c r="O94" s="231"/>
      <c r="P94" s="231"/>
      <c r="Q94" s="231"/>
      <c r="R94" s="231"/>
      <c r="S94" s="231"/>
      <c r="T94" s="231"/>
      <c r="U94" s="231"/>
      <c r="V94" s="231"/>
      <c r="W94" s="231"/>
      <c r="X94" s="231"/>
      <c r="Y94" s="231"/>
      <c r="Z94" s="231"/>
      <c r="AA94" s="231"/>
      <c r="AB94" s="231"/>
      <c r="AC94" s="231"/>
      <c r="AD94" s="231"/>
      <c r="AE94" s="231"/>
      <c r="AF94" s="231"/>
      <c r="AG94" s="231"/>
      <c r="AH94" s="231"/>
      <c r="AI94" s="231"/>
      <c r="AJ94" s="231"/>
      <c r="AK94" s="231"/>
    </row>
    <row r="95" spans="1:37" s="203" customFormat="1">
      <c r="A95" s="110" t="s">
        <v>84</v>
      </c>
      <c r="B95" s="132"/>
      <c r="C95" s="132"/>
      <c r="D95" s="132"/>
      <c r="E95" s="860"/>
      <c r="F95" s="860"/>
      <c r="G95" s="130"/>
      <c r="H95" s="860"/>
      <c r="I95" s="130"/>
      <c r="J95" s="231"/>
      <c r="K95" s="231"/>
      <c r="L95" s="231"/>
      <c r="M95" s="231"/>
      <c r="N95" s="231"/>
      <c r="O95" s="231"/>
      <c r="P95" s="231"/>
      <c r="Q95" s="231"/>
      <c r="R95" s="231"/>
      <c r="S95" s="231"/>
      <c r="T95" s="231"/>
      <c r="U95" s="231"/>
      <c r="V95" s="231"/>
      <c r="W95" s="231"/>
      <c r="X95" s="231"/>
      <c r="Y95" s="231"/>
      <c r="Z95" s="231"/>
      <c r="AA95" s="231"/>
      <c r="AB95" s="231"/>
      <c r="AC95" s="231"/>
      <c r="AD95" s="231"/>
      <c r="AE95" s="231"/>
      <c r="AF95" s="231"/>
      <c r="AG95" s="231"/>
      <c r="AH95" s="231"/>
      <c r="AI95" s="231"/>
      <c r="AJ95" s="231"/>
      <c r="AK95" s="231"/>
    </row>
    <row r="96" spans="1:37" s="203" customFormat="1">
      <c r="A96" s="120">
        <v>1</v>
      </c>
      <c r="B96" s="47" t="s">
        <v>104</v>
      </c>
      <c r="C96" s="47"/>
      <c r="D96" s="47"/>
      <c r="E96" s="41">
        <v>1141</v>
      </c>
      <c r="F96" s="52">
        <v>1272</v>
      </c>
      <c r="G96" s="118"/>
      <c r="H96" s="133">
        <v>2075</v>
      </c>
      <c r="I96" s="139"/>
      <c r="J96" s="231"/>
      <c r="K96" s="231"/>
      <c r="L96" s="231"/>
      <c r="M96" s="231"/>
      <c r="N96" s="231"/>
      <c r="O96" s="231"/>
      <c r="P96" s="231"/>
      <c r="Q96" s="231"/>
      <c r="R96" s="231"/>
      <c r="S96" s="231"/>
      <c r="T96" s="231"/>
      <c r="U96" s="231"/>
      <c r="V96" s="231"/>
      <c r="W96" s="231"/>
      <c r="X96" s="231"/>
      <c r="Y96" s="231"/>
      <c r="Z96" s="231"/>
      <c r="AA96" s="231"/>
      <c r="AB96" s="231"/>
      <c r="AC96" s="231"/>
      <c r="AD96" s="231"/>
      <c r="AE96" s="231"/>
      <c r="AF96" s="231"/>
      <c r="AG96" s="231"/>
      <c r="AH96" s="231"/>
      <c r="AI96" s="231"/>
      <c r="AJ96" s="231"/>
      <c r="AK96" s="231"/>
    </row>
    <row r="97" spans="1:37" s="203" customFormat="1">
      <c r="A97" s="120">
        <v>2</v>
      </c>
      <c r="B97" s="47" t="s">
        <v>105</v>
      </c>
      <c r="C97" s="47"/>
      <c r="D97" s="47"/>
      <c r="E97" s="49">
        <v>46</v>
      </c>
      <c r="F97" s="52">
        <v>50</v>
      </c>
      <c r="G97" s="118"/>
      <c r="H97" s="122">
        <v>59</v>
      </c>
      <c r="I97" s="139"/>
      <c r="J97" s="231"/>
      <c r="K97" s="231"/>
      <c r="L97" s="231"/>
      <c r="M97" s="231"/>
      <c r="N97" s="231"/>
      <c r="O97" s="231"/>
      <c r="P97" s="231"/>
      <c r="Q97" s="231"/>
      <c r="R97" s="231"/>
      <c r="S97" s="231"/>
      <c r="T97" s="231"/>
      <c r="U97" s="231"/>
      <c r="V97" s="231"/>
      <c r="W97" s="231"/>
      <c r="X97" s="231"/>
      <c r="Y97" s="231"/>
      <c r="Z97" s="231"/>
      <c r="AA97" s="231"/>
      <c r="AB97" s="231"/>
      <c r="AC97" s="231"/>
      <c r="AD97" s="231"/>
      <c r="AE97" s="231"/>
      <c r="AF97" s="231"/>
      <c r="AG97" s="231"/>
      <c r="AH97" s="231"/>
      <c r="AI97" s="231"/>
      <c r="AJ97" s="231"/>
      <c r="AK97" s="231"/>
    </row>
    <row r="98" spans="1:37" s="203" customFormat="1">
      <c r="A98" s="120">
        <v>3</v>
      </c>
      <c r="B98" s="47" t="s">
        <v>106</v>
      </c>
      <c r="C98" s="47"/>
      <c r="D98" s="47"/>
      <c r="E98" s="114">
        <v>29578</v>
      </c>
      <c r="F98" s="50">
        <f>F115</f>
        <v>29705</v>
      </c>
      <c r="G98" s="118"/>
      <c r="H98" s="50">
        <f>H115</f>
        <v>30392</v>
      </c>
      <c r="I98" s="139"/>
      <c r="J98" s="231"/>
      <c r="K98" s="231"/>
      <c r="L98" s="231"/>
      <c r="M98" s="231"/>
      <c r="N98" s="231"/>
      <c r="O98" s="231"/>
      <c r="P98" s="231"/>
      <c r="Q98" s="231"/>
      <c r="R98" s="231"/>
      <c r="S98" s="231"/>
      <c r="T98" s="231"/>
      <c r="U98" s="231"/>
      <c r="V98" s="231"/>
      <c r="W98" s="231"/>
      <c r="X98" s="231"/>
      <c r="Y98" s="231"/>
      <c r="Z98" s="231"/>
      <c r="AA98" s="231"/>
      <c r="AB98" s="231"/>
      <c r="AC98" s="231"/>
      <c r="AD98" s="231"/>
      <c r="AE98" s="231"/>
      <c r="AF98" s="231"/>
      <c r="AG98" s="231"/>
      <c r="AH98" s="231"/>
      <c r="AI98" s="231"/>
      <c r="AJ98" s="231"/>
      <c r="AK98" s="231"/>
    </row>
    <row r="99" spans="1:37" s="203" customFormat="1">
      <c r="A99" s="120">
        <v>4</v>
      </c>
      <c r="B99" s="47" t="s">
        <v>107</v>
      </c>
      <c r="C99" s="47"/>
      <c r="D99" s="47"/>
      <c r="E99" s="114">
        <v>44588</v>
      </c>
      <c r="F99" s="50">
        <f>F125</f>
        <v>43495</v>
      </c>
      <c r="G99" s="118"/>
      <c r="H99" s="50">
        <f>H125</f>
        <v>44447</v>
      </c>
      <c r="I99" s="139"/>
      <c r="J99" s="231"/>
      <c r="K99" s="231"/>
      <c r="L99" s="231"/>
      <c r="M99" s="231"/>
      <c r="N99" s="231"/>
      <c r="O99" s="231"/>
      <c r="P99" s="231"/>
      <c r="Q99" s="231"/>
      <c r="R99" s="231"/>
      <c r="S99" s="231"/>
      <c r="T99" s="231"/>
      <c r="U99" s="231"/>
      <c r="V99" s="231"/>
      <c r="W99" s="231"/>
      <c r="X99" s="231"/>
      <c r="Y99" s="231"/>
      <c r="Z99" s="231"/>
      <c r="AA99" s="231"/>
      <c r="AB99" s="231"/>
      <c r="AC99" s="231"/>
      <c r="AD99" s="231"/>
      <c r="AE99" s="231"/>
      <c r="AF99" s="231"/>
      <c r="AG99" s="231"/>
      <c r="AH99" s="231"/>
      <c r="AI99" s="231"/>
      <c r="AJ99" s="231"/>
      <c r="AK99" s="231"/>
    </row>
    <row r="100" spans="1:37" s="203" customFormat="1">
      <c r="A100" s="120">
        <v>5</v>
      </c>
      <c r="B100" s="47" t="s">
        <v>108</v>
      </c>
      <c r="C100" s="47"/>
      <c r="D100" s="47"/>
      <c r="E100" s="114">
        <v>5281</v>
      </c>
      <c r="F100" s="50">
        <f>F135</f>
        <v>5034</v>
      </c>
      <c r="G100" s="118"/>
      <c r="H100" s="50">
        <f>H135</f>
        <v>5227</v>
      </c>
      <c r="I100" s="139"/>
      <c r="J100" s="231"/>
      <c r="K100" s="231"/>
      <c r="L100" s="231"/>
      <c r="M100" s="231"/>
      <c r="N100" s="231"/>
      <c r="O100" s="231"/>
      <c r="P100" s="231"/>
      <c r="Q100" s="231"/>
      <c r="R100" s="231"/>
      <c r="S100" s="231"/>
      <c r="T100" s="231"/>
      <c r="U100" s="231"/>
      <c r="V100" s="231"/>
      <c r="W100" s="231"/>
      <c r="X100" s="231"/>
      <c r="Y100" s="231"/>
      <c r="Z100" s="231"/>
      <c r="AA100" s="231"/>
      <c r="AB100" s="231"/>
      <c r="AC100" s="231"/>
      <c r="AD100" s="231"/>
      <c r="AE100" s="231"/>
      <c r="AF100" s="231"/>
      <c r="AG100" s="231"/>
      <c r="AH100" s="231"/>
      <c r="AI100" s="231"/>
      <c r="AJ100" s="231"/>
      <c r="AK100" s="231"/>
    </row>
    <row r="101" spans="1:37" s="203" customFormat="1">
      <c r="A101" s="120">
        <v>6</v>
      </c>
      <c r="B101" s="47" t="s">
        <v>109</v>
      </c>
      <c r="C101" s="47"/>
      <c r="D101" s="47"/>
      <c r="E101" s="114">
        <v>10809</v>
      </c>
      <c r="F101" s="50">
        <f>F143</f>
        <v>11034</v>
      </c>
      <c r="G101" s="118"/>
      <c r="H101" s="50">
        <f>H143</f>
        <v>10817</v>
      </c>
      <c r="I101" s="139"/>
      <c r="J101" s="231"/>
      <c r="K101" s="231"/>
      <c r="L101" s="231"/>
      <c r="M101" s="231"/>
      <c r="N101" s="231"/>
      <c r="O101" s="231"/>
      <c r="P101" s="231"/>
      <c r="Q101" s="231"/>
      <c r="R101" s="231"/>
      <c r="S101" s="231"/>
      <c r="T101" s="231"/>
      <c r="U101" s="231"/>
      <c r="V101" s="231"/>
      <c r="W101" s="231"/>
      <c r="X101" s="231"/>
      <c r="Y101" s="231"/>
      <c r="Z101" s="231"/>
      <c r="AA101" s="231"/>
      <c r="AB101" s="231"/>
      <c r="AC101" s="231"/>
      <c r="AD101" s="231"/>
      <c r="AE101" s="231"/>
      <c r="AF101" s="231"/>
      <c r="AG101" s="231"/>
      <c r="AH101" s="231"/>
      <c r="AI101" s="231"/>
      <c r="AJ101" s="231"/>
      <c r="AK101" s="231"/>
    </row>
    <row r="102" spans="1:37" s="203" customFormat="1">
      <c r="A102" s="120">
        <v>7</v>
      </c>
      <c r="B102" s="47" t="s">
        <v>110</v>
      </c>
      <c r="C102" s="47"/>
      <c r="D102" s="47"/>
      <c r="E102" s="114">
        <v>2425</v>
      </c>
      <c r="F102" s="50">
        <f>F150</f>
        <v>2075</v>
      </c>
      <c r="G102" s="118"/>
      <c r="H102" s="50">
        <f>H150</f>
        <v>2820</v>
      </c>
      <c r="I102" s="139"/>
      <c r="J102" s="231"/>
      <c r="K102" s="231"/>
      <c r="L102" s="231"/>
      <c r="M102" s="231"/>
      <c r="N102" s="231"/>
      <c r="O102" s="231"/>
      <c r="P102" s="231"/>
      <c r="Q102" s="231"/>
      <c r="R102" s="231"/>
      <c r="S102" s="231"/>
      <c r="T102" s="231"/>
      <c r="U102" s="231"/>
      <c r="V102" s="231"/>
      <c r="W102" s="231"/>
      <c r="X102" s="231"/>
      <c r="Y102" s="231"/>
      <c r="Z102" s="231"/>
      <c r="AA102" s="231"/>
      <c r="AB102" s="231"/>
      <c r="AC102" s="231"/>
      <c r="AD102" s="231"/>
      <c r="AE102" s="231"/>
      <c r="AF102" s="231"/>
      <c r="AG102" s="231"/>
      <c r="AH102" s="231"/>
      <c r="AI102" s="231"/>
      <c r="AJ102" s="231"/>
      <c r="AK102" s="231"/>
    </row>
    <row r="103" spans="1:37" s="203" customFormat="1">
      <c r="A103" s="120">
        <v>8</v>
      </c>
      <c r="B103" s="47" t="s">
        <v>111</v>
      </c>
      <c r="C103" s="47"/>
      <c r="D103" s="47"/>
      <c r="E103" s="114">
        <v>1257</v>
      </c>
      <c r="F103" s="52">
        <v>832</v>
      </c>
      <c r="G103" s="118"/>
      <c r="H103" s="122">
        <v>900</v>
      </c>
      <c r="I103" s="139"/>
      <c r="J103" s="231"/>
      <c r="K103" s="231"/>
      <c r="L103" s="231"/>
      <c r="M103" s="231"/>
      <c r="N103" s="231"/>
      <c r="O103" s="231"/>
      <c r="P103" s="231"/>
      <c r="Q103" s="231"/>
      <c r="R103" s="231"/>
      <c r="S103" s="231"/>
      <c r="T103" s="231"/>
      <c r="U103" s="231"/>
      <c r="V103" s="231"/>
      <c r="W103" s="231"/>
      <c r="X103" s="231"/>
      <c r="Y103" s="231"/>
      <c r="Z103" s="231"/>
      <c r="AA103" s="231"/>
      <c r="AB103" s="231"/>
      <c r="AC103" s="231"/>
      <c r="AD103" s="231"/>
      <c r="AE103" s="231"/>
      <c r="AF103" s="231"/>
      <c r="AG103" s="231"/>
      <c r="AH103" s="231"/>
      <c r="AI103" s="231"/>
      <c r="AJ103" s="231"/>
      <c r="AK103" s="231"/>
    </row>
    <row r="104" spans="1:37" s="203" customFormat="1">
      <c r="A104" s="120">
        <v>9</v>
      </c>
      <c r="B104" s="47" t="s">
        <v>112</v>
      </c>
      <c r="C104" s="47"/>
      <c r="D104" s="47"/>
      <c r="E104" s="114">
        <v>3004</v>
      </c>
      <c r="F104" s="52">
        <v>3035</v>
      </c>
      <c r="G104" s="118"/>
      <c r="H104" s="122">
        <v>2967</v>
      </c>
      <c r="I104" s="139"/>
      <c r="J104" s="231"/>
      <c r="K104" s="231"/>
      <c r="L104" s="231"/>
      <c r="M104" s="231"/>
      <c r="N104" s="231"/>
      <c r="O104" s="231"/>
      <c r="P104" s="231"/>
      <c r="Q104" s="231"/>
      <c r="R104" s="231"/>
      <c r="S104" s="231"/>
      <c r="T104" s="231"/>
      <c r="U104" s="231"/>
      <c r="V104" s="231"/>
      <c r="W104" s="231"/>
      <c r="X104" s="231"/>
      <c r="Y104" s="231"/>
      <c r="Z104" s="231"/>
      <c r="AA104" s="231"/>
      <c r="AB104" s="231"/>
      <c r="AC104" s="231"/>
      <c r="AD104" s="231"/>
      <c r="AE104" s="231"/>
      <c r="AF104" s="231"/>
      <c r="AG104" s="231"/>
      <c r="AH104" s="231"/>
      <c r="AI104" s="231"/>
      <c r="AJ104" s="231"/>
      <c r="AK104" s="231"/>
    </row>
    <row r="105" spans="1:37" s="203" customFormat="1">
      <c r="A105" s="111" t="s">
        <v>113</v>
      </c>
      <c r="B105" s="116" t="s">
        <v>114</v>
      </c>
      <c r="C105" s="116"/>
      <c r="D105" s="47"/>
      <c r="E105" s="134">
        <v>98129</v>
      </c>
      <c r="F105" s="61">
        <f>SUM(F96:F104)</f>
        <v>96532</v>
      </c>
      <c r="G105" s="118"/>
      <c r="H105" s="61">
        <f>SUM(H96:H104)</f>
        <v>99704</v>
      </c>
      <c r="I105" s="139"/>
      <c r="J105" s="231"/>
      <c r="K105" s="231"/>
      <c r="L105" s="231"/>
      <c r="M105" s="231"/>
      <c r="N105" s="231"/>
      <c r="O105" s="231"/>
      <c r="P105" s="231"/>
      <c r="Q105" s="231"/>
      <c r="R105" s="231"/>
      <c r="S105" s="231"/>
      <c r="T105" s="231"/>
      <c r="U105" s="231"/>
      <c r="V105" s="231"/>
      <c r="W105" s="231"/>
      <c r="X105" s="231"/>
      <c r="Y105" s="231"/>
      <c r="Z105" s="231"/>
      <c r="AA105" s="231"/>
      <c r="AB105" s="231"/>
      <c r="AC105" s="231"/>
      <c r="AD105" s="231"/>
      <c r="AE105" s="231"/>
      <c r="AF105" s="231"/>
      <c r="AG105" s="231"/>
      <c r="AH105" s="231"/>
      <c r="AI105" s="231"/>
      <c r="AJ105" s="231"/>
      <c r="AK105" s="231"/>
    </row>
    <row r="106" spans="1:37" s="203" customFormat="1">
      <c r="A106" s="120">
        <v>11</v>
      </c>
      <c r="B106" s="90" t="s">
        <v>115</v>
      </c>
      <c r="C106" s="47"/>
      <c r="D106" s="47"/>
      <c r="E106" s="135">
        <v>23</v>
      </c>
      <c r="F106" s="136">
        <v>23</v>
      </c>
      <c r="G106" s="118"/>
      <c r="H106" s="137">
        <v>22</v>
      </c>
      <c r="I106" s="139"/>
      <c r="J106" s="231"/>
      <c r="K106" s="231"/>
      <c r="L106" s="231"/>
      <c r="M106" s="231"/>
      <c r="N106" s="231"/>
      <c r="O106" s="231"/>
      <c r="P106" s="231"/>
      <c r="Q106" s="231"/>
      <c r="R106" s="231"/>
      <c r="S106" s="231"/>
      <c r="T106" s="231"/>
      <c r="U106" s="231"/>
      <c r="V106" s="231"/>
      <c r="W106" s="231"/>
      <c r="X106" s="231"/>
      <c r="Y106" s="231"/>
      <c r="Z106" s="231"/>
      <c r="AA106" s="231"/>
      <c r="AB106" s="231"/>
      <c r="AC106" s="231"/>
      <c r="AD106" s="231"/>
      <c r="AE106" s="231"/>
      <c r="AF106" s="231"/>
      <c r="AG106" s="231"/>
      <c r="AH106" s="231"/>
      <c r="AI106" s="231"/>
      <c r="AJ106" s="231"/>
      <c r="AK106" s="231"/>
    </row>
    <row r="107" spans="1:37" s="203" customFormat="1">
      <c r="A107" s="111"/>
      <c r="B107" s="47"/>
      <c r="C107" s="47"/>
      <c r="D107" s="138"/>
      <c r="E107" s="117"/>
      <c r="F107" s="139"/>
      <c r="G107" s="139"/>
      <c r="H107" s="139"/>
      <c r="I107" s="139"/>
      <c r="J107" s="231"/>
      <c r="K107" s="231"/>
      <c r="L107" s="231"/>
      <c r="M107" s="231"/>
      <c r="N107" s="231"/>
      <c r="O107" s="231"/>
      <c r="P107" s="231"/>
      <c r="Q107" s="231"/>
      <c r="R107" s="231"/>
      <c r="S107" s="231"/>
      <c r="T107" s="231"/>
      <c r="U107" s="231"/>
      <c r="V107" s="231"/>
      <c r="W107" s="231"/>
      <c r="X107" s="231"/>
      <c r="Y107" s="231"/>
      <c r="Z107" s="231"/>
      <c r="AA107" s="231"/>
      <c r="AB107" s="231"/>
      <c r="AC107" s="231"/>
      <c r="AD107" s="231"/>
      <c r="AE107" s="231"/>
      <c r="AF107" s="231"/>
      <c r="AG107" s="231"/>
      <c r="AH107" s="231"/>
      <c r="AI107" s="231"/>
      <c r="AJ107" s="231"/>
      <c r="AK107" s="231"/>
    </row>
    <row r="108" spans="1:37" s="203" customFormat="1">
      <c r="A108" s="119" t="s">
        <v>116</v>
      </c>
      <c r="B108" s="47"/>
      <c r="C108" s="47"/>
      <c r="D108" s="47"/>
      <c r="E108" s="117"/>
      <c r="F108" s="139"/>
      <c r="G108" s="139"/>
      <c r="H108" s="139"/>
      <c r="I108" s="139"/>
      <c r="J108" s="231"/>
      <c r="K108" s="231"/>
      <c r="L108" s="231"/>
      <c r="M108" s="231"/>
      <c r="N108" s="231"/>
      <c r="O108" s="231"/>
      <c r="P108" s="231"/>
      <c r="Q108" s="231"/>
      <c r="R108" s="231"/>
      <c r="S108" s="231"/>
      <c r="T108" s="231"/>
      <c r="U108" s="231"/>
      <c r="V108" s="231"/>
      <c r="W108" s="231"/>
      <c r="X108" s="231"/>
      <c r="Y108" s="231"/>
      <c r="Z108" s="231"/>
      <c r="AA108" s="231"/>
      <c r="AB108" s="231"/>
      <c r="AC108" s="231"/>
      <c r="AD108" s="231"/>
      <c r="AE108" s="231"/>
      <c r="AF108" s="231"/>
      <c r="AG108" s="231"/>
      <c r="AH108" s="231"/>
      <c r="AI108" s="231"/>
      <c r="AJ108" s="231"/>
      <c r="AK108" s="231"/>
    </row>
    <row r="109" spans="1:37" s="203" customFormat="1">
      <c r="A109" s="119" t="s">
        <v>106</v>
      </c>
      <c r="B109" s="47"/>
      <c r="C109" s="47"/>
      <c r="D109" s="47"/>
      <c r="E109" s="140"/>
      <c r="F109" s="141"/>
      <c r="G109" s="139"/>
      <c r="H109" s="141"/>
      <c r="I109" s="139"/>
      <c r="J109" s="231"/>
      <c r="K109" s="231"/>
      <c r="L109" s="231"/>
      <c r="M109" s="231"/>
      <c r="N109" s="231"/>
      <c r="O109" s="231"/>
      <c r="P109" s="231"/>
      <c r="Q109" s="231"/>
      <c r="R109" s="231"/>
      <c r="S109" s="231"/>
      <c r="T109" s="231"/>
      <c r="U109" s="231"/>
      <c r="V109" s="231"/>
      <c r="W109" s="231"/>
      <c r="X109" s="231"/>
      <c r="Y109" s="231"/>
      <c r="Z109" s="231"/>
      <c r="AA109" s="231"/>
      <c r="AB109" s="231"/>
      <c r="AC109" s="231"/>
      <c r="AD109" s="231"/>
      <c r="AE109" s="231"/>
      <c r="AF109" s="231"/>
      <c r="AG109" s="231"/>
      <c r="AH109" s="231"/>
      <c r="AI109" s="231"/>
      <c r="AJ109" s="231"/>
      <c r="AK109" s="231"/>
    </row>
    <row r="110" spans="1:37" s="203" customFormat="1">
      <c r="A110" s="120">
        <v>12</v>
      </c>
      <c r="B110" s="47" t="s">
        <v>117</v>
      </c>
      <c r="C110" s="47"/>
      <c r="D110" s="47"/>
      <c r="E110" s="49">
        <v>3774</v>
      </c>
      <c r="F110" s="52">
        <v>3938</v>
      </c>
      <c r="G110" s="118"/>
      <c r="H110" s="122">
        <v>3912</v>
      </c>
      <c r="I110" s="139"/>
      <c r="J110" s="231"/>
      <c r="K110" s="231"/>
      <c r="L110" s="231"/>
      <c r="M110" s="231"/>
      <c r="N110" s="231"/>
      <c r="O110" s="231"/>
      <c r="P110" s="231"/>
      <c r="Q110" s="231"/>
      <c r="R110" s="231"/>
      <c r="S110" s="231"/>
      <c r="T110" s="231"/>
      <c r="U110" s="231"/>
      <c r="V110" s="231"/>
      <c r="W110" s="231"/>
      <c r="X110" s="231"/>
      <c r="Y110" s="231"/>
      <c r="Z110" s="231"/>
      <c r="AA110" s="231"/>
      <c r="AB110" s="231"/>
      <c r="AC110" s="231"/>
      <c r="AD110" s="231"/>
      <c r="AE110" s="231"/>
      <c r="AF110" s="231"/>
      <c r="AG110" s="231"/>
      <c r="AH110" s="231"/>
      <c r="AI110" s="231"/>
      <c r="AJ110" s="231"/>
      <c r="AK110" s="231"/>
    </row>
    <row r="111" spans="1:37" s="203" customFormat="1">
      <c r="A111" s="120">
        <v>13</v>
      </c>
      <c r="B111" s="47" t="s">
        <v>118</v>
      </c>
      <c r="C111" s="47"/>
      <c r="D111" s="47"/>
      <c r="E111" s="49">
        <v>8890</v>
      </c>
      <c r="F111" s="52">
        <v>8927</v>
      </c>
      <c r="G111" s="118"/>
      <c r="H111" s="122">
        <v>9232</v>
      </c>
      <c r="I111" s="139"/>
      <c r="J111" s="231"/>
      <c r="K111" s="231"/>
      <c r="L111" s="231"/>
      <c r="M111" s="231"/>
      <c r="N111" s="231"/>
      <c r="O111" s="231"/>
      <c r="P111" s="231"/>
      <c r="Q111" s="231"/>
      <c r="R111" s="231"/>
      <c r="S111" s="231"/>
      <c r="T111" s="231"/>
      <c r="U111" s="231"/>
      <c r="V111" s="231"/>
      <c r="W111" s="231"/>
      <c r="X111" s="231"/>
      <c r="Y111" s="231"/>
      <c r="Z111" s="231"/>
      <c r="AA111" s="231"/>
      <c r="AB111" s="231"/>
      <c r="AC111" s="231"/>
      <c r="AD111" s="231"/>
      <c r="AE111" s="231"/>
      <c r="AF111" s="231"/>
      <c r="AG111" s="231"/>
      <c r="AH111" s="231"/>
      <c r="AI111" s="231"/>
      <c r="AJ111" s="231"/>
      <c r="AK111" s="231"/>
    </row>
    <row r="112" spans="1:37" s="203" customFormat="1">
      <c r="A112" s="120">
        <v>14</v>
      </c>
      <c r="B112" s="47" t="s">
        <v>119</v>
      </c>
      <c r="C112" s="47"/>
      <c r="D112" s="47"/>
      <c r="E112" s="49">
        <v>8962</v>
      </c>
      <c r="F112" s="52">
        <v>9098</v>
      </c>
      <c r="G112" s="118"/>
      <c r="H112" s="122">
        <v>8317</v>
      </c>
      <c r="I112" s="139"/>
      <c r="J112" s="231"/>
      <c r="K112" s="231"/>
      <c r="L112" s="231"/>
      <c r="M112" s="231"/>
      <c r="N112" s="231"/>
      <c r="O112" s="231"/>
      <c r="P112" s="231"/>
      <c r="Q112" s="231"/>
      <c r="R112" s="231"/>
      <c r="S112" s="231"/>
      <c r="T112" s="231"/>
      <c r="U112" s="231"/>
      <c r="V112" s="231"/>
      <c r="W112" s="231"/>
      <c r="X112" s="231"/>
      <c r="Y112" s="231"/>
      <c r="Z112" s="231"/>
      <c r="AA112" s="231"/>
      <c r="AB112" s="231"/>
      <c r="AC112" s="231"/>
      <c r="AD112" s="231"/>
      <c r="AE112" s="231"/>
      <c r="AF112" s="231"/>
      <c r="AG112" s="231"/>
      <c r="AH112" s="231"/>
      <c r="AI112" s="231"/>
      <c r="AJ112" s="231"/>
      <c r="AK112" s="231"/>
    </row>
    <row r="113" spans="1:37" s="203" customFormat="1">
      <c r="A113" s="120">
        <v>15</v>
      </c>
      <c r="B113" s="47" t="s">
        <v>120</v>
      </c>
      <c r="C113" s="47"/>
      <c r="D113" s="47"/>
      <c r="E113" s="49">
        <v>0</v>
      </c>
      <c r="F113" s="52">
        <v>0</v>
      </c>
      <c r="G113" s="118"/>
      <c r="H113" s="122">
        <v>0</v>
      </c>
      <c r="I113" s="139"/>
      <c r="J113" s="231"/>
      <c r="K113" s="231"/>
      <c r="L113" s="231"/>
      <c r="M113" s="231"/>
      <c r="N113" s="231"/>
      <c r="O113" s="231"/>
      <c r="P113" s="231"/>
      <c r="Q113" s="231"/>
      <c r="R113" s="231"/>
      <c r="S113" s="231"/>
      <c r="T113" s="231"/>
      <c r="U113" s="231"/>
      <c r="V113" s="231"/>
      <c r="W113" s="231"/>
      <c r="X113" s="231"/>
      <c r="Y113" s="231"/>
      <c r="Z113" s="231"/>
      <c r="AA113" s="231"/>
      <c r="AB113" s="231"/>
      <c r="AC113" s="231"/>
      <c r="AD113" s="231"/>
      <c r="AE113" s="231"/>
      <c r="AF113" s="231"/>
      <c r="AG113" s="231"/>
      <c r="AH113" s="231"/>
      <c r="AI113" s="231"/>
      <c r="AJ113" s="231"/>
      <c r="AK113" s="231"/>
    </row>
    <row r="114" spans="1:37" s="203" customFormat="1">
      <c r="A114" s="120">
        <v>16</v>
      </c>
      <c r="B114" s="47" t="s">
        <v>121</v>
      </c>
      <c r="C114" s="47"/>
      <c r="D114" s="47"/>
      <c r="E114" s="49">
        <v>7952</v>
      </c>
      <c r="F114" s="52">
        <v>7742</v>
      </c>
      <c r="G114" s="118"/>
      <c r="H114" s="100">
        <v>8931</v>
      </c>
      <c r="I114" s="139"/>
      <c r="J114" s="231"/>
      <c r="K114" s="231"/>
      <c r="L114" s="231"/>
      <c r="M114" s="231"/>
      <c r="N114" s="231"/>
      <c r="O114" s="231"/>
      <c r="P114" s="231"/>
      <c r="Q114" s="231"/>
      <c r="R114" s="231"/>
      <c r="S114" s="231"/>
      <c r="T114" s="231"/>
      <c r="U114" s="231"/>
      <c r="V114" s="231"/>
      <c r="W114" s="231"/>
      <c r="X114" s="231"/>
      <c r="Y114" s="231"/>
      <c r="Z114" s="231"/>
      <c r="AA114" s="231"/>
      <c r="AB114" s="231"/>
      <c r="AC114" s="231"/>
      <c r="AD114" s="231"/>
      <c r="AE114" s="231"/>
      <c r="AF114" s="231"/>
      <c r="AG114" s="231"/>
      <c r="AH114" s="231"/>
      <c r="AI114" s="231"/>
      <c r="AJ114" s="231"/>
      <c r="AK114" s="231"/>
    </row>
    <row r="115" spans="1:37" s="203" customFormat="1">
      <c r="A115" s="120">
        <v>17</v>
      </c>
      <c r="B115" s="116" t="s">
        <v>122</v>
      </c>
      <c r="C115" s="116"/>
      <c r="D115" s="116"/>
      <c r="E115" s="80">
        <v>29578</v>
      </c>
      <c r="F115" s="142">
        <f>SUM(F110:F114)</f>
        <v>29705</v>
      </c>
      <c r="G115" s="118"/>
      <c r="H115" s="142">
        <f>SUM(H110:H114)</f>
        <v>30392</v>
      </c>
      <c r="I115" s="139"/>
      <c r="J115" s="231"/>
      <c r="K115" s="231"/>
      <c r="L115" s="231"/>
      <c r="M115" s="231"/>
      <c r="N115" s="231"/>
      <c r="O115" s="231"/>
      <c r="P115" s="231"/>
      <c r="Q115" s="231"/>
      <c r="R115" s="231"/>
      <c r="S115" s="231"/>
      <c r="T115" s="231"/>
      <c r="U115" s="231"/>
      <c r="V115" s="231"/>
      <c r="W115" s="231"/>
      <c r="X115" s="231"/>
      <c r="Y115" s="231"/>
      <c r="Z115" s="231"/>
      <c r="AA115" s="231"/>
      <c r="AB115" s="231"/>
      <c r="AC115" s="231"/>
      <c r="AD115" s="231"/>
      <c r="AE115" s="231"/>
      <c r="AF115" s="231"/>
      <c r="AG115" s="231"/>
      <c r="AH115" s="231"/>
      <c r="AI115" s="231"/>
      <c r="AJ115" s="231"/>
      <c r="AK115" s="231"/>
    </row>
    <row r="116" spans="1:37" s="203" customFormat="1">
      <c r="A116" s="111"/>
      <c r="B116" s="116"/>
      <c r="C116" s="116"/>
      <c r="D116" s="116"/>
      <c r="E116" s="143"/>
      <c r="F116" s="118"/>
      <c r="G116" s="118"/>
      <c r="H116" s="118"/>
      <c r="I116" s="139"/>
      <c r="J116" s="231"/>
      <c r="K116" s="231"/>
      <c r="L116" s="231"/>
      <c r="M116" s="231"/>
      <c r="N116" s="231"/>
      <c r="O116" s="231"/>
      <c r="P116" s="231"/>
      <c r="Q116" s="231"/>
      <c r="R116" s="231"/>
      <c r="S116" s="231"/>
      <c r="T116" s="231"/>
      <c r="U116" s="231"/>
      <c r="V116" s="231"/>
      <c r="W116" s="231"/>
      <c r="X116" s="231"/>
      <c r="Y116" s="231"/>
      <c r="Z116" s="231"/>
      <c r="AA116" s="231"/>
      <c r="AB116" s="231"/>
      <c r="AC116" s="231"/>
      <c r="AD116" s="231"/>
      <c r="AE116" s="231"/>
      <c r="AF116" s="231"/>
      <c r="AG116" s="231"/>
      <c r="AH116" s="231"/>
      <c r="AI116" s="231"/>
      <c r="AJ116" s="231"/>
      <c r="AK116" s="231"/>
    </row>
    <row r="117" spans="1:37" s="203" customFormat="1">
      <c r="A117" s="144" t="s">
        <v>107</v>
      </c>
      <c r="B117" s="116"/>
      <c r="C117" s="116"/>
      <c r="D117" s="116"/>
      <c r="E117" s="145"/>
      <c r="F117" s="146"/>
      <c r="G117" s="118"/>
      <c r="H117" s="146"/>
      <c r="I117" s="139"/>
      <c r="J117" s="231"/>
      <c r="K117" s="231"/>
      <c r="L117" s="231"/>
      <c r="M117" s="231"/>
      <c r="N117" s="231"/>
      <c r="O117" s="231"/>
      <c r="P117" s="231"/>
      <c r="Q117" s="231"/>
      <c r="R117" s="231"/>
      <c r="S117" s="231"/>
      <c r="T117" s="231"/>
      <c r="U117" s="231"/>
      <c r="V117" s="231"/>
      <c r="W117" s="231"/>
      <c r="X117" s="231"/>
      <c r="Y117" s="231"/>
      <c r="Z117" s="231"/>
      <c r="AA117" s="231"/>
      <c r="AB117" s="231"/>
      <c r="AC117" s="231"/>
      <c r="AD117" s="231"/>
      <c r="AE117" s="231"/>
      <c r="AF117" s="231"/>
      <c r="AG117" s="231"/>
      <c r="AH117" s="231"/>
      <c r="AI117" s="231"/>
      <c r="AJ117" s="231"/>
      <c r="AK117" s="231"/>
    </row>
    <row r="118" spans="1:37" s="203" customFormat="1">
      <c r="A118" s="120">
        <v>18</v>
      </c>
      <c r="B118" s="47" t="s">
        <v>123</v>
      </c>
      <c r="C118" s="47"/>
      <c r="D118" s="47"/>
      <c r="E118" s="49">
        <v>3467</v>
      </c>
      <c r="F118" s="52">
        <v>3303</v>
      </c>
      <c r="G118" s="118"/>
      <c r="H118" s="122">
        <v>3293</v>
      </c>
      <c r="I118" s="139"/>
      <c r="J118" s="231"/>
      <c r="K118" s="231"/>
      <c r="L118" s="231"/>
      <c r="M118" s="231"/>
      <c r="N118" s="231"/>
      <c r="O118" s="231"/>
      <c r="P118" s="231"/>
      <c r="Q118" s="231"/>
      <c r="R118" s="231"/>
      <c r="S118" s="231"/>
      <c r="T118" s="231"/>
      <c r="U118" s="231"/>
      <c r="V118" s="231"/>
      <c r="W118" s="231"/>
      <c r="X118" s="231"/>
      <c r="Y118" s="231"/>
      <c r="Z118" s="231"/>
      <c r="AA118" s="231"/>
      <c r="AB118" s="231"/>
      <c r="AC118" s="231"/>
      <c r="AD118" s="231"/>
      <c r="AE118" s="231"/>
      <c r="AF118" s="231"/>
      <c r="AG118" s="231"/>
      <c r="AH118" s="231"/>
      <c r="AI118" s="231"/>
      <c r="AJ118" s="231"/>
      <c r="AK118" s="231"/>
    </row>
    <row r="119" spans="1:37" s="203" customFormat="1">
      <c r="A119" s="120">
        <v>19</v>
      </c>
      <c r="B119" s="47" t="s">
        <v>124</v>
      </c>
      <c r="C119" s="47"/>
      <c r="D119" s="47"/>
      <c r="E119" s="49">
        <v>18371</v>
      </c>
      <c r="F119" s="52">
        <v>18144</v>
      </c>
      <c r="G119" s="118"/>
      <c r="H119" s="122">
        <f>18423+1</f>
        <v>18424</v>
      </c>
      <c r="I119" s="139"/>
      <c r="J119" s="231"/>
      <c r="K119" s="231"/>
      <c r="L119" s="231"/>
      <c r="M119" s="231"/>
      <c r="N119" s="231"/>
      <c r="O119" s="231"/>
      <c r="P119" s="231"/>
      <c r="Q119" s="231"/>
      <c r="R119" s="231"/>
      <c r="S119" s="231"/>
      <c r="T119" s="231"/>
      <c r="U119" s="231"/>
      <c r="V119" s="231"/>
      <c r="W119" s="231"/>
      <c r="X119" s="231"/>
      <c r="Y119" s="231"/>
      <c r="Z119" s="231"/>
      <c r="AA119" s="231"/>
      <c r="AB119" s="231"/>
      <c r="AC119" s="231"/>
      <c r="AD119" s="231"/>
      <c r="AE119" s="231"/>
      <c r="AF119" s="231"/>
      <c r="AG119" s="231"/>
      <c r="AH119" s="231"/>
      <c r="AI119" s="231"/>
      <c r="AJ119" s="231"/>
      <c r="AK119" s="231"/>
    </row>
    <row r="120" spans="1:37" s="203" customFormat="1">
      <c r="A120" s="120">
        <v>20</v>
      </c>
      <c r="B120" s="47" t="s">
        <v>119</v>
      </c>
      <c r="C120" s="47"/>
      <c r="D120" s="47"/>
      <c r="E120" s="49">
        <v>16792</v>
      </c>
      <c r="F120" s="52">
        <v>15961</v>
      </c>
      <c r="G120" s="118"/>
      <c r="H120" s="122">
        <v>16378</v>
      </c>
      <c r="I120" s="139"/>
      <c r="J120" s="231"/>
      <c r="K120" s="231"/>
      <c r="L120" s="231"/>
      <c r="M120" s="231"/>
      <c r="N120" s="231"/>
      <c r="O120" s="231"/>
      <c r="P120" s="231"/>
      <c r="Q120" s="231"/>
      <c r="R120" s="231"/>
      <c r="S120" s="231"/>
      <c r="T120" s="231"/>
      <c r="U120" s="231"/>
      <c r="V120" s="231"/>
      <c r="W120" s="231"/>
      <c r="X120" s="231"/>
      <c r="Y120" s="231"/>
      <c r="Z120" s="231"/>
      <c r="AA120" s="231"/>
      <c r="AB120" s="231"/>
      <c r="AC120" s="231"/>
      <c r="AD120" s="231"/>
      <c r="AE120" s="231"/>
      <c r="AF120" s="231"/>
      <c r="AG120" s="231"/>
      <c r="AH120" s="231"/>
      <c r="AI120" s="231"/>
      <c r="AJ120" s="231"/>
      <c r="AK120" s="231"/>
    </row>
    <row r="121" spans="1:37" s="203" customFormat="1">
      <c r="A121" s="120">
        <v>21</v>
      </c>
      <c r="B121" s="47" t="s">
        <v>120</v>
      </c>
      <c r="C121" s="47"/>
      <c r="D121" s="47"/>
      <c r="E121" s="49">
        <v>1663</v>
      </c>
      <c r="F121" s="52">
        <v>2198</v>
      </c>
      <c r="G121" s="118"/>
      <c r="H121" s="122">
        <v>2104</v>
      </c>
      <c r="I121" s="139"/>
      <c r="J121" s="231"/>
      <c r="K121" s="231"/>
      <c r="L121" s="231"/>
      <c r="M121" s="231"/>
      <c r="N121" s="231"/>
      <c r="O121" s="231"/>
      <c r="P121" s="231"/>
      <c r="Q121" s="231"/>
      <c r="R121" s="231"/>
      <c r="S121" s="231"/>
      <c r="T121" s="231"/>
      <c r="U121" s="231"/>
      <c r="V121" s="231"/>
      <c r="W121" s="231"/>
      <c r="X121" s="231"/>
      <c r="Y121" s="231"/>
      <c r="Z121" s="231"/>
      <c r="AA121" s="231"/>
      <c r="AB121" s="231"/>
      <c r="AC121" s="231"/>
      <c r="AD121" s="231"/>
      <c r="AE121" s="231"/>
      <c r="AF121" s="231"/>
      <c r="AG121" s="231"/>
      <c r="AH121" s="231"/>
      <c r="AI121" s="231"/>
      <c r="AJ121" s="231"/>
      <c r="AK121" s="231"/>
    </row>
    <row r="122" spans="1:37" s="203" customFormat="1">
      <c r="A122" s="120">
        <v>22</v>
      </c>
      <c r="B122" s="47" t="s">
        <v>125</v>
      </c>
      <c r="C122" s="47"/>
      <c r="D122" s="47"/>
      <c r="E122" s="49">
        <v>432</v>
      </c>
      <c r="F122" s="52">
        <v>374</v>
      </c>
      <c r="G122" s="118"/>
      <c r="H122" s="122">
        <v>334</v>
      </c>
      <c r="I122" s="139"/>
      <c r="J122" s="231"/>
      <c r="K122" s="231"/>
      <c r="L122" s="231"/>
      <c r="M122" s="231"/>
      <c r="N122" s="231"/>
      <c r="O122" s="231"/>
      <c r="P122" s="231"/>
      <c r="Q122" s="231"/>
      <c r="R122" s="231"/>
      <c r="S122" s="231"/>
      <c r="T122" s="231"/>
      <c r="U122" s="231"/>
      <c r="V122" s="231"/>
      <c r="W122" s="231"/>
      <c r="X122" s="231"/>
      <c r="Y122" s="231"/>
      <c r="Z122" s="231"/>
      <c r="AA122" s="231"/>
      <c r="AB122" s="231"/>
      <c r="AC122" s="231"/>
      <c r="AD122" s="231"/>
      <c r="AE122" s="231"/>
      <c r="AF122" s="231"/>
      <c r="AG122" s="231"/>
      <c r="AH122" s="231"/>
      <c r="AI122" s="231"/>
      <c r="AJ122" s="231"/>
      <c r="AK122" s="231"/>
    </row>
    <row r="123" spans="1:37" s="203" customFormat="1">
      <c r="A123" s="120">
        <v>23</v>
      </c>
      <c r="B123" s="90" t="s">
        <v>126</v>
      </c>
      <c r="C123" s="47"/>
      <c r="D123" s="47"/>
      <c r="E123" s="49">
        <v>549</v>
      </c>
      <c r="F123" s="52">
        <v>533</v>
      </c>
      <c r="G123" s="118"/>
      <c r="H123" s="99">
        <v>531</v>
      </c>
      <c r="I123" s="139"/>
      <c r="J123" s="231"/>
      <c r="K123" s="231"/>
      <c r="L123" s="231"/>
      <c r="M123" s="231"/>
      <c r="N123" s="231"/>
      <c r="O123" s="231"/>
      <c r="P123" s="231"/>
      <c r="Q123" s="231"/>
      <c r="R123" s="231"/>
      <c r="S123" s="231"/>
      <c r="T123" s="231"/>
      <c r="U123" s="231"/>
      <c r="V123" s="231"/>
      <c r="W123" s="231"/>
      <c r="X123" s="231"/>
      <c r="Y123" s="231"/>
      <c r="Z123" s="231"/>
      <c r="AA123" s="231"/>
      <c r="AB123" s="231"/>
      <c r="AC123" s="231"/>
      <c r="AD123" s="231"/>
      <c r="AE123" s="231"/>
      <c r="AF123" s="231"/>
      <c r="AG123" s="231"/>
      <c r="AH123" s="231"/>
      <c r="AI123" s="231"/>
      <c r="AJ123" s="231"/>
      <c r="AK123" s="231"/>
    </row>
    <row r="124" spans="1:37" s="203" customFormat="1">
      <c r="A124" s="120">
        <v>24</v>
      </c>
      <c r="B124" s="47" t="s">
        <v>121</v>
      </c>
      <c r="C124" s="47"/>
      <c r="D124" s="47"/>
      <c r="E124" s="49">
        <v>3314</v>
      </c>
      <c r="F124" s="52">
        <v>2982</v>
      </c>
      <c r="G124" s="118"/>
      <c r="H124" s="100">
        <v>3383</v>
      </c>
      <c r="I124" s="139"/>
      <c r="J124" s="231"/>
      <c r="K124" s="231"/>
      <c r="L124" s="231"/>
      <c r="M124" s="231"/>
      <c r="N124" s="231"/>
      <c r="O124" s="231"/>
      <c r="P124" s="231"/>
      <c r="Q124" s="231"/>
      <c r="R124" s="231"/>
      <c r="S124" s="231"/>
      <c r="T124" s="231"/>
      <c r="U124" s="231"/>
      <c r="V124" s="231"/>
      <c r="W124" s="231"/>
      <c r="X124" s="231"/>
      <c r="Y124" s="231"/>
      <c r="Z124" s="231"/>
      <c r="AA124" s="231"/>
      <c r="AB124" s="231"/>
      <c r="AC124" s="231"/>
      <c r="AD124" s="231"/>
      <c r="AE124" s="231"/>
      <c r="AF124" s="231"/>
      <c r="AG124" s="231"/>
      <c r="AH124" s="231"/>
      <c r="AI124" s="231"/>
      <c r="AJ124" s="231"/>
      <c r="AK124" s="231"/>
    </row>
    <row r="125" spans="1:37" s="203" customFormat="1">
      <c r="A125" s="120">
        <v>25</v>
      </c>
      <c r="B125" s="147" t="s">
        <v>127</v>
      </c>
      <c r="C125" s="147"/>
      <c r="D125" s="147"/>
      <c r="E125" s="80">
        <v>44588</v>
      </c>
      <c r="F125" s="142">
        <f>SUM(F118:F124)</f>
        <v>43495</v>
      </c>
      <c r="G125" s="118"/>
      <c r="H125" s="142">
        <f>SUM(H118:H124)</f>
        <v>44447</v>
      </c>
      <c r="I125" s="139"/>
      <c r="J125" s="231"/>
      <c r="K125" s="231"/>
      <c r="L125" s="231"/>
      <c r="M125" s="231"/>
      <c r="N125" s="231"/>
      <c r="O125" s="231"/>
      <c r="P125" s="231"/>
      <c r="Q125" s="231"/>
      <c r="R125" s="231"/>
      <c r="S125" s="231"/>
      <c r="T125" s="231"/>
      <c r="U125" s="231"/>
      <c r="V125" s="231"/>
      <c r="W125" s="231"/>
      <c r="X125" s="231"/>
      <c r="Y125" s="231"/>
      <c r="Z125" s="231"/>
      <c r="AA125" s="231"/>
      <c r="AB125" s="231"/>
      <c r="AC125" s="231"/>
      <c r="AD125" s="231"/>
      <c r="AE125" s="231"/>
      <c r="AF125" s="231"/>
      <c r="AG125" s="231"/>
      <c r="AH125" s="231"/>
      <c r="AI125" s="231"/>
      <c r="AJ125" s="231"/>
      <c r="AK125" s="231"/>
    </row>
    <row r="126" spans="1:37" s="203" customFormat="1">
      <c r="A126" s="111"/>
      <c r="B126" s="47"/>
      <c r="C126" s="47"/>
      <c r="D126" s="47"/>
      <c r="E126" s="117"/>
      <c r="F126" s="118"/>
      <c r="G126" s="118"/>
      <c r="H126" s="118"/>
      <c r="I126" s="139"/>
      <c r="J126" s="231"/>
      <c r="K126" s="231"/>
      <c r="L126" s="231"/>
      <c r="M126" s="231"/>
      <c r="N126" s="231"/>
      <c r="O126" s="231"/>
      <c r="P126" s="231"/>
      <c r="Q126" s="231"/>
      <c r="R126" s="231"/>
      <c r="S126" s="231"/>
      <c r="T126" s="231"/>
      <c r="U126" s="231"/>
      <c r="V126" s="231"/>
      <c r="W126" s="231"/>
      <c r="X126" s="231"/>
      <c r="Y126" s="231"/>
      <c r="Z126" s="231"/>
      <c r="AA126" s="231"/>
      <c r="AB126" s="231"/>
      <c r="AC126" s="231"/>
      <c r="AD126" s="231"/>
      <c r="AE126" s="231"/>
      <c r="AF126" s="231"/>
      <c r="AG126" s="231"/>
      <c r="AH126" s="231"/>
      <c r="AI126" s="231"/>
      <c r="AJ126" s="231"/>
      <c r="AK126" s="231"/>
    </row>
    <row r="127" spans="1:37" s="203" customFormat="1">
      <c r="A127" s="119" t="s">
        <v>108</v>
      </c>
      <c r="B127" s="147"/>
      <c r="C127" s="147"/>
      <c r="D127" s="147"/>
      <c r="E127" s="140"/>
      <c r="F127" s="146"/>
      <c r="G127" s="118"/>
      <c r="H127" s="146"/>
      <c r="I127" s="139"/>
      <c r="J127" s="231"/>
      <c r="K127" s="231"/>
      <c r="L127" s="231"/>
      <c r="M127" s="231"/>
      <c r="N127" s="231"/>
      <c r="O127" s="231"/>
      <c r="P127" s="231"/>
      <c r="Q127" s="231"/>
      <c r="R127" s="231"/>
      <c r="S127" s="231"/>
      <c r="T127" s="231"/>
      <c r="U127" s="231"/>
      <c r="V127" s="231"/>
      <c r="W127" s="231"/>
      <c r="X127" s="231"/>
      <c r="Y127" s="231"/>
      <c r="Z127" s="231"/>
      <c r="AA127" s="231"/>
      <c r="AB127" s="231"/>
      <c r="AC127" s="231"/>
      <c r="AD127" s="231"/>
      <c r="AE127" s="231"/>
      <c r="AF127" s="231"/>
      <c r="AG127" s="231"/>
      <c r="AH127" s="231"/>
      <c r="AI127" s="231"/>
      <c r="AJ127" s="231"/>
      <c r="AK127" s="231"/>
    </row>
    <row r="128" spans="1:37" s="203" customFormat="1">
      <c r="A128" s="120">
        <v>26</v>
      </c>
      <c r="B128" s="47" t="s">
        <v>123</v>
      </c>
      <c r="C128" s="47"/>
      <c r="D128" s="47"/>
      <c r="E128" s="74">
        <v>704</v>
      </c>
      <c r="F128" s="52">
        <v>579</v>
      </c>
      <c r="G128" s="118"/>
      <c r="H128" s="122">
        <v>612</v>
      </c>
      <c r="I128" s="139"/>
      <c r="J128" s="231"/>
      <c r="K128" s="231"/>
      <c r="L128" s="231"/>
      <c r="M128" s="231"/>
      <c r="N128" s="231"/>
      <c r="O128" s="231"/>
      <c r="P128" s="231"/>
      <c r="Q128" s="231"/>
      <c r="R128" s="231"/>
      <c r="S128" s="231"/>
      <c r="T128" s="231"/>
      <c r="U128" s="231"/>
      <c r="V128" s="231"/>
      <c r="W128" s="231"/>
      <c r="X128" s="231"/>
      <c r="Y128" s="231"/>
      <c r="Z128" s="231"/>
      <c r="AA128" s="231"/>
      <c r="AB128" s="231"/>
      <c r="AC128" s="231"/>
      <c r="AD128" s="231"/>
      <c r="AE128" s="231"/>
      <c r="AF128" s="231"/>
      <c r="AG128" s="231"/>
      <c r="AH128" s="231"/>
      <c r="AI128" s="231"/>
      <c r="AJ128" s="231"/>
      <c r="AK128" s="231"/>
    </row>
    <row r="129" spans="1:37" s="203" customFormat="1">
      <c r="A129" s="120">
        <v>27</v>
      </c>
      <c r="B129" s="47" t="s">
        <v>124</v>
      </c>
      <c r="C129" s="47"/>
      <c r="D129" s="47"/>
      <c r="E129" s="49">
        <v>376</v>
      </c>
      <c r="F129" s="52">
        <v>415</v>
      </c>
      <c r="G129" s="118"/>
      <c r="H129" s="122">
        <v>538</v>
      </c>
      <c r="I129" s="139"/>
      <c r="J129" s="231"/>
      <c r="K129" s="231"/>
      <c r="L129" s="231"/>
      <c r="M129" s="231"/>
      <c r="N129" s="231"/>
      <c r="O129" s="231"/>
      <c r="P129" s="231"/>
      <c r="Q129" s="231"/>
      <c r="R129" s="231"/>
      <c r="S129" s="231"/>
      <c r="T129" s="231"/>
      <c r="U129" s="231"/>
      <c r="V129" s="231"/>
      <c r="W129" s="231"/>
      <c r="X129" s="231"/>
      <c r="Y129" s="231"/>
      <c r="Z129" s="231"/>
      <c r="AA129" s="231"/>
      <c r="AB129" s="231"/>
      <c r="AC129" s="231"/>
      <c r="AD129" s="231"/>
      <c r="AE129" s="231"/>
      <c r="AF129" s="231"/>
      <c r="AG129" s="231"/>
      <c r="AH129" s="231"/>
      <c r="AI129" s="231"/>
      <c r="AJ129" s="231"/>
      <c r="AK129" s="231"/>
    </row>
    <row r="130" spans="1:37" s="203" customFormat="1">
      <c r="A130" s="120">
        <v>28</v>
      </c>
      <c r="B130" s="47" t="s">
        <v>119</v>
      </c>
      <c r="C130" s="47"/>
      <c r="D130" s="47"/>
      <c r="E130" s="49">
        <v>1321</v>
      </c>
      <c r="F130" s="52">
        <v>1202</v>
      </c>
      <c r="G130" s="118"/>
      <c r="H130" s="122">
        <v>1316</v>
      </c>
      <c r="I130" s="139"/>
      <c r="J130" s="231"/>
      <c r="K130" s="231"/>
      <c r="L130" s="231"/>
      <c r="M130" s="231"/>
      <c r="N130" s="231"/>
      <c r="O130" s="231"/>
      <c r="P130" s="231"/>
      <c r="Q130" s="231"/>
      <c r="R130" s="231"/>
      <c r="S130" s="231"/>
      <c r="T130" s="231"/>
      <c r="U130" s="231"/>
      <c r="V130" s="231"/>
      <c r="W130" s="231"/>
      <c r="X130" s="231"/>
      <c r="Y130" s="231"/>
      <c r="Z130" s="231"/>
      <c r="AA130" s="231"/>
      <c r="AB130" s="231"/>
      <c r="AC130" s="231"/>
      <c r="AD130" s="231"/>
      <c r="AE130" s="231"/>
      <c r="AF130" s="231"/>
      <c r="AG130" s="231"/>
      <c r="AH130" s="231"/>
      <c r="AI130" s="231"/>
      <c r="AJ130" s="231"/>
      <c r="AK130" s="231"/>
    </row>
    <row r="131" spans="1:37" s="203" customFormat="1">
      <c r="A131" s="120">
        <v>29</v>
      </c>
      <c r="B131" s="47" t="s">
        <v>120</v>
      </c>
      <c r="C131" s="47"/>
      <c r="D131" s="47"/>
      <c r="E131" s="49">
        <v>0</v>
      </c>
      <c r="F131" s="52">
        <v>0</v>
      </c>
      <c r="G131" s="118"/>
      <c r="H131" s="122">
        <v>0</v>
      </c>
      <c r="I131" s="139"/>
      <c r="J131" s="231"/>
      <c r="K131" s="231"/>
      <c r="L131" s="231"/>
      <c r="M131" s="231"/>
      <c r="N131" s="231"/>
      <c r="O131" s="231"/>
      <c r="P131" s="231"/>
      <c r="Q131" s="231"/>
      <c r="R131" s="231"/>
      <c r="S131" s="231"/>
      <c r="T131" s="231"/>
      <c r="U131" s="231"/>
      <c r="V131" s="231"/>
      <c r="W131" s="231"/>
      <c r="X131" s="231"/>
      <c r="Y131" s="231"/>
      <c r="Z131" s="231"/>
      <c r="AA131" s="231"/>
      <c r="AB131" s="231"/>
      <c r="AC131" s="231"/>
      <c r="AD131" s="231"/>
      <c r="AE131" s="231"/>
      <c r="AF131" s="231"/>
      <c r="AG131" s="231"/>
      <c r="AH131" s="231"/>
      <c r="AI131" s="231"/>
      <c r="AJ131" s="231"/>
      <c r="AK131" s="231"/>
    </row>
    <row r="132" spans="1:37" s="203" customFormat="1">
      <c r="A132" s="120">
        <v>30</v>
      </c>
      <c r="B132" s="47" t="s">
        <v>125</v>
      </c>
      <c r="C132" s="47"/>
      <c r="D132" s="47"/>
      <c r="E132" s="49">
        <v>891</v>
      </c>
      <c r="F132" s="52">
        <v>748</v>
      </c>
      <c r="G132" s="118"/>
      <c r="H132" s="122">
        <v>742</v>
      </c>
      <c r="I132" s="139"/>
      <c r="J132" s="231"/>
      <c r="K132" s="231"/>
      <c r="L132" s="231"/>
      <c r="M132" s="231"/>
      <c r="N132" s="231"/>
      <c r="O132" s="231"/>
      <c r="P132" s="231"/>
      <c r="Q132" s="231"/>
      <c r="R132" s="231"/>
      <c r="S132" s="231"/>
      <c r="T132" s="231"/>
      <c r="U132" s="231"/>
      <c r="V132" s="231"/>
      <c r="W132" s="231"/>
      <c r="X132" s="231"/>
      <c r="Y132" s="231"/>
      <c r="Z132" s="231"/>
      <c r="AA132" s="231"/>
      <c r="AB132" s="231"/>
      <c r="AC132" s="231"/>
      <c r="AD132" s="231"/>
      <c r="AE132" s="231"/>
      <c r="AF132" s="231"/>
      <c r="AG132" s="231"/>
      <c r="AH132" s="231"/>
      <c r="AI132" s="231"/>
      <c r="AJ132" s="231"/>
      <c r="AK132" s="231"/>
    </row>
    <row r="133" spans="1:37" s="203" customFormat="1">
      <c r="A133" s="120">
        <v>31</v>
      </c>
      <c r="B133" s="90" t="s">
        <v>126</v>
      </c>
      <c r="C133" s="47"/>
      <c r="D133" s="47"/>
      <c r="E133" s="49">
        <v>805</v>
      </c>
      <c r="F133" s="52">
        <v>842</v>
      </c>
      <c r="G133" s="118"/>
      <c r="H133" s="122">
        <v>731</v>
      </c>
      <c r="I133" s="139"/>
      <c r="J133" s="231"/>
      <c r="K133" s="231"/>
      <c r="L133" s="231"/>
      <c r="M133" s="231"/>
      <c r="N133" s="231"/>
      <c r="O133" s="231"/>
      <c r="P133" s="231"/>
      <c r="Q133" s="231"/>
      <c r="R133" s="231"/>
      <c r="S133" s="231"/>
      <c r="T133" s="231"/>
      <c r="U133" s="231"/>
      <c r="V133" s="231"/>
      <c r="W133" s="231"/>
      <c r="X133" s="231"/>
      <c r="Y133" s="231"/>
      <c r="Z133" s="231"/>
      <c r="AA133" s="231"/>
      <c r="AB133" s="231"/>
      <c r="AC133" s="231"/>
      <c r="AD133" s="231"/>
      <c r="AE133" s="231"/>
      <c r="AF133" s="231"/>
      <c r="AG133" s="231"/>
      <c r="AH133" s="231"/>
      <c r="AI133" s="231"/>
      <c r="AJ133" s="231"/>
      <c r="AK133" s="231"/>
    </row>
    <row r="134" spans="1:37" s="203" customFormat="1">
      <c r="A134" s="120">
        <v>32</v>
      </c>
      <c r="B134" s="47" t="s">
        <v>121</v>
      </c>
      <c r="C134" s="47"/>
      <c r="D134" s="47"/>
      <c r="E134" s="49">
        <v>1184</v>
      </c>
      <c r="F134" s="52">
        <v>1248</v>
      </c>
      <c r="G134" s="118"/>
      <c r="H134" s="100">
        <v>1288</v>
      </c>
      <c r="I134" s="139"/>
      <c r="J134" s="231"/>
      <c r="K134" s="231"/>
      <c r="L134" s="231"/>
      <c r="M134" s="231"/>
      <c r="N134" s="231"/>
      <c r="O134" s="231"/>
      <c r="P134" s="231"/>
      <c r="Q134" s="231"/>
      <c r="R134" s="231"/>
      <c r="S134" s="231"/>
      <c r="T134" s="231"/>
      <c r="U134" s="231"/>
      <c r="V134" s="231"/>
      <c r="W134" s="231"/>
      <c r="X134" s="231"/>
      <c r="Y134" s="231"/>
      <c r="Z134" s="231"/>
      <c r="AA134" s="231"/>
      <c r="AB134" s="231"/>
      <c r="AC134" s="231"/>
      <c r="AD134" s="231"/>
      <c r="AE134" s="231"/>
      <c r="AF134" s="231"/>
      <c r="AG134" s="231"/>
      <c r="AH134" s="231"/>
      <c r="AI134" s="231"/>
      <c r="AJ134" s="231"/>
      <c r="AK134" s="231"/>
    </row>
    <row r="135" spans="1:37" s="203" customFormat="1">
      <c r="A135" s="120">
        <v>33</v>
      </c>
      <c r="B135" s="116" t="s">
        <v>128</v>
      </c>
      <c r="C135" s="116"/>
      <c r="D135" s="116"/>
      <c r="E135" s="80">
        <v>5281</v>
      </c>
      <c r="F135" s="142">
        <f>SUM(F128:F134)</f>
        <v>5034</v>
      </c>
      <c r="G135" s="118"/>
      <c r="H135" s="142">
        <f>SUM(H128:H134)</f>
        <v>5227</v>
      </c>
      <c r="I135" s="139"/>
      <c r="J135" s="231"/>
      <c r="K135" s="231"/>
      <c r="L135" s="231"/>
      <c r="M135" s="231"/>
      <c r="N135" s="231"/>
      <c r="O135" s="231"/>
      <c r="P135" s="231"/>
      <c r="Q135" s="231"/>
      <c r="R135" s="231"/>
      <c r="S135" s="231"/>
      <c r="T135" s="231"/>
      <c r="U135" s="231"/>
      <c r="V135" s="231"/>
      <c r="W135" s="231"/>
      <c r="X135" s="231"/>
      <c r="Y135" s="231"/>
      <c r="Z135" s="231"/>
      <c r="AA135" s="231"/>
      <c r="AB135" s="231"/>
      <c r="AC135" s="231"/>
      <c r="AD135" s="231"/>
      <c r="AE135" s="231"/>
      <c r="AF135" s="231"/>
      <c r="AG135" s="231"/>
      <c r="AH135" s="231"/>
      <c r="AI135" s="231"/>
      <c r="AJ135" s="231"/>
      <c r="AK135" s="231"/>
    </row>
    <row r="136" spans="1:37" s="203" customFormat="1">
      <c r="A136" s="111"/>
      <c r="B136" s="47"/>
      <c r="C136" s="47"/>
      <c r="D136" s="138"/>
      <c r="E136" s="117"/>
      <c r="F136" s="118"/>
      <c r="G136" s="118"/>
      <c r="H136" s="118"/>
      <c r="I136" s="139"/>
      <c r="J136" s="231"/>
      <c r="K136" s="231"/>
      <c r="L136" s="231"/>
      <c r="M136" s="231"/>
      <c r="N136" s="231"/>
      <c r="O136" s="231"/>
      <c r="P136" s="231"/>
      <c r="Q136" s="231"/>
      <c r="R136" s="231"/>
      <c r="S136" s="231"/>
      <c r="T136" s="231"/>
      <c r="U136" s="231"/>
      <c r="V136" s="231"/>
      <c r="W136" s="231"/>
      <c r="X136" s="231"/>
      <c r="Y136" s="231"/>
      <c r="Z136" s="231"/>
      <c r="AA136" s="231"/>
      <c r="AB136" s="231"/>
      <c r="AC136" s="231"/>
      <c r="AD136" s="231"/>
      <c r="AE136" s="231"/>
      <c r="AF136" s="231"/>
      <c r="AG136" s="231"/>
      <c r="AH136" s="231"/>
      <c r="AI136" s="231"/>
      <c r="AJ136" s="231"/>
      <c r="AK136" s="231"/>
    </row>
    <row r="137" spans="1:37" s="203" customFormat="1">
      <c r="A137" s="119" t="s">
        <v>109</v>
      </c>
      <c r="B137" s="116"/>
      <c r="C137" s="116"/>
      <c r="D137" s="116"/>
      <c r="E137" s="140"/>
      <c r="F137" s="146"/>
      <c r="G137" s="118"/>
      <c r="H137" s="146"/>
      <c r="I137" s="139"/>
      <c r="J137" s="231"/>
      <c r="K137" s="231"/>
      <c r="L137" s="231"/>
      <c r="M137" s="231"/>
      <c r="N137" s="231"/>
      <c r="O137" s="231"/>
      <c r="P137" s="231"/>
      <c r="Q137" s="231"/>
      <c r="R137" s="231"/>
      <c r="S137" s="231"/>
      <c r="T137" s="231"/>
      <c r="U137" s="231"/>
      <c r="V137" s="231"/>
      <c r="W137" s="231"/>
      <c r="X137" s="231"/>
      <c r="Y137" s="231"/>
      <c r="Z137" s="231"/>
      <c r="AA137" s="231"/>
      <c r="AB137" s="231"/>
      <c r="AC137" s="231"/>
      <c r="AD137" s="231"/>
      <c r="AE137" s="231"/>
      <c r="AF137" s="231"/>
      <c r="AG137" s="231"/>
      <c r="AH137" s="231"/>
      <c r="AI137" s="231"/>
      <c r="AJ137" s="231"/>
      <c r="AK137" s="231"/>
    </row>
    <row r="138" spans="1:37" s="203" customFormat="1">
      <c r="A138" s="120">
        <v>34</v>
      </c>
      <c r="B138" s="47" t="s">
        <v>123</v>
      </c>
      <c r="C138" s="47"/>
      <c r="D138" s="47"/>
      <c r="E138" s="49">
        <v>599</v>
      </c>
      <c r="F138" s="52">
        <v>641</v>
      </c>
      <c r="G138" s="118"/>
      <c r="H138" s="122">
        <v>587</v>
      </c>
      <c r="I138" s="139"/>
      <c r="J138" s="231"/>
      <c r="K138" s="231"/>
      <c r="L138" s="231"/>
      <c r="M138" s="231"/>
      <c r="N138" s="231"/>
      <c r="O138" s="231"/>
      <c r="P138" s="231"/>
      <c r="Q138" s="231"/>
      <c r="R138" s="231"/>
      <c r="S138" s="231"/>
      <c r="T138" s="231"/>
      <c r="U138" s="231"/>
      <c r="V138" s="231"/>
      <c r="W138" s="231"/>
      <c r="X138" s="231"/>
      <c r="Y138" s="231"/>
      <c r="Z138" s="231"/>
      <c r="AA138" s="231"/>
      <c r="AB138" s="231"/>
      <c r="AC138" s="231"/>
      <c r="AD138" s="231"/>
      <c r="AE138" s="231"/>
      <c r="AF138" s="231"/>
      <c r="AG138" s="231"/>
      <c r="AH138" s="231"/>
      <c r="AI138" s="231"/>
      <c r="AJ138" s="231"/>
      <c r="AK138" s="231"/>
    </row>
    <row r="139" spans="1:37" s="203" customFormat="1">
      <c r="A139" s="120">
        <v>35</v>
      </c>
      <c r="B139" s="47" t="s">
        <v>119</v>
      </c>
      <c r="C139" s="47"/>
      <c r="D139" s="47"/>
      <c r="E139" s="49">
        <v>2926</v>
      </c>
      <c r="F139" s="52">
        <v>3276</v>
      </c>
      <c r="G139" s="118"/>
      <c r="H139" s="122">
        <v>2305</v>
      </c>
      <c r="I139" s="139"/>
      <c r="J139" s="231"/>
      <c r="K139" s="231"/>
      <c r="L139" s="231"/>
      <c r="M139" s="231"/>
      <c r="N139" s="231"/>
      <c r="O139" s="231"/>
      <c r="P139" s="231"/>
      <c r="Q139" s="231"/>
      <c r="R139" s="231"/>
      <c r="S139" s="231"/>
      <c r="T139" s="231"/>
      <c r="U139" s="231"/>
      <c r="V139" s="231"/>
      <c r="W139" s="231"/>
      <c r="X139" s="231"/>
      <c r="Y139" s="231"/>
      <c r="Z139" s="231"/>
      <c r="AA139" s="231"/>
      <c r="AB139" s="231"/>
      <c r="AC139" s="231"/>
      <c r="AD139" s="231"/>
      <c r="AE139" s="231"/>
      <c r="AF139" s="231"/>
      <c r="AG139" s="231"/>
      <c r="AH139" s="231"/>
      <c r="AI139" s="231"/>
      <c r="AJ139" s="231"/>
      <c r="AK139" s="231"/>
    </row>
    <row r="140" spans="1:37" s="203" customFormat="1">
      <c r="A140" s="120">
        <v>36</v>
      </c>
      <c r="B140" s="47" t="s">
        <v>120</v>
      </c>
      <c r="C140" s="47"/>
      <c r="D140" s="47"/>
      <c r="E140" s="49">
        <v>2229</v>
      </c>
      <c r="F140" s="52">
        <v>2150</v>
      </c>
      <c r="G140" s="118"/>
      <c r="H140" s="122">
        <v>2149</v>
      </c>
      <c r="I140" s="139"/>
      <c r="J140" s="231"/>
      <c r="K140" s="231"/>
      <c r="L140" s="231"/>
      <c r="M140" s="231"/>
      <c r="N140" s="231"/>
      <c r="O140" s="231"/>
      <c r="P140" s="231"/>
      <c r="Q140" s="231"/>
      <c r="R140" s="231"/>
      <c r="S140" s="231"/>
      <c r="T140" s="231"/>
      <c r="U140" s="231"/>
      <c r="V140" s="231"/>
      <c r="W140" s="231"/>
      <c r="X140" s="231"/>
      <c r="Y140" s="231"/>
      <c r="Z140" s="231"/>
      <c r="AA140" s="231"/>
      <c r="AB140" s="231"/>
      <c r="AC140" s="231"/>
      <c r="AD140" s="231"/>
      <c r="AE140" s="231"/>
      <c r="AF140" s="231"/>
      <c r="AG140" s="231"/>
      <c r="AH140" s="231"/>
      <c r="AI140" s="231"/>
      <c r="AJ140" s="231"/>
      <c r="AK140" s="231"/>
    </row>
    <row r="141" spans="1:37" s="203" customFormat="1">
      <c r="A141" s="120">
        <v>37</v>
      </c>
      <c r="B141" s="90" t="s">
        <v>126</v>
      </c>
      <c r="C141" s="47"/>
      <c r="D141" s="47"/>
      <c r="E141" s="49">
        <v>833</v>
      </c>
      <c r="F141" s="52">
        <v>854</v>
      </c>
      <c r="G141" s="118"/>
      <c r="H141" s="99">
        <v>862</v>
      </c>
      <c r="I141" s="139"/>
      <c r="J141" s="231"/>
      <c r="K141" s="231"/>
      <c r="L141" s="231"/>
      <c r="M141" s="231"/>
      <c r="N141" s="231"/>
      <c r="O141" s="231"/>
      <c r="P141" s="231"/>
      <c r="Q141" s="231"/>
      <c r="R141" s="231"/>
      <c r="S141" s="231"/>
      <c r="T141" s="231"/>
      <c r="U141" s="231"/>
      <c r="V141" s="231"/>
      <c r="W141" s="231"/>
      <c r="X141" s="231"/>
      <c r="Y141" s="231"/>
      <c r="Z141" s="231"/>
      <c r="AA141" s="231"/>
      <c r="AB141" s="231"/>
      <c r="AC141" s="231"/>
      <c r="AD141" s="231"/>
      <c r="AE141" s="231"/>
      <c r="AF141" s="231"/>
      <c r="AG141" s="231"/>
      <c r="AH141" s="231"/>
      <c r="AI141" s="231"/>
      <c r="AJ141" s="231"/>
      <c r="AK141" s="231"/>
    </row>
    <row r="142" spans="1:37" s="203" customFormat="1">
      <c r="A142" s="120">
        <v>38</v>
      </c>
      <c r="B142" s="47" t="s">
        <v>121</v>
      </c>
      <c r="C142" s="47"/>
      <c r="D142" s="47"/>
      <c r="E142" s="49">
        <v>4222</v>
      </c>
      <c r="F142" s="52">
        <v>4113</v>
      </c>
      <c r="G142" s="118"/>
      <c r="H142" s="100">
        <v>4914</v>
      </c>
      <c r="I142" s="139"/>
      <c r="J142" s="231"/>
      <c r="K142" s="231"/>
      <c r="L142" s="231"/>
      <c r="M142" s="231"/>
      <c r="N142" s="231"/>
      <c r="O142" s="231"/>
      <c r="P142" s="231"/>
      <c r="Q142" s="231"/>
      <c r="R142" s="231"/>
      <c r="S142" s="231"/>
      <c r="T142" s="231"/>
      <c r="U142" s="231"/>
      <c r="V142" s="231"/>
      <c r="W142" s="231"/>
      <c r="X142" s="231"/>
      <c r="Y142" s="231"/>
      <c r="Z142" s="231"/>
      <c r="AA142" s="231"/>
      <c r="AB142" s="231"/>
      <c r="AC142" s="231"/>
      <c r="AD142" s="231"/>
      <c r="AE142" s="231"/>
      <c r="AF142" s="231"/>
      <c r="AG142" s="231"/>
      <c r="AH142" s="231"/>
      <c r="AI142" s="231"/>
      <c r="AJ142" s="231"/>
      <c r="AK142" s="231"/>
    </row>
    <row r="143" spans="1:37" s="203" customFormat="1">
      <c r="A143" s="120">
        <v>39</v>
      </c>
      <c r="B143" s="116" t="s">
        <v>129</v>
      </c>
      <c r="C143" s="116"/>
      <c r="D143" s="116"/>
      <c r="E143" s="80">
        <v>10809</v>
      </c>
      <c r="F143" s="142">
        <f>SUM(F138:F142)</f>
        <v>11034</v>
      </c>
      <c r="G143" s="118"/>
      <c r="H143" s="142">
        <f>SUM(H138:H142)</f>
        <v>10817</v>
      </c>
      <c r="I143" s="139"/>
      <c r="J143" s="231"/>
      <c r="K143" s="231"/>
      <c r="L143" s="231"/>
      <c r="M143" s="231"/>
      <c r="N143" s="231"/>
      <c r="O143" s="231"/>
      <c r="P143" s="231"/>
      <c r="Q143" s="231"/>
      <c r="R143" s="231"/>
      <c r="S143" s="231"/>
      <c r="T143" s="231"/>
      <c r="U143" s="231"/>
      <c r="V143" s="231"/>
      <c r="W143" s="231"/>
      <c r="X143" s="231"/>
      <c r="Y143" s="231"/>
      <c r="Z143" s="231"/>
      <c r="AA143" s="231"/>
      <c r="AB143" s="231"/>
      <c r="AC143" s="231"/>
      <c r="AD143" s="231"/>
      <c r="AE143" s="231"/>
      <c r="AF143" s="231"/>
      <c r="AG143" s="231"/>
      <c r="AH143" s="231"/>
      <c r="AI143" s="231"/>
      <c r="AJ143" s="231"/>
      <c r="AK143" s="231"/>
    </row>
    <row r="144" spans="1:37" s="203" customFormat="1">
      <c r="A144" s="111"/>
      <c r="B144" s="47"/>
      <c r="C144" s="47"/>
      <c r="D144" s="47"/>
      <c r="E144" s="117"/>
      <c r="F144" s="118"/>
      <c r="G144" s="118"/>
      <c r="H144" s="118"/>
      <c r="I144" s="139"/>
      <c r="J144" s="231"/>
      <c r="K144" s="231"/>
      <c r="L144" s="231"/>
      <c r="M144" s="231"/>
      <c r="N144" s="231"/>
      <c r="O144" s="231"/>
      <c r="P144" s="231"/>
      <c r="Q144" s="231"/>
      <c r="R144" s="231"/>
      <c r="S144" s="231"/>
      <c r="T144" s="231"/>
      <c r="U144" s="231"/>
      <c r="V144" s="231"/>
      <c r="W144" s="231"/>
      <c r="X144" s="231"/>
      <c r="Y144" s="231"/>
      <c r="Z144" s="231"/>
      <c r="AA144" s="231"/>
      <c r="AB144" s="231"/>
      <c r="AC144" s="231"/>
      <c r="AD144" s="231"/>
      <c r="AE144" s="231"/>
      <c r="AF144" s="231"/>
      <c r="AG144" s="231"/>
      <c r="AH144" s="231"/>
      <c r="AI144" s="231"/>
      <c r="AJ144" s="231"/>
      <c r="AK144" s="231"/>
    </row>
    <row r="145" spans="1:37" s="203" customFormat="1">
      <c r="A145" s="119" t="s">
        <v>110</v>
      </c>
      <c r="B145" s="116"/>
      <c r="C145" s="116"/>
      <c r="D145" s="116"/>
      <c r="E145" s="140"/>
      <c r="F145" s="146"/>
      <c r="G145" s="118"/>
      <c r="H145" s="146"/>
      <c r="I145" s="139"/>
      <c r="J145" s="231"/>
      <c r="K145" s="231"/>
      <c r="L145" s="231"/>
      <c r="M145" s="231"/>
      <c r="N145" s="231"/>
      <c r="O145" s="231"/>
      <c r="P145" s="231"/>
      <c r="Q145" s="231"/>
      <c r="R145" s="231"/>
      <c r="S145" s="231"/>
      <c r="T145" s="231"/>
      <c r="U145" s="231"/>
      <c r="V145" s="231"/>
      <c r="W145" s="231"/>
      <c r="X145" s="231"/>
      <c r="Y145" s="231"/>
      <c r="Z145" s="231"/>
      <c r="AA145" s="231"/>
      <c r="AB145" s="231"/>
      <c r="AC145" s="231"/>
      <c r="AD145" s="231"/>
      <c r="AE145" s="231"/>
      <c r="AF145" s="231"/>
      <c r="AG145" s="231"/>
      <c r="AH145" s="231"/>
      <c r="AI145" s="231"/>
      <c r="AJ145" s="231"/>
      <c r="AK145" s="231"/>
    </row>
    <row r="146" spans="1:37" s="203" customFormat="1">
      <c r="A146" s="120">
        <v>40</v>
      </c>
      <c r="B146" s="47" t="s">
        <v>123</v>
      </c>
      <c r="C146" s="47"/>
      <c r="D146" s="47"/>
      <c r="E146" s="49">
        <v>1243</v>
      </c>
      <c r="F146" s="52">
        <v>812</v>
      </c>
      <c r="G146" s="118"/>
      <c r="H146" s="122">
        <v>875</v>
      </c>
      <c r="I146" s="139"/>
      <c r="J146" s="231"/>
      <c r="K146" s="231"/>
      <c r="L146" s="231"/>
      <c r="M146" s="231"/>
      <c r="N146" s="231"/>
      <c r="O146" s="231"/>
      <c r="P146" s="231"/>
      <c r="Q146" s="231"/>
      <c r="R146" s="231"/>
      <c r="S146" s="231"/>
      <c r="T146" s="231"/>
      <c r="U146" s="231"/>
      <c r="V146" s="231"/>
      <c r="W146" s="231"/>
      <c r="X146" s="231"/>
      <c r="Y146" s="231"/>
      <c r="Z146" s="231"/>
      <c r="AA146" s="231"/>
      <c r="AB146" s="231"/>
      <c r="AC146" s="231"/>
      <c r="AD146" s="231"/>
      <c r="AE146" s="231"/>
      <c r="AF146" s="231"/>
      <c r="AG146" s="231"/>
      <c r="AH146" s="231"/>
      <c r="AI146" s="231"/>
      <c r="AJ146" s="231"/>
      <c r="AK146" s="231"/>
    </row>
    <row r="147" spans="1:37" s="203" customFormat="1">
      <c r="A147" s="120">
        <v>41</v>
      </c>
      <c r="B147" s="47" t="s">
        <v>119</v>
      </c>
      <c r="C147" s="47"/>
      <c r="D147" s="47"/>
      <c r="E147" s="49">
        <v>508</v>
      </c>
      <c r="F147" s="52">
        <v>715</v>
      </c>
      <c r="G147" s="118"/>
      <c r="H147" s="122">
        <v>736</v>
      </c>
      <c r="I147" s="139"/>
      <c r="J147" s="231"/>
      <c r="K147" s="231"/>
      <c r="L147" s="231"/>
      <c r="M147" s="231"/>
      <c r="N147" s="231"/>
      <c r="O147" s="231"/>
      <c r="P147" s="231"/>
      <c r="Q147" s="231"/>
      <c r="R147" s="231"/>
      <c r="S147" s="231"/>
      <c r="T147" s="231"/>
      <c r="U147" s="231"/>
      <c r="V147" s="231"/>
      <c r="W147" s="231"/>
      <c r="X147" s="231"/>
      <c r="Y147" s="231"/>
      <c r="Z147" s="231"/>
      <c r="AA147" s="231"/>
      <c r="AB147" s="231"/>
      <c r="AC147" s="231"/>
      <c r="AD147" s="231"/>
      <c r="AE147" s="231"/>
      <c r="AF147" s="231"/>
      <c r="AG147" s="231"/>
      <c r="AH147" s="231"/>
      <c r="AI147" s="231"/>
      <c r="AJ147" s="231"/>
      <c r="AK147" s="231"/>
    </row>
    <row r="148" spans="1:37" s="203" customFormat="1">
      <c r="A148" s="120">
        <v>42</v>
      </c>
      <c r="B148" s="47" t="s">
        <v>120</v>
      </c>
      <c r="C148" s="47"/>
      <c r="D148" s="47"/>
      <c r="E148" s="49">
        <v>320</v>
      </c>
      <c r="F148" s="52">
        <v>331</v>
      </c>
      <c r="G148" s="118"/>
      <c r="H148" s="122">
        <v>321</v>
      </c>
      <c r="I148" s="139"/>
      <c r="J148" s="231"/>
      <c r="K148" s="231"/>
      <c r="L148" s="231"/>
      <c r="M148" s="231"/>
      <c r="N148" s="231"/>
      <c r="O148" s="231"/>
      <c r="P148" s="231"/>
      <c r="Q148" s="231"/>
      <c r="R148" s="231"/>
      <c r="S148" s="231"/>
      <c r="T148" s="231"/>
      <c r="U148" s="231"/>
      <c r="V148" s="231"/>
      <c r="W148" s="231"/>
      <c r="X148" s="231"/>
      <c r="Y148" s="231"/>
      <c r="Z148" s="231"/>
      <c r="AA148" s="231"/>
      <c r="AB148" s="231"/>
      <c r="AC148" s="231"/>
      <c r="AD148" s="231"/>
      <c r="AE148" s="231"/>
      <c r="AF148" s="231"/>
      <c r="AG148" s="231"/>
      <c r="AH148" s="231"/>
      <c r="AI148" s="231"/>
      <c r="AJ148" s="231"/>
      <c r="AK148" s="231"/>
    </row>
    <row r="149" spans="1:37" s="203" customFormat="1">
      <c r="A149" s="120">
        <v>43</v>
      </c>
      <c r="B149" s="47" t="s">
        <v>121</v>
      </c>
      <c r="C149" s="47"/>
      <c r="D149" s="47"/>
      <c r="E149" s="49">
        <v>354</v>
      </c>
      <c r="F149" s="52">
        <v>217</v>
      </c>
      <c r="G149" s="118"/>
      <c r="H149" s="100">
        <v>888</v>
      </c>
      <c r="I149" s="139"/>
      <c r="J149" s="231"/>
      <c r="K149" s="231"/>
      <c r="L149" s="231"/>
      <c r="M149" s="231"/>
      <c r="N149" s="231"/>
      <c r="O149" s="231"/>
      <c r="P149" s="231"/>
      <c r="Q149" s="231"/>
      <c r="R149" s="231"/>
      <c r="S149" s="231"/>
      <c r="T149" s="231"/>
      <c r="U149" s="231"/>
      <c r="V149" s="231"/>
      <c r="W149" s="231"/>
      <c r="X149" s="231"/>
      <c r="Y149" s="231"/>
      <c r="Z149" s="231"/>
      <c r="AA149" s="231"/>
      <c r="AB149" s="231"/>
      <c r="AC149" s="231"/>
      <c r="AD149" s="231"/>
      <c r="AE149" s="231"/>
      <c r="AF149" s="231"/>
      <c r="AG149" s="231"/>
      <c r="AH149" s="231"/>
      <c r="AI149" s="231"/>
      <c r="AJ149" s="231"/>
      <c r="AK149" s="231"/>
    </row>
    <row r="150" spans="1:37" s="203" customFormat="1">
      <c r="A150" s="124">
        <v>44</v>
      </c>
      <c r="B150" s="94" t="s">
        <v>130</v>
      </c>
      <c r="C150" s="94"/>
      <c r="D150" s="94"/>
      <c r="E150" s="80">
        <v>2425</v>
      </c>
      <c r="F150" s="142">
        <f>SUM(F146:F149)</f>
        <v>2075</v>
      </c>
      <c r="G150" s="259"/>
      <c r="H150" s="142">
        <f>SUM(H146:H149)</f>
        <v>2820</v>
      </c>
      <c r="I150" s="139"/>
      <c r="J150" s="231"/>
      <c r="K150" s="231"/>
      <c r="L150" s="231"/>
      <c r="M150" s="231"/>
      <c r="N150" s="231"/>
      <c r="O150" s="231"/>
      <c r="P150" s="231"/>
      <c r="Q150" s="231"/>
      <c r="R150" s="231"/>
      <c r="S150" s="231"/>
      <c r="T150" s="231"/>
      <c r="U150" s="231"/>
      <c r="V150" s="231"/>
      <c r="W150" s="231"/>
      <c r="X150" s="231"/>
      <c r="Y150" s="231"/>
      <c r="Z150" s="231"/>
      <c r="AA150" s="231"/>
      <c r="AB150" s="231"/>
      <c r="AC150" s="231"/>
      <c r="AD150" s="231"/>
      <c r="AE150" s="231"/>
      <c r="AF150" s="231"/>
      <c r="AG150" s="231"/>
      <c r="AH150" s="231"/>
      <c r="AI150" s="231"/>
      <c r="AJ150" s="231"/>
      <c r="AK150" s="231"/>
    </row>
    <row r="151" spans="1:37" s="203" customFormat="1">
      <c r="A151" s="148"/>
      <c r="B151" s="129"/>
      <c r="C151" s="129"/>
      <c r="D151" s="149"/>
      <c r="E151" s="150"/>
      <c r="F151" s="29"/>
      <c r="G151" s="29"/>
      <c r="H151" s="207"/>
      <c r="I151" s="29"/>
      <c r="J151" s="231"/>
      <c r="K151" s="231"/>
      <c r="L151" s="231"/>
      <c r="M151" s="231"/>
      <c r="N151" s="231"/>
      <c r="O151" s="231"/>
      <c r="P151" s="231"/>
      <c r="Q151" s="231"/>
      <c r="R151" s="231"/>
      <c r="S151" s="231"/>
      <c r="T151" s="231"/>
      <c r="U151" s="231"/>
      <c r="V151" s="231"/>
      <c r="W151" s="231"/>
      <c r="X151" s="231"/>
      <c r="Y151" s="231"/>
      <c r="Z151" s="231"/>
      <c r="AA151" s="231"/>
      <c r="AB151" s="231"/>
      <c r="AC151" s="231"/>
      <c r="AD151" s="231"/>
      <c r="AE151" s="231"/>
      <c r="AF151" s="231"/>
      <c r="AG151" s="231"/>
      <c r="AH151" s="231"/>
      <c r="AI151" s="231"/>
      <c r="AJ151" s="231"/>
      <c r="AK151" s="231"/>
    </row>
    <row r="152" spans="1:37" s="203" customFormat="1">
      <c r="A152" s="148"/>
      <c r="B152" s="129"/>
      <c r="C152" s="129"/>
      <c r="D152" s="151"/>
      <c r="E152" s="152"/>
      <c r="F152" s="29"/>
      <c r="G152" s="29"/>
      <c r="H152" s="131" t="s">
        <v>27</v>
      </c>
      <c r="I152" s="29"/>
      <c r="J152" s="231"/>
      <c r="K152" s="231"/>
      <c r="L152" s="231"/>
      <c r="M152" s="231"/>
      <c r="N152" s="231"/>
      <c r="O152" s="231"/>
      <c r="P152" s="231"/>
      <c r="Q152" s="231"/>
      <c r="R152" s="231"/>
      <c r="S152" s="231"/>
      <c r="T152" s="231"/>
      <c r="U152" s="231"/>
      <c r="V152" s="231"/>
      <c r="W152" s="231"/>
      <c r="X152" s="231"/>
      <c r="Y152" s="231"/>
      <c r="Z152" s="231"/>
      <c r="AA152" s="231"/>
      <c r="AB152" s="231"/>
      <c r="AC152" s="231"/>
      <c r="AD152" s="231"/>
      <c r="AE152" s="231"/>
      <c r="AF152" s="231"/>
      <c r="AG152" s="231"/>
      <c r="AH152" s="231"/>
      <c r="AI152" s="231"/>
      <c r="AJ152" s="231"/>
      <c r="AK152" s="231"/>
    </row>
    <row r="153" spans="1:37" s="203" customFormat="1">
      <c r="A153" s="106" t="s">
        <v>20</v>
      </c>
      <c r="B153" s="107"/>
      <c r="C153" s="107"/>
      <c r="D153" s="107"/>
      <c r="E153" s="856" t="s">
        <v>377</v>
      </c>
      <c r="F153" s="856" t="s">
        <v>402</v>
      </c>
      <c r="G153" s="130"/>
      <c r="H153" s="856" t="s">
        <v>403</v>
      </c>
      <c r="I153" s="130"/>
      <c r="J153" s="231"/>
      <c r="K153" s="231"/>
      <c r="L153" s="231"/>
      <c r="M153" s="231"/>
      <c r="N153" s="231"/>
      <c r="O153" s="231"/>
      <c r="P153" s="231"/>
      <c r="Q153" s="231"/>
      <c r="R153" s="231"/>
      <c r="S153" s="231"/>
      <c r="T153" s="231"/>
      <c r="U153" s="231"/>
      <c r="V153" s="231"/>
      <c r="W153" s="231"/>
      <c r="X153" s="231"/>
      <c r="Y153" s="231"/>
      <c r="Z153" s="231"/>
      <c r="AA153" s="231"/>
      <c r="AB153" s="231"/>
      <c r="AC153" s="231"/>
      <c r="AD153" s="231"/>
      <c r="AE153" s="231"/>
      <c r="AF153" s="231"/>
      <c r="AG153" s="231"/>
      <c r="AH153" s="231"/>
      <c r="AI153" s="231"/>
      <c r="AJ153" s="231"/>
      <c r="AK153" s="231"/>
    </row>
    <row r="154" spans="1:37" s="203" customFormat="1">
      <c r="A154" s="153"/>
      <c r="B154" s="132"/>
      <c r="C154" s="132"/>
      <c r="D154" s="132"/>
      <c r="E154" s="859"/>
      <c r="F154" s="859"/>
      <c r="G154" s="130"/>
      <c r="H154" s="859"/>
      <c r="I154" s="130"/>
      <c r="J154" s="231"/>
      <c r="K154" s="231"/>
      <c r="L154" s="231"/>
      <c r="M154" s="231"/>
      <c r="N154" s="231"/>
      <c r="O154" s="231"/>
      <c r="P154" s="231"/>
      <c r="Q154" s="231"/>
      <c r="R154" s="231"/>
      <c r="S154" s="231"/>
      <c r="T154" s="231"/>
      <c r="U154" s="231"/>
      <c r="V154" s="231"/>
      <c r="W154" s="231"/>
      <c r="X154" s="231"/>
      <c r="Y154" s="231"/>
      <c r="Z154" s="231"/>
      <c r="AA154" s="231"/>
      <c r="AB154" s="231"/>
      <c r="AC154" s="231"/>
      <c r="AD154" s="231"/>
      <c r="AE154" s="231"/>
      <c r="AF154" s="231"/>
      <c r="AG154" s="231"/>
      <c r="AH154" s="231"/>
      <c r="AI154" s="231"/>
      <c r="AJ154" s="231"/>
      <c r="AK154" s="231"/>
    </row>
    <row r="155" spans="1:37" s="203" customFormat="1">
      <c r="A155" s="154" t="s">
        <v>131</v>
      </c>
      <c r="B155" s="116"/>
      <c r="C155" s="116"/>
      <c r="D155" s="116"/>
      <c r="E155" s="859"/>
      <c r="F155" s="859"/>
      <c r="G155" s="130"/>
      <c r="H155" s="859"/>
      <c r="I155" s="130"/>
      <c r="J155" s="231"/>
      <c r="K155" s="231"/>
      <c r="L155" s="231"/>
      <c r="M155" s="231"/>
      <c r="N155" s="231"/>
      <c r="O155" s="231"/>
      <c r="P155" s="231"/>
      <c r="Q155" s="231"/>
      <c r="R155" s="231"/>
      <c r="S155" s="231"/>
      <c r="T155" s="231"/>
      <c r="U155" s="231"/>
      <c r="V155" s="231"/>
      <c r="W155" s="231"/>
      <c r="X155" s="231"/>
      <c r="Y155" s="231"/>
      <c r="Z155" s="231"/>
      <c r="AA155" s="231"/>
      <c r="AB155" s="231"/>
      <c r="AC155" s="231"/>
      <c r="AD155" s="231"/>
      <c r="AE155" s="231"/>
      <c r="AF155" s="231"/>
      <c r="AG155" s="231"/>
      <c r="AH155" s="231"/>
      <c r="AI155" s="231"/>
      <c r="AJ155" s="231"/>
      <c r="AK155" s="231"/>
    </row>
    <row r="156" spans="1:37" s="203" customFormat="1" ht="12.75" customHeight="1">
      <c r="A156" s="109" t="s">
        <v>83</v>
      </c>
      <c r="B156" s="47"/>
      <c r="C156" s="47"/>
      <c r="D156" s="47"/>
      <c r="E156" s="859"/>
      <c r="F156" s="859"/>
      <c r="G156" s="130"/>
      <c r="H156" s="859"/>
      <c r="I156" s="130"/>
      <c r="J156" s="231"/>
      <c r="K156" s="231"/>
      <c r="L156" s="231"/>
      <c r="M156" s="231"/>
      <c r="N156" s="231"/>
      <c r="O156" s="231"/>
      <c r="P156" s="231"/>
      <c r="Q156" s="231"/>
      <c r="R156" s="231"/>
      <c r="S156" s="231"/>
      <c r="T156" s="231"/>
      <c r="U156" s="231"/>
      <c r="V156" s="231"/>
      <c r="W156" s="231"/>
      <c r="X156" s="231"/>
      <c r="Y156" s="231"/>
      <c r="Z156" s="231"/>
      <c r="AA156" s="231"/>
      <c r="AB156" s="231"/>
      <c r="AC156" s="231"/>
      <c r="AD156" s="231"/>
      <c r="AE156" s="231"/>
      <c r="AF156" s="231"/>
      <c r="AG156" s="231"/>
      <c r="AH156" s="231"/>
      <c r="AI156" s="231"/>
      <c r="AJ156" s="231"/>
      <c r="AK156" s="231"/>
    </row>
    <row r="157" spans="1:37" s="203" customFormat="1">
      <c r="A157" s="110" t="s">
        <v>84</v>
      </c>
      <c r="B157" s="132"/>
      <c r="C157" s="132"/>
      <c r="D157" s="132"/>
      <c r="E157" s="860"/>
      <c r="F157" s="860"/>
      <c r="G157" s="130"/>
      <c r="H157" s="860"/>
      <c r="I157" s="130"/>
      <c r="J157" s="231"/>
      <c r="K157" s="231"/>
      <c r="L157" s="231"/>
      <c r="M157" s="231"/>
      <c r="N157" s="231"/>
      <c r="O157" s="231"/>
      <c r="P157" s="231"/>
      <c r="Q157" s="231"/>
      <c r="R157" s="231"/>
      <c r="S157" s="231"/>
      <c r="T157" s="231"/>
      <c r="U157" s="231"/>
      <c r="V157" s="231"/>
      <c r="W157" s="231"/>
      <c r="X157" s="231"/>
      <c r="Y157" s="231"/>
      <c r="Z157" s="231"/>
      <c r="AA157" s="231"/>
      <c r="AB157" s="231"/>
      <c r="AC157" s="231"/>
      <c r="AD157" s="231"/>
      <c r="AE157" s="231"/>
      <c r="AF157" s="231"/>
      <c r="AG157" s="231"/>
      <c r="AH157" s="231"/>
      <c r="AI157" s="231"/>
      <c r="AJ157" s="231"/>
      <c r="AK157" s="231"/>
    </row>
    <row r="158" spans="1:37" s="203" customFormat="1">
      <c r="A158" s="119" t="s">
        <v>132</v>
      </c>
      <c r="B158" s="47"/>
      <c r="C158" s="47"/>
      <c r="D158" s="47"/>
      <c r="E158" s="155"/>
      <c r="F158" s="146" t="s">
        <v>133</v>
      </c>
      <c r="G158" s="118"/>
      <c r="H158" s="146"/>
      <c r="I158" s="29"/>
      <c r="J158" s="231"/>
      <c r="K158" s="231"/>
      <c r="L158" s="231"/>
      <c r="M158" s="231"/>
      <c r="N158" s="231"/>
      <c r="O158" s="231"/>
      <c r="P158" s="231"/>
      <c r="Q158" s="231"/>
      <c r="R158" s="231"/>
      <c r="S158" s="231"/>
      <c r="T158" s="231"/>
      <c r="U158" s="231"/>
      <c r="V158" s="231"/>
      <c r="W158" s="231"/>
      <c r="X158" s="231"/>
      <c r="Y158" s="231"/>
      <c r="Z158" s="231"/>
      <c r="AA158" s="231"/>
      <c r="AB158" s="231"/>
      <c r="AC158" s="231"/>
      <c r="AD158" s="231"/>
      <c r="AE158" s="231"/>
      <c r="AF158" s="231"/>
      <c r="AG158" s="231"/>
      <c r="AH158" s="231"/>
      <c r="AI158" s="231"/>
      <c r="AJ158" s="231"/>
      <c r="AK158" s="231"/>
    </row>
    <row r="159" spans="1:37" s="203" customFormat="1">
      <c r="A159" s="120">
        <v>1</v>
      </c>
      <c r="B159" s="47" t="s">
        <v>134</v>
      </c>
      <c r="C159" s="47"/>
      <c r="D159" s="47"/>
      <c r="E159" s="74">
        <v>0</v>
      </c>
      <c r="F159" s="52"/>
      <c r="G159" s="118"/>
      <c r="H159" s="122">
        <v>0</v>
      </c>
      <c r="I159" s="29"/>
      <c r="J159" s="231"/>
      <c r="K159" s="231"/>
      <c r="L159" s="231"/>
      <c r="M159" s="231"/>
      <c r="N159" s="231"/>
      <c r="O159" s="231"/>
      <c r="P159" s="231"/>
      <c r="Q159" s="231"/>
      <c r="R159" s="231"/>
      <c r="S159" s="231"/>
      <c r="T159" s="231"/>
      <c r="U159" s="231"/>
      <c r="V159" s="231"/>
      <c r="W159" s="231"/>
      <c r="X159" s="231"/>
      <c r="Y159" s="231"/>
      <c r="Z159" s="231"/>
      <c r="AA159" s="231"/>
      <c r="AB159" s="231"/>
      <c r="AC159" s="231"/>
      <c r="AD159" s="231"/>
      <c r="AE159" s="231"/>
      <c r="AF159" s="231"/>
      <c r="AG159" s="231"/>
      <c r="AH159" s="231"/>
      <c r="AI159" s="231"/>
      <c r="AJ159" s="231"/>
      <c r="AK159" s="231"/>
    </row>
    <row r="160" spans="1:37" s="203" customFormat="1">
      <c r="A160" s="120">
        <v>2</v>
      </c>
      <c r="B160" s="47" t="s">
        <v>135</v>
      </c>
      <c r="C160" s="47"/>
      <c r="D160" s="47"/>
      <c r="E160" s="49">
        <v>826</v>
      </c>
      <c r="F160" s="52">
        <v>849</v>
      </c>
      <c r="G160" s="118"/>
      <c r="H160" s="122">
        <v>813</v>
      </c>
      <c r="I160" s="29"/>
      <c r="J160" s="231"/>
      <c r="K160" s="231"/>
      <c r="L160" s="231"/>
      <c r="M160" s="231"/>
      <c r="N160" s="231"/>
      <c r="O160" s="231"/>
      <c r="P160" s="231"/>
      <c r="Q160" s="231"/>
      <c r="R160" s="231"/>
      <c r="S160" s="231"/>
      <c r="T160" s="231"/>
      <c r="U160" s="231"/>
      <c r="V160" s="231"/>
      <c r="W160" s="231"/>
      <c r="X160" s="231"/>
      <c r="Y160" s="231"/>
      <c r="Z160" s="231"/>
      <c r="AA160" s="231"/>
      <c r="AB160" s="231"/>
      <c r="AC160" s="231"/>
      <c r="AD160" s="231"/>
      <c r="AE160" s="231"/>
      <c r="AF160" s="231"/>
      <c r="AG160" s="231"/>
      <c r="AH160" s="231"/>
      <c r="AI160" s="231"/>
      <c r="AJ160" s="231"/>
      <c r="AK160" s="231"/>
    </row>
    <row r="161" spans="1:37" s="203" customFormat="1">
      <c r="A161" s="120">
        <v>3</v>
      </c>
      <c r="B161" s="47" t="s">
        <v>136</v>
      </c>
      <c r="C161" s="47"/>
      <c r="D161" s="47"/>
      <c r="E161" s="114">
        <v>5547</v>
      </c>
      <c r="F161" s="52">
        <v>5865</v>
      </c>
      <c r="G161" s="118"/>
      <c r="H161" s="122">
        <v>5550</v>
      </c>
      <c r="I161" s="29"/>
      <c r="J161" s="231"/>
      <c r="K161" s="231"/>
      <c r="L161" s="231"/>
      <c r="M161" s="231"/>
      <c r="N161" s="231"/>
      <c r="O161" s="231"/>
      <c r="P161" s="231"/>
      <c r="Q161" s="231"/>
      <c r="R161" s="231"/>
      <c r="S161" s="231"/>
      <c r="T161" s="231"/>
      <c r="U161" s="231"/>
      <c r="V161" s="231"/>
      <c r="W161" s="231"/>
      <c r="X161" s="231"/>
      <c r="Y161" s="231"/>
      <c r="Z161" s="231"/>
      <c r="AA161" s="231"/>
      <c r="AB161" s="231"/>
      <c r="AC161" s="231"/>
      <c r="AD161" s="231"/>
      <c r="AE161" s="231"/>
      <c r="AF161" s="231"/>
      <c r="AG161" s="231"/>
      <c r="AH161" s="231"/>
      <c r="AI161" s="231"/>
      <c r="AJ161" s="231"/>
      <c r="AK161" s="231"/>
    </row>
    <row r="162" spans="1:37" s="203" customFormat="1">
      <c r="A162" s="120">
        <v>4</v>
      </c>
      <c r="B162" s="47" t="s">
        <v>137</v>
      </c>
      <c r="C162" s="47"/>
      <c r="D162" s="47"/>
      <c r="E162" s="114">
        <v>1490</v>
      </c>
      <c r="F162" s="52">
        <v>1400</v>
      </c>
      <c r="G162" s="118"/>
      <c r="H162" s="100">
        <v>1535</v>
      </c>
      <c r="I162" s="29"/>
      <c r="J162" s="231"/>
      <c r="K162" s="231"/>
      <c r="L162" s="231"/>
      <c r="M162" s="231"/>
      <c r="N162" s="231"/>
      <c r="O162" s="231"/>
      <c r="P162" s="231"/>
      <c r="Q162" s="231"/>
      <c r="R162" s="231"/>
      <c r="S162" s="231"/>
      <c r="T162" s="231"/>
      <c r="U162" s="231"/>
      <c r="V162" s="231"/>
      <c r="W162" s="231"/>
      <c r="X162" s="231"/>
      <c r="Y162" s="231"/>
      <c r="Z162" s="231"/>
      <c r="AA162" s="231"/>
      <c r="AB162" s="231"/>
      <c r="AC162" s="231"/>
      <c r="AD162" s="231"/>
      <c r="AE162" s="231"/>
      <c r="AF162" s="231"/>
      <c r="AG162" s="231"/>
      <c r="AH162" s="231"/>
      <c r="AI162" s="231"/>
      <c r="AJ162" s="231"/>
      <c r="AK162" s="231"/>
    </row>
    <row r="163" spans="1:37" s="203" customFormat="1">
      <c r="A163" s="120">
        <v>5</v>
      </c>
      <c r="B163" s="116" t="s">
        <v>138</v>
      </c>
      <c r="C163" s="116"/>
      <c r="D163" s="116"/>
      <c r="E163" s="80">
        <v>7863</v>
      </c>
      <c r="F163" s="142">
        <f>SUM(F159:F162)</f>
        <v>8114</v>
      </c>
      <c r="G163" s="118"/>
      <c r="H163" s="142">
        <f>SUM(H159:H162)</f>
        <v>7898</v>
      </c>
      <c r="I163" s="29"/>
      <c r="J163" s="231"/>
      <c r="K163" s="231"/>
      <c r="L163" s="231"/>
      <c r="M163" s="231"/>
      <c r="N163" s="231"/>
      <c r="O163" s="231"/>
      <c r="P163" s="231"/>
      <c r="Q163" s="231"/>
      <c r="R163" s="231"/>
      <c r="S163" s="231"/>
      <c r="T163" s="231"/>
      <c r="U163" s="231"/>
      <c r="V163" s="231"/>
      <c r="W163" s="231"/>
      <c r="X163" s="231"/>
      <c r="Y163" s="231"/>
      <c r="Z163" s="231"/>
      <c r="AA163" s="231"/>
      <c r="AB163" s="231"/>
      <c r="AC163" s="231"/>
      <c r="AD163" s="231"/>
      <c r="AE163" s="231"/>
      <c r="AF163" s="231"/>
      <c r="AG163" s="231"/>
      <c r="AH163" s="231"/>
      <c r="AI163" s="231"/>
      <c r="AJ163" s="231"/>
      <c r="AK163" s="231"/>
    </row>
    <row r="164" spans="1:37" s="203" customFormat="1">
      <c r="A164" s="46"/>
      <c r="B164" s="132"/>
      <c r="C164" s="132"/>
      <c r="D164" s="132"/>
      <c r="E164" s="156"/>
      <c r="F164" s="139"/>
      <c r="G164" s="139"/>
      <c r="H164" s="139"/>
      <c r="I164" s="29"/>
      <c r="J164" s="231"/>
      <c r="K164" s="231"/>
      <c r="L164" s="231"/>
      <c r="M164" s="231"/>
      <c r="N164" s="231"/>
      <c r="O164" s="231"/>
      <c r="P164" s="231"/>
      <c r="Q164" s="231"/>
      <c r="R164" s="231"/>
      <c r="S164" s="231"/>
      <c r="T164" s="231"/>
      <c r="U164" s="231"/>
      <c r="V164" s="231"/>
      <c r="W164" s="231"/>
      <c r="X164" s="231"/>
      <c r="Y164" s="231"/>
      <c r="Z164" s="231"/>
      <c r="AA164" s="231"/>
      <c r="AB164" s="231"/>
      <c r="AC164" s="231"/>
      <c r="AD164" s="231"/>
      <c r="AE164" s="231"/>
      <c r="AF164" s="231"/>
      <c r="AG164" s="231"/>
      <c r="AH164" s="231"/>
      <c r="AI164" s="231"/>
      <c r="AJ164" s="231"/>
      <c r="AK164" s="231"/>
    </row>
    <row r="165" spans="1:37" s="203" customFormat="1">
      <c r="A165" s="119" t="s">
        <v>139</v>
      </c>
      <c r="B165" s="47"/>
      <c r="C165" s="47"/>
      <c r="D165" s="47"/>
      <c r="E165" s="140"/>
      <c r="F165" s="146"/>
      <c r="G165" s="118"/>
      <c r="H165" s="146"/>
      <c r="I165" s="29"/>
      <c r="J165" s="231"/>
      <c r="K165" s="231"/>
      <c r="L165" s="231"/>
      <c r="M165" s="231"/>
      <c r="N165" s="231"/>
      <c r="O165" s="231"/>
      <c r="P165" s="231"/>
      <c r="Q165" s="231"/>
      <c r="R165" s="231"/>
      <c r="S165" s="231"/>
      <c r="T165" s="231"/>
      <c r="U165" s="231"/>
      <c r="V165" s="231"/>
      <c r="W165" s="231"/>
      <c r="X165" s="231"/>
      <c r="Y165" s="231"/>
      <c r="Z165" s="231"/>
      <c r="AA165" s="231"/>
      <c r="AB165" s="231"/>
      <c r="AC165" s="231"/>
      <c r="AD165" s="231"/>
      <c r="AE165" s="231"/>
      <c r="AF165" s="231"/>
      <c r="AG165" s="231"/>
      <c r="AH165" s="231"/>
      <c r="AI165" s="231"/>
      <c r="AJ165" s="231"/>
      <c r="AK165" s="231"/>
    </row>
    <row r="166" spans="1:37" s="203" customFormat="1">
      <c r="A166" s="120">
        <v>6</v>
      </c>
      <c r="B166" s="47" t="s">
        <v>140</v>
      </c>
      <c r="C166" s="47"/>
      <c r="D166" s="47"/>
      <c r="E166" s="74">
        <v>321</v>
      </c>
      <c r="F166" s="52">
        <v>345</v>
      </c>
      <c r="G166" s="118"/>
      <c r="H166" s="122">
        <v>374</v>
      </c>
      <c r="I166" s="29"/>
      <c r="J166" s="231"/>
      <c r="K166" s="231"/>
      <c r="L166" s="231"/>
      <c r="M166" s="231"/>
      <c r="N166" s="231"/>
      <c r="O166" s="231"/>
      <c r="P166" s="231"/>
      <c r="Q166" s="231"/>
      <c r="R166" s="231"/>
      <c r="S166" s="231"/>
      <c r="T166" s="231"/>
      <c r="U166" s="231"/>
      <c r="V166" s="231"/>
      <c r="W166" s="231"/>
      <c r="X166" s="231"/>
      <c r="Y166" s="231"/>
      <c r="Z166" s="231"/>
      <c r="AA166" s="231"/>
      <c r="AB166" s="231"/>
      <c r="AC166" s="231"/>
      <c r="AD166" s="231"/>
      <c r="AE166" s="231"/>
      <c r="AF166" s="231"/>
      <c r="AG166" s="231"/>
      <c r="AH166" s="231"/>
      <c r="AI166" s="231"/>
      <c r="AJ166" s="231"/>
      <c r="AK166" s="231"/>
    </row>
    <row r="167" spans="1:37" s="203" customFormat="1">
      <c r="A167" s="120">
        <v>7</v>
      </c>
      <c r="B167" s="47" t="s">
        <v>141</v>
      </c>
      <c r="C167" s="47"/>
      <c r="D167" s="47"/>
      <c r="E167" s="49">
        <v>664</v>
      </c>
      <c r="F167" s="52">
        <v>340</v>
      </c>
      <c r="G167" s="118"/>
      <c r="H167" s="122">
        <v>327</v>
      </c>
      <c r="I167" s="29"/>
      <c r="J167" s="231"/>
      <c r="K167" s="231"/>
      <c r="L167" s="231"/>
      <c r="M167" s="231"/>
      <c r="N167" s="231"/>
      <c r="O167" s="231"/>
      <c r="P167" s="231"/>
      <c r="Q167" s="231"/>
      <c r="R167" s="231"/>
      <c r="S167" s="231"/>
      <c r="T167" s="231"/>
      <c r="U167" s="231"/>
      <c r="V167" s="231"/>
      <c r="W167" s="231"/>
      <c r="X167" s="231"/>
      <c r="Y167" s="231"/>
      <c r="Z167" s="231"/>
      <c r="AA167" s="231"/>
      <c r="AB167" s="231"/>
      <c r="AC167" s="231"/>
      <c r="AD167" s="231"/>
      <c r="AE167" s="231"/>
      <c r="AF167" s="231"/>
      <c r="AG167" s="231"/>
      <c r="AH167" s="231"/>
      <c r="AI167" s="231"/>
      <c r="AJ167" s="231"/>
      <c r="AK167" s="231"/>
    </row>
    <row r="168" spans="1:37" s="203" customFormat="1">
      <c r="A168" s="120">
        <v>8</v>
      </c>
      <c r="B168" s="47" t="s">
        <v>121</v>
      </c>
      <c r="C168" s="47"/>
      <c r="D168" s="47"/>
      <c r="E168" s="49">
        <v>0</v>
      </c>
      <c r="F168" s="52">
        <v>0</v>
      </c>
      <c r="G168" s="118"/>
      <c r="H168" s="100">
        <v>0</v>
      </c>
      <c r="I168" s="29"/>
      <c r="J168" s="231"/>
      <c r="K168" s="231"/>
      <c r="L168" s="231"/>
      <c r="M168" s="231"/>
      <c r="N168" s="231"/>
      <c r="O168" s="231"/>
      <c r="P168" s="231"/>
      <c r="Q168" s="231"/>
      <c r="R168" s="231"/>
      <c r="S168" s="231"/>
      <c r="T168" s="231"/>
      <c r="U168" s="231"/>
      <c r="V168" s="231"/>
      <c r="W168" s="231"/>
      <c r="X168" s="231"/>
      <c r="Y168" s="231"/>
      <c r="Z168" s="231"/>
      <c r="AA168" s="231"/>
      <c r="AB168" s="231"/>
      <c r="AC168" s="231"/>
      <c r="AD168" s="231"/>
      <c r="AE168" s="231"/>
      <c r="AF168" s="231"/>
      <c r="AG168" s="231"/>
      <c r="AH168" s="231"/>
      <c r="AI168" s="231"/>
      <c r="AJ168" s="231"/>
      <c r="AK168" s="231"/>
    </row>
    <row r="169" spans="1:37" s="203" customFormat="1">
      <c r="A169" s="120">
        <v>9</v>
      </c>
      <c r="B169" s="116" t="s">
        <v>142</v>
      </c>
      <c r="C169" s="116"/>
      <c r="D169" s="116"/>
      <c r="E169" s="80">
        <v>985</v>
      </c>
      <c r="F169" s="142">
        <f>SUM(F166:F168)</f>
        <v>685</v>
      </c>
      <c r="G169" s="118"/>
      <c r="H169" s="142">
        <f>SUM(H166:H168)</f>
        <v>701</v>
      </c>
      <c r="I169" s="29"/>
      <c r="J169" s="231"/>
      <c r="K169" s="231"/>
      <c r="L169" s="231"/>
      <c r="M169" s="231"/>
      <c r="N169" s="231"/>
      <c r="O169" s="231"/>
      <c r="P169" s="231"/>
      <c r="Q169" s="231"/>
      <c r="R169" s="231"/>
      <c r="S169" s="231"/>
      <c r="T169" s="231"/>
      <c r="U169" s="231"/>
      <c r="V169" s="231"/>
      <c r="W169" s="231"/>
      <c r="X169" s="231"/>
      <c r="Y169" s="231"/>
      <c r="Z169" s="231"/>
      <c r="AA169" s="231"/>
      <c r="AB169" s="231"/>
      <c r="AC169" s="231"/>
      <c r="AD169" s="231"/>
      <c r="AE169" s="231"/>
      <c r="AF169" s="231"/>
      <c r="AG169" s="231"/>
      <c r="AH169" s="231"/>
      <c r="AI169" s="231"/>
      <c r="AJ169" s="231"/>
      <c r="AK169" s="231"/>
    </row>
    <row r="170" spans="1:37" s="203" customFormat="1">
      <c r="A170" s="46"/>
      <c r="B170" s="132"/>
      <c r="C170" s="132"/>
      <c r="D170" s="132"/>
      <c r="E170" s="156"/>
      <c r="F170" s="139"/>
      <c r="G170" s="139"/>
      <c r="H170" s="139"/>
      <c r="I170" s="29"/>
      <c r="J170" s="231"/>
      <c r="K170" s="231"/>
      <c r="L170" s="231"/>
      <c r="M170" s="231"/>
      <c r="N170" s="231"/>
      <c r="O170" s="231"/>
      <c r="P170" s="231"/>
      <c r="Q170" s="231"/>
      <c r="R170" s="231"/>
      <c r="S170" s="231"/>
      <c r="T170" s="231"/>
      <c r="U170" s="231"/>
      <c r="V170" s="231"/>
      <c r="W170" s="231"/>
      <c r="X170" s="231"/>
      <c r="Y170" s="231"/>
      <c r="Z170" s="231"/>
      <c r="AA170" s="231"/>
      <c r="AB170" s="231"/>
      <c r="AC170" s="231"/>
      <c r="AD170" s="231"/>
      <c r="AE170" s="231"/>
      <c r="AF170" s="231"/>
      <c r="AG170" s="231"/>
      <c r="AH170" s="231"/>
      <c r="AI170" s="231"/>
      <c r="AJ170" s="231"/>
      <c r="AK170" s="231"/>
    </row>
    <row r="171" spans="1:37" s="203" customFormat="1">
      <c r="A171" s="120">
        <v>10</v>
      </c>
      <c r="B171" s="47" t="s">
        <v>143</v>
      </c>
      <c r="C171" s="47"/>
      <c r="D171" s="47"/>
      <c r="E171" s="41">
        <v>192</v>
      </c>
      <c r="F171" s="121">
        <v>205</v>
      </c>
      <c r="G171" s="118"/>
      <c r="H171" s="133">
        <v>209</v>
      </c>
      <c r="I171" s="29"/>
      <c r="J171" s="231"/>
      <c r="K171" s="231"/>
      <c r="L171" s="231"/>
      <c r="M171" s="231"/>
      <c r="N171" s="231"/>
      <c r="O171" s="231"/>
      <c r="P171" s="231"/>
      <c r="Q171" s="231"/>
      <c r="R171" s="231"/>
      <c r="S171" s="231"/>
      <c r="T171" s="231"/>
      <c r="U171" s="231"/>
      <c r="V171" s="231"/>
      <c r="W171" s="231"/>
      <c r="X171" s="231"/>
      <c r="Y171" s="231"/>
      <c r="Z171" s="231"/>
      <c r="AA171" s="231"/>
      <c r="AB171" s="231"/>
      <c r="AC171" s="231"/>
      <c r="AD171" s="231"/>
      <c r="AE171" s="231"/>
      <c r="AF171" s="231"/>
      <c r="AG171" s="231"/>
      <c r="AH171" s="231"/>
      <c r="AI171" s="231"/>
      <c r="AJ171" s="231"/>
      <c r="AK171" s="231"/>
    </row>
    <row r="172" spans="1:37" s="203" customFormat="1">
      <c r="A172" s="120">
        <v>11</v>
      </c>
      <c r="B172" s="47" t="s">
        <v>144</v>
      </c>
      <c r="C172" s="47"/>
      <c r="D172" s="47"/>
      <c r="E172" s="56">
        <v>0</v>
      </c>
      <c r="F172" s="126">
        <v>0</v>
      </c>
      <c r="G172" s="118"/>
      <c r="H172" s="100">
        <v>0</v>
      </c>
      <c r="I172" s="29"/>
      <c r="J172" s="231"/>
      <c r="K172" s="231"/>
      <c r="L172" s="231"/>
      <c r="M172" s="231"/>
      <c r="N172" s="231"/>
      <c r="O172" s="231"/>
      <c r="P172" s="231"/>
      <c r="Q172" s="231"/>
      <c r="R172" s="231"/>
      <c r="S172" s="231"/>
      <c r="T172" s="231"/>
      <c r="U172" s="231"/>
      <c r="V172" s="231"/>
      <c r="W172" s="231"/>
      <c r="X172" s="231"/>
      <c r="Y172" s="231"/>
      <c r="Z172" s="231"/>
      <c r="AA172" s="231"/>
      <c r="AB172" s="231"/>
      <c r="AC172" s="231"/>
      <c r="AD172" s="231"/>
      <c r="AE172" s="231"/>
      <c r="AF172" s="231"/>
      <c r="AG172" s="231"/>
      <c r="AH172" s="231"/>
      <c r="AI172" s="231"/>
      <c r="AJ172" s="231"/>
      <c r="AK172" s="231"/>
    </row>
    <row r="173" spans="1:37" s="203" customFormat="1">
      <c r="A173" s="46"/>
      <c r="B173" s="132"/>
      <c r="C173" s="132"/>
      <c r="D173" s="132"/>
      <c r="E173" s="156"/>
      <c r="F173" s="139"/>
      <c r="G173" s="139"/>
      <c r="H173" s="139"/>
      <c r="I173" s="29"/>
      <c r="J173" s="231"/>
      <c r="K173" s="231"/>
      <c r="L173" s="231"/>
      <c r="M173" s="231"/>
      <c r="N173" s="231"/>
      <c r="O173" s="231"/>
      <c r="P173" s="231"/>
      <c r="Q173" s="231"/>
      <c r="R173" s="231"/>
      <c r="S173" s="231"/>
      <c r="T173" s="231"/>
      <c r="U173" s="231"/>
      <c r="V173" s="231"/>
      <c r="W173" s="231"/>
      <c r="X173" s="231"/>
      <c r="Y173" s="231"/>
      <c r="Z173" s="231"/>
      <c r="AA173" s="231"/>
      <c r="AB173" s="231"/>
      <c r="AC173" s="231"/>
      <c r="AD173" s="231"/>
      <c r="AE173" s="231"/>
      <c r="AF173" s="231"/>
      <c r="AG173" s="231"/>
      <c r="AH173" s="231"/>
      <c r="AI173" s="231"/>
      <c r="AJ173" s="231"/>
      <c r="AK173" s="231"/>
    </row>
    <row r="174" spans="1:37" s="203" customFormat="1">
      <c r="A174" s="119" t="s">
        <v>145</v>
      </c>
      <c r="B174" s="47"/>
      <c r="C174" s="47"/>
      <c r="D174" s="47"/>
      <c r="E174" s="157"/>
      <c r="F174" s="146"/>
      <c r="G174" s="118"/>
      <c r="H174" s="146"/>
      <c r="I174" s="29"/>
      <c r="J174" s="231"/>
      <c r="K174" s="231"/>
      <c r="L174" s="231"/>
      <c r="M174" s="231"/>
      <c r="N174" s="231"/>
      <c r="O174" s="231"/>
      <c r="P174" s="231"/>
      <c r="Q174" s="231"/>
      <c r="R174" s="231"/>
      <c r="S174" s="231"/>
      <c r="T174" s="231"/>
      <c r="U174" s="231"/>
      <c r="V174" s="231"/>
      <c r="W174" s="231"/>
      <c r="X174" s="231"/>
      <c r="Y174" s="231"/>
      <c r="Z174" s="231"/>
      <c r="AA174" s="231"/>
      <c r="AB174" s="231"/>
      <c r="AC174" s="231"/>
      <c r="AD174" s="231"/>
      <c r="AE174" s="231"/>
      <c r="AF174" s="231"/>
      <c r="AG174" s="231"/>
      <c r="AH174" s="231"/>
      <c r="AI174" s="231"/>
      <c r="AJ174" s="231"/>
      <c r="AK174" s="231"/>
    </row>
    <row r="175" spans="1:37" s="203" customFormat="1">
      <c r="A175" s="120">
        <v>12</v>
      </c>
      <c r="B175" s="47" t="s">
        <v>146</v>
      </c>
      <c r="C175" s="47"/>
      <c r="D175" s="47"/>
      <c r="E175" s="74">
        <v>274</v>
      </c>
      <c r="F175" s="52">
        <v>273</v>
      </c>
      <c r="G175" s="118"/>
      <c r="H175" s="122">
        <v>290</v>
      </c>
      <c r="I175" s="29"/>
      <c r="J175" s="231"/>
      <c r="K175" s="231"/>
      <c r="L175" s="231"/>
      <c r="M175" s="231"/>
      <c r="N175" s="231"/>
      <c r="O175" s="231"/>
      <c r="P175" s="231"/>
      <c r="Q175" s="231"/>
      <c r="R175" s="231"/>
      <c r="S175" s="231"/>
      <c r="T175" s="231"/>
      <c r="U175" s="231"/>
      <c r="V175" s="231"/>
      <c r="W175" s="231"/>
      <c r="X175" s="231"/>
      <c r="Y175" s="231"/>
      <c r="Z175" s="231"/>
      <c r="AA175" s="231"/>
      <c r="AB175" s="231"/>
      <c r="AC175" s="231"/>
      <c r="AD175" s="231"/>
      <c r="AE175" s="231"/>
      <c r="AF175" s="231"/>
      <c r="AG175" s="231"/>
      <c r="AH175" s="231"/>
      <c r="AI175" s="231"/>
      <c r="AJ175" s="231"/>
      <c r="AK175" s="231"/>
    </row>
    <row r="176" spans="1:37" s="203" customFormat="1">
      <c r="A176" s="120">
        <v>13</v>
      </c>
      <c r="B176" s="47" t="s">
        <v>147</v>
      </c>
      <c r="C176" s="47"/>
      <c r="D176" s="47"/>
      <c r="E176" s="49">
        <v>2063</v>
      </c>
      <c r="F176" s="52">
        <f>2317-F177</f>
        <v>2110</v>
      </c>
      <c r="G176" s="118"/>
      <c r="H176" s="122">
        <f>2262-H177</f>
        <v>2073</v>
      </c>
      <c r="I176" s="29"/>
      <c r="J176" s="231"/>
      <c r="K176" s="231"/>
      <c r="L176" s="231"/>
      <c r="M176" s="231"/>
      <c r="N176" s="231"/>
      <c r="O176" s="231"/>
      <c r="P176" s="231"/>
      <c r="Q176" s="231"/>
      <c r="R176" s="231"/>
      <c r="S176" s="231"/>
      <c r="T176" s="231"/>
      <c r="U176" s="231"/>
      <c r="V176" s="231"/>
      <c r="W176" s="231"/>
      <c r="X176" s="231"/>
      <c r="Y176" s="231"/>
      <c r="Z176" s="231"/>
      <c r="AA176" s="231"/>
      <c r="AB176" s="231"/>
      <c r="AC176" s="231"/>
      <c r="AD176" s="231"/>
      <c r="AE176" s="231"/>
      <c r="AF176" s="231"/>
      <c r="AG176" s="231"/>
      <c r="AH176" s="231"/>
      <c r="AI176" s="231"/>
      <c r="AJ176" s="231"/>
      <c r="AK176" s="231"/>
    </row>
    <row r="177" spans="1:37" s="203" customFormat="1">
      <c r="A177" s="120">
        <v>14</v>
      </c>
      <c r="B177" s="47" t="s">
        <v>148</v>
      </c>
      <c r="C177" s="47"/>
      <c r="D177" s="47"/>
      <c r="E177" s="56">
        <v>258</v>
      </c>
      <c r="F177" s="52">
        <v>207</v>
      </c>
      <c r="G177" s="118"/>
      <c r="H177" s="100">
        <v>189</v>
      </c>
      <c r="I177" s="29"/>
      <c r="J177" s="231"/>
      <c r="K177" s="231"/>
      <c r="L177" s="231"/>
      <c r="M177" s="231"/>
      <c r="N177" s="231"/>
      <c r="O177" s="231"/>
      <c r="P177" s="231"/>
      <c r="Q177" s="231"/>
      <c r="R177" s="231"/>
      <c r="S177" s="231"/>
      <c r="T177" s="231"/>
      <c r="U177" s="231"/>
      <c r="V177" s="231"/>
      <c r="W177" s="231"/>
      <c r="X177" s="231"/>
      <c r="Y177" s="231"/>
      <c r="Z177" s="231"/>
      <c r="AA177" s="231"/>
      <c r="AB177" s="231"/>
      <c r="AC177" s="231"/>
      <c r="AD177" s="231"/>
      <c r="AE177" s="231"/>
      <c r="AF177" s="231"/>
      <c r="AG177" s="231"/>
      <c r="AH177" s="231"/>
      <c r="AI177" s="231"/>
      <c r="AJ177" s="231"/>
      <c r="AK177" s="231"/>
    </row>
    <row r="178" spans="1:37" s="203" customFormat="1">
      <c r="A178" s="120">
        <v>15</v>
      </c>
      <c r="B178" s="116" t="s">
        <v>149</v>
      </c>
      <c r="C178" s="116"/>
      <c r="D178" s="116"/>
      <c r="E178" s="80">
        <v>2595</v>
      </c>
      <c r="F178" s="142">
        <f>SUM(F175:F177)</f>
        <v>2590</v>
      </c>
      <c r="G178" s="118"/>
      <c r="H178" s="142">
        <f>SUM(H175:H177)</f>
        <v>2552</v>
      </c>
      <c r="I178" s="29"/>
      <c r="J178" s="231"/>
      <c r="K178" s="231"/>
      <c r="L178" s="231"/>
      <c r="M178" s="231"/>
      <c r="N178" s="231"/>
      <c r="O178" s="231"/>
      <c r="P178" s="231"/>
      <c r="Q178" s="231"/>
      <c r="R178" s="231"/>
      <c r="S178" s="231"/>
      <c r="T178" s="231"/>
      <c r="U178" s="231"/>
      <c r="V178" s="231"/>
      <c r="W178" s="231"/>
      <c r="X178" s="231"/>
      <c r="Y178" s="231"/>
      <c r="Z178" s="231"/>
      <c r="AA178" s="231"/>
      <c r="AB178" s="231"/>
      <c r="AC178" s="231"/>
      <c r="AD178" s="231"/>
      <c r="AE178" s="231"/>
      <c r="AF178" s="231"/>
      <c r="AG178" s="231"/>
      <c r="AH178" s="231"/>
      <c r="AI178" s="231"/>
      <c r="AJ178" s="231"/>
      <c r="AK178" s="231"/>
    </row>
    <row r="179" spans="1:37" s="203" customFormat="1">
      <c r="A179" s="120">
        <v>16</v>
      </c>
      <c r="B179" s="116" t="s">
        <v>150</v>
      </c>
      <c r="C179" s="116"/>
      <c r="D179" s="116"/>
      <c r="E179" s="80">
        <v>2595</v>
      </c>
      <c r="F179" s="158">
        <f>F172+F178</f>
        <v>2590</v>
      </c>
      <c r="G179" s="118"/>
      <c r="H179" s="158">
        <f>H172+H178</f>
        <v>2552</v>
      </c>
      <c r="I179" s="29"/>
      <c r="J179" s="231"/>
      <c r="K179" s="231"/>
      <c r="L179" s="231"/>
      <c r="M179" s="231"/>
      <c r="N179" s="231"/>
      <c r="O179" s="231"/>
      <c r="P179" s="231"/>
      <c r="Q179" s="231"/>
      <c r="R179" s="231"/>
      <c r="S179" s="231"/>
      <c r="T179" s="231"/>
      <c r="U179" s="231"/>
      <c r="V179" s="231"/>
      <c r="W179" s="231"/>
      <c r="X179" s="231"/>
      <c r="Y179" s="231"/>
      <c r="Z179" s="231"/>
      <c r="AA179" s="231"/>
      <c r="AB179" s="231"/>
      <c r="AC179" s="231"/>
      <c r="AD179" s="231"/>
      <c r="AE179" s="231"/>
      <c r="AF179" s="231"/>
      <c r="AG179" s="231"/>
      <c r="AH179" s="231"/>
      <c r="AI179" s="231"/>
      <c r="AJ179" s="231"/>
      <c r="AK179" s="231"/>
    </row>
    <row r="180" spans="1:37" s="203" customFormat="1">
      <c r="A180" s="120">
        <v>17</v>
      </c>
      <c r="B180" s="116" t="s">
        <v>151</v>
      </c>
      <c r="C180" s="116"/>
      <c r="D180" s="116"/>
      <c r="E180" s="159">
        <v>11635</v>
      </c>
      <c r="F180" s="61">
        <f>SUM(F163+F169+F171+F179)</f>
        <v>11594</v>
      </c>
      <c r="G180" s="118"/>
      <c r="H180" s="61">
        <f>SUM(H163+H169+H171+H179)</f>
        <v>11360</v>
      </c>
      <c r="I180" s="29"/>
      <c r="J180" s="231"/>
      <c r="K180" s="231"/>
      <c r="L180" s="231"/>
      <c r="M180" s="231"/>
      <c r="N180" s="231"/>
      <c r="O180" s="231"/>
      <c r="P180" s="231"/>
      <c r="Q180" s="231"/>
      <c r="R180" s="231"/>
      <c r="S180" s="231"/>
      <c r="T180" s="231"/>
      <c r="U180" s="231"/>
      <c r="V180" s="231"/>
      <c r="W180" s="231"/>
      <c r="X180" s="231"/>
      <c r="Y180" s="231"/>
      <c r="Z180" s="231"/>
      <c r="AA180" s="231"/>
      <c r="AB180" s="231"/>
      <c r="AC180" s="231"/>
      <c r="AD180" s="231"/>
      <c r="AE180" s="231"/>
      <c r="AF180" s="231"/>
      <c r="AG180" s="231"/>
      <c r="AH180" s="231"/>
      <c r="AI180" s="231"/>
      <c r="AJ180" s="231"/>
      <c r="AK180" s="231"/>
    </row>
    <row r="181" spans="1:37" s="203" customFormat="1">
      <c r="A181" s="46"/>
      <c r="B181" s="132"/>
      <c r="C181" s="132"/>
      <c r="D181" s="132"/>
      <c r="E181" s="156"/>
      <c r="F181" s="139"/>
      <c r="G181" s="139"/>
      <c r="H181" s="139"/>
      <c r="I181" s="29"/>
      <c r="J181" s="231"/>
      <c r="K181" s="231"/>
      <c r="L181" s="231"/>
      <c r="M181" s="231"/>
      <c r="N181" s="231"/>
      <c r="O181" s="231"/>
      <c r="P181" s="231"/>
      <c r="Q181" s="231"/>
      <c r="R181" s="231"/>
      <c r="S181" s="231"/>
      <c r="T181" s="231"/>
      <c r="U181" s="231"/>
      <c r="V181" s="231"/>
      <c r="W181" s="231"/>
      <c r="X181" s="231"/>
      <c r="Y181" s="231"/>
      <c r="Z181" s="231"/>
      <c r="AA181" s="231"/>
      <c r="AB181" s="231"/>
      <c r="AC181" s="231"/>
      <c r="AD181" s="231"/>
      <c r="AE181" s="231"/>
      <c r="AF181" s="231"/>
      <c r="AG181" s="231"/>
      <c r="AH181" s="231"/>
      <c r="AI181" s="231"/>
      <c r="AJ181" s="231"/>
      <c r="AK181" s="231"/>
    </row>
    <row r="182" spans="1:37" s="203" customFormat="1">
      <c r="A182" s="119" t="s">
        <v>152</v>
      </c>
      <c r="B182" s="47"/>
      <c r="C182" s="47"/>
      <c r="D182" s="116"/>
      <c r="E182" s="117"/>
      <c r="F182" s="118"/>
      <c r="G182" s="118"/>
      <c r="H182" s="118"/>
      <c r="I182" s="29"/>
      <c r="J182" s="231"/>
      <c r="K182" s="231"/>
      <c r="L182" s="231"/>
      <c r="M182" s="231"/>
      <c r="N182" s="231"/>
      <c r="O182" s="231"/>
      <c r="P182" s="231"/>
      <c r="Q182" s="231"/>
      <c r="R182" s="231"/>
      <c r="S182" s="231"/>
      <c r="T182" s="231"/>
      <c r="U182" s="231"/>
      <c r="V182" s="231"/>
      <c r="W182" s="231"/>
      <c r="X182" s="231"/>
      <c r="Y182" s="231"/>
      <c r="Z182" s="231"/>
      <c r="AA182" s="231"/>
      <c r="AB182" s="231"/>
      <c r="AC182" s="231"/>
      <c r="AD182" s="231"/>
      <c r="AE182" s="231"/>
      <c r="AF182" s="231"/>
      <c r="AG182" s="231"/>
      <c r="AH182" s="231"/>
      <c r="AI182" s="231"/>
      <c r="AJ182" s="231"/>
      <c r="AK182" s="231"/>
    </row>
    <row r="183" spans="1:37" s="203" customFormat="1">
      <c r="A183" s="120">
        <v>18</v>
      </c>
      <c r="B183" s="47" t="s">
        <v>153</v>
      </c>
      <c r="C183" s="47"/>
      <c r="D183" s="47"/>
      <c r="E183" s="41">
        <v>770</v>
      </c>
      <c r="F183" s="121">
        <v>750</v>
      </c>
      <c r="G183" s="118"/>
      <c r="H183" s="133">
        <v>788</v>
      </c>
      <c r="I183" s="29"/>
      <c r="J183" s="231"/>
      <c r="K183" s="231"/>
      <c r="L183" s="231"/>
      <c r="M183" s="231"/>
      <c r="N183" s="231"/>
      <c r="O183" s="231"/>
      <c r="P183" s="231"/>
      <c r="Q183" s="231"/>
      <c r="R183" s="231"/>
      <c r="S183" s="231"/>
      <c r="T183" s="231"/>
      <c r="U183" s="231"/>
      <c r="V183" s="231"/>
      <c r="W183" s="231"/>
      <c r="X183" s="231"/>
      <c r="Y183" s="231"/>
      <c r="Z183" s="231"/>
      <c r="AA183" s="231"/>
      <c r="AB183" s="231"/>
      <c r="AC183" s="231"/>
      <c r="AD183" s="231"/>
      <c r="AE183" s="231"/>
      <c r="AF183" s="231"/>
      <c r="AG183" s="231"/>
      <c r="AH183" s="231"/>
      <c r="AI183" s="231"/>
      <c r="AJ183" s="231"/>
      <c r="AK183" s="231"/>
    </row>
    <row r="184" spans="1:37" s="203" customFormat="1">
      <c r="A184" s="120">
        <v>19</v>
      </c>
      <c r="B184" s="47" t="s">
        <v>154</v>
      </c>
      <c r="C184" s="47"/>
      <c r="D184" s="47"/>
      <c r="E184" s="49">
        <v>258</v>
      </c>
      <c r="F184" s="52">
        <v>207</v>
      </c>
      <c r="G184" s="118"/>
      <c r="H184" s="122">
        <v>189</v>
      </c>
      <c r="I184" s="29"/>
      <c r="J184" s="231"/>
      <c r="K184" s="231"/>
      <c r="L184" s="231"/>
      <c r="M184" s="231"/>
      <c r="N184" s="231"/>
      <c r="O184" s="231"/>
      <c r="P184" s="231"/>
      <c r="Q184" s="231"/>
      <c r="R184" s="231"/>
      <c r="S184" s="231"/>
      <c r="T184" s="231"/>
      <c r="U184" s="231"/>
      <c r="V184" s="231"/>
      <c r="W184" s="231"/>
      <c r="X184" s="231"/>
      <c r="Y184" s="231"/>
      <c r="Z184" s="231"/>
      <c r="AA184" s="231"/>
      <c r="AB184" s="231"/>
      <c r="AC184" s="231"/>
      <c r="AD184" s="231"/>
      <c r="AE184" s="231"/>
      <c r="AF184" s="231"/>
      <c r="AG184" s="231"/>
      <c r="AH184" s="231"/>
      <c r="AI184" s="231"/>
      <c r="AJ184" s="231"/>
      <c r="AK184" s="231"/>
    </row>
    <row r="185" spans="1:37" s="203" customFormat="1">
      <c r="A185" s="120">
        <v>20</v>
      </c>
      <c r="B185" s="47" t="s">
        <v>155</v>
      </c>
      <c r="C185" s="47"/>
      <c r="D185" s="47"/>
      <c r="E185" s="49">
        <v>0</v>
      </c>
      <c r="F185" s="52">
        <v>0</v>
      </c>
      <c r="G185" s="118"/>
      <c r="H185" s="122">
        <v>0</v>
      </c>
      <c r="I185" s="29"/>
      <c r="J185" s="231"/>
      <c r="K185" s="231"/>
      <c r="L185" s="231"/>
      <c r="M185" s="231"/>
      <c r="N185" s="231"/>
      <c r="O185" s="231"/>
      <c r="P185" s="231"/>
      <c r="Q185" s="231"/>
      <c r="R185" s="231"/>
      <c r="S185" s="231"/>
      <c r="T185" s="231"/>
      <c r="U185" s="231"/>
      <c r="V185" s="231"/>
      <c r="W185" s="231"/>
      <c r="X185" s="231"/>
      <c r="Y185" s="231"/>
      <c r="Z185" s="231"/>
      <c r="AA185" s="231"/>
      <c r="AB185" s="231"/>
      <c r="AC185" s="231"/>
      <c r="AD185" s="231"/>
      <c r="AE185" s="231"/>
      <c r="AF185" s="231"/>
      <c r="AG185" s="231"/>
      <c r="AH185" s="231"/>
      <c r="AI185" s="231"/>
      <c r="AJ185" s="231"/>
      <c r="AK185" s="231"/>
    </row>
    <row r="186" spans="1:37" s="203" customFormat="1">
      <c r="A186" s="120">
        <v>21</v>
      </c>
      <c r="B186" s="47" t="s">
        <v>156</v>
      </c>
      <c r="C186" s="47"/>
      <c r="D186" s="47"/>
      <c r="E186" s="49">
        <v>22</v>
      </c>
      <c r="F186" s="52">
        <v>22</v>
      </c>
      <c r="G186" s="118"/>
      <c r="H186" s="122">
        <v>21</v>
      </c>
      <c r="I186" s="29"/>
      <c r="J186" s="231"/>
      <c r="K186" s="231"/>
      <c r="L186" s="231"/>
      <c r="M186" s="231"/>
      <c r="N186" s="231"/>
      <c r="O186" s="231"/>
      <c r="P186" s="231"/>
      <c r="Q186" s="231"/>
      <c r="R186" s="231"/>
      <c r="S186" s="231"/>
      <c r="T186" s="231"/>
      <c r="U186" s="231"/>
      <c r="V186" s="231"/>
      <c r="W186" s="231"/>
      <c r="X186" s="231"/>
      <c r="Y186" s="231"/>
      <c r="Z186" s="231"/>
      <c r="AA186" s="231"/>
      <c r="AB186" s="231"/>
      <c r="AC186" s="231"/>
      <c r="AD186" s="231"/>
      <c r="AE186" s="231"/>
      <c r="AF186" s="231"/>
      <c r="AG186" s="231"/>
      <c r="AH186" s="231"/>
      <c r="AI186" s="231"/>
      <c r="AJ186" s="231"/>
      <c r="AK186" s="231"/>
    </row>
    <row r="187" spans="1:37" s="203" customFormat="1">
      <c r="A187" s="120">
        <v>22</v>
      </c>
      <c r="B187" s="47" t="s">
        <v>157</v>
      </c>
      <c r="C187" s="47"/>
      <c r="D187" s="47"/>
      <c r="E187" s="49">
        <v>689</v>
      </c>
      <c r="F187" s="52">
        <v>822</v>
      </c>
      <c r="G187" s="118"/>
      <c r="H187" s="122">
        <v>717</v>
      </c>
      <c r="I187" s="29"/>
      <c r="J187" s="231"/>
      <c r="K187" s="231"/>
      <c r="L187" s="231"/>
      <c r="M187" s="231"/>
      <c r="N187" s="231"/>
      <c r="O187" s="231"/>
      <c r="P187" s="231"/>
      <c r="Q187" s="231"/>
      <c r="R187" s="231"/>
      <c r="S187" s="231"/>
      <c r="T187" s="231"/>
      <c r="U187" s="231"/>
      <c r="V187" s="231"/>
      <c r="W187" s="231"/>
      <c r="X187" s="231"/>
      <c r="Y187" s="231"/>
      <c r="Z187" s="231"/>
      <c r="AA187" s="231"/>
      <c r="AB187" s="231"/>
      <c r="AC187" s="231"/>
      <c r="AD187" s="231"/>
      <c r="AE187" s="231"/>
      <c r="AF187" s="231"/>
      <c r="AG187" s="231"/>
      <c r="AH187" s="231"/>
      <c r="AI187" s="231"/>
      <c r="AJ187" s="231"/>
      <c r="AK187" s="231"/>
    </row>
    <row r="188" spans="1:37" s="203" customFormat="1">
      <c r="A188" s="120">
        <v>23</v>
      </c>
      <c r="B188" s="47" t="s">
        <v>158</v>
      </c>
      <c r="C188" s="47"/>
      <c r="D188" s="47"/>
      <c r="E188" s="49">
        <v>0</v>
      </c>
      <c r="F188" s="52">
        <v>0</v>
      </c>
      <c r="G188" s="118"/>
      <c r="H188" s="122">
        <v>0</v>
      </c>
      <c r="I188" s="29"/>
      <c r="J188" s="231"/>
      <c r="K188" s="231"/>
      <c r="L188" s="231"/>
      <c r="M188" s="231"/>
      <c r="N188" s="231"/>
      <c r="O188" s="231"/>
      <c r="P188" s="231"/>
      <c r="Q188" s="231"/>
      <c r="R188" s="231"/>
      <c r="S188" s="231"/>
      <c r="T188" s="231"/>
      <c r="U188" s="231"/>
      <c r="V188" s="231"/>
      <c r="W188" s="231"/>
      <c r="X188" s="231"/>
      <c r="Y188" s="231"/>
      <c r="Z188" s="231"/>
      <c r="AA188" s="231"/>
      <c r="AB188" s="231"/>
      <c r="AC188" s="231"/>
      <c r="AD188" s="231"/>
      <c r="AE188" s="231"/>
      <c r="AF188" s="231"/>
      <c r="AG188" s="231"/>
      <c r="AH188" s="231"/>
      <c r="AI188" s="231"/>
      <c r="AJ188" s="231"/>
      <c r="AK188" s="231"/>
    </row>
    <row r="189" spans="1:37" s="203" customFormat="1">
      <c r="A189" s="120">
        <v>24</v>
      </c>
      <c r="B189" s="47" t="s">
        <v>159</v>
      </c>
      <c r="C189" s="47"/>
      <c r="D189" s="47"/>
      <c r="E189" s="49">
        <v>125</v>
      </c>
      <c r="F189" s="52">
        <v>122</v>
      </c>
      <c r="G189" s="118"/>
      <c r="H189" s="122">
        <v>125</v>
      </c>
      <c r="I189" s="29"/>
      <c r="J189" s="231"/>
      <c r="K189" s="231"/>
      <c r="L189" s="231"/>
      <c r="M189" s="231"/>
      <c r="N189" s="231"/>
      <c r="O189" s="231"/>
      <c r="P189" s="231"/>
      <c r="Q189" s="231"/>
      <c r="R189" s="231"/>
      <c r="S189" s="231"/>
      <c r="T189" s="231"/>
      <c r="U189" s="231"/>
      <c r="V189" s="231"/>
      <c r="W189" s="231"/>
      <c r="X189" s="231"/>
      <c r="Y189" s="231"/>
      <c r="Z189" s="231"/>
      <c r="AA189" s="231"/>
      <c r="AB189" s="231"/>
      <c r="AC189" s="231"/>
      <c r="AD189" s="231"/>
      <c r="AE189" s="231"/>
      <c r="AF189" s="231"/>
      <c r="AG189" s="231"/>
      <c r="AH189" s="231"/>
      <c r="AI189" s="231"/>
      <c r="AJ189" s="231"/>
      <c r="AK189" s="231"/>
    </row>
    <row r="190" spans="1:37" s="203" customFormat="1">
      <c r="A190" s="124">
        <v>25</v>
      </c>
      <c r="B190" s="54" t="s">
        <v>160</v>
      </c>
      <c r="C190" s="54"/>
      <c r="D190" s="54"/>
      <c r="E190" s="56">
        <v>513</v>
      </c>
      <c r="F190" s="126">
        <v>451</v>
      </c>
      <c r="G190" s="118"/>
      <c r="H190" s="100">
        <v>451</v>
      </c>
      <c r="I190" s="24"/>
      <c r="J190" s="231"/>
      <c r="K190" s="231"/>
      <c r="L190" s="231"/>
      <c r="M190" s="231"/>
      <c r="N190" s="231"/>
      <c r="O190" s="231"/>
      <c r="P190" s="231"/>
      <c r="Q190" s="231"/>
      <c r="R190" s="231"/>
      <c r="S190" s="231"/>
      <c r="T190" s="231"/>
      <c r="U190" s="231"/>
      <c r="V190" s="231"/>
      <c r="W190" s="231"/>
      <c r="X190" s="231"/>
      <c r="Y190" s="231"/>
      <c r="Z190" s="231"/>
      <c r="AA190" s="231"/>
      <c r="AB190" s="231"/>
      <c r="AC190" s="231"/>
      <c r="AD190" s="231"/>
      <c r="AE190" s="231"/>
      <c r="AF190" s="231"/>
      <c r="AG190" s="231"/>
      <c r="AH190" s="231"/>
      <c r="AI190" s="231"/>
      <c r="AJ190" s="231"/>
      <c r="AK190" s="231"/>
    </row>
    <row r="191" spans="1:37" s="203" customFormat="1">
      <c r="A191" s="161"/>
      <c r="B191" s="129"/>
      <c r="C191" s="129"/>
      <c r="D191" s="149"/>
      <c r="E191" s="162"/>
      <c r="F191" s="29"/>
      <c r="G191" s="29"/>
      <c r="H191" s="207"/>
      <c r="I191" s="29"/>
      <c r="J191" s="231"/>
      <c r="K191" s="231"/>
      <c r="L191" s="231"/>
      <c r="M191" s="231"/>
      <c r="N191" s="231"/>
      <c r="O191" s="231"/>
      <c r="P191" s="231"/>
      <c r="Q191" s="231"/>
      <c r="R191" s="231"/>
      <c r="S191" s="231"/>
      <c r="T191" s="231"/>
      <c r="U191" s="231"/>
      <c r="V191" s="231"/>
      <c r="W191" s="231"/>
      <c r="X191" s="231"/>
      <c r="Y191" s="231"/>
      <c r="Z191" s="231"/>
      <c r="AA191" s="231"/>
      <c r="AB191" s="231"/>
      <c r="AC191" s="231"/>
      <c r="AD191" s="231"/>
      <c r="AE191" s="231"/>
      <c r="AF191" s="231"/>
      <c r="AG191" s="231"/>
      <c r="AH191" s="231"/>
      <c r="AI191" s="231"/>
      <c r="AJ191" s="231"/>
      <c r="AK191" s="231"/>
    </row>
    <row r="192" spans="1:37" s="203" customFormat="1">
      <c r="A192" s="161"/>
      <c r="B192" s="129"/>
      <c r="C192" s="129"/>
      <c r="D192" s="151"/>
      <c r="E192" s="163"/>
      <c r="F192" s="29"/>
      <c r="G192" s="29"/>
      <c r="H192" s="131" t="s">
        <v>27</v>
      </c>
      <c r="I192" s="29"/>
      <c r="J192" s="231"/>
      <c r="K192" s="231"/>
      <c r="L192" s="231"/>
      <c r="M192" s="231"/>
      <c r="N192" s="231"/>
      <c r="O192" s="231"/>
      <c r="P192" s="231"/>
      <c r="Q192" s="231"/>
      <c r="R192" s="231"/>
      <c r="S192" s="231"/>
      <c r="T192" s="231"/>
      <c r="U192" s="231"/>
      <c r="V192" s="231"/>
      <c r="W192" s="231"/>
      <c r="X192" s="231"/>
      <c r="Y192" s="231"/>
      <c r="Z192" s="231"/>
      <c r="AA192" s="231"/>
      <c r="AB192" s="231"/>
      <c r="AC192" s="231"/>
      <c r="AD192" s="231"/>
      <c r="AE192" s="231"/>
      <c r="AF192" s="231"/>
      <c r="AG192" s="231"/>
      <c r="AH192" s="231"/>
      <c r="AI192" s="231"/>
      <c r="AJ192" s="231"/>
      <c r="AK192" s="231"/>
    </row>
    <row r="193" spans="1:37" s="203" customFormat="1" ht="12.75" customHeight="1">
      <c r="A193" s="106" t="s">
        <v>23</v>
      </c>
      <c r="B193" s="164"/>
      <c r="C193" s="164"/>
      <c r="D193" s="164"/>
      <c r="E193" s="856" t="s">
        <v>377</v>
      </c>
      <c r="F193" s="856" t="s">
        <v>402</v>
      </c>
      <c r="G193" s="130"/>
      <c r="H193" s="856" t="s">
        <v>403</v>
      </c>
      <c r="I193" s="130"/>
      <c r="J193" s="231"/>
      <c r="K193" s="231"/>
      <c r="L193" s="231"/>
      <c r="M193" s="231"/>
      <c r="N193" s="231"/>
      <c r="O193" s="231"/>
      <c r="P193" s="231"/>
      <c r="Q193" s="231"/>
      <c r="R193" s="231"/>
      <c r="S193" s="231"/>
      <c r="T193" s="231"/>
      <c r="U193" s="231"/>
      <c r="V193" s="231"/>
      <c r="W193" s="231"/>
      <c r="X193" s="231"/>
      <c r="Y193" s="231"/>
      <c r="Z193" s="231"/>
      <c r="AA193" s="231"/>
      <c r="AB193" s="231"/>
      <c r="AC193" s="231"/>
      <c r="AD193" s="231"/>
      <c r="AE193" s="231"/>
      <c r="AF193" s="231"/>
      <c r="AG193" s="231"/>
      <c r="AH193" s="231"/>
      <c r="AI193" s="231"/>
      <c r="AJ193" s="231"/>
      <c r="AK193" s="231"/>
    </row>
    <row r="194" spans="1:37" s="203" customFormat="1" ht="23.25" customHeight="1">
      <c r="A194" s="165"/>
      <c r="B194" s="132"/>
      <c r="C194" s="132"/>
      <c r="D194" s="132"/>
      <c r="E194" s="859"/>
      <c r="F194" s="859"/>
      <c r="G194" s="130"/>
      <c r="H194" s="859"/>
      <c r="I194" s="130"/>
      <c r="J194" s="231"/>
      <c r="K194" s="231"/>
      <c r="L194" s="231"/>
      <c r="M194" s="231"/>
      <c r="N194" s="231"/>
      <c r="O194" s="231"/>
      <c r="P194" s="231"/>
      <c r="Q194" s="231"/>
      <c r="R194" s="231"/>
      <c r="S194" s="231"/>
      <c r="T194" s="231"/>
      <c r="U194" s="231"/>
      <c r="V194" s="231"/>
      <c r="W194" s="231"/>
      <c r="X194" s="231"/>
      <c r="Y194" s="231"/>
      <c r="Z194" s="231"/>
      <c r="AA194" s="231"/>
      <c r="AB194" s="231"/>
      <c r="AC194" s="231"/>
      <c r="AD194" s="231"/>
      <c r="AE194" s="231"/>
      <c r="AF194" s="231"/>
      <c r="AG194" s="231"/>
      <c r="AH194" s="231"/>
      <c r="AI194" s="231"/>
      <c r="AJ194" s="231"/>
      <c r="AK194" s="231"/>
    </row>
    <row r="195" spans="1:37" s="203" customFormat="1">
      <c r="A195" s="154" t="s">
        <v>161</v>
      </c>
      <c r="B195" s="116"/>
      <c r="C195" s="116"/>
      <c r="D195" s="116"/>
      <c r="E195" s="859"/>
      <c r="F195" s="859"/>
      <c r="G195" s="130"/>
      <c r="H195" s="859"/>
      <c r="I195" s="130"/>
      <c r="J195" s="231"/>
      <c r="K195" s="231"/>
      <c r="L195" s="231"/>
      <c r="M195" s="231"/>
      <c r="N195" s="231"/>
      <c r="O195" s="231"/>
      <c r="P195" s="231"/>
      <c r="Q195" s="231"/>
      <c r="R195" s="231"/>
      <c r="S195" s="231"/>
      <c r="T195" s="231"/>
      <c r="U195" s="231"/>
      <c r="V195" s="231"/>
      <c r="W195" s="231"/>
      <c r="X195" s="231"/>
      <c r="Y195" s="231"/>
      <c r="Z195" s="231"/>
      <c r="AA195" s="231"/>
      <c r="AB195" s="231"/>
      <c r="AC195" s="231"/>
      <c r="AD195" s="231"/>
      <c r="AE195" s="231"/>
      <c r="AF195" s="231"/>
      <c r="AG195" s="231"/>
      <c r="AH195" s="231"/>
      <c r="AI195" s="231"/>
      <c r="AJ195" s="231"/>
      <c r="AK195" s="231"/>
    </row>
    <row r="196" spans="1:37" s="203" customFormat="1">
      <c r="A196" s="109" t="s">
        <v>83</v>
      </c>
      <c r="B196" s="47"/>
      <c r="C196" s="47"/>
      <c r="D196" s="47"/>
      <c r="E196" s="859"/>
      <c r="F196" s="859"/>
      <c r="G196" s="130"/>
      <c r="H196" s="859"/>
      <c r="I196" s="130"/>
      <c r="J196" s="231"/>
      <c r="K196" s="231"/>
      <c r="L196" s="231"/>
      <c r="M196" s="231"/>
      <c r="N196" s="231"/>
      <c r="O196" s="231"/>
      <c r="P196" s="231"/>
      <c r="Q196" s="231"/>
      <c r="R196" s="231"/>
      <c r="S196" s="231"/>
      <c r="T196" s="231"/>
      <c r="U196" s="231"/>
      <c r="V196" s="231"/>
      <c r="W196" s="231"/>
      <c r="X196" s="231"/>
      <c r="Y196" s="231"/>
      <c r="Z196" s="231"/>
      <c r="AA196" s="231"/>
      <c r="AB196" s="231"/>
      <c r="AC196" s="231"/>
      <c r="AD196" s="231"/>
      <c r="AE196" s="231"/>
      <c r="AF196" s="231"/>
      <c r="AG196" s="231"/>
      <c r="AH196" s="231"/>
      <c r="AI196" s="231"/>
      <c r="AJ196" s="231"/>
      <c r="AK196" s="231"/>
    </row>
    <row r="197" spans="1:37" s="203" customFormat="1">
      <c r="A197" s="110" t="s">
        <v>84</v>
      </c>
      <c r="B197" s="132"/>
      <c r="C197" s="132"/>
      <c r="D197" s="132"/>
      <c r="E197" s="860"/>
      <c r="F197" s="860"/>
      <c r="G197" s="130"/>
      <c r="H197" s="860"/>
      <c r="I197" s="130"/>
      <c r="J197" s="231"/>
      <c r="K197" s="231"/>
      <c r="L197" s="231"/>
      <c r="M197" s="231"/>
      <c r="N197" s="231"/>
      <c r="O197" s="231"/>
      <c r="P197" s="231"/>
      <c r="Q197" s="231"/>
      <c r="R197" s="231"/>
      <c r="S197" s="231"/>
      <c r="T197" s="231"/>
      <c r="U197" s="231"/>
      <c r="V197" s="231"/>
      <c r="W197" s="231"/>
      <c r="X197" s="231"/>
      <c r="Y197" s="231"/>
      <c r="Z197" s="231"/>
      <c r="AA197" s="231"/>
      <c r="AB197" s="231"/>
      <c r="AC197" s="231"/>
      <c r="AD197" s="231"/>
      <c r="AE197" s="231"/>
      <c r="AF197" s="231"/>
      <c r="AG197" s="231"/>
      <c r="AH197" s="231"/>
      <c r="AI197" s="231"/>
      <c r="AJ197" s="231"/>
      <c r="AK197" s="231"/>
    </row>
    <row r="198" spans="1:37" s="203" customFormat="1">
      <c r="A198" s="153" t="s">
        <v>162</v>
      </c>
      <c r="B198" s="166"/>
      <c r="C198" s="166"/>
      <c r="D198" s="166"/>
      <c r="E198" s="167"/>
      <c r="F198" s="146"/>
      <c r="G198" s="118"/>
      <c r="H198" s="146"/>
      <c r="I198" s="29"/>
      <c r="J198" s="231"/>
      <c r="K198" s="231"/>
      <c r="L198" s="231"/>
      <c r="M198" s="231"/>
      <c r="N198" s="231"/>
      <c r="O198" s="231"/>
      <c r="P198" s="231"/>
      <c r="Q198" s="231"/>
      <c r="R198" s="231"/>
      <c r="S198" s="231"/>
      <c r="T198" s="231"/>
      <c r="U198" s="231"/>
      <c r="V198" s="231"/>
      <c r="W198" s="231"/>
      <c r="X198" s="231"/>
      <c r="Y198" s="231"/>
      <c r="Z198" s="231"/>
      <c r="AA198" s="231"/>
      <c r="AB198" s="231"/>
      <c r="AC198" s="231"/>
      <c r="AD198" s="231"/>
      <c r="AE198" s="231"/>
      <c r="AF198" s="231"/>
      <c r="AG198" s="231"/>
      <c r="AH198" s="231"/>
      <c r="AI198" s="231"/>
      <c r="AJ198" s="231"/>
      <c r="AK198" s="231"/>
    </row>
    <row r="199" spans="1:37" s="203" customFormat="1">
      <c r="A199" s="120">
        <v>1</v>
      </c>
      <c r="B199" s="47" t="s">
        <v>163</v>
      </c>
      <c r="C199" s="47"/>
      <c r="D199" s="47"/>
      <c r="E199" s="74">
        <v>0</v>
      </c>
      <c r="F199" s="52">
        <v>0</v>
      </c>
      <c r="G199" s="118"/>
      <c r="H199" s="122">
        <v>0</v>
      </c>
      <c r="I199" s="29"/>
      <c r="J199" s="231"/>
      <c r="K199" s="231"/>
      <c r="L199" s="231"/>
      <c r="M199" s="231"/>
      <c r="N199" s="231"/>
      <c r="O199" s="231"/>
      <c r="P199" s="231"/>
      <c r="Q199" s="231"/>
      <c r="R199" s="231"/>
      <c r="S199" s="231"/>
      <c r="T199" s="231"/>
      <c r="U199" s="231"/>
      <c r="V199" s="231"/>
      <c r="W199" s="231"/>
      <c r="X199" s="231"/>
      <c r="Y199" s="231"/>
      <c r="Z199" s="231"/>
      <c r="AA199" s="231"/>
      <c r="AB199" s="231"/>
      <c r="AC199" s="231"/>
      <c r="AD199" s="231"/>
      <c r="AE199" s="231"/>
      <c r="AF199" s="231"/>
      <c r="AG199" s="231"/>
      <c r="AH199" s="231"/>
      <c r="AI199" s="231"/>
      <c r="AJ199" s="231"/>
      <c r="AK199" s="231"/>
    </row>
    <row r="200" spans="1:37" s="203" customFormat="1">
      <c r="A200" s="120">
        <v>2</v>
      </c>
      <c r="B200" s="47" t="s">
        <v>164</v>
      </c>
      <c r="C200" s="47"/>
      <c r="D200" s="47"/>
      <c r="E200" s="56">
        <v>439</v>
      </c>
      <c r="F200" s="52">
        <v>413</v>
      </c>
      <c r="G200" s="118"/>
      <c r="H200" s="100">
        <v>442</v>
      </c>
      <c r="I200" s="29"/>
      <c r="J200" s="231"/>
      <c r="K200" s="231"/>
      <c r="L200" s="231"/>
      <c r="M200" s="231"/>
      <c r="N200" s="231"/>
      <c r="O200" s="231"/>
      <c r="P200" s="231"/>
      <c r="Q200" s="231"/>
      <c r="R200" s="231"/>
      <c r="S200" s="231"/>
      <c r="T200" s="231"/>
      <c r="U200" s="231"/>
      <c r="V200" s="231"/>
      <c r="W200" s="231"/>
      <c r="X200" s="231"/>
      <c r="Y200" s="231"/>
      <c r="Z200" s="231"/>
      <c r="AA200" s="231"/>
      <c r="AB200" s="231"/>
      <c r="AC200" s="231"/>
      <c r="AD200" s="231"/>
      <c r="AE200" s="231"/>
      <c r="AF200" s="231"/>
      <c r="AG200" s="231"/>
      <c r="AH200" s="231"/>
      <c r="AI200" s="231"/>
      <c r="AJ200" s="231"/>
      <c r="AK200" s="231"/>
    </row>
    <row r="201" spans="1:37" s="203" customFormat="1">
      <c r="A201" s="120">
        <v>3</v>
      </c>
      <c r="B201" s="116" t="s">
        <v>165</v>
      </c>
      <c r="C201" s="116"/>
      <c r="D201" s="116"/>
      <c r="E201" s="80">
        <v>439</v>
      </c>
      <c r="F201" s="142">
        <f>SUM(F199:F200)</f>
        <v>413</v>
      </c>
      <c r="G201" s="118"/>
      <c r="H201" s="142">
        <f>SUM(H199:H200)</f>
        <v>442</v>
      </c>
      <c r="I201" s="29"/>
      <c r="J201" s="231"/>
      <c r="K201" s="231"/>
      <c r="L201" s="231"/>
      <c r="M201" s="231"/>
      <c r="N201" s="231"/>
      <c r="O201" s="231"/>
      <c r="P201" s="231"/>
      <c r="Q201" s="231"/>
      <c r="R201" s="231"/>
      <c r="S201" s="231"/>
      <c r="T201" s="231"/>
      <c r="U201" s="231"/>
      <c r="V201" s="231"/>
      <c r="W201" s="231"/>
      <c r="X201" s="231"/>
      <c r="Y201" s="231"/>
      <c r="Z201" s="231"/>
      <c r="AA201" s="231"/>
      <c r="AB201" s="231"/>
      <c r="AC201" s="231"/>
      <c r="AD201" s="231"/>
      <c r="AE201" s="231"/>
      <c r="AF201" s="231"/>
      <c r="AG201" s="231"/>
      <c r="AH201" s="231"/>
      <c r="AI201" s="231"/>
      <c r="AJ201" s="231"/>
      <c r="AK201" s="231"/>
    </row>
    <row r="202" spans="1:37" s="203" customFormat="1">
      <c r="A202" s="46"/>
      <c r="B202" s="132"/>
      <c r="C202" s="132"/>
      <c r="D202" s="132"/>
      <c r="E202" s="156"/>
      <c r="F202" s="139"/>
      <c r="G202" s="139"/>
      <c r="H202" s="139"/>
      <c r="I202" s="29"/>
      <c r="J202" s="231"/>
      <c r="K202" s="231"/>
      <c r="L202" s="231"/>
      <c r="M202" s="231"/>
      <c r="N202" s="231"/>
      <c r="O202" s="231"/>
      <c r="P202" s="231"/>
      <c r="Q202" s="231"/>
      <c r="R202" s="231"/>
      <c r="S202" s="231"/>
      <c r="T202" s="231"/>
      <c r="U202" s="231"/>
      <c r="V202" s="231"/>
      <c r="W202" s="231"/>
      <c r="X202" s="231"/>
      <c r="Y202" s="231"/>
      <c r="Z202" s="231"/>
      <c r="AA202" s="231"/>
      <c r="AB202" s="231"/>
      <c r="AC202" s="231"/>
      <c r="AD202" s="231"/>
      <c r="AE202" s="231"/>
      <c r="AF202" s="231"/>
      <c r="AG202" s="231"/>
      <c r="AH202" s="231"/>
      <c r="AI202" s="231"/>
      <c r="AJ202" s="231"/>
      <c r="AK202" s="231"/>
    </row>
    <row r="203" spans="1:37" s="203" customFormat="1">
      <c r="A203" s="153" t="s">
        <v>166</v>
      </c>
      <c r="B203" s="116"/>
      <c r="C203" s="116"/>
      <c r="D203" s="116"/>
      <c r="E203" s="140"/>
      <c r="F203" s="146"/>
      <c r="G203" s="118"/>
      <c r="H203" s="146"/>
      <c r="I203" s="29"/>
      <c r="J203" s="231"/>
      <c r="K203" s="231"/>
      <c r="L203" s="231"/>
      <c r="M203" s="231"/>
      <c r="N203" s="231"/>
      <c r="O203" s="231"/>
      <c r="P203" s="231"/>
      <c r="Q203" s="231"/>
      <c r="R203" s="231"/>
      <c r="S203" s="231"/>
      <c r="T203" s="231"/>
      <c r="U203" s="231"/>
      <c r="V203" s="231"/>
      <c r="W203" s="231"/>
      <c r="X203" s="231"/>
      <c r="Y203" s="231"/>
      <c r="Z203" s="231"/>
      <c r="AA203" s="231"/>
      <c r="AB203" s="231"/>
      <c r="AC203" s="231"/>
      <c r="AD203" s="231"/>
      <c r="AE203" s="231"/>
      <c r="AF203" s="231"/>
      <c r="AG203" s="231"/>
      <c r="AH203" s="231"/>
      <c r="AI203" s="231"/>
      <c r="AJ203" s="231"/>
      <c r="AK203" s="231"/>
    </row>
    <row r="204" spans="1:37" s="203" customFormat="1">
      <c r="A204" s="120">
        <v>4</v>
      </c>
      <c r="B204" s="47" t="s">
        <v>167</v>
      </c>
      <c r="C204" s="47"/>
      <c r="D204" s="47"/>
      <c r="E204" s="74">
        <v>3663</v>
      </c>
      <c r="F204" s="52">
        <v>3837</v>
      </c>
      <c r="G204" s="118"/>
      <c r="H204" s="122">
        <v>3470</v>
      </c>
      <c r="I204" s="29"/>
      <c r="J204" s="231"/>
      <c r="K204" s="231"/>
      <c r="L204" s="231"/>
      <c r="M204" s="231"/>
      <c r="N204" s="231"/>
      <c r="O204" s="231"/>
      <c r="P204" s="231"/>
      <c r="Q204" s="231"/>
      <c r="R204" s="231"/>
      <c r="S204" s="231"/>
      <c r="T204" s="231"/>
      <c r="U204" s="231"/>
      <c r="V204" s="231"/>
      <c r="W204" s="231"/>
      <c r="X204" s="231"/>
      <c r="Y204" s="231"/>
      <c r="Z204" s="231"/>
      <c r="AA204" s="231"/>
      <c r="AB204" s="231"/>
      <c r="AC204" s="231"/>
      <c r="AD204" s="231"/>
      <c r="AE204" s="231"/>
      <c r="AF204" s="231"/>
      <c r="AG204" s="231"/>
      <c r="AH204" s="231"/>
      <c r="AI204" s="231"/>
      <c r="AJ204" s="231"/>
      <c r="AK204" s="231"/>
    </row>
    <row r="205" spans="1:37" s="203" customFormat="1">
      <c r="A205" s="120">
        <v>5</v>
      </c>
      <c r="B205" s="47" t="s">
        <v>168</v>
      </c>
      <c r="C205" s="47"/>
      <c r="D205" s="47"/>
      <c r="E205" s="49">
        <v>8061</v>
      </c>
      <c r="F205" s="52">
        <v>8531</v>
      </c>
      <c r="G205" s="118"/>
      <c r="H205" s="122">
        <v>7223</v>
      </c>
      <c r="I205" s="29"/>
      <c r="J205" s="231"/>
      <c r="K205" s="231"/>
      <c r="L205" s="231"/>
      <c r="M205" s="231"/>
      <c r="N205" s="231"/>
      <c r="O205" s="231"/>
      <c r="P205" s="231"/>
      <c r="Q205" s="231"/>
      <c r="R205" s="231"/>
      <c r="S205" s="231"/>
      <c r="T205" s="231"/>
      <c r="U205" s="231"/>
      <c r="V205" s="231"/>
      <c r="W205" s="231"/>
      <c r="X205" s="231"/>
      <c r="Y205" s="231"/>
      <c r="Z205" s="231"/>
      <c r="AA205" s="231"/>
      <c r="AB205" s="231"/>
      <c r="AC205" s="231"/>
      <c r="AD205" s="231"/>
      <c r="AE205" s="231"/>
      <c r="AF205" s="231"/>
      <c r="AG205" s="231"/>
      <c r="AH205" s="231"/>
      <c r="AI205" s="231"/>
      <c r="AJ205" s="231"/>
      <c r="AK205" s="231"/>
    </row>
    <row r="206" spans="1:37" s="203" customFormat="1">
      <c r="A206" s="120">
        <v>6</v>
      </c>
      <c r="B206" s="47" t="s">
        <v>169</v>
      </c>
      <c r="C206" s="47"/>
      <c r="D206" s="47"/>
      <c r="E206" s="49">
        <v>1961</v>
      </c>
      <c r="F206" s="52">
        <v>2553</v>
      </c>
      <c r="G206" s="118"/>
      <c r="H206" s="100">
        <v>2251</v>
      </c>
      <c r="I206" s="29"/>
      <c r="J206" s="231"/>
      <c r="K206" s="231"/>
      <c r="L206" s="231"/>
      <c r="M206" s="231"/>
      <c r="N206" s="231"/>
      <c r="O206" s="231"/>
      <c r="P206" s="231"/>
      <c r="Q206" s="231"/>
      <c r="R206" s="231"/>
      <c r="S206" s="231"/>
      <c r="T206" s="231"/>
      <c r="U206" s="231"/>
      <c r="V206" s="231"/>
      <c r="W206" s="231"/>
      <c r="X206" s="231"/>
      <c r="Y206" s="231"/>
      <c r="Z206" s="231"/>
      <c r="AA206" s="231"/>
      <c r="AB206" s="231"/>
      <c r="AC206" s="231"/>
      <c r="AD206" s="231"/>
      <c r="AE206" s="231"/>
      <c r="AF206" s="231"/>
      <c r="AG206" s="231"/>
      <c r="AH206" s="231"/>
      <c r="AI206" s="231"/>
      <c r="AJ206" s="231"/>
      <c r="AK206" s="231"/>
    </row>
    <row r="207" spans="1:37" s="203" customFormat="1">
      <c r="A207" s="120">
        <v>7</v>
      </c>
      <c r="B207" s="116" t="s">
        <v>170</v>
      </c>
      <c r="C207" s="116"/>
      <c r="D207" s="116"/>
      <c r="E207" s="80">
        <v>13685</v>
      </c>
      <c r="F207" s="142">
        <f>SUM(F204:F206)</f>
        <v>14921</v>
      </c>
      <c r="G207" s="118"/>
      <c r="H207" s="142">
        <f>SUM(H204:H206)</f>
        <v>12944</v>
      </c>
      <c r="I207" s="29"/>
      <c r="J207" s="231"/>
      <c r="K207" s="231"/>
      <c r="L207" s="231"/>
      <c r="M207" s="231"/>
      <c r="N207" s="231"/>
      <c r="O207" s="231"/>
      <c r="P207" s="231"/>
      <c r="Q207" s="231"/>
      <c r="R207" s="231"/>
      <c r="S207" s="231"/>
      <c r="T207" s="231"/>
      <c r="U207" s="231"/>
      <c r="V207" s="231"/>
      <c r="W207" s="231"/>
      <c r="X207" s="231"/>
      <c r="Y207" s="231"/>
      <c r="Z207" s="231"/>
      <c r="AA207" s="231"/>
      <c r="AB207" s="231"/>
      <c r="AC207" s="231"/>
      <c r="AD207" s="231"/>
      <c r="AE207" s="231"/>
      <c r="AF207" s="231"/>
      <c r="AG207" s="231"/>
      <c r="AH207" s="231"/>
      <c r="AI207" s="231"/>
      <c r="AJ207" s="231"/>
      <c r="AK207" s="231"/>
    </row>
    <row r="208" spans="1:37" s="203" customFormat="1">
      <c r="A208" s="46"/>
      <c r="B208" s="132"/>
      <c r="C208" s="132"/>
      <c r="D208" s="132"/>
      <c r="E208" s="156"/>
      <c r="F208" s="139"/>
      <c r="G208" s="139"/>
      <c r="H208" s="139"/>
      <c r="I208" s="29"/>
      <c r="J208" s="231"/>
      <c r="K208" s="231"/>
      <c r="L208" s="231"/>
      <c r="M208" s="231"/>
      <c r="N208" s="231"/>
      <c r="O208" s="231"/>
      <c r="P208" s="231"/>
      <c r="Q208" s="231"/>
      <c r="R208" s="231"/>
      <c r="S208" s="231"/>
      <c r="T208" s="231"/>
      <c r="U208" s="231"/>
      <c r="V208" s="231"/>
      <c r="W208" s="231"/>
      <c r="X208" s="231"/>
      <c r="Y208" s="231"/>
      <c r="Z208" s="231"/>
      <c r="AA208" s="231"/>
      <c r="AB208" s="231"/>
      <c r="AC208" s="231"/>
      <c r="AD208" s="231"/>
      <c r="AE208" s="231"/>
      <c r="AF208" s="231"/>
      <c r="AG208" s="231"/>
      <c r="AH208" s="231"/>
      <c r="AI208" s="231"/>
      <c r="AJ208" s="231"/>
      <c r="AK208" s="231"/>
    </row>
    <row r="209" spans="1:37" s="203" customFormat="1">
      <c r="A209" s="153" t="s">
        <v>121</v>
      </c>
      <c r="B209" s="168"/>
      <c r="C209" s="168"/>
      <c r="D209" s="168"/>
      <c r="E209" s="140"/>
      <c r="F209" s="146"/>
      <c r="G209" s="118"/>
      <c r="H209" s="146"/>
      <c r="I209" s="29"/>
      <c r="J209" s="231"/>
      <c r="K209" s="231"/>
      <c r="L209" s="231"/>
      <c r="M209" s="231"/>
      <c r="N209" s="231"/>
      <c r="O209" s="231"/>
      <c r="P209" s="231"/>
      <c r="Q209" s="231"/>
      <c r="R209" s="231"/>
      <c r="S209" s="231"/>
      <c r="T209" s="231"/>
      <c r="U209" s="231"/>
      <c r="V209" s="231"/>
      <c r="W209" s="231"/>
      <c r="X209" s="231"/>
      <c r="Y209" s="231"/>
      <c r="Z209" s="231"/>
      <c r="AA209" s="231"/>
      <c r="AB209" s="231"/>
      <c r="AC209" s="231"/>
      <c r="AD209" s="231"/>
      <c r="AE209" s="231"/>
      <c r="AF209" s="231"/>
      <c r="AG209" s="231"/>
      <c r="AH209" s="231"/>
      <c r="AI209" s="231"/>
      <c r="AJ209" s="231"/>
      <c r="AK209" s="231"/>
    </row>
    <row r="210" spans="1:37" s="203" customFormat="1">
      <c r="A210" s="120">
        <v>8</v>
      </c>
      <c r="B210" s="47" t="s">
        <v>171</v>
      </c>
      <c r="C210" s="47"/>
      <c r="D210" s="47"/>
      <c r="E210" s="74">
        <v>358</v>
      </c>
      <c r="F210" s="52">
        <v>549</v>
      </c>
      <c r="G210" s="118"/>
      <c r="H210" s="122">
        <v>499</v>
      </c>
      <c r="I210" s="29"/>
      <c r="J210" s="231"/>
      <c r="K210" s="231"/>
      <c r="L210" s="231"/>
      <c r="M210" s="231"/>
      <c r="N210" s="231"/>
      <c r="O210" s="231"/>
      <c r="P210" s="231"/>
      <c r="Q210" s="231"/>
      <c r="R210" s="231"/>
      <c r="S210" s="231"/>
      <c r="T210" s="231"/>
      <c r="U210" s="231"/>
      <c r="V210" s="231"/>
      <c r="W210" s="231"/>
      <c r="X210" s="231"/>
      <c r="Y210" s="231"/>
      <c r="Z210" s="231"/>
      <c r="AA210" s="231"/>
      <c r="AB210" s="231"/>
      <c r="AC210" s="231"/>
      <c r="AD210" s="231"/>
      <c r="AE210" s="231"/>
      <c r="AF210" s="231"/>
      <c r="AG210" s="231"/>
      <c r="AH210" s="231"/>
      <c r="AI210" s="231"/>
      <c r="AJ210" s="231"/>
      <c r="AK210" s="231"/>
    </row>
    <row r="211" spans="1:37" s="203" customFormat="1">
      <c r="A211" s="120">
        <v>9</v>
      </c>
      <c r="B211" s="47" t="s">
        <v>172</v>
      </c>
      <c r="C211" s="47"/>
      <c r="D211" s="47"/>
      <c r="E211" s="49">
        <v>37</v>
      </c>
      <c r="F211" s="52">
        <v>49</v>
      </c>
      <c r="G211" s="118"/>
      <c r="H211" s="122">
        <v>36</v>
      </c>
      <c r="I211" s="29"/>
      <c r="J211" s="231"/>
      <c r="K211" s="231"/>
      <c r="L211" s="231"/>
      <c r="M211" s="231"/>
      <c r="N211" s="231"/>
      <c r="O211" s="231"/>
      <c r="P211" s="231"/>
      <c r="Q211" s="231"/>
      <c r="R211" s="231"/>
      <c r="S211" s="231"/>
      <c r="T211" s="231"/>
      <c r="U211" s="231"/>
      <c r="V211" s="231"/>
      <c r="W211" s="231"/>
      <c r="X211" s="231"/>
      <c r="Y211" s="231"/>
      <c r="Z211" s="231"/>
      <c r="AA211" s="231"/>
      <c r="AB211" s="231"/>
      <c r="AC211" s="231"/>
      <c r="AD211" s="231"/>
      <c r="AE211" s="231"/>
      <c r="AF211" s="231"/>
      <c r="AG211" s="231"/>
      <c r="AH211" s="231"/>
      <c r="AI211" s="231"/>
      <c r="AJ211" s="231"/>
      <c r="AK211" s="231"/>
    </row>
    <row r="212" spans="1:37" s="203" customFormat="1">
      <c r="A212" s="120">
        <v>10</v>
      </c>
      <c r="B212" s="47" t="s">
        <v>173</v>
      </c>
      <c r="C212" s="47"/>
      <c r="D212" s="47"/>
      <c r="E212" s="49">
        <v>565</v>
      </c>
      <c r="F212" s="52">
        <v>514</v>
      </c>
      <c r="G212" s="118"/>
      <c r="H212" s="122">
        <v>516</v>
      </c>
      <c r="I212" s="29"/>
      <c r="J212" s="231"/>
      <c r="K212" s="231"/>
      <c r="L212" s="231"/>
      <c r="M212" s="231"/>
      <c r="N212" s="231"/>
      <c r="O212" s="231"/>
      <c r="P212" s="231"/>
      <c r="Q212" s="231"/>
      <c r="R212" s="231"/>
      <c r="S212" s="231"/>
      <c r="T212" s="231"/>
      <c r="U212" s="231"/>
      <c r="V212" s="231"/>
      <c r="W212" s="231"/>
      <c r="X212" s="231"/>
      <c r="Y212" s="231"/>
      <c r="Z212" s="231"/>
      <c r="AA212" s="231"/>
      <c r="AB212" s="231"/>
      <c r="AC212" s="231"/>
      <c r="AD212" s="231"/>
      <c r="AE212" s="231"/>
      <c r="AF212" s="231"/>
      <c r="AG212" s="231"/>
      <c r="AH212" s="231"/>
      <c r="AI212" s="231"/>
      <c r="AJ212" s="231"/>
      <c r="AK212" s="231"/>
    </row>
    <row r="213" spans="1:37" s="203" customFormat="1">
      <c r="A213" s="120">
        <v>11</v>
      </c>
      <c r="B213" s="47" t="s">
        <v>174</v>
      </c>
      <c r="C213" s="47"/>
      <c r="D213" s="47"/>
      <c r="E213" s="49">
        <v>1438</v>
      </c>
      <c r="F213" s="52">
        <v>1359</v>
      </c>
      <c r="G213" s="118"/>
      <c r="H213" s="99">
        <v>1318</v>
      </c>
      <c r="I213" s="29"/>
      <c r="J213" s="231"/>
      <c r="K213" s="231"/>
      <c r="L213" s="231"/>
      <c r="M213" s="231"/>
      <c r="N213" s="231"/>
      <c r="O213" s="231"/>
      <c r="P213" s="231"/>
      <c r="Q213" s="231"/>
      <c r="R213" s="231"/>
      <c r="S213" s="231"/>
      <c r="T213" s="231"/>
      <c r="U213" s="231"/>
      <c r="V213" s="231"/>
      <c r="W213" s="231"/>
      <c r="X213" s="231"/>
      <c r="Y213" s="231"/>
      <c r="Z213" s="231"/>
      <c r="AA213" s="231"/>
      <c r="AB213" s="231"/>
      <c r="AC213" s="231"/>
      <c r="AD213" s="231"/>
      <c r="AE213" s="231"/>
      <c r="AF213" s="231"/>
      <c r="AG213" s="231"/>
      <c r="AH213" s="231"/>
      <c r="AI213" s="231"/>
      <c r="AJ213" s="231"/>
      <c r="AK213" s="231"/>
    </row>
    <row r="214" spans="1:37" s="203" customFormat="1">
      <c r="A214" s="120">
        <v>12</v>
      </c>
      <c r="B214" s="116" t="s">
        <v>175</v>
      </c>
      <c r="C214" s="116"/>
      <c r="D214" s="116"/>
      <c r="E214" s="159">
        <v>16522</v>
      </c>
      <c r="F214" s="61">
        <f>F201+F207+SUM(F210:F213)</f>
        <v>17805</v>
      </c>
      <c r="G214" s="118"/>
      <c r="H214" s="61">
        <f>H201+H207+SUM(H210:H213)</f>
        <v>15755</v>
      </c>
      <c r="I214" s="29"/>
      <c r="J214" s="231"/>
      <c r="K214" s="231"/>
      <c r="L214" s="231"/>
      <c r="M214" s="231"/>
      <c r="N214" s="231"/>
      <c r="O214" s="231"/>
      <c r="P214" s="231"/>
      <c r="Q214" s="231"/>
      <c r="R214" s="231"/>
      <c r="S214" s="231"/>
      <c r="T214" s="231"/>
      <c r="U214" s="231"/>
      <c r="V214" s="231"/>
      <c r="W214" s="231"/>
      <c r="X214" s="231"/>
      <c r="Y214" s="231"/>
      <c r="Z214" s="231"/>
      <c r="AA214" s="231"/>
      <c r="AB214" s="231"/>
      <c r="AC214" s="231"/>
      <c r="AD214" s="231"/>
      <c r="AE214" s="231"/>
      <c r="AF214" s="231"/>
      <c r="AG214" s="231"/>
      <c r="AH214" s="231"/>
      <c r="AI214" s="231"/>
      <c r="AJ214" s="231"/>
      <c r="AK214" s="231"/>
    </row>
    <row r="215" spans="1:37" s="203" customFormat="1">
      <c r="A215" s="111"/>
      <c r="B215" s="47"/>
      <c r="C215" s="47"/>
      <c r="D215" s="47"/>
      <c r="E215" s="117"/>
      <c r="F215" s="118"/>
      <c r="G215" s="118"/>
      <c r="H215" s="118"/>
      <c r="I215" s="29"/>
      <c r="J215" s="231"/>
      <c r="K215" s="231"/>
      <c r="L215" s="231"/>
      <c r="M215" s="231"/>
      <c r="N215" s="231"/>
      <c r="O215" s="231"/>
      <c r="P215" s="231"/>
      <c r="Q215" s="231"/>
      <c r="R215" s="231"/>
      <c r="S215" s="231"/>
      <c r="T215" s="231"/>
      <c r="U215" s="231"/>
      <c r="V215" s="231"/>
      <c r="W215" s="231"/>
      <c r="X215" s="231"/>
      <c r="Y215" s="231"/>
      <c r="Z215" s="231"/>
      <c r="AA215" s="231"/>
      <c r="AB215" s="231"/>
      <c r="AC215" s="231"/>
      <c r="AD215" s="231"/>
      <c r="AE215" s="231"/>
      <c r="AF215" s="231"/>
      <c r="AG215" s="231"/>
      <c r="AH215" s="231"/>
      <c r="AI215" s="231"/>
      <c r="AJ215" s="231"/>
      <c r="AK215" s="231"/>
    </row>
    <row r="216" spans="1:37" s="203" customFormat="1">
      <c r="A216" s="119" t="s">
        <v>176</v>
      </c>
      <c r="B216" s="116"/>
      <c r="C216" s="116"/>
      <c r="D216" s="116"/>
      <c r="E216" s="117"/>
      <c r="F216" s="160"/>
      <c r="G216" s="118"/>
      <c r="H216" s="160"/>
      <c r="I216" s="29"/>
      <c r="J216" s="231"/>
      <c r="K216" s="231"/>
      <c r="L216" s="231"/>
      <c r="M216" s="231"/>
      <c r="N216" s="231"/>
      <c r="O216" s="231"/>
      <c r="P216" s="231"/>
      <c r="Q216" s="231"/>
      <c r="R216" s="231"/>
      <c r="S216" s="231"/>
      <c r="T216" s="231"/>
      <c r="U216" s="231"/>
      <c r="V216" s="231"/>
      <c r="W216" s="231"/>
      <c r="X216" s="231"/>
      <c r="Y216" s="231"/>
      <c r="Z216" s="231"/>
      <c r="AA216" s="231"/>
      <c r="AB216" s="231"/>
      <c r="AC216" s="231"/>
      <c r="AD216" s="231"/>
      <c r="AE216" s="231"/>
      <c r="AF216" s="231"/>
      <c r="AG216" s="231"/>
      <c r="AH216" s="231"/>
      <c r="AI216" s="231"/>
      <c r="AJ216" s="231"/>
      <c r="AK216" s="231"/>
    </row>
    <row r="217" spans="1:37" s="203" customFormat="1">
      <c r="A217" s="120">
        <v>13</v>
      </c>
      <c r="B217" s="47" t="s">
        <v>177</v>
      </c>
      <c r="C217" s="47"/>
      <c r="D217" s="47"/>
      <c r="E217" s="41">
        <v>260</v>
      </c>
      <c r="F217" s="121">
        <v>188</v>
      </c>
      <c r="G217" s="118"/>
      <c r="H217" s="169">
        <v>208</v>
      </c>
      <c r="I217" s="29"/>
      <c r="J217" s="231"/>
      <c r="K217" s="231"/>
      <c r="L217" s="231"/>
      <c r="M217" s="231"/>
      <c r="N217" s="231"/>
      <c r="O217" s="231"/>
      <c r="P217" s="231"/>
      <c r="Q217" s="231"/>
      <c r="R217" s="231"/>
      <c r="S217" s="231"/>
      <c r="T217" s="231"/>
      <c r="U217" s="231"/>
      <c r="V217" s="231"/>
      <c r="W217" s="231"/>
      <c r="X217" s="231"/>
      <c r="Y217" s="231"/>
      <c r="Z217" s="231"/>
      <c r="AA217" s="231"/>
      <c r="AB217" s="231"/>
      <c r="AC217" s="231"/>
      <c r="AD217" s="231"/>
      <c r="AE217" s="231"/>
      <c r="AF217" s="231"/>
      <c r="AG217" s="231"/>
      <c r="AH217" s="231"/>
      <c r="AI217" s="231"/>
      <c r="AJ217" s="231"/>
      <c r="AK217" s="231"/>
    </row>
    <row r="218" spans="1:37" s="203" customFormat="1">
      <c r="A218" s="124">
        <v>14</v>
      </c>
      <c r="B218" s="54" t="s">
        <v>178</v>
      </c>
      <c r="C218" s="54"/>
      <c r="D218" s="54"/>
      <c r="E218" s="56">
        <v>1827</v>
      </c>
      <c r="F218" s="126">
        <v>2378</v>
      </c>
      <c r="G218" s="118"/>
      <c r="H218" s="100">
        <v>2117</v>
      </c>
      <c r="I218" s="29"/>
      <c r="J218" s="231"/>
      <c r="K218" s="231"/>
      <c r="L218" s="231"/>
      <c r="M218" s="231"/>
      <c r="N218" s="231"/>
      <c r="O218" s="231"/>
      <c r="P218" s="231"/>
      <c r="Q218" s="231"/>
      <c r="R218" s="231"/>
      <c r="S218" s="231"/>
      <c r="T218" s="231"/>
      <c r="U218" s="231"/>
      <c r="V218" s="231"/>
      <c r="W218" s="231"/>
      <c r="X218" s="231"/>
      <c r="Y218" s="231"/>
      <c r="Z218" s="231"/>
      <c r="AA218" s="231"/>
      <c r="AB218" s="231"/>
      <c r="AC218" s="231"/>
      <c r="AD218" s="231"/>
      <c r="AE218" s="231"/>
      <c r="AF218" s="231"/>
      <c r="AG218" s="231"/>
      <c r="AH218" s="231"/>
      <c r="AI218" s="231"/>
      <c r="AJ218" s="231"/>
      <c r="AK218" s="231"/>
    </row>
    <row r="219" spans="1:37" s="203" customFormat="1">
      <c r="A219" s="148"/>
      <c r="B219" s="29"/>
      <c r="C219" s="29"/>
      <c r="D219" s="170"/>
      <c r="E219" s="171"/>
      <c r="F219" s="29"/>
      <c r="G219" s="29"/>
      <c r="H219" s="207"/>
      <c r="I219" s="29"/>
      <c r="J219" s="231"/>
      <c r="K219" s="231"/>
      <c r="L219" s="231"/>
      <c r="M219" s="231"/>
      <c r="N219" s="231"/>
      <c r="O219" s="231"/>
      <c r="P219" s="231"/>
      <c r="Q219" s="231"/>
      <c r="R219" s="231"/>
      <c r="S219" s="231"/>
      <c r="T219" s="231"/>
      <c r="U219" s="231"/>
      <c r="V219" s="231"/>
      <c r="W219" s="231"/>
      <c r="X219" s="231"/>
      <c r="Y219" s="231"/>
      <c r="Z219" s="231"/>
      <c r="AA219" s="231"/>
      <c r="AB219" s="231"/>
      <c r="AC219" s="231"/>
      <c r="AD219" s="231"/>
      <c r="AE219" s="231"/>
      <c r="AF219" s="231"/>
      <c r="AG219" s="231"/>
      <c r="AH219" s="231"/>
      <c r="AI219" s="231"/>
      <c r="AJ219" s="231"/>
      <c r="AK219" s="231"/>
    </row>
    <row r="220" spans="1:37" s="203" customFormat="1">
      <c r="A220" s="148"/>
      <c r="B220" s="29"/>
      <c r="C220" s="29"/>
      <c r="D220" s="172"/>
      <c r="E220" s="152"/>
      <c r="F220" s="29"/>
      <c r="G220" s="29"/>
      <c r="H220" s="131" t="s">
        <v>27</v>
      </c>
      <c r="I220" s="29"/>
      <c r="J220" s="231"/>
      <c r="K220" s="231"/>
      <c r="L220" s="231"/>
      <c r="M220" s="231"/>
      <c r="N220" s="231"/>
      <c r="O220" s="231"/>
      <c r="P220" s="231"/>
      <c r="Q220" s="231"/>
      <c r="R220" s="231"/>
      <c r="S220" s="231"/>
      <c r="T220" s="231"/>
      <c r="U220" s="231"/>
      <c r="V220" s="231"/>
      <c r="W220" s="231"/>
      <c r="X220" s="231"/>
      <c r="Y220" s="231"/>
      <c r="Z220" s="231"/>
      <c r="AA220" s="231"/>
      <c r="AB220" s="231"/>
      <c r="AC220" s="231"/>
      <c r="AD220" s="231"/>
      <c r="AE220" s="231"/>
      <c r="AF220" s="231"/>
      <c r="AG220" s="231"/>
      <c r="AH220" s="231"/>
      <c r="AI220" s="231"/>
      <c r="AJ220" s="231"/>
      <c r="AK220" s="231"/>
    </row>
    <row r="221" spans="1:37" s="203" customFormat="1" ht="12.75" customHeight="1">
      <c r="A221" s="106" t="s">
        <v>10</v>
      </c>
      <c r="B221" s="164"/>
      <c r="C221" s="164"/>
      <c r="D221" s="164"/>
      <c r="E221" s="856" t="s">
        <v>377</v>
      </c>
      <c r="F221" s="856" t="s">
        <v>402</v>
      </c>
      <c r="G221" s="130"/>
      <c r="H221" s="856" t="s">
        <v>403</v>
      </c>
      <c r="I221" s="130"/>
      <c r="J221" s="231"/>
      <c r="K221" s="231"/>
      <c r="L221" s="231"/>
      <c r="M221" s="231"/>
      <c r="N221" s="231"/>
      <c r="O221" s="231"/>
      <c r="P221" s="231"/>
      <c r="Q221" s="231"/>
      <c r="R221" s="231"/>
      <c r="S221" s="231"/>
      <c r="T221" s="231"/>
      <c r="U221" s="231"/>
      <c r="V221" s="231"/>
      <c r="W221" s="231"/>
      <c r="X221" s="231"/>
      <c r="Y221" s="231"/>
      <c r="Z221" s="231"/>
      <c r="AA221" s="231"/>
      <c r="AB221" s="231"/>
      <c r="AC221" s="231"/>
      <c r="AD221" s="231"/>
      <c r="AE221" s="231"/>
      <c r="AF221" s="231"/>
      <c r="AG221" s="231"/>
      <c r="AH221" s="231"/>
      <c r="AI221" s="231"/>
      <c r="AJ221" s="231"/>
      <c r="AK221" s="231"/>
    </row>
    <row r="222" spans="1:37" s="203" customFormat="1">
      <c r="A222" s="109"/>
      <c r="B222" s="132"/>
      <c r="C222" s="132"/>
      <c r="D222" s="132"/>
      <c r="E222" s="859"/>
      <c r="F222" s="859"/>
      <c r="G222" s="130"/>
      <c r="H222" s="859"/>
      <c r="I222" s="130"/>
      <c r="J222" s="231"/>
      <c r="K222" s="231"/>
      <c r="L222" s="231"/>
      <c r="M222" s="231"/>
      <c r="N222" s="231"/>
      <c r="O222" s="231"/>
      <c r="P222" s="231"/>
      <c r="Q222" s="231"/>
      <c r="R222" s="231"/>
      <c r="S222" s="231"/>
      <c r="T222" s="231"/>
      <c r="U222" s="231"/>
      <c r="V222" s="231"/>
      <c r="W222" s="231"/>
      <c r="X222" s="231"/>
      <c r="Y222" s="231"/>
      <c r="Z222" s="231"/>
      <c r="AA222" s="231"/>
      <c r="AB222" s="231"/>
      <c r="AC222" s="231"/>
      <c r="AD222" s="231"/>
      <c r="AE222" s="231"/>
      <c r="AF222" s="231"/>
      <c r="AG222" s="231"/>
      <c r="AH222" s="231"/>
      <c r="AI222" s="231"/>
      <c r="AJ222" s="231"/>
      <c r="AK222" s="231"/>
    </row>
    <row r="223" spans="1:37" s="203" customFormat="1">
      <c r="A223" s="154" t="s">
        <v>179</v>
      </c>
      <c r="B223" s="116"/>
      <c r="C223" s="116"/>
      <c r="D223" s="116"/>
      <c r="E223" s="859"/>
      <c r="F223" s="859"/>
      <c r="G223" s="130"/>
      <c r="H223" s="859"/>
      <c r="I223" s="130"/>
      <c r="J223" s="231"/>
      <c r="K223" s="231"/>
      <c r="L223" s="231"/>
      <c r="M223" s="231"/>
      <c r="N223" s="231"/>
      <c r="O223" s="231"/>
      <c r="P223" s="231"/>
      <c r="Q223" s="231"/>
      <c r="R223" s="231"/>
      <c r="S223" s="231"/>
      <c r="T223" s="231"/>
      <c r="U223" s="231"/>
      <c r="V223" s="231"/>
      <c r="W223" s="231"/>
      <c r="X223" s="231"/>
      <c r="Y223" s="231"/>
      <c r="Z223" s="231"/>
      <c r="AA223" s="231"/>
      <c r="AB223" s="231"/>
      <c r="AC223" s="231"/>
      <c r="AD223" s="231"/>
      <c r="AE223" s="231"/>
      <c r="AF223" s="231"/>
      <c r="AG223" s="231"/>
      <c r="AH223" s="231"/>
      <c r="AI223" s="231"/>
      <c r="AJ223" s="231"/>
      <c r="AK223" s="231"/>
    </row>
    <row r="224" spans="1:37" s="203" customFormat="1">
      <c r="A224" s="109" t="s">
        <v>83</v>
      </c>
      <c r="B224" s="47"/>
      <c r="C224" s="47"/>
      <c r="D224" s="47"/>
      <c r="E224" s="859"/>
      <c r="F224" s="859"/>
      <c r="G224" s="130"/>
      <c r="H224" s="859"/>
      <c r="I224" s="130"/>
      <c r="J224" s="231"/>
      <c r="K224" s="231"/>
      <c r="L224" s="231"/>
      <c r="M224" s="231"/>
      <c r="N224" s="231"/>
      <c r="O224" s="231"/>
      <c r="P224" s="231"/>
      <c r="Q224" s="231"/>
      <c r="R224" s="231"/>
      <c r="S224" s="231"/>
      <c r="T224" s="231"/>
      <c r="U224" s="231"/>
      <c r="V224" s="231"/>
      <c r="W224" s="231"/>
      <c r="X224" s="231"/>
      <c r="Y224" s="231"/>
      <c r="Z224" s="231"/>
      <c r="AA224" s="231"/>
      <c r="AB224" s="231"/>
      <c r="AC224" s="231"/>
      <c r="AD224" s="231"/>
      <c r="AE224" s="231"/>
      <c r="AF224" s="231"/>
      <c r="AG224" s="231"/>
      <c r="AH224" s="231"/>
      <c r="AI224" s="231"/>
      <c r="AJ224" s="231"/>
      <c r="AK224" s="231"/>
    </row>
    <row r="225" spans="1:37" s="203" customFormat="1">
      <c r="A225" s="110" t="s">
        <v>84</v>
      </c>
      <c r="B225" s="132"/>
      <c r="C225" s="132"/>
      <c r="D225" s="132"/>
      <c r="E225" s="860"/>
      <c r="F225" s="860"/>
      <c r="G225" s="130"/>
      <c r="H225" s="860"/>
      <c r="I225" s="130"/>
      <c r="J225" s="231"/>
      <c r="K225" s="231"/>
      <c r="L225" s="231"/>
      <c r="M225" s="231"/>
      <c r="N225" s="231"/>
      <c r="O225" s="231"/>
      <c r="P225" s="231"/>
      <c r="Q225" s="231"/>
      <c r="R225" s="231"/>
      <c r="S225" s="231"/>
      <c r="T225" s="231"/>
      <c r="U225" s="231"/>
      <c r="V225" s="231"/>
      <c r="W225" s="231"/>
      <c r="X225" s="231"/>
      <c r="Y225" s="231"/>
      <c r="Z225" s="231"/>
      <c r="AA225" s="231"/>
      <c r="AB225" s="231"/>
      <c r="AC225" s="231"/>
      <c r="AD225" s="231"/>
      <c r="AE225" s="231"/>
      <c r="AF225" s="231"/>
      <c r="AG225" s="231"/>
      <c r="AH225" s="231"/>
      <c r="AI225" s="231"/>
      <c r="AJ225" s="231"/>
      <c r="AK225" s="231"/>
    </row>
    <row r="226" spans="1:37" s="203" customFormat="1">
      <c r="A226" s="120">
        <v>1</v>
      </c>
      <c r="B226" s="47" t="s">
        <v>180</v>
      </c>
      <c r="C226" s="47"/>
      <c r="D226" s="47"/>
      <c r="E226" s="41">
        <v>155</v>
      </c>
      <c r="F226" s="52">
        <v>129</v>
      </c>
      <c r="G226" s="118"/>
      <c r="H226" s="133">
        <v>165</v>
      </c>
      <c r="I226" s="29"/>
      <c r="J226" s="231"/>
      <c r="K226" s="231"/>
      <c r="L226" s="231"/>
      <c r="M226" s="231"/>
      <c r="N226" s="231"/>
      <c r="O226" s="231"/>
      <c r="P226" s="231"/>
      <c r="Q226" s="231"/>
      <c r="R226" s="231"/>
      <c r="S226" s="231"/>
      <c r="T226" s="231"/>
      <c r="U226" s="231"/>
      <c r="V226" s="231"/>
      <c r="W226" s="231"/>
      <c r="X226" s="231"/>
      <c r="Y226" s="231"/>
      <c r="Z226" s="231"/>
      <c r="AA226" s="231"/>
      <c r="AB226" s="231"/>
      <c r="AC226" s="231"/>
      <c r="AD226" s="231"/>
      <c r="AE226" s="231"/>
      <c r="AF226" s="231"/>
      <c r="AG226" s="231"/>
      <c r="AH226" s="231"/>
      <c r="AI226" s="231"/>
      <c r="AJ226" s="231"/>
      <c r="AK226" s="231"/>
    </row>
    <row r="227" spans="1:37" s="203" customFormat="1">
      <c r="A227" s="120">
        <v>2</v>
      </c>
      <c r="B227" s="47" t="s">
        <v>181</v>
      </c>
      <c r="C227" s="47"/>
      <c r="D227" s="47"/>
      <c r="E227" s="49">
        <v>151</v>
      </c>
      <c r="F227" s="52">
        <v>102</v>
      </c>
      <c r="G227" s="118"/>
      <c r="H227" s="122">
        <v>205</v>
      </c>
      <c r="I227" s="29"/>
      <c r="J227" s="231"/>
      <c r="K227" s="231"/>
      <c r="L227" s="231"/>
      <c r="M227" s="231"/>
      <c r="N227" s="231"/>
      <c r="O227" s="231"/>
      <c r="P227" s="231"/>
      <c r="Q227" s="231"/>
      <c r="R227" s="231"/>
      <c r="S227" s="231"/>
      <c r="T227" s="231"/>
      <c r="U227" s="231"/>
      <c r="V227" s="231"/>
      <c r="W227" s="231"/>
      <c r="X227" s="231"/>
      <c r="Y227" s="231"/>
      <c r="Z227" s="231"/>
      <c r="AA227" s="231"/>
      <c r="AB227" s="231"/>
      <c r="AC227" s="231"/>
      <c r="AD227" s="231"/>
      <c r="AE227" s="231"/>
      <c r="AF227" s="231"/>
      <c r="AG227" s="231"/>
      <c r="AH227" s="231"/>
      <c r="AI227" s="231"/>
      <c r="AJ227" s="231"/>
      <c r="AK227" s="231"/>
    </row>
    <row r="228" spans="1:37" s="203" customFormat="1">
      <c r="A228" s="120">
        <v>3</v>
      </c>
      <c r="B228" s="47" t="s">
        <v>182</v>
      </c>
      <c r="C228" s="47"/>
      <c r="D228" s="47"/>
      <c r="E228" s="114">
        <v>507</v>
      </c>
      <c r="F228" s="52">
        <v>444</v>
      </c>
      <c r="G228" s="118"/>
      <c r="H228" s="122">
        <v>528</v>
      </c>
      <c r="I228" s="29"/>
      <c r="J228" s="231"/>
      <c r="K228" s="231"/>
      <c r="L228" s="231"/>
      <c r="M228" s="231"/>
      <c r="N228" s="231"/>
      <c r="O228" s="231"/>
      <c r="P228" s="231"/>
      <c r="Q228" s="231"/>
      <c r="R228" s="231"/>
      <c r="S228" s="231"/>
      <c r="T228" s="231"/>
      <c r="U228" s="231"/>
      <c r="V228" s="231"/>
      <c r="W228" s="231"/>
      <c r="X228" s="231"/>
      <c r="Y228" s="231"/>
      <c r="Z228" s="231"/>
      <c r="AA228" s="231"/>
      <c r="AB228" s="231"/>
      <c r="AC228" s="231"/>
      <c r="AD228" s="231"/>
      <c r="AE228" s="231"/>
      <c r="AF228" s="231"/>
      <c r="AG228" s="231"/>
      <c r="AH228" s="231"/>
      <c r="AI228" s="231"/>
      <c r="AJ228" s="231"/>
      <c r="AK228" s="231"/>
    </row>
    <row r="229" spans="1:37" s="203" customFormat="1">
      <c r="A229" s="120">
        <v>4</v>
      </c>
      <c r="B229" s="47" t="s">
        <v>183</v>
      </c>
      <c r="C229" s="47"/>
      <c r="D229" s="47"/>
      <c r="E229" s="114">
        <v>0</v>
      </c>
      <c r="F229" s="52">
        <v>0</v>
      </c>
      <c r="G229" s="118"/>
      <c r="H229" s="122">
        <v>0</v>
      </c>
      <c r="I229" s="29"/>
      <c r="J229" s="231"/>
      <c r="K229" s="231"/>
      <c r="L229" s="231"/>
      <c r="M229" s="231"/>
      <c r="N229" s="231"/>
      <c r="O229" s="231"/>
      <c r="P229" s="231"/>
      <c r="Q229" s="231"/>
      <c r="R229" s="231"/>
      <c r="S229" s="231"/>
      <c r="T229" s="231"/>
      <c r="U229" s="231"/>
      <c r="V229" s="231"/>
      <c r="W229" s="231"/>
      <c r="X229" s="231"/>
      <c r="Y229" s="231"/>
      <c r="Z229" s="231"/>
      <c r="AA229" s="231"/>
      <c r="AB229" s="231"/>
      <c r="AC229" s="231"/>
      <c r="AD229" s="231"/>
      <c r="AE229" s="231"/>
      <c r="AF229" s="231"/>
      <c r="AG229" s="231"/>
      <c r="AH229" s="231"/>
      <c r="AI229" s="231"/>
      <c r="AJ229" s="231"/>
      <c r="AK229" s="231"/>
    </row>
    <row r="230" spans="1:37" s="203" customFormat="1">
      <c r="A230" s="120">
        <v>5</v>
      </c>
      <c r="B230" s="47" t="s">
        <v>184</v>
      </c>
      <c r="C230" s="47"/>
      <c r="D230" s="47"/>
      <c r="E230" s="114">
        <v>5798</v>
      </c>
      <c r="F230" s="52">
        <f>5139+22</f>
        <v>5161</v>
      </c>
      <c r="G230" s="118"/>
      <c r="H230" s="99">
        <f>4728+21+1</f>
        <v>4750</v>
      </c>
      <c r="I230" s="29"/>
      <c r="J230" s="231"/>
      <c r="K230" s="231"/>
      <c r="L230" s="231"/>
      <c r="M230" s="231"/>
      <c r="N230" s="231"/>
      <c r="O230" s="231"/>
      <c r="P230" s="231"/>
      <c r="Q230" s="231"/>
      <c r="R230" s="231"/>
      <c r="S230" s="231"/>
      <c r="T230" s="231"/>
      <c r="U230" s="231"/>
      <c r="V230" s="231"/>
      <c r="W230" s="231"/>
      <c r="X230" s="231"/>
      <c r="Y230" s="231"/>
      <c r="Z230" s="231"/>
      <c r="AA230" s="231"/>
      <c r="AB230" s="231"/>
      <c r="AC230" s="231"/>
      <c r="AD230" s="231"/>
      <c r="AE230" s="231"/>
      <c r="AF230" s="231"/>
      <c r="AG230" s="231"/>
      <c r="AH230" s="231"/>
      <c r="AI230" s="231"/>
      <c r="AJ230" s="231"/>
      <c r="AK230" s="231"/>
    </row>
    <row r="231" spans="1:37" s="203" customFormat="1">
      <c r="A231" s="124">
        <v>6</v>
      </c>
      <c r="B231" s="173" t="s">
        <v>185</v>
      </c>
      <c r="C231" s="173"/>
      <c r="D231" s="173"/>
      <c r="E231" s="159">
        <v>6611</v>
      </c>
      <c r="F231" s="61">
        <f>SUM(F226:F230)</f>
        <v>5836</v>
      </c>
      <c r="G231" s="118"/>
      <c r="H231" s="61">
        <f>SUM(H226:H230)</f>
        <v>5648</v>
      </c>
      <c r="I231" s="29"/>
      <c r="J231" s="231"/>
      <c r="K231" s="231"/>
      <c r="L231" s="231"/>
      <c r="M231" s="231"/>
      <c r="N231" s="231"/>
      <c r="O231" s="231"/>
      <c r="P231" s="231"/>
      <c r="Q231" s="231"/>
      <c r="R231" s="231"/>
      <c r="S231" s="231"/>
      <c r="T231" s="231"/>
      <c r="U231" s="231"/>
      <c r="V231" s="231"/>
      <c r="W231" s="231"/>
      <c r="X231" s="231"/>
      <c r="Y231" s="231"/>
      <c r="Z231" s="231"/>
      <c r="AA231" s="231"/>
      <c r="AB231" s="231"/>
      <c r="AC231" s="231"/>
      <c r="AD231" s="231"/>
      <c r="AE231" s="231"/>
      <c r="AF231" s="231"/>
      <c r="AG231" s="231"/>
      <c r="AH231" s="231"/>
      <c r="AI231" s="231"/>
      <c r="AJ231" s="231"/>
      <c r="AK231" s="231"/>
    </row>
    <row r="232" spans="1:37" s="203" customFormat="1">
      <c r="A232" s="148"/>
      <c r="B232" s="29"/>
      <c r="C232" s="29"/>
      <c r="D232" s="170"/>
      <c r="E232" s="150"/>
      <c r="F232" s="29"/>
      <c r="G232" s="29"/>
      <c r="H232" s="207"/>
      <c r="I232" s="29"/>
      <c r="J232" s="231"/>
      <c r="K232" s="231"/>
      <c r="L232" s="231"/>
      <c r="M232" s="231"/>
      <c r="N232" s="231"/>
      <c r="O232" s="231"/>
      <c r="P232" s="231"/>
      <c r="Q232" s="231"/>
      <c r="R232" s="231"/>
      <c r="S232" s="231"/>
      <c r="T232" s="231"/>
      <c r="U232" s="231"/>
      <c r="V232" s="231"/>
      <c r="W232" s="231"/>
      <c r="X232" s="231"/>
      <c r="Y232" s="231"/>
      <c r="Z232" s="231"/>
      <c r="AA232" s="231"/>
      <c r="AB232" s="231"/>
      <c r="AC232" s="231"/>
      <c r="AD232" s="231"/>
      <c r="AE232" s="231"/>
      <c r="AF232" s="231"/>
      <c r="AG232" s="231"/>
      <c r="AH232" s="231"/>
      <c r="AI232" s="231"/>
      <c r="AJ232" s="231"/>
      <c r="AK232" s="231"/>
    </row>
    <row r="233" spans="1:37" s="203" customFormat="1">
      <c r="A233" s="148"/>
      <c r="B233" s="29"/>
      <c r="C233" s="29"/>
      <c r="D233" s="172"/>
      <c r="E233" s="152"/>
      <c r="F233" s="29"/>
      <c r="G233" s="29"/>
      <c r="H233" s="131" t="s">
        <v>27</v>
      </c>
      <c r="I233" s="29"/>
      <c r="J233" s="231"/>
      <c r="K233" s="231"/>
      <c r="L233" s="231"/>
      <c r="M233" s="231"/>
      <c r="N233" s="231"/>
      <c r="O233" s="231"/>
      <c r="P233" s="231"/>
      <c r="Q233" s="231"/>
      <c r="R233" s="231"/>
      <c r="S233" s="231"/>
      <c r="T233" s="231"/>
      <c r="U233" s="231"/>
      <c r="V233" s="231"/>
      <c r="W233" s="231"/>
      <c r="X233" s="231"/>
      <c r="Y233" s="231"/>
      <c r="Z233" s="231"/>
      <c r="AA233" s="231"/>
      <c r="AB233" s="231"/>
      <c r="AC233" s="231"/>
      <c r="AD233" s="231"/>
      <c r="AE233" s="231"/>
      <c r="AF233" s="231"/>
      <c r="AG233" s="231"/>
      <c r="AH233" s="231"/>
      <c r="AI233" s="231"/>
      <c r="AJ233" s="231"/>
      <c r="AK233" s="231"/>
    </row>
    <row r="234" spans="1:37" s="203" customFormat="1" ht="12.75" customHeight="1">
      <c r="A234" s="106" t="s">
        <v>12</v>
      </c>
      <c r="B234" s="164"/>
      <c r="C234" s="164"/>
      <c r="D234" s="164"/>
      <c r="E234" s="856" t="s">
        <v>377</v>
      </c>
      <c r="F234" s="856" t="s">
        <v>402</v>
      </c>
      <c r="G234" s="130"/>
      <c r="H234" s="856" t="s">
        <v>403</v>
      </c>
      <c r="I234" s="130"/>
      <c r="J234" s="231"/>
      <c r="K234" s="231"/>
      <c r="L234" s="231"/>
      <c r="M234" s="231"/>
      <c r="N234" s="231"/>
      <c r="O234" s="231"/>
      <c r="P234" s="231"/>
      <c r="Q234" s="231"/>
      <c r="R234" s="231"/>
      <c r="S234" s="231"/>
      <c r="T234" s="231"/>
      <c r="U234" s="231"/>
      <c r="V234" s="231"/>
      <c r="W234" s="231"/>
      <c r="X234" s="231"/>
      <c r="Y234" s="231"/>
      <c r="Z234" s="231"/>
      <c r="AA234" s="231"/>
      <c r="AB234" s="231"/>
      <c r="AC234" s="231"/>
      <c r="AD234" s="231"/>
      <c r="AE234" s="231"/>
      <c r="AF234" s="231"/>
      <c r="AG234" s="231"/>
      <c r="AH234" s="231"/>
      <c r="AI234" s="231"/>
      <c r="AJ234" s="231"/>
      <c r="AK234" s="231"/>
    </row>
    <row r="235" spans="1:37" s="203" customFormat="1">
      <c r="A235" s="165"/>
      <c r="B235" s="47"/>
      <c r="C235" s="47"/>
      <c r="D235" s="47"/>
      <c r="E235" s="859"/>
      <c r="F235" s="859"/>
      <c r="G235" s="130"/>
      <c r="H235" s="859"/>
      <c r="I235" s="130"/>
      <c r="J235" s="231"/>
      <c r="K235" s="231"/>
      <c r="L235" s="231"/>
      <c r="M235" s="231"/>
      <c r="N235" s="231"/>
      <c r="O235" s="231"/>
      <c r="P235" s="231"/>
      <c r="Q235" s="231"/>
      <c r="R235" s="231"/>
      <c r="S235" s="231"/>
      <c r="T235" s="231"/>
      <c r="U235" s="231"/>
      <c r="V235" s="231"/>
      <c r="W235" s="231"/>
      <c r="X235" s="231"/>
      <c r="Y235" s="231"/>
      <c r="Z235" s="231"/>
      <c r="AA235" s="231"/>
      <c r="AB235" s="231"/>
      <c r="AC235" s="231"/>
      <c r="AD235" s="231"/>
      <c r="AE235" s="231"/>
      <c r="AF235" s="231"/>
      <c r="AG235" s="231"/>
      <c r="AH235" s="231"/>
      <c r="AI235" s="231"/>
      <c r="AJ235" s="231"/>
      <c r="AK235" s="231"/>
    </row>
    <row r="236" spans="1:37" s="203" customFormat="1">
      <c r="A236" s="154" t="s">
        <v>186</v>
      </c>
      <c r="B236" s="174"/>
      <c r="C236" s="174"/>
      <c r="D236" s="174"/>
      <c r="E236" s="859"/>
      <c r="F236" s="859"/>
      <c r="G236" s="130"/>
      <c r="H236" s="859"/>
      <c r="I236" s="130"/>
      <c r="J236" s="231"/>
      <c r="K236" s="231"/>
      <c r="L236" s="231"/>
      <c r="M236" s="231"/>
      <c r="N236" s="231"/>
      <c r="O236" s="231"/>
      <c r="P236" s="231"/>
      <c r="Q236" s="231"/>
      <c r="R236" s="231"/>
      <c r="S236" s="231"/>
      <c r="T236" s="231"/>
      <c r="U236" s="231"/>
      <c r="V236" s="231"/>
      <c r="W236" s="231"/>
      <c r="X236" s="231"/>
      <c r="Y236" s="231"/>
      <c r="Z236" s="231"/>
      <c r="AA236" s="231"/>
      <c r="AB236" s="231"/>
      <c r="AC236" s="231"/>
      <c r="AD236" s="231"/>
      <c r="AE236" s="231"/>
      <c r="AF236" s="231"/>
      <c r="AG236" s="231"/>
      <c r="AH236" s="231"/>
      <c r="AI236" s="231"/>
      <c r="AJ236" s="231"/>
      <c r="AK236" s="231"/>
    </row>
    <row r="237" spans="1:37" s="203" customFormat="1">
      <c r="A237" s="109" t="s">
        <v>83</v>
      </c>
      <c r="B237" s="47"/>
      <c r="C237" s="47"/>
      <c r="D237" s="47"/>
      <c r="E237" s="859"/>
      <c r="F237" s="859"/>
      <c r="G237" s="130"/>
      <c r="H237" s="859"/>
      <c r="I237" s="130"/>
      <c r="J237" s="231"/>
      <c r="K237" s="231"/>
      <c r="L237" s="231"/>
      <c r="M237" s="231"/>
      <c r="N237" s="231"/>
      <c r="O237" s="231"/>
      <c r="P237" s="231"/>
      <c r="Q237" s="231"/>
      <c r="R237" s="231"/>
      <c r="S237" s="231"/>
      <c r="T237" s="231"/>
      <c r="U237" s="231"/>
      <c r="V237" s="231"/>
      <c r="W237" s="231"/>
      <c r="X237" s="231"/>
      <c r="Y237" s="231"/>
      <c r="Z237" s="231"/>
      <c r="AA237" s="231"/>
      <c r="AB237" s="231"/>
      <c r="AC237" s="231"/>
      <c r="AD237" s="231"/>
      <c r="AE237" s="231"/>
      <c r="AF237" s="231"/>
      <c r="AG237" s="231"/>
      <c r="AH237" s="231"/>
      <c r="AI237" s="231"/>
      <c r="AJ237" s="231"/>
      <c r="AK237" s="231"/>
    </row>
    <row r="238" spans="1:37" s="203" customFormat="1">
      <c r="A238" s="110" t="s">
        <v>84</v>
      </c>
      <c r="B238" s="174"/>
      <c r="C238" s="174"/>
      <c r="D238" s="174"/>
      <c r="E238" s="860"/>
      <c r="F238" s="860"/>
      <c r="G238" s="130"/>
      <c r="H238" s="860"/>
      <c r="I238" s="130"/>
      <c r="J238" s="231"/>
      <c r="K238" s="231"/>
      <c r="L238" s="231"/>
      <c r="M238" s="231"/>
      <c r="N238" s="231"/>
      <c r="O238" s="231"/>
      <c r="P238" s="231"/>
      <c r="Q238" s="231"/>
      <c r="R238" s="231"/>
      <c r="S238" s="231"/>
      <c r="T238" s="231"/>
      <c r="U238" s="231"/>
      <c r="V238" s="231"/>
      <c r="W238" s="231"/>
      <c r="X238" s="231"/>
      <c r="Y238" s="231"/>
      <c r="Z238" s="231"/>
      <c r="AA238" s="231"/>
      <c r="AB238" s="231"/>
      <c r="AC238" s="231"/>
      <c r="AD238" s="231"/>
      <c r="AE238" s="231"/>
      <c r="AF238" s="231"/>
      <c r="AG238" s="231"/>
      <c r="AH238" s="231"/>
      <c r="AI238" s="231"/>
      <c r="AJ238" s="231"/>
      <c r="AK238" s="231"/>
    </row>
    <row r="239" spans="1:37" s="203" customFormat="1">
      <c r="A239" s="153" t="s">
        <v>187</v>
      </c>
      <c r="B239" s="116"/>
      <c r="C239" s="116"/>
      <c r="D239" s="116"/>
      <c r="E239" s="167"/>
      <c r="F239" s="146"/>
      <c r="G239" s="118"/>
      <c r="H239" s="146"/>
      <c r="I239" s="29"/>
      <c r="J239" s="231"/>
      <c r="K239" s="231"/>
      <c r="L239" s="231"/>
      <c r="M239" s="231"/>
      <c r="N239" s="231"/>
      <c r="O239" s="231"/>
      <c r="P239" s="231"/>
      <c r="Q239" s="231"/>
      <c r="R239" s="231"/>
      <c r="S239" s="231"/>
      <c r="T239" s="231"/>
      <c r="U239" s="231"/>
      <c r="V239" s="231"/>
      <c r="W239" s="231"/>
      <c r="X239" s="231"/>
      <c r="Y239" s="231"/>
      <c r="Z239" s="231"/>
      <c r="AA239" s="231"/>
      <c r="AB239" s="231"/>
      <c r="AC239" s="231"/>
      <c r="AD239" s="231"/>
      <c r="AE239" s="231"/>
      <c r="AF239" s="231"/>
      <c r="AG239" s="231"/>
      <c r="AH239" s="231"/>
      <c r="AI239" s="231"/>
      <c r="AJ239" s="231"/>
      <c r="AK239" s="231"/>
    </row>
    <row r="240" spans="1:37" s="203" customFormat="1">
      <c r="A240" s="120">
        <v>1</v>
      </c>
      <c r="B240" s="47" t="s">
        <v>188</v>
      </c>
      <c r="C240" s="47"/>
      <c r="D240" s="47"/>
      <c r="E240" s="74">
        <v>416</v>
      </c>
      <c r="F240" s="52">
        <v>403</v>
      </c>
      <c r="G240" s="118"/>
      <c r="H240" s="122">
        <f>211+127</f>
        <v>338</v>
      </c>
      <c r="I240" s="29"/>
      <c r="J240" s="231"/>
      <c r="K240" s="231"/>
      <c r="L240" s="231"/>
      <c r="M240" s="231"/>
      <c r="N240" s="231"/>
      <c r="O240" s="231"/>
      <c r="P240" s="231"/>
      <c r="Q240" s="231"/>
      <c r="R240" s="231"/>
      <c r="S240" s="231"/>
      <c r="T240" s="231"/>
      <c r="U240" s="231"/>
      <c r="V240" s="231"/>
      <c r="W240" s="231"/>
      <c r="X240" s="231"/>
      <c r="Y240" s="231"/>
      <c r="Z240" s="231"/>
      <c r="AA240" s="231"/>
      <c r="AB240" s="231"/>
      <c r="AC240" s="231"/>
      <c r="AD240" s="231"/>
      <c r="AE240" s="231"/>
      <c r="AF240" s="231"/>
      <c r="AG240" s="231"/>
      <c r="AH240" s="231"/>
      <c r="AI240" s="231"/>
      <c r="AJ240" s="231"/>
      <c r="AK240" s="231"/>
    </row>
    <row r="241" spans="1:37" s="203" customFormat="1">
      <c r="A241" s="784">
        <v>2</v>
      </c>
      <c r="B241" s="47" t="s">
        <v>189</v>
      </c>
      <c r="C241" s="47"/>
      <c r="D241" s="47"/>
      <c r="E241" s="114">
        <v>918</v>
      </c>
      <c r="F241" s="52">
        <v>922</v>
      </c>
      <c r="G241" s="118"/>
      <c r="H241" s="100">
        <v>885</v>
      </c>
      <c r="I241" s="29"/>
      <c r="J241" s="231"/>
      <c r="K241" s="231"/>
      <c r="L241" s="231"/>
      <c r="M241" s="231"/>
      <c r="N241" s="231"/>
      <c r="O241" s="231"/>
      <c r="P241" s="231"/>
      <c r="Q241" s="231"/>
      <c r="R241" s="231"/>
      <c r="S241" s="231"/>
      <c r="T241" s="231"/>
      <c r="U241" s="231"/>
      <c r="V241" s="231"/>
      <c r="W241" s="231"/>
      <c r="X241" s="231"/>
      <c r="Y241" s="231"/>
      <c r="Z241" s="231"/>
      <c r="AA241" s="231"/>
      <c r="AB241" s="231"/>
      <c r="AC241" s="231"/>
      <c r="AD241" s="231"/>
      <c r="AE241" s="231"/>
      <c r="AF241" s="231"/>
      <c r="AG241" s="231"/>
      <c r="AH241" s="231"/>
      <c r="AI241" s="231"/>
      <c r="AJ241" s="231"/>
      <c r="AK241" s="231"/>
    </row>
    <row r="242" spans="1:37" s="203" customFormat="1">
      <c r="A242" s="784">
        <v>3</v>
      </c>
      <c r="B242" s="168" t="s">
        <v>190</v>
      </c>
      <c r="C242" s="168"/>
      <c r="D242" s="168"/>
      <c r="E242" s="80">
        <v>1334</v>
      </c>
      <c r="F242" s="142">
        <f>SUM(F240:F241)</f>
        <v>1325</v>
      </c>
      <c r="G242" s="118"/>
      <c r="H242" s="142">
        <f>SUM(H240:H241)</f>
        <v>1223</v>
      </c>
      <c r="I242" s="29"/>
      <c r="J242" s="231"/>
      <c r="K242" s="231"/>
      <c r="L242" s="231"/>
      <c r="M242" s="231"/>
      <c r="N242" s="231"/>
      <c r="O242" s="231"/>
      <c r="P242" s="231"/>
      <c r="Q242" s="231"/>
      <c r="R242" s="231"/>
      <c r="S242" s="231"/>
      <c r="T242" s="231"/>
      <c r="U242" s="231"/>
      <c r="V242" s="231"/>
      <c r="W242" s="231"/>
      <c r="X242" s="231"/>
      <c r="Y242" s="231"/>
      <c r="Z242" s="231"/>
      <c r="AA242" s="231"/>
      <c r="AB242" s="231"/>
      <c r="AC242" s="231"/>
      <c r="AD242" s="231"/>
      <c r="AE242" s="231"/>
      <c r="AF242" s="231"/>
      <c r="AG242" s="231"/>
      <c r="AH242" s="231"/>
      <c r="AI242" s="231"/>
      <c r="AJ242" s="231"/>
      <c r="AK242" s="231"/>
    </row>
    <row r="243" spans="1:37" s="203" customFormat="1">
      <c r="A243" s="784"/>
      <c r="B243" s="116"/>
      <c r="C243" s="116"/>
      <c r="D243" s="116"/>
      <c r="E243" s="117"/>
      <c r="F243" s="118"/>
      <c r="G243" s="118"/>
      <c r="H243" s="118"/>
      <c r="I243" s="29"/>
      <c r="J243" s="231"/>
      <c r="K243" s="231"/>
      <c r="L243" s="231"/>
      <c r="M243" s="231"/>
      <c r="N243" s="231"/>
      <c r="O243" s="231"/>
      <c r="P243" s="231"/>
      <c r="Q243" s="231"/>
      <c r="R243" s="231"/>
      <c r="S243" s="231"/>
      <c r="T243" s="231"/>
      <c r="U243" s="231"/>
      <c r="V243" s="231"/>
      <c r="W243" s="231"/>
      <c r="X243" s="231"/>
      <c r="Y243" s="231"/>
      <c r="Z243" s="231"/>
      <c r="AA243" s="231"/>
      <c r="AB243" s="231"/>
      <c r="AC243" s="231"/>
      <c r="AD243" s="231"/>
      <c r="AE243" s="231"/>
      <c r="AF243" s="231"/>
      <c r="AG243" s="231"/>
      <c r="AH243" s="231"/>
      <c r="AI243" s="231"/>
      <c r="AJ243" s="231"/>
      <c r="AK243" s="231"/>
    </row>
    <row r="244" spans="1:37" s="203" customFormat="1">
      <c r="A244" s="108" t="s">
        <v>191</v>
      </c>
      <c r="B244" s="47"/>
      <c r="C244" s="47"/>
      <c r="D244" s="47"/>
      <c r="E244" s="140"/>
      <c r="F244" s="146"/>
      <c r="G244" s="118"/>
      <c r="H244" s="146"/>
      <c r="I244" s="29"/>
      <c r="J244" s="231"/>
      <c r="K244" s="231"/>
      <c r="L244" s="231"/>
      <c r="M244" s="231"/>
      <c r="N244" s="231"/>
      <c r="O244" s="231"/>
      <c r="P244" s="231"/>
      <c r="Q244" s="231"/>
      <c r="R244" s="231"/>
      <c r="S244" s="231"/>
      <c r="T244" s="231"/>
      <c r="U244" s="231"/>
      <c r="V244" s="231"/>
      <c r="W244" s="231"/>
      <c r="X244" s="231"/>
      <c r="Y244" s="231"/>
      <c r="Z244" s="231"/>
      <c r="AA244" s="231"/>
      <c r="AB244" s="231"/>
      <c r="AC244" s="231"/>
      <c r="AD244" s="231"/>
      <c r="AE244" s="231"/>
      <c r="AF244" s="231"/>
      <c r="AG244" s="231"/>
      <c r="AH244" s="231"/>
      <c r="AI244" s="231"/>
      <c r="AJ244" s="231"/>
      <c r="AK244" s="231"/>
    </row>
    <row r="245" spans="1:37" s="203" customFormat="1">
      <c r="A245" s="784">
        <v>4</v>
      </c>
      <c r="B245" s="47" t="s">
        <v>192</v>
      </c>
      <c r="C245" s="47"/>
      <c r="D245" s="47"/>
      <c r="E245" s="74">
        <v>0</v>
      </c>
      <c r="F245" s="52">
        <v>0</v>
      </c>
      <c r="G245" s="118"/>
      <c r="H245" s="122">
        <v>0</v>
      </c>
      <c r="I245" s="29"/>
      <c r="J245" s="231"/>
      <c r="K245" s="231"/>
      <c r="L245" s="231"/>
      <c r="M245" s="231"/>
      <c r="N245" s="231"/>
      <c r="O245" s="231"/>
      <c r="P245" s="231"/>
      <c r="Q245" s="231"/>
      <c r="R245" s="231"/>
      <c r="S245" s="231"/>
      <c r="T245" s="231"/>
      <c r="U245" s="231"/>
      <c r="V245" s="231"/>
      <c r="W245" s="231"/>
      <c r="X245" s="231"/>
      <c r="Y245" s="231"/>
      <c r="Z245" s="231"/>
      <c r="AA245" s="231"/>
      <c r="AB245" s="231"/>
      <c r="AC245" s="231"/>
      <c r="AD245" s="231"/>
      <c r="AE245" s="231"/>
      <c r="AF245" s="231"/>
      <c r="AG245" s="231"/>
      <c r="AH245" s="231"/>
      <c r="AI245" s="231"/>
      <c r="AJ245" s="231"/>
      <c r="AK245" s="231"/>
    </row>
    <row r="246" spans="1:37" s="203" customFormat="1">
      <c r="A246" s="784">
        <v>5</v>
      </c>
      <c r="B246" s="47" t="s">
        <v>193</v>
      </c>
      <c r="C246" s="47"/>
      <c r="D246" s="47"/>
      <c r="E246" s="49">
        <v>378</v>
      </c>
      <c r="F246" s="52">
        <v>361</v>
      </c>
      <c r="G246" s="118"/>
      <c r="H246" s="100">
        <v>391</v>
      </c>
      <c r="I246" s="29"/>
      <c r="J246" s="231"/>
      <c r="K246" s="231"/>
      <c r="L246" s="231"/>
      <c r="M246" s="231"/>
      <c r="N246" s="231"/>
      <c r="O246" s="231"/>
      <c r="P246" s="231"/>
      <c r="Q246" s="231"/>
      <c r="R246" s="231"/>
      <c r="S246" s="231"/>
      <c r="T246" s="231"/>
      <c r="U246" s="231"/>
      <c r="V246" s="231"/>
      <c r="W246" s="231"/>
      <c r="X246" s="231"/>
      <c r="Y246" s="231"/>
      <c r="Z246" s="231"/>
      <c r="AA246" s="231"/>
      <c r="AB246" s="231"/>
      <c r="AC246" s="231"/>
      <c r="AD246" s="231"/>
      <c r="AE246" s="231"/>
      <c r="AF246" s="231"/>
      <c r="AG246" s="231"/>
      <c r="AH246" s="231"/>
      <c r="AI246" s="231"/>
      <c r="AJ246" s="231"/>
      <c r="AK246" s="231"/>
    </row>
    <row r="247" spans="1:37" s="203" customFormat="1">
      <c r="A247" s="784">
        <v>6</v>
      </c>
      <c r="B247" s="116" t="s">
        <v>194</v>
      </c>
      <c r="C247" s="116"/>
      <c r="D247" s="116"/>
      <c r="E247" s="80">
        <v>378</v>
      </c>
      <c r="F247" s="142">
        <f>SUM(F245:F246)</f>
        <v>361</v>
      </c>
      <c r="G247" s="118"/>
      <c r="H247" s="142">
        <f>SUM(H245:H246)</f>
        <v>391</v>
      </c>
      <c r="I247" s="29"/>
      <c r="J247" s="231"/>
      <c r="K247" s="231"/>
      <c r="L247" s="231"/>
      <c r="M247" s="231"/>
      <c r="N247" s="231"/>
      <c r="O247" s="231"/>
      <c r="P247" s="231"/>
      <c r="Q247" s="231"/>
      <c r="R247" s="231"/>
      <c r="S247" s="231"/>
      <c r="T247" s="231"/>
      <c r="U247" s="231"/>
      <c r="V247" s="231"/>
      <c r="W247" s="231"/>
      <c r="X247" s="231"/>
      <c r="Y247" s="231"/>
      <c r="Z247" s="231"/>
      <c r="AA247" s="231"/>
      <c r="AB247" s="231"/>
      <c r="AC247" s="231"/>
      <c r="AD247" s="231"/>
      <c r="AE247" s="231"/>
      <c r="AF247" s="231"/>
      <c r="AG247" s="231"/>
      <c r="AH247" s="231"/>
      <c r="AI247" s="231"/>
      <c r="AJ247" s="231"/>
      <c r="AK247" s="231"/>
    </row>
    <row r="248" spans="1:37" s="203" customFormat="1">
      <c r="A248" s="784"/>
      <c r="B248" s="116"/>
      <c r="C248" s="116"/>
      <c r="D248" s="116"/>
      <c r="E248" s="117"/>
      <c r="F248" s="118"/>
      <c r="G248" s="118"/>
      <c r="H248" s="118"/>
      <c r="I248" s="29"/>
      <c r="J248" s="231"/>
      <c r="K248" s="231"/>
      <c r="L248" s="231"/>
      <c r="M248" s="231"/>
      <c r="N248" s="231"/>
      <c r="O248" s="231"/>
      <c r="P248" s="231"/>
      <c r="Q248" s="231"/>
      <c r="R248" s="231"/>
      <c r="S248" s="231"/>
      <c r="T248" s="231"/>
      <c r="U248" s="231"/>
      <c r="V248" s="231"/>
      <c r="W248" s="231"/>
      <c r="X248" s="231"/>
      <c r="Y248" s="231"/>
      <c r="Z248" s="231"/>
      <c r="AA248" s="231"/>
      <c r="AB248" s="231"/>
      <c r="AC248" s="231"/>
      <c r="AD248" s="231"/>
      <c r="AE248" s="231"/>
      <c r="AF248" s="231"/>
      <c r="AG248" s="231"/>
      <c r="AH248" s="231"/>
      <c r="AI248" s="231"/>
      <c r="AJ248" s="231"/>
      <c r="AK248" s="231"/>
    </row>
    <row r="249" spans="1:37" s="203" customFormat="1">
      <c r="A249" s="108" t="s">
        <v>195</v>
      </c>
      <c r="B249" s="116"/>
      <c r="C249" s="116"/>
      <c r="D249" s="116"/>
      <c r="E249" s="140"/>
      <c r="F249" s="146"/>
      <c r="G249" s="118"/>
      <c r="H249" s="146"/>
      <c r="I249" s="29"/>
      <c r="J249" s="231"/>
      <c r="K249" s="231"/>
      <c r="L249" s="231"/>
      <c r="M249" s="231"/>
      <c r="N249" s="231"/>
      <c r="O249" s="231"/>
      <c r="P249" s="231"/>
      <c r="Q249" s="231"/>
      <c r="R249" s="231"/>
      <c r="S249" s="231"/>
      <c r="T249" s="231"/>
      <c r="U249" s="231"/>
      <c r="V249" s="231"/>
      <c r="W249" s="231"/>
      <c r="X249" s="231"/>
      <c r="Y249" s="231"/>
      <c r="Z249" s="231"/>
      <c r="AA249" s="231"/>
      <c r="AB249" s="231"/>
      <c r="AC249" s="231"/>
      <c r="AD249" s="231"/>
      <c r="AE249" s="231"/>
      <c r="AF249" s="231"/>
      <c r="AG249" s="231"/>
      <c r="AH249" s="231"/>
      <c r="AI249" s="231"/>
      <c r="AJ249" s="231"/>
      <c r="AK249" s="231"/>
    </row>
    <row r="250" spans="1:37" s="203" customFormat="1">
      <c r="A250" s="784">
        <v>7</v>
      </c>
      <c r="B250" s="47" t="s">
        <v>196</v>
      </c>
      <c r="C250" s="47"/>
      <c r="D250" s="47"/>
      <c r="E250" s="74">
        <v>818</v>
      </c>
      <c r="F250" s="52">
        <v>746</v>
      </c>
      <c r="G250" s="118"/>
      <c r="H250" s="52">
        <v>710</v>
      </c>
      <c r="I250" s="29"/>
      <c r="J250" s="231"/>
      <c r="K250" s="231"/>
      <c r="L250" s="231"/>
      <c r="M250" s="231"/>
      <c r="N250" s="231"/>
      <c r="O250" s="231"/>
      <c r="P250" s="231"/>
      <c r="Q250" s="231"/>
      <c r="R250" s="231"/>
      <c r="S250" s="231"/>
      <c r="T250" s="231"/>
      <c r="U250" s="231"/>
      <c r="V250" s="231"/>
      <c r="W250" s="231"/>
      <c r="X250" s="231"/>
      <c r="Y250" s="231"/>
      <c r="Z250" s="231"/>
      <c r="AA250" s="231"/>
      <c r="AB250" s="231"/>
      <c r="AC250" s="231"/>
      <c r="AD250" s="231"/>
      <c r="AE250" s="231"/>
      <c r="AF250" s="231"/>
      <c r="AG250" s="231"/>
      <c r="AH250" s="231"/>
      <c r="AI250" s="231"/>
      <c r="AJ250" s="231"/>
      <c r="AK250" s="231"/>
    </row>
    <row r="251" spans="1:37" s="203" customFormat="1">
      <c r="A251" s="784">
        <v>8</v>
      </c>
      <c r="B251" s="47" t="s">
        <v>197</v>
      </c>
      <c r="C251" s="47"/>
      <c r="D251" s="47"/>
      <c r="E251" s="49">
        <v>3708</v>
      </c>
      <c r="F251" s="52">
        <v>3564</v>
      </c>
      <c r="G251" s="118"/>
      <c r="H251" s="122">
        <v>3573</v>
      </c>
      <c r="I251" s="29"/>
      <c r="J251" s="231"/>
      <c r="K251" s="231"/>
      <c r="L251" s="231"/>
      <c r="M251" s="231"/>
      <c r="N251" s="231"/>
      <c r="O251" s="231"/>
      <c r="P251" s="231"/>
      <c r="Q251" s="231"/>
      <c r="R251" s="231"/>
      <c r="S251" s="231"/>
      <c r="T251" s="231"/>
      <c r="U251" s="231"/>
      <c r="V251" s="231"/>
      <c r="W251" s="231"/>
      <c r="X251" s="231"/>
      <c r="Y251" s="231"/>
      <c r="Z251" s="231"/>
      <c r="AA251" s="231"/>
      <c r="AB251" s="231"/>
      <c r="AC251" s="231"/>
      <c r="AD251" s="231"/>
      <c r="AE251" s="231"/>
      <c r="AF251" s="231"/>
      <c r="AG251" s="231"/>
      <c r="AH251" s="231"/>
      <c r="AI251" s="231"/>
      <c r="AJ251" s="231"/>
      <c r="AK251" s="231"/>
    </row>
    <row r="252" spans="1:37" s="203" customFormat="1">
      <c r="A252" s="784">
        <v>9</v>
      </c>
      <c r="B252" s="47" t="s">
        <v>198</v>
      </c>
      <c r="C252" s="47"/>
      <c r="D252" s="47"/>
      <c r="E252" s="49">
        <v>3925</v>
      </c>
      <c r="F252" s="52">
        <f>3486+115</f>
        <v>3601</v>
      </c>
      <c r="G252" s="118"/>
      <c r="H252" s="122">
        <v>3717</v>
      </c>
      <c r="I252" s="29"/>
      <c r="J252" s="231"/>
      <c r="K252" s="231"/>
      <c r="L252" s="231"/>
      <c r="M252" s="231"/>
      <c r="N252" s="231"/>
      <c r="O252" s="231"/>
      <c r="P252" s="231"/>
      <c r="Q252" s="231"/>
      <c r="R252" s="231"/>
      <c r="S252" s="231"/>
      <c r="T252" s="231"/>
      <c r="U252" s="231"/>
      <c r="V252" s="231"/>
      <c r="W252" s="231"/>
      <c r="X252" s="231"/>
      <c r="Y252" s="231"/>
      <c r="Z252" s="231"/>
      <c r="AA252" s="231"/>
      <c r="AB252" s="231"/>
      <c r="AC252" s="231"/>
      <c r="AD252" s="231"/>
      <c r="AE252" s="231"/>
      <c r="AF252" s="231"/>
      <c r="AG252" s="231"/>
      <c r="AH252" s="231"/>
      <c r="AI252" s="231"/>
      <c r="AJ252" s="231"/>
      <c r="AK252" s="231"/>
    </row>
    <row r="253" spans="1:37" s="203" customFormat="1">
      <c r="A253" s="784">
        <v>10</v>
      </c>
      <c r="B253" s="47" t="s">
        <v>199</v>
      </c>
      <c r="C253" s="47"/>
      <c r="D253" s="47"/>
      <c r="E253" s="49">
        <v>1937</v>
      </c>
      <c r="F253" s="52">
        <v>2223</v>
      </c>
      <c r="G253" s="118"/>
      <c r="H253" s="100">
        <v>2046</v>
      </c>
      <c r="I253" s="29"/>
      <c r="J253" s="231"/>
      <c r="K253" s="231"/>
      <c r="L253" s="231"/>
      <c r="M253" s="231"/>
      <c r="N253" s="231"/>
      <c r="O253" s="231"/>
      <c r="P253" s="231"/>
      <c r="Q253" s="231"/>
      <c r="R253" s="231"/>
      <c r="S253" s="231"/>
      <c r="T253" s="231"/>
      <c r="U253" s="231"/>
      <c r="V253" s="231"/>
      <c r="W253" s="231"/>
      <c r="X253" s="231"/>
      <c r="Y253" s="231"/>
      <c r="Z253" s="231"/>
      <c r="AA253" s="231"/>
      <c r="AB253" s="231"/>
      <c r="AC253" s="231"/>
      <c r="AD253" s="231"/>
      <c r="AE253" s="231"/>
      <c r="AF253" s="231"/>
      <c r="AG253" s="231"/>
      <c r="AH253" s="231"/>
      <c r="AI253" s="231"/>
      <c r="AJ253" s="231"/>
      <c r="AK253" s="231"/>
    </row>
    <row r="254" spans="1:37" s="203" customFormat="1">
      <c r="A254" s="784">
        <v>11</v>
      </c>
      <c r="B254" s="116" t="s">
        <v>200</v>
      </c>
      <c r="C254" s="116"/>
      <c r="D254" s="116"/>
      <c r="E254" s="80">
        <v>10388</v>
      </c>
      <c r="F254" s="142">
        <f>SUM(F250:F253)</f>
        <v>10134</v>
      </c>
      <c r="G254" s="118"/>
      <c r="H254" s="142">
        <f>SUM(H250:H253)</f>
        <v>10046</v>
      </c>
      <c r="I254" s="260"/>
      <c r="J254" s="231"/>
      <c r="K254" s="231"/>
      <c r="L254" s="231"/>
      <c r="M254" s="231"/>
      <c r="N254" s="231"/>
      <c r="O254" s="231"/>
      <c r="P254" s="231"/>
      <c r="Q254" s="231"/>
      <c r="R254" s="231"/>
      <c r="S254" s="231"/>
      <c r="T254" s="231"/>
      <c r="U254" s="231"/>
      <c r="V254" s="231"/>
      <c r="W254" s="231"/>
      <c r="X254" s="231"/>
      <c r="Y254" s="231"/>
      <c r="Z254" s="231"/>
      <c r="AA254" s="231"/>
      <c r="AB254" s="231"/>
      <c r="AC254" s="231"/>
      <c r="AD254" s="231"/>
      <c r="AE254" s="231"/>
      <c r="AF254" s="231"/>
      <c r="AG254" s="231"/>
      <c r="AH254" s="231"/>
      <c r="AI254" s="231"/>
      <c r="AJ254" s="231"/>
      <c r="AK254" s="231"/>
    </row>
    <row r="255" spans="1:37" s="203" customFormat="1">
      <c r="A255" s="784"/>
      <c r="B255" s="116"/>
      <c r="C255" s="116"/>
      <c r="D255" s="116"/>
      <c r="E255" s="117"/>
      <c r="F255" s="118"/>
      <c r="G255" s="118"/>
      <c r="H255" s="118"/>
      <c r="I255" s="29"/>
      <c r="J255" s="231"/>
      <c r="K255" s="231"/>
      <c r="L255" s="231"/>
      <c r="M255" s="231"/>
      <c r="N255" s="231"/>
      <c r="O255" s="231"/>
      <c r="P255" s="231"/>
      <c r="Q255" s="231"/>
      <c r="R255" s="231"/>
      <c r="S255" s="231"/>
      <c r="T255" s="231"/>
      <c r="U255" s="231"/>
      <c r="V255" s="231"/>
      <c r="W255" s="231"/>
      <c r="X255" s="231"/>
      <c r="Y255" s="231"/>
      <c r="Z255" s="231"/>
      <c r="AA255" s="231"/>
      <c r="AB255" s="231"/>
      <c r="AC255" s="231"/>
      <c r="AD255" s="231"/>
      <c r="AE255" s="231"/>
      <c r="AF255" s="231"/>
      <c r="AG255" s="231"/>
      <c r="AH255" s="231"/>
      <c r="AI255" s="231"/>
      <c r="AJ255" s="231"/>
      <c r="AK255" s="231"/>
    </row>
    <row r="256" spans="1:37" s="203" customFormat="1">
      <c r="A256" s="784">
        <v>12</v>
      </c>
      <c r="B256" s="47" t="s">
        <v>201</v>
      </c>
      <c r="C256" s="47"/>
      <c r="D256" s="47"/>
      <c r="E256" s="176">
        <v>2383</v>
      </c>
      <c r="F256" s="136">
        <v>2653</v>
      </c>
      <c r="G256" s="118"/>
      <c r="H256" s="177">
        <v>2682</v>
      </c>
      <c r="I256" s="260"/>
      <c r="J256" s="231"/>
      <c r="K256" s="231"/>
      <c r="L256" s="231"/>
      <c r="M256" s="231"/>
      <c r="N256" s="231"/>
      <c r="O256" s="231"/>
      <c r="P256" s="231"/>
      <c r="Q256" s="231"/>
      <c r="R256" s="231"/>
      <c r="S256" s="231"/>
      <c r="T256" s="231"/>
      <c r="U256" s="231"/>
      <c r="V256" s="231"/>
      <c r="W256" s="231"/>
      <c r="X256" s="231"/>
      <c r="Y256" s="231"/>
      <c r="Z256" s="231"/>
      <c r="AA256" s="231"/>
      <c r="AB256" s="231"/>
      <c r="AC256" s="231"/>
      <c r="AD256" s="231"/>
      <c r="AE256" s="231"/>
      <c r="AF256" s="231"/>
      <c r="AG256" s="231"/>
      <c r="AH256" s="231"/>
      <c r="AI256" s="231"/>
      <c r="AJ256" s="231"/>
      <c r="AK256" s="231"/>
    </row>
    <row r="257" spans="1:37" s="203" customFormat="1">
      <c r="A257" s="124">
        <v>13</v>
      </c>
      <c r="B257" s="94" t="s">
        <v>202</v>
      </c>
      <c r="C257" s="94"/>
      <c r="D257" s="94"/>
      <c r="E257" s="159">
        <v>14483</v>
      </c>
      <c r="F257" s="61">
        <f>F242+F247+F254+F256</f>
        <v>14473</v>
      </c>
      <c r="G257" s="118"/>
      <c r="H257" s="61">
        <f>H242+H247+H254+H256</f>
        <v>14342</v>
      </c>
      <c r="I257" s="21"/>
      <c r="J257" s="231"/>
      <c r="K257" s="231"/>
      <c r="L257" s="231"/>
      <c r="M257" s="231"/>
      <c r="N257" s="231"/>
      <c r="O257" s="231"/>
      <c r="P257" s="231"/>
      <c r="Q257" s="231"/>
      <c r="R257" s="231"/>
      <c r="S257" s="231"/>
      <c r="T257" s="231"/>
      <c r="U257" s="231"/>
      <c r="V257" s="231"/>
      <c r="W257" s="231"/>
      <c r="X257" s="231"/>
      <c r="Y257" s="231"/>
      <c r="Z257" s="231"/>
      <c r="AA257" s="231"/>
      <c r="AB257" s="231"/>
      <c r="AC257" s="231"/>
      <c r="AD257" s="231"/>
      <c r="AE257" s="231"/>
      <c r="AF257" s="231"/>
      <c r="AG257" s="231"/>
      <c r="AH257" s="231"/>
      <c r="AI257" s="231"/>
      <c r="AJ257" s="231"/>
      <c r="AK257" s="231"/>
    </row>
    <row r="258" spans="1:37" s="203" customFormat="1">
      <c r="A258" s="207"/>
      <c r="B258" s="207"/>
      <c r="C258" s="207"/>
      <c r="D258" s="208"/>
      <c r="E258" s="208"/>
      <c r="F258" s="207"/>
      <c r="G258" s="207"/>
      <c r="H258" s="207"/>
      <c r="I258" s="21"/>
      <c r="J258" s="231"/>
      <c r="K258" s="231"/>
      <c r="L258" s="231"/>
      <c r="M258" s="231"/>
      <c r="N258" s="231"/>
      <c r="O258" s="231"/>
      <c r="P258" s="231"/>
      <c r="Q258" s="231"/>
      <c r="R258" s="231"/>
      <c r="S258" s="231"/>
      <c r="T258" s="231"/>
      <c r="U258" s="231"/>
      <c r="V258" s="231"/>
      <c r="W258" s="231"/>
      <c r="X258" s="231"/>
      <c r="Y258" s="231"/>
      <c r="Z258" s="231"/>
      <c r="AA258" s="231"/>
      <c r="AB258" s="231"/>
      <c r="AC258" s="231"/>
      <c r="AD258" s="231"/>
      <c r="AE258" s="231"/>
      <c r="AF258" s="231"/>
      <c r="AG258" s="231"/>
      <c r="AH258" s="231"/>
      <c r="AI258" s="231"/>
      <c r="AJ258" s="231"/>
      <c r="AK258" s="231"/>
    </row>
    <row r="259" spans="1:37" s="203" customFormat="1">
      <c r="A259" s="23"/>
      <c r="B259" s="207"/>
      <c r="C259" s="207"/>
      <c r="D259" s="207"/>
      <c r="E259" s="207"/>
      <c r="F259" s="207"/>
      <c r="G259" s="207"/>
      <c r="H259" s="21"/>
      <c r="I259" s="21"/>
      <c r="J259" s="231"/>
      <c r="K259" s="231"/>
      <c r="L259" s="231"/>
      <c r="M259" s="231"/>
      <c r="N259" s="231"/>
      <c r="O259" s="231"/>
      <c r="P259" s="231"/>
      <c r="Q259" s="231"/>
      <c r="R259" s="231"/>
      <c r="S259" s="231"/>
      <c r="T259" s="231"/>
      <c r="U259" s="231"/>
      <c r="V259" s="231"/>
      <c r="W259" s="231"/>
      <c r="X259" s="231"/>
      <c r="Y259" s="231"/>
      <c r="Z259" s="231"/>
      <c r="AA259" s="231"/>
      <c r="AB259" s="231"/>
      <c r="AC259" s="231"/>
      <c r="AD259" s="231"/>
      <c r="AE259" s="231"/>
      <c r="AF259" s="231"/>
      <c r="AG259" s="231"/>
      <c r="AH259" s="231"/>
      <c r="AI259" s="231"/>
      <c r="AJ259" s="231"/>
      <c r="AK259" s="231"/>
    </row>
    <row r="260" spans="1:37" s="203" customFormat="1">
      <c r="A260" s="148"/>
      <c r="B260" s="29"/>
      <c r="C260" s="29"/>
      <c r="D260" s="172"/>
      <c r="E260" s="152"/>
      <c r="F260" s="29"/>
      <c r="G260" s="29"/>
      <c r="H260" s="131" t="s">
        <v>27</v>
      </c>
      <c r="I260" s="21"/>
      <c r="J260" s="231"/>
      <c r="K260" s="231"/>
      <c r="L260" s="231"/>
      <c r="M260" s="231"/>
      <c r="N260" s="231"/>
      <c r="O260" s="231"/>
      <c r="P260" s="231"/>
      <c r="Q260" s="231"/>
      <c r="R260" s="231"/>
      <c r="S260" s="231"/>
      <c r="T260" s="231"/>
      <c r="U260" s="231"/>
      <c r="V260" s="231"/>
      <c r="W260" s="231"/>
      <c r="X260" s="231"/>
      <c r="Y260" s="231"/>
      <c r="Z260" s="231"/>
      <c r="AA260" s="231"/>
      <c r="AB260" s="231"/>
      <c r="AC260" s="231"/>
      <c r="AD260" s="231"/>
      <c r="AE260" s="231"/>
      <c r="AF260" s="231"/>
      <c r="AG260" s="231"/>
      <c r="AH260" s="231"/>
      <c r="AI260" s="231"/>
      <c r="AJ260" s="231"/>
      <c r="AK260" s="231"/>
    </row>
    <row r="261" spans="1:37" s="203" customFormat="1" ht="12.75" customHeight="1">
      <c r="A261" s="106" t="s">
        <v>15</v>
      </c>
      <c r="B261" s="164"/>
      <c r="C261" s="164"/>
      <c r="D261" s="164"/>
      <c r="E261" s="856" t="s">
        <v>377</v>
      </c>
      <c r="F261" s="856" t="s">
        <v>402</v>
      </c>
      <c r="G261" s="130"/>
      <c r="H261" s="856" t="s">
        <v>403</v>
      </c>
      <c r="I261" s="21"/>
      <c r="J261" s="231"/>
      <c r="K261" s="231"/>
      <c r="L261" s="231"/>
      <c r="M261" s="231"/>
      <c r="N261" s="231"/>
      <c r="O261" s="231"/>
      <c r="P261" s="231"/>
      <c r="Q261" s="231"/>
      <c r="R261" s="231"/>
      <c r="S261" s="231"/>
      <c r="T261" s="231"/>
      <c r="U261" s="231"/>
      <c r="V261" s="231"/>
      <c r="W261" s="231"/>
      <c r="X261" s="231"/>
      <c r="Y261" s="231"/>
      <c r="Z261" s="231"/>
      <c r="AA261" s="231"/>
      <c r="AB261" s="231"/>
      <c r="AC261" s="231"/>
      <c r="AD261" s="231"/>
      <c r="AE261" s="231"/>
      <c r="AF261" s="231"/>
      <c r="AG261" s="231"/>
      <c r="AH261" s="231"/>
      <c r="AI261" s="231"/>
      <c r="AJ261" s="231"/>
      <c r="AK261" s="231"/>
    </row>
    <row r="262" spans="1:37" s="203" customFormat="1">
      <c r="A262" s="165"/>
      <c r="B262" s="47"/>
      <c r="C262" s="47"/>
      <c r="D262" s="47"/>
      <c r="E262" s="859"/>
      <c r="F262" s="859"/>
      <c r="G262" s="130"/>
      <c r="H262" s="859"/>
      <c r="I262" s="21"/>
      <c r="J262" s="231"/>
      <c r="K262" s="231"/>
      <c r="L262" s="231"/>
      <c r="M262" s="231"/>
      <c r="N262" s="231"/>
      <c r="O262" s="231"/>
      <c r="P262" s="231"/>
      <c r="Q262" s="231"/>
      <c r="R262" s="231"/>
      <c r="S262" s="231"/>
      <c r="T262" s="231"/>
      <c r="U262" s="231"/>
      <c r="V262" s="231"/>
      <c r="W262" s="231"/>
      <c r="X262" s="231"/>
      <c r="Y262" s="231"/>
      <c r="Z262" s="231"/>
      <c r="AA262" s="231"/>
      <c r="AB262" s="231"/>
      <c r="AC262" s="231"/>
      <c r="AD262" s="231"/>
      <c r="AE262" s="231"/>
      <c r="AF262" s="231"/>
      <c r="AG262" s="231"/>
      <c r="AH262" s="231"/>
      <c r="AI262" s="231"/>
      <c r="AJ262" s="231"/>
      <c r="AK262" s="231"/>
    </row>
    <row r="263" spans="1:37" s="203" customFormat="1">
      <c r="A263" s="109"/>
      <c r="B263" s="174"/>
      <c r="C263" s="174"/>
      <c r="D263" s="174"/>
      <c r="E263" s="859"/>
      <c r="F263" s="859"/>
      <c r="G263" s="130"/>
      <c r="H263" s="859"/>
      <c r="I263" s="21"/>
      <c r="J263" s="231"/>
      <c r="K263" s="231"/>
      <c r="L263" s="231"/>
      <c r="M263" s="231"/>
      <c r="N263" s="231"/>
      <c r="O263" s="231"/>
      <c r="P263" s="231"/>
      <c r="Q263" s="231"/>
      <c r="R263" s="231"/>
      <c r="S263" s="231"/>
      <c r="T263" s="231"/>
      <c r="U263" s="231"/>
      <c r="V263" s="231"/>
      <c r="W263" s="231"/>
      <c r="X263" s="231"/>
      <c r="Y263" s="231"/>
      <c r="Z263" s="231"/>
      <c r="AA263" s="231"/>
      <c r="AB263" s="231"/>
      <c r="AC263" s="231"/>
      <c r="AD263" s="231"/>
      <c r="AE263" s="231"/>
      <c r="AF263" s="231"/>
      <c r="AG263" s="231"/>
      <c r="AH263" s="231"/>
      <c r="AI263" s="231"/>
      <c r="AJ263" s="231"/>
      <c r="AK263" s="231"/>
    </row>
    <row r="264" spans="1:37" s="203" customFormat="1">
      <c r="A264" s="154" t="s">
        <v>203</v>
      </c>
      <c r="B264" s="47"/>
      <c r="C264" s="47"/>
      <c r="D264" s="47"/>
      <c r="E264" s="859"/>
      <c r="F264" s="859"/>
      <c r="G264" s="130"/>
      <c r="H264" s="859"/>
      <c r="I264" s="21"/>
      <c r="J264" s="231"/>
      <c r="K264" s="231"/>
      <c r="L264" s="231"/>
      <c r="M264" s="231"/>
      <c r="N264" s="231"/>
      <c r="O264" s="231"/>
      <c r="P264" s="231"/>
      <c r="Q264" s="231"/>
      <c r="R264" s="231"/>
      <c r="S264" s="231"/>
      <c r="T264" s="231"/>
      <c r="U264" s="231"/>
      <c r="V264" s="231"/>
      <c r="W264" s="231"/>
      <c r="X264" s="231"/>
      <c r="Y264" s="231"/>
      <c r="Z264" s="231"/>
      <c r="AA264" s="231"/>
      <c r="AB264" s="231"/>
      <c r="AC264" s="231"/>
      <c r="AD264" s="231"/>
      <c r="AE264" s="231"/>
      <c r="AF264" s="231"/>
      <c r="AG264" s="231"/>
      <c r="AH264" s="231"/>
      <c r="AI264" s="231"/>
      <c r="AJ264" s="231"/>
      <c r="AK264" s="231"/>
    </row>
    <row r="265" spans="1:37" s="203" customFormat="1">
      <c r="A265" s="109" t="s">
        <v>83</v>
      </c>
      <c r="B265" s="174"/>
      <c r="C265" s="174"/>
      <c r="D265" s="174"/>
      <c r="E265" s="860"/>
      <c r="F265" s="860"/>
      <c r="G265" s="130"/>
      <c r="H265" s="860"/>
      <c r="I265" s="21"/>
      <c r="J265" s="231"/>
      <c r="K265" s="231"/>
      <c r="L265" s="231"/>
      <c r="M265" s="231"/>
      <c r="N265" s="231"/>
      <c r="O265" s="231"/>
      <c r="P265" s="231"/>
      <c r="Q265" s="231"/>
      <c r="R265" s="231"/>
      <c r="S265" s="231"/>
      <c r="T265" s="231"/>
      <c r="U265" s="231"/>
      <c r="V265" s="231"/>
      <c r="W265" s="231"/>
      <c r="X265" s="231"/>
      <c r="Y265" s="231"/>
      <c r="Z265" s="231"/>
      <c r="AA265" s="231"/>
      <c r="AB265" s="231"/>
      <c r="AC265" s="231"/>
      <c r="AD265" s="231"/>
      <c r="AE265" s="231"/>
      <c r="AF265" s="231"/>
      <c r="AG265" s="231"/>
      <c r="AH265" s="231"/>
      <c r="AI265" s="231"/>
      <c r="AJ265" s="231"/>
      <c r="AK265" s="231"/>
    </row>
    <row r="266" spans="1:37" s="203" customFormat="1">
      <c r="A266" s="110" t="s">
        <v>84</v>
      </c>
      <c r="B266" s="116"/>
      <c r="C266" s="116"/>
      <c r="D266" s="116"/>
      <c r="E266" s="178"/>
      <c r="F266" s="146"/>
      <c r="G266" s="118"/>
      <c r="H266" s="146"/>
      <c r="I266" s="21"/>
      <c r="J266" s="231"/>
      <c r="K266" s="231"/>
      <c r="L266" s="231"/>
      <c r="M266" s="231"/>
      <c r="N266" s="231"/>
      <c r="O266" s="231"/>
      <c r="P266" s="231"/>
      <c r="Q266" s="231"/>
      <c r="R266" s="231"/>
      <c r="S266" s="231"/>
      <c r="T266" s="231"/>
      <c r="U266" s="231"/>
      <c r="V266" s="231"/>
      <c r="W266" s="231"/>
      <c r="X266" s="231"/>
      <c r="Y266" s="231"/>
      <c r="Z266" s="231"/>
      <c r="AA266" s="231"/>
      <c r="AB266" s="231"/>
      <c r="AC266" s="231"/>
      <c r="AD266" s="231"/>
      <c r="AE266" s="231"/>
      <c r="AF266" s="231"/>
      <c r="AG266" s="231"/>
      <c r="AH266" s="231"/>
      <c r="AI266" s="231"/>
      <c r="AJ266" s="231"/>
      <c r="AK266" s="231"/>
    </row>
    <row r="267" spans="1:37" s="203" customFormat="1">
      <c r="A267" s="120">
        <v>1</v>
      </c>
      <c r="B267" s="47" t="s">
        <v>204</v>
      </c>
      <c r="C267" s="47"/>
      <c r="D267" s="47"/>
      <c r="E267" s="74">
        <v>3</v>
      </c>
      <c r="F267" s="52">
        <v>-4</v>
      </c>
      <c r="G267" s="118"/>
      <c r="H267" s="122">
        <v>-5</v>
      </c>
      <c r="I267" s="21"/>
      <c r="J267" s="231"/>
      <c r="K267" s="231"/>
      <c r="L267" s="231"/>
      <c r="M267" s="231"/>
      <c r="N267" s="231"/>
      <c r="O267" s="231"/>
      <c r="P267" s="231"/>
      <c r="Q267" s="231"/>
      <c r="R267" s="231"/>
      <c r="S267" s="231"/>
      <c r="T267" s="231"/>
      <c r="U267" s="231"/>
      <c r="V267" s="231"/>
      <c r="W267" s="231"/>
      <c r="X267" s="231"/>
      <c r="Y267" s="231"/>
      <c r="Z267" s="231"/>
      <c r="AA267" s="231"/>
      <c r="AB267" s="231"/>
      <c r="AC267" s="231"/>
      <c r="AD267" s="231"/>
      <c r="AE267" s="231"/>
      <c r="AF267" s="231"/>
      <c r="AG267" s="231"/>
      <c r="AH267" s="231"/>
      <c r="AI267" s="231"/>
      <c r="AJ267" s="231"/>
      <c r="AK267" s="231"/>
    </row>
    <row r="268" spans="1:37" s="203" customFormat="1">
      <c r="A268" s="784">
        <v>2</v>
      </c>
      <c r="B268" s="166" t="s">
        <v>205</v>
      </c>
      <c r="C268" s="166"/>
      <c r="D268" s="47"/>
      <c r="E268" s="114">
        <v>0</v>
      </c>
      <c r="F268" s="52"/>
      <c r="G268" s="118"/>
      <c r="H268" s="122"/>
      <c r="I268" s="21"/>
      <c r="J268" s="231"/>
      <c r="K268" s="231"/>
      <c r="L268" s="231"/>
      <c r="M268" s="231"/>
      <c r="N268" s="231"/>
      <c r="O268" s="231"/>
      <c r="P268" s="231"/>
      <c r="Q268" s="231"/>
      <c r="R268" s="231"/>
      <c r="S268" s="231"/>
      <c r="T268" s="231"/>
      <c r="U268" s="231"/>
      <c r="V268" s="231"/>
      <c r="W268" s="231"/>
      <c r="X268" s="231"/>
      <c r="Y268" s="231"/>
      <c r="Z268" s="231"/>
      <c r="AA268" s="231"/>
      <c r="AB268" s="231"/>
      <c r="AC268" s="231"/>
      <c r="AD268" s="231"/>
      <c r="AE268" s="231"/>
      <c r="AF268" s="231"/>
      <c r="AG268" s="231"/>
      <c r="AH268" s="231"/>
      <c r="AI268" s="231"/>
      <c r="AJ268" s="231"/>
      <c r="AK268" s="231"/>
    </row>
    <row r="269" spans="1:37" s="203" customFormat="1">
      <c r="A269" s="120">
        <v>3</v>
      </c>
      <c r="B269" s="47" t="s">
        <v>206</v>
      </c>
      <c r="C269" s="47"/>
      <c r="D269" s="168"/>
      <c r="E269" s="114">
        <v>0</v>
      </c>
      <c r="F269" s="52"/>
      <c r="G269" s="118"/>
      <c r="H269" s="122"/>
      <c r="I269" s="21"/>
      <c r="J269" s="231"/>
      <c r="K269" s="231"/>
      <c r="L269" s="231"/>
      <c r="M269" s="231"/>
      <c r="N269" s="231"/>
      <c r="O269" s="231"/>
      <c r="P269" s="231"/>
      <c r="Q269" s="231"/>
      <c r="R269" s="231"/>
      <c r="S269" s="231"/>
      <c r="T269" s="231"/>
      <c r="U269" s="231"/>
      <c r="V269" s="231"/>
      <c r="W269" s="231"/>
      <c r="X269" s="231"/>
      <c r="Y269" s="231"/>
      <c r="Z269" s="231"/>
      <c r="AA269" s="231"/>
      <c r="AB269" s="231"/>
      <c r="AC269" s="231"/>
      <c r="AD269" s="231"/>
      <c r="AE269" s="231"/>
      <c r="AF269" s="231"/>
      <c r="AG269" s="231"/>
      <c r="AH269" s="231"/>
      <c r="AI269" s="231"/>
      <c r="AJ269" s="231"/>
      <c r="AK269" s="231"/>
    </row>
    <row r="270" spans="1:37" s="203" customFormat="1">
      <c r="A270" s="784">
        <v>4</v>
      </c>
      <c r="B270" s="47" t="s">
        <v>207</v>
      </c>
      <c r="C270" s="47"/>
      <c r="D270" s="116"/>
      <c r="E270" s="114">
        <v>192</v>
      </c>
      <c r="F270" s="52">
        <v>187</v>
      </c>
      <c r="G270" s="118"/>
      <c r="H270" s="122">
        <v>187</v>
      </c>
      <c r="I270" s="21"/>
      <c r="J270" s="231"/>
      <c r="K270" s="231"/>
      <c r="L270" s="231"/>
      <c r="M270" s="231"/>
      <c r="N270" s="231"/>
      <c r="O270" s="231"/>
      <c r="P270" s="231"/>
      <c r="Q270" s="231"/>
      <c r="R270" s="231"/>
      <c r="S270" s="231"/>
      <c r="T270" s="231"/>
      <c r="U270" s="231"/>
      <c r="V270" s="231"/>
      <c r="W270" s="231"/>
      <c r="X270" s="231"/>
      <c r="Y270" s="231"/>
      <c r="Z270" s="231"/>
      <c r="AA270" s="231"/>
      <c r="AB270" s="231"/>
      <c r="AC270" s="231"/>
      <c r="AD270" s="231"/>
      <c r="AE270" s="231"/>
      <c r="AF270" s="231"/>
      <c r="AG270" s="231"/>
      <c r="AH270" s="231"/>
      <c r="AI270" s="231"/>
      <c r="AJ270" s="231"/>
      <c r="AK270" s="231"/>
    </row>
    <row r="271" spans="1:37" s="203" customFormat="1">
      <c r="A271" s="120">
        <v>5</v>
      </c>
      <c r="B271" s="47" t="s">
        <v>208</v>
      </c>
      <c r="C271" s="47"/>
      <c r="D271" s="47"/>
      <c r="E271" s="114">
        <v>-106</v>
      </c>
      <c r="F271" s="52">
        <v>-61</v>
      </c>
      <c r="G271" s="118"/>
      <c r="H271" s="122">
        <v>-106</v>
      </c>
      <c r="I271" s="21"/>
      <c r="J271" s="231"/>
      <c r="K271" s="231"/>
      <c r="L271" s="231"/>
      <c r="M271" s="231"/>
      <c r="N271" s="231"/>
      <c r="O271" s="231"/>
      <c r="P271" s="231"/>
      <c r="Q271" s="231"/>
      <c r="R271" s="231"/>
      <c r="S271" s="231"/>
      <c r="T271" s="231"/>
      <c r="U271" s="231"/>
      <c r="V271" s="231"/>
      <c r="W271" s="231"/>
      <c r="X271" s="231"/>
      <c r="Y271" s="231"/>
      <c r="Z271" s="231"/>
      <c r="AA271" s="231"/>
      <c r="AB271" s="231"/>
      <c r="AC271" s="231"/>
      <c r="AD271" s="231"/>
      <c r="AE271" s="231"/>
      <c r="AF271" s="231"/>
      <c r="AG271" s="231"/>
      <c r="AH271" s="231"/>
      <c r="AI271" s="231"/>
      <c r="AJ271" s="231"/>
      <c r="AK271" s="231"/>
    </row>
    <row r="272" spans="1:37" s="203" customFormat="1">
      <c r="A272" s="784">
        <v>6</v>
      </c>
      <c r="B272" s="47" t="s">
        <v>209</v>
      </c>
      <c r="C272" s="47"/>
      <c r="D272" s="47"/>
      <c r="E272" s="114">
        <v>-93</v>
      </c>
      <c r="F272" s="52">
        <v>-64</v>
      </c>
      <c r="G272" s="118"/>
      <c r="H272" s="122">
        <v>-93</v>
      </c>
      <c r="I272" s="21"/>
      <c r="J272" s="231"/>
      <c r="K272" s="231"/>
      <c r="L272" s="231"/>
      <c r="M272" s="231"/>
      <c r="N272" s="231"/>
      <c r="O272" s="231"/>
      <c r="P272" s="231"/>
      <c r="Q272" s="231"/>
      <c r="R272" s="231"/>
      <c r="S272" s="231"/>
      <c r="T272" s="231"/>
      <c r="U272" s="231"/>
      <c r="V272" s="231"/>
      <c r="W272" s="231"/>
      <c r="X272" s="231"/>
      <c r="Y272" s="231"/>
      <c r="Z272" s="231"/>
      <c r="AA272" s="231"/>
      <c r="AB272" s="231"/>
      <c r="AC272" s="231"/>
      <c r="AD272" s="231"/>
      <c r="AE272" s="231"/>
      <c r="AF272" s="231"/>
      <c r="AG272" s="231"/>
      <c r="AH272" s="231"/>
      <c r="AI272" s="231"/>
      <c r="AJ272" s="231"/>
      <c r="AK272" s="231"/>
    </row>
    <row r="273" spans="1:37" s="203" customFormat="1">
      <c r="A273" s="120">
        <v>7</v>
      </c>
      <c r="B273" s="47" t="s">
        <v>210</v>
      </c>
      <c r="C273" s="47"/>
      <c r="D273" s="47"/>
      <c r="E273" s="114">
        <v>98</v>
      </c>
      <c r="F273" s="52">
        <v>-114</v>
      </c>
      <c r="G273" s="118"/>
      <c r="H273" s="122">
        <v>106</v>
      </c>
      <c r="I273" s="21"/>
      <c r="J273" s="231"/>
      <c r="K273" s="231"/>
      <c r="L273" s="231"/>
      <c r="M273" s="231"/>
      <c r="N273" s="231"/>
      <c r="O273" s="231"/>
      <c r="P273" s="231"/>
      <c r="Q273" s="231"/>
      <c r="R273" s="231"/>
      <c r="S273" s="231"/>
      <c r="T273" s="231"/>
      <c r="U273" s="231"/>
      <c r="V273" s="231"/>
      <c r="W273" s="231"/>
      <c r="X273" s="231"/>
      <c r="Y273" s="231"/>
      <c r="Z273" s="231"/>
      <c r="AA273" s="231"/>
      <c r="AB273" s="231"/>
      <c r="AC273" s="231"/>
      <c r="AD273" s="231"/>
      <c r="AE273" s="231"/>
      <c r="AF273" s="231"/>
      <c r="AG273" s="231"/>
      <c r="AH273" s="231"/>
      <c r="AI273" s="231"/>
      <c r="AJ273" s="231"/>
      <c r="AK273" s="231"/>
    </row>
    <row r="274" spans="1:37" s="203" customFormat="1">
      <c r="A274" s="784">
        <v>8</v>
      </c>
      <c r="B274" s="47" t="s">
        <v>211</v>
      </c>
      <c r="C274" s="47"/>
      <c r="D274" s="47"/>
      <c r="E274" s="114">
        <v>6403</v>
      </c>
      <c r="F274" s="52">
        <v>6443</v>
      </c>
      <c r="G274" s="118"/>
      <c r="H274" s="122">
        <f>6098+1</f>
        <v>6099</v>
      </c>
      <c r="I274" s="21"/>
      <c r="J274" s="231"/>
      <c r="K274" s="231"/>
      <c r="L274" s="231"/>
      <c r="M274" s="231"/>
      <c r="N274" s="231"/>
      <c r="O274" s="231"/>
      <c r="P274" s="231"/>
      <c r="Q274" s="231"/>
      <c r="R274" s="231"/>
      <c r="S274" s="231"/>
      <c r="T274" s="231"/>
      <c r="U274" s="231"/>
      <c r="V274" s="231"/>
      <c r="W274" s="231"/>
      <c r="X274" s="231"/>
      <c r="Y274" s="231"/>
      <c r="Z274" s="231"/>
      <c r="AA274" s="231"/>
      <c r="AB274" s="231"/>
      <c r="AC274" s="231"/>
      <c r="AD274" s="231"/>
      <c r="AE274" s="231"/>
      <c r="AF274" s="231"/>
      <c r="AG274" s="231"/>
      <c r="AH274" s="231"/>
      <c r="AI274" s="231"/>
      <c r="AJ274" s="231"/>
      <c r="AK274" s="231"/>
    </row>
    <row r="275" spans="1:37" s="203" customFormat="1">
      <c r="A275" s="120">
        <v>9</v>
      </c>
      <c r="B275" s="47" t="s">
        <v>212</v>
      </c>
      <c r="C275" s="47"/>
      <c r="D275" s="47"/>
      <c r="E275" s="114">
        <v>0</v>
      </c>
      <c r="F275" s="52"/>
      <c r="G275" s="118"/>
      <c r="H275" s="122"/>
      <c r="I275" s="21"/>
      <c r="J275" s="231"/>
      <c r="K275" s="231"/>
      <c r="L275" s="231"/>
      <c r="M275" s="231"/>
      <c r="N275" s="231"/>
      <c r="O275" s="231"/>
      <c r="P275" s="231"/>
      <c r="Q275" s="231"/>
      <c r="R275" s="231"/>
      <c r="S275" s="231"/>
      <c r="T275" s="231"/>
      <c r="U275" s="231"/>
      <c r="V275" s="231"/>
      <c r="W275" s="231"/>
      <c r="X275" s="231"/>
      <c r="Y275" s="231"/>
      <c r="Z275" s="231"/>
      <c r="AA275" s="231"/>
      <c r="AB275" s="231"/>
      <c r="AC275" s="231"/>
      <c r="AD275" s="231"/>
      <c r="AE275" s="231"/>
      <c r="AF275" s="231"/>
      <c r="AG275" s="231"/>
      <c r="AH275" s="231"/>
      <c r="AI275" s="231"/>
      <c r="AJ275" s="231"/>
      <c r="AK275" s="231"/>
    </row>
    <row r="276" spans="1:37" s="203" customFormat="1">
      <c r="A276" s="784">
        <v>10</v>
      </c>
      <c r="B276" s="47" t="s">
        <v>213</v>
      </c>
      <c r="C276" s="47"/>
      <c r="D276" s="47"/>
      <c r="E276" s="114">
        <v>3354</v>
      </c>
      <c r="F276" s="52">
        <v>4046</v>
      </c>
      <c r="G276" s="118"/>
      <c r="H276" s="99">
        <f>4079-127</f>
        <v>3952</v>
      </c>
      <c r="I276" s="21"/>
      <c r="J276" s="231"/>
      <c r="K276" s="231"/>
      <c r="L276" s="231"/>
      <c r="M276" s="231"/>
      <c r="N276" s="231"/>
      <c r="O276" s="231"/>
      <c r="P276" s="231"/>
      <c r="Q276" s="231"/>
      <c r="R276" s="231"/>
      <c r="S276" s="231"/>
      <c r="T276" s="231"/>
      <c r="U276" s="231"/>
      <c r="V276" s="231"/>
      <c r="W276" s="231"/>
      <c r="X276" s="231"/>
      <c r="Y276" s="231"/>
      <c r="Z276" s="231"/>
      <c r="AA276" s="231"/>
      <c r="AB276" s="231"/>
      <c r="AC276" s="231"/>
      <c r="AD276" s="231"/>
      <c r="AE276" s="231"/>
      <c r="AF276" s="231"/>
      <c r="AG276" s="231"/>
      <c r="AH276" s="231"/>
      <c r="AI276" s="231"/>
      <c r="AJ276" s="231"/>
      <c r="AK276" s="231"/>
    </row>
    <row r="277" spans="1:37" s="203" customFormat="1">
      <c r="A277" s="124">
        <v>11</v>
      </c>
      <c r="B277" s="94" t="s">
        <v>214</v>
      </c>
      <c r="C277" s="94"/>
      <c r="D277" s="94"/>
      <c r="E277" s="159">
        <v>9851</v>
      </c>
      <c r="F277" s="61">
        <f>SUM(F267:F276)</f>
        <v>10433</v>
      </c>
      <c r="G277" s="118"/>
      <c r="H277" s="61">
        <f>SUM(H267:H276)</f>
        <v>10140</v>
      </c>
      <c r="I277" s="21"/>
      <c r="J277" s="231"/>
      <c r="K277" s="231"/>
      <c r="L277" s="231"/>
      <c r="M277" s="231"/>
      <c r="N277" s="231"/>
      <c r="O277" s="231"/>
      <c r="P277" s="231"/>
      <c r="Q277" s="231"/>
      <c r="R277" s="231"/>
      <c r="S277" s="231"/>
      <c r="T277" s="231"/>
      <c r="U277" s="231"/>
      <c r="V277" s="231"/>
      <c r="W277" s="231"/>
      <c r="X277" s="231"/>
      <c r="Y277" s="231"/>
      <c r="Z277" s="231"/>
      <c r="AA277" s="231"/>
      <c r="AB277" s="231"/>
      <c r="AC277" s="231"/>
      <c r="AD277" s="231"/>
      <c r="AE277" s="231"/>
      <c r="AF277" s="231"/>
      <c r="AG277" s="231"/>
      <c r="AH277" s="231"/>
      <c r="AI277" s="231"/>
      <c r="AJ277" s="231"/>
      <c r="AK277" s="231"/>
    </row>
    <row r="278" spans="1:37" s="203" customFormat="1">
      <c r="A278" s="207"/>
      <c r="B278" s="207"/>
      <c r="C278" s="207"/>
      <c r="D278" s="207"/>
      <c r="E278" s="207"/>
      <c r="F278" s="207"/>
      <c r="G278" s="207"/>
      <c r="H278" s="207"/>
      <c r="I278" s="21"/>
      <c r="J278" s="231"/>
      <c r="K278" s="231"/>
      <c r="L278" s="231"/>
      <c r="M278" s="231"/>
      <c r="N278" s="231"/>
      <c r="O278" s="231"/>
      <c r="P278" s="231"/>
      <c r="Q278" s="231"/>
      <c r="R278" s="231"/>
      <c r="S278" s="231"/>
      <c r="T278" s="231"/>
      <c r="U278" s="231"/>
      <c r="V278" s="231"/>
      <c r="W278" s="231"/>
      <c r="X278" s="231"/>
      <c r="Y278" s="231"/>
      <c r="Z278" s="231"/>
      <c r="AA278" s="231"/>
      <c r="AB278" s="231"/>
      <c r="AC278" s="231"/>
      <c r="AD278" s="231"/>
      <c r="AE278" s="231"/>
      <c r="AF278" s="231"/>
      <c r="AG278" s="231"/>
      <c r="AH278" s="231"/>
      <c r="AI278" s="231"/>
      <c r="AJ278" s="231"/>
      <c r="AK278" s="231"/>
    </row>
    <row r="279" spans="1:37" s="203" customFormat="1">
      <c r="A279" s="207"/>
      <c r="B279" s="207"/>
      <c r="C279" s="207"/>
      <c r="D279" s="207"/>
      <c r="E279" s="207"/>
      <c r="F279" s="207"/>
      <c r="G279" s="207"/>
      <c r="H279" s="131" t="s">
        <v>27</v>
      </c>
      <c r="I279" s="21"/>
      <c r="J279" s="231"/>
      <c r="K279" s="231"/>
      <c r="L279" s="231"/>
      <c r="M279" s="231"/>
      <c r="N279" s="231"/>
      <c r="O279" s="231"/>
      <c r="P279" s="231"/>
      <c r="Q279" s="231"/>
      <c r="R279" s="231"/>
      <c r="S279" s="231"/>
      <c r="T279" s="231"/>
      <c r="U279" s="231"/>
      <c r="V279" s="231"/>
      <c r="W279" s="231"/>
      <c r="X279" s="231"/>
      <c r="Y279" s="231"/>
      <c r="Z279" s="231"/>
      <c r="AA279" s="231"/>
      <c r="AB279" s="231"/>
      <c r="AC279" s="231"/>
      <c r="AD279" s="231"/>
      <c r="AE279" s="231"/>
      <c r="AF279" s="231"/>
      <c r="AG279" s="231"/>
      <c r="AH279" s="231"/>
      <c r="AI279" s="231"/>
      <c r="AJ279" s="231"/>
      <c r="AK279" s="231"/>
    </row>
    <row r="280" spans="1:37" s="203" customFormat="1" ht="12.75" customHeight="1">
      <c r="A280" s="106" t="s">
        <v>18</v>
      </c>
      <c r="B280" s="164"/>
      <c r="C280" s="164"/>
      <c r="D280" s="164"/>
      <c r="E280" s="856" t="s">
        <v>377</v>
      </c>
      <c r="F280" s="856" t="s">
        <v>402</v>
      </c>
      <c r="G280" s="130"/>
      <c r="H280" s="856" t="s">
        <v>403</v>
      </c>
      <c r="I280" s="21"/>
      <c r="J280" s="231"/>
      <c r="K280" s="231"/>
      <c r="L280" s="231"/>
      <c r="M280" s="231"/>
      <c r="N280" s="231"/>
      <c r="O280" s="231"/>
      <c r="P280" s="231"/>
      <c r="Q280" s="231"/>
      <c r="R280" s="231"/>
      <c r="S280" s="231"/>
      <c r="T280" s="231"/>
      <c r="U280" s="231"/>
      <c r="V280" s="231"/>
      <c r="W280" s="231"/>
      <c r="X280" s="231"/>
      <c r="Y280" s="231"/>
      <c r="Z280" s="231"/>
      <c r="AA280" s="231"/>
      <c r="AB280" s="231"/>
      <c r="AC280" s="231"/>
      <c r="AD280" s="231"/>
      <c r="AE280" s="231"/>
      <c r="AF280" s="231"/>
      <c r="AG280" s="231"/>
      <c r="AH280" s="231"/>
      <c r="AI280" s="231"/>
      <c r="AJ280" s="231"/>
      <c r="AK280" s="231"/>
    </row>
    <row r="281" spans="1:37" s="203" customFormat="1">
      <c r="A281" s="165"/>
      <c r="B281" s="47"/>
      <c r="C281" s="47"/>
      <c r="D281" s="47"/>
      <c r="E281" s="859"/>
      <c r="F281" s="859"/>
      <c r="G281" s="130"/>
      <c r="H281" s="859"/>
      <c r="I281" s="21"/>
      <c r="J281" s="231"/>
      <c r="K281" s="231"/>
      <c r="L281" s="231"/>
      <c r="M281" s="231"/>
      <c r="N281" s="231"/>
      <c r="O281" s="231"/>
      <c r="P281" s="231"/>
      <c r="Q281" s="231"/>
      <c r="R281" s="231"/>
      <c r="S281" s="231"/>
      <c r="T281" s="231"/>
      <c r="U281" s="231"/>
      <c r="V281" s="231"/>
      <c r="W281" s="231"/>
      <c r="X281" s="231"/>
      <c r="Y281" s="231"/>
      <c r="Z281" s="231"/>
      <c r="AA281" s="231"/>
      <c r="AB281" s="231"/>
      <c r="AC281" s="231"/>
      <c r="AD281" s="231"/>
      <c r="AE281" s="231"/>
      <c r="AF281" s="231"/>
      <c r="AG281" s="231"/>
      <c r="AH281" s="231"/>
      <c r="AI281" s="231"/>
      <c r="AJ281" s="231"/>
      <c r="AK281" s="231"/>
    </row>
    <row r="282" spans="1:37" s="203" customFormat="1" ht="21.75" customHeight="1">
      <c r="A282" s="109"/>
      <c r="B282" s="174"/>
      <c r="C282" s="174"/>
      <c r="D282" s="174"/>
      <c r="E282" s="859"/>
      <c r="F282" s="859"/>
      <c r="G282" s="130"/>
      <c r="H282" s="859"/>
      <c r="I282" s="21"/>
      <c r="J282" s="231"/>
      <c r="K282" s="231"/>
      <c r="L282" s="231"/>
      <c r="M282" s="231"/>
      <c r="N282" s="231"/>
      <c r="O282" s="231"/>
      <c r="P282" s="231"/>
      <c r="Q282" s="231"/>
      <c r="R282" s="231"/>
      <c r="S282" s="231"/>
      <c r="T282" s="231"/>
      <c r="U282" s="231"/>
      <c r="V282" s="231"/>
      <c r="W282" s="231"/>
      <c r="X282" s="231"/>
      <c r="Y282" s="231"/>
      <c r="Z282" s="231"/>
      <c r="AA282" s="231"/>
      <c r="AB282" s="231"/>
      <c r="AC282" s="231"/>
      <c r="AD282" s="231"/>
      <c r="AE282" s="231"/>
      <c r="AF282" s="231"/>
      <c r="AG282" s="231"/>
      <c r="AH282" s="231"/>
      <c r="AI282" s="231"/>
      <c r="AJ282" s="231"/>
      <c r="AK282" s="231"/>
    </row>
    <row r="283" spans="1:37" s="203" customFormat="1">
      <c r="A283" s="154" t="s">
        <v>215</v>
      </c>
      <c r="B283" s="47"/>
      <c r="C283" s="47"/>
      <c r="D283" s="47"/>
      <c r="E283" s="859"/>
      <c r="F283" s="859"/>
      <c r="G283" s="130"/>
      <c r="H283" s="859"/>
      <c r="I283" s="21"/>
      <c r="J283" s="231"/>
      <c r="K283" s="231"/>
      <c r="L283" s="231"/>
      <c r="M283" s="231"/>
      <c r="N283" s="231"/>
      <c r="O283" s="231"/>
      <c r="P283" s="231"/>
      <c r="Q283" s="231"/>
      <c r="R283" s="231"/>
      <c r="S283" s="231"/>
      <c r="T283" s="231"/>
      <c r="U283" s="231"/>
      <c r="V283" s="231"/>
      <c r="W283" s="231"/>
      <c r="X283" s="231"/>
      <c r="Y283" s="231"/>
      <c r="Z283" s="231"/>
      <c r="AA283" s="231"/>
      <c r="AB283" s="231"/>
      <c r="AC283" s="231"/>
      <c r="AD283" s="231"/>
      <c r="AE283" s="231"/>
      <c r="AF283" s="231"/>
      <c r="AG283" s="231"/>
      <c r="AH283" s="231"/>
      <c r="AI283" s="231"/>
      <c r="AJ283" s="231"/>
      <c r="AK283" s="231"/>
    </row>
    <row r="284" spans="1:37" s="203" customFormat="1">
      <c r="A284" s="109" t="s">
        <v>83</v>
      </c>
      <c r="B284" s="174"/>
      <c r="C284" s="174"/>
      <c r="D284" s="174"/>
      <c r="E284" s="860"/>
      <c r="F284" s="860"/>
      <c r="G284" s="130"/>
      <c r="H284" s="860"/>
      <c r="I284" s="21"/>
      <c r="J284" s="231"/>
      <c r="K284" s="231"/>
      <c r="L284" s="231"/>
      <c r="M284" s="231"/>
      <c r="N284" s="231"/>
      <c r="O284" s="231"/>
      <c r="P284" s="231"/>
      <c r="Q284" s="231"/>
      <c r="R284" s="231"/>
      <c r="S284" s="231"/>
      <c r="T284" s="231"/>
      <c r="U284" s="231"/>
      <c r="V284" s="231"/>
      <c r="W284" s="231"/>
      <c r="X284" s="231"/>
      <c r="Y284" s="231"/>
      <c r="Z284" s="231"/>
      <c r="AA284" s="231"/>
      <c r="AB284" s="231"/>
      <c r="AC284" s="231"/>
      <c r="AD284" s="231"/>
      <c r="AE284" s="231"/>
      <c r="AF284" s="231"/>
      <c r="AG284" s="231"/>
      <c r="AH284" s="231"/>
      <c r="AI284" s="231"/>
      <c r="AJ284" s="231"/>
      <c r="AK284" s="231"/>
    </row>
    <row r="285" spans="1:37" s="203" customFormat="1">
      <c r="A285" s="110" t="s">
        <v>84</v>
      </c>
      <c r="B285" s="116"/>
      <c r="C285" s="116"/>
      <c r="D285" s="116"/>
      <c r="E285" s="178"/>
      <c r="F285" s="146"/>
      <c r="G285" s="118"/>
      <c r="H285" s="146"/>
      <c r="I285" s="21"/>
      <c r="J285" s="231"/>
      <c r="K285" s="231"/>
      <c r="L285" s="231"/>
      <c r="M285" s="231"/>
      <c r="N285" s="231"/>
      <c r="O285" s="231"/>
      <c r="P285" s="231"/>
      <c r="Q285" s="231"/>
      <c r="R285" s="231"/>
      <c r="S285" s="231"/>
      <c r="T285" s="231"/>
      <c r="U285" s="231"/>
      <c r="V285" s="231"/>
      <c r="W285" s="231"/>
      <c r="X285" s="231"/>
      <c r="Y285" s="231"/>
      <c r="Z285" s="231"/>
      <c r="AA285" s="231"/>
      <c r="AB285" s="231"/>
      <c r="AC285" s="231"/>
      <c r="AD285" s="231"/>
      <c r="AE285" s="231"/>
      <c r="AF285" s="231"/>
      <c r="AG285" s="231"/>
      <c r="AH285" s="231"/>
      <c r="AI285" s="231"/>
      <c r="AJ285" s="231"/>
      <c r="AK285" s="231"/>
    </row>
    <row r="286" spans="1:37" s="203" customFormat="1">
      <c r="A286" s="120">
        <v>1</v>
      </c>
      <c r="B286" s="47" t="s">
        <v>216</v>
      </c>
      <c r="C286" s="47"/>
      <c r="D286" s="47"/>
      <c r="E286" s="74">
        <v>694</v>
      </c>
      <c r="F286" s="52">
        <v>791</v>
      </c>
      <c r="G286" s="118"/>
      <c r="H286" s="122">
        <v>702</v>
      </c>
      <c r="I286" s="21"/>
      <c r="J286" s="231"/>
      <c r="K286" s="231"/>
      <c r="L286" s="231"/>
      <c r="M286" s="231"/>
      <c r="N286" s="231"/>
      <c r="O286" s="231"/>
      <c r="P286" s="231"/>
      <c r="Q286" s="231"/>
      <c r="R286" s="231"/>
      <c r="S286" s="231"/>
      <c r="T286" s="231"/>
      <c r="U286" s="231"/>
      <c r="V286" s="231"/>
      <c r="W286" s="231"/>
      <c r="X286" s="231"/>
      <c r="Y286" s="231"/>
      <c r="Z286" s="231"/>
      <c r="AA286" s="231"/>
      <c r="AB286" s="231"/>
      <c r="AC286" s="231"/>
      <c r="AD286" s="231"/>
      <c r="AE286" s="231"/>
      <c r="AF286" s="231"/>
      <c r="AG286" s="231"/>
      <c r="AH286" s="231"/>
      <c r="AI286" s="231"/>
      <c r="AJ286" s="231"/>
      <c r="AK286" s="231"/>
    </row>
    <row r="287" spans="1:37" s="203" customFormat="1">
      <c r="A287" s="784">
        <v>2</v>
      </c>
      <c r="B287" s="47" t="s">
        <v>217</v>
      </c>
      <c r="C287" s="47"/>
      <c r="D287" s="47"/>
      <c r="E287" s="114">
        <v>134</v>
      </c>
      <c r="F287" s="52">
        <v>141</v>
      </c>
      <c r="G287" s="118"/>
      <c r="H287" s="122">
        <v>155</v>
      </c>
      <c r="I287" s="21"/>
      <c r="J287" s="231"/>
      <c r="K287" s="231"/>
      <c r="L287" s="231"/>
      <c r="M287" s="231"/>
      <c r="N287" s="231"/>
      <c r="O287" s="231"/>
      <c r="P287" s="231"/>
      <c r="Q287" s="231"/>
      <c r="R287" s="231"/>
      <c r="S287" s="231"/>
      <c r="T287" s="231"/>
      <c r="U287" s="231"/>
      <c r="V287" s="231"/>
      <c r="W287" s="231"/>
      <c r="X287" s="231"/>
      <c r="Y287" s="231"/>
      <c r="Z287" s="231"/>
      <c r="AA287" s="231"/>
      <c r="AB287" s="231"/>
      <c r="AC287" s="231"/>
      <c r="AD287" s="231"/>
      <c r="AE287" s="231"/>
      <c r="AF287" s="231"/>
      <c r="AG287" s="231"/>
      <c r="AH287" s="231"/>
      <c r="AI287" s="231"/>
      <c r="AJ287" s="231"/>
      <c r="AK287" s="231"/>
    </row>
    <row r="288" spans="1:37" s="203" customFormat="1">
      <c r="A288" s="120">
        <v>3</v>
      </c>
      <c r="B288" s="90" t="s">
        <v>218</v>
      </c>
      <c r="C288" s="166"/>
      <c r="D288" s="168"/>
      <c r="E288" s="114">
        <v>1231</v>
      </c>
      <c r="F288" s="52">
        <f>1819-512</f>
        <v>1307</v>
      </c>
      <c r="G288" s="118"/>
      <c r="H288" s="122">
        <f>1776-512</f>
        <v>1264</v>
      </c>
      <c r="I288" s="21"/>
      <c r="J288" s="231"/>
      <c r="K288" s="231"/>
      <c r="L288" s="231"/>
      <c r="M288" s="231"/>
      <c r="N288" s="231"/>
      <c r="O288" s="231"/>
      <c r="P288" s="231"/>
      <c r="Q288" s="231"/>
      <c r="R288" s="231"/>
      <c r="S288" s="231"/>
      <c r="T288" s="231"/>
      <c r="U288" s="231"/>
      <c r="V288" s="231"/>
      <c r="W288" s="231"/>
      <c r="X288" s="231"/>
      <c r="Y288" s="231"/>
      <c r="Z288" s="231"/>
      <c r="AA288" s="231"/>
      <c r="AB288" s="231"/>
      <c r="AC288" s="231"/>
      <c r="AD288" s="231"/>
      <c r="AE288" s="231"/>
      <c r="AF288" s="231"/>
      <c r="AG288" s="231"/>
      <c r="AH288" s="231"/>
      <c r="AI288" s="231"/>
      <c r="AJ288" s="231"/>
      <c r="AK288" s="231"/>
    </row>
    <row r="289" spans="1:37" s="203" customFormat="1">
      <c r="A289" s="784">
        <v>4</v>
      </c>
      <c r="B289" s="47" t="s">
        <v>219</v>
      </c>
      <c r="C289" s="47"/>
      <c r="D289" s="116"/>
      <c r="E289" s="114">
        <v>117</v>
      </c>
      <c r="F289" s="52">
        <v>110</v>
      </c>
      <c r="G289" s="118"/>
      <c r="H289" s="122">
        <v>110</v>
      </c>
      <c r="I289" s="21"/>
      <c r="J289" s="231"/>
      <c r="K289" s="231"/>
      <c r="L289" s="231"/>
      <c r="M289" s="231"/>
      <c r="N289" s="231"/>
      <c r="O289" s="231"/>
      <c r="P289" s="231"/>
      <c r="Q289" s="231"/>
      <c r="R289" s="231"/>
      <c r="S289" s="231"/>
      <c r="T289" s="231"/>
      <c r="U289" s="231"/>
      <c r="V289" s="231"/>
      <c r="W289" s="231"/>
      <c r="X289" s="231"/>
      <c r="Y289" s="231"/>
      <c r="Z289" s="231"/>
      <c r="AA289" s="231"/>
      <c r="AB289" s="231"/>
      <c r="AC289" s="231"/>
      <c r="AD289" s="231"/>
      <c r="AE289" s="231"/>
      <c r="AF289" s="231"/>
      <c r="AG289" s="231"/>
      <c r="AH289" s="231"/>
      <c r="AI289" s="231"/>
      <c r="AJ289" s="231"/>
      <c r="AK289" s="231"/>
    </row>
    <row r="290" spans="1:37" s="203" customFormat="1">
      <c r="A290" s="784">
        <v>5</v>
      </c>
      <c r="B290" s="47" t="s">
        <v>220</v>
      </c>
      <c r="C290" s="47"/>
      <c r="D290" s="47"/>
      <c r="E290" s="114">
        <v>-36</v>
      </c>
      <c r="F290" s="52">
        <v>-41</v>
      </c>
      <c r="G290" s="118"/>
      <c r="H290" s="122">
        <v>-72</v>
      </c>
      <c r="I290" s="21"/>
      <c r="J290" s="231"/>
      <c r="K290" s="231"/>
      <c r="L290" s="231"/>
      <c r="M290" s="231"/>
      <c r="N290" s="231"/>
      <c r="O290" s="231"/>
      <c r="P290" s="231"/>
      <c r="Q290" s="231"/>
      <c r="R290" s="231"/>
      <c r="S290" s="231"/>
      <c r="T290" s="231"/>
      <c r="U290" s="231"/>
      <c r="V290" s="231"/>
      <c r="W290" s="231"/>
      <c r="X290" s="231"/>
      <c r="Y290" s="231"/>
      <c r="Z290" s="231"/>
      <c r="AA290" s="231"/>
      <c r="AB290" s="231"/>
      <c r="AC290" s="231"/>
      <c r="AD290" s="231"/>
      <c r="AE290" s="231"/>
      <c r="AF290" s="231"/>
      <c r="AG290" s="231"/>
      <c r="AH290" s="231"/>
      <c r="AI290" s="231"/>
      <c r="AJ290" s="231"/>
      <c r="AK290" s="231"/>
    </row>
    <row r="291" spans="1:37" s="203" customFormat="1">
      <c r="A291" s="120">
        <v>6</v>
      </c>
      <c r="B291" s="47" t="s">
        <v>221</v>
      </c>
      <c r="C291" s="47"/>
      <c r="D291" s="47"/>
      <c r="E291" s="114">
        <v>92</v>
      </c>
      <c r="F291" s="52">
        <v>93</v>
      </c>
      <c r="G291" s="118"/>
      <c r="H291" s="122">
        <v>93</v>
      </c>
      <c r="I291" s="21"/>
      <c r="J291" s="231"/>
      <c r="K291" s="231"/>
      <c r="L291" s="231"/>
      <c r="M291" s="231"/>
      <c r="N291" s="231"/>
      <c r="O291" s="231"/>
      <c r="P291" s="231"/>
      <c r="Q291" s="231"/>
      <c r="R291" s="231"/>
      <c r="S291" s="231"/>
      <c r="T291" s="231"/>
      <c r="U291" s="231"/>
      <c r="V291" s="231"/>
      <c r="W291" s="231"/>
      <c r="X291" s="231"/>
      <c r="Y291" s="231"/>
      <c r="Z291" s="231"/>
      <c r="AA291" s="231"/>
      <c r="AB291" s="231"/>
      <c r="AC291" s="231"/>
      <c r="AD291" s="231"/>
      <c r="AE291" s="231"/>
      <c r="AF291" s="231"/>
      <c r="AG291" s="231"/>
      <c r="AH291" s="231"/>
      <c r="AI291" s="231"/>
      <c r="AJ291" s="231"/>
      <c r="AK291" s="231"/>
    </row>
    <row r="292" spans="1:37" s="203" customFormat="1">
      <c r="A292" s="784">
        <v>7</v>
      </c>
      <c r="B292" s="47" t="s">
        <v>222</v>
      </c>
      <c r="C292" s="47"/>
      <c r="D292" s="116"/>
      <c r="E292" s="114">
        <v>336</v>
      </c>
      <c r="F292" s="52">
        <v>311</v>
      </c>
      <c r="G292" s="118"/>
      <c r="H292" s="122">
        <v>311</v>
      </c>
      <c r="I292" s="21"/>
      <c r="J292" s="231"/>
      <c r="K292" s="231"/>
      <c r="L292" s="231"/>
      <c r="M292" s="231"/>
      <c r="N292" s="231"/>
      <c r="O292" s="231"/>
      <c r="P292" s="231"/>
      <c r="Q292" s="231"/>
      <c r="R292" s="231"/>
      <c r="S292" s="231"/>
      <c r="T292" s="231"/>
      <c r="U292" s="231"/>
      <c r="V292" s="231"/>
      <c r="W292" s="231"/>
      <c r="X292" s="231"/>
      <c r="Y292" s="231"/>
      <c r="Z292" s="231"/>
      <c r="AA292" s="231"/>
      <c r="AB292" s="231"/>
      <c r="AC292" s="231"/>
      <c r="AD292" s="231"/>
      <c r="AE292" s="231"/>
      <c r="AF292" s="231"/>
      <c r="AG292" s="231"/>
      <c r="AH292" s="231"/>
      <c r="AI292" s="231"/>
      <c r="AJ292" s="231"/>
      <c r="AK292" s="231"/>
    </row>
    <row r="293" spans="1:37" s="203" customFormat="1">
      <c r="A293" s="120">
        <v>8</v>
      </c>
      <c r="B293" s="47" t="s">
        <v>223</v>
      </c>
      <c r="C293" s="47"/>
      <c r="D293" s="116"/>
      <c r="E293" s="114">
        <v>292</v>
      </c>
      <c r="F293" s="52">
        <v>318</v>
      </c>
      <c r="G293" s="118"/>
      <c r="H293" s="122">
        <v>318</v>
      </c>
      <c r="I293" s="21"/>
      <c r="J293" s="231"/>
      <c r="K293" s="231"/>
      <c r="L293" s="231"/>
      <c r="M293" s="231"/>
      <c r="N293" s="231"/>
      <c r="O293" s="231"/>
      <c r="P293" s="231"/>
      <c r="Q293" s="231"/>
      <c r="R293" s="231"/>
      <c r="S293" s="231"/>
      <c r="T293" s="231"/>
      <c r="U293" s="231"/>
      <c r="V293" s="231"/>
      <c r="W293" s="231"/>
      <c r="X293" s="231"/>
      <c r="Y293" s="231"/>
      <c r="Z293" s="231"/>
      <c r="AA293" s="231"/>
      <c r="AB293" s="231"/>
      <c r="AC293" s="231"/>
      <c r="AD293" s="231"/>
      <c r="AE293" s="231"/>
      <c r="AF293" s="231"/>
      <c r="AG293" s="231"/>
      <c r="AH293" s="231"/>
      <c r="AI293" s="231"/>
      <c r="AJ293" s="231"/>
      <c r="AK293" s="231"/>
    </row>
    <row r="294" spans="1:37" s="203" customFormat="1">
      <c r="A294" s="784">
        <v>9</v>
      </c>
      <c r="B294" s="47" t="s">
        <v>224</v>
      </c>
      <c r="C294" s="47"/>
      <c r="D294" s="116"/>
      <c r="E294" s="114">
        <v>157</v>
      </c>
      <c r="F294" s="52">
        <v>157</v>
      </c>
      <c r="G294" s="118"/>
      <c r="H294" s="122">
        <v>157</v>
      </c>
      <c r="I294" s="21"/>
      <c r="J294" s="231"/>
      <c r="K294" s="231"/>
      <c r="L294" s="231"/>
      <c r="M294" s="231"/>
      <c r="N294" s="231"/>
      <c r="O294" s="231"/>
      <c r="P294" s="231"/>
      <c r="Q294" s="231"/>
      <c r="R294" s="231"/>
      <c r="S294" s="231"/>
      <c r="T294" s="231"/>
      <c r="U294" s="231"/>
      <c r="V294" s="231"/>
      <c r="W294" s="231"/>
      <c r="X294" s="231"/>
      <c r="Y294" s="231"/>
      <c r="Z294" s="231"/>
      <c r="AA294" s="231"/>
      <c r="AB294" s="231"/>
      <c r="AC294" s="231"/>
      <c r="AD294" s="231"/>
      <c r="AE294" s="231"/>
      <c r="AF294" s="231"/>
      <c r="AG294" s="231"/>
      <c r="AH294" s="231"/>
      <c r="AI294" s="231"/>
      <c r="AJ294" s="231"/>
      <c r="AK294" s="231"/>
    </row>
    <row r="295" spans="1:37" s="203" customFormat="1">
      <c r="A295" s="120">
        <v>10</v>
      </c>
      <c r="B295" s="47" t="s">
        <v>225</v>
      </c>
      <c r="C295" s="47"/>
      <c r="D295" s="47"/>
      <c r="E295" s="114">
        <v>0</v>
      </c>
      <c r="F295" s="52">
        <v>0</v>
      </c>
      <c r="G295" s="118"/>
      <c r="H295" s="122">
        <v>0</v>
      </c>
      <c r="I295" s="21"/>
      <c r="J295" s="231"/>
      <c r="K295" s="231"/>
      <c r="L295" s="231"/>
      <c r="M295" s="231"/>
      <c r="N295" s="231"/>
      <c r="O295" s="231"/>
      <c r="P295" s="231"/>
      <c r="Q295" s="231"/>
      <c r="R295" s="231"/>
      <c r="S295" s="231"/>
      <c r="T295" s="231"/>
      <c r="U295" s="231"/>
      <c r="V295" s="231"/>
      <c r="W295" s="231"/>
      <c r="X295" s="231"/>
      <c r="Y295" s="231"/>
      <c r="Z295" s="231"/>
      <c r="AA295" s="231"/>
      <c r="AB295" s="231"/>
      <c r="AC295" s="231"/>
      <c r="AD295" s="231"/>
      <c r="AE295" s="231"/>
      <c r="AF295" s="231"/>
      <c r="AG295" s="231"/>
      <c r="AH295" s="231"/>
      <c r="AI295" s="231"/>
      <c r="AJ295" s="231"/>
      <c r="AK295" s="231"/>
    </row>
    <row r="296" spans="1:37" s="203" customFormat="1">
      <c r="A296" s="784">
        <v>11</v>
      </c>
      <c r="B296" s="47" t="s">
        <v>226</v>
      </c>
      <c r="C296" s="47"/>
      <c r="D296" s="47"/>
      <c r="E296" s="114">
        <v>3</v>
      </c>
      <c r="F296" s="52">
        <v>8</v>
      </c>
      <c r="G296" s="118"/>
      <c r="H296" s="122">
        <v>3</v>
      </c>
      <c r="I296" s="21"/>
      <c r="J296" s="231"/>
      <c r="K296" s="231"/>
      <c r="L296" s="231"/>
      <c r="M296" s="231"/>
      <c r="N296" s="231"/>
      <c r="O296" s="231"/>
      <c r="P296" s="231"/>
      <c r="Q296" s="231"/>
      <c r="R296" s="231"/>
      <c r="S296" s="231"/>
      <c r="T296" s="231"/>
      <c r="U296" s="231"/>
      <c r="V296" s="231"/>
      <c r="W296" s="231"/>
      <c r="X296" s="231"/>
      <c r="Y296" s="231"/>
      <c r="Z296" s="231"/>
      <c r="AA296" s="231"/>
      <c r="AB296" s="231"/>
      <c r="AC296" s="231"/>
      <c r="AD296" s="231"/>
      <c r="AE296" s="231"/>
      <c r="AF296" s="231"/>
      <c r="AG296" s="231"/>
      <c r="AH296" s="231"/>
      <c r="AI296" s="231"/>
      <c r="AJ296" s="231"/>
      <c r="AK296" s="231"/>
    </row>
    <row r="297" spans="1:37" s="203" customFormat="1">
      <c r="A297" s="120">
        <v>12</v>
      </c>
      <c r="B297" s="47" t="s">
        <v>227</v>
      </c>
      <c r="C297" s="47"/>
      <c r="D297" s="47"/>
      <c r="E297" s="114">
        <v>178</v>
      </c>
      <c r="F297" s="52">
        <v>219</v>
      </c>
      <c r="G297" s="118"/>
      <c r="H297" s="122">
        <v>197</v>
      </c>
      <c r="I297" s="21"/>
      <c r="J297" s="231"/>
      <c r="K297" s="231"/>
      <c r="L297" s="231"/>
      <c r="M297" s="231"/>
      <c r="N297" s="231"/>
      <c r="O297" s="231"/>
      <c r="P297" s="231"/>
      <c r="Q297" s="231"/>
      <c r="R297" s="231"/>
      <c r="S297" s="231"/>
      <c r="T297" s="231"/>
      <c r="U297" s="231"/>
      <c r="V297" s="231"/>
      <c r="W297" s="231"/>
      <c r="X297" s="231"/>
      <c r="Y297" s="231"/>
      <c r="Z297" s="231"/>
      <c r="AA297" s="231"/>
      <c r="AB297" s="231"/>
      <c r="AC297" s="231"/>
      <c r="AD297" s="231"/>
      <c r="AE297" s="231"/>
      <c r="AF297" s="231"/>
      <c r="AG297" s="231"/>
      <c r="AH297" s="231"/>
      <c r="AI297" s="231"/>
      <c r="AJ297" s="231"/>
      <c r="AK297" s="231"/>
    </row>
    <row r="298" spans="1:37" s="203" customFormat="1">
      <c r="A298" s="784">
        <v>13</v>
      </c>
      <c r="B298" s="47" t="s">
        <v>228</v>
      </c>
      <c r="C298" s="47"/>
      <c r="D298" s="47"/>
      <c r="E298" s="114">
        <v>4389</v>
      </c>
      <c r="F298" s="52">
        <f>3551+665</f>
        <v>4216</v>
      </c>
      <c r="G298" s="118"/>
      <c r="H298" s="122">
        <f>3455+619</f>
        <v>4074</v>
      </c>
      <c r="I298" s="21"/>
      <c r="J298" s="231"/>
      <c r="K298" s="231"/>
      <c r="L298" s="231"/>
      <c r="M298" s="231"/>
      <c r="N298" s="231"/>
      <c r="O298" s="231"/>
      <c r="P298" s="231"/>
      <c r="Q298" s="231"/>
      <c r="R298" s="231"/>
      <c r="S298" s="231"/>
      <c r="T298" s="231"/>
      <c r="U298" s="231"/>
      <c r="V298" s="231"/>
      <c r="W298" s="231"/>
      <c r="X298" s="231"/>
      <c r="Y298" s="231"/>
      <c r="Z298" s="231"/>
      <c r="AA298" s="231"/>
      <c r="AB298" s="231"/>
      <c r="AC298" s="231"/>
      <c r="AD298" s="231"/>
      <c r="AE298" s="231"/>
      <c r="AF298" s="231"/>
      <c r="AG298" s="231"/>
      <c r="AH298" s="231"/>
      <c r="AI298" s="231"/>
      <c r="AJ298" s="231"/>
      <c r="AK298" s="231"/>
    </row>
    <row r="299" spans="1:37" s="203" customFormat="1">
      <c r="A299" s="120">
        <v>14</v>
      </c>
      <c r="B299" s="47" t="s">
        <v>229</v>
      </c>
      <c r="C299" s="47"/>
      <c r="D299" s="116"/>
      <c r="E299" s="114">
        <v>0</v>
      </c>
      <c r="F299" s="52">
        <v>0</v>
      </c>
      <c r="G299" s="118"/>
      <c r="H299" s="122">
        <v>0</v>
      </c>
      <c r="I299" s="21"/>
      <c r="J299" s="231"/>
      <c r="K299" s="231"/>
      <c r="L299" s="231"/>
      <c r="M299" s="231"/>
      <c r="N299" s="231"/>
      <c r="O299" s="231"/>
      <c r="P299" s="231"/>
      <c r="Q299" s="231"/>
      <c r="R299" s="231"/>
      <c r="S299" s="231"/>
      <c r="T299" s="231"/>
      <c r="U299" s="231"/>
      <c r="V299" s="231"/>
      <c r="W299" s="231"/>
      <c r="X299" s="231"/>
      <c r="Y299" s="231"/>
      <c r="Z299" s="231"/>
      <c r="AA299" s="231"/>
      <c r="AB299" s="231"/>
      <c r="AC299" s="231"/>
      <c r="AD299" s="231"/>
      <c r="AE299" s="231"/>
      <c r="AF299" s="231"/>
      <c r="AG299" s="231"/>
      <c r="AH299" s="231"/>
      <c r="AI299" s="231"/>
      <c r="AJ299" s="231"/>
      <c r="AK299" s="231"/>
    </row>
    <row r="300" spans="1:37" s="203" customFormat="1">
      <c r="A300" s="784">
        <v>15</v>
      </c>
      <c r="B300" s="47" t="s">
        <v>230</v>
      </c>
      <c r="C300" s="47"/>
      <c r="D300" s="116"/>
      <c r="E300" s="114">
        <v>1837</v>
      </c>
      <c r="F300" s="52">
        <f>3400-665-861</f>
        <v>1874</v>
      </c>
      <c r="G300" s="118"/>
      <c r="H300" s="122">
        <f>3178-619-724</f>
        <v>1835</v>
      </c>
      <c r="I300" s="21"/>
      <c r="J300" s="231"/>
      <c r="K300" s="231"/>
      <c r="L300" s="231"/>
      <c r="M300" s="231"/>
      <c r="N300" s="231"/>
      <c r="O300" s="231"/>
      <c r="P300" s="231"/>
      <c r="Q300" s="231"/>
      <c r="R300" s="231"/>
      <c r="S300" s="231"/>
      <c r="T300" s="231"/>
      <c r="U300" s="231"/>
      <c r="V300" s="231"/>
      <c r="W300" s="231"/>
      <c r="X300" s="231"/>
      <c r="Y300" s="231"/>
      <c r="Z300" s="231"/>
      <c r="AA300" s="231"/>
      <c r="AB300" s="231"/>
      <c r="AC300" s="231"/>
      <c r="AD300" s="231"/>
      <c r="AE300" s="231"/>
      <c r="AF300" s="231"/>
      <c r="AG300" s="231"/>
      <c r="AH300" s="231"/>
      <c r="AI300" s="231"/>
      <c r="AJ300" s="231"/>
      <c r="AK300" s="231"/>
    </row>
    <row r="301" spans="1:37" s="203" customFormat="1">
      <c r="A301" s="120">
        <v>17</v>
      </c>
      <c r="B301" s="47" t="s">
        <v>231</v>
      </c>
      <c r="C301" s="47"/>
      <c r="D301" s="47"/>
      <c r="E301" s="114">
        <v>731</v>
      </c>
      <c r="F301" s="52">
        <f>203+150+512</f>
        <v>865</v>
      </c>
      <c r="G301" s="118"/>
      <c r="H301" s="99">
        <f>-328+512</f>
        <v>184</v>
      </c>
      <c r="I301" s="21"/>
      <c r="J301" s="231"/>
      <c r="K301" s="231"/>
      <c r="L301" s="231"/>
      <c r="M301" s="231"/>
      <c r="N301" s="231"/>
      <c r="O301" s="231"/>
      <c r="P301" s="231"/>
      <c r="Q301" s="231"/>
      <c r="R301" s="231"/>
      <c r="S301" s="231"/>
      <c r="T301" s="231"/>
      <c r="U301" s="231"/>
      <c r="V301" s="231"/>
      <c r="W301" s="231"/>
      <c r="X301" s="231"/>
      <c r="Y301" s="231"/>
      <c r="Z301" s="231"/>
      <c r="AA301" s="231"/>
      <c r="AB301" s="231"/>
      <c r="AC301" s="231"/>
      <c r="AD301" s="231"/>
      <c r="AE301" s="231"/>
      <c r="AF301" s="231"/>
      <c r="AG301" s="231"/>
      <c r="AH301" s="231"/>
      <c r="AI301" s="231"/>
      <c r="AJ301" s="231"/>
      <c r="AK301" s="231"/>
    </row>
    <row r="302" spans="1:37" s="203" customFormat="1">
      <c r="A302" s="785">
        <v>18</v>
      </c>
      <c r="B302" s="94" t="s">
        <v>232</v>
      </c>
      <c r="C302" s="94"/>
      <c r="D302" s="94"/>
      <c r="E302" s="159">
        <v>10155</v>
      </c>
      <c r="F302" s="61">
        <f>SUM(F286:F301)</f>
        <v>10369</v>
      </c>
      <c r="G302" s="118"/>
      <c r="H302" s="61">
        <f>SUM(H286:H301)</f>
        <v>9331</v>
      </c>
      <c r="I302" s="21"/>
      <c r="J302" s="231"/>
      <c r="K302" s="231"/>
      <c r="L302" s="231"/>
      <c r="M302" s="231"/>
      <c r="N302" s="231"/>
      <c r="O302" s="231"/>
      <c r="P302" s="231"/>
      <c r="Q302" s="231"/>
      <c r="R302" s="231"/>
      <c r="S302" s="231"/>
      <c r="T302" s="231"/>
      <c r="U302" s="231"/>
      <c r="V302" s="231"/>
      <c r="W302" s="231"/>
      <c r="X302" s="231"/>
      <c r="Y302" s="231"/>
      <c r="Z302" s="231"/>
      <c r="AA302" s="231"/>
      <c r="AB302" s="231"/>
      <c r="AC302" s="231"/>
      <c r="AD302" s="231"/>
      <c r="AE302" s="231"/>
      <c r="AF302" s="231"/>
      <c r="AG302" s="231"/>
      <c r="AH302" s="231"/>
      <c r="AI302" s="231"/>
      <c r="AJ302" s="231"/>
      <c r="AK302" s="231"/>
    </row>
    <row r="303" spans="1:37" s="203" customFormat="1">
      <c r="A303" s="179"/>
      <c r="B303" s="180"/>
      <c r="C303" s="180"/>
      <c r="D303" s="181"/>
      <c r="E303" s="182"/>
      <c r="F303" s="183"/>
      <c r="G303" s="21"/>
      <c r="H303" s="183"/>
      <c r="I303" s="21"/>
      <c r="J303" s="231"/>
      <c r="K303" s="231"/>
      <c r="L303" s="231"/>
      <c r="M303" s="231"/>
      <c r="N303" s="231"/>
      <c r="O303" s="231"/>
      <c r="P303" s="231"/>
      <c r="Q303" s="231"/>
      <c r="R303" s="231"/>
      <c r="S303" s="231"/>
      <c r="T303" s="231"/>
      <c r="U303" s="231"/>
      <c r="V303" s="231"/>
      <c r="W303" s="231"/>
      <c r="X303" s="231"/>
      <c r="Y303" s="231"/>
      <c r="Z303" s="231"/>
      <c r="AA303" s="231"/>
      <c r="AB303" s="231"/>
      <c r="AC303" s="231"/>
      <c r="AD303" s="231"/>
      <c r="AE303" s="231"/>
      <c r="AF303" s="231"/>
      <c r="AG303" s="231"/>
      <c r="AH303" s="231"/>
      <c r="AI303" s="231"/>
      <c r="AJ303" s="231"/>
      <c r="AK303" s="231"/>
    </row>
    <row r="304" spans="1:37" s="203" customFormat="1">
      <c r="A304" s="184"/>
      <c r="B304" s="207"/>
      <c r="C304" s="207"/>
      <c r="D304" s="209"/>
      <c r="E304" s="185"/>
      <c r="F304" s="207"/>
      <c r="G304" s="207"/>
      <c r="H304" s="131" t="s">
        <v>27</v>
      </c>
      <c r="I304" s="21"/>
      <c r="J304" s="231"/>
      <c r="K304" s="231"/>
      <c r="L304" s="231"/>
      <c r="M304" s="231"/>
      <c r="N304" s="231"/>
      <c r="O304" s="231"/>
      <c r="P304" s="231"/>
      <c r="Q304" s="231"/>
      <c r="R304" s="231"/>
      <c r="S304" s="231"/>
      <c r="T304" s="231"/>
      <c r="U304" s="231"/>
      <c r="V304" s="231"/>
      <c r="W304" s="231"/>
      <c r="X304" s="231"/>
      <c r="Y304" s="231"/>
      <c r="Z304" s="231"/>
      <c r="AA304" s="231"/>
      <c r="AB304" s="231"/>
      <c r="AC304" s="231"/>
      <c r="AD304" s="231"/>
      <c r="AE304" s="231"/>
      <c r="AF304" s="231"/>
      <c r="AG304" s="231"/>
      <c r="AH304" s="231"/>
      <c r="AI304" s="231"/>
      <c r="AJ304" s="231"/>
      <c r="AK304" s="231"/>
    </row>
    <row r="305" spans="1:37" s="203" customFormat="1" ht="12.75" customHeight="1">
      <c r="A305" s="106" t="s">
        <v>21</v>
      </c>
      <c r="B305" s="164"/>
      <c r="C305" s="164"/>
      <c r="D305" s="164"/>
      <c r="E305" s="856" t="s">
        <v>377</v>
      </c>
      <c r="F305" s="856" t="s">
        <v>402</v>
      </c>
      <c r="G305" s="130"/>
      <c r="H305" s="856" t="s">
        <v>403</v>
      </c>
      <c r="I305" s="21"/>
      <c r="J305" s="231"/>
      <c r="K305" s="231"/>
      <c r="L305" s="231"/>
      <c r="M305" s="231"/>
      <c r="N305" s="231"/>
      <c r="O305" s="231"/>
      <c r="P305" s="231"/>
      <c r="Q305" s="231"/>
      <c r="R305" s="231"/>
      <c r="S305" s="231"/>
      <c r="T305" s="231"/>
      <c r="U305" s="231"/>
      <c r="V305" s="231"/>
      <c r="W305" s="231"/>
      <c r="X305" s="231"/>
      <c r="Y305" s="231"/>
      <c r="Z305" s="231"/>
      <c r="AA305" s="231"/>
      <c r="AB305" s="231"/>
      <c r="AC305" s="231"/>
      <c r="AD305" s="231"/>
      <c r="AE305" s="231"/>
      <c r="AF305" s="231"/>
      <c r="AG305" s="231"/>
      <c r="AH305" s="231"/>
      <c r="AI305" s="231"/>
      <c r="AJ305" s="231"/>
      <c r="AK305" s="231"/>
    </row>
    <row r="306" spans="1:37" s="203" customFormat="1">
      <c r="A306" s="165"/>
      <c r="B306" s="47"/>
      <c r="C306" s="47"/>
      <c r="D306" s="47"/>
      <c r="E306" s="859"/>
      <c r="F306" s="859"/>
      <c r="G306" s="130"/>
      <c r="H306" s="859"/>
      <c r="I306" s="21"/>
      <c r="J306" s="231"/>
      <c r="K306" s="231"/>
      <c r="L306" s="231"/>
      <c r="M306" s="231"/>
      <c r="N306" s="231"/>
      <c r="O306" s="231"/>
      <c r="P306" s="231"/>
      <c r="Q306" s="231"/>
      <c r="R306" s="231"/>
      <c r="S306" s="231"/>
      <c r="T306" s="231"/>
      <c r="U306" s="231"/>
      <c r="V306" s="231"/>
      <c r="W306" s="231"/>
      <c r="X306" s="231"/>
      <c r="Y306" s="231"/>
      <c r="Z306" s="231"/>
      <c r="AA306" s="231"/>
      <c r="AB306" s="231"/>
      <c r="AC306" s="231"/>
      <c r="AD306" s="231"/>
      <c r="AE306" s="231"/>
      <c r="AF306" s="231"/>
      <c r="AG306" s="231"/>
      <c r="AH306" s="231"/>
      <c r="AI306" s="231"/>
      <c r="AJ306" s="231"/>
      <c r="AK306" s="231"/>
    </row>
    <row r="307" spans="1:37" s="203" customFormat="1" ht="12.75" customHeight="1">
      <c r="A307" s="109"/>
      <c r="B307" s="174"/>
      <c r="C307" s="174"/>
      <c r="D307" s="174"/>
      <c r="E307" s="859"/>
      <c r="F307" s="859"/>
      <c r="G307" s="130"/>
      <c r="H307" s="859"/>
      <c r="I307" s="21"/>
      <c r="J307" s="231"/>
      <c r="K307" s="231"/>
      <c r="L307" s="231"/>
      <c r="M307" s="231"/>
      <c r="N307" s="231"/>
      <c r="O307" s="231"/>
      <c r="P307" s="231"/>
      <c r="Q307" s="231"/>
      <c r="R307" s="231"/>
      <c r="S307" s="231"/>
      <c r="T307" s="231"/>
      <c r="U307" s="231"/>
      <c r="V307" s="231"/>
      <c r="W307" s="231"/>
      <c r="X307" s="231"/>
      <c r="Y307" s="231"/>
      <c r="Z307" s="231"/>
      <c r="AA307" s="231"/>
      <c r="AB307" s="231"/>
      <c r="AC307" s="231"/>
      <c r="AD307" s="231"/>
      <c r="AE307" s="231"/>
      <c r="AF307" s="231"/>
      <c r="AG307" s="231"/>
      <c r="AH307" s="231"/>
      <c r="AI307" s="231"/>
      <c r="AJ307" s="231"/>
      <c r="AK307" s="231"/>
    </row>
    <row r="308" spans="1:37" s="203" customFormat="1">
      <c r="A308" s="154" t="s">
        <v>233</v>
      </c>
      <c r="B308" s="47"/>
      <c r="C308" s="47"/>
      <c r="D308" s="47"/>
      <c r="E308" s="859"/>
      <c r="F308" s="859"/>
      <c r="G308" s="130"/>
      <c r="H308" s="859"/>
      <c r="I308" s="21"/>
      <c r="J308" s="231"/>
      <c r="K308" s="231"/>
      <c r="L308" s="231"/>
      <c r="M308" s="231"/>
      <c r="N308" s="231"/>
      <c r="O308" s="231"/>
      <c r="P308" s="231"/>
      <c r="Q308" s="231"/>
      <c r="R308" s="231"/>
      <c r="S308" s="231"/>
      <c r="T308" s="231"/>
      <c r="U308" s="231"/>
      <c r="V308" s="231"/>
      <c r="W308" s="231"/>
      <c r="X308" s="231"/>
      <c r="Y308" s="231"/>
      <c r="Z308" s="231"/>
      <c r="AA308" s="231"/>
      <c r="AB308" s="231"/>
      <c r="AC308" s="231"/>
      <c r="AD308" s="231"/>
      <c r="AE308" s="231"/>
      <c r="AF308" s="231"/>
      <c r="AG308" s="231"/>
      <c r="AH308" s="231"/>
      <c r="AI308" s="231"/>
      <c r="AJ308" s="231"/>
      <c r="AK308" s="231"/>
    </row>
    <row r="309" spans="1:37" s="203" customFormat="1">
      <c r="A309" s="109" t="s">
        <v>83</v>
      </c>
      <c r="B309" s="174"/>
      <c r="C309" s="174"/>
      <c r="D309" s="174"/>
      <c r="E309" s="860"/>
      <c r="F309" s="860"/>
      <c r="G309" s="130"/>
      <c r="H309" s="860"/>
      <c r="I309" s="21"/>
      <c r="J309" s="231"/>
      <c r="K309" s="231"/>
      <c r="L309" s="231"/>
      <c r="M309" s="231"/>
      <c r="N309" s="231"/>
      <c r="O309" s="231"/>
      <c r="P309" s="231"/>
      <c r="Q309" s="231"/>
      <c r="R309" s="231"/>
      <c r="S309" s="231"/>
      <c r="T309" s="231"/>
      <c r="U309" s="231"/>
      <c r="V309" s="231"/>
      <c r="W309" s="231"/>
      <c r="X309" s="231"/>
      <c r="Y309" s="231"/>
      <c r="Z309" s="231"/>
      <c r="AA309" s="231"/>
      <c r="AB309" s="231"/>
      <c r="AC309" s="231"/>
      <c r="AD309" s="231"/>
      <c r="AE309" s="231"/>
      <c r="AF309" s="231"/>
      <c r="AG309" s="231"/>
      <c r="AH309" s="231"/>
      <c r="AI309" s="231"/>
      <c r="AJ309" s="231"/>
      <c r="AK309" s="231"/>
    </row>
    <row r="310" spans="1:37" s="203" customFormat="1">
      <c r="A310" s="110" t="s">
        <v>84</v>
      </c>
      <c r="B310" s="116"/>
      <c r="C310" s="116"/>
      <c r="D310" s="116"/>
      <c r="E310" s="262"/>
      <c r="F310" s="146"/>
      <c r="G310" s="118"/>
      <c r="H310" s="146"/>
      <c r="I310" s="21"/>
      <c r="J310" s="231"/>
      <c r="K310" s="231"/>
      <c r="L310" s="231"/>
      <c r="M310" s="231"/>
      <c r="N310" s="231"/>
      <c r="O310" s="231"/>
      <c r="P310" s="231"/>
      <c r="Q310" s="231"/>
      <c r="R310" s="231"/>
      <c r="S310" s="231"/>
      <c r="T310" s="231"/>
      <c r="U310" s="231"/>
      <c r="V310" s="231"/>
      <c r="W310" s="231"/>
      <c r="X310" s="231"/>
      <c r="Y310" s="231"/>
      <c r="Z310" s="231"/>
      <c r="AA310" s="231"/>
      <c r="AB310" s="231"/>
      <c r="AC310" s="231"/>
      <c r="AD310" s="231"/>
      <c r="AE310" s="231"/>
      <c r="AF310" s="231"/>
      <c r="AG310" s="231"/>
      <c r="AH310" s="231"/>
      <c r="AI310" s="231"/>
      <c r="AJ310" s="231"/>
      <c r="AK310" s="231"/>
    </row>
    <row r="311" spans="1:37" s="203" customFormat="1">
      <c r="A311" s="120">
        <v>1</v>
      </c>
      <c r="B311" s="47" t="s">
        <v>258</v>
      </c>
      <c r="C311" s="47"/>
      <c r="D311" s="186"/>
      <c r="E311" s="74">
        <v>0</v>
      </c>
      <c r="F311" s="52"/>
      <c r="G311" s="43"/>
      <c r="H311" s="52">
        <v>0</v>
      </c>
      <c r="I311" s="21"/>
      <c r="J311" s="231"/>
      <c r="K311" s="231"/>
      <c r="L311" s="231"/>
      <c r="M311" s="231"/>
      <c r="N311" s="231"/>
      <c r="O311" s="231"/>
      <c r="P311" s="231"/>
      <c r="Q311" s="231"/>
      <c r="R311" s="231"/>
      <c r="S311" s="231"/>
      <c r="T311" s="231"/>
      <c r="U311" s="231"/>
      <c r="V311" s="231"/>
      <c r="W311" s="231"/>
      <c r="X311" s="231"/>
      <c r="Y311" s="231"/>
      <c r="Z311" s="231"/>
      <c r="AA311" s="231"/>
      <c r="AB311" s="231"/>
      <c r="AC311" s="231"/>
      <c r="AD311" s="231"/>
      <c r="AE311" s="231"/>
      <c r="AF311" s="231"/>
      <c r="AG311" s="231"/>
      <c r="AH311" s="231"/>
      <c r="AI311" s="231"/>
      <c r="AJ311" s="231"/>
      <c r="AK311" s="231"/>
    </row>
    <row r="312" spans="1:37" s="203" customFormat="1">
      <c r="A312" s="120">
        <v>2</v>
      </c>
      <c r="B312" s="47" t="s">
        <v>234</v>
      </c>
      <c r="C312" s="47"/>
      <c r="D312" s="186"/>
      <c r="E312" s="114">
        <v>0</v>
      </c>
      <c r="F312" s="52">
        <v>345</v>
      </c>
      <c r="G312" s="43"/>
      <c r="H312" s="52">
        <v>0</v>
      </c>
      <c r="I312" s="21"/>
      <c r="J312" s="231"/>
      <c r="K312" s="231"/>
      <c r="L312" s="231"/>
      <c r="M312" s="231"/>
      <c r="N312" s="231"/>
      <c r="O312" s="231"/>
      <c r="P312" s="231"/>
      <c r="Q312" s="231"/>
      <c r="R312" s="231"/>
      <c r="S312" s="231"/>
      <c r="T312" s="231"/>
      <c r="U312" s="231"/>
      <c r="V312" s="231"/>
      <c r="W312" s="231"/>
      <c r="X312" s="231"/>
      <c r="Y312" s="231"/>
      <c r="Z312" s="231"/>
      <c r="AA312" s="231"/>
      <c r="AB312" s="231"/>
      <c r="AC312" s="231"/>
      <c r="AD312" s="231"/>
      <c r="AE312" s="231"/>
      <c r="AF312" s="231"/>
      <c r="AG312" s="231"/>
      <c r="AH312" s="231"/>
      <c r="AI312" s="231"/>
      <c r="AJ312" s="231"/>
      <c r="AK312" s="231"/>
    </row>
    <row r="313" spans="1:37" s="203" customFormat="1">
      <c r="A313" s="120">
        <v>3</v>
      </c>
      <c r="B313" s="47" t="s">
        <v>259</v>
      </c>
      <c r="C313" s="47"/>
      <c r="D313" s="186"/>
      <c r="E313" s="114">
        <v>-387</v>
      </c>
      <c r="F313" s="52">
        <v>-269</v>
      </c>
      <c r="G313" s="43"/>
      <c r="H313" s="52">
        <v>-387</v>
      </c>
      <c r="I313" s="21"/>
      <c r="J313" s="231"/>
      <c r="K313" s="231"/>
      <c r="L313" s="231"/>
      <c r="M313" s="231"/>
      <c r="N313" s="231"/>
      <c r="O313" s="231"/>
      <c r="P313" s="231"/>
      <c r="Q313" s="231"/>
      <c r="R313" s="231"/>
      <c r="S313" s="231"/>
      <c r="T313" s="231"/>
      <c r="U313" s="231"/>
      <c r="V313" s="231"/>
      <c r="W313" s="231"/>
      <c r="X313" s="231"/>
      <c r="Y313" s="231"/>
      <c r="Z313" s="231"/>
      <c r="AA313" s="231"/>
      <c r="AB313" s="231"/>
      <c r="AC313" s="231"/>
      <c r="AD313" s="231"/>
      <c r="AE313" s="231"/>
      <c r="AF313" s="231"/>
      <c r="AG313" s="231"/>
      <c r="AH313" s="231"/>
      <c r="AI313" s="231"/>
      <c r="AJ313" s="231"/>
      <c r="AK313" s="231"/>
    </row>
    <row r="314" spans="1:37" s="203" customFormat="1">
      <c r="A314" s="120">
        <v>4</v>
      </c>
      <c r="B314" s="47" t="s">
        <v>235</v>
      </c>
      <c r="C314" s="47"/>
      <c r="D314" s="186"/>
      <c r="E314" s="114">
        <v>9117</v>
      </c>
      <c r="F314" s="52">
        <v>8806</v>
      </c>
      <c r="G314" s="43"/>
      <c r="H314" s="52">
        <v>9026</v>
      </c>
      <c r="I314" s="21"/>
      <c r="J314" s="231"/>
      <c r="K314" s="231"/>
      <c r="L314" s="231"/>
      <c r="M314" s="231"/>
      <c r="N314" s="231"/>
      <c r="O314" s="231"/>
      <c r="P314" s="231"/>
      <c r="Q314" s="231"/>
      <c r="R314" s="231"/>
      <c r="S314" s="231"/>
      <c r="T314" s="231"/>
      <c r="U314" s="231"/>
      <c r="V314" s="231"/>
      <c r="W314" s="231"/>
      <c r="X314" s="231"/>
      <c r="Y314" s="231"/>
      <c r="Z314" s="231"/>
      <c r="AA314" s="231"/>
      <c r="AB314" s="231"/>
      <c r="AC314" s="231"/>
      <c r="AD314" s="231"/>
      <c r="AE314" s="231"/>
      <c r="AF314" s="231"/>
      <c r="AG314" s="231"/>
      <c r="AH314" s="231"/>
      <c r="AI314" s="231"/>
      <c r="AJ314" s="231"/>
      <c r="AK314" s="231"/>
    </row>
    <row r="315" spans="1:37" s="203" customFormat="1">
      <c r="A315" s="120">
        <v>5</v>
      </c>
      <c r="B315" s="47" t="s">
        <v>236</v>
      </c>
      <c r="C315" s="47"/>
      <c r="D315" s="186"/>
      <c r="E315" s="114">
        <v>1787</v>
      </c>
      <c r="F315" s="52">
        <v>1923</v>
      </c>
      <c r="G315" s="187"/>
      <c r="H315" s="52">
        <v>2106</v>
      </c>
      <c r="I315" s="21"/>
      <c r="J315" s="231"/>
      <c r="K315" s="231"/>
      <c r="L315" s="231"/>
      <c r="M315" s="231"/>
      <c r="N315" s="231"/>
      <c r="O315" s="231"/>
      <c r="P315" s="231"/>
      <c r="Q315" s="231"/>
      <c r="R315" s="231"/>
      <c r="S315" s="231"/>
      <c r="T315" s="231"/>
      <c r="U315" s="231"/>
      <c r="V315" s="231"/>
      <c r="W315" s="231"/>
      <c r="X315" s="231"/>
      <c r="Y315" s="231"/>
      <c r="Z315" s="231"/>
      <c r="AA315" s="231"/>
      <c r="AB315" s="231"/>
      <c r="AC315" s="231"/>
      <c r="AD315" s="231"/>
      <c r="AE315" s="231"/>
      <c r="AF315" s="231"/>
      <c r="AG315" s="231"/>
      <c r="AH315" s="231"/>
      <c r="AI315" s="231"/>
      <c r="AJ315" s="231"/>
      <c r="AK315" s="231"/>
    </row>
    <row r="316" spans="1:37" s="203" customFormat="1">
      <c r="A316" s="120">
        <v>6</v>
      </c>
      <c r="B316" s="47" t="s">
        <v>237</v>
      </c>
      <c r="C316" s="47"/>
      <c r="D316" s="186"/>
      <c r="E316" s="114">
        <v>15349</v>
      </c>
      <c r="F316" s="52">
        <f>13664</f>
        <v>13664</v>
      </c>
      <c r="G316" s="43"/>
      <c r="H316" s="52">
        <f>15612+1</f>
        <v>15613</v>
      </c>
      <c r="I316" s="21"/>
      <c r="J316" s="231"/>
      <c r="K316" s="231"/>
      <c r="L316" s="231"/>
      <c r="M316" s="231"/>
      <c r="N316" s="231"/>
      <c r="O316" s="231"/>
      <c r="P316" s="231"/>
      <c r="Q316" s="231"/>
      <c r="R316" s="231"/>
      <c r="S316" s="231"/>
      <c r="T316" s="231"/>
      <c r="U316" s="231"/>
      <c r="V316" s="231"/>
      <c r="W316" s="231"/>
      <c r="X316" s="231"/>
      <c r="Y316" s="231"/>
      <c r="Z316" s="231"/>
      <c r="AA316" s="231"/>
      <c r="AB316" s="231"/>
      <c r="AC316" s="231"/>
      <c r="AD316" s="231"/>
      <c r="AE316" s="231"/>
      <c r="AF316" s="231"/>
      <c r="AG316" s="231"/>
      <c r="AH316" s="231"/>
      <c r="AI316" s="231"/>
      <c r="AJ316" s="231"/>
      <c r="AK316" s="231"/>
    </row>
    <row r="317" spans="1:37" s="203" customFormat="1">
      <c r="A317" s="120">
        <v>7</v>
      </c>
      <c r="B317" s="47" t="s">
        <v>238</v>
      </c>
      <c r="C317" s="47"/>
      <c r="D317" s="186"/>
      <c r="E317" s="114">
        <v>0</v>
      </c>
      <c r="F317" s="52"/>
      <c r="G317" s="43"/>
      <c r="H317" s="52">
        <v>0</v>
      </c>
      <c r="I317" s="21"/>
      <c r="J317" s="231"/>
      <c r="K317" s="231"/>
      <c r="L317" s="231"/>
      <c r="M317" s="231"/>
      <c r="N317" s="231"/>
      <c r="O317" s="231"/>
      <c r="P317" s="231"/>
      <c r="Q317" s="231"/>
      <c r="R317" s="231"/>
      <c r="S317" s="231"/>
      <c r="T317" s="231"/>
      <c r="U317" s="231"/>
      <c r="V317" s="231"/>
      <c r="W317" s="231"/>
      <c r="X317" s="231"/>
      <c r="Y317" s="231"/>
      <c r="Z317" s="231"/>
      <c r="AA317" s="231"/>
      <c r="AB317" s="231"/>
      <c r="AC317" s="231"/>
      <c r="AD317" s="231"/>
      <c r="AE317" s="231"/>
      <c r="AF317" s="231"/>
      <c r="AG317" s="231"/>
      <c r="AH317" s="231"/>
      <c r="AI317" s="231"/>
      <c r="AJ317" s="231"/>
      <c r="AK317" s="231"/>
    </row>
    <row r="318" spans="1:37" s="203" customFormat="1">
      <c r="A318" s="120">
        <v>8</v>
      </c>
      <c r="B318" s="47" t="s">
        <v>239</v>
      </c>
      <c r="C318" s="47"/>
      <c r="D318" s="186"/>
      <c r="E318" s="114">
        <v>68</v>
      </c>
      <c r="F318" s="52">
        <v>178</v>
      </c>
      <c r="G318" s="43"/>
      <c r="H318" s="52">
        <v>68</v>
      </c>
      <c r="I318" s="21"/>
      <c r="J318" s="231"/>
      <c r="K318" s="231"/>
      <c r="L318" s="231"/>
      <c r="M318" s="231"/>
      <c r="N318" s="231"/>
      <c r="O318" s="231"/>
      <c r="P318" s="231"/>
      <c r="Q318" s="231"/>
      <c r="R318" s="231"/>
      <c r="S318" s="231"/>
      <c r="T318" s="231"/>
      <c r="U318" s="231"/>
      <c r="V318" s="231"/>
      <c r="W318" s="231"/>
      <c r="X318" s="231"/>
      <c r="Y318" s="231"/>
      <c r="Z318" s="231"/>
      <c r="AA318" s="231"/>
      <c r="AB318" s="231"/>
      <c r="AC318" s="231"/>
      <c r="AD318" s="231"/>
      <c r="AE318" s="231"/>
      <c r="AF318" s="231"/>
      <c r="AG318" s="231"/>
      <c r="AH318" s="231"/>
      <c r="AI318" s="231"/>
      <c r="AJ318" s="231"/>
      <c r="AK318" s="231"/>
    </row>
    <row r="319" spans="1:37" s="203" customFormat="1">
      <c r="A319" s="784">
        <v>9</v>
      </c>
      <c r="B319" s="90" t="s">
        <v>260</v>
      </c>
      <c r="C319" s="47"/>
      <c r="D319" s="47"/>
      <c r="E319" s="114">
        <v>0</v>
      </c>
      <c r="F319" s="188"/>
      <c r="G319" s="43"/>
      <c r="H319" s="189">
        <v>0</v>
      </c>
      <c r="I319" s="21"/>
      <c r="J319" s="231"/>
      <c r="K319" s="231"/>
      <c r="L319" s="231"/>
      <c r="M319" s="231"/>
      <c r="N319" s="231"/>
      <c r="O319" s="231"/>
      <c r="P319" s="231"/>
      <c r="Q319" s="231"/>
      <c r="R319" s="231"/>
      <c r="S319" s="231"/>
      <c r="T319" s="231"/>
      <c r="U319" s="231"/>
      <c r="V319" s="231"/>
      <c r="W319" s="231"/>
      <c r="X319" s="231"/>
      <c r="Y319" s="231"/>
      <c r="Z319" s="231"/>
      <c r="AA319" s="231"/>
      <c r="AB319" s="231"/>
      <c r="AC319" s="231"/>
      <c r="AD319" s="231"/>
      <c r="AE319" s="231"/>
      <c r="AF319" s="231"/>
      <c r="AG319" s="231"/>
      <c r="AH319" s="231"/>
      <c r="AI319" s="231"/>
      <c r="AJ319" s="231"/>
      <c r="AK319" s="231"/>
    </row>
    <row r="320" spans="1:37" s="203" customFormat="1">
      <c r="A320" s="124">
        <v>10</v>
      </c>
      <c r="B320" s="94" t="s">
        <v>62</v>
      </c>
      <c r="C320" s="94"/>
      <c r="D320" s="94"/>
      <c r="E320" s="159">
        <v>25934</v>
      </c>
      <c r="F320" s="61">
        <f>F311+F312+F313+F314+F315+F316+F317+F318</f>
        <v>24647</v>
      </c>
      <c r="G320" s="118"/>
      <c r="H320" s="61">
        <f>H311+H312+H313+H314+H315+H316+H317+H318+H319</f>
        <v>26426</v>
      </c>
      <c r="I320" s="183"/>
      <c r="J320" s="231"/>
      <c r="K320" s="231"/>
      <c r="L320" s="231"/>
      <c r="M320" s="231"/>
      <c r="N320" s="231"/>
      <c r="O320" s="231"/>
      <c r="P320" s="231"/>
      <c r="Q320" s="231"/>
      <c r="R320" s="231"/>
      <c r="S320" s="231"/>
      <c r="T320" s="231"/>
      <c r="U320" s="231"/>
      <c r="V320" s="231"/>
      <c r="W320" s="231"/>
      <c r="X320" s="231"/>
      <c r="Y320" s="231"/>
      <c r="Z320" s="231"/>
      <c r="AA320" s="231"/>
      <c r="AB320" s="231"/>
      <c r="AC320" s="231"/>
      <c r="AD320" s="231"/>
      <c r="AE320" s="231"/>
      <c r="AF320" s="231"/>
      <c r="AG320" s="231"/>
      <c r="AH320" s="231"/>
      <c r="AI320" s="231"/>
      <c r="AJ320" s="231"/>
      <c r="AK320" s="231"/>
    </row>
    <row r="321" spans="1:37" s="203" customFormat="1">
      <c r="A321" s="179"/>
      <c r="B321" s="180"/>
      <c r="C321" s="180"/>
      <c r="D321" s="180"/>
      <c r="E321" s="180"/>
      <c r="F321" s="183"/>
      <c r="G321" s="21"/>
      <c r="H321" s="183"/>
      <c r="I321" s="183"/>
      <c r="J321" s="231"/>
      <c r="K321" s="231"/>
      <c r="L321" s="231"/>
      <c r="M321" s="231"/>
      <c r="N321" s="231"/>
      <c r="O321" s="231"/>
      <c r="P321" s="231"/>
      <c r="Q321" s="231"/>
      <c r="R321" s="231"/>
      <c r="S321" s="231"/>
      <c r="T321" s="231"/>
      <c r="U321" s="231"/>
      <c r="V321" s="231"/>
      <c r="W321" s="231"/>
      <c r="X321" s="231"/>
      <c r="Y321" s="231"/>
      <c r="Z321" s="231"/>
      <c r="AA321" s="231"/>
      <c r="AB321" s="231"/>
      <c r="AC321" s="231"/>
      <c r="AD321" s="231"/>
      <c r="AE321" s="231"/>
      <c r="AF321" s="231"/>
      <c r="AG321" s="231"/>
      <c r="AH321" s="231"/>
      <c r="AI321" s="231"/>
      <c r="AJ321" s="231"/>
      <c r="AK321" s="231"/>
    </row>
    <row r="322" spans="1:37" s="203" customFormat="1">
      <c r="A322" s="148"/>
      <c r="B322" s="207"/>
      <c r="C322" s="207"/>
      <c r="D322" s="29"/>
      <c r="E322" s="29"/>
      <c r="F322" s="29"/>
      <c r="G322" s="29"/>
      <c r="H322" s="31" t="s">
        <v>27</v>
      </c>
      <c r="I322" s="2"/>
      <c r="J322" s="231"/>
      <c r="K322" s="231"/>
      <c r="L322" s="231"/>
      <c r="M322" s="231"/>
      <c r="N322" s="231"/>
      <c r="O322" s="231"/>
      <c r="P322" s="231"/>
      <c r="Q322" s="231"/>
      <c r="R322" s="231"/>
      <c r="S322" s="231"/>
      <c r="T322" s="231"/>
      <c r="U322" s="231"/>
      <c r="V322" s="231"/>
      <c r="W322" s="231"/>
      <c r="X322" s="231"/>
      <c r="Y322" s="231"/>
      <c r="Z322" s="231"/>
      <c r="AA322" s="231"/>
      <c r="AB322" s="231"/>
      <c r="AC322" s="231"/>
      <c r="AD322" s="231"/>
      <c r="AE322" s="231"/>
      <c r="AF322" s="231"/>
      <c r="AG322" s="231"/>
      <c r="AH322" s="231"/>
      <c r="AI322" s="231"/>
      <c r="AJ322" s="231"/>
      <c r="AK322" s="231"/>
    </row>
    <row r="323" spans="1:37" s="203" customFormat="1">
      <c r="A323" s="190" t="s">
        <v>240</v>
      </c>
      <c r="B323" s="263"/>
      <c r="C323" s="861" t="s">
        <v>405</v>
      </c>
      <c r="D323" s="862"/>
      <c r="E323" s="862"/>
      <c r="F323" s="862"/>
      <c r="G323" s="862"/>
      <c r="H323" s="863"/>
      <c r="I323" s="210"/>
      <c r="J323" s="231"/>
      <c r="K323" s="231"/>
      <c r="L323" s="231"/>
      <c r="M323" s="231"/>
      <c r="N323" s="231"/>
      <c r="O323" s="231"/>
      <c r="P323" s="231"/>
      <c r="Q323" s="231"/>
      <c r="R323" s="231"/>
      <c r="S323" s="231"/>
      <c r="T323" s="231"/>
      <c r="U323" s="231"/>
      <c r="V323" s="231"/>
      <c r="W323" s="231"/>
      <c r="X323" s="231"/>
      <c r="Y323" s="231"/>
      <c r="Z323" s="231"/>
      <c r="AA323" s="231"/>
      <c r="AB323" s="231"/>
      <c r="AC323" s="231"/>
      <c r="AD323" s="231"/>
      <c r="AE323" s="231"/>
      <c r="AF323" s="231"/>
      <c r="AG323" s="231"/>
      <c r="AH323" s="231"/>
      <c r="AI323" s="231"/>
      <c r="AJ323" s="231"/>
      <c r="AK323" s="231"/>
    </row>
    <row r="324" spans="1:37" s="203" customFormat="1" ht="39" thickBot="1">
      <c r="A324" s="110" t="s">
        <v>84</v>
      </c>
      <c r="B324" s="116"/>
      <c r="C324" s="35" t="s">
        <v>52</v>
      </c>
      <c r="D324" s="35" t="s">
        <v>53</v>
      </c>
      <c r="E324" s="37" t="s">
        <v>54</v>
      </c>
      <c r="F324" s="37" t="s">
        <v>55</v>
      </c>
      <c r="G324" s="37" t="s">
        <v>241</v>
      </c>
      <c r="H324" s="35" t="s">
        <v>121</v>
      </c>
      <c r="I324" s="29"/>
      <c r="J324" s="231"/>
      <c r="K324" s="231"/>
      <c r="L324" s="231"/>
      <c r="M324" s="231"/>
      <c r="N324" s="231"/>
      <c r="O324" s="231"/>
      <c r="P324" s="231"/>
      <c r="Q324" s="231"/>
      <c r="R324" s="231"/>
      <c r="S324" s="231"/>
      <c r="T324" s="231"/>
      <c r="U324" s="231"/>
      <c r="V324" s="231"/>
      <c r="W324" s="231"/>
      <c r="X324" s="231"/>
      <c r="Y324" s="231"/>
      <c r="Z324" s="231"/>
      <c r="AA324" s="231"/>
      <c r="AB324" s="231"/>
      <c r="AC324" s="231"/>
      <c r="AD324" s="231"/>
      <c r="AE324" s="231"/>
      <c r="AF324" s="231"/>
      <c r="AG324" s="231"/>
      <c r="AH324" s="231"/>
      <c r="AI324" s="231"/>
      <c r="AJ324" s="231"/>
      <c r="AK324" s="231"/>
    </row>
    <row r="325" spans="1:37" s="203" customFormat="1" ht="13.5" thickBot="1">
      <c r="A325" s="784">
        <v>1</v>
      </c>
      <c r="B325" s="116" t="s">
        <v>242</v>
      </c>
      <c r="C325" s="193">
        <f t="shared" ref="C325:H325" si="0">SUM(C326:C329)</f>
        <v>16848</v>
      </c>
      <c r="D325" s="193">
        <f t="shared" si="0"/>
        <v>0</v>
      </c>
      <c r="E325" s="193">
        <v>0</v>
      </c>
      <c r="F325" s="193">
        <f t="shared" si="0"/>
        <v>0</v>
      </c>
      <c r="G325" s="193">
        <f>SUM(G326:G329)</f>
        <v>0</v>
      </c>
      <c r="H325" s="193">
        <f t="shared" si="0"/>
        <v>0</v>
      </c>
      <c r="I325" s="207"/>
      <c r="J325" s="231"/>
      <c r="K325" s="231"/>
      <c r="L325" s="231"/>
      <c r="M325" s="231"/>
      <c r="N325" s="231"/>
      <c r="O325" s="231"/>
      <c r="P325" s="231"/>
      <c r="Q325" s="231"/>
      <c r="R325" s="231"/>
      <c r="S325" s="231"/>
      <c r="T325" s="231"/>
      <c r="U325" s="231"/>
      <c r="V325" s="231"/>
      <c r="W325" s="231"/>
      <c r="X325" s="231"/>
      <c r="Y325" s="231"/>
      <c r="Z325" s="231"/>
      <c r="AA325" s="231"/>
      <c r="AB325" s="231"/>
      <c r="AC325" s="231"/>
      <c r="AD325" s="231"/>
      <c r="AE325" s="231"/>
      <c r="AF325" s="231"/>
      <c r="AG325" s="231"/>
      <c r="AH325" s="231"/>
      <c r="AI325" s="231"/>
      <c r="AJ325" s="231"/>
      <c r="AK325" s="231"/>
    </row>
    <row r="326" spans="1:37" s="203" customFormat="1">
      <c r="A326" s="784">
        <v>2</v>
      </c>
      <c r="B326" s="47" t="s">
        <v>243</v>
      </c>
      <c r="C326" s="169">
        <v>6018</v>
      </c>
      <c r="D326" s="169"/>
      <c r="E326" s="169"/>
      <c r="F326" s="169"/>
      <c r="G326" s="169"/>
      <c r="H326" s="169"/>
      <c r="I326" s="207"/>
      <c r="J326" s="231"/>
      <c r="K326" s="231"/>
      <c r="L326" s="231"/>
      <c r="M326" s="231"/>
      <c r="N326" s="231"/>
      <c r="O326" s="231"/>
      <c r="P326" s="231"/>
      <c r="Q326" s="231"/>
      <c r="R326" s="231"/>
      <c r="S326" s="231"/>
      <c r="T326" s="231"/>
      <c r="U326" s="231"/>
      <c r="V326" s="231"/>
      <c r="W326" s="231"/>
      <c r="X326" s="231"/>
      <c r="Y326" s="231"/>
      <c r="Z326" s="231"/>
      <c r="AA326" s="231"/>
      <c r="AB326" s="231"/>
      <c r="AC326" s="231"/>
      <c r="AD326" s="231"/>
      <c r="AE326" s="231"/>
      <c r="AF326" s="231"/>
      <c r="AG326" s="231"/>
      <c r="AH326" s="231"/>
      <c r="AI326" s="231"/>
      <c r="AJ326" s="231"/>
      <c r="AK326" s="231"/>
    </row>
    <row r="327" spans="1:37" s="203" customFormat="1">
      <c r="A327" s="784">
        <v>3</v>
      </c>
      <c r="B327" s="47" t="s">
        <v>244</v>
      </c>
      <c r="C327" s="99">
        <v>8213</v>
      </c>
      <c r="D327" s="99"/>
      <c r="E327" s="99"/>
      <c r="F327" s="99"/>
      <c r="G327" s="99"/>
      <c r="H327" s="99"/>
      <c r="I327" s="207"/>
      <c r="J327" s="231"/>
      <c r="K327" s="231"/>
      <c r="L327" s="231"/>
      <c r="M327" s="231"/>
      <c r="N327" s="231"/>
      <c r="O327" s="231"/>
      <c r="P327" s="231"/>
      <c r="Q327" s="231"/>
      <c r="R327" s="231"/>
      <c r="S327" s="231"/>
      <c r="T327" s="231"/>
      <c r="U327" s="231"/>
      <c r="V327" s="231"/>
      <c r="W327" s="231"/>
      <c r="X327" s="231"/>
      <c r="Y327" s="231"/>
      <c r="Z327" s="231"/>
      <c r="AA327" s="231"/>
      <c r="AB327" s="231"/>
      <c r="AC327" s="231"/>
      <c r="AD327" s="231"/>
      <c r="AE327" s="231"/>
      <c r="AF327" s="231"/>
      <c r="AG327" s="231"/>
      <c r="AH327" s="231"/>
      <c r="AI327" s="231"/>
      <c r="AJ327" s="231"/>
      <c r="AK327" s="231"/>
    </row>
    <row r="328" spans="1:37" s="203" customFormat="1">
      <c r="A328" s="784">
        <v>4</v>
      </c>
      <c r="B328" s="47" t="s">
        <v>245</v>
      </c>
      <c r="C328" s="99">
        <v>2617</v>
      </c>
      <c r="D328" s="99"/>
      <c r="E328" s="99"/>
      <c r="F328" s="99"/>
      <c r="G328" s="99"/>
      <c r="H328" s="99"/>
      <c r="I328" s="207"/>
      <c r="J328" s="231"/>
      <c r="K328" s="231"/>
      <c r="L328" s="231"/>
      <c r="M328" s="231"/>
      <c r="N328" s="231"/>
      <c r="O328" s="231"/>
      <c r="P328" s="231"/>
      <c r="Q328" s="231"/>
      <c r="R328" s="231"/>
      <c r="S328" s="231"/>
      <c r="T328" s="231"/>
      <c r="U328" s="231"/>
      <c r="V328" s="231"/>
      <c r="W328" s="231"/>
      <c r="X328" s="231"/>
      <c r="Y328" s="231"/>
      <c r="Z328" s="231"/>
      <c r="AA328" s="231"/>
      <c r="AB328" s="231"/>
      <c r="AC328" s="231"/>
      <c r="AD328" s="231"/>
      <c r="AE328" s="231"/>
      <c r="AF328" s="231"/>
      <c r="AG328" s="231"/>
      <c r="AH328" s="231"/>
      <c r="AI328" s="231"/>
      <c r="AJ328" s="231"/>
      <c r="AK328" s="231"/>
    </row>
    <row r="329" spans="1:37" s="203" customFormat="1">
      <c r="A329" s="785">
        <v>5</v>
      </c>
      <c r="B329" s="54" t="s">
        <v>246</v>
      </c>
      <c r="C329" s="100">
        <v>0</v>
      </c>
      <c r="D329" s="100"/>
      <c r="E329" s="100"/>
      <c r="F329" s="100"/>
      <c r="G329" s="100"/>
      <c r="H329" s="100"/>
      <c r="I329" s="207"/>
      <c r="J329" s="231"/>
      <c r="K329" s="231"/>
      <c r="L329" s="231"/>
      <c r="M329" s="231"/>
      <c r="N329" s="231"/>
      <c r="O329" s="231"/>
      <c r="P329" s="231"/>
      <c r="Q329" s="231"/>
      <c r="R329" s="231"/>
      <c r="S329" s="231"/>
      <c r="T329" s="231"/>
      <c r="U329" s="231"/>
      <c r="V329" s="231"/>
      <c r="W329" s="231"/>
      <c r="X329" s="231"/>
      <c r="Y329" s="231"/>
      <c r="Z329" s="231"/>
      <c r="AA329" s="231"/>
      <c r="AB329" s="231"/>
      <c r="AC329" s="231"/>
      <c r="AD329" s="231"/>
      <c r="AE329" s="231"/>
      <c r="AF329" s="231"/>
      <c r="AG329" s="231"/>
      <c r="AH329" s="231"/>
      <c r="AI329" s="231"/>
      <c r="AJ329" s="231"/>
      <c r="AK329" s="231"/>
    </row>
    <row r="330" spans="1:37" s="203" customFormat="1">
      <c r="A330" s="784"/>
      <c r="B330" s="47"/>
      <c r="C330" s="864" t="s">
        <v>404</v>
      </c>
      <c r="D330" s="865"/>
      <c r="E330" s="865"/>
      <c r="F330" s="865"/>
      <c r="G330" s="865"/>
      <c r="H330" s="866"/>
      <c r="I330" s="207"/>
      <c r="J330" s="231"/>
      <c r="K330" s="231"/>
      <c r="L330" s="231"/>
      <c r="M330" s="231"/>
      <c r="N330" s="231"/>
      <c r="O330" s="231"/>
      <c r="P330" s="231"/>
      <c r="Q330" s="231"/>
      <c r="R330" s="231"/>
      <c r="S330" s="231"/>
      <c r="T330" s="231"/>
      <c r="U330" s="231"/>
      <c r="V330" s="231"/>
      <c r="W330" s="231"/>
      <c r="X330" s="231"/>
      <c r="Y330" s="231"/>
      <c r="Z330" s="231"/>
      <c r="AA330" s="231"/>
      <c r="AB330" s="231"/>
      <c r="AC330" s="231"/>
      <c r="AD330" s="231"/>
      <c r="AE330" s="231"/>
      <c r="AF330" s="231"/>
      <c r="AG330" s="231"/>
      <c r="AH330" s="231"/>
      <c r="AI330" s="231"/>
      <c r="AJ330" s="231"/>
      <c r="AK330" s="231"/>
    </row>
    <row r="331" spans="1:37" s="203" customFormat="1" ht="39" thickBot="1">
      <c r="A331" s="110" t="s">
        <v>84</v>
      </c>
      <c r="B331" s="116"/>
      <c r="C331" s="35" t="s">
        <v>52</v>
      </c>
      <c r="D331" s="35" t="s">
        <v>53</v>
      </c>
      <c r="E331" s="37" t="s">
        <v>54</v>
      </c>
      <c r="F331" s="37" t="s">
        <v>55</v>
      </c>
      <c r="G331" s="37" t="s">
        <v>241</v>
      </c>
      <c r="H331" s="35" t="s">
        <v>121</v>
      </c>
      <c r="I331" s="207"/>
      <c r="J331" s="231"/>
      <c r="K331" s="231"/>
      <c r="L331" s="231"/>
      <c r="M331" s="231"/>
      <c r="N331" s="231"/>
      <c r="O331" s="231"/>
      <c r="P331" s="231"/>
      <c r="Q331" s="231"/>
      <c r="R331" s="231"/>
      <c r="S331" s="231"/>
      <c r="T331" s="231"/>
      <c r="U331" s="231"/>
      <c r="V331" s="231"/>
      <c r="W331" s="231"/>
      <c r="X331" s="231"/>
      <c r="Y331" s="231"/>
      <c r="Z331" s="231"/>
      <c r="AA331" s="231"/>
      <c r="AB331" s="231"/>
      <c r="AC331" s="231"/>
      <c r="AD331" s="231"/>
      <c r="AE331" s="231"/>
      <c r="AF331" s="231"/>
      <c r="AG331" s="231"/>
      <c r="AH331" s="231"/>
      <c r="AI331" s="231"/>
      <c r="AJ331" s="231"/>
      <c r="AK331" s="231"/>
    </row>
    <row r="332" spans="1:37" s="203" customFormat="1" ht="13.5" thickBot="1">
      <c r="A332" s="784">
        <v>1</v>
      </c>
      <c r="B332" s="116" t="s">
        <v>242</v>
      </c>
      <c r="C332" s="193">
        <f t="shared" ref="C332:H332" si="1">SUM(C333:C336)</f>
        <v>16938</v>
      </c>
      <c r="D332" s="193">
        <f t="shared" si="1"/>
        <v>0</v>
      </c>
      <c r="E332" s="193">
        <v>0</v>
      </c>
      <c r="F332" s="193">
        <f t="shared" si="1"/>
        <v>0</v>
      </c>
      <c r="G332" s="193">
        <f>SUM(G333:G336)</f>
        <v>0</v>
      </c>
      <c r="H332" s="193">
        <f t="shared" si="1"/>
        <v>0</v>
      </c>
      <c r="I332" s="207"/>
      <c r="J332" s="231"/>
      <c r="K332" s="231"/>
      <c r="L332" s="231"/>
      <c r="M332" s="231"/>
      <c r="N332" s="231"/>
      <c r="O332" s="231"/>
      <c r="P332" s="231"/>
      <c r="Q332" s="231"/>
      <c r="R332" s="231"/>
      <c r="S332" s="231"/>
      <c r="T332" s="231"/>
      <c r="U332" s="231"/>
      <c r="V332" s="231"/>
      <c r="W332" s="231"/>
      <c r="X332" s="231"/>
      <c r="Y332" s="231"/>
      <c r="Z332" s="231"/>
      <c r="AA332" s="231"/>
      <c r="AB332" s="231"/>
      <c r="AC332" s="231"/>
      <c r="AD332" s="231"/>
      <c r="AE332" s="231"/>
      <c r="AF332" s="231"/>
      <c r="AG332" s="231"/>
      <c r="AH332" s="231"/>
      <c r="AI332" s="231"/>
      <c r="AJ332" s="231"/>
      <c r="AK332" s="231"/>
    </row>
    <row r="333" spans="1:37" s="203" customFormat="1">
      <c r="A333" s="784">
        <v>2</v>
      </c>
      <c r="B333" s="47" t="s">
        <v>243</v>
      </c>
      <c r="C333" s="169">
        <v>6262</v>
      </c>
      <c r="D333" s="169"/>
      <c r="E333" s="169"/>
      <c r="F333" s="169"/>
      <c r="G333" s="169"/>
      <c r="H333" s="169"/>
      <c r="I333" s="207"/>
      <c r="J333" s="231"/>
      <c r="K333" s="231"/>
      <c r="L333" s="231"/>
      <c r="M333" s="231"/>
      <c r="N333" s="231"/>
      <c r="O333" s="231"/>
      <c r="P333" s="231"/>
      <c r="Q333" s="231"/>
      <c r="R333" s="231"/>
      <c r="S333" s="231"/>
      <c r="T333" s="231"/>
      <c r="U333" s="231"/>
      <c r="V333" s="231"/>
      <c r="W333" s="231"/>
      <c r="X333" s="231"/>
      <c r="Y333" s="231"/>
      <c r="Z333" s="231"/>
      <c r="AA333" s="231"/>
      <c r="AB333" s="231"/>
      <c r="AC333" s="231"/>
      <c r="AD333" s="231"/>
      <c r="AE333" s="231"/>
      <c r="AF333" s="231"/>
      <c r="AG333" s="231"/>
      <c r="AH333" s="231"/>
      <c r="AI333" s="231"/>
      <c r="AJ333" s="231"/>
      <c r="AK333" s="231"/>
    </row>
    <row r="334" spans="1:37" s="203" customFormat="1">
      <c r="A334" s="784">
        <v>3</v>
      </c>
      <c r="B334" s="47" t="s">
        <v>244</v>
      </c>
      <c r="C334" s="99">
        <v>7286</v>
      </c>
      <c r="D334" s="99"/>
      <c r="E334" s="99"/>
      <c r="F334" s="99"/>
      <c r="G334" s="99"/>
      <c r="H334" s="99"/>
      <c r="I334" s="207"/>
      <c r="J334" s="231"/>
      <c r="K334" s="231"/>
      <c r="L334" s="231"/>
      <c r="M334" s="231"/>
      <c r="N334" s="231"/>
      <c r="O334" s="231"/>
      <c r="P334" s="231"/>
      <c r="Q334" s="231"/>
      <c r="R334" s="231"/>
      <c r="S334" s="231"/>
      <c r="T334" s="231"/>
      <c r="U334" s="231"/>
      <c r="V334" s="231"/>
      <c r="W334" s="231"/>
      <c r="X334" s="231"/>
      <c r="Y334" s="231"/>
      <c r="Z334" s="231"/>
      <c r="AA334" s="231"/>
      <c r="AB334" s="231"/>
      <c r="AC334" s="231"/>
      <c r="AD334" s="231"/>
      <c r="AE334" s="231"/>
      <c r="AF334" s="231"/>
      <c r="AG334" s="231"/>
      <c r="AH334" s="231"/>
      <c r="AI334" s="231"/>
      <c r="AJ334" s="231"/>
      <c r="AK334" s="231"/>
    </row>
    <row r="335" spans="1:37" s="203" customFormat="1">
      <c r="A335" s="784">
        <v>4</v>
      </c>
      <c r="B335" s="47" t="s">
        <v>245</v>
      </c>
      <c r="C335" s="99">
        <v>3390</v>
      </c>
      <c r="D335" s="99"/>
      <c r="E335" s="99"/>
      <c r="F335" s="99"/>
      <c r="G335" s="99"/>
      <c r="H335" s="99"/>
      <c r="I335" s="207"/>
      <c r="J335" s="231"/>
      <c r="K335" s="231"/>
      <c r="L335" s="231"/>
      <c r="M335" s="231"/>
      <c r="N335" s="231"/>
      <c r="O335" s="231"/>
      <c r="P335" s="231"/>
      <c r="Q335" s="231"/>
      <c r="R335" s="231"/>
      <c r="S335" s="231"/>
      <c r="T335" s="231"/>
      <c r="U335" s="231"/>
      <c r="V335" s="231"/>
      <c r="W335" s="231"/>
      <c r="X335" s="231"/>
      <c r="Y335" s="231"/>
      <c r="Z335" s="231"/>
      <c r="AA335" s="231"/>
      <c r="AB335" s="231"/>
      <c r="AC335" s="231"/>
      <c r="AD335" s="231"/>
      <c r="AE335" s="231"/>
      <c r="AF335" s="231"/>
      <c r="AG335" s="231"/>
      <c r="AH335" s="231"/>
      <c r="AI335" s="231"/>
      <c r="AJ335" s="231"/>
      <c r="AK335" s="231"/>
    </row>
    <row r="336" spans="1:37" s="203" customFormat="1">
      <c r="A336" s="785">
        <v>5</v>
      </c>
      <c r="B336" s="54" t="s">
        <v>246</v>
      </c>
      <c r="C336" s="100">
        <v>0</v>
      </c>
      <c r="D336" s="100"/>
      <c r="E336" s="100"/>
      <c r="F336" s="100"/>
      <c r="G336" s="100"/>
      <c r="H336" s="100"/>
      <c r="I336" s="207"/>
      <c r="J336" s="231"/>
      <c r="K336" s="231"/>
      <c r="L336" s="231"/>
      <c r="M336" s="231"/>
      <c r="N336" s="231"/>
      <c r="O336" s="231"/>
      <c r="P336" s="231"/>
      <c r="Q336" s="231"/>
      <c r="R336" s="231"/>
      <c r="S336" s="231"/>
      <c r="T336" s="231"/>
      <c r="U336" s="231"/>
      <c r="V336" s="231"/>
      <c r="W336" s="231"/>
      <c r="X336" s="231"/>
      <c r="Y336" s="231"/>
      <c r="Z336" s="231"/>
      <c r="AA336" s="231"/>
      <c r="AB336" s="231"/>
      <c r="AC336" s="231"/>
      <c r="AD336" s="231"/>
      <c r="AE336" s="231"/>
      <c r="AF336" s="231"/>
      <c r="AG336" s="231"/>
      <c r="AH336" s="231"/>
      <c r="AI336" s="231"/>
      <c r="AJ336" s="231"/>
      <c r="AK336" s="231"/>
    </row>
    <row r="337" spans="1:37" s="203" customFormat="1">
      <c r="A337" s="23"/>
      <c r="B337" s="207"/>
      <c r="C337" s="207"/>
      <c r="D337" s="207"/>
      <c r="E337" s="207"/>
      <c r="F337" s="207"/>
      <c r="G337" s="207"/>
      <c r="H337" s="21"/>
      <c r="I337" s="21"/>
      <c r="J337" s="231"/>
      <c r="K337" s="231"/>
      <c r="L337" s="231"/>
      <c r="M337" s="231"/>
      <c r="N337" s="231"/>
      <c r="O337" s="231"/>
      <c r="P337" s="231"/>
      <c r="Q337" s="231"/>
      <c r="R337" s="231"/>
      <c r="S337" s="231"/>
      <c r="T337" s="231"/>
      <c r="U337" s="231"/>
      <c r="V337" s="231"/>
      <c r="W337" s="231"/>
      <c r="X337" s="231"/>
      <c r="Y337" s="231"/>
      <c r="Z337" s="231"/>
      <c r="AA337" s="231"/>
      <c r="AB337" s="231"/>
      <c r="AC337" s="231"/>
      <c r="AD337" s="231"/>
      <c r="AE337" s="231"/>
      <c r="AF337" s="231"/>
      <c r="AG337" s="231"/>
      <c r="AH337" s="231"/>
      <c r="AI337" s="231"/>
      <c r="AJ337" s="231"/>
      <c r="AK337" s="231"/>
    </row>
    <row r="338" spans="1:37" s="203" customFormat="1" ht="12.75" customHeight="1">
      <c r="A338" s="23"/>
      <c r="B338" s="207"/>
      <c r="C338" s="207"/>
      <c r="D338" s="207"/>
      <c r="E338" s="207"/>
      <c r="F338" s="207"/>
      <c r="G338" s="207"/>
      <c r="H338" s="21"/>
      <c r="I338" s="21"/>
      <c r="J338" s="231"/>
      <c r="K338" s="231"/>
      <c r="L338" s="231"/>
      <c r="M338" s="231"/>
      <c r="N338" s="231"/>
      <c r="O338" s="231"/>
      <c r="P338" s="231"/>
      <c r="Q338" s="231"/>
      <c r="R338" s="231"/>
      <c r="S338" s="231"/>
      <c r="T338" s="231"/>
      <c r="U338" s="231"/>
      <c r="V338" s="231"/>
      <c r="W338" s="231"/>
      <c r="X338" s="231"/>
      <c r="Y338" s="231"/>
      <c r="Z338" s="231"/>
      <c r="AA338" s="231"/>
      <c r="AB338" s="231"/>
      <c r="AC338" s="231"/>
      <c r="AD338" s="231"/>
      <c r="AE338" s="231"/>
      <c r="AF338" s="231"/>
      <c r="AG338" s="231"/>
      <c r="AH338" s="231"/>
      <c r="AI338" s="231"/>
      <c r="AJ338" s="231"/>
      <c r="AK338" s="231"/>
    </row>
    <row r="339" spans="1:37" s="203" customFormat="1">
      <c r="A339" s="23"/>
      <c r="B339" s="207"/>
      <c r="C339" s="207"/>
      <c r="D339" s="207"/>
      <c r="E339" s="207"/>
      <c r="F339" s="207"/>
      <c r="G339" s="207"/>
      <c r="H339" s="21"/>
      <c r="I339" s="21"/>
      <c r="J339" s="231"/>
      <c r="K339" s="231"/>
      <c r="L339" s="231"/>
      <c r="M339" s="231"/>
      <c r="N339" s="231"/>
      <c r="O339" s="231"/>
      <c r="P339" s="231"/>
      <c r="Q339" s="231"/>
      <c r="R339" s="231"/>
      <c r="S339" s="231"/>
      <c r="T339" s="231"/>
      <c r="U339" s="231"/>
      <c r="V339" s="231"/>
      <c r="W339" s="231"/>
      <c r="X339" s="231"/>
      <c r="Y339" s="231"/>
      <c r="Z339" s="231"/>
      <c r="AA339" s="231"/>
      <c r="AB339" s="231"/>
      <c r="AC339" s="231"/>
      <c r="AD339" s="231"/>
      <c r="AE339" s="231"/>
      <c r="AF339" s="231"/>
      <c r="AG339" s="231"/>
      <c r="AH339" s="231"/>
      <c r="AI339" s="231"/>
      <c r="AJ339" s="231"/>
      <c r="AK339" s="231"/>
    </row>
    <row r="340" spans="1:37" s="203" customFormat="1">
      <c r="A340" s="23"/>
      <c r="B340" s="207"/>
      <c r="C340" s="207"/>
      <c r="D340" s="207"/>
      <c r="E340" s="207"/>
      <c r="F340" s="207"/>
      <c r="G340" s="207"/>
      <c r="H340" s="131" t="s">
        <v>27</v>
      </c>
      <c r="I340" s="21"/>
      <c r="J340" s="231"/>
      <c r="K340" s="231"/>
      <c r="L340" s="231"/>
      <c r="M340" s="231"/>
      <c r="N340" s="231"/>
      <c r="O340" s="231"/>
      <c r="P340" s="231"/>
      <c r="Q340" s="231"/>
      <c r="R340" s="231"/>
      <c r="S340" s="231"/>
      <c r="T340" s="231"/>
      <c r="U340" s="231"/>
      <c r="V340" s="231"/>
      <c r="W340" s="231"/>
      <c r="X340" s="231"/>
      <c r="Y340" s="231"/>
      <c r="Z340" s="231"/>
      <c r="AA340" s="231"/>
      <c r="AB340" s="231"/>
      <c r="AC340" s="231"/>
      <c r="AD340" s="231"/>
      <c r="AE340" s="231"/>
      <c r="AF340" s="231"/>
      <c r="AG340" s="231"/>
      <c r="AH340" s="231"/>
      <c r="AI340" s="231"/>
      <c r="AJ340" s="231"/>
      <c r="AK340" s="231"/>
    </row>
    <row r="341" spans="1:37" s="203" customFormat="1">
      <c r="A341" s="197"/>
      <c r="B341" s="69"/>
      <c r="C341" s="69"/>
      <c r="D341" s="69"/>
      <c r="E341" s="856" t="s">
        <v>377</v>
      </c>
      <c r="F341" s="853" t="s">
        <v>402</v>
      </c>
      <c r="G341" s="207"/>
      <c r="H341" s="856" t="s">
        <v>403</v>
      </c>
      <c r="I341" s="21"/>
      <c r="J341" s="231"/>
      <c r="K341" s="231"/>
      <c r="L341" s="231"/>
      <c r="M341" s="231"/>
      <c r="N341" s="231"/>
      <c r="O341" s="231"/>
      <c r="P341" s="231"/>
      <c r="Q341" s="231"/>
      <c r="R341" s="231"/>
      <c r="S341" s="231"/>
      <c r="T341" s="231"/>
      <c r="U341" s="231"/>
      <c r="V341" s="231"/>
      <c r="W341" s="231"/>
      <c r="X341" s="231"/>
      <c r="Y341" s="231"/>
      <c r="Z341" s="231"/>
      <c r="AA341" s="231"/>
      <c r="AB341" s="231"/>
      <c r="AC341" s="231"/>
      <c r="AD341" s="231"/>
      <c r="AE341" s="231"/>
      <c r="AF341" s="231"/>
      <c r="AG341" s="231"/>
      <c r="AH341" s="231"/>
      <c r="AI341" s="231"/>
      <c r="AJ341" s="231"/>
      <c r="AK341" s="231"/>
    </row>
    <row r="342" spans="1:37" s="203" customFormat="1">
      <c r="A342" s="144" t="s">
        <v>261</v>
      </c>
      <c r="B342" s="116"/>
      <c r="C342" s="116"/>
      <c r="D342" s="116"/>
      <c r="E342" s="859"/>
      <c r="F342" s="854"/>
      <c r="G342" s="207"/>
      <c r="H342" s="857"/>
      <c r="I342" s="21"/>
      <c r="J342" s="231"/>
      <c r="K342" s="231"/>
      <c r="L342" s="231"/>
      <c r="M342" s="231"/>
      <c r="N342" s="231"/>
      <c r="O342" s="231"/>
      <c r="P342" s="231"/>
      <c r="Q342" s="231"/>
      <c r="R342" s="231"/>
      <c r="S342" s="231"/>
      <c r="T342" s="231"/>
      <c r="U342" s="231"/>
      <c r="V342" s="231"/>
      <c r="W342" s="231"/>
      <c r="X342" s="231"/>
      <c r="Y342" s="231"/>
      <c r="Z342" s="231"/>
      <c r="AA342" s="231"/>
      <c r="AB342" s="231"/>
      <c r="AC342" s="231"/>
      <c r="AD342" s="231"/>
      <c r="AE342" s="231"/>
      <c r="AF342" s="231"/>
      <c r="AG342" s="231"/>
      <c r="AH342" s="231"/>
      <c r="AI342" s="231"/>
      <c r="AJ342" s="231"/>
      <c r="AK342" s="231"/>
    </row>
    <row r="343" spans="1:37" s="203" customFormat="1">
      <c r="A343" s="119"/>
      <c r="B343" s="116"/>
      <c r="C343" s="116"/>
      <c r="D343" s="116"/>
      <c r="E343" s="859"/>
      <c r="F343" s="854"/>
      <c r="G343" s="207"/>
      <c r="H343" s="857"/>
      <c r="I343" s="21"/>
      <c r="J343" s="231"/>
      <c r="K343" s="231"/>
      <c r="L343" s="231"/>
      <c r="M343" s="231"/>
      <c r="N343" s="231"/>
      <c r="O343" s="231"/>
      <c r="P343" s="231"/>
      <c r="Q343" s="231"/>
      <c r="R343" s="231"/>
      <c r="S343" s="231"/>
      <c r="T343" s="231"/>
      <c r="U343" s="231"/>
      <c r="V343" s="231"/>
      <c r="W343" s="231"/>
      <c r="X343" s="231"/>
      <c r="Y343" s="231"/>
      <c r="Z343" s="231"/>
      <c r="AA343" s="231"/>
      <c r="AB343" s="231"/>
      <c r="AC343" s="231"/>
      <c r="AD343" s="231"/>
      <c r="AE343" s="231"/>
      <c r="AF343" s="231"/>
      <c r="AG343" s="231"/>
      <c r="AH343" s="231"/>
      <c r="AI343" s="231"/>
      <c r="AJ343" s="231"/>
      <c r="AK343" s="231"/>
    </row>
    <row r="344" spans="1:37" s="203" customFormat="1">
      <c r="A344" s="198" t="s">
        <v>262</v>
      </c>
      <c r="B344" s="116"/>
      <c r="C344" s="116"/>
      <c r="D344" s="116"/>
      <c r="E344" s="859"/>
      <c r="F344" s="854"/>
      <c r="G344" s="207"/>
      <c r="H344" s="857"/>
      <c r="I344" s="21"/>
      <c r="J344" s="231"/>
      <c r="K344" s="231"/>
      <c r="L344" s="231"/>
      <c r="M344" s="231"/>
      <c r="N344" s="231"/>
      <c r="O344" s="231"/>
      <c r="P344" s="231"/>
      <c r="Q344" s="231"/>
      <c r="R344" s="231"/>
      <c r="S344" s="231"/>
      <c r="T344" s="231"/>
      <c r="U344" s="231"/>
      <c r="V344" s="231"/>
      <c r="W344" s="231"/>
      <c r="X344" s="231"/>
      <c r="Y344" s="231"/>
      <c r="Z344" s="231"/>
      <c r="AA344" s="231"/>
      <c r="AB344" s="231"/>
      <c r="AC344" s="231"/>
      <c r="AD344" s="231"/>
      <c r="AE344" s="231"/>
      <c r="AF344" s="231"/>
      <c r="AG344" s="231"/>
      <c r="AH344" s="231"/>
      <c r="AI344" s="231"/>
      <c r="AJ344" s="231"/>
      <c r="AK344" s="231"/>
    </row>
    <row r="345" spans="1:37" s="203" customFormat="1">
      <c r="A345" s="198" t="s">
        <v>330</v>
      </c>
      <c r="B345" s="116"/>
      <c r="C345" s="116"/>
      <c r="D345" s="116"/>
      <c r="E345" s="860"/>
      <c r="F345" s="855"/>
      <c r="G345" s="207"/>
      <c r="H345" s="858"/>
      <c r="I345" s="21"/>
      <c r="J345" s="231"/>
      <c r="K345" s="231"/>
      <c r="L345" s="231"/>
      <c r="M345" s="231"/>
      <c r="N345" s="231"/>
      <c r="O345" s="231"/>
      <c r="P345" s="231"/>
      <c r="Q345" s="231"/>
      <c r="R345" s="231"/>
      <c r="S345" s="231"/>
      <c r="T345" s="231"/>
      <c r="U345" s="231"/>
      <c r="V345" s="231"/>
      <c r="W345" s="231"/>
      <c r="X345" s="231"/>
      <c r="Y345" s="231"/>
      <c r="Z345" s="231"/>
      <c r="AA345" s="231"/>
      <c r="AB345" s="231"/>
      <c r="AC345" s="231"/>
      <c r="AD345" s="231"/>
      <c r="AE345" s="231"/>
      <c r="AF345" s="231"/>
      <c r="AG345" s="231"/>
      <c r="AH345" s="231"/>
      <c r="AI345" s="231"/>
      <c r="AJ345" s="231"/>
      <c r="AK345" s="231"/>
    </row>
    <row r="346" spans="1:37" s="203" customFormat="1">
      <c r="A346" s="119"/>
      <c r="B346" s="47"/>
      <c r="C346" s="116"/>
      <c r="D346" s="116"/>
      <c r="E346" s="178"/>
      <c r="F346" s="146"/>
      <c r="G346" s="23"/>
      <c r="H346" s="264"/>
      <c r="I346" s="21"/>
      <c r="J346" s="231"/>
      <c r="K346" s="231"/>
      <c r="L346" s="231"/>
      <c r="M346" s="231"/>
      <c r="N346" s="231"/>
      <c r="O346" s="231"/>
      <c r="P346" s="231"/>
      <c r="Q346" s="231"/>
      <c r="R346" s="231"/>
      <c r="S346" s="231"/>
      <c r="T346" s="231"/>
      <c r="U346" s="231"/>
      <c r="V346" s="231"/>
      <c r="W346" s="231"/>
      <c r="X346" s="231"/>
      <c r="Y346" s="231"/>
      <c r="Z346" s="231"/>
      <c r="AA346" s="231"/>
      <c r="AB346" s="231"/>
      <c r="AC346" s="231"/>
      <c r="AD346" s="231"/>
      <c r="AE346" s="231"/>
      <c r="AF346" s="231"/>
      <c r="AG346" s="231"/>
      <c r="AH346" s="231"/>
      <c r="AI346" s="231"/>
      <c r="AJ346" s="231"/>
      <c r="AK346" s="231"/>
    </row>
    <row r="347" spans="1:37" s="203" customFormat="1">
      <c r="A347" s="784">
        <v>1</v>
      </c>
      <c r="B347" s="47" t="s">
        <v>263</v>
      </c>
      <c r="C347" s="116"/>
      <c r="D347" s="116"/>
      <c r="E347" s="354">
        <v>12080</v>
      </c>
      <c r="F347" s="265">
        <v>11300</v>
      </c>
      <c r="G347" s="43"/>
      <c r="H347" s="126">
        <v>12005</v>
      </c>
      <c r="I347" s="86"/>
      <c r="J347" s="231"/>
      <c r="K347" s="231"/>
      <c r="L347" s="231"/>
      <c r="M347" s="231"/>
      <c r="N347" s="231"/>
      <c r="O347" s="231"/>
      <c r="P347" s="231"/>
      <c r="Q347" s="231"/>
      <c r="R347" s="231"/>
      <c r="S347" s="231"/>
      <c r="T347" s="231"/>
      <c r="U347" s="231"/>
      <c r="V347" s="231"/>
      <c r="W347" s="231"/>
      <c r="X347" s="231"/>
      <c r="Y347" s="231"/>
      <c r="Z347" s="231"/>
      <c r="AA347" s="231"/>
      <c r="AB347" s="231"/>
      <c r="AC347" s="231"/>
      <c r="AD347" s="231"/>
      <c r="AE347" s="231"/>
      <c r="AF347" s="231"/>
      <c r="AG347" s="231"/>
      <c r="AH347" s="231"/>
      <c r="AI347" s="231"/>
      <c r="AJ347" s="231"/>
      <c r="AK347" s="231"/>
    </row>
    <row r="348" spans="1:37" s="203" customFormat="1">
      <c r="A348" s="784"/>
      <c r="B348" s="47"/>
      <c r="C348" s="116"/>
      <c r="D348" s="116"/>
      <c r="E348" s="355"/>
      <c r="F348" s="188"/>
      <c r="G348" s="43"/>
      <c r="H348" s="188"/>
      <c r="I348" s="86"/>
      <c r="J348" s="231"/>
      <c r="K348" s="231"/>
      <c r="L348" s="231"/>
      <c r="M348" s="231"/>
      <c r="N348" s="231"/>
      <c r="O348" s="231"/>
      <c r="P348" s="231"/>
      <c r="Q348" s="231"/>
      <c r="R348" s="231"/>
      <c r="S348" s="231"/>
      <c r="T348" s="231"/>
      <c r="U348" s="231"/>
      <c r="V348" s="231"/>
      <c r="W348" s="231"/>
      <c r="X348" s="231"/>
      <c r="Y348" s="231"/>
      <c r="Z348" s="231"/>
      <c r="AA348" s="231"/>
      <c r="AB348" s="231"/>
      <c r="AC348" s="231"/>
      <c r="AD348" s="231"/>
      <c r="AE348" s="231"/>
      <c r="AF348" s="231"/>
      <c r="AG348" s="231"/>
      <c r="AH348" s="231"/>
      <c r="AI348" s="231"/>
      <c r="AJ348" s="231"/>
      <c r="AK348" s="231"/>
    </row>
    <row r="349" spans="1:37" s="203" customFormat="1">
      <c r="A349" s="108" t="s">
        <v>378</v>
      </c>
      <c r="B349" s="47"/>
      <c r="C349" s="116"/>
      <c r="D349" s="116"/>
      <c r="E349" s="355"/>
      <c r="F349" s="188"/>
      <c r="G349" s="43"/>
      <c r="H349" s="188"/>
      <c r="I349" s="86"/>
      <c r="J349" s="231"/>
      <c r="K349" s="231"/>
      <c r="L349" s="231"/>
      <c r="M349" s="231"/>
      <c r="N349" s="231"/>
      <c r="O349" s="231"/>
      <c r="P349" s="231"/>
      <c r="Q349" s="231"/>
      <c r="R349" s="231"/>
      <c r="S349" s="231"/>
      <c r="T349" s="231"/>
      <c r="U349" s="231"/>
      <c r="V349" s="231"/>
      <c r="W349" s="231"/>
      <c r="X349" s="231"/>
      <c r="Y349" s="231"/>
      <c r="Z349" s="231"/>
      <c r="AA349" s="231"/>
      <c r="AB349" s="231"/>
      <c r="AC349" s="231"/>
      <c r="AD349" s="231"/>
      <c r="AE349" s="231"/>
      <c r="AF349" s="231"/>
      <c r="AG349" s="231"/>
      <c r="AH349" s="231"/>
      <c r="AI349" s="231"/>
      <c r="AJ349" s="231"/>
      <c r="AK349" s="231"/>
    </row>
    <row r="350" spans="1:37" s="203" customFormat="1">
      <c r="A350" s="784"/>
      <c r="B350" s="47"/>
      <c r="C350" s="116"/>
      <c r="D350" s="116"/>
      <c r="E350" s="355"/>
      <c r="F350" s="188"/>
      <c r="G350" s="43"/>
      <c r="H350" s="188"/>
      <c r="I350" s="86"/>
      <c r="J350" s="231"/>
      <c r="K350" s="231"/>
      <c r="L350" s="231"/>
      <c r="M350" s="231"/>
      <c r="N350" s="231"/>
      <c r="O350" s="231"/>
      <c r="P350" s="231"/>
      <c r="Q350" s="231"/>
      <c r="R350" s="231"/>
      <c r="S350" s="231"/>
      <c r="T350" s="231"/>
      <c r="U350" s="231"/>
      <c r="V350" s="231"/>
      <c r="W350" s="231"/>
      <c r="X350" s="231"/>
      <c r="Y350" s="231"/>
      <c r="Z350" s="231"/>
      <c r="AA350" s="231"/>
      <c r="AB350" s="231"/>
      <c r="AC350" s="231"/>
      <c r="AD350" s="231"/>
      <c r="AE350" s="231"/>
      <c r="AF350" s="231"/>
      <c r="AG350" s="231"/>
      <c r="AH350" s="231"/>
      <c r="AI350" s="231"/>
      <c r="AJ350" s="231"/>
      <c r="AK350" s="231"/>
    </row>
    <row r="351" spans="1:37" s="203" customFormat="1">
      <c r="A351" s="198" t="s">
        <v>379</v>
      </c>
      <c r="B351" s="47"/>
      <c r="C351" s="116"/>
      <c r="D351" s="116"/>
      <c r="E351" s="355"/>
      <c r="F351" s="188"/>
      <c r="G351" s="43"/>
      <c r="H351" s="188"/>
      <c r="I351" s="86"/>
      <c r="J351" s="231"/>
      <c r="K351" s="231"/>
      <c r="L351" s="231"/>
      <c r="M351" s="231"/>
      <c r="N351" s="231"/>
      <c r="O351" s="231"/>
      <c r="P351" s="231"/>
      <c r="Q351" s="231"/>
      <c r="R351" s="231"/>
      <c r="S351" s="231"/>
      <c r="T351" s="231"/>
      <c r="U351" s="231"/>
      <c r="V351" s="231"/>
      <c r="W351" s="231"/>
      <c r="X351" s="231"/>
      <c r="Y351" s="231"/>
      <c r="Z351" s="231"/>
      <c r="AA351" s="231"/>
      <c r="AB351" s="231"/>
      <c r="AC351" s="231"/>
      <c r="AD351" s="231"/>
      <c r="AE351" s="231"/>
      <c r="AF351" s="231"/>
      <c r="AG351" s="231"/>
      <c r="AH351" s="231"/>
      <c r="AI351" s="231"/>
      <c r="AJ351" s="231"/>
      <c r="AK351" s="231"/>
    </row>
    <row r="352" spans="1:37" s="203" customFormat="1">
      <c r="A352" s="784"/>
      <c r="B352" s="47"/>
      <c r="C352" s="116"/>
      <c r="D352" s="116"/>
      <c r="E352" s="355"/>
      <c r="F352" s="188"/>
      <c r="G352" s="43"/>
      <c r="H352" s="188"/>
      <c r="I352" s="86"/>
      <c r="J352" s="231"/>
      <c r="K352" s="231"/>
      <c r="L352" s="231"/>
      <c r="M352" s="231"/>
      <c r="N352" s="231"/>
      <c r="O352" s="231"/>
      <c r="P352" s="231"/>
      <c r="Q352" s="231"/>
      <c r="R352" s="231"/>
      <c r="S352" s="231"/>
      <c r="T352" s="231"/>
      <c r="U352" s="231"/>
      <c r="V352" s="231"/>
      <c r="W352" s="231"/>
      <c r="X352" s="231"/>
      <c r="Y352" s="231"/>
      <c r="Z352" s="231"/>
      <c r="AA352" s="231"/>
      <c r="AB352" s="231"/>
      <c r="AC352" s="231"/>
      <c r="AD352" s="231"/>
      <c r="AE352" s="231"/>
      <c r="AF352" s="231"/>
      <c r="AG352" s="231"/>
      <c r="AH352" s="231"/>
      <c r="AI352" s="231"/>
      <c r="AJ352" s="231"/>
      <c r="AK352" s="231"/>
    </row>
    <row r="353" spans="1:37" s="203" customFormat="1">
      <c r="A353" s="784">
        <v>2</v>
      </c>
      <c r="B353" s="47" t="s">
        <v>52</v>
      </c>
      <c r="C353" s="116"/>
      <c r="D353" s="116"/>
      <c r="E353" s="74">
        <v>0</v>
      </c>
      <c r="F353" s="265">
        <v>72</v>
      </c>
      <c r="G353" s="43"/>
      <c r="H353" s="126"/>
      <c r="I353" s="86"/>
      <c r="J353" s="231"/>
      <c r="K353" s="231"/>
      <c r="L353" s="231"/>
      <c r="M353" s="231"/>
      <c r="N353" s="231"/>
      <c r="O353" s="231"/>
      <c r="P353" s="231"/>
      <c r="Q353" s="231"/>
      <c r="R353" s="231"/>
      <c r="S353" s="231"/>
      <c r="T353" s="231"/>
      <c r="U353" s="231"/>
      <c r="V353" s="231"/>
      <c r="W353" s="231"/>
      <c r="X353" s="231"/>
      <c r="Y353" s="231"/>
      <c r="Z353" s="231"/>
      <c r="AA353" s="231"/>
      <c r="AB353" s="231"/>
      <c r="AC353" s="231"/>
      <c r="AD353" s="231"/>
      <c r="AE353" s="231"/>
      <c r="AF353" s="231"/>
      <c r="AG353" s="231"/>
      <c r="AH353" s="231"/>
      <c r="AI353" s="231"/>
      <c r="AJ353" s="231"/>
      <c r="AK353" s="231"/>
    </row>
    <row r="354" spans="1:37" s="203" customFormat="1">
      <c r="A354" s="784">
        <v>3</v>
      </c>
      <c r="B354" s="47" t="s">
        <v>53</v>
      </c>
      <c r="C354" s="116"/>
      <c r="D354" s="116"/>
      <c r="E354" s="49">
        <v>0</v>
      </c>
      <c r="F354" s="265"/>
      <c r="G354" s="43"/>
      <c r="H354" s="126"/>
      <c r="I354" s="86"/>
      <c r="J354" s="231"/>
      <c r="K354" s="231"/>
      <c r="L354" s="231"/>
      <c r="M354" s="231"/>
      <c r="N354" s="231"/>
      <c r="O354" s="231"/>
      <c r="P354" s="231"/>
      <c r="Q354" s="231"/>
      <c r="R354" s="231"/>
      <c r="S354" s="231"/>
      <c r="T354" s="231"/>
      <c r="U354" s="231"/>
      <c r="V354" s="231"/>
      <c r="W354" s="231"/>
      <c r="X354" s="231"/>
      <c r="Y354" s="231"/>
      <c r="Z354" s="231"/>
      <c r="AA354" s="231"/>
      <c r="AB354" s="231"/>
      <c r="AC354" s="231"/>
      <c r="AD354" s="231"/>
      <c r="AE354" s="231"/>
      <c r="AF354" s="231"/>
      <c r="AG354" s="231"/>
      <c r="AH354" s="231"/>
      <c r="AI354" s="231"/>
      <c r="AJ354" s="231"/>
      <c r="AK354" s="231"/>
    </row>
    <row r="355" spans="1:37" s="203" customFormat="1">
      <c r="A355" s="784">
        <v>4</v>
      </c>
      <c r="B355" s="47" t="s">
        <v>54</v>
      </c>
      <c r="C355" s="116"/>
      <c r="D355" s="116"/>
      <c r="E355" s="49" t="s">
        <v>133</v>
      </c>
      <c r="F355" s="265"/>
      <c r="G355" s="43"/>
      <c r="H355" s="126"/>
      <c r="I355" s="86"/>
      <c r="J355" s="231"/>
      <c r="K355" s="231"/>
      <c r="L355" s="231"/>
      <c r="M355" s="231"/>
      <c r="N355" s="231"/>
      <c r="O355" s="231"/>
      <c r="P355" s="231"/>
      <c r="Q355" s="231"/>
      <c r="R355" s="231"/>
      <c r="S355" s="231"/>
      <c r="T355" s="231"/>
      <c r="U355" s="231"/>
      <c r="V355" s="231"/>
      <c r="W355" s="231"/>
      <c r="X355" s="231"/>
      <c r="Y355" s="231"/>
      <c r="Z355" s="231"/>
      <c r="AA355" s="231"/>
      <c r="AB355" s="231"/>
      <c r="AC355" s="231"/>
      <c r="AD355" s="231"/>
      <c r="AE355" s="231"/>
      <c r="AF355" s="231"/>
      <c r="AG355" s="231"/>
      <c r="AH355" s="231"/>
      <c r="AI355" s="231"/>
      <c r="AJ355" s="231"/>
      <c r="AK355" s="231"/>
    </row>
    <row r="356" spans="1:37" s="203" customFormat="1">
      <c r="A356" s="784">
        <v>5</v>
      </c>
      <c r="B356" s="47" t="s">
        <v>55</v>
      </c>
      <c r="C356" s="116"/>
      <c r="D356" s="116"/>
      <c r="E356" s="49" t="s">
        <v>133</v>
      </c>
      <c r="F356" s="265">
        <v>-77</v>
      </c>
      <c r="G356" s="43"/>
      <c r="H356" s="126"/>
      <c r="I356" s="86"/>
      <c r="J356" s="231"/>
      <c r="K356" s="231"/>
      <c r="L356" s="231"/>
      <c r="M356" s="231"/>
      <c r="N356" s="231"/>
      <c r="O356" s="231"/>
      <c r="P356" s="231"/>
      <c r="Q356" s="231"/>
      <c r="R356" s="231"/>
      <c r="S356" s="231"/>
      <c r="T356" s="231"/>
      <c r="U356" s="231"/>
      <c r="V356" s="231"/>
      <c r="W356" s="231"/>
      <c r="X356" s="231"/>
      <c r="Y356" s="231"/>
      <c r="Z356" s="231"/>
      <c r="AA356" s="231"/>
      <c r="AB356" s="231"/>
      <c r="AC356" s="231"/>
      <c r="AD356" s="231"/>
      <c r="AE356" s="231"/>
      <c r="AF356" s="231"/>
      <c r="AG356" s="231"/>
      <c r="AH356" s="231"/>
      <c r="AI356" s="231"/>
      <c r="AJ356" s="231"/>
      <c r="AK356" s="231"/>
    </row>
    <row r="357" spans="1:37" s="203" customFormat="1">
      <c r="A357" s="784">
        <v>6</v>
      </c>
      <c r="B357" s="47" t="s">
        <v>56</v>
      </c>
      <c r="C357" s="116"/>
      <c r="D357" s="116"/>
      <c r="E357" s="49">
        <v>600</v>
      </c>
      <c r="F357" s="265">
        <v>226</v>
      </c>
      <c r="G357" s="43"/>
      <c r="H357" s="126">
        <v>600</v>
      </c>
      <c r="I357" s="86"/>
      <c r="J357" s="231"/>
      <c r="K357" s="231"/>
      <c r="L357" s="231"/>
      <c r="M357" s="231"/>
      <c r="N357" s="231"/>
      <c r="O357" s="231"/>
      <c r="P357" s="231"/>
      <c r="Q357" s="231"/>
      <c r="R357" s="231"/>
      <c r="S357" s="231"/>
      <c r="T357" s="231"/>
      <c r="U357" s="231"/>
      <c r="V357" s="231"/>
      <c r="W357" s="231"/>
      <c r="X357" s="231"/>
      <c r="Y357" s="231"/>
      <c r="Z357" s="231"/>
      <c r="AA357" s="231"/>
      <c r="AB357" s="231"/>
      <c r="AC357" s="231"/>
      <c r="AD357" s="231"/>
      <c r="AE357" s="231"/>
      <c r="AF357" s="231"/>
      <c r="AG357" s="231"/>
      <c r="AH357" s="231"/>
      <c r="AI357" s="231"/>
      <c r="AJ357" s="231"/>
      <c r="AK357" s="231"/>
    </row>
    <row r="358" spans="1:37" s="203" customFormat="1">
      <c r="A358" s="784">
        <v>7</v>
      </c>
      <c r="B358" s="47" t="s">
        <v>57</v>
      </c>
      <c r="C358" s="116"/>
      <c r="D358" s="116"/>
      <c r="E358" s="49">
        <v>0</v>
      </c>
      <c r="F358" s="265"/>
      <c r="G358" s="43"/>
      <c r="H358" s="126"/>
      <c r="I358" s="86"/>
      <c r="J358" s="231"/>
      <c r="K358" s="231"/>
      <c r="L358" s="231"/>
      <c r="M358" s="231"/>
      <c r="N358" s="231"/>
      <c r="O358" s="231"/>
      <c r="P358" s="231"/>
      <c r="Q358" s="231"/>
      <c r="R358" s="231"/>
      <c r="S358" s="231"/>
      <c r="T358" s="231"/>
      <c r="U358" s="231"/>
      <c r="V358" s="231"/>
      <c r="W358" s="231"/>
      <c r="X358" s="231"/>
      <c r="Y358" s="231"/>
      <c r="Z358" s="231"/>
      <c r="AA358" s="231"/>
      <c r="AB358" s="231"/>
      <c r="AC358" s="231"/>
      <c r="AD358" s="231"/>
      <c r="AE358" s="231"/>
      <c r="AF358" s="231"/>
      <c r="AG358" s="231"/>
      <c r="AH358" s="231"/>
      <c r="AI358" s="231"/>
      <c r="AJ358" s="231"/>
      <c r="AK358" s="231"/>
    </row>
    <row r="359" spans="1:37" s="203" customFormat="1">
      <c r="A359" s="784">
        <v>8</v>
      </c>
      <c r="B359" s="47" t="s">
        <v>58</v>
      </c>
      <c r="C359" s="116"/>
      <c r="D359" s="116"/>
      <c r="E359" s="49">
        <v>0</v>
      </c>
      <c r="F359" s="265">
        <v>213</v>
      </c>
      <c r="G359" s="43"/>
      <c r="H359" s="126"/>
      <c r="I359" s="86"/>
      <c r="J359" s="231"/>
      <c r="K359" s="231"/>
      <c r="L359" s="231"/>
      <c r="M359" s="231"/>
      <c r="N359" s="231"/>
      <c r="O359" s="231"/>
      <c r="P359" s="231"/>
      <c r="Q359" s="231"/>
      <c r="R359" s="231"/>
      <c r="S359" s="231"/>
      <c r="T359" s="231"/>
      <c r="U359" s="231"/>
      <c r="V359" s="231"/>
      <c r="W359" s="231"/>
      <c r="X359" s="231"/>
      <c r="Y359" s="231"/>
      <c r="Z359" s="231"/>
      <c r="AA359" s="231"/>
      <c r="AB359" s="231"/>
      <c r="AC359" s="231"/>
      <c r="AD359" s="231"/>
      <c r="AE359" s="231"/>
      <c r="AF359" s="231"/>
      <c r="AG359" s="231"/>
      <c r="AH359" s="231"/>
      <c r="AI359" s="231"/>
      <c r="AJ359" s="231"/>
      <c r="AK359" s="231"/>
    </row>
    <row r="360" spans="1:37" s="203" customFormat="1">
      <c r="A360" s="784">
        <v>9</v>
      </c>
      <c r="B360" s="47" t="s">
        <v>59</v>
      </c>
      <c r="C360" s="116"/>
      <c r="D360" s="116"/>
      <c r="E360" s="49">
        <v>0</v>
      </c>
      <c r="F360" s="265"/>
      <c r="G360" s="43"/>
      <c r="H360" s="126"/>
      <c r="I360" s="86"/>
      <c r="J360" s="231"/>
      <c r="K360" s="231"/>
      <c r="L360" s="231"/>
      <c r="M360" s="231"/>
      <c r="N360" s="231"/>
      <c r="O360" s="231"/>
      <c r="P360" s="231"/>
      <c r="Q360" s="231"/>
      <c r="R360" s="231"/>
      <c r="S360" s="231"/>
      <c r="T360" s="231"/>
      <c r="U360" s="231"/>
      <c r="V360" s="231"/>
      <c r="W360" s="231"/>
      <c r="X360" s="231"/>
      <c r="Y360" s="231"/>
      <c r="Z360" s="231"/>
      <c r="AA360" s="231"/>
      <c r="AB360" s="231"/>
      <c r="AC360" s="231"/>
      <c r="AD360" s="231"/>
      <c r="AE360" s="231"/>
      <c r="AF360" s="231"/>
      <c r="AG360" s="231"/>
      <c r="AH360" s="231"/>
      <c r="AI360" s="231"/>
      <c r="AJ360" s="231"/>
      <c r="AK360" s="231"/>
    </row>
    <row r="361" spans="1:37" s="203" customFormat="1">
      <c r="A361" s="784">
        <v>10</v>
      </c>
      <c r="B361" s="47" t="s">
        <v>60</v>
      </c>
      <c r="C361" s="116"/>
      <c r="D361" s="116"/>
      <c r="E361" s="49">
        <v>0</v>
      </c>
      <c r="F361" s="265"/>
      <c r="G361" s="43"/>
      <c r="H361" s="126"/>
      <c r="I361" s="86"/>
      <c r="J361" s="231"/>
      <c r="K361" s="231"/>
      <c r="L361" s="231"/>
      <c r="M361" s="231"/>
      <c r="N361" s="231"/>
      <c r="O361" s="231"/>
      <c r="P361" s="231"/>
      <c r="Q361" s="231"/>
      <c r="R361" s="231"/>
      <c r="S361" s="231"/>
      <c r="T361" s="231"/>
      <c r="U361" s="231"/>
      <c r="V361" s="231"/>
      <c r="W361" s="231"/>
      <c r="X361" s="231"/>
      <c r="Y361" s="231"/>
      <c r="Z361" s="231"/>
      <c r="AA361" s="231"/>
      <c r="AB361" s="231"/>
      <c r="AC361" s="231"/>
      <c r="AD361" s="231"/>
      <c r="AE361" s="231"/>
      <c r="AF361" s="231"/>
      <c r="AG361" s="231"/>
      <c r="AH361" s="231"/>
      <c r="AI361" s="231"/>
      <c r="AJ361" s="231"/>
      <c r="AK361" s="231"/>
    </row>
    <row r="362" spans="1:37" s="203" customFormat="1">
      <c r="A362" s="784">
        <v>11</v>
      </c>
      <c r="B362" s="47" t="s">
        <v>61</v>
      </c>
      <c r="C362" s="116"/>
      <c r="D362" s="116"/>
      <c r="E362" s="49">
        <v>0</v>
      </c>
      <c r="F362" s="265"/>
      <c r="G362" s="43"/>
      <c r="H362" s="126"/>
      <c r="I362" s="86"/>
      <c r="J362" s="231"/>
      <c r="K362" s="231"/>
      <c r="L362" s="231"/>
      <c r="M362" s="231"/>
      <c r="N362" s="231"/>
      <c r="O362" s="231"/>
      <c r="P362" s="231"/>
      <c r="Q362" s="231"/>
      <c r="R362" s="231"/>
      <c r="S362" s="231"/>
      <c r="T362" s="231"/>
      <c r="U362" s="231"/>
      <c r="V362" s="231"/>
      <c r="W362" s="231"/>
      <c r="X362" s="231"/>
      <c r="Y362" s="231"/>
      <c r="Z362" s="231"/>
      <c r="AA362" s="231"/>
      <c r="AB362" s="231"/>
      <c r="AC362" s="231"/>
      <c r="AD362" s="231"/>
      <c r="AE362" s="231"/>
      <c r="AF362" s="231"/>
      <c r="AG362" s="231"/>
      <c r="AH362" s="231"/>
      <c r="AI362" s="231"/>
      <c r="AJ362" s="231"/>
      <c r="AK362" s="231"/>
    </row>
    <row r="363" spans="1:37" s="203" customFormat="1">
      <c r="A363" s="785">
        <v>12</v>
      </c>
      <c r="B363" s="54" t="s">
        <v>380</v>
      </c>
      <c r="C363" s="94"/>
      <c r="D363" s="94"/>
      <c r="E363" s="135">
        <v>600</v>
      </c>
      <c r="F363" s="61">
        <f>SUM(F353:F362)</f>
        <v>434</v>
      </c>
      <c r="G363" s="43"/>
      <c r="H363" s="61">
        <f>SUM(H353:H362)</f>
        <v>600</v>
      </c>
      <c r="I363" s="86"/>
      <c r="J363" s="231"/>
      <c r="K363" s="231"/>
      <c r="L363" s="231"/>
      <c r="M363" s="231"/>
      <c r="N363" s="231"/>
      <c r="O363" s="231"/>
      <c r="P363" s="231"/>
      <c r="Q363" s="231"/>
      <c r="R363" s="231"/>
      <c r="S363" s="231"/>
      <c r="T363" s="231"/>
      <c r="U363" s="231"/>
      <c r="V363" s="231"/>
      <c r="W363" s="231"/>
      <c r="X363" s="231"/>
      <c r="Y363" s="231"/>
      <c r="Z363" s="231"/>
      <c r="AA363" s="231"/>
      <c r="AB363" s="231"/>
      <c r="AC363" s="231"/>
      <c r="AD363" s="231"/>
      <c r="AE363" s="231"/>
      <c r="AF363" s="231"/>
      <c r="AG363" s="231"/>
      <c r="AH363" s="231"/>
      <c r="AI363" s="231"/>
      <c r="AJ363" s="231"/>
      <c r="AK363" s="231"/>
    </row>
    <row r="364" spans="1:37" s="203" customFormat="1">
      <c r="A364" s="199"/>
      <c r="B364" s="15"/>
      <c r="C364" s="15"/>
      <c r="D364" s="15"/>
      <c r="E364" s="15"/>
      <c r="F364" s="15"/>
      <c r="G364" s="15"/>
      <c r="H364" s="15"/>
      <c r="I364" s="86"/>
      <c r="J364" s="231"/>
      <c r="K364" s="231"/>
      <c r="L364" s="231"/>
      <c r="M364" s="231"/>
      <c r="N364" s="231"/>
      <c r="O364" s="231"/>
      <c r="P364" s="231"/>
      <c r="Q364" s="231"/>
      <c r="R364" s="231"/>
      <c r="S364" s="231"/>
      <c r="T364" s="231"/>
      <c r="U364" s="231"/>
      <c r="V364" s="231"/>
      <c r="W364" s="231"/>
      <c r="X364" s="231"/>
      <c r="Y364" s="231"/>
      <c r="Z364" s="231"/>
      <c r="AA364" s="231"/>
      <c r="AB364" s="231"/>
      <c r="AC364" s="231"/>
      <c r="AD364" s="231"/>
      <c r="AE364" s="231"/>
      <c r="AF364" s="231"/>
      <c r="AG364" s="231"/>
      <c r="AH364" s="231"/>
      <c r="AI364" s="231"/>
      <c r="AJ364" s="231"/>
      <c r="AK364" s="231"/>
    </row>
    <row r="365" spans="1:37" s="203" customFormat="1">
      <c r="A365" s="199"/>
      <c r="B365" s="15"/>
      <c r="C365" s="15"/>
      <c r="D365" s="15"/>
      <c r="E365" s="15"/>
      <c r="F365" s="15"/>
      <c r="G365" s="15"/>
      <c r="H365" s="86"/>
      <c r="I365" s="86"/>
      <c r="J365" s="231"/>
      <c r="K365" s="231"/>
      <c r="L365" s="231"/>
      <c r="M365" s="231"/>
      <c r="N365" s="231"/>
      <c r="O365" s="231"/>
      <c r="P365" s="231"/>
      <c r="Q365" s="231"/>
      <c r="R365" s="231"/>
      <c r="S365" s="231"/>
      <c r="T365" s="231"/>
      <c r="U365" s="231"/>
      <c r="V365" s="231"/>
      <c r="W365" s="231"/>
      <c r="X365" s="231"/>
      <c r="Y365" s="231"/>
      <c r="Z365" s="231"/>
      <c r="AA365" s="231"/>
      <c r="AB365" s="231"/>
      <c r="AC365" s="231"/>
      <c r="AD365" s="231"/>
      <c r="AE365" s="231"/>
      <c r="AF365" s="231"/>
      <c r="AG365" s="231"/>
      <c r="AH365" s="231"/>
      <c r="AI365" s="231"/>
      <c r="AJ365" s="231"/>
      <c r="AK365" s="231"/>
    </row>
    <row r="366" spans="1:37" s="203" customFormat="1">
      <c r="A366" s="199"/>
      <c r="B366" s="15"/>
      <c r="C366" s="15"/>
      <c r="D366" s="15"/>
      <c r="E366" s="15"/>
      <c r="F366" s="15"/>
      <c r="G366" s="15"/>
      <c r="H366" s="86"/>
      <c r="I366" s="86"/>
      <c r="J366" s="231"/>
      <c r="K366" s="231"/>
      <c r="L366" s="231"/>
      <c r="M366" s="231"/>
      <c r="N366" s="231"/>
      <c r="O366" s="231"/>
      <c r="P366" s="231"/>
      <c r="Q366" s="231"/>
      <c r="R366" s="231"/>
      <c r="S366" s="231"/>
      <c r="T366" s="231"/>
      <c r="U366" s="231"/>
      <c r="V366" s="231"/>
      <c r="W366" s="231"/>
      <c r="X366" s="231"/>
      <c r="Y366" s="231"/>
      <c r="Z366" s="231"/>
      <c r="AA366" s="231"/>
      <c r="AB366" s="231"/>
      <c r="AC366" s="231"/>
      <c r="AD366" s="231"/>
      <c r="AE366" s="231"/>
      <c r="AF366" s="231"/>
      <c r="AG366" s="231"/>
      <c r="AH366" s="231"/>
      <c r="AI366" s="231"/>
      <c r="AJ366" s="231"/>
      <c r="AK366" s="231"/>
    </row>
    <row r="367" spans="1:37" s="8" customFormat="1"/>
    <row r="368" spans="1:37" s="8" customFormat="1"/>
    <row r="369" s="8" customFormat="1"/>
    <row r="370" s="8" customFormat="1"/>
    <row r="371" s="8" customFormat="1"/>
    <row r="372" s="8" customFormat="1"/>
    <row r="373" s="8" customFormat="1"/>
    <row r="374" s="8" customFormat="1"/>
    <row r="375" s="8" customFormat="1"/>
    <row r="376" s="8" customFormat="1"/>
    <row r="377" s="8" customFormat="1"/>
    <row r="378" s="8" customFormat="1"/>
    <row r="379" s="8" customFormat="1"/>
    <row r="380" s="8" customFormat="1"/>
    <row r="381" s="8" customFormat="1"/>
    <row r="382" s="8" customFormat="1"/>
    <row r="383" s="8" customFormat="1"/>
    <row r="384" s="8" customFormat="1"/>
    <row r="385" spans="1:9" s="8" customFormat="1"/>
    <row r="386" spans="1:9" s="8" customFormat="1"/>
    <row r="387" spans="1:9" s="8" customFormat="1"/>
    <row r="388" spans="1:9" s="8" customFormat="1"/>
    <row r="389" spans="1:9" s="8" customFormat="1"/>
    <row r="390" spans="1:9" s="8" customFormat="1"/>
    <row r="391" spans="1:9" s="8" customFormat="1"/>
    <row r="392" spans="1:9" s="8" customFormat="1"/>
    <row r="393" spans="1:9" s="8" customFormat="1"/>
    <row r="394" spans="1:9" s="8" customFormat="1"/>
    <row r="395" spans="1:9" s="8" customFormat="1"/>
    <row r="396" spans="1:9" s="8" customFormat="1"/>
    <row r="397" spans="1:9" s="8" customFormat="1"/>
    <row r="398" spans="1:9" s="8" customFormat="1"/>
    <row r="399" spans="1:9" s="8" customFormat="1"/>
    <row r="400" spans="1:9">
      <c r="A400" s="8"/>
      <c r="B400" s="8"/>
      <c r="C400" s="8"/>
      <c r="D400" s="8"/>
      <c r="E400" s="8"/>
      <c r="F400" s="8"/>
      <c r="G400" s="8"/>
      <c r="H400" s="8"/>
      <c r="I400" s="8"/>
    </row>
    <row r="401" spans="1:9">
      <c r="A401" s="8"/>
      <c r="B401" s="8"/>
      <c r="C401" s="8"/>
      <c r="D401" s="8"/>
      <c r="E401" s="8"/>
      <c r="F401" s="8"/>
      <c r="G401" s="8"/>
      <c r="H401" s="8"/>
      <c r="I401" s="8"/>
    </row>
    <row r="402" spans="1:9">
      <c r="A402" s="8"/>
      <c r="B402" s="8"/>
      <c r="C402" s="8"/>
      <c r="D402" s="8"/>
      <c r="E402" s="8"/>
      <c r="F402" s="8"/>
      <c r="G402" s="8"/>
      <c r="H402" s="8"/>
      <c r="I402" s="8"/>
    </row>
    <row r="403" spans="1:9">
      <c r="A403" s="8"/>
      <c r="B403" s="8"/>
      <c r="C403" s="8"/>
      <c r="D403" s="8"/>
      <c r="E403" s="8"/>
      <c r="F403" s="8"/>
      <c r="G403" s="8"/>
      <c r="H403" s="8"/>
      <c r="I403" s="8"/>
    </row>
    <row r="404" spans="1:9">
      <c r="A404" s="8"/>
      <c r="B404" s="8"/>
      <c r="C404" s="8"/>
      <c r="D404" s="8"/>
      <c r="E404" s="8"/>
      <c r="F404" s="8"/>
      <c r="G404" s="8"/>
      <c r="H404" s="8"/>
      <c r="I404" s="8"/>
    </row>
    <row r="405" spans="1:9">
      <c r="A405" s="8"/>
      <c r="B405" s="8"/>
      <c r="C405" s="8"/>
      <c r="D405" s="8"/>
      <c r="E405" s="8"/>
      <c r="F405" s="8"/>
      <c r="G405" s="8"/>
      <c r="H405" s="8"/>
      <c r="I405" s="8"/>
    </row>
    <row r="406" spans="1:9">
      <c r="A406" s="8"/>
      <c r="B406" s="8"/>
      <c r="C406" s="8"/>
      <c r="D406" s="8"/>
      <c r="E406" s="8"/>
      <c r="F406" s="8"/>
      <c r="G406" s="8"/>
      <c r="H406" s="8"/>
      <c r="I406" s="8"/>
    </row>
    <row r="407" spans="1:9">
      <c r="A407" s="8"/>
      <c r="B407" s="8"/>
      <c r="C407" s="8"/>
      <c r="D407" s="8"/>
      <c r="E407" s="8"/>
      <c r="F407" s="8"/>
      <c r="G407" s="8"/>
      <c r="H407" s="8"/>
      <c r="I407" s="8"/>
    </row>
    <row r="408" spans="1:9">
      <c r="A408" s="8"/>
      <c r="B408" s="8"/>
      <c r="C408" s="8"/>
      <c r="D408" s="8"/>
      <c r="E408" s="8"/>
      <c r="F408" s="8"/>
      <c r="G408" s="8"/>
      <c r="H408" s="8"/>
      <c r="I408" s="8"/>
    </row>
    <row r="409" spans="1:9">
      <c r="A409" s="8"/>
      <c r="B409" s="8"/>
      <c r="C409" s="8"/>
      <c r="D409" s="8"/>
      <c r="E409" s="8"/>
      <c r="F409" s="8"/>
      <c r="G409" s="8"/>
      <c r="H409" s="8"/>
      <c r="I409" s="8"/>
    </row>
    <row r="410" spans="1:9">
      <c r="A410" s="8"/>
      <c r="B410" s="8"/>
      <c r="C410" s="8"/>
      <c r="D410" s="8"/>
      <c r="E410" s="8"/>
      <c r="F410" s="8"/>
      <c r="G410" s="8"/>
      <c r="H410" s="8"/>
      <c r="I410" s="8"/>
    </row>
    <row r="411" spans="1:9">
      <c r="A411" s="8"/>
      <c r="B411" s="8"/>
      <c r="C411" s="8"/>
      <c r="D411" s="8"/>
      <c r="E411" s="8"/>
      <c r="F411" s="8"/>
      <c r="G411" s="8"/>
      <c r="H411" s="8"/>
      <c r="I411" s="8"/>
    </row>
    <row r="412" spans="1:9">
      <c r="A412" s="8"/>
      <c r="B412" s="8"/>
      <c r="C412" s="8"/>
      <c r="D412" s="8"/>
      <c r="E412" s="8"/>
      <c r="F412" s="8"/>
      <c r="G412" s="8"/>
      <c r="H412" s="8"/>
      <c r="I412" s="8"/>
    </row>
    <row r="413" spans="1:9">
      <c r="A413" s="8"/>
      <c r="B413" s="8"/>
      <c r="C413" s="8"/>
      <c r="D413" s="8"/>
      <c r="E413" s="8"/>
      <c r="F413" s="8"/>
      <c r="G413" s="8"/>
      <c r="H413" s="8"/>
      <c r="I413" s="8"/>
    </row>
    <row r="414" spans="1:9">
      <c r="A414" s="8"/>
      <c r="B414" s="8"/>
      <c r="C414" s="8"/>
      <c r="D414" s="8"/>
      <c r="E414" s="8"/>
      <c r="F414" s="8"/>
      <c r="G414" s="8"/>
      <c r="H414" s="8"/>
      <c r="I414" s="8"/>
    </row>
  </sheetData>
  <mergeCells count="59">
    <mergeCell ref="F341:F345"/>
    <mergeCell ref="H341:H345"/>
    <mergeCell ref="E261:E265"/>
    <mergeCell ref="F261:F265"/>
    <mergeCell ref="H261:H265"/>
    <mergeCell ref="E280:E284"/>
    <mergeCell ref="F280:F284"/>
    <mergeCell ref="H280:H284"/>
    <mergeCell ref="E305:E309"/>
    <mergeCell ref="F305:F309"/>
    <mergeCell ref="H305:H309"/>
    <mergeCell ref="C323:H323"/>
    <mergeCell ref="C330:H330"/>
    <mergeCell ref="E341:E345"/>
    <mergeCell ref="E221:E225"/>
    <mergeCell ref="F221:F225"/>
    <mergeCell ref="H221:H225"/>
    <mergeCell ref="E234:E238"/>
    <mergeCell ref="F234:F238"/>
    <mergeCell ref="H234:H238"/>
    <mergeCell ref="G66:G70"/>
    <mergeCell ref="H66:H70"/>
    <mergeCell ref="F91:F95"/>
    <mergeCell ref="H91:H95"/>
    <mergeCell ref="E193:E197"/>
    <mergeCell ref="F193:F197"/>
    <mergeCell ref="H193:H197"/>
    <mergeCell ref="E153:E157"/>
    <mergeCell ref="F153:F157"/>
    <mergeCell ref="H153:H157"/>
    <mergeCell ref="E91:E95"/>
    <mergeCell ref="I66:I70"/>
    <mergeCell ref="A23:D24"/>
    <mergeCell ref="E23:E24"/>
    <mergeCell ref="F23:F24"/>
    <mergeCell ref="H23:H24"/>
    <mergeCell ref="A25:A27"/>
    <mergeCell ref="B25:D27"/>
    <mergeCell ref="E25:E27"/>
    <mergeCell ref="F25:F27"/>
    <mergeCell ref="H25:H27"/>
    <mergeCell ref="A40:D41"/>
    <mergeCell ref="E40:E41"/>
    <mergeCell ref="F40:F41"/>
    <mergeCell ref="H40:H41"/>
    <mergeCell ref="E66:E70"/>
    <mergeCell ref="F66:F70"/>
    <mergeCell ref="C19:F19"/>
    <mergeCell ref="B3:B4"/>
    <mergeCell ref="C3:D4"/>
    <mergeCell ref="A5:B5"/>
    <mergeCell ref="D6:H6"/>
    <mergeCell ref="A9:I9"/>
    <mergeCell ref="D10:F10"/>
    <mergeCell ref="C14:F14"/>
    <mergeCell ref="C15:F15"/>
    <mergeCell ref="C16:F16"/>
    <mergeCell ref="C17:F17"/>
    <mergeCell ref="C18:F18"/>
  </mergeCells>
  <phoneticPr fontId="10" type="noConversion"/>
  <conditionalFormatting sqref="F71:F76 F286:F301 F311:F318 F80:F88 F96:F97 F103:F104 F106 F110:F114 F118:F124 F128:F134 F138:F142 F146:F149 F159:F162 F166:F168 F171:F172 F175:F177 F183:F190 F199:F200 F204:F206 F210:F213 F217:F218 F226:F230 F240:F241 F245:F246 F250:F253 F256 F267:F276 H250">
    <cfRule type="expression" dxfId="24" priority="285" stopIfTrue="1">
      <formula>ISBLANK(F71)</formula>
    </cfRule>
    <cfRule type="expression" dxfId="23" priority="286" stopIfTrue="1">
      <formula>IF(AND(OR(F71-E71&gt;500,F71-E71&lt;-500),OR(#REF!&gt;0.1,#REF!&lt;-0.1)),TRUE,FALSE)</formula>
    </cfRule>
  </conditionalFormatting>
  <dataValidations count="1">
    <dataValidation type="list" errorStyle="information" allowBlank="1" showInputMessage="1" showErrorMessage="1" errorTitle="POBE 2006" error="Please select from the drop-down menu..." prompt="Please select your Authority from the drop-down menu..." sqref="C3:D4">
      <formula1>#REF!</formula1>
    </dataValidation>
  </dataValidations>
  <hyperlinks>
    <hyperlink ref="F7" r:id="rId1" display="lgfstats@scotland.gsi.gov.uk"/>
    <hyperlink ref="D6" r:id="rId2"/>
    <hyperlink ref="D10" r:id="rId3" display="^lgfstats@gov.scot"/>
    <hyperlink ref="B14" location="'POBE 2017'!A28" display="PART 1 - Expenditure"/>
    <hyperlink ref="C19:F19" location="'POBE 2017'!A323" display="Sheet 10. - PUBLIC PRIVATE PARTNERSHIPS/PRIVATE FINANCE INITIATIVES"/>
    <hyperlink ref="B15" location="'POBE 2017'!A40" display="PART 2 - Income and Balances"/>
    <hyperlink ref="B16" location="'POBE 2017'!A66" display="Sheet 1. EDUCATION"/>
    <hyperlink ref="B17" location="'POBE 2017'!A91" display="Sheet 2. SOCIAL WORK"/>
    <hyperlink ref="B18" location="'POBE 2017'!A153" display="Sheet 3. ROADS AND TRANSPORT"/>
    <hyperlink ref="B19" location="'POBE 2017'!A193" display="Sheet 4. ENVIRONMENTAL SERVICES"/>
    <hyperlink ref="C14:F14" location="'POBE 2017'!A221" display="Sheet 5. PLANNING AND DEVELOPMENT SERVICES"/>
    <hyperlink ref="C15:F15" location="'POBE 2017'!A234" display="Sheet 6. CULTURAL AND RELATED SERVICES"/>
    <hyperlink ref="C16:F16" location="'POBE 2017'!A261" display="Sheet 7. HOUSING"/>
    <hyperlink ref="C17:F17" location="'POBE 2017'!A280" display="Sheet 8. CENTRAL SERVICES"/>
    <hyperlink ref="C18:F18" location="'POBE 2017'!A305" display="Sheet 9. OTHER EXPENDITURE"/>
  </hyperlinks>
  <pageMargins left="0.75" right="0.75" top="1" bottom="1" header="0.5" footer="0.5"/>
  <pageSetup paperSize="9" orientation="portrait" r:id="rId4"/>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AG414"/>
  <sheetViews>
    <sheetView topLeftCell="A184" zoomScale="80" zoomScaleNormal="80" workbookViewId="0">
      <selection activeCell="E240" sqref="E240"/>
    </sheetView>
  </sheetViews>
  <sheetFormatPr defaultColWidth="9.140625" defaultRowHeight="12.75"/>
  <cols>
    <col min="1" max="1" width="10.5703125" style="1" customWidth="1"/>
    <col min="2" max="2" width="43" style="1" customWidth="1"/>
    <col min="3" max="3" width="24.5703125" style="1" customWidth="1"/>
    <col min="4" max="4" width="14.7109375" style="1" customWidth="1"/>
    <col min="5" max="5" width="21.5703125" style="1" customWidth="1"/>
    <col min="6" max="6" width="19.140625" style="1" customWidth="1"/>
    <col min="7" max="7" width="17.42578125" style="1" customWidth="1"/>
    <col min="8" max="8" width="19.28515625" style="1" customWidth="1"/>
    <col min="9" max="9" width="17.85546875" style="1" customWidth="1"/>
    <col min="10" max="15" width="9.140625" style="8" customWidth="1"/>
    <col min="16" max="26" width="9.140625" style="8"/>
    <col min="27" max="27" width="0" style="8" hidden="1" customWidth="1"/>
    <col min="28" max="33" width="9.140625" style="8"/>
    <col min="34" max="16384" width="9.140625" style="1"/>
  </cols>
  <sheetData>
    <row r="1" spans="1:33" s="203" customFormat="1" ht="51" customHeight="1">
      <c r="A1" s="3" t="s">
        <v>410</v>
      </c>
      <c r="B1" s="4"/>
      <c r="C1" s="224"/>
      <c r="D1" s="224"/>
      <c r="E1" s="224"/>
      <c r="F1" s="224"/>
      <c r="G1" s="225"/>
      <c r="H1" s="226"/>
      <c r="I1" s="227"/>
      <c r="J1" s="231"/>
      <c r="K1" s="231"/>
      <c r="L1" s="231"/>
      <c r="M1" s="231"/>
      <c r="N1" s="231"/>
      <c r="O1" s="231"/>
      <c r="P1" s="231"/>
      <c r="Q1" s="231"/>
      <c r="R1" s="231"/>
      <c r="S1" s="231"/>
      <c r="T1" s="231"/>
      <c r="U1" s="231"/>
      <c r="V1" s="231"/>
      <c r="W1" s="231"/>
      <c r="X1" s="231"/>
      <c r="Y1" s="231"/>
      <c r="Z1" s="231"/>
      <c r="AA1" s="231"/>
      <c r="AB1" s="231"/>
      <c r="AC1" s="231"/>
      <c r="AD1" s="231"/>
      <c r="AE1" s="231"/>
      <c r="AF1" s="231"/>
      <c r="AG1" s="231"/>
    </row>
    <row r="2" spans="1:33" s="203" customFormat="1" ht="35.25">
      <c r="A2" s="9"/>
      <c r="B2" s="10"/>
      <c r="C2" s="232"/>
      <c r="D2" s="232"/>
      <c r="E2" s="232"/>
      <c r="F2" s="11"/>
      <c r="G2" s="11"/>
      <c r="H2" s="11"/>
      <c r="I2" s="11"/>
      <c r="J2" s="231"/>
      <c r="K2" s="231"/>
      <c r="L2" s="231"/>
      <c r="M2" s="231"/>
      <c r="N2" s="231"/>
      <c r="O2" s="231"/>
      <c r="P2" s="231"/>
      <c r="Q2" s="231"/>
      <c r="R2" s="231"/>
      <c r="S2" s="231"/>
      <c r="T2" s="231"/>
      <c r="U2" s="231"/>
      <c r="V2" s="231"/>
      <c r="W2" s="231"/>
      <c r="X2" s="231"/>
      <c r="Y2" s="231"/>
      <c r="Z2" s="231"/>
      <c r="AA2" s="231"/>
      <c r="AB2" s="231"/>
      <c r="AC2" s="231"/>
      <c r="AD2" s="231"/>
      <c r="AE2" s="231"/>
      <c r="AF2" s="231"/>
      <c r="AG2" s="231"/>
    </row>
    <row r="3" spans="1:33" s="203" customFormat="1" ht="15">
      <c r="A3" s="12"/>
      <c r="B3" s="882" t="s">
        <v>0</v>
      </c>
      <c r="C3" s="884" t="s">
        <v>37</v>
      </c>
      <c r="D3" s="885"/>
      <c r="E3" s="13"/>
      <c r="F3" s="14"/>
      <c r="G3" s="14"/>
      <c r="H3" s="15"/>
      <c r="I3" s="14"/>
      <c r="J3" s="231"/>
      <c r="K3" s="231"/>
      <c r="L3" s="231"/>
      <c r="M3" s="231"/>
      <c r="N3" s="231"/>
      <c r="O3" s="231"/>
      <c r="P3" s="231"/>
      <c r="Q3" s="231"/>
      <c r="R3" s="231"/>
      <c r="S3" s="231"/>
      <c r="T3" s="231"/>
      <c r="U3" s="231"/>
      <c r="V3" s="231"/>
      <c r="W3" s="231"/>
      <c r="X3" s="231"/>
      <c r="Y3" s="231"/>
      <c r="Z3" s="231"/>
      <c r="AA3" s="231"/>
      <c r="AB3" s="231"/>
      <c r="AC3" s="231"/>
      <c r="AD3" s="231"/>
      <c r="AE3" s="231"/>
      <c r="AF3" s="231"/>
      <c r="AG3" s="231"/>
    </row>
    <row r="4" spans="1:33" s="203" customFormat="1" ht="15">
      <c r="A4" s="17"/>
      <c r="B4" s="883"/>
      <c r="C4" s="886"/>
      <c r="D4" s="887"/>
      <c r="E4" s="13"/>
      <c r="F4" s="14"/>
      <c r="G4" s="14"/>
      <c r="H4" s="15"/>
      <c r="I4" s="14"/>
      <c r="J4" s="231"/>
      <c r="K4" s="231"/>
      <c r="L4" s="231"/>
      <c r="M4" s="231"/>
      <c r="N4" s="231"/>
      <c r="O4" s="231"/>
      <c r="P4" s="231"/>
      <c r="Q4" s="231"/>
      <c r="R4" s="231"/>
      <c r="S4" s="231"/>
      <c r="T4" s="231"/>
      <c r="U4" s="231"/>
      <c r="V4" s="231"/>
      <c r="W4" s="231"/>
      <c r="X4" s="231"/>
      <c r="Y4" s="231"/>
      <c r="Z4" s="231"/>
      <c r="AA4" s="231"/>
      <c r="AB4" s="231"/>
      <c r="AC4" s="231"/>
      <c r="AD4" s="231"/>
      <c r="AE4" s="231"/>
      <c r="AF4" s="231"/>
      <c r="AG4" s="231"/>
    </row>
    <row r="5" spans="1:33" s="203" customFormat="1" ht="15">
      <c r="A5" s="888"/>
      <c r="B5" s="889"/>
      <c r="C5" s="18"/>
      <c r="D5" s="206"/>
      <c r="E5" s="206"/>
      <c r="F5" s="14"/>
      <c r="G5" s="14"/>
      <c r="H5" s="14"/>
      <c r="I5" s="234"/>
      <c r="J5" s="231"/>
      <c r="K5" s="231"/>
      <c r="L5" s="231"/>
      <c r="M5" s="231"/>
      <c r="N5" s="231"/>
      <c r="O5" s="231"/>
      <c r="P5" s="231"/>
      <c r="Q5" s="231"/>
      <c r="R5" s="231"/>
      <c r="S5" s="231"/>
      <c r="T5" s="231"/>
      <c r="U5" s="231"/>
      <c r="V5" s="231"/>
      <c r="W5" s="231"/>
      <c r="X5" s="231"/>
      <c r="Y5" s="231"/>
      <c r="Z5" s="231"/>
      <c r="AA5" s="231"/>
      <c r="AB5" s="231"/>
      <c r="AC5" s="231"/>
      <c r="AD5" s="231"/>
      <c r="AE5" s="231"/>
      <c r="AF5" s="231"/>
      <c r="AG5" s="231"/>
    </row>
    <row r="6" spans="1:33" s="203" customFormat="1" ht="23.25" customHeight="1">
      <c r="A6" s="19" t="s">
        <v>1</v>
      </c>
      <c r="B6" s="207"/>
      <c r="C6" s="20"/>
      <c r="D6" s="890" t="s">
        <v>249</v>
      </c>
      <c r="E6" s="890"/>
      <c r="F6" s="890"/>
      <c r="G6" s="890"/>
      <c r="H6" s="890"/>
      <c r="I6" s="29"/>
      <c r="J6" s="231"/>
      <c r="K6" s="231"/>
      <c r="L6" s="231"/>
      <c r="M6" s="231"/>
      <c r="N6" s="231"/>
      <c r="O6" s="231"/>
      <c r="P6" s="231"/>
      <c r="Q6" s="231"/>
      <c r="R6" s="231"/>
      <c r="S6" s="231"/>
      <c r="T6" s="231"/>
      <c r="U6" s="231"/>
      <c r="V6" s="231"/>
      <c r="W6" s="231"/>
      <c r="X6" s="231"/>
      <c r="Y6" s="231"/>
      <c r="Z6" s="231"/>
      <c r="AA6" s="231"/>
      <c r="AB6" s="231"/>
      <c r="AC6" s="231"/>
      <c r="AD6" s="231"/>
      <c r="AE6" s="231"/>
      <c r="AF6" s="231"/>
      <c r="AG6" s="231"/>
    </row>
    <row r="7" spans="1:33" s="203" customFormat="1" ht="18.75" customHeight="1">
      <c r="A7" s="19" t="s">
        <v>419</v>
      </c>
      <c r="B7" s="207"/>
      <c r="C7" s="207"/>
      <c r="D7" s="207"/>
      <c r="E7" s="207"/>
      <c r="F7" s="362" t="s">
        <v>250</v>
      </c>
      <c r="G7" s="1"/>
      <c r="H7" s="21"/>
      <c r="I7" s="29"/>
      <c r="J7" s="231"/>
      <c r="K7" s="231"/>
      <c r="L7" s="231"/>
      <c r="M7" s="231"/>
      <c r="N7" s="231"/>
      <c r="O7" s="231"/>
      <c r="P7" s="231"/>
      <c r="Q7" s="231"/>
      <c r="R7" s="231"/>
      <c r="S7" s="231"/>
      <c r="T7" s="231"/>
      <c r="U7" s="231"/>
      <c r="V7" s="231"/>
      <c r="W7" s="231"/>
      <c r="X7" s="231"/>
      <c r="Y7" s="231"/>
      <c r="Z7" s="231"/>
      <c r="AA7" s="231"/>
      <c r="AB7" s="231"/>
      <c r="AC7" s="231"/>
      <c r="AD7" s="231"/>
      <c r="AE7" s="231"/>
      <c r="AF7" s="231"/>
      <c r="AG7" s="231"/>
    </row>
    <row r="8" spans="1:33" s="203" customFormat="1" ht="24" customHeight="1">
      <c r="A8" s="22" t="s">
        <v>408</v>
      </c>
      <c r="B8" s="207"/>
      <c r="C8" s="207"/>
      <c r="D8" s="207"/>
      <c r="E8" s="207"/>
      <c r="F8" s="207"/>
      <c r="G8" s="813"/>
      <c r="H8" s="21"/>
      <c r="I8" s="29"/>
      <c r="J8" s="231"/>
      <c r="K8" s="231"/>
      <c r="L8" s="231"/>
      <c r="M8" s="231"/>
      <c r="N8" s="231"/>
      <c r="O8" s="231"/>
      <c r="P8" s="231"/>
      <c r="Q8" s="231"/>
      <c r="R8" s="231"/>
      <c r="S8" s="231"/>
      <c r="T8" s="231"/>
      <c r="U8" s="231"/>
      <c r="V8" s="231"/>
      <c r="W8" s="231"/>
      <c r="X8" s="231"/>
      <c r="Y8" s="231"/>
      <c r="Z8" s="231"/>
      <c r="AA8" s="231"/>
      <c r="AB8" s="231"/>
      <c r="AC8" s="231"/>
      <c r="AD8" s="231"/>
      <c r="AE8" s="231"/>
      <c r="AF8" s="231"/>
      <c r="AG8" s="231"/>
    </row>
    <row r="9" spans="1:33" s="203" customFormat="1" ht="30.75" customHeight="1">
      <c r="A9" s="891" t="s">
        <v>420</v>
      </c>
      <c r="B9" s="892"/>
      <c r="C9" s="892"/>
      <c r="D9" s="892"/>
      <c r="E9" s="892"/>
      <c r="F9" s="892"/>
      <c r="G9" s="892"/>
      <c r="H9" s="892"/>
      <c r="I9" s="892"/>
      <c r="J9" s="231"/>
      <c r="K9" s="231"/>
      <c r="L9" s="231"/>
      <c r="M9" s="231"/>
      <c r="N9" s="231"/>
      <c r="O9" s="231"/>
      <c r="P9" s="231"/>
      <c r="Q9" s="231"/>
      <c r="R9" s="231"/>
      <c r="S9" s="231"/>
      <c r="T9" s="231"/>
      <c r="U9" s="231"/>
      <c r="V9" s="231"/>
      <c r="W9" s="231"/>
      <c r="X9" s="231"/>
      <c r="Y9" s="231"/>
      <c r="Z9" s="231"/>
      <c r="AA9" s="231"/>
      <c r="AB9" s="231"/>
      <c r="AC9" s="231"/>
      <c r="AD9" s="231"/>
      <c r="AE9" s="231"/>
      <c r="AF9" s="231"/>
      <c r="AG9" s="231"/>
    </row>
    <row r="10" spans="1:33" s="203" customFormat="1" ht="12.75" customHeight="1">
      <c r="A10" s="22" t="s">
        <v>409</v>
      </c>
      <c r="B10" s="19"/>
      <c r="C10" s="1"/>
      <c r="D10" s="880" t="s">
        <v>250</v>
      </c>
      <c r="E10" s="881"/>
      <c r="F10" s="881"/>
      <c r="G10" s="207"/>
      <c r="H10" s="207"/>
      <c r="I10" s="29"/>
      <c r="J10" s="231"/>
      <c r="K10" s="231"/>
      <c r="L10" s="231"/>
      <c r="M10" s="231"/>
      <c r="N10" s="231"/>
      <c r="O10" s="231"/>
      <c r="P10" s="231"/>
      <c r="Q10" s="231"/>
      <c r="R10" s="231"/>
      <c r="S10" s="231"/>
      <c r="T10" s="231"/>
      <c r="U10" s="231"/>
      <c r="V10" s="231"/>
      <c r="W10" s="231"/>
      <c r="X10" s="231"/>
      <c r="Y10" s="231"/>
      <c r="Z10" s="231"/>
      <c r="AA10" s="231"/>
      <c r="AB10" s="231"/>
      <c r="AC10" s="231"/>
      <c r="AD10" s="231"/>
      <c r="AE10" s="231"/>
      <c r="AF10" s="231"/>
      <c r="AG10" s="231"/>
    </row>
    <row r="11" spans="1:33" s="203" customFormat="1">
      <c r="A11" s="23"/>
      <c r="B11" s="207"/>
      <c r="C11" s="207"/>
      <c r="D11" s="207"/>
      <c r="E11" s="207"/>
      <c r="F11" s="207"/>
      <c r="G11" s="21"/>
      <c r="H11" s="21"/>
      <c r="I11" s="29"/>
      <c r="J11" s="231"/>
      <c r="K11" s="231"/>
      <c r="L11" s="231"/>
      <c r="M11" s="231"/>
      <c r="N11" s="231"/>
      <c r="O11" s="231"/>
      <c r="P11" s="231"/>
      <c r="Q11" s="231"/>
      <c r="R11" s="231"/>
      <c r="S11" s="231"/>
      <c r="T11" s="231"/>
      <c r="U11" s="231"/>
      <c r="V11" s="231"/>
      <c r="W11" s="231"/>
      <c r="X11" s="231"/>
      <c r="Y11" s="231"/>
      <c r="Z11" s="231"/>
      <c r="AA11" s="231"/>
      <c r="AB11" s="231"/>
      <c r="AC11" s="231"/>
      <c r="AD11" s="231"/>
      <c r="AE11" s="231"/>
      <c r="AF11" s="231"/>
      <c r="AG11" s="231"/>
    </row>
    <row r="12" spans="1:33" s="203" customFormat="1">
      <c r="A12" s="24"/>
      <c r="B12" s="25" t="s">
        <v>7</v>
      </c>
      <c r="C12" s="26"/>
      <c r="D12" s="356"/>
      <c r="E12" s="356"/>
      <c r="F12" s="357"/>
      <c r="G12" s="21"/>
      <c r="H12" s="21"/>
      <c r="I12" s="29"/>
      <c r="J12" s="231"/>
      <c r="K12" s="231"/>
      <c r="L12" s="231"/>
      <c r="M12" s="231"/>
      <c r="N12" s="231"/>
      <c r="O12" s="231"/>
      <c r="P12" s="231"/>
      <c r="Q12" s="231"/>
      <c r="R12" s="231"/>
      <c r="S12" s="231"/>
      <c r="T12" s="231"/>
      <c r="U12" s="231"/>
      <c r="V12" s="231"/>
      <c r="W12" s="231"/>
      <c r="X12" s="231"/>
      <c r="Y12" s="231"/>
      <c r="Z12" s="231"/>
      <c r="AA12" s="231"/>
      <c r="AB12" s="231"/>
      <c r="AC12" s="231"/>
      <c r="AD12" s="231"/>
      <c r="AE12" s="231"/>
      <c r="AF12" s="231"/>
      <c r="AG12" s="231"/>
    </row>
    <row r="13" spans="1:33" s="203" customFormat="1">
      <c r="A13" s="23"/>
      <c r="B13" s="27"/>
      <c r="C13" s="358"/>
      <c r="D13" s="15"/>
      <c r="E13" s="15"/>
      <c r="F13" s="359"/>
      <c r="G13" s="207"/>
      <c r="H13" s="21"/>
      <c r="I13" s="29"/>
      <c r="J13" s="231"/>
      <c r="K13" s="231"/>
      <c r="L13" s="231"/>
      <c r="M13" s="231"/>
      <c r="N13" s="231"/>
      <c r="O13" s="231"/>
      <c r="P13" s="231"/>
      <c r="Q13" s="231"/>
      <c r="R13" s="231"/>
      <c r="S13" s="231"/>
      <c r="T13" s="231"/>
      <c r="U13" s="231"/>
      <c r="V13" s="231"/>
      <c r="W13" s="231"/>
      <c r="X13" s="231"/>
      <c r="Y13" s="231"/>
      <c r="Z13" s="231"/>
      <c r="AA13" s="231"/>
      <c r="AB13" s="231"/>
      <c r="AC13" s="231"/>
      <c r="AD13" s="231"/>
      <c r="AE13" s="231"/>
      <c r="AF13" s="231"/>
      <c r="AG13" s="231"/>
    </row>
    <row r="14" spans="1:33" s="203" customFormat="1">
      <c r="A14" s="23"/>
      <c r="B14" s="363" t="s">
        <v>328</v>
      </c>
      <c r="C14" s="870" t="s">
        <v>10</v>
      </c>
      <c r="D14" s="870"/>
      <c r="E14" s="870"/>
      <c r="F14" s="871"/>
      <c r="G14" s="207"/>
      <c r="H14" s="21"/>
      <c r="I14" s="29"/>
      <c r="J14" s="231"/>
      <c r="K14" s="231"/>
      <c r="L14" s="231"/>
      <c r="M14" s="231"/>
      <c r="N14" s="231"/>
      <c r="O14" s="231"/>
      <c r="P14" s="231"/>
      <c r="Q14" s="231"/>
      <c r="R14" s="231"/>
      <c r="S14" s="231"/>
      <c r="T14" s="231"/>
      <c r="U14" s="231"/>
      <c r="V14" s="231"/>
      <c r="W14" s="231"/>
      <c r="X14" s="231"/>
      <c r="Y14" s="231"/>
      <c r="Z14" s="231"/>
      <c r="AA14" s="231"/>
      <c r="AB14" s="231"/>
      <c r="AC14" s="231"/>
      <c r="AD14" s="231"/>
      <c r="AE14" s="231"/>
      <c r="AF14" s="231"/>
      <c r="AG14" s="231"/>
    </row>
    <row r="15" spans="1:33" s="203" customFormat="1">
      <c r="A15" s="23"/>
      <c r="B15" s="363" t="s">
        <v>329</v>
      </c>
      <c r="C15" s="870" t="s">
        <v>12</v>
      </c>
      <c r="D15" s="870"/>
      <c r="E15" s="870"/>
      <c r="F15" s="871"/>
      <c r="G15" s="207"/>
      <c r="H15" s="21"/>
      <c r="I15" s="29"/>
      <c r="J15" s="231"/>
      <c r="K15" s="231"/>
      <c r="L15" s="231"/>
      <c r="M15" s="231"/>
      <c r="N15" s="231"/>
      <c r="O15" s="231"/>
      <c r="P15" s="231"/>
      <c r="Q15" s="231"/>
      <c r="R15" s="231"/>
      <c r="S15" s="231"/>
      <c r="T15" s="231"/>
      <c r="U15" s="231"/>
      <c r="V15" s="231"/>
      <c r="W15" s="231"/>
      <c r="X15" s="231"/>
      <c r="Y15" s="231"/>
      <c r="Z15" s="231"/>
      <c r="AA15" s="231"/>
      <c r="AB15" s="231"/>
      <c r="AC15" s="231"/>
      <c r="AD15" s="231"/>
      <c r="AE15" s="231"/>
      <c r="AF15" s="231"/>
      <c r="AG15" s="231"/>
    </row>
    <row r="16" spans="1:33" s="203" customFormat="1">
      <c r="A16" s="23"/>
      <c r="B16" s="360" t="s">
        <v>14</v>
      </c>
      <c r="C16" s="870" t="s">
        <v>15</v>
      </c>
      <c r="D16" s="870"/>
      <c r="E16" s="870"/>
      <c r="F16" s="871"/>
      <c r="G16" s="207"/>
      <c r="H16" s="21"/>
      <c r="I16" s="29"/>
      <c r="J16" s="231"/>
      <c r="K16" s="231"/>
      <c r="L16" s="231"/>
      <c r="M16" s="231"/>
      <c r="N16" s="231"/>
      <c r="O16" s="231"/>
      <c r="P16" s="231"/>
      <c r="Q16" s="231"/>
      <c r="R16" s="231"/>
      <c r="S16" s="231"/>
      <c r="T16" s="231"/>
      <c r="U16" s="231"/>
      <c r="V16" s="231"/>
      <c r="W16" s="231"/>
      <c r="X16" s="231"/>
      <c r="Y16" s="231"/>
      <c r="Z16" s="231"/>
      <c r="AA16" s="231"/>
      <c r="AB16" s="231"/>
      <c r="AC16" s="231"/>
      <c r="AD16" s="231"/>
      <c r="AE16" s="231"/>
      <c r="AF16" s="231"/>
      <c r="AG16" s="231"/>
    </row>
    <row r="17" spans="1:33" s="203" customFormat="1">
      <c r="A17" s="23"/>
      <c r="B17" s="360" t="s">
        <v>17</v>
      </c>
      <c r="C17" s="870" t="s">
        <v>18</v>
      </c>
      <c r="D17" s="870"/>
      <c r="E17" s="870"/>
      <c r="F17" s="871"/>
      <c r="G17" s="207"/>
      <c r="H17" s="21"/>
      <c r="I17" s="29"/>
      <c r="J17" s="231"/>
      <c r="K17" s="231"/>
      <c r="L17" s="231"/>
      <c r="M17" s="231"/>
      <c r="N17" s="231"/>
      <c r="O17" s="231"/>
      <c r="P17" s="231"/>
      <c r="Q17" s="231"/>
      <c r="R17" s="231"/>
      <c r="S17" s="231"/>
      <c r="T17" s="231"/>
      <c r="U17" s="231"/>
      <c r="V17" s="231"/>
      <c r="W17" s="231"/>
      <c r="X17" s="231"/>
      <c r="Y17" s="231"/>
      <c r="Z17" s="231"/>
      <c r="AA17" s="231"/>
      <c r="AB17" s="231"/>
      <c r="AC17" s="231"/>
      <c r="AD17" s="231"/>
      <c r="AE17" s="231"/>
      <c r="AF17" s="231"/>
      <c r="AG17" s="231"/>
    </row>
    <row r="18" spans="1:33" s="203" customFormat="1">
      <c r="A18" s="23"/>
      <c r="B18" s="360" t="s">
        <v>20</v>
      </c>
      <c r="C18" s="870" t="s">
        <v>21</v>
      </c>
      <c r="D18" s="870"/>
      <c r="E18" s="870"/>
      <c r="F18" s="871"/>
      <c r="G18" s="207"/>
      <c r="H18" s="21"/>
      <c r="I18" s="29"/>
      <c r="J18" s="231"/>
      <c r="K18" s="231"/>
      <c r="L18" s="231"/>
      <c r="M18" s="231"/>
      <c r="N18" s="231"/>
      <c r="O18" s="231"/>
      <c r="P18" s="231"/>
      <c r="Q18" s="231"/>
      <c r="R18" s="231"/>
      <c r="S18" s="231"/>
      <c r="T18" s="231"/>
      <c r="U18" s="231"/>
      <c r="V18" s="231"/>
      <c r="W18" s="231"/>
      <c r="X18" s="231"/>
      <c r="Y18" s="231"/>
      <c r="Z18" s="231"/>
      <c r="AA18" s="231"/>
      <c r="AB18" s="231"/>
      <c r="AC18" s="231"/>
      <c r="AD18" s="231"/>
      <c r="AE18" s="231"/>
      <c r="AF18" s="231"/>
      <c r="AG18" s="231"/>
    </row>
    <row r="19" spans="1:33" s="203" customFormat="1">
      <c r="A19" s="23"/>
      <c r="B19" s="361" t="s">
        <v>23</v>
      </c>
      <c r="C19" s="872" t="s">
        <v>24</v>
      </c>
      <c r="D19" s="872"/>
      <c r="E19" s="872"/>
      <c r="F19" s="873"/>
      <c r="G19" s="21"/>
      <c r="H19" s="21"/>
      <c r="I19" s="29"/>
      <c r="J19" s="231"/>
      <c r="K19" s="231"/>
      <c r="L19" s="231"/>
      <c r="M19" s="231"/>
      <c r="N19" s="231"/>
      <c r="O19" s="231"/>
      <c r="P19" s="231"/>
      <c r="Q19" s="231"/>
      <c r="R19" s="231"/>
      <c r="S19" s="231"/>
      <c r="T19" s="231"/>
      <c r="U19" s="231"/>
      <c r="V19" s="231"/>
      <c r="W19" s="231"/>
      <c r="X19" s="231"/>
      <c r="Y19" s="231"/>
      <c r="Z19" s="231"/>
      <c r="AA19" s="231"/>
      <c r="AB19" s="231"/>
      <c r="AC19" s="231"/>
      <c r="AD19" s="231"/>
      <c r="AE19" s="231"/>
      <c r="AF19" s="231"/>
      <c r="AG19" s="231"/>
    </row>
    <row r="20" spans="1:33" s="203" customFormat="1">
      <c r="A20" s="236"/>
      <c r="B20" s="206"/>
      <c r="C20" s="206"/>
      <c r="D20" s="206"/>
      <c r="E20" s="206"/>
      <c r="F20" s="206"/>
      <c r="G20" s="206"/>
      <c r="H20" s="206"/>
      <c r="I20" s="206"/>
      <c r="J20" s="231"/>
      <c r="K20" s="231"/>
      <c r="L20" s="231"/>
      <c r="M20" s="231"/>
      <c r="N20" s="231"/>
      <c r="O20" s="231"/>
      <c r="P20" s="231"/>
      <c r="Q20" s="231"/>
      <c r="R20" s="231"/>
      <c r="S20" s="231"/>
      <c r="T20" s="231"/>
      <c r="U20" s="231"/>
      <c r="V20" s="231"/>
      <c r="W20" s="231"/>
      <c r="X20" s="231"/>
      <c r="Y20" s="231"/>
      <c r="Z20" s="231"/>
      <c r="AA20" s="231"/>
      <c r="AB20" s="231"/>
      <c r="AC20" s="231"/>
      <c r="AD20" s="231"/>
      <c r="AE20" s="231"/>
      <c r="AF20" s="231"/>
      <c r="AG20" s="231"/>
    </row>
    <row r="21" spans="1:33" s="203" customFormat="1" ht="19.5">
      <c r="A21" s="30"/>
      <c r="B21" s="13"/>
      <c r="C21" s="13"/>
      <c r="D21" s="13"/>
      <c r="E21" s="13"/>
      <c r="F21" s="13"/>
      <c r="G21" s="13"/>
      <c r="H21" s="31" t="s">
        <v>27</v>
      </c>
      <c r="I21" s="237"/>
      <c r="J21" s="231"/>
      <c r="K21" s="231"/>
      <c r="L21" s="231"/>
      <c r="M21" s="231"/>
      <c r="N21" s="231"/>
      <c r="O21" s="231"/>
      <c r="P21" s="231"/>
      <c r="Q21" s="231"/>
      <c r="R21" s="231"/>
      <c r="S21" s="231"/>
      <c r="T21" s="231"/>
      <c r="U21" s="231"/>
      <c r="V21" s="231"/>
      <c r="W21" s="231"/>
      <c r="X21" s="231"/>
      <c r="Y21" s="231"/>
      <c r="Z21" s="231"/>
      <c r="AA21" s="231"/>
      <c r="AB21" s="231"/>
      <c r="AC21" s="231"/>
      <c r="AD21" s="231"/>
      <c r="AE21" s="231"/>
      <c r="AF21" s="231"/>
      <c r="AG21" s="231"/>
    </row>
    <row r="22" spans="1:33" s="203" customFormat="1" ht="18.75" customHeight="1">
      <c r="A22" s="32"/>
      <c r="B22" s="29"/>
      <c r="C22" s="29"/>
      <c r="D22" s="29"/>
      <c r="E22" s="29"/>
      <c r="F22" s="33">
        <v>1</v>
      </c>
      <c r="G22" s="34"/>
      <c r="H22" s="33">
        <v>2</v>
      </c>
      <c r="I22" s="34"/>
      <c r="J22" s="231"/>
      <c r="K22" s="231"/>
      <c r="L22" s="231"/>
      <c r="M22" s="231"/>
      <c r="N22" s="231"/>
      <c r="O22" s="231"/>
      <c r="P22" s="231"/>
      <c r="Q22" s="231"/>
      <c r="R22" s="231"/>
      <c r="S22" s="231"/>
      <c r="T22" s="231"/>
      <c r="U22" s="231"/>
      <c r="V22" s="231"/>
      <c r="W22" s="231"/>
      <c r="X22" s="231"/>
      <c r="Y22" s="231"/>
      <c r="Z22" s="231"/>
      <c r="AA22" s="231"/>
      <c r="AB22" s="231"/>
      <c r="AC22" s="231"/>
      <c r="AD22" s="231"/>
      <c r="AE22" s="231"/>
      <c r="AF22" s="231"/>
      <c r="AG22" s="231"/>
    </row>
    <row r="23" spans="1:33" s="203" customFormat="1" ht="21.95" customHeight="1">
      <c r="A23" s="874" t="s">
        <v>30</v>
      </c>
      <c r="B23" s="875"/>
      <c r="C23" s="875"/>
      <c r="D23" s="875"/>
      <c r="E23" s="878" t="s">
        <v>376</v>
      </c>
      <c r="F23" s="856" t="s">
        <v>407</v>
      </c>
      <c r="G23" s="36"/>
      <c r="H23" s="878" t="s">
        <v>406</v>
      </c>
      <c r="I23" s="36"/>
      <c r="J23" s="231"/>
      <c r="K23" s="231"/>
      <c r="L23" s="231"/>
      <c r="M23" s="231"/>
      <c r="N23" s="231"/>
      <c r="O23" s="231"/>
      <c r="P23" s="231"/>
      <c r="Q23" s="231"/>
      <c r="R23" s="231"/>
      <c r="S23" s="231"/>
      <c r="T23" s="231"/>
      <c r="U23" s="231"/>
      <c r="V23" s="231"/>
      <c r="W23" s="231"/>
      <c r="X23" s="231"/>
      <c r="Y23" s="231"/>
      <c r="Z23" s="231"/>
      <c r="AA23" s="231"/>
      <c r="AB23" s="231"/>
      <c r="AC23" s="231"/>
      <c r="AD23" s="231"/>
      <c r="AE23" s="231"/>
      <c r="AF23" s="231"/>
      <c r="AG23" s="231"/>
    </row>
    <row r="24" spans="1:33" s="203" customFormat="1" ht="21.95" customHeight="1">
      <c r="A24" s="876"/>
      <c r="B24" s="877"/>
      <c r="C24" s="877"/>
      <c r="D24" s="877"/>
      <c r="E24" s="879"/>
      <c r="F24" s="860"/>
      <c r="G24" s="23"/>
      <c r="H24" s="879"/>
      <c r="I24" s="36"/>
      <c r="J24" s="231"/>
      <c r="K24" s="231"/>
      <c r="L24" s="231"/>
      <c r="M24" s="231"/>
      <c r="N24" s="231"/>
      <c r="O24" s="231"/>
      <c r="P24" s="231"/>
      <c r="Q24" s="231"/>
      <c r="R24" s="231"/>
      <c r="S24" s="231"/>
      <c r="T24" s="231"/>
      <c r="U24" s="231"/>
      <c r="V24" s="231"/>
      <c r="W24" s="231"/>
      <c r="X24" s="231"/>
      <c r="Y24" s="231"/>
      <c r="Z24" s="231"/>
      <c r="AA24" s="231"/>
      <c r="AB24" s="231"/>
      <c r="AC24" s="231"/>
      <c r="AD24" s="231"/>
      <c r="AE24" s="231"/>
      <c r="AF24" s="231"/>
      <c r="AG24" s="231"/>
    </row>
    <row r="25" spans="1:33" s="203" customFormat="1" ht="21.95" customHeight="1">
      <c r="A25" s="898" t="s">
        <v>48</v>
      </c>
      <c r="B25" s="901" t="s">
        <v>49</v>
      </c>
      <c r="C25" s="901"/>
      <c r="D25" s="902"/>
      <c r="E25" s="907" t="s">
        <v>50</v>
      </c>
      <c r="F25" s="909" t="s">
        <v>51</v>
      </c>
      <c r="G25" s="34"/>
      <c r="H25" s="907" t="s">
        <v>50</v>
      </c>
      <c r="I25" s="36"/>
      <c r="J25" s="231"/>
      <c r="K25" s="231"/>
      <c r="L25" s="231"/>
      <c r="M25" s="231"/>
      <c r="N25" s="231"/>
      <c r="O25" s="231"/>
      <c r="P25" s="231"/>
      <c r="Q25" s="231"/>
      <c r="R25" s="231"/>
      <c r="S25" s="231"/>
      <c r="T25" s="231"/>
      <c r="U25" s="231"/>
      <c r="V25" s="231"/>
      <c r="W25" s="231"/>
      <c r="X25" s="231"/>
      <c r="Y25" s="231"/>
      <c r="Z25" s="231"/>
      <c r="AA25" s="231"/>
      <c r="AB25" s="231"/>
      <c r="AC25" s="231"/>
      <c r="AD25" s="231"/>
      <c r="AE25" s="231"/>
      <c r="AF25" s="231"/>
      <c r="AG25" s="231"/>
    </row>
    <row r="26" spans="1:33" s="203" customFormat="1" ht="21.95" customHeight="1">
      <c r="A26" s="899"/>
      <c r="B26" s="903"/>
      <c r="C26" s="903"/>
      <c r="D26" s="904"/>
      <c r="E26" s="908"/>
      <c r="F26" s="859"/>
      <c r="G26" s="34"/>
      <c r="H26" s="908"/>
      <c r="I26" s="36"/>
      <c r="J26" s="231"/>
      <c r="K26" s="231"/>
      <c r="L26" s="231"/>
      <c r="M26" s="231"/>
      <c r="N26" s="231"/>
      <c r="O26" s="231"/>
      <c r="P26" s="231"/>
      <c r="Q26" s="231"/>
      <c r="R26" s="231"/>
      <c r="S26" s="231"/>
      <c r="T26" s="231"/>
      <c r="U26" s="231"/>
      <c r="V26" s="231"/>
      <c r="W26" s="231"/>
      <c r="X26" s="231"/>
      <c r="Y26" s="231"/>
      <c r="Z26" s="231"/>
      <c r="AA26" s="231"/>
      <c r="AB26" s="231"/>
      <c r="AC26" s="231"/>
      <c r="AD26" s="231"/>
      <c r="AE26" s="231"/>
      <c r="AF26" s="231"/>
      <c r="AG26" s="231"/>
    </row>
    <row r="27" spans="1:33" s="203" customFormat="1" ht="21.95" customHeight="1">
      <c r="A27" s="900"/>
      <c r="B27" s="905"/>
      <c r="C27" s="905"/>
      <c r="D27" s="906"/>
      <c r="E27" s="879"/>
      <c r="F27" s="860"/>
      <c r="G27" s="34"/>
      <c r="H27" s="879"/>
      <c r="I27" s="36"/>
      <c r="J27" s="231"/>
      <c r="K27" s="231"/>
      <c r="L27" s="231"/>
      <c r="M27" s="231"/>
      <c r="N27" s="231"/>
      <c r="O27" s="231"/>
      <c r="P27" s="231"/>
      <c r="Q27" s="231"/>
      <c r="R27" s="231"/>
      <c r="S27" s="231"/>
      <c r="T27" s="231"/>
      <c r="U27" s="231"/>
      <c r="V27" s="231"/>
      <c r="W27" s="231"/>
      <c r="X27" s="231"/>
      <c r="Y27" s="231"/>
      <c r="Z27" s="231"/>
      <c r="AA27" s="231"/>
      <c r="AB27" s="231"/>
      <c r="AC27" s="231"/>
      <c r="AD27" s="231"/>
      <c r="AE27" s="231"/>
      <c r="AF27" s="231"/>
      <c r="AG27" s="231"/>
    </row>
    <row r="28" spans="1:33" s="203" customFormat="1">
      <c r="A28" s="38">
        <v>1</v>
      </c>
      <c r="B28" s="39" t="s">
        <v>52</v>
      </c>
      <c r="C28" s="39"/>
      <c r="D28" s="40"/>
      <c r="E28" s="41">
        <v>362552.17939200695</v>
      </c>
      <c r="F28" s="42">
        <f>F77</f>
        <v>348626</v>
      </c>
      <c r="G28" s="43"/>
      <c r="H28" s="44">
        <f>H77</f>
        <v>365849</v>
      </c>
      <c r="I28" s="43"/>
      <c r="J28" s="231"/>
      <c r="K28" s="231"/>
      <c r="L28" s="231"/>
      <c r="M28" s="231"/>
      <c r="N28" s="231"/>
      <c r="O28" s="231"/>
      <c r="P28" s="231"/>
      <c r="Q28" s="231"/>
      <c r="R28" s="231"/>
      <c r="S28" s="231"/>
      <c r="T28" s="231"/>
      <c r="U28" s="231"/>
      <c r="V28" s="231"/>
      <c r="W28" s="231"/>
      <c r="X28" s="231"/>
      <c r="Y28" s="231"/>
      <c r="Z28" s="231"/>
      <c r="AA28" s="231"/>
      <c r="AB28" s="231"/>
      <c r="AC28" s="231"/>
      <c r="AD28" s="231"/>
      <c r="AE28" s="231"/>
      <c r="AF28" s="231"/>
      <c r="AG28" s="231"/>
    </row>
    <row r="29" spans="1:33" s="203" customFormat="1">
      <c r="A29" s="46">
        <v>2</v>
      </c>
      <c r="B29" s="47" t="s">
        <v>53</v>
      </c>
      <c r="C29" s="47"/>
      <c r="D29" s="48"/>
      <c r="E29" s="49">
        <v>182927.65206149066</v>
      </c>
      <c r="F29" s="50">
        <f>F105</f>
        <v>187355</v>
      </c>
      <c r="G29" s="43"/>
      <c r="H29" s="51">
        <f>H105</f>
        <v>192506</v>
      </c>
      <c r="I29" s="43"/>
      <c r="J29" s="231"/>
      <c r="K29" s="231"/>
      <c r="L29" s="231"/>
      <c r="M29" s="231"/>
      <c r="N29" s="231"/>
      <c r="O29" s="231"/>
      <c r="P29" s="231"/>
      <c r="Q29" s="231"/>
      <c r="R29" s="231"/>
      <c r="S29" s="231"/>
      <c r="T29" s="231"/>
      <c r="U29" s="231"/>
      <c r="V29" s="231"/>
      <c r="W29" s="231"/>
      <c r="X29" s="231"/>
      <c r="Y29" s="231"/>
      <c r="Z29" s="231"/>
      <c r="AA29" s="231"/>
      <c r="AB29" s="231"/>
      <c r="AC29" s="231"/>
      <c r="AD29" s="231"/>
      <c r="AE29" s="231"/>
      <c r="AF29" s="231"/>
      <c r="AG29" s="231"/>
    </row>
    <row r="30" spans="1:33" s="203" customFormat="1">
      <c r="A30" s="46">
        <v>3</v>
      </c>
      <c r="B30" s="47" t="s">
        <v>54</v>
      </c>
      <c r="C30" s="47"/>
      <c r="D30" s="48"/>
      <c r="E30" s="49">
        <v>21858.546502448113</v>
      </c>
      <c r="F30" s="50">
        <f>F180</f>
        <v>25699</v>
      </c>
      <c r="G30" s="43"/>
      <c r="H30" s="51">
        <f>H180</f>
        <v>27091</v>
      </c>
      <c r="I30" s="43"/>
      <c r="J30" s="231"/>
      <c r="K30" s="231"/>
      <c r="L30" s="231"/>
      <c r="M30" s="231"/>
      <c r="N30" s="231"/>
      <c r="O30" s="231"/>
      <c r="P30" s="231"/>
      <c r="Q30" s="231"/>
      <c r="R30" s="231"/>
      <c r="S30" s="231"/>
      <c r="T30" s="231"/>
      <c r="U30" s="231"/>
      <c r="V30" s="231"/>
      <c r="W30" s="231"/>
      <c r="X30" s="231"/>
      <c r="Y30" s="231"/>
      <c r="Z30" s="231"/>
      <c r="AA30" s="231"/>
      <c r="AB30" s="231"/>
      <c r="AC30" s="231"/>
      <c r="AD30" s="231"/>
      <c r="AE30" s="231"/>
      <c r="AF30" s="231"/>
      <c r="AG30" s="231"/>
    </row>
    <row r="31" spans="1:33" s="203" customFormat="1">
      <c r="A31" s="46">
        <v>4</v>
      </c>
      <c r="B31" s="47" t="s">
        <v>55</v>
      </c>
      <c r="C31" s="47"/>
      <c r="D31" s="48"/>
      <c r="E31" s="49">
        <v>31059.013390958786</v>
      </c>
      <c r="F31" s="50">
        <f>F214</f>
        <v>41089</v>
      </c>
      <c r="G31" s="43"/>
      <c r="H31" s="51">
        <f>H214</f>
        <v>36188</v>
      </c>
      <c r="I31" s="43"/>
      <c r="J31" s="231"/>
      <c r="K31" s="231"/>
      <c r="L31" s="231"/>
      <c r="M31" s="231"/>
      <c r="N31" s="231"/>
      <c r="O31" s="231"/>
      <c r="P31" s="231"/>
      <c r="Q31" s="231"/>
      <c r="R31" s="231"/>
      <c r="S31" s="231"/>
      <c r="T31" s="231"/>
      <c r="U31" s="231"/>
      <c r="V31" s="231"/>
      <c r="W31" s="231"/>
      <c r="X31" s="231"/>
      <c r="Y31" s="231"/>
      <c r="Z31" s="231"/>
      <c r="AA31" s="231"/>
      <c r="AB31" s="231"/>
      <c r="AC31" s="231"/>
      <c r="AD31" s="231"/>
      <c r="AE31" s="231"/>
      <c r="AF31" s="231"/>
      <c r="AG31" s="231"/>
    </row>
    <row r="32" spans="1:33" s="203" customFormat="1">
      <c r="A32" s="46">
        <v>5</v>
      </c>
      <c r="B32" s="47" t="s">
        <v>56</v>
      </c>
      <c r="C32" s="47"/>
      <c r="D32" s="48"/>
      <c r="E32" s="49">
        <v>7961.8360770309509</v>
      </c>
      <c r="F32" s="50">
        <f>F231</f>
        <v>9154</v>
      </c>
      <c r="G32" s="43"/>
      <c r="H32" s="51">
        <f>H231</f>
        <v>6789</v>
      </c>
      <c r="I32" s="43"/>
      <c r="J32" s="231"/>
      <c r="K32" s="231"/>
      <c r="L32" s="231"/>
      <c r="M32" s="231"/>
      <c r="N32" s="231"/>
      <c r="O32" s="231"/>
      <c r="P32" s="231"/>
      <c r="Q32" s="231"/>
      <c r="R32" s="231"/>
      <c r="S32" s="231"/>
      <c r="T32" s="231"/>
      <c r="U32" s="231"/>
      <c r="V32" s="231"/>
      <c r="W32" s="231"/>
      <c r="X32" s="231"/>
      <c r="Y32" s="231"/>
      <c r="Z32" s="231"/>
      <c r="AA32" s="231"/>
      <c r="AB32" s="231"/>
      <c r="AC32" s="231"/>
      <c r="AD32" s="231"/>
      <c r="AE32" s="231"/>
      <c r="AF32" s="231"/>
      <c r="AG32" s="231"/>
    </row>
    <row r="33" spans="1:33" s="203" customFormat="1">
      <c r="A33" s="46">
        <v>6</v>
      </c>
      <c r="B33" s="47" t="s">
        <v>57</v>
      </c>
      <c r="C33" s="47"/>
      <c r="D33" s="48"/>
      <c r="E33" s="49">
        <v>29772.329000000002</v>
      </c>
      <c r="F33" s="50">
        <f>F257</f>
        <v>32478</v>
      </c>
      <c r="G33" s="43"/>
      <c r="H33" s="51">
        <f>H257</f>
        <v>31562</v>
      </c>
      <c r="I33" s="43"/>
      <c r="J33" s="231"/>
      <c r="K33" s="231"/>
      <c r="L33" s="231"/>
      <c r="M33" s="231"/>
      <c r="N33" s="231"/>
      <c r="O33" s="231"/>
      <c r="P33" s="231"/>
      <c r="Q33" s="231"/>
      <c r="R33" s="231"/>
      <c r="S33" s="231"/>
      <c r="T33" s="231"/>
      <c r="U33" s="231"/>
      <c r="V33" s="231"/>
      <c r="W33" s="231"/>
      <c r="X33" s="231"/>
      <c r="Y33" s="231"/>
      <c r="Z33" s="231"/>
      <c r="AA33" s="231"/>
      <c r="AB33" s="231"/>
      <c r="AC33" s="231"/>
      <c r="AD33" s="231"/>
      <c r="AE33" s="231"/>
      <c r="AF33" s="231"/>
      <c r="AG33" s="231"/>
    </row>
    <row r="34" spans="1:33" s="203" customFormat="1">
      <c r="A34" s="46">
        <v>7</v>
      </c>
      <c r="B34" s="47" t="s">
        <v>58</v>
      </c>
      <c r="C34" s="47"/>
      <c r="D34" s="48"/>
      <c r="E34" s="49">
        <v>10109</v>
      </c>
      <c r="F34" s="50">
        <f>F277</f>
        <v>14440</v>
      </c>
      <c r="G34" s="43"/>
      <c r="H34" s="50">
        <f>H277</f>
        <v>17696</v>
      </c>
      <c r="I34" s="43"/>
      <c r="J34" s="231"/>
      <c r="K34" s="231"/>
      <c r="L34" s="231"/>
      <c r="M34" s="231"/>
      <c r="N34" s="231"/>
      <c r="O34" s="231"/>
      <c r="P34" s="231"/>
      <c r="Q34" s="231"/>
      <c r="R34" s="231"/>
      <c r="S34" s="231"/>
      <c r="T34" s="231"/>
      <c r="U34" s="231"/>
      <c r="V34" s="231"/>
      <c r="W34" s="231"/>
      <c r="X34" s="231"/>
      <c r="Y34" s="231"/>
      <c r="Z34" s="231"/>
      <c r="AA34" s="231"/>
      <c r="AB34" s="231"/>
      <c r="AC34" s="231"/>
      <c r="AD34" s="231"/>
      <c r="AE34" s="231"/>
      <c r="AF34" s="231"/>
      <c r="AG34" s="231"/>
    </row>
    <row r="35" spans="1:33" s="203" customFormat="1">
      <c r="A35" s="46">
        <v>8</v>
      </c>
      <c r="B35" s="47" t="s">
        <v>59</v>
      </c>
      <c r="C35" s="47"/>
      <c r="D35" s="48"/>
      <c r="E35" s="49">
        <v>24703.048820292875</v>
      </c>
      <c r="F35" s="50">
        <f>F302</f>
        <v>28778</v>
      </c>
      <c r="G35" s="43"/>
      <c r="H35" s="50">
        <f>H302</f>
        <v>18735</v>
      </c>
      <c r="I35" s="21"/>
      <c r="J35" s="231"/>
      <c r="K35" s="231"/>
      <c r="L35" s="231"/>
      <c r="M35" s="231"/>
      <c r="N35" s="231"/>
      <c r="O35" s="231"/>
      <c r="P35" s="231"/>
      <c r="Q35" s="231"/>
      <c r="R35" s="231"/>
      <c r="S35" s="231"/>
      <c r="T35" s="231"/>
      <c r="U35" s="231"/>
      <c r="V35" s="231"/>
      <c r="W35" s="231"/>
      <c r="X35" s="231"/>
      <c r="Y35" s="231"/>
      <c r="Z35" s="231"/>
      <c r="AA35" s="231"/>
      <c r="AB35" s="231"/>
      <c r="AC35" s="231"/>
      <c r="AD35" s="231"/>
      <c r="AE35" s="231"/>
      <c r="AF35" s="231"/>
      <c r="AG35" s="231"/>
    </row>
    <row r="36" spans="1:33" s="203" customFormat="1">
      <c r="A36" s="46">
        <v>9</v>
      </c>
      <c r="B36" s="47" t="s">
        <v>60</v>
      </c>
      <c r="C36" s="47"/>
      <c r="D36" s="48"/>
      <c r="E36" s="49">
        <v>0</v>
      </c>
      <c r="F36" s="52">
        <v>0</v>
      </c>
      <c r="G36" s="43"/>
      <c r="H36" s="52">
        <v>0</v>
      </c>
      <c r="I36" s="21"/>
      <c r="J36" s="231"/>
      <c r="K36" s="231"/>
      <c r="L36" s="231"/>
      <c r="M36" s="231"/>
      <c r="N36" s="231"/>
      <c r="O36" s="231"/>
      <c r="P36" s="231"/>
      <c r="Q36" s="231"/>
      <c r="R36" s="231"/>
      <c r="S36" s="231"/>
      <c r="T36" s="231"/>
      <c r="U36" s="231"/>
      <c r="V36" s="231"/>
      <c r="W36" s="231"/>
      <c r="X36" s="231"/>
      <c r="Y36" s="231"/>
      <c r="Z36" s="231"/>
      <c r="AA36" s="231"/>
      <c r="AB36" s="231"/>
      <c r="AC36" s="231"/>
      <c r="AD36" s="231"/>
      <c r="AE36" s="231"/>
      <c r="AF36" s="231"/>
      <c r="AG36" s="231"/>
    </row>
    <row r="37" spans="1:33" s="203" customFormat="1">
      <c r="A37" s="53">
        <v>10</v>
      </c>
      <c r="B37" s="54" t="s">
        <v>61</v>
      </c>
      <c r="C37" s="54"/>
      <c r="D37" s="55"/>
      <c r="E37" s="56">
        <v>55609.664000000004</v>
      </c>
      <c r="F37" s="57">
        <f>F320</f>
        <v>59249</v>
      </c>
      <c r="G37" s="43"/>
      <c r="H37" s="57">
        <f>H320</f>
        <v>62148</v>
      </c>
      <c r="I37" s="21"/>
      <c r="J37" s="231"/>
      <c r="K37" s="231"/>
      <c r="L37" s="231"/>
      <c r="M37" s="231"/>
      <c r="N37" s="231"/>
      <c r="O37" s="231"/>
      <c r="P37" s="231"/>
      <c r="Q37" s="231"/>
      <c r="R37" s="231"/>
      <c r="S37" s="231"/>
      <c r="T37" s="231"/>
      <c r="U37" s="231"/>
      <c r="V37" s="231"/>
      <c r="W37" s="231"/>
      <c r="X37" s="231"/>
      <c r="Y37" s="231"/>
      <c r="Z37" s="231"/>
      <c r="AA37" s="231"/>
      <c r="AB37" s="231"/>
      <c r="AC37" s="231"/>
      <c r="AD37" s="231"/>
      <c r="AE37" s="231"/>
      <c r="AF37" s="231"/>
      <c r="AG37" s="231"/>
    </row>
    <row r="38" spans="1:33" s="203" customFormat="1">
      <c r="A38" s="33">
        <v>11</v>
      </c>
      <c r="B38" s="58" t="s">
        <v>62</v>
      </c>
      <c r="C38" s="58"/>
      <c r="D38" s="59"/>
      <c r="E38" s="60">
        <v>726553.26924422849</v>
      </c>
      <c r="F38" s="61">
        <f>SUM(F28:F37)</f>
        <v>746868</v>
      </c>
      <c r="G38" s="43"/>
      <c r="H38" s="61">
        <f>SUM(H28:H37)</f>
        <v>758564</v>
      </c>
      <c r="I38" s="68"/>
      <c r="J38" s="231"/>
      <c r="K38" s="231"/>
      <c r="L38" s="231"/>
      <c r="M38" s="231"/>
      <c r="N38" s="231"/>
      <c r="O38" s="231"/>
      <c r="P38" s="231"/>
      <c r="Q38" s="231"/>
      <c r="R38" s="231"/>
      <c r="S38" s="231"/>
      <c r="T38" s="231"/>
      <c r="U38" s="231"/>
      <c r="V38" s="231"/>
      <c r="W38" s="231"/>
      <c r="X38" s="231"/>
      <c r="Y38" s="231"/>
      <c r="Z38" s="231"/>
      <c r="AA38" s="231"/>
      <c r="AB38" s="231"/>
      <c r="AC38" s="231"/>
      <c r="AD38" s="231"/>
      <c r="AE38" s="231"/>
      <c r="AF38" s="231"/>
      <c r="AG38" s="231"/>
    </row>
    <row r="39" spans="1:33" s="203" customFormat="1" ht="12.75" customHeight="1">
      <c r="A39" s="63"/>
      <c r="B39" s="64"/>
      <c r="C39" s="64"/>
      <c r="D39" s="65"/>
      <c r="E39" s="66"/>
      <c r="F39" s="67"/>
      <c r="G39" s="21"/>
      <c r="H39" s="67"/>
      <c r="I39" s="68"/>
      <c r="J39" s="231"/>
      <c r="K39" s="231"/>
      <c r="L39" s="231"/>
      <c r="M39" s="231"/>
      <c r="N39" s="231"/>
      <c r="O39" s="231"/>
      <c r="P39" s="231"/>
      <c r="Q39" s="231"/>
      <c r="R39" s="231"/>
      <c r="S39" s="231"/>
      <c r="T39" s="231"/>
      <c r="U39" s="231"/>
      <c r="V39" s="231"/>
      <c r="W39" s="231"/>
      <c r="X39" s="231"/>
      <c r="Y39" s="231"/>
      <c r="Z39" s="231"/>
      <c r="AA39" s="231"/>
      <c r="AB39" s="231"/>
      <c r="AC39" s="231"/>
      <c r="AD39" s="231"/>
      <c r="AE39" s="231"/>
      <c r="AF39" s="231"/>
      <c r="AG39" s="231"/>
    </row>
    <row r="40" spans="1:33" s="203" customFormat="1" ht="12.75" customHeight="1">
      <c r="A40" s="893" t="s">
        <v>63</v>
      </c>
      <c r="B40" s="894"/>
      <c r="C40" s="894"/>
      <c r="D40" s="895"/>
      <c r="E40" s="878" t="s">
        <v>376</v>
      </c>
      <c r="F40" s="856" t="s">
        <v>407</v>
      </c>
      <c r="G40" s="36"/>
      <c r="H40" s="878" t="s">
        <v>406</v>
      </c>
      <c r="I40" s="43"/>
      <c r="J40" s="231"/>
      <c r="K40" s="231"/>
      <c r="L40" s="231"/>
      <c r="M40" s="231"/>
      <c r="N40" s="231"/>
      <c r="O40" s="231"/>
      <c r="P40" s="231"/>
      <c r="Q40" s="231"/>
      <c r="R40" s="231"/>
      <c r="S40" s="231"/>
      <c r="T40" s="231"/>
      <c r="U40" s="231"/>
      <c r="V40" s="231"/>
      <c r="W40" s="231"/>
      <c r="X40" s="231"/>
      <c r="Y40" s="231"/>
      <c r="Z40" s="231"/>
      <c r="AA40" s="231"/>
      <c r="AB40" s="231"/>
      <c r="AC40" s="231"/>
      <c r="AD40" s="231"/>
      <c r="AE40" s="231"/>
      <c r="AF40" s="231"/>
      <c r="AG40" s="231"/>
    </row>
    <row r="41" spans="1:33" s="203" customFormat="1" ht="27.75" customHeight="1">
      <c r="A41" s="876"/>
      <c r="B41" s="877"/>
      <c r="C41" s="877"/>
      <c r="D41" s="896"/>
      <c r="E41" s="879"/>
      <c r="F41" s="860"/>
      <c r="G41" s="23"/>
      <c r="H41" s="879"/>
      <c r="I41" s="43"/>
      <c r="J41" s="231"/>
      <c r="K41" s="231"/>
      <c r="L41" s="231"/>
      <c r="M41" s="231"/>
      <c r="N41" s="231"/>
      <c r="O41" s="231"/>
      <c r="P41" s="231"/>
      <c r="Q41" s="231"/>
      <c r="R41" s="231"/>
      <c r="S41" s="231"/>
      <c r="T41" s="231"/>
      <c r="U41" s="231"/>
      <c r="V41" s="231"/>
      <c r="W41" s="231"/>
      <c r="X41" s="231"/>
      <c r="Y41" s="231"/>
      <c r="Z41" s="231"/>
      <c r="AA41" s="231"/>
      <c r="AB41" s="231"/>
      <c r="AC41" s="231"/>
      <c r="AD41" s="231"/>
      <c r="AE41" s="231"/>
      <c r="AF41" s="231"/>
      <c r="AG41" s="231"/>
    </row>
    <row r="42" spans="1:33" s="203" customFormat="1">
      <c r="A42" s="814" t="s">
        <v>64</v>
      </c>
      <c r="B42" s="69" t="s">
        <v>65</v>
      </c>
      <c r="C42" s="69"/>
      <c r="D42" s="70"/>
      <c r="E42" s="71"/>
      <c r="F42" s="72" t="str">
        <f>IF(OR(F43&lt;0,F44&lt;0,F47&lt;0,F48&lt;0,H43&lt;0,H44&lt;0,H47&lt;0,H48&lt;0),"Funding should be recorded as positive figures",".")</f>
        <v>.</v>
      </c>
      <c r="G42" s="45"/>
      <c r="H42" s="73"/>
      <c r="I42" s="43"/>
      <c r="J42" s="231"/>
      <c r="K42" s="231"/>
      <c r="L42" s="231"/>
      <c r="M42" s="231"/>
      <c r="N42" s="231"/>
      <c r="O42" s="231"/>
      <c r="P42" s="231"/>
      <c r="Q42" s="231"/>
      <c r="R42" s="231"/>
      <c r="S42" s="231"/>
      <c r="T42" s="231"/>
      <c r="U42" s="231"/>
      <c r="V42" s="231"/>
      <c r="W42" s="231"/>
      <c r="X42" s="231"/>
      <c r="Y42" s="231"/>
      <c r="Z42" s="231"/>
      <c r="AA42" s="231"/>
      <c r="AB42" s="231"/>
      <c r="AC42" s="231"/>
      <c r="AD42" s="231"/>
      <c r="AE42" s="231"/>
      <c r="AF42" s="231"/>
      <c r="AG42" s="231"/>
    </row>
    <row r="43" spans="1:33" s="203" customFormat="1">
      <c r="A43" s="46">
        <v>1</v>
      </c>
      <c r="B43" s="47" t="s">
        <v>66</v>
      </c>
      <c r="C43" s="47"/>
      <c r="D43" s="48"/>
      <c r="E43" s="74">
        <v>491636</v>
      </c>
      <c r="F43" s="241">
        <v>496236.99999999988</v>
      </c>
      <c r="G43" s="45"/>
      <c r="H43" s="75">
        <v>491075</v>
      </c>
      <c r="I43" s="43"/>
      <c r="J43" s="231"/>
      <c r="K43" s="231"/>
      <c r="L43" s="231"/>
      <c r="M43" s="231"/>
      <c r="N43" s="231"/>
      <c r="O43" s="231"/>
      <c r="P43" s="231"/>
      <c r="Q43" s="231"/>
      <c r="R43" s="231"/>
      <c r="S43" s="231"/>
      <c r="T43" s="231"/>
      <c r="U43" s="231"/>
      <c r="V43" s="231"/>
      <c r="W43" s="231"/>
      <c r="X43" s="231"/>
      <c r="Y43" s="231"/>
      <c r="Z43" s="231"/>
      <c r="AA43" s="231"/>
      <c r="AB43" s="231"/>
      <c r="AC43" s="231"/>
      <c r="AD43" s="231"/>
      <c r="AE43" s="231"/>
      <c r="AF43" s="231"/>
      <c r="AG43" s="231"/>
    </row>
    <row r="44" spans="1:33" s="203" customFormat="1">
      <c r="A44" s="46">
        <v>2</v>
      </c>
      <c r="B44" s="47" t="s">
        <v>67</v>
      </c>
      <c r="C44" s="47"/>
      <c r="D44" s="48"/>
      <c r="E44" s="49">
        <v>104339</v>
      </c>
      <c r="F44" s="241">
        <v>104339</v>
      </c>
      <c r="G44" s="45"/>
      <c r="H44" s="75">
        <v>107252</v>
      </c>
      <c r="I44" s="43"/>
      <c r="J44" s="231"/>
      <c r="K44" s="231"/>
      <c r="L44" s="231"/>
      <c r="M44" s="231"/>
      <c r="N44" s="231"/>
      <c r="O44" s="231"/>
      <c r="P44" s="231"/>
      <c r="Q44" s="231"/>
      <c r="R44" s="231"/>
      <c r="S44" s="231"/>
      <c r="T44" s="231"/>
      <c r="U44" s="231"/>
      <c r="V44" s="231"/>
      <c r="W44" s="231"/>
      <c r="X44" s="231"/>
      <c r="Y44" s="231"/>
      <c r="Z44" s="231"/>
      <c r="AA44" s="231"/>
      <c r="AB44" s="231"/>
      <c r="AC44" s="231"/>
      <c r="AD44" s="231"/>
      <c r="AE44" s="231"/>
      <c r="AF44" s="231"/>
      <c r="AG44" s="231"/>
    </row>
    <row r="45" spans="1:33" s="203" customFormat="1">
      <c r="A45" s="46">
        <v>3</v>
      </c>
      <c r="B45" s="47" t="s">
        <v>68</v>
      </c>
      <c r="C45" s="47"/>
      <c r="D45" s="48"/>
      <c r="E45" s="49">
        <v>0</v>
      </c>
      <c r="F45" s="52">
        <v>0</v>
      </c>
      <c r="G45" s="45"/>
      <c r="H45" s="75">
        <v>0</v>
      </c>
      <c r="I45" s="43"/>
      <c r="J45" s="231"/>
      <c r="K45" s="231"/>
      <c r="L45" s="231"/>
      <c r="M45" s="231"/>
      <c r="N45" s="231"/>
      <c r="O45" s="231"/>
      <c r="P45" s="231"/>
      <c r="Q45" s="231"/>
      <c r="R45" s="231"/>
      <c r="S45" s="231"/>
      <c r="T45" s="231"/>
      <c r="U45" s="231"/>
      <c r="V45" s="231"/>
      <c r="W45" s="231"/>
      <c r="X45" s="231"/>
      <c r="Y45" s="231"/>
      <c r="Z45" s="231"/>
      <c r="AA45" s="231"/>
      <c r="AB45" s="231"/>
      <c r="AC45" s="231"/>
      <c r="AD45" s="231"/>
      <c r="AE45" s="231"/>
      <c r="AF45" s="231"/>
      <c r="AG45" s="231"/>
    </row>
    <row r="46" spans="1:33" s="203" customFormat="1">
      <c r="A46" s="46">
        <v>4</v>
      </c>
      <c r="B46" s="47" t="s">
        <v>70</v>
      </c>
      <c r="C46" s="47"/>
      <c r="D46" s="48"/>
      <c r="E46" s="49">
        <v>0</v>
      </c>
      <c r="F46" s="52">
        <v>0</v>
      </c>
      <c r="G46" s="45"/>
      <c r="H46" s="75">
        <v>0</v>
      </c>
      <c r="I46" s="43"/>
      <c r="J46" s="231"/>
      <c r="K46" s="231"/>
      <c r="L46" s="231"/>
      <c r="M46" s="231"/>
      <c r="N46" s="231"/>
      <c r="O46" s="231"/>
      <c r="P46" s="231"/>
      <c r="Q46" s="231"/>
      <c r="R46" s="231"/>
      <c r="S46" s="231"/>
      <c r="T46" s="231"/>
      <c r="U46" s="231"/>
      <c r="V46" s="231"/>
      <c r="W46" s="231"/>
      <c r="X46" s="231"/>
      <c r="Y46" s="231"/>
      <c r="Z46" s="231"/>
      <c r="AA46" s="231"/>
      <c r="AB46" s="231"/>
      <c r="AC46" s="231"/>
      <c r="AD46" s="231"/>
      <c r="AE46" s="231"/>
      <c r="AF46" s="231"/>
      <c r="AG46" s="231"/>
    </row>
    <row r="47" spans="1:33" s="203" customFormat="1">
      <c r="A47" s="46">
        <v>5</v>
      </c>
      <c r="B47" s="47" t="s">
        <v>69</v>
      </c>
      <c r="C47" s="47"/>
      <c r="D47" s="48"/>
      <c r="E47" s="49">
        <v>18205</v>
      </c>
      <c r="F47" s="52">
        <v>18736</v>
      </c>
      <c r="G47" s="45"/>
      <c r="H47" s="76">
        <v>33644</v>
      </c>
      <c r="I47" s="43"/>
      <c r="J47" s="231"/>
      <c r="K47" s="231"/>
      <c r="L47" s="231"/>
      <c r="M47" s="231"/>
      <c r="N47" s="231"/>
      <c r="O47" s="231"/>
      <c r="P47" s="231"/>
      <c r="Q47" s="231"/>
      <c r="R47" s="231"/>
      <c r="S47" s="231"/>
      <c r="T47" s="231"/>
      <c r="U47" s="231"/>
      <c r="V47" s="231"/>
      <c r="W47" s="231"/>
      <c r="X47" s="231"/>
      <c r="Y47" s="231"/>
      <c r="Z47" s="231"/>
      <c r="AA47" s="231"/>
      <c r="AB47" s="231"/>
      <c r="AC47" s="231"/>
      <c r="AD47" s="231"/>
      <c r="AE47" s="231"/>
      <c r="AF47" s="231"/>
      <c r="AG47" s="231"/>
    </row>
    <row r="48" spans="1:33" s="203" customFormat="1">
      <c r="A48" s="46">
        <v>6</v>
      </c>
      <c r="B48" s="90" t="s">
        <v>253</v>
      </c>
      <c r="C48" s="47"/>
      <c r="D48" s="195"/>
      <c r="E48" s="49">
        <v>112373</v>
      </c>
      <c r="F48" s="52">
        <v>113619</v>
      </c>
      <c r="G48" s="45"/>
      <c r="H48" s="52">
        <v>119968</v>
      </c>
      <c r="I48" s="43"/>
      <c r="J48" s="231"/>
      <c r="K48" s="231"/>
      <c r="L48" s="231"/>
      <c r="M48" s="231"/>
      <c r="N48" s="231"/>
      <c r="O48" s="231"/>
      <c r="P48" s="231"/>
      <c r="Q48" s="231"/>
      <c r="R48" s="231"/>
      <c r="S48" s="231"/>
      <c r="T48" s="231"/>
      <c r="U48" s="231"/>
      <c r="V48" s="231"/>
      <c r="W48" s="231"/>
      <c r="X48" s="231"/>
      <c r="Y48" s="231"/>
      <c r="Z48" s="231"/>
      <c r="AA48" s="231"/>
      <c r="AB48" s="231"/>
      <c r="AC48" s="231"/>
      <c r="AD48" s="231"/>
      <c r="AE48" s="231"/>
      <c r="AF48" s="231"/>
      <c r="AG48" s="231"/>
    </row>
    <row r="49" spans="1:33" s="203" customFormat="1">
      <c r="A49" s="77">
        <v>7</v>
      </c>
      <c r="B49" s="78" t="s">
        <v>71</v>
      </c>
      <c r="C49" s="58"/>
      <c r="D49" s="79"/>
      <c r="E49" s="80">
        <v>726553</v>
      </c>
      <c r="F49" s="81">
        <f>SUM(F43:F48)</f>
        <v>732930.99999999988</v>
      </c>
      <c r="G49" s="82"/>
      <c r="H49" s="62">
        <f>SUM(H43:H48)</f>
        <v>751939</v>
      </c>
      <c r="I49" s="242"/>
      <c r="J49" s="231"/>
      <c r="K49" s="231"/>
      <c r="L49" s="231"/>
      <c r="M49" s="231"/>
      <c r="N49" s="231"/>
      <c r="O49" s="231"/>
      <c r="P49" s="231"/>
      <c r="Q49" s="231"/>
      <c r="R49" s="231"/>
      <c r="S49" s="231"/>
      <c r="T49" s="231"/>
      <c r="U49" s="231"/>
      <c r="V49" s="231"/>
      <c r="W49" s="231"/>
      <c r="X49" s="231"/>
      <c r="Y49" s="231"/>
      <c r="Z49" s="231"/>
      <c r="AA49" s="231"/>
      <c r="AB49" s="231"/>
      <c r="AC49" s="231"/>
      <c r="AD49" s="231"/>
      <c r="AE49" s="231"/>
      <c r="AF49" s="231"/>
      <c r="AG49" s="231"/>
    </row>
    <row r="50" spans="1:33" s="203" customFormat="1">
      <c r="A50" s="83"/>
      <c r="B50" s="244"/>
      <c r="C50" s="244"/>
      <c r="D50" s="244"/>
      <c r="E50" s="85"/>
      <c r="F50" s="244"/>
      <c r="G50" s="86"/>
      <c r="H50" s="86"/>
      <c r="I50" s="21"/>
      <c r="J50" s="231"/>
      <c r="K50" s="231"/>
      <c r="L50" s="231"/>
      <c r="M50" s="231"/>
      <c r="N50" s="231"/>
      <c r="O50" s="231"/>
      <c r="P50" s="231"/>
      <c r="Q50" s="231"/>
      <c r="R50" s="231"/>
      <c r="S50" s="231"/>
      <c r="T50" s="231"/>
      <c r="U50" s="231"/>
      <c r="V50" s="231"/>
      <c r="W50" s="231"/>
      <c r="X50" s="231"/>
      <c r="Y50" s="231"/>
      <c r="Z50" s="231"/>
      <c r="AA50" s="231"/>
      <c r="AB50" s="231"/>
      <c r="AC50" s="231"/>
      <c r="AD50" s="231"/>
      <c r="AE50" s="231"/>
      <c r="AF50" s="231"/>
      <c r="AG50" s="231"/>
    </row>
    <row r="51" spans="1:33" s="203" customFormat="1">
      <c r="A51" s="814" t="s">
        <v>72</v>
      </c>
      <c r="B51" s="196" t="s">
        <v>254</v>
      </c>
      <c r="C51" s="69"/>
      <c r="D51" s="70"/>
      <c r="E51" s="87"/>
      <c r="F51" s="88"/>
      <c r="G51" s="45"/>
      <c r="H51" s="89"/>
      <c r="I51" s="43"/>
      <c r="J51" s="231"/>
      <c r="K51" s="231"/>
      <c r="L51" s="231"/>
      <c r="M51" s="231"/>
      <c r="N51" s="231"/>
      <c r="O51" s="231"/>
      <c r="P51" s="231"/>
      <c r="Q51" s="231"/>
      <c r="R51" s="231"/>
      <c r="S51" s="231"/>
      <c r="T51" s="231"/>
      <c r="U51" s="231"/>
      <c r="V51" s="231"/>
      <c r="W51" s="231"/>
      <c r="X51" s="231"/>
      <c r="Y51" s="231"/>
      <c r="Z51" s="231"/>
      <c r="AA51" s="231"/>
      <c r="AB51" s="231"/>
      <c r="AC51" s="231"/>
      <c r="AD51" s="231"/>
      <c r="AE51" s="231"/>
      <c r="AF51" s="231"/>
      <c r="AG51" s="231"/>
    </row>
    <row r="52" spans="1:33" s="203" customFormat="1">
      <c r="A52" s="46">
        <v>8</v>
      </c>
      <c r="B52" s="90" t="s">
        <v>73</v>
      </c>
      <c r="C52" s="47"/>
      <c r="D52" s="48"/>
      <c r="E52" s="74">
        <v>726553.26924422849</v>
      </c>
      <c r="F52" s="50">
        <f>F38</f>
        <v>746868</v>
      </c>
      <c r="G52" s="45"/>
      <c r="H52" s="91">
        <f>H38</f>
        <v>758564</v>
      </c>
      <c r="I52" s="43"/>
      <c r="J52" s="231"/>
      <c r="K52" s="231"/>
      <c r="L52" s="231"/>
      <c r="M52" s="231"/>
      <c r="N52" s="231"/>
      <c r="O52" s="231"/>
      <c r="P52" s="231"/>
      <c r="Q52" s="231"/>
      <c r="R52" s="231"/>
      <c r="S52" s="231"/>
      <c r="T52" s="231"/>
      <c r="U52" s="231"/>
      <c r="V52" s="231"/>
      <c r="W52" s="231"/>
      <c r="X52" s="231"/>
      <c r="Y52" s="231"/>
      <c r="Z52" s="231"/>
      <c r="AA52" s="231"/>
      <c r="AB52" s="231"/>
      <c r="AC52" s="231"/>
      <c r="AD52" s="231"/>
      <c r="AE52" s="231"/>
      <c r="AF52" s="231"/>
      <c r="AG52" s="231"/>
    </row>
    <row r="53" spans="1:33" s="203" customFormat="1">
      <c r="A53" s="46">
        <v>9</v>
      </c>
      <c r="B53" s="90" t="s">
        <v>74</v>
      </c>
      <c r="C53" s="47"/>
      <c r="D53" s="48"/>
      <c r="E53" s="49">
        <v>726553</v>
      </c>
      <c r="F53" s="92">
        <f>F49</f>
        <v>732930.99999999988</v>
      </c>
      <c r="G53" s="45"/>
      <c r="H53" s="91">
        <f>H49</f>
        <v>751939</v>
      </c>
      <c r="I53" s="43"/>
      <c r="J53" s="231"/>
      <c r="K53" s="231"/>
      <c r="L53" s="231"/>
      <c r="M53" s="231"/>
      <c r="N53" s="231"/>
      <c r="O53" s="231"/>
      <c r="P53" s="231"/>
      <c r="Q53" s="231"/>
      <c r="R53" s="231"/>
      <c r="S53" s="231"/>
      <c r="T53" s="231"/>
      <c r="U53" s="231"/>
      <c r="V53" s="231"/>
      <c r="W53" s="231"/>
      <c r="X53" s="231"/>
      <c r="Y53" s="231"/>
      <c r="Z53" s="231"/>
      <c r="AA53" s="231"/>
      <c r="AB53" s="231"/>
      <c r="AC53" s="231"/>
      <c r="AD53" s="231"/>
      <c r="AE53" s="231"/>
      <c r="AF53" s="231"/>
      <c r="AG53" s="231"/>
    </row>
    <row r="54" spans="1:33" s="203" customFormat="1">
      <c r="A54" s="816">
        <v>10</v>
      </c>
      <c r="B54" s="93" t="s">
        <v>255</v>
      </c>
      <c r="C54" s="94"/>
      <c r="D54" s="55"/>
      <c r="E54" s="95">
        <v>-0.26924422848969698</v>
      </c>
      <c r="F54" s="96">
        <f>F53-F52</f>
        <v>-13937.000000000116</v>
      </c>
      <c r="G54" s="45"/>
      <c r="H54" s="97">
        <f>H53-H52</f>
        <v>-6625</v>
      </c>
      <c r="I54" s="43"/>
      <c r="J54" s="231"/>
      <c r="K54" s="231"/>
      <c r="L54" s="231"/>
      <c r="M54" s="231"/>
      <c r="N54" s="231"/>
      <c r="O54" s="231"/>
      <c r="P54" s="231"/>
      <c r="Q54" s="231"/>
      <c r="R54" s="231"/>
      <c r="S54" s="231"/>
      <c r="T54" s="231"/>
      <c r="U54" s="231"/>
      <c r="V54" s="231"/>
      <c r="W54" s="231"/>
      <c r="X54" s="231"/>
      <c r="Y54" s="231"/>
      <c r="Z54" s="231"/>
      <c r="AA54" s="231"/>
      <c r="AB54" s="231"/>
      <c r="AC54" s="231"/>
      <c r="AD54" s="231"/>
      <c r="AE54" s="231"/>
      <c r="AF54" s="231"/>
      <c r="AG54" s="231"/>
    </row>
    <row r="55" spans="1:33" s="203" customFormat="1">
      <c r="A55" s="83"/>
      <c r="B55" s="244"/>
      <c r="C55" s="244"/>
      <c r="D55" s="244"/>
      <c r="E55" s="85"/>
      <c r="F55" s="244"/>
      <c r="G55" s="86"/>
      <c r="H55" s="86"/>
      <c r="I55" s="21"/>
      <c r="J55" s="231"/>
      <c r="K55" s="231"/>
      <c r="L55" s="231"/>
      <c r="M55" s="231"/>
      <c r="N55" s="231"/>
      <c r="O55" s="231"/>
      <c r="P55" s="231"/>
      <c r="Q55" s="231"/>
      <c r="R55" s="231"/>
      <c r="S55" s="231"/>
      <c r="T55" s="231"/>
      <c r="U55" s="231"/>
      <c r="V55" s="231"/>
      <c r="W55" s="231"/>
      <c r="X55" s="231"/>
      <c r="Y55" s="231"/>
      <c r="Z55" s="231"/>
      <c r="AA55" s="231"/>
      <c r="AB55" s="231"/>
      <c r="AC55" s="231"/>
      <c r="AD55" s="231"/>
      <c r="AE55" s="231"/>
      <c r="AF55" s="231"/>
      <c r="AG55" s="231"/>
    </row>
    <row r="56" spans="1:33" s="203" customFormat="1">
      <c r="A56" s="814" t="s">
        <v>75</v>
      </c>
      <c r="B56" s="69" t="s">
        <v>256</v>
      </c>
      <c r="C56" s="69"/>
      <c r="D56" s="70"/>
      <c r="E56" s="87"/>
      <c r="F56" s="88"/>
      <c r="G56" s="45"/>
      <c r="H56" s="89"/>
      <c r="I56" s="43"/>
      <c r="J56" s="231"/>
      <c r="K56" s="231"/>
      <c r="L56" s="231"/>
      <c r="M56" s="231"/>
      <c r="N56" s="231"/>
      <c r="O56" s="231"/>
      <c r="P56" s="231"/>
      <c r="Q56" s="231"/>
      <c r="R56" s="231"/>
      <c r="S56" s="231"/>
      <c r="T56" s="231"/>
      <c r="U56" s="231"/>
      <c r="V56" s="231"/>
      <c r="W56" s="231"/>
      <c r="X56" s="231"/>
      <c r="Y56" s="231"/>
      <c r="Z56" s="231"/>
      <c r="AA56" s="231"/>
      <c r="AB56" s="231"/>
      <c r="AC56" s="231"/>
      <c r="AD56" s="231"/>
      <c r="AE56" s="231"/>
      <c r="AF56" s="231"/>
      <c r="AG56" s="231"/>
    </row>
    <row r="57" spans="1:33" s="203" customFormat="1">
      <c r="A57" s="46">
        <v>11</v>
      </c>
      <c r="B57" s="47" t="s">
        <v>76</v>
      </c>
      <c r="C57" s="47"/>
      <c r="D57" s="48"/>
      <c r="E57" s="74">
        <v>43210.459159982624</v>
      </c>
      <c r="F57" s="52">
        <v>45103</v>
      </c>
      <c r="G57" s="45"/>
      <c r="H57" s="91">
        <f>F61</f>
        <v>33404.999999999884</v>
      </c>
      <c r="I57" s="43"/>
      <c r="J57" s="231"/>
      <c r="K57" s="231"/>
      <c r="L57" s="231"/>
      <c r="M57" s="231"/>
      <c r="N57" s="231"/>
      <c r="O57" s="231"/>
      <c r="P57" s="231"/>
      <c r="Q57" s="231"/>
      <c r="R57" s="231"/>
      <c r="S57" s="231"/>
      <c r="T57" s="231"/>
      <c r="U57" s="231"/>
      <c r="V57" s="231"/>
      <c r="W57" s="231"/>
      <c r="X57" s="231"/>
      <c r="Y57" s="231"/>
      <c r="Z57" s="231"/>
      <c r="AA57" s="231"/>
      <c r="AB57" s="231"/>
      <c r="AC57" s="231"/>
      <c r="AD57" s="231"/>
      <c r="AE57" s="231"/>
      <c r="AF57" s="231"/>
      <c r="AG57" s="231"/>
    </row>
    <row r="58" spans="1:33" s="203" customFormat="1">
      <c r="A58" s="46">
        <v>12</v>
      </c>
      <c r="B58" s="90" t="s">
        <v>257</v>
      </c>
      <c r="C58" s="47"/>
      <c r="D58" s="48"/>
      <c r="E58" s="49">
        <v>-0.26924422848969698</v>
      </c>
      <c r="F58" s="92">
        <f>F54</f>
        <v>-13937.000000000116</v>
      </c>
      <c r="G58" s="45"/>
      <c r="H58" s="98">
        <f>H54</f>
        <v>-6625</v>
      </c>
      <c r="I58" s="43"/>
      <c r="J58" s="231"/>
      <c r="K58" s="231"/>
      <c r="L58" s="231"/>
      <c r="M58" s="231"/>
      <c r="N58" s="231"/>
      <c r="O58" s="231"/>
      <c r="P58" s="231"/>
      <c r="Q58" s="231"/>
      <c r="R58" s="231"/>
      <c r="S58" s="231"/>
      <c r="T58" s="231"/>
      <c r="U58" s="231"/>
      <c r="V58" s="231"/>
      <c r="W58" s="231"/>
      <c r="X58" s="231"/>
      <c r="Y58" s="231"/>
      <c r="Z58" s="231"/>
      <c r="AA58" s="231"/>
      <c r="AB58" s="231"/>
      <c r="AC58" s="231"/>
      <c r="AD58" s="231"/>
      <c r="AE58" s="231"/>
      <c r="AF58" s="231"/>
      <c r="AG58" s="231"/>
    </row>
    <row r="59" spans="1:33" s="203" customFormat="1">
      <c r="A59" s="46">
        <v>13</v>
      </c>
      <c r="B59" s="47" t="s">
        <v>77</v>
      </c>
      <c r="C59" s="47"/>
      <c r="D59" s="48"/>
      <c r="E59" s="49">
        <v>0</v>
      </c>
      <c r="F59" s="52">
        <v>2000</v>
      </c>
      <c r="G59" s="45"/>
      <c r="H59" s="99">
        <v>1900</v>
      </c>
      <c r="I59" s="43"/>
      <c r="J59" s="231"/>
      <c r="K59" s="231"/>
      <c r="L59" s="231"/>
      <c r="M59" s="231"/>
      <c r="N59" s="231"/>
      <c r="O59" s="231"/>
      <c r="P59" s="231"/>
      <c r="Q59" s="231"/>
      <c r="R59" s="231"/>
      <c r="S59" s="231"/>
      <c r="T59" s="231"/>
      <c r="U59" s="231"/>
      <c r="V59" s="231"/>
      <c r="W59" s="231"/>
      <c r="X59" s="231"/>
      <c r="Y59" s="231"/>
      <c r="Z59" s="231"/>
      <c r="AA59" s="231"/>
      <c r="AB59" s="231"/>
      <c r="AC59" s="231"/>
      <c r="AD59" s="231"/>
      <c r="AE59" s="231"/>
      <c r="AF59" s="231"/>
      <c r="AG59" s="231"/>
    </row>
    <row r="60" spans="1:33" s="203" customFormat="1">
      <c r="A60" s="46">
        <v>14</v>
      </c>
      <c r="B60" s="47" t="s">
        <v>78</v>
      </c>
      <c r="C60" s="47"/>
      <c r="D60" s="48"/>
      <c r="E60" s="49">
        <v>0</v>
      </c>
      <c r="F60" s="52">
        <v>239</v>
      </c>
      <c r="G60" s="45"/>
      <c r="H60" s="100">
        <v>0</v>
      </c>
      <c r="I60" s="43"/>
      <c r="J60" s="231"/>
      <c r="K60" s="231"/>
      <c r="L60" s="231"/>
      <c r="M60" s="231"/>
      <c r="N60" s="231"/>
      <c r="O60" s="231"/>
      <c r="P60" s="231"/>
      <c r="Q60" s="231"/>
      <c r="R60" s="231"/>
      <c r="S60" s="231"/>
      <c r="T60" s="231"/>
      <c r="U60" s="231"/>
      <c r="V60" s="231"/>
      <c r="W60" s="231"/>
      <c r="X60" s="231"/>
      <c r="Y60" s="231"/>
      <c r="Z60" s="231"/>
      <c r="AA60" s="231"/>
      <c r="AB60" s="231"/>
      <c r="AC60" s="231"/>
      <c r="AD60" s="231"/>
      <c r="AE60" s="231"/>
      <c r="AF60" s="231"/>
      <c r="AG60" s="231"/>
    </row>
    <row r="61" spans="1:33" s="203" customFormat="1">
      <c r="A61" s="53">
        <v>15</v>
      </c>
      <c r="B61" s="54" t="s">
        <v>79</v>
      </c>
      <c r="C61" s="54"/>
      <c r="D61" s="55"/>
      <c r="E61" s="56">
        <v>43210.189915754134</v>
      </c>
      <c r="F61" s="96">
        <f>F57+F58+F59+F60</f>
        <v>33404.999999999884</v>
      </c>
      <c r="G61" s="45"/>
      <c r="H61" s="101">
        <f>H57+H58+H59+H60</f>
        <v>28679.999999999884</v>
      </c>
      <c r="I61" s="43"/>
      <c r="J61" s="231"/>
      <c r="K61" s="231"/>
      <c r="L61" s="231"/>
      <c r="M61" s="231"/>
      <c r="N61" s="231"/>
      <c r="O61" s="231"/>
      <c r="P61" s="231"/>
      <c r="Q61" s="231"/>
      <c r="R61" s="231"/>
      <c r="S61" s="231"/>
      <c r="T61" s="231"/>
      <c r="U61" s="231"/>
      <c r="V61" s="231"/>
      <c r="W61" s="231"/>
      <c r="X61" s="231"/>
      <c r="Y61" s="231"/>
      <c r="Z61" s="231"/>
      <c r="AA61" s="231"/>
      <c r="AB61" s="231"/>
      <c r="AC61" s="231"/>
      <c r="AD61" s="231"/>
      <c r="AE61" s="231"/>
      <c r="AF61" s="231"/>
      <c r="AG61" s="231"/>
    </row>
    <row r="62" spans="1:33" s="203" customFormat="1">
      <c r="A62" s="102"/>
      <c r="B62" s="207"/>
      <c r="C62" s="207"/>
      <c r="D62" s="207"/>
      <c r="E62" s="103"/>
      <c r="F62" s="21"/>
      <c r="G62" s="21"/>
      <c r="H62" s="21"/>
      <c r="I62" s="21"/>
      <c r="J62" s="231"/>
      <c r="K62" s="231"/>
      <c r="L62" s="231"/>
      <c r="M62" s="231"/>
      <c r="N62" s="231"/>
      <c r="O62" s="231"/>
      <c r="P62" s="231"/>
      <c r="Q62" s="231"/>
      <c r="R62" s="231"/>
      <c r="S62" s="231"/>
      <c r="T62" s="231"/>
      <c r="U62" s="231"/>
      <c r="V62" s="231"/>
      <c r="W62" s="231"/>
      <c r="X62" s="231"/>
      <c r="Y62" s="231"/>
      <c r="Z62" s="231"/>
      <c r="AA62" s="231"/>
      <c r="AB62" s="231"/>
      <c r="AC62" s="231"/>
      <c r="AD62" s="231"/>
      <c r="AE62" s="231"/>
      <c r="AF62" s="231"/>
      <c r="AG62" s="231"/>
    </row>
    <row r="63" spans="1:33" s="203" customFormat="1" ht="12.75" customHeight="1">
      <c r="A63" s="23"/>
      <c r="B63" s="207"/>
      <c r="C63" s="207"/>
      <c r="D63" s="207"/>
      <c r="E63" s="15"/>
      <c r="F63" s="207"/>
      <c r="G63" s="207"/>
      <c r="H63" s="21"/>
      <c r="I63" s="21"/>
      <c r="J63" s="231"/>
      <c r="K63" s="231"/>
      <c r="L63" s="231"/>
      <c r="M63" s="231"/>
      <c r="N63" s="231"/>
      <c r="O63" s="231"/>
      <c r="P63" s="231"/>
      <c r="Q63" s="231"/>
      <c r="R63" s="231"/>
      <c r="S63" s="231"/>
      <c r="T63" s="231"/>
      <c r="U63" s="231"/>
      <c r="V63" s="231"/>
      <c r="W63" s="231"/>
      <c r="X63" s="231"/>
      <c r="Y63" s="231"/>
      <c r="Z63" s="231"/>
      <c r="AA63" s="231"/>
      <c r="AB63" s="231"/>
      <c r="AC63" s="231"/>
      <c r="AD63" s="231"/>
      <c r="AE63" s="231"/>
      <c r="AF63" s="231"/>
      <c r="AG63" s="231"/>
    </row>
    <row r="64" spans="1:33" s="203" customFormat="1" ht="15">
      <c r="A64" s="104" t="s">
        <v>80</v>
      </c>
      <c r="B64" s="29"/>
      <c r="C64" s="29"/>
      <c r="D64" s="29"/>
      <c r="E64" s="15"/>
      <c r="F64" s="29"/>
      <c r="G64" s="29"/>
      <c r="H64" s="29"/>
      <c r="I64" s="29"/>
      <c r="J64" s="231"/>
      <c r="K64" s="231"/>
      <c r="L64" s="231"/>
      <c r="M64" s="231"/>
      <c r="N64" s="231"/>
      <c r="O64" s="231"/>
      <c r="P64" s="231"/>
      <c r="Q64" s="231"/>
      <c r="R64" s="231"/>
      <c r="S64" s="231"/>
      <c r="T64" s="231"/>
      <c r="U64" s="231"/>
      <c r="V64" s="231"/>
      <c r="W64" s="231"/>
      <c r="X64" s="231"/>
      <c r="Y64" s="231"/>
      <c r="Z64" s="231"/>
      <c r="AA64" s="231"/>
      <c r="AB64" s="231"/>
      <c r="AC64" s="231"/>
      <c r="AD64" s="231"/>
      <c r="AE64" s="231"/>
      <c r="AF64" s="231"/>
      <c r="AG64" s="231"/>
    </row>
    <row r="65" spans="1:33" s="203" customFormat="1">
      <c r="A65" s="32"/>
      <c r="B65" s="29"/>
      <c r="C65" s="29"/>
      <c r="D65" s="29"/>
      <c r="E65" s="105"/>
      <c r="F65" s="29"/>
      <c r="G65" s="29"/>
      <c r="H65" s="29"/>
      <c r="I65" s="131" t="s">
        <v>27</v>
      </c>
      <c r="J65" s="231"/>
      <c r="K65" s="231"/>
      <c r="L65" s="231"/>
      <c r="M65" s="231"/>
      <c r="N65" s="231"/>
      <c r="O65" s="231"/>
      <c r="P65" s="231"/>
      <c r="Q65" s="231"/>
      <c r="R65" s="231"/>
      <c r="S65" s="231"/>
      <c r="T65" s="231"/>
      <c r="U65" s="231"/>
      <c r="V65" s="231"/>
      <c r="W65" s="231"/>
      <c r="X65" s="231"/>
      <c r="Y65" s="231"/>
      <c r="Z65" s="231"/>
      <c r="AA65" s="231"/>
      <c r="AB65" s="231"/>
      <c r="AC65" s="231"/>
      <c r="AD65" s="231"/>
      <c r="AE65" s="231"/>
      <c r="AF65" s="231"/>
      <c r="AG65" s="231"/>
    </row>
    <row r="66" spans="1:33" s="203" customFormat="1">
      <c r="A66" s="106" t="s">
        <v>14</v>
      </c>
      <c r="B66" s="107"/>
      <c r="C66" s="107"/>
      <c r="D66" s="107"/>
      <c r="E66" s="856" t="s">
        <v>377</v>
      </c>
      <c r="F66" s="962" t="s">
        <v>402</v>
      </c>
      <c r="G66" s="867" t="s">
        <v>81</v>
      </c>
      <c r="H66" s="962" t="s">
        <v>403</v>
      </c>
      <c r="I66" s="867" t="s">
        <v>81</v>
      </c>
      <c r="J66" s="231"/>
      <c r="K66" s="231"/>
      <c r="L66" s="231"/>
      <c r="M66" s="231"/>
      <c r="N66" s="231"/>
      <c r="O66" s="231"/>
      <c r="P66" s="231"/>
      <c r="Q66" s="231"/>
      <c r="R66" s="231"/>
      <c r="S66" s="231"/>
      <c r="T66" s="231"/>
      <c r="U66" s="231"/>
      <c r="V66" s="231"/>
      <c r="W66" s="231"/>
      <c r="X66" s="231"/>
      <c r="Y66" s="231"/>
      <c r="Z66" s="231"/>
      <c r="AA66" s="231"/>
      <c r="AB66" s="231"/>
      <c r="AC66" s="231"/>
      <c r="AD66" s="231"/>
      <c r="AE66" s="231"/>
      <c r="AF66" s="231"/>
      <c r="AG66" s="231"/>
    </row>
    <row r="67" spans="1:33" s="203" customFormat="1" ht="21" customHeight="1">
      <c r="A67" s="108"/>
      <c r="B67" s="47"/>
      <c r="C67" s="47"/>
      <c r="D67" s="47"/>
      <c r="E67" s="859"/>
      <c r="F67" s="963"/>
      <c r="G67" s="868"/>
      <c r="H67" s="963"/>
      <c r="I67" s="868"/>
      <c r="J67" s="231"/>
      <c r="K67" s="231"/>
      <c r="L67" s="231"/>
      <c r="M67" s="231"/>
      <c r="N67" s="231"/>
      <c r="O67" s="231"/>
      <c r="P67" s="231"/>
      <c r="Q67" s="231"/>
      <c r="R67" s="231"/>
      <c r="S67" s="231"/>
      <c r="T67" s="231"/>
      <c r="U67" s="231"/>
      <c r="V67" s="231"/>
      <c r="W67" s="231"/>
      <c r="X67" s="231"/>
      <c r="Y67" s="231"/>
      <c r="Z67" s="231"/>
      <c r="AA67" s="231"/>
      <c r="AB67" s="231"/>
      <c r="AC67" s="231"/>
      <c r="AD67" s="231"/>
      <c r="AE67" s="231"/>
      <c r="AF67" s="231"/>
      <c r="AG67" s="231"/>
    </row>
    <row r="68" spans="1:33" s="203" customFormat="1">
      <c r="A68" s="109" t="s">
        <v>82</v>
      </c>
      <c r="B68" s="47"/>
      <c r="C68" s="47"/>
      <c r="D68" s="47"/>
      <c r="E68" s="859"/>
      <c r="F68" s="963"/>
      <c r="G68" s="868"/>
      <c r="H68" s="963"/>
      <c r="I68" s="868"/>
      <c r="J68" s="231"/>
      <c r="K68" s="231"/>
      <c r="L68" s="231"/>
      <c r="M68" s="231"/>
      <c r="N68" s="231"/>
      <c r="O68" s="231"/>
      <c r="P68" s="231"/>
      <c r="Q68" s="231"/>
      <c r="R68" s="231"/>
      <c r="S68" s="231"/>
      <c r="T68" s="231"/>
      <c r="U68" s="231"/>
      <c r="V68" s="231"/>
      <c r="W68" s="231"/>
      <c r="X68" s="231"/>
      <c r="Y68" s="231"/>
      <c r="Z68" s="231"/>
      <c r="AA68" s="231"/>
      <c r="AB68" s="231"/>
      <c r="AC68" s="231"/>
      <c r="AD68" s="231"/>
      <c r="AE68" s="231"/>
      <c r="AF68" s="231"/>
      <c r="AG68" s="231"/>
    </row>
    <row r="69" spans="1:33" s="203" customFormat="1">
      <c r="A69" s="109" t="s">
        <v>83</v>
      </c>
      <c r="B69" s="47"/>
      <c r="C69" s="47"/>
      <c r="D69" s="47"/>
      <c r="E69" s="859"/>
      <c r="F69" s="963"/>
      <c r="G69" s="868"/>
      <c r="H69" s="963"/>
      <c r="I69" s="868"/>
      <c r="J69" s="231"/>
      <c r="K69" s="231"/>
      <c r="L69" s="231"/>
      <c r="M69" s="231"/>
      <c r="N69" s="231"/>
      <c r="O69" s="231"/>
      <c r="P69" s="231"/>
      <c r="Q69" s="231"/>
      <c r="R69" s="231"/>
      <c r="S69" s="231"/>
      <c r="T69" s="231"/>
      <c r="U69" s="231"/>
      <c r="V69" s="231"/>
      <c r="W69" s="231"/>
      <c r="X69" s="231"/>
      <c r="Y69" s="231"/>
      <c r="Z69" s="231"/>
      <c r="AA69" s="231"/>
      <c r="AB69" s="231"/>
      <c r="AC69" s="231"/>
      <c r="AD69" s="231"/>
      <c r="AE69" s="231"/>
      <c r="AF69" s="231"/>
      <c r="AG69" s="231"/>
    </row>
    <row r="70" spans="1:33" s="203" customFormat="1">
      <c r="A70" s="110" t="s">
        <v>84</v>
      </c>
      <c r="B70" s="47"/>
      <c r="C70" s="47"/>
      <c r="D70" s="47"/>
      <c r="E70" s="860"/>
      <c r="F70" s="964"/>
      <c r="G70" s="869"/>
      <c r="H70" s="964"/>
      <c r="I70" s="869"/>
      <c r="J70" s="231"/>
      <c r="K70" s="231"/>
      <c r="L70" s="231"/>
      <c r="M70" s="231"/>
      <c r="N70" s="231"/>
      <c r="O70" s="231"/>
      <c r="P70" s="231"/>
      <c r="Q70" s="231"/>
      <c r="R70" s="231"/>
      <c r="S70" s="231"/>
      <c r="T70" s="231"/>
      <c r="U70" s="231"/>
      <c r="V70" s="231"/>
      <c r="W70" s="231"/>
      <c r="X70" s="231"/>
      <c r="Y70" s="231"/>
      <c r="Z70" s="231"/>
      <c r="AA70" s="231"/>
      <c r="AB70" s="231"/>
      <c r="AC70" s="231"/>
      <c r="AD70" s="231"/>
      <c r="AE70" s="231"/>
      <c r="AF70" s="231"/>
      <c r="AG70" s="231"/>
    </row>
    <row r="71" spans="1:33" s="203" customFormat="1">
      <c r="A71" s="111">
        <v>1</v>
      </c>
      <c r="B71" s="47" t="s">
        <v>85</v>
      </c>
      <c r="C71" s="47"/>
      <c r="D71" s="47"/>
      <c r="E71" s="41">
        <v>32511.085831542088</v>
      </c>
      <c r="F71" s="52">
        <v>30077</v>
      </c>
      <c r="G71" s="52">
        <v>20536</v>
      </c>
      <c r="H71" s="248">
        <v>48784</v>
      </c>
      <c r="I71" s="112">
        <v>20699</v>
      </c>
      <c r="J71" s="231"/>
      <c r="K71" s="231"/>
      <c r="L71" s="231"/>
      <c r="M71" s="231"/>
      <c r="N71" s="231"/>
      <c r="O71" s="231"/>
      <c r="P71" s="231"/>
      <c r="Q71" s="231"/>
      <c r="R71" s="231"/>
      <c r="S71" s="231"/>
      <c r="T71" s="231"/>
      <c r="U71" s="231"/>
      <c r="V71" s="231"/>
      <c r="W71" s="231"/>
      <c r="X71" s="231"/>
      <c r="Y71" s="231"/>
      <c r="Z71" s="231"/>
      <c r="AA71" s="231"/>
      <c r="AB71" s="231"/>
      <c r="AC71" s="231"/>
      <c r="AD71" s="231"/>
      <c r="AE71" s="231"/>
      <c r="AF71" s="231"/>
      <c r="AG71" s="231"/>
    </row>
    <row r="72" spans="1:33" s="203" customFormat="1">
      <c r="A72" s="111">
        <v>2</v>
      </c>
      <c r="B72" s="47" t="s">
        <v>86</v>
      </c>
      <c r="C72" s="47"/>
      <c r="D72" s="47"/>
      <c r="E72" s="49">
        <v>152539</v>
      </c>
      <c r="F72" s="52">
        <v>138832</v>
      </c>
      <c r="G72" s="52">
        <v>123887</v>
      </c>
      <c r="H72" s="123">
        <v>142541</v>
      </c>
      <c r="I72" s="113">
        <v>121866</v>
      </c>
      <c r="J72" s="231"/>
      <c r="K72" s="231"/>
      <c r="L72" s="231"/>
      <c r="M72" s="231"/>
      <c r="N72" s="231"/>
      <c r="O72" s="231"/>
      <c r="P72" s="231"/>
      <c r="Q72" s="231"/>
      <c r="R72" s="231"/>
      <c r="S72" s="231"/>
      <c r="T72" s="231"/>
      <c r="U72" s="231"/>
      <c r="V72" s="231"/>
      <c r="W72" s="231"/>
      <c r="X72" s="231"/>
      <c r="Y72" s="231"/>
      <c r="Z72" s="231"/>
      <c r="AA72" s="231"/>
      <c r="AB72" s="231"/>
      <c r="AC72" s="231"/>
      <c r="AD72" s="231"/>
      <c r="AE72" s="231"/>
      <c r="AF72" s="231"/>
      <c r="AG72" s="231"/>
    </row>
    <row r="73" spans="1:33" s="203" customFormat="1">
      <c r="A73" s="111">
        <v>3</v>
      </c>
      <c r="B73" s="47" t="s">
        <v>87</v>
      </c>
      <c r="C73" s="47"/>
      <c r="D73" s="47"/>
      <c r="E73" s="114">
        <v>138417</v>
      </c>
      <c r="F73" s="52">
        <v>134008</v>
      </c>
      <c r="G73" s="52">
        <v>116962</v>
      </c>
      <c r="H73" s="123">
        <v>131377</v>
      </c>
      <c r="I73" s="113">
        <v>115889</v>
      </c>
      <c r="J73" s="231"/>
      <c r="K73" s="231"/>
      <c r="L73" s="231"/>
      <c r="M73" s="231"/>
      <c r="N73" s="231"/>
      <c r="O73" s="231"/>
      <c r="P73" s="231"/>
      <c r="Q73" s="231"/>
      <c r="R73" s="231"/>
      <c r="S73" s="231"/>
      <c r="T73" s="231"/>
      <c r="U73" s="231"/>
      <c r="V73" s="231"/>
      <c r="W73" s="231"/>
      <c r="X73" s="231"/>
      <c r="Y73" s="231"/>
      <c r="Z73" s="231"/>
      <c r="AA73" s="231"/>
      <c r="AB73" s="231"/>
      <c r="AC73" s="231"/>
      <c r="AD73" s="231"/>
      <c r="AE73" s="231"/>
      <c r="AF73" s="231"/>
      <c r="AG73" s="231"/>
    </row>
    <row r="74" spans="1:33" s="203" customFormat="1">
      <c r="A74" s="111">
        <v>4</v>
      </c>
      <c r="B74" s="47" t="s">
        <v>88</v>
      </c>
      <c r="C74" s="47"/>
      <c r="D74" s="47"/>
      <c r="E74" s="114">
        <v>29623.706521354314</v>
      </c>
      <c r="F74" s="52">
        <v>36472</v>
      </c>
      <c r="G74" s="52">
        <v>17449</v>
      </c>
      <c r="H74" s="123">
        <v>34862</v>
      </c>
      <c r="I74" s="113">
        <v>17309</v>
      </c>
      <c r="J74" s="231"/>
      <c r="K74" s="231"/>
      <c r="L74" s="231"/>
      <c r="M74" s="231"/>
      <c r="N74" s="231"/>
      <c r="O74" s="231"/>
      <c r="P74" s="231"/>
      <c r="Q74" s="231"/>
      <c r="R74" s="231"/>
      <c r="S74" s="231"/>
      <c r="T74" s="231"/>
      <c r="U74" s="231"/>
      <c r="V74" s="231"/>
      <c r="W74" s="231"/>
      <c r="X74" s="231"/>
      <c r="Y74" s="231"/>
      <c r="Z74" s="231"/>
      <c r="AA74" s="231"/>
      <c r="AB74" s="231"/>
      <c r="AC74" s="231"/>
      <c r="AD74" s="231"/>
      <c r="AE74" s="231"/>
      <c r="AF74" s="231"/>
      <c r="AG74" s="231"/>
    </row>
    <row r="75" spans="1:33" s="203" customFormat="1">
      <c r="A75" s="111">
        <v>5</v>
      </c>
      <c r="B75" s="47" t="s">
        <v>89</v>
      </c>
      <c r="C75" s="47" t="s">
        <v>90</v>
      </c>
      <c r="D75" s="47"/>
      <c r="E75" s="114">
        <v>8887.8450391104852</v>
      </c>
      <c r="F75" s="52">
        <v>8650</v>
      </c>
      <c r="G75" s="52">
        <v>0</v>
      </c>
      <c r="H75" s="123">
        <v>7701</v>
      </c>
      <c r="I75" s="113">
        <v>0</v>
      </c>
      <c r="J75" s="231"/>
      <c r="K75" s="231"/>
      <c r="L75" s="231"/>
      <c r="M75" s="231"/>
      <c r="N75" s="231"/>
      <c r="O75" s="231"/>
      <c r="P75" s="231"/>
      <c r="Q75" s="231"/>
      <c r="R75" s="231"/>
      <c r="S75" s="231"/>
      <c r="T75" s="231"/>
      <c r="U75" s="231"/>
      <c r="V75" s="231"/>
      <c r="W75" s="231"/>
      <c r="X75" s="231"/>
      <c r="Y75" s="231"/>
      <c r="Z75" s="231"/>
      <c r="AA75" s="231"/>
      <c r="AB75" s="231"/>
      <c r="AC75" s="231"/>
      <c r="AD75" s="231"/>
      <c r="AE75" s="231"/>
      <c r="AF75" s="231"/>
      <c r="AG75" s="231"/>
    </row>
    <row r="76" spans="1:33" s="203" customFormat="1">
      <c r="A76" s="815"/>
      <c r="B76" s="817"/>
      <c r="C76" s="47" t="s">
        <v>91</v>
      </c>
      <c r="D76" s="47"/>
      <c r="E76" s="114">
        <v>573.54200000000003</v>
      </c>
      <c r="F76" s="52">
        <v>587</v>
      </c>
      <c r="G76" s="52">
        <v>0</v>
      </c>
      <c r="H76" s="249">
        <v>584</v>
      </c>
      <c r="I76" s="115">
        <v>0</v>
      </c>
      <c r="J76" s="231"/>
      <c r="K76" s="231"/>
      <c r="L76" s="231"/>
      <c r="M76" s="231"/>
      <c r="N76" s="231"/>
      <c r="O76" s="231"/>
      <c r="P76" s="231"/>
      <c r="Q76" s="231"/>
      <c r="R76" s="231"/>
      <c r="S76" s="231"/>
      <c r="T76" s="231"/>
      <c r="U76" s="231"/>
      <c r="V76" s="231"/>
      <c r="W76" s="231"/>
      <c r="X76" s="231"/>
      <c r="Y76" s="231"/>
      <c r="Z76" s="231"/>
      <c r="AA76" s="231"/>
      <c r="AB76" s="231"/>
      <c r="AC76" s="231"/>
      <c r="AD76" s="231"/>
      <c r="AE76" s="231"/>
      <c r="AF76" s="231"/>
      <c r="AG76" s="231"/>
    </row>
    <row r="77" spans="1:33" s="203" customFormat="1">
      <c r="A77" s="111">
        <v>6</v>
      </c>
      <c r="B77" s="116" t="s">
        <v>92</v>
      </c>
      <c r="C77" s="116"/>
      <c r="D77" s="47"/>
      <c r="E77" s="80">
        <v>362552.17939200695</v>
      </c>
      <c r="F77" s="250">
        <f>SUM(F71:F76)</f>
        <v>348626</v>
      </c>
      <c r="G77" s="251">
        <f>SUM(G71:G76)</f>
        <v>278834</v>
      </c>
      <c r="H77" s="252">
        <f>SUM(H71:H76)</f>
        <v>365849</v>
      </c>
      <c r="I77" s="251">
        <f>SUM(I71:I76)</f>
        <v>275763</v>
      </c>
      <c r="J77" s="231"/>
      <c r="K77" s="231"/>
      <c r="L77" s="231"/>
      <c r="M77" s="231"/>
      <c r="N77" s="231"/>
      <c r="O77" s="231"/>
      <c r="P77" s="231"/>
      <c r="Q77" s="231"/>
      <c r="R77" s="231"/>
      <c r="S77" s="231"/>
      <c r="T77" s="231"/>
      <c r="U77" s="231"/>
      <c r="V77" s="231"/>
      <c r="W77" s="231"/>
      <c r="X77" s="231"/>
      <c r="Y77" s="231"/>
      <c r="Z77" s="231"/>
      <c r="AA77" s="231"/>
      <c r="AB77" s="231"/>
      <c r="AC77" s="231"/>
      <c r="AD77" s="231"/>
      <c r="AE77" s="231"/>
      <c r="AF77" s="231"/>
      <c r="AG77" s="231"/>
    </row>
    <row r="78" spans="1:33" s="203" customFormat="1">
      <c r="A78" s="815"/>
      <c r="B78" s="47"/>
      <c r="C78" s="47"/>
      <c r="D78" s="47"/>
      <c r="E78" s="117"/>
      <c r="F78" s="118"/>
      <c r="G78" s="118"/>
      <c r="H78" s="118"/>
      <c r="I78" s="118"/>
      <c r="J78" s="231"/>
      <c r="K78" s="231"/>
      <c r="L78" s="231"/>
      <c r="M78" s="231"/>
      <c r="N78" s="231"/>
      <c r="O78" s="231"/>
      <c r="P78" s="231"/>
      <c r="Q78" s="231"/>
      <c r="R78" s="231"/>
      <c r="S78" s="231"/>
      <c r="T78" s="231"/>
      <c r="U78" s="231"/>
      <c r="V78" s="231"/>
      <c r="W78" s="231"/>
      <c r="X78" s="231"/>
      <c r="Y78" s="231"/>
      <c r="Z78" s="231"/>
      <c r="AA78" s="231"/>
      <c r="AB78" s="231"/>
      <c r="AC78" s="231"/>
      <c r="AD78" s="231"/>
      <c r="AE78" s="231"/>
      <c r="AF78" s="231"/>
      <c r="AG78" s="231"/>
    </row>
    <row r="79" spans="1:33" s="203" customFormat="1">
      <c r="A79" s="119" t="s">
        <v>93</v>
      </c>
      <c r="B79" s="116"/>
      <c r="C79" s="116"/>
      <c r="D79" s="116"/>
      <c r="E79" s="117"/>
      <c r="F79" s="118"/>
      <c r="G79" s="118"/>
      <c r="H79" s="118"/>
      <c r="I79" s="118"/>
      <c r="J79" s="231"/>
      <c r="K79" s="231"/>
      <c r="L79" s="231"/>
      <c r="M79" s="231"/>
      <c r="N79" s="231"/>
      <c r="O79" s="231"/>
      <c r="P79" s="231"/>
      <c r="Q79" s="231"/>
      <c r="R79" s="231"/>
      <c r="S79" s="231"/>
      <c r="T79" s="231"/>
      <c r="U79" s="231"/>
      <c r="V79" s="231"/>
      <c r="W79" s="231"/>
      <c r="X79" s="231"/>
      <c r="Y79" s="231"/>
      <c r="Z79" s="231"/>
      <c r="AA79" s="231"/>
      <c r="AB79" s="231"/>
      <c r="AC79" s="231"/>
      <c r="AD79" s="231"/>
      <c r="AE79" s="231"/>
      <c r="AF79" s="231"/>
      <c r="AG79" s="231"/>
    </row>
    <row r="80" spans="1:33" s="203" customFormat="1">
      <c r="A80" s="120">
        <v>7</v>
      </c>
      <c r="B80" s="47" t="s">
        <v>94</v>
      </c>
      <c r="C80" s="47"/>
      <c r="D80" s="47"/>
      <c r="E80" s="41">
        <v>3864.2090745559849</v>
      </c>
      <c r="F80" s="253">
        <v>3482</v>
      </c>
      <c r="G80" s="112">
        <v>3017</v>
      </c>
      <c r="H80" s="248">
        <v>4187</v>
      </c>
      <c r="I80" s="112">
        <v>3004</v>
      </c>
      <c r="J80" s="231"/>
      <c r="K80" s="231"/>
      <c r="L80" s="231"/>
      <c r="M80" s="231"/>
      <c r="N80" s="231"/>
      <c r="O80" s="231"/>
      <c r="P80" s="231"/>
      <c r="Q80" s="231"/>
      <c r="R80" s="231"/>
      <c r="S80" s="231"/>
      <c r="T80" s="231"/>
      <c r="U80" s="231"/>
      <c r="V80" s="231"/>
      <c r="W80" s="231"/>
      <c r="X80" s="231"/>
      <c r="Y80" s="231"/>
      <c r="Z80" s="231"/>
      <c r="AA80" s="231"/>
      <c r="AB80" s="231"/>
      <c r="AC80" s="231"/>
      <c r="AD80" s="231"/>
      <c r="AE80" s="231"/>
      <c r="AF80" s="231"/>
      <c r="AG80" s="231"/>
    </row>
    <row r="81" spans="1:33" s="203" customFormat="1">
      <c r="A81" s="120">
        <v>8</v>
      </c>
      <c r="B81" s="47" t="s">
        <v>95</v>
      </c>
      <c r="C81" s="47"/>
      <c r="D81" s="47"/>
      <c r="E81" s="49">
        <v>77998.998588697286</v>
      </c>
      <c r="F81" s="247">
        <v>80501</v>
      </c>
      <c r="G81" s="113">
        <v>79738</v>
      </c>
      <c r="H81" s="123">
        <v>77601</v>
      </c>
      <c r="I81" s="113">
        <v>73748</v>
      </c>
      <c r="J81" s="231"/>
      <c r="K81" s="231"/>
      <c r="L81" s="231"/>
      <c r="M81" s="231"/>
      <c r="N81" s="231"/>
      <c r="O81" s="231"/>
      <c r="P81" s="231"/>
      <c r="Q81" s="231"/>
      <c r="R81" s="231"/>
      <c r="S81" s="231"/>
      <c r="T81" s="231"/>
      <c r="U81" s="231"/>
      <c r="V81" s="231"/>
      <c r="W81" s="231"/>
      <c r="X81" s="231"/>
      <c r="Y81" s="231"/>
      <c r="Z81" s="231"/>
      <c r="AA81" s="231"/>
      <c r="AB81" s="231"/>
      <c r="AC81" s="231"/>
      <c r="AD81" s="231"/>
      <c r="AE81" s="231"/>
      <c r="AF81" s="231"/>
      <c r="AG81" s="231"/>
    </row>
    <row r="82" spans="1:33" s="203" customFormat="1">
      <c r="A82" s="120">
        <v>9</v>
      </c>
      <c r="B82" s="47" t="s">
        <v>96</v>
      </c>
      <c r="C82" s="47"/>
      <c r="D82" s="47"/>
      <c r="E82" s="49">
        <v>86477.313738557845</v>
      </c>
      <c r="F82" s="247">
        <v>89960</v>
      </c>
      <c r="G82" s="113">
        <v>80851</v>
      </c>
      <c r="H82" s="123">
        <v>87320</v>
      </c>
      <c r="I82" s="113">
        <v>77393</v>
      </c>
      <c r="J82" s="231"/>
      <c r="K82" s="231"/>
      <c r="L82" s="231"/>
      <c r="M82" s="231"/>
      <c r="N82" s="231"/>
      <c r="O82" s="231"/>
      <c r="P82" s="231"/>
      <c r="Q82" s="231"/>
      <c r="R82" s="231"/>
      <c r="S82" s="231"/>
      <c r="T82" s="231"/>
      <c r="U82" s="231"/>
      <c r="V82" s="231"/>
      <c r="W82" s="231"/>
      <c r="X82" s="231"/>
      <c r="Y82" s="231"/>
      <c r="Z82" s="231"/>
      <c r="AA82" s="231"/>
      <c r="AB82" s="231"/>
      <c r="AC82" s="231"/>
      <c r="AD82" s="231"/>
      <c r="AE82" s="231"/>
      <c r="AF82" s="231"/>
      <c r="AG82" s="231"/>
    </row>
    <row r="83" spans="1:33" s="203" customFormat="1">
      <c r="A83" s="120">
        <v>10</v>
      </c>
      <c r="B83" s="90" t="s">
        <v>97</v>
      </c>
      <c r="C83" s="47"/>
      <c r="D83" s="47"/>
      <c r="E83" s="49">
        <v>38422.883122882769</v>
      </c>
      <c r="F83" s="247">
        <v>38457</v>
      </c>
      <c r="G83" s="113">
        <v>29179</v>
      </c>
      <c r="H83" s="123">
        <v>38273</v>
      </c>
      <c r="I83" s="113">
        <v>29179</v>
      </c>
      <c r="J83" s="231"/>
      <c r="K83" s="231"/>
      <c r="L83" s="231"/>
      <c r="M83" s="231"/>
      <c r="N83" s="231"/>
      <c r="O83" s="231"/>
      <c r="P83" s="231"/>
      <c r="Q83" s="231"/>
      <c r="R83" s="231"/>
      <c r="S83" s="231"/>
      <c r="T83" s="231"/>
      <c r="U83" s="231"/>
      <c r="V83" s="231"/>
      <c r="W83" s="231"/>
      <c r="X83" s="231"/>
      <c r="Y83" s="231"/>
      <c r="Z83" s="231"/>
      <c r="AA83" s="231"/>
      <c r="AB83" s="231"/>
      <c r="AC83" s="231"/>
      <c r="AD83" s="231"/>
      <c r="AE83" s="231"/>
      <c r="AF83" s="231"/>
      <c r="AG83" s="231"/>
    </row>
    <row r="84" spans="1:33" s="203" customFormat="1">
      <c r="A84" s="120">
        <v>11</v>
      </c>
      <c r="B84" s="90" t="s">
        <v>98</v>
      </c>
      <c r="C84" s="47"/>
      <c r="D84" s="47"/>
      <c r="E84" s="49">
        <v>10533.918</v>
      </c>
      <c r="F84" s="247">
        <v>11198</v>
      </c>
      <c r="G84" s="113">
        <v>38457</v>
      </c>
      <c r="H84" s="123">
        <v>10871</v>
      </c>
      <c r="I84" s="113">
        <v>38273</v>
      </c>
      <c r="J84" s="231"/>
      <c r="K84" s="231"/>
      <c r="L84" s="231"/>
      <c r="M84" s="231"/>
      <c r="N84" s="231"/>
      <c r="O84" s="231"/>
      <c r="P84" s="231"/>
      <c r="Q84" s="231"/>
      <c r="R84" s="231"/>
      <c r="S84" s="231"/>
      <c r="T84" s="231"/>
      <c r="U84" s="231"/>
      <c r="V84" s="231"/>
      <c r="W84" s="231"/>
      <c r="X84" s="231"/>
      <c r="Y84" s="231"/>
      <c r="Z84" s="231"/>
      <c r="AA84" s="231"/>
      <c r="AB84" s="231"/>
      <c r="AC84" s="231"/>
      <c r="AD84" s="231"/>
      <c r="AE84" s="231"/>
      <c r="AF84" s="231"/>
      <c r="AG84" s="231"/>
    </row>
    <row r="85" spans="1:33" s="203" customFormat="1">
      <c r="A85" s="120">
        <v>12</v>
      </c>
      <c r="B85" s="47" t="s">
        <v>99</v>
      </c>
      <c r="C85" s="47"/>
      <c r="D85" s="47"/>
      <c r="E85" s="49">
        <v>10162</v>
      </c>
      <c r="F85" s="247">
        <v>11505</v>
      </c>
      <c r="G85" s="113">
        <v>11505</v>
      </c>
      <c r="H85" s="123">
        <v>11607</v>
      </c>
      <c r="I85" s="113">
        <v>11607</v>
      </c>
      <c r="J85" s="231"/>
      <c r="K85" s="231"/>
      <c r="L85" s="231"/>
      <c r="M85" s="231"/>
      <c r="N85" s="231"/>
      <c r="O85" s="231"/>
      <c r="P85" s="231"/>
      <c r="Q85" s="231"/>
      <c r="R85" s="231"/>
      <c r="S85" s="231"/>
      <c r="T85" s="231"/>
      <c r="U85" s="231"/>
      <c r="V85" s="231"/>
      <c r="W85" s="231"/>
      <c r="X85" s="231"/>
      <c r="Y85" s="231"/>
      <c r="Z85" s="231"/>
      <c r="AA85" s="231"/>
      <c r="AB85" s="231"/>
      <c r="AC85" s="231"/>
      <c r="AD85" s="231"/>
      <c r="AE85" s="231"/>
      <c r="AF85" s="231"/>
      <c r="AG85" s="231"/>
    </row>
    <row r="86" spans="1:33" s="203" customFormat="1">
      <c r="A86" s="120">
        <v>13</v>
      </c>
      <c r="B86" s="47" t="s">
        <v>100</v>
      </c>
      <c r="C86" s="47"/>
      <c r="D86" s="47"/>
      <c r="E86" s="49">
        <v>61592</v>
      </c>
      <c r="F86" s="247">
        <v>37127</v>
      </c>
      <c r="G86" s="113">
        <v>37127</v>
      </c>
      <c r="H86" s="123">
        <v>37347</v>
      </c>
      <c r="I86" s="113">
        <v>37347</v>
      </c>
      <c r="J86" s="231"/>
      <c r="K86" s="231"/>
      <c r="L86" s="231"/>
      <c r="M86" s="231"/>
      <c r="N86" s="231"/>
      <c r="O86" s="231"/>
      <c r="P86" s="231"/>
      <c r="Q86" s="231"/>
      <c r="R86" s="231"/>
      <c r="S86" s="231"/>
      <c r="T86" s="231"/>
      <c r="U86" s="231"/>
      <c r="V86" s="231"/>
      <c r="W86" s="231"/>
      <c r="X86" s="231"/>
      <c r="Y86" s="231"/>
      <c r="Z86" s="231"/>
      <c r="AA86" s="231"/>
      <c r="AB86" s="231"/>
      <c r="AC86" s="231"/>
      <c r="AD86" s="231"/>
      <c r="AE86" s="231"/>
      <c r="AF86" s="231"/>
      <c r="AG86" s="231"/>
    </row>
    <row r="87" spans="1:33" s="203" customFormat="1">
      <c r="A87" s="120">
        <v>14</v>
      </c>
      <c r="B87" s="47" t="s">
        <v>101</v>
      </c>
      <c r="C87" s="47"/>
      <c r="D87" s="47"/>
      <c r="E87" s="49">
        <v>0</v>
      </c>
      <c r="F87" s="247">
        <v>0</v>
      </c>
      <c r="G87" s="113">
        <v>0</v>
      </c>
      <c r="H87" s="123">
        <v>0</v>
      </c>
      <c r="I87" s="113">
        <v>0</v>
      </c>
      <c r="J87" s="231"/>
      <c r="K87" s="231"/>
      <c r="L87" s="231"/>
      <c r="M87" s="231"/>
      <c r="N87" s="231"/>
      <c r="O87" s="231"/>
      <c r="P87" s="231"/>
      <c r="Q87" s="231"/>
      <c r="R87" s="231"/>
      <c r="S87" s="231"/>
      <c r="T87" s="231"/>
      <c r="U87" s="231"/>
      <c r="V87" s="231"/>
      <c r="W87" s="231"/>
      <c r="X87" s="231"/>
      <c r="Y87" s="231"/>
      <c r="Z87" s="231"/>
      <c r="AA87" s="231"/>
      <c r="AB87" s="231"/>
      <c r="AC87" s="231"/>
      <c r="AD87" s="231"/>
      <c r="AE87" s="231"/>
      <c r="AF87" s="231"/>
      <c r="AG87" s="231"/>
    </row>
    <row r="88" spans="1:33" s="203" customFormat="1">
      <c r="A88" s="124">
        <v>15</v>
      </c>
      <c r="B88" s="125" t="s">
        <v>102</v>
      </c>
      <c r="C88" s="54"/>
      <c r="D88" s="54"/>
      <c r="E88" s="56">
        <v>0</v>
      </c>
      <c r="F88" s="254">
        <v>0</v>
      </c>
      <c r="G88" s="127">
        <v>0</v>
      </c>
      <c r="H88" s="255">
        <v>0</v>
      </c>
      <c r="I88" s="127">
        <v>0</v>
      </c>
      <c r="J88" s="231"/>
      <c r="K88" s="231"/>
      <c r="L88" s="231"/>
      <c r="M88" s="231"/>
      <c r="N88" s="231"/>
      <c r="O88" s="231"/>
      <c r="P88" s="231"/>
      <c r="Q88" s="231"/>
      <c r="R88" s="231"/>
      <c r="S88" s="231"/>
      <c r="T88" s="231"/>
      <c r="U88" s="231"/>
      <c r="V88" s="231"/>
      <c r="W88" s="231"/>
      <c r="X88" s="231"/>
      <c r="Y88" s="231"/>
      <c r="Z88" s="231"/>
      <c r="AA88" s="231"/>
      <c r="AB88" s="231"/>
      <c r="AC88" s="231"/>
      <c r="AD88" s="231"/>
      <c r="AE88" s="231"/>
      <c r="AF88" s="231"/>
      <c r="AG88" s="231"/>
    </row>
    <row r="89" spans="1:33" s="203" customFormat="1">
      <c r="A89" s="128"/>
      <c r="B89" s="129"/>
      <c r="C89" s="129"/>
      <c r="D89" s="129"/>
      <c r="E89" s="15"/>
      <c r="F89" s="130"/>
      <c r="G89" s="29"/>
      <c r="H89" s="207"/>
      <c r="I89" s="29"/>
      <c r="J89" s="231"/>
      <c r="K89" s="231"/>
      <c r="L89" s="231"/>
      <c r="M89" s="231"/>
      <c r="N89" s="231"/>
      <c r="O89" s="231"/>
      <c r="P89" s="231"/>
      <c r="Q89" s="231"/>
      <c r="R89" s="231"/>
      <c r="S89" s="231"/>
      <c r="T89" s="231"/>
      <c r="U89" s="231"/>
      <c r="V89" s="231"/>
      <c r="W89" s="231"/>
      <c r="X89" s="231"/>
      <c r="Y89" s="231"/>
      <c r="Z89" s="231"/>
      <c r="AA89" s="231"/>
      <c r="AB89" s="231"/>
      <c r="AC89" s="231"/>
      <c r="AD89" s="231"/>
      <c r="AE89" s="231"/>
      <c r="AF89" s="231"/>
      <c r="AG89" s="231"/>
    </row>
    <row r="90" spans="1:33" s="203" customFormat="1">
      <c r="A90" s="128"/>
      <c r="B90" s="129"/>
      <c r="C90" s="129"/>
      <c r="D90" s="129"/>
      <c r="E90" s="105"/>
      <c r="F90" s="130"/>
      <c r="G90" s="29"/>
      <c r="H90" s="131" t="s">
        <v>27</v>
      </c>
      <c r="I90" s="29"/>
      <c r="J90" s="231"/>
      <c r="K90" s="231"/>
      <c r="L90" s="231"/>
      <c r="M90" s="231"/>
      <c r="N90" s="231"/>
      <c r="O90" s="231"/>
      <c r="P90" s="231"/>
      <c r="Q90" s="231"/>
      <c r="R90" s="231"/>
      <c r="S90" s="231"/>
      <c r="T90" s="231"/>
      <c r="U90" s="231"/>
      <c r="V90" s="231"/>
      <c r="W90" s="231"/>
      <c r="X90" s="231"/>
      <c r="Y90" s="231"/>
      <c r="Z90" s="231"/>
      <c r="AA90" s="231"/>
      <c r="AB90" s="231"/>
      <c r="AC90" s="231"/>
      <c r="AD90" s="231"/>
      <c r="AE90" s="231"/>
      <c r="AF90" s="231"/>
      <c r="AG90" s="231"/>
    </row>
    <row r="91" spans="1:33" s="203" customFormat="1">
      <c r="A91" s="106" t="s">
        <v>17</v>
      </c>
      <c r="B91" s="107"/>
      <c r="C91" s="107"/>
      <c r="D91" s="107"/>
      <c r="E91" s="856" t="s">
        <v>421</v>
      </c>
      <c r="F91" s="856" t="s">
        <v>402</v>
      </c>
      <c r="G91" s="257"/>
      <c r="H91" s="856" t="s">
        <v>403</v>
      </c>
      <c r="I91" s="29"/>
      <c r="J91" s="231"/>
      <c r="K91" s="231"/>
      <c r="L91" s="231"/>
      <c r="M91" s="231"/>
      <c r="N91" s="231"/>
      <c r="O91" s="231"/>
      <c r="P91" s="231"/>
      <c r="Q91" s="231"/>
      <c r="R91" s="231"/>
      <c r="S91" s="231"/>
      <c r="T91" s="231"/>
      <c r="U91" s="231"/>
      <c r="V91" s="231"/>
      <c r="W91" s="231"/>
      <c r="X91" s="231"/>
      <c r="Y91" s="231"/>
      <c r="Z91" s="231"/>
      <c r="AA91" s="231"/>
      <c r="AB91" s="231"/>
      <c r="AC91" s="231"/>
      <c r="AD91" s="231"/>
      <c r="AE91" s="231"/>
      <c r="AF91" s="231"/>
      <c r="AG91" s="231"/>
    </row>
    <row r="92" spans="1:33" s="203" customFormat="1" ht="12.75" customHeight="1">
      <c r="A92" s="109"/>
      <c r="B92" s="132"/>
      <c r="C92" s="132"/>
      <c r="D92" s="132"/>
      <c r="E92" s="859"/>
      <c r="F92" s="859"/>
      <c r="G92" s="29"/>
      <c r="H92" s="859"/>
      <c r="I92" s="29"/>
      <c r="J92" s="231"/>
      <c r="K92" s="231"/>
      <c r="L92" s="231"/>
      <c r="M92" s="231"/>
      <c r="N92" s="231"/>
      <c r="O92" s="231"/>
      <c r="P92" s="231"/>
      <c r="Q92" s="231"/>
      <c r="R92" s="231"/>
      <c r="S92" s="231"/>
      <c r="T92" s="231"/>
      <c r="U92" s="231"/>
      <c r="V92" s="231"/>
      <c r="W92" s="231"/>
      <c r="X92" s="231"/>
      <c r="Y92" s="231"/>
      <c r="Z92" s="231"/>
      <c r="AA92" s="231"/>
      <c r="AB92" s="231"/>
      <c r="AC92" s="231"/>
      <c r="AD92" s="231"/>
      <c r="AE92" s="231"/>
      <c r="AF92" s="231"/>
      <c r="AG92" s="231"/>
    </row>
    <row r="93" spans="1:33" s="203" customFormat="1">
      <c r="A93" s="109" t="s">
        <v>103</v>
      </c>
      <c r="B93" s="132"/>
      <c r="C93" s="132"/>
      <c r="D93" s="132"/>
      <c r="E93" s="859"/>
      <c r="F93" s="859"/>
      <c r="G93" s="29"/>
      <c r="H93" s="859"/>
      <c r="I93" s="29"/>
      <c r="J93" s="231"/>
      <c r="K93" s="231"/>
      <c r="L93" s="231"/>
      <c r="M93" s="231"/>
      <c r="N93" s="231"/>
      <c r="O93" s="231"/>
      <c r="P93" s="231"/>
      <c r="Q93" s="231"/>
      <c r="R93" s="231"/>
      <c r="S93" s="231"/>
      <c r="T93" s="231"/>
      <c r="U93" s="231"/>
      <c r="V93" s="231"/>
      <c r="W93" s="231"/>
      <c r="X93" s="231"/>
      <c r="Y93" s="231"/>
      <c r="Z93" s="231"/>
      <c r="AA93" s="231"/>
      <c r="AB93" s="231"/>
      <c r="AC93" s="231"/>
      <c r="AD93" s="231"/>
      <c r="AE93" s="231"/>
      <c r="AF93" s="231"/>
      <c r="AG93" s="231"/>
    </row>
    <row r="94" spans="1:33" s="203" customFormat="1">
      <c r="A94" s="109" t="s">
        <v>83</v>
      </c>
      <c r="B94" s="132"/>
      <c r="C94" s="132"/>
      <c r="D94" s="132"/>
      <c r="E94" s="859"/>
      <c r="F94" s="859"/>
      <c r="G94" s="130"/>
      <c r="H94" s="859"/>
      <c r="I94" s="29"/>
      <c r="J94" s="231"/>
      <c r="K94" s="231"/>
      <c r="L94" s="231"/>
      <c r="M94" s="231"/>
      <c r="N94" s="231"/>
      <c r="O94" s="231"/>
      <c r="P94" s="231"/>
      <c r="Q94" s="231"/>
      <c r="R94" s="231"/>
      <c r="S94" s="231"/>
      <c r="T94" s="231"/>
      <c r="U94" s="231"/>
      <c r="V94" s="231"/>
      <c r="W94" s="231"/>
      <c r="X94" s="231"/>
      <c r="Y94" s="231"/>
      <c r="Z94" s="231"/>
      <c r="AA94" s="231"/>
      <c r="AB94" s="231"/>
      <c r="AC94" s="231"/>
      <c r="AD94" s="231"/>
      <c r="AE94" s="231"/>
      <c r="AF94" s="231"/>
      <c r="AG94" s="231"/>
    </row>
    <row r="95" spans="1:33" s="203" customFormat="1">
      <c r="A95" s="110" t="s">
        <v>84</v>
      </c>
      <c r="B95" s="132"/>
      <c r="C95" s="132"/>
      <c r="D95" s="132"/>
      <c r="E95" s="860"/>
      <c r="F95" s="860"/>
      <c r="G95" s="130"/>
      <c r="H95" s="860"/>
      <c r="I95" s="130"/>
      <c r="J95" s="231"/>
      <c r="K95" s="231"/>
      <c r="L95" s="231"/>
      <c r="M95" s="231"/>
      <c r="N95" s="231"/>
      <c r="O95" s="231"/>
      <c r="P95" s="231"/>
      <c r="Q95" s="231"/>
      <c r="R95" s="231"/>
      <c r="S95" s="231"/>
      <c r="T95" s="231"/>
      <c r="U95" s="231"/>
      <c r="V95" s="231"/>
      <c r="W95" s="231"/>
      <c r="X95" s="231"/>
      <c r="Y95" s="231"/>
      <c r="Z95" s="231"/>
      <c r="AA95" s="231"/>
      <c r="AB95" s="231"/>
      <c r="AC95" s="231"/>
      <c r="AD95" s="231"/>
      <c r="AE95" s="231"/>
      <c r="AF95" s="231"/>
      <c r="AG95" s="231"/>
    </row>
    <row r="96" spans="1:33" s="203" customFormat="1">
      <c r="A96" s="120">
        <v>1</v>
      </c>
      <c r="B96" s="47" t="s">
        <v>104</v>
      </c>
      <c r="C96" s="47"/>
      <c r="D96" s="47"/>
      <c r="E96" s="41">
        <v>1073.193</v>
      </c>
      <c r="F96" s="52">
        <v>1309</v>
      </c>
      <c r="G96" s="118"/>
      <c r="H96" s="133">
        <v>1341</v>
      </c>
      <c r="I96" s="139"/>
      <c r="J96" s="231"/>
      <c r="K96" s="231"/>
      <c r="L96" s="231"/>
      <c r="M96" s="231"/>
      <c r="N96" s="231"/>
      <c r="O96" s="231"/>
      <c r="P96" s="231"/>
      <c r="Q96" s="231"/>
      <c r="R96" s="231"/>
      <c r="S96" s="231"/>
      <c r="T96" s="231"/>
      <c r="U96" s="231"/>
      <c r="V96" s="231"/>
      <c r="W96" s="231"/>
      <c r="X96" s="231"/>
      <c r="Y96" s="231"/>
      <c r="Z96" s="231"/>
      <c r="AA96" s="231"/>
      <c r="AB96" s="231"/>
      <c r="AC96" s="231"/>
      <c r="AD96" s="231"/>
      <c r="AE96" s="231"/>
      <c r="AF96" s="231"/>
      <c r="AG96" s="231"/>
    </row>
    <row r="97" spans="1:33" s="203" customFormat="1">
      <c r="A97" s="120">
        <v>2</v>
      </c>
      <c r="B97" s="47" t="s">
        <v>105</v>
      </c>
      <c r="C97" s="47"/>
      <c r="D97" s="47"/>
      <c r="E97" s="49">
        <v>0</v>
      </c>
      <c r="F97" s="52">
        <v>0</v>
      </c>
      <c r="G97" s="118"/>
      <c r="H97" s="122">
        <v>0</v>
      </c>
      <c r="I97" s="139"/>
      <c r="J97" s="231"/>
      <c r="K97" s="231"/>
      <c r="L97" s="231"/>
      <c r="M97" s="231"/>
      <c r="N97" s="231"/>
      <c r="O97" s="231"/>
      <c r="P97" s="231"/>
      <c r="Q97" s="231"/>
      <c r="R97" s="231"/>
      <c r="S97" s="231"/>
      <c r="T97" s="231"/>
      <c r="U97" s="231"/>
      <c r="V97" s="231"/>
      <c r="W97" s="231"/>
      <c r="X97" s="231"/>
      <c r="Y97" s="231"/>
      <c r="Z97" s="231"/>
      <c r="AA97" s="231"/>
      <c r="AB97" s="231"/>
      <c r="AC97" s="231"/>
      <c r="AD97" s="231"/>
      <c r="AE97" s="231"/>
      <c r="AF97" s="231"/>
      <c r="AG97" s="231"/>
    </row>
    <row r="98" spans="1:33" s="203" customFormat="1">
      <c r="A98" s="120">
        <v>3</v>
      </c>
      <c r="B98" s="47" t="s">
        <v>106</v>
      </c>
      <c r="C98" s="47"/>
      <c r="D98" s="47"/>
      <c r="E98" s="114">
        <v>28689.122850000007</v>
      </c>
      <c r="F98" s="50">
        <f>F115</f>
        <v>33657</v>
      </c>
      <c r="G98" s="118"/>
      <c r="H98" s="50">
        <f>H115</f>
        <v>33070</v>
      </c>
      <c r="I98" s="139"/>
      <c r="J98" s="231"/>
      <c r="K98" s="231"/>
      <c r="L98" s="231"/>
      <c r="M98" s="231"/>
      <c r="N98" s="231"/>
      <c r="O98" s="231"/>
      <c r="P98" s="231"/>
      <c r="Q98" s="231"/>
      <c r="R98" s="231"/>
      <c r="S98" s="231"/>
      <c r="T98" s="231"/>
      <c r="U98" s="231"/>
      <c r="V98" s="231"/>
      <c r="W98" s="231"/>
      <c r="X98" s="231"/>
      <c r="Y98" s="231"/>
      <c r="Z98" s="231"/>
      <c r="AA98" s="231"/>
      <c r="AB98" s="231"/>
      <c r="AC98" s="231"/>
      <c r="AD98" s="231"/>
      <c r="AE98" s="231"/>
      <c r="AF98" s="231"/>
      <c r="AG98" s="231"/>
    </row>
    <row r="99" spans="1:33" s="203" customFormat="1">
      <c r="A99" s="120">
        <v>4</v>
      </c>
      <c r="B99" s="47" t="s">
        <v>107</v>
      </c>
      <c r="C99" s="47"/>
      <c r="D99" s="47"/>
      <c r="E99" s="114">
        <v>81272.758541490621</v>
      </c>
      <c r="F99" s="50">
        <f>F125</f>
        <v>90561</v>
      </c>
      <c r="G99" s="118"/>
      <c r="H99" s="50">
        <f>H125</f>
        <v>93946</v>
      </c>
      <c r="I99" s="139"/>
      <c r="J99" s="231"/>
      <c r="K99" s="231"/>
      <c r="L99" s="231"/>
      <c r="M99" s="231"/>
      <c r="N99" s="231"/>
      <c r="O99" s="231"/>
      <c r="P99" s="231"/>
      <c r="Q99" s="231"/>
      <c r="R99" s="231"/>
      <c r="S99" s="231"/>
      <c r="T99" s="231"/>
      <c r="U99" s="231"/>
      <c r="V99" s="231"/>
      <c r="W99" s="231"/>
      <c r="X99" s="231"/>
      <c r="Y99" s="231"/>
      <c r="Z99" s="231"/>
      <c r="AA99" s="231"/>
      <c r="AB99" s="231"/>
      <c r="AC99" s="231"/>
      <c r="AD99" s="231"/>
      <c r="AE99" s="231"/>
      <c r="AF99" s="231"/>
      <c r="AG99" s="231"/>
    </row>
    <row r="100" spans="1:33" s="203" customFormat="1">
      <c r="A100" s="120">
        <v>5</v>
      </c>
      <c r="B100" s="47" t="s">
        <v>108</v>
      </c>
      <c r="C100" s="47"/>
      <c r="D100" s="47"/>
      <c r="E100" s="114">
        <v>12277.7021666</v>
      </c>
      <c r="F100" s="50">
        <f>F135</f>
        <v>13190</v>
      </c>
      <c r="G100" s="118"/>
      <c r="H100" s="50">
        <f>H135</f>
        <v>13615</v>
      </c>
      <c r="I100" s="139"/>
      <c r="J100" s="231"/>
      <c r="K100" s="231"/>
      <c r="L100" s="231"/>
      <c r="M100" s="231"/>
      <c r="N100" s="231"/>
      <c r="O100" s="231"/>
      <c r="P100" s="231"/>
      <c r="Q100" s="231"/>
      <c r="R100" s="231"/>
      <c r="S100" s="231"/>
      <c r="T100" s="231"/>
      <c r="U100" s="231"/>
      <c r="V100" s="231"/>
      <c r="W100" s="231"/>
      <c r="X100" s="231"/>
      <c r="Y100" s="231"/>
      <c r="Z100" s="231"/>
      <c r="AA100" s="231"/>
      <c r="AB100" s="231"/>
      <c r="AC100" s="231"/>
      <c r="AD100" s="231"/>
      <c r="AE100" s="231"/>
      <c r="AF100" s="231"/>
      <c r="AG100" s="231"/>
    </row>
    <row r="101" spans="1:33" s="203" customFormat="1">
      <c r="A101" s="120">
        <v>6</v>
      </c>
      <c r="B101" s="47" t="s">
        <v>109</v>
      </c>
      <c r="C101" s="47"/>
      <c r="D101" s="47"/>
      <c r="E101" s="114">
        <v>36310.681830100009</v>
      </c>
      <c r="F101" s="50">
        <f>F143</f>
        <v>29543</v>
      </c>
      <c r="G101" s="118"/>
      <c r="H101" s="50">
        <f>H143</f>
        <v>31530</v>
      </c>
      <c r="I101" s="139"/>
      <c r="J101" s="231"/>
      <c r="K101" s="231"/>
      <c r="L101" s="231"/>
      <c r="M101" s="231"/>
      <c r="N101" s="231"/>
      <c r="O101" s="231"/>
      <c r="P101" s="231"/>
      <c r="Q101" s="231"/>
      <c r="R101" s="231"/>
      <c r="S101" s="231"/>
      <c r="T101" s="231"/>
      <c r="U101" s="231"/>
      <c r="V101" s="231"/>
      <c r="W101" s="231"/>
      <c r="X101" s="231"/>
      <c r="Y101" s="231"/>
      <c r="Z101" s="231"/>
      <c r="AA101" s="231"/>
      <c r="AB101" s="231"/>
      <c r="AC101" s="231"/>
      <c r="AD101" s="231"/>
      <c r="AE101" s="231"/>
      <c r="AF101" s="231"/>
      <c r="AG101" s="231"/>
    </row>
    <row r="102" spans="1:33" s="203" customFormat="1">
      <c r="A102" s="120">
        <v>7</v>
      </c>
      <c r="B102" s="47" t="s">
        <v>110</v>
      </c>
      <c r="C102" s="47"/>
      <c r="D102" s="47"/>
      <c r="E102" s="114">
        <v>10704.444613299996</v>
      </c>
      <c r="F102" s="50">
        <f>F150</f>
        <v>9179</v>
      </c>
      <c r="G102" s="118"/>
      <c r="H102" s="50">
        <f>H150</f>
        <v>9182</v>
      </c>
      <c r="I102" s="139"/>
      <c r="J102" s="231"/>
      <c r="K102" s="231"/>
      <c r="L102" s="231"/>
      <c r="M102" s="231"/>
      <c r="N102" s="231"/>
      <c r="O102" s="231"/>
      <c r="P102" s="231"/>
      <c r="Q102" s="231"/>
      <c r="R102" s="231"/>
      <c r="S102" s="231"/>
      <c r="T102" s="231"/>
      <c r="U102" s="231"/>
      <c r="V102" s="231"/>
      <c r="W102" s="231"/>
      <c r="X102" s="231"/>
      <c r="Y102" s="231"/>
      <c r="Z102" s="231"/>
      <c r="AA102" s="231"/>
      <c r="AB102" s="231"/>
      <c r="AC102" s="231"/>
      <c r="AD102" s="231"/>
      <c r="AE102" s="231"/>
      <c r="AF102" s="231"/>
      <c r="AG102" s="231"/>
    </row>
    <row r="103" spans="1:33" s="203" customFormat="1">
      <c r="A103" s="120">
        <v>8</v>
      </c>
      <c r="B103" s="47" t="s">
        <v>111</v>
      </c>
      <c r="C103" s="47"/>
      <c r="D103" s="47"/>
      <c r="E103" s="114">
        <v>1593.7490600000001</v>
      </c>
      <c r="F103" s="52">
        <v>1640</v>
      </c>
      <c r="G103" s="118"/>
      <c r="H103" s="122">
        <v>1693</v>
      </c>
      <c r="I103" s="139"/>
      <c r="J103" s="231"/>
      <c r="K103" s="231"/>
      <c r="L103" s="231"/>
      <c r="M103" s="231"/>
      <c r="N103" s="231"/>
      <c r="O103" s="231"/>
      <c r="P103" s="231"/>
      <c r="Q103" s="231"/>
      <c r="R103" s="231"/>
      <c r="S103" s="231"/>
      <c r="T103" s="231"/>
      <c r="U103" s="231"/>
      <c r="V103" s="231"/>
      <c r="W103" s="231"/>
      <c r="X103" s="231"/>
      <c r="Y103" s="231"/>
      <c r="Z103" s="231"/>
      <c r="AA103" s="231"/>
      <c r="AB103" s="231"/>
      <c r="AC103" s="231"/>
      <c r="AD103" s="231"/>
      <c r="AE103" s="231"/>
      <c r="AF103" s="231"/>
      <c r="AG103" s="231"/>
    </row>
    <row r="104" spans="1:33" s="203" customFormat="1">
      <c r="A104" s="120">
        <v>9</v>
      </c>
      <c r="B104" s="47" t="s">
        <v>112</v>
      </c>
      <c r="C104" s="47"/>
      <c r="D104" s="47"/>
      <c r="E104" s="114">
        <v>11006</v>
      </c>
      <c r="F104" s="52">
        <v>8276</v>
      </c>
      <c r="G104" s="118"/>
      <c r="H104" s="122">
        <v>8129</v>
      </c>
      <c r="I104" s="139"/>
      <c r="J104" s="231"/>
      <c r="K104" s="231"/>
      <c r="L104" s="231"/>
      <c r="M104" s="231"/>
      <c r="N104" s="231"/>
      <c r="O104" s="231"/>
      <c r="P104" s="231"/>
      <c r="Q104" s="231"/>
      <c r="R104" s="231"/>
      <c r="S104" s="231"/>
      <c r="T104" s="231"/>
      <c r="U104" s="231"/>
      <c r="V104" s="231"/>
      <c r="W104" s="231"/>
      <c r="X104" s="231"/>
      <c r="Y104" s="231"/>
      <c r="Z104" s="231"/>
      <c r="AA104" s="231"/>
      <c r="AB104" s="231"/>
      <c r="AC104" s="231"/>
      <c r="AD104" s="231"/>
      <c r="AE104" s="231"/>
      <c r="AF104" s="231"/>
      <c r="AG104" s="231"/>
    </row>
    <row r="105" spans="1:33" s="203" customFormat="1">
      <c r="A105" s="111" t="s">
        <v>113</v>
      </c>
      <c r="B105" s="116" t="s">
        <v>114</v>
      </c>
      <c r="C105" s="116"/>
      <c r="D105" s="47"/>
      <c r="E105" s="134">
        <v>182927.65206149066</v>
      </c>
      <c r="F105" s="61">
        <f>SUM(F96:F104)</f>
        <v>187355</v>
      </c>
      <c r="G105" s="118"/>
      <c r="H105" s="61">
        <f>SUM(H96:H104)</f>
        <v>192506</v>
      </c>
      <c r="I105" s="139"/>
      <c r="J105" s="231"/>
      <c r="K105" s="231"/>
      <c r="L105" s="231"/>
      <c r="M105" s="231"/>
      <c r="N105" s="231"/>
      <c r="O105" s="231"/>
      <c r="P105" s="231"/>
      <c r="Q105" s="231"/>
      <c r="R105" s="231"/>
      <c r="S105" s="231"/>
      <c r="T105" s="231"/>
      <c r="U105" s="231"/>
      <c r="V105" s="231"/>
      <c r="W105" s="231"/>
      <c r="X105" s="231"/>
      <c r="Y105" s="231"/>
      <c r="Z105" s="231"/>
      <c r="AA105" s="231"/>
      <c r="AB105" s="231"/>
      <c r="AC105" s="231"/>
      <c r="AD105" s="231"/>
      <c r="AE105" s="231"/>
      <c r="AF105" s="231"/>
      <c r="AG105" s="231"/>
    </row>
    <row r="106" spans="1:33" s="203" customFormat="1">
      <c r="A106" s="120">
        <v>11</v>
      </c>
      <c r="B106" s="90" t="s">
        <v>115</v>
      </c>
      <c r="C106" s="47"/>
      <c r="D106" s="47"/>
      <c r="E106" s="135">
        <v>1078</v>
      </c>
      <c r="F106" s="136">
        <v>1216</v>
      </c>
      <c r="G106" s="118"/>
      <c r="H106" s="137">
        <v>1136</v>
      </c>
      <c r="I106" s="139"/>
      <c r="J106" s="231"/>
      <c r="K106" s="231"/>
      <c r="L106" s="231"/>
      <c r="M106" s="231"/>
      <c r="N106" s="231"/>
      <c r="O106" s="231"/>
      <c r="P106" s="231"/>
      <c r="Q106" s="231"/>
      <c r="R106" s="231"/>
      <c r="S106" s="231"/>
      <c r="T106" s="231"/>
      <c r="U106" s="231"/>
      <c r="V106" s="231"/>
      <c r="W106" s="231"/>
      <c r="X106" s="231"/>
      <c r="Y106" s="231"/>
      <c r="Z106" s="231"/>
      <c r="AA106" s="231"/>
      <c r="AB106" s="231"/>
      <c r="AC106" s="231"/>
      <c r="AD106" s="231"/>
      <c r="AE106" s="231"/>
      <c r="AF106" s="231"/>
      <c r="AG106" s="231"/>
    </row>
    <row r="107" spans="1:33" s="203" customFormat="1">
      <c r="A107" s="111"/>
      <c r="B107" s="47"/>
      <c r="C107" s="47"/>
      <c r="D107" s="138"/>
      <c r="E107" s="117"/>
      <c r="F107" s="139"/>
      <c r="G107" s="139"/>
      <c r="H107" s="139"/>
      <c r="I107" s="139"/>
      <c r="J107" s="231"/>
      <c r="K107" s="231"/>
      <c r="L107" s="231"/>
      <c r="M107" s="231"/>
      <c r="N107" s="231"/>
      <c r="O107" s="231"/>
      <c r="P107" s="231"/>
      <c r="Q107" s="231"/>
      <c r="R107" s="231"/>
      <c r="S107" s="231"/>
      <c r="T107" s="231"/>
      <c r="U107" s="231"/>
      <c r="V107" s="231"/>
      <c r="W107" s="231"/>
      <c r="X107" s="231"/>
      <c r="Y107" s="231"/>
      <c r="Z107" s="231"/>
      <c r="AA107" s="231"/>
      <c r="AB107" s="231"/>
      <c r="AC107" s="231"/>
      <c r="AD107" s="231"/>
      <c r="AE107" s="231"/>
      <c r="AF107" s="231"/>
      <c r="AG107" s="231"/>
    </row>
    <row r="108" spans="1:33" s="203" customFormat="1">
      <c r="A108" s="119" t="s">
        <v>116</v>
      </c>
      <c r="B108" s="47"/>
      <c r="C108" s="47"/>
      <c r="D108" s="47"/>
      <c r="E108" s="117"/>
      <c r="F108" s="139"/>
      <c r="G108" s="139"/>
      <c r="H108" s="139"/>
      <c r="I108" s="139"/>
      <c r="J108" s="231"/>
      <c r="K108" s="231"/>
      <c r="L108" s="231"/>
      <c r="M108" s="231"/>
      <c r="N108" s="231"/>
      <c r="O108" s="231"/>
      <c r="P108" s="231"/>
      <c r="Q108" s="231"/>
      <c r="R108" s="231"/>
      <c r="S108" s="231"/>
      <c r="T108" s="231"/>
      <c r="U108" s="231"/>
      <c r="V108" s="231"/>
      <c r="W108" s="231"/>
      <c r="X108" s="231"/>
      <c r="Y108" s="231"/>
      <c r="Z108" s="231"/>
      <c r="AA108" s="231"/>
      <c r="AB108" s="231"/>
      <c r="AC108" s="231"/>
      <c r="AD108" s="231"/>
      <c r="AE108" s="231"/>
      <c r="AF108" s="231"/>
      <c r="AG108" s="231"/>
    </row>
    <row r="109" spans="1:33" s="203" customFormat="1">
      <c r="A109" s="119" t="s">
        <v>106</v>
      </c>
      <c r="B109" s="47"/>
      <c r="C109" s="47"/>
      <c r="D109" s="47"/>
      <c r="E109" s="140"/>
      <c r="F109" s="141"/>
      <c r="G109" s="139"/>
      <c r="H109" s="141"/>
      <c r="I109" s="139"/>
      <c r="J109" s="231"/>
      <c r="K109" s="231"/>
      <c r="L109" s="231"/>
      <c r="M109" s="231"/>
      <c r="N109" s="231"/>
      <c r="O109" s="231"/>
      <c r="P109" s="231"/>
      <c r="Q109" s="231"/>
      <c r="R109" s="231"/>
      <c r="S109" s="231"/>
      <c r="T109" s="231"/>
      <c r="U109" s="231"/>
      <c r="V109" s="231"/>
      <c r="W109" s="231"/>
      <c r="X109" s="231"/>
      <c r="Y109" s="231"/>
      <c r="Z109" s="231"/>
      <c r="AA109" s="231"/>
      <c r="AB109" s="231"/>
      <c r="AC109" s="231"/>
      <c r="AD109" s="231"/>
      <c r="AE109" s="231"/>
      <c r="AF109" s="231"/>
      <c r="AG109" s="231"/>
    </row>
    <row r="110" spans="1:33" s="203" customFormat="1">
      <c r="A110" s="120">
        <v>12</v>
      </c>
      <c r="B110" s="47" t="s">
        <v>117</v>
      </c>
      <c r="C110" s="47"/>
      <c r="D110" s="47"/>
      <c r="E110" s="49">
        <v>4915.2690000000002</v>
      </c>
      <c r="F110" s="52">
        <v>7141</v>
      </c>
      <c r="G110" s="118"/>
      <c r="H110" s="122">
        <v>7409</v>
      </c>
      <c r="I110" s="118"/>
      <c r="J110" s="231"/>
      <c r="K110" s="231"/>
      <c r="L110" s="231"/>
      <c r="M110" s="231"/>
      <c r="N110" s="231"/>
      <c r="O110" s="231"/>
      <c r="P110" s="231"/>
      <c r="Q110" s="231"/>
      <c r="R110" s="231"/>
      <c r="S110" s="231"/>
      <c r="T110" s="231"/>
      <c r="U110" s="231"/>
      <c r="V110" s="231"/>
      <c r="W110" s="231"/>
      <c r="X110" s="231"/>
      <c r="Y110" s="231"/>
      <c r="Z110" s="231"/>
      <c r="AA110" s="231"/>
      <c r="AB110" s="231"/>
      <c r="AC110" s="231"/>
      <c r="AD110" s="231"/>
      <c r="AE110" s="231"/>
      <c r="AF110" s="231"/>
      <c r="AG110" s="231"/>
    </row>
    <row r="111" spans="1:33" s="203" customFormat="1">
      <c r="A111" s="120">
        <v>13</v>
      </c>
      <c r="B111" s="47" t="s">
        <v>118</v>
      </c>
      <c r="C111" s="47"/>
      <c r="D111" s="47"/>
      <c r="E111" s="49">
        <v>6746.41</v>
      </c>
      <c r="F111" s="52">
        <v>6550</v>
      </c>
      <c r="G111" s="118"/>
      <c r="H111" s="122">
        <v>6305</v>
      </c>
      <c r="I111" s="118"/>
      <c r="J111" s="231"/>
      <c r="K111" s="231"/>
      <c r="L111" s="231"/>
      <c r="M111" s="231"/>
      <c r="N111" s="231"/>
      <c r="O111" s="231"/>
      <c r="P111" s="231"/>
      <c r="Q111" s="231"/>
      <c r="R111" s="231"/>
      <c r="S111" s="231"/>
      <c r="T111" s="231"/>
      <c r="U111" s="231"/>
      <c r="V111" s="231"/>
      <c r="W111" s="231"/>
      <c r="X111" s="231"/>
      <c r="Y111" s="231"/>
      <c r="Z111" s="231"/>
      <c r="AA111" s="231"/>
      <c r="AB111" s="231"/>
      <c r="AC111" s="231"/>
      <c r="AD111" s="231"/>
      <c r="AE111" s="231"/>
      <c r="AF111" s="231"/>
      <c r="AG111" s="231"/>
    </row>
    <row r="112" spans="1:33" s="203" customFormat="1">
      <c r="A112" s="120">
        <v>14</v>
      </c>
      <c r="B112" s="47" t="s">
        <v>119</v>
      </c>
      <c r="C112" s="47"/>
      <c r="D112" s="47"/>
      <c r="E112" s="49">
        <v>5945.2739999999994</v>
      </c>
      <c r="F112" s="52">
        <v>6122</v>
      </c>
      <c r="G112" s="118"/>
      <c r="H112" s="122">
        <v>6171</v>
      </c>
      <c r="I112" s="118"/>
      <c r="J112" s="231"/>
      <c r="K112" s="231"/>
      <c r="L112" s="231"/>
      <c r="M112" s="231"/>
      <c r="N112" s="231"/>
      <c r="O112" s="231"/>
      <c r="P112" s="231"/>
      <c r="Q112" s="231"/>
      <c r="R112" s="231"/>
      <c r="S112" s="231"/>
      <c r="T112" s="231"/>
      <c r="U112" s="231"/>
      <c r="V112" s="231"/>
      <c r="W112" s="231"/>
      <c r="X112" s="231"/>
      <c r="Y112" s="231"/>
      <c r="Z112" s="231"/>
      <c r="AA112" s="231"/>
      <c r="AB112" s="231"/>
      <c r="AC112" s="231"/>
      <c r="AD112" s="231"/>
      <c r="AE112" s="231"/>
      <c r="AF112" s="231"/>
      <c r="AG112" s="231"/>
    </row>
    <row r="113" spans="1:33" s="203" customFormat="1">
      <c r="A113" s="120">
        <v>15</v>
      </c>
      <c r="B113" s="47" t="s">
        <v>120</v>
      </c>
      <c r="C113" s="47"/>
      <c r="D113" s="47"/>
      <c r="E113" s="49">
        <v>0</v>
      </c>
      <c r="F113" s="52">
        <v>0</v>
      </c>
      <c r="G113" s="118"/>
      <c r="H113" s="122">
        <v>0</v>
      </c>
      <c r="I113" s="118"/>
      <c r="J113" s="231"/>
      <c r="K113" s="231"/>
      <c r="L113" s="231"/>
      <c r="M113" s="231"/>
      <c r="N113" s="231"/>
      <c r="O113" s="231"/>
      <c r="P113" s="231"/>
      <c r="Q113" s="231"/>
      <c r="R113" s="231"/>
      <c r="S113" s="231"/>
      <c r="T113" s="231"/>
      <c r="U113" s="231"/>
      <c r="V113" s="231"/>
      <c r="W113" s="231"/>
      <c r="X113" s="231"/>
      <c r="Y113" s="231"/>
      <c r="Z113" s="231"/>
      <c r="AA113" s="231"/>
      <c r="AB113" s="231"/>
      <c r="AC113" s="231"/>
      <c r="AD113" s="231"/>
      <c r="AE113" s="231"/>
      <c r="AF113" s="231"/>
      <c r="AG113" s="231"/>
    </row>
    <row r="114" spans="1:33" s="203" customFormat="1">
      <c r="A114" s="120">
        <v>16</v>
      </c>
      <c r="B114" s="47" t="s">
        <v>121</v>
      </c>
      <c r="C114" s="47"/>
      <c r="D114" s="47"/>
      <c r="E114" s="49">
        <v>11082.169850000008</v>
      </c>
      <c r="F114" s="52">
        <v>13844</v>
      </c>
      <c r="G114" s="118"/>
      <c r="H114" s="100">
        <v>13185</v>
      </c>
      <c r="I114" s="118"/>
      <c r="J114" s="231"/>
      <c r="K114" s="231"/>
      <c r="L114" s="231"/>
      <c r="M114" s="231"/>
      <c r="N114" s="231"/>
      <c r="O114" s="231"/>
      <c r="P114" s="231"/>
      <c r="Q114" s="231"/>
      <c r="R114" s="231"/>
      <c r="S114" s="231"/>
      <c r="T114" s="231"/>
      <c r="U114" s="231"/>
      <c r="V114" s="231"/>
      <c r="W114" s="231"/>
      <c r="X114" s="231"/>
      <c r="Y114" s="231"/>
      <c r="Z114" s="231"/>
      <c r="AA114" s="231"/>
      <c r="AB114" s="231"/>
      <c r="AC114" s="231"/>
      <c r="AD114" s="231"/>
      <c r="AE114" s="231"/>
      <c r="AF114" s="231"/>
      <c r="AG114" s="231"/>
    </row>
    <row r="115" spans="1:33" s="203" customFormat="1">
      <c r="A115" s="120">
        <v>17</v>
      </c>
      <c r="B115" s="116" t="s">
        <v>122</v>
      </c>
      <c r="C115" s="116"/>
      <c r="D115" s="116"/>
      <c r="E115" s="80">
        <v>28689.122850000007</v>
      </c>
      <c r="F115" s="142">
        <f>SUM(F110:F114)</f>
        <v>33657</v>
      </c>
      <c r="G115" s="118"/>
      <c r="H115" s="142">
        <f>SUM(H110:H114)</f>
        <v>33070</v>
      </c>
      <c r="I115" s="139"/>
      <c r="J115" s="231"/>
      <c r="K115" s="231"/>
      <c r="L115" s="231"/>
      <c r="M115" s="231"/>
      <c r="N115" s="231"/>
      <c r="O115" s="231"/>
      <c r="P115" s="231"/>
      <c r="Q115" s="231"/>
      <c r="R115" s="231"/>
      <c r="S115" s="231"/>
      <c r="T115" s="231"/>
      <c r="U115" s="231"/>
      <c r="V115" s="231"/>
      <c r="W115" s="231"/>
      <c r="X115" s="231"/>
      <c r="Y115" s="231"/>
      <c r="Z115" s="231"/>
      <c r="AA115" s="231"/>
      <c r="AB115" s="231"/>
      <c r="AC115" s="231"/>
      <c r="AD115" s="231"/>
      <c r="AE115" s="231"/>
      <c r="AF115" s="231"/>
      <c r="AG115" s="231"/>
    </row>
    <row r="116" spans="1:33" s="203" customFormat="1">
      <c r="A116" s="111"/>
      <c r="B116" s="116"/>
      <c r="C116" s="116"/>
      <c r="D116" s="116"/>
      <c r="E116" s="143"/>
      <c r="F116" s="118"/>
      <c r="G116" s="118"/>
      <c r="H116" s="118"/>
      <c r="I116" s="139"/>
      <c r="J116" s="231"/>
      <c r="K116" s="231"/>
      <c r="L116" s="231"/>
      <c r="M116" s="231"/>
      <c r="N116" s="231"/>
      <c r="O116" s="231"/>
      <c r="P116" s="231"/>
      <c r="Q116" s="231"/>
      <c r="R116" s="231"/>
      <c r="S116" s="231"/>
      <c r="T116" s="231"/>
      <c r="U116" s="231"/>
      <c r="V116" s="231"/>
      <c r="W116" s="231"/>
      <c r="X116" s="231"/>
      <c r="Y116" s="231"/>
      <c r="Z116" s="231"/>
      <c r="AA116" s="231"/>
      <c r="AB116" s="231"/>
      <c r="AC116" s="231"/>
      <c r="AD116" s="231"/>
      <c r="AE116" s="231"/>
      <c r="AF116" s="231"/>
      <c r="AG116" s="231"/>
    </row>
    <row r="117" spans="1:33" s="203" customFormat="1">
      <c r="A117" s="144" t="s">
        <v>107</v>
      </c>
      <c r="B117" s="116"/>
      <c r="C117" s="116"/>
      <c r="D117" s="116"/>
      <c r="E117" s="145"/>
      <c r="F117" s="146"/>
      <c r="G117" s="118"/>
      <c r="H117" s="146"/>
      <c r="I117" s="139"/>
      <c r="J117" s="231"/>
      <c r="K117" s="231"/>
      <c r="L117" s="231"/>
      <c r="M117" s="231"/>
      <c r="N117" s="231"/>
      <c r="O117" s="231"/>
      <c r="P117" s="231"/>
      <c r="Q117" s="231"/>
      <c r="R117" s="231"/>
      <c r="S117" s="231"/>
      <c r="T117" s="231"/>
      <c r="U117" s="231"/>
      <c r="V117" s="231"/>
      <c r="W117" s="231"/>
      <c r="X117" s="231"/>
      <c r="Y117" s="231"/>
      <c r="Z117" s="231"/>
      <c r="AA117" s="231"/>
      <c r="AB117" s="231"/>
      <c r="AC117" s="231"/>
      <c r="AD117" s="231"/>
      <c r="AE117" s="231"/>
      <c r="AF117" s="231"/>
      <c r="AG117" s="231"/>
    </row>
    <row r="118" spans="1:33" s="203" customFormat="1">
      <c r="A118" s="120">
        <v>18</v>
      </c>
      <c r="B118" s="47" t="s">
        <v>123</v>
      </c>
      <c r="C118" s="47"/>
      <c r="D118" s="47"/>
      <c r="E118" s="49">
        <v>5205.1674999999996</v>
      </c>
      <c r="F118" s="52">
        <v>5305</v>
      </c>
      <c r="G118" s="118"/>
      <c r="H118" s="122">
        <v>5402</v>
      </c>
      <c r="I118" s="118"/>
      <c r="J118" s="231"/>
      <c r="K118" s="231"/>
      <c r="L118" s="231"/>
      <c r="M118" s="231"/>
      <c r="N118" s="231"/>
      <c r="O118" s="231"/>
      <c r="P118" s="231"/>
      <c r="Q118" s="231"/>
      <c r="R118" s="231"/>
      <c r="S118" s="231"/>
      <c r="T118" s="231"/>
      <c r="U118" s="231"/>
      <c r="V118" s="231"/>
      <c r="W118" s="231"/>
      <c r="X118" s="231"/>
      <c r="Y118" s="231"/>
      <c r="Z118" s="231"/>
      <c r="AA118" s="231"/>
      <c r="AB118" s="231"/>
      <c r="AC118" s="231"/>
      <c r="AD118" s="231"/>
      <c r="AE118" s="231"/>
      <c r="AF118" s="231"/>
      <c r="AG118" s="231"/>
    </row>
    <row r="119" spans="1:33" s="203" customFormat="1">
      <c r="A119" s="120">
        <v>19</v>
      </c>
      <c r="B119" s="47" t="s">
        <v>124</v>
      </c>
      <c r="C119" s="47"/>
      <c r="D119" s="47"/>
      <c r="E119" s="49">
        <v>35093.010879999994</v>
      </c>
      <c r="F119" s="52">
        <v>39934</v>
      </c>
      <c r="G119" s="118"/>
      <c r="H119" s="122">
        <v>42171</v>
      </c>
      <c r="I119" s="118"/>
      <c r="J119" s="231"/>
      <c r="K119" s="231"/>
      <c r="L119" s="231"/>
      <c r="M119" s="231"/>
      <c r="N119" s="231"/>
      <c r="O119" s="231"/>
      <c r="P119" s="231"/>
      <c r="Q119" s="231"/>
      <c r="R119" s="231"/>
      <c r="S119" s="231"/>
      <c r="T119" s="231"/>
      <c r="U119" s="231"/>
      <c r="V119" s="231"/>
      <c r="W119" s="231"/>
      <c r="X119" s="231"/>
      <c r="Y119" s="231"/>
      <c r="Z119" s="231"/>
      <c r="AA119" s="231"/>
      <c r="AB119" s="231"/>
      <c r="AC119" s="231"/>
      <c r="AD119" s="231"/>
      <c r="AE119" s="231"/>
      <c r="AF119" s="231"/>
      <c r="AG119" s="231"/>
    </row>
    <row r="120" spans="1:33" s="203" customFormat="1">
      <c r="A120" s="120">
        <v>20</v>
      </c>
      <c r="B120" s="47" t="s">
        <v>119</v>
      </c>
      <c r="C120" s="47"/>
      <c r="D120" s="47"/>
      <c r="E120" s="49">
        <v>31829.944000000003</v>
      </c>
      <c r="F120" s="52">
        <v>34795</v>
      </c>
      <c r="G120" s="118"/>
      <c r="H120" s="122">
        <v>33659</v>
      </c>
      <c r="I120" s="118"/>
      <c r="J120" s="231"/>
      <c r="K120" s="231"/>
      <c r="L120" s="231"/>
      <c r="M120" s="231"/>
      <c r="N120" s="231"/>
      <c r="O120" s="231"/>
      <c r="P120" s="231"/>
      <c r="Q120" s="231"/>
      <c r="R120" s="231"/>
      <c r="S120" s="231"/>
      <c r="T120" s="231"/>
      <c r="U120" s="231"/>
      <c r="V120" s="231"/>
      <c r="W120" s="231"/>
      <c r="X120" s="231"/>
      <c r="Y120" s="231"/>
      <c r="Z120" s="231"/>
      <c r="AA120" s="231"/>
      <c r="AB120" s="231"/>
      <c r="AC120" s="231"/>
      <c r="AD120" s="231"/>
      <c r="AE120" s="231"/>
      <c r="AF120" s="231"/>
      <c r="AG120" s="231"/>
    </row>
    <row r="121" spans="1:33" s="203" customFormat="1">
      <c r="A121" s="120">
        <v>21</v>
      </c>
      <c r="B121" s="47" t="s">
        <v>120</v>
      </c>
      <c r="C121" s="47"/>
      <c r="D121" s="47"/>
      <c r="E121" s="49">
        <v>4100.9529999999995</v>
      </c>
      <c r="F121" s="52">
        <v>3955</v>
      </c>
      <c r="G121" s="118"/>
      <c r="H121" s="122">
        <v>4052</v>
      </c>
      <c r="I121" s="118"/>
      <c r="J121" s="231"/>
      <c r="K121" s="231"/>
      <c r="L121" s="231"/>
      <c r="M121" s="231"/>
      <c r="N121" s="231"/>
      <c r="O121" s="231"/>
      <c r="P121" s="231"/>
      <c r="Q121" s="231"/>
      <c r="R121" s="231"/>
      <c r="S121" s="231"/>
      <c r="T121" s="231"/>
      <c r="U121" s="231"/>
      <c r="V121" s="231"/>
      <c r="W121" s="231"/>
      <c r="X121" s="231"/>
      <c r="Y121" s="231"/>
      <c r="Z121" s="231"/>
      <c r="AA121" s="231"/>
      <c r="AB121" s="231"/>
      <c r="AC121" s="231"/>
      <c r="AD121" s="231"/>
      <c r="AE121" s="231"/>
      <c r="AF121" s="231"/>
      <c r="AG121" s="231"/>
    </row>
    <row r="122" spans="1:33" s="203" customFormat="1">
      <c r="A122" s="120">
        <v>22</v>
      </c>
      <c r="B122" s="47" t="s">
        <v>125</v>
      </c>
      <c r="C122" s="47"/>
      <c r="D122" s="47"/>
      <c r="E122" s="49">
        <v>2492.4686400000001</v>
      </c>
      <c r="F122" s="52">
        <v>3000</v>
      </c>
      <c r="G122" s="118"/>
      <c r="H122" s="122">
        <v>2544</v>
      </c>
      <c r="I122" s="118"/>
      <c r="J122" s="231"/>
      <c r="K122" s="231"/>
      <c r="L122" s="231"/>
      <c r="M122" s="231"/>
      <c r="N122" s="231"/>
      <c r="O122" s="231"/>
      <c r="P122" s="231"/>
      <c r="Q122" s="231"/>
      <c r="R122" s="231"/>
      <c r="S122" s="231"/>
      <c r="T122" s="231"/>
      <c r="U122" s="231"/>
      <c r="V122" s="231"/>
      <c r="W122" s="231"/>
      <c r="X122" s="231"/>
      <c r="Y122" s="231"/>
      <c r="Z122" s="231"/>
      <c r="AA122" s="231"/>
      <c r="AB122" s="231"/>
      <c r="AC122" s="231"/>
      <c r="AD122" s="231"/>
      <c r="AE122" s="231"/>
      <c r="AF122" s="231"/>
      <c r="AG122" s="231"/>
    </row>
    <row r="123" spans="1:33" s="203" customFormat="1">
      <c r="A123" s="120">
        <v>23</v>
      </c>
      <c r="B123" s="90" t="s">
        <v>126</v>
      </c>
      <c r="C123" s="47"/>
      <c r="D123" s="47"/>
      <c r="E123" s="49">
        <v>657</v>
      </c>
      <c r="F123" s="52">
        <v>730</v>
      </c>
      <c r="G123" s="118"/>
      <c r="H123" s="99">
        <v>748</v>
      </c>
      <c r="I123" s="118"/>
      <c r="J123" s="231"/>
      <c r="K123" s="231"/>
      <c r="L123" s="231"/>
      <c r="M123" s="231"/>
      <c r="N123" s="231"/>
      <c r="O123" s="231"/>
      <c r="P123" s="231"/>
      <c r="Q123" s="231"/>
      <c r="R123" s="231"/>
      <c r="S123" s="231"/>
      <c r="T123" s="231"/>
      <c r="U123" s="231"/>
      <c r="V123" s="231"/>
      <c r="W123" s="231"/>
      <c r="X123" s="231"/>
      <c r="Y123" s="231"/>
      <c r="Z123" s="231"/>
      <c r="AA123" s="231"/>
      <c r="AB123" s="231"/>
      <c r="AC123" s="231"/>
      <c r="AD123" s="231"/>
      <c r="AE123" s="231"/>
      <c r="AF123" s="231"/>
      <c r="AG123" s="231"/>
    </row>
    <row r="124" spans="1:33" s="203" customFormat="1">
      <c r="A124" s="120">
        <v>24</v>
      </c>
      <c r="B124" s="47" t="s">
        <v>121</v>
      </c>
      <c r="C124" s="47"/>
      <c r="D124" s="47"/>
      <c r="E124" s="49">
        <v>1894.2145214906209</v>
      </c>
      <c r="F124" s="52">
        <v>2842</v>
      </c>
      <c r="G124" s="118"/>
      <c r="H124" s="100">
        <v>5370</v>
      </c>
      <c r="I124" s="118"/>
      <c r="J124" s="231"/>
      <c r="K124" s="231"/>
      <c r="L124" s="231"/>
      <c r="M124" s="231"/>
      <c r="N124" s="231"/>
      <c r="O124" s="231"/>
      <c r="P124" s="231"/>
      <c r="Q124" s="231"/>
      <c r="R124" s="231"/>
      <c r="S124" s="231"/>
      <c r="T124" s="231"/>
      <c r="U124" s="231"/>
      <c r="V124" s="231"/>
      <c r="W124" s="231"/>
      <c r="X124" s="231"/>
      <c r="Y124" s="231"/>
      <c r="Z124" s="231"/>
      <c r="AA124" s="231"/>
      <c r="AB124" s="231"/>
      <c r="AC124" s="231"/>
      <c r="AD124" s="231"/>
      <c r="AE124" s="231"/>
      <c r="AF124" s="231"/>
      <c r="AG124" s="231"/>
    </row>
    <row r="125" spans="1:33" s="203" customFormat="1">
      <c r="A125" s="120">
        <v>25</v>
      </c>
      <c r="B125" s="147" t="s">
        <v>127</v>
      </c>
      <c r="C125" s="147"/>
      <c r="D125" s="147"/>
      <c r="E125" s="80">
        <v>81272.758541490621</v>
      </c>
      <c r="F125" s="142">
        <f>SUM(F118:F124)</f>
        <v>90561</v>
      </c>
      <c r="G125" s="118"/>
      <c r="H125" s="142">
        <f>SUM(H118:H124)</f>
        <v>93946</v>
      </c>
      <c r="I125" s="139"/>
      <c r="J125" s="231"/>
      <c r="K125" s="231"/>
      <c r="L125" s="231"/>
      <c r="M125" s="231"/>
      <c r="N125" s="231"/>
      <c r="O125" s="231"/>
      <c r="P125" s="231"/>
      <c r="Q125" s="231"/>
      <c r="R125" s="231"/>
      <c r="S125" s="231"/>
      <c r="T125" s="231"/>
      <c r="U125" s="231"/>
      <c r="V125" s="231"/>
      <c r="W125" s="231"/>
      <c r="X125" s="231"/>
      <c r="Y125" s="231"/>
      <c r="Z125" s="231"/>
      <c r="AA125" s="231"/>
      <c r="AB125" s="231"/>
      <c r="AC125" s="231"/>
      <c r="AD125" s="231"/>
      <c r="AE125" s="231"/>
      <c r="AF125" s="231"/>
      <c r="AG125" s="231"/>
    </row>
    <row r="126" spans="1:33" s="203" customFormat="1">
      <c r="A126" s="111"/>
      <c r="B126" s="47"/>
      <c r="C126" s="47"/>
      <c r="D126" s="47"/>
      <c r="E126" s="117"/>
      <c r="F126" s="118"/>
      <c r="G126" s="118"/>
      <c r="H126" s="118"/>
      <c r="I126" s="139"/>
      <c r="J126" s="231"/>
      <c r="K126" s="231"/>
      <c r="L126" s="231"/>
      <c r="M126" s="231"/>
      <c r="N126" s="231"/>
      <c r="O126" s="231"/>
      <c r="P126" s="231"/>
      <c r="Q126" s="231"/>
      <c r="R126" s="231"/>
      <c r="S126" s="231"/>
      <c r="T126" s="231"/>
      <c r="U126" s="231"/>
      <c r="V126" s="231"/>
      <c r="W126" s="231"/>
      <c r="X126" s="231"/>
      <c r="Y126" s="231"/>
      <c r="Z126" s="231"/>
      <c r="AA126" s="231"/>
      <c r="AB126" s="231"/>
      <c r="AC126" s="231"/>
      <c r="AD126" s="231"/>
      <c r="AE126" s="231"/>
      <c r="AF126" s="231"/>
      <c r="AG126" s="231"/>
    </row>
    <row r="127" spans="1:33" s="203" customFormat="1">
      <c r="A127" s="119" t="s">
        <v>108</v>
      </c>
      <c r="B127" s="147"/>
      <c r="C127" s="147"/>
      <c r="D127" s="147"/>
      <c r="E127" s="140"/>
      <c r="F127" s="146"/>
      <c r="G127" s="118"/>
      <c r="H127" s="146"/>
      <c r="I127" s="139"/>
      <c r="J127" s="231"/>
      <c r="K127" s="231"/>
      <c r="L127" s="231"/>
      <c r="M127" s="231"/>
      <c r="N127" s="231"/>
      <c r="O127" s="231"/>
      <c r="P127" s="231"/>
      <c r="Q127" s="231"/>
      <c r="R127" s="231"/>
      <c r="S127" s="231"/>
      <c r="T127" s="231"/>
      <c r="U127" s="231"/>
      <c r="V127" s="231"/>
      <c r="W127" s="231"/>
      <c r="X127" s="231"/>
      <c r="Y127" s="231"/>
      <c r="Z127" s="231"/>
      <c r="AA127" s="231"/>
      <c r="AB127" s="231"/>
      <c r="AC127" s="231"/>
      <c r="AD127" s="231"/>
      <c r="AE127" s="231"/>
      <c r="AF127" s="231"/>
      <c r="AG127" s="231"/>
    </row>
    <row r="128" spans="1:33" s="203" customFormat="1">
      <c r="A128" s="120">
        <v>26</v>
      </c>
      <c r="B128" s="47" t="s">
        <v>123</v>
      </c>
      <c r="C128" s="47"/>
      <c r="D128" s="47"/>
      <c r="E128" s="74">
        <v>1811.9164188999998</v>
      </c>
      <c r="F128" s="52">
        <v>1855</v>
      </c>
      <c r="G128" s="118"/>
      <c r="H128" s="122">
        <v>1915</v>
      </c>
      <c r="I128" s="118"/>
      <c r="J128" s="231"/>
      <c r="K128" s="231"/>
      <c r="L128" s="231"/>
      <c r="M128" s="231"/>
      <c r="N128" s="231"/>
      <c r="O128" s="231"/>
      <c r="P128" s="231"/>
      <c r="Q128" s="231"/>
      <c r="R128" s="231"/>
      <c r="S128" s="231"/>
      <c r="T128" s="231"/>
      <c r="U128" s="231"/>
      <c r="V128" s="231"/>
      <c r="W128" s="231"/>
      <c r="X128" s="231"/>
      <c r="Y128" s="231"/>
      <c r="Z128" s="231"/>
      <c r="AA128" s="231"/>
      <c r="AB128" s="231"/>
      <c r="AC128" s="231"/>
      <c r="AD128" s="231"/>
      <c r="AE128" s="231"/>
      <c r="AF128" s="231"/>
      <c r="AG128" s="231"/>
    </row>
    <row r="129" spans="1:33" s="203" customFormat="1">
      <c r="A129" s="120">
        <v>27</v>
      </c>
      <c r="B129" s="47" t="s">
        <v>124</v>
      </c>
      <c r="C129" s="47"/>
      <c r="D129" s="47"/>
      <c r="E129" s="49">
        <v>4211.3924399999996</v>
      </c>
      <c r="F129" s="52">
        <v>4924</v>
      </c>
      <c r="G129" s="118"/>
      <c r="H129" s="122">
        <v>5307</v>
      </c>
      <c r="I129" s="118"/>
      <c r="J129" s="231"/>
      <c r="K129" s="231"/>
      <c r="L129" s="231"/>
      <c r="M129" s="231"/>
      <c r="N129" s="231"/>
      <c r="O129" s="231"/>
      <c r="P129" s="231"/>
      <c r="Q129" s="231"/>
      <c r="R129" s="231"/>
      <c r="S129" s="231"/>
      <c r="T129" s="231"/>
      <c r="U129" s="231"/>
      <c r="V129" s="231"/>
      <c r="W129" s="231"/>
      <c r="X129" s="231"/>
      <c r="Y129" s="231"/>
      <c r="Z129" s="231"/>
      <c r="AA129" s="231"/>
      <c r="AB129" s="231"/>
      <c r="AC129" s="231"/>
      <c r="AD129" s="231"/>
      <c r="AE129" s="231"/>
      <c r="AF129" s="231"/>
      <c r="AG129" s="231"/>
    </row>
    <row r="130" spans="1:33" s="203" customFormat="1">
      <c r="A130" s="120">
        <v>28</v>
      </c>
      <c r="B130" s="47" t="s">
        <v>119</v>
      </c>
      <c r="C130" s="47"/>
      <c r="D130" s="47"/>
      <c r="E130" s="49">
        <v>1115</v>
      </c>
      <c r="F130" s="52">
        <v>1108</v>
      </c>
      <c r="G130" s="118"/>
      <c r="H130" s="122">
        <v>1136</v>
      </c>
      <c r="I130" s="118"/>
      <c r="J130" s="231"/>
      <c r="K130" s="231"/>
      <c r="L130" s="231"/>
      <c r="M130" s="231"/>
      <c r="N130" s="231"/>
      <c r="O130" s="231"/>
      <c r="P130" s="231"/>
      <c r="Q130" s="231"/>
      <c r="R130" s="231"/>
      <c r="S130" s="231"/>
      <c r="T130" s="231"/>
      <c r="U130" s="231"/>
      <c r="V130" s="231"/>
      <c r="W130" s="231"/>
      <c r="X130" s="231"/>
      <c r="Y130" s="231"/>
      <c r="Z130" s="231"/>
      <c r="AA130" s="231"/>
      <c r="AB130" s="231"/>
      <c r="AC130" s="231"/>
      <c r="AD130" s="231"/>
      <c r="AE130" s="231"/>
      <c r="AF130" s="231"/>
      <c r="AG130" s="231"/>
    </row>
    <row r="131" spans="1:33" s="203" customFormat="1">
      <c r="A131" s="120">
        <v>29</v>
      </c>
      <c r="B131" s="47" t="s">
        <v>120</v>
      </c>
      <c r="C131" s="47"/>
      <c r="D131" s="47"/>
      <c r="E131" s="49">
        <v>148.88</v>
      </c>
      <c r="F131" s="52">
        <v>74</v>
      </c>
      <c r="G131" s="118"/>
      <c r="H131" s="122">
        <v>0</v>
      </c>
      <c r="I131" s="118"/>
      <c r="J131" s="231"/>
      <c r="K131" s="231"/>
      <c r="L131" s="231"/>
      <c r="M131" s="231"/>
      <c r="N131" s="231"/>
      <c r="O131" s="231"/>
      <c r="P131" s="231"/>
      <c r="Q131" s="231"/>
      <c r="R131" s="231"/>
      <c r="S131" s="231"/>
      <c r="T131" s="231"/>
      <c r="U131" s="231"/>
      <c r="V131" s="231"/>
      <c r="W131" s="231"/>
      <c r="X131" s="231"/>
      <c r="Y131" s="231"/>
      <c r="Z131" s="231"/>
      <c r="AA131" s="231"/>
      <c r="AB131" s="231"/>
      <c r="AC131" s="231"/>
      <c r="AD131" s="231"/>
      <c r="AE131" s="231"/>
      <c r="AF131" s="231"/>
      <c r="AG131" s="231"/>
    </row>
    <row r="132" spans="1:33" s="203" customFormat="1">
      <c r="A132" s="120">
        <v>30</v>
      </c>
      <c r="B132" s="47" t="s">
        <v>125</v>
      </c>
      <c r="C132" s="47"/>
      <c r="D132" s="47"/>
      <c r="E132" s="49">
        <v>900.05812000000003</v>
      </c>
      <c r="F132" s="52">
        <v>1083</v>
      </c>
      <c r="G132" s="118"/>
      <c r="H132" s="122">
        <v>919</v>
      </c>
      <c r="I132" s="118"/>
      <c r="J132" s="231"/>
      <c r="K132" s="231"/>
      <c r="L132" s="231"/>
      <c r="M132" s="231"/>
      <c r="N132" s="231"/>
      <c r="O132" s="231"/>
      <c r="P132" s="231"/>
      <c r="Q132" s="231"/>
      <c r="R132" s="231"/>
      <c r="S132" s="231"/>
      <c r="T132" s="231"/>
      <c r="U132" s="231"/>
      <c r="V132" s="231"/>
      <c r="W132" s="231"/>
      <c r="X132" s="231"/>
      <c r="Y132" s="231"/>
      <c r="Z132" s="231"/>
      <c r="AA132" s="231"/>
      <c r="AB132" s="231"/>
      <c r="AC132" s="231"/>
      <c r="AD132" s="231"/>
      <c r="AE132" s="231"/>
      <c r="AF132" s="231"/>
      <c r="AG132" s="231"/>
    </row>
    <row r="133" spans="1:33" s="203" customFormat="1">
      <c r="A133" s="120">
        <v>31</v>
      </c>
      <c r="B133" s="90" t="s">
        <v>126</v>
      </c>
      <c r="C133" s="47"/>
      <c r="D133" s="47"/>
      <c r="E133" s="49">
        <v>3718.9339999999997</v>
      </c>
      <c r="F133" s="52">
        <v>3892</v>
      </c>
      <c r="G133" s="118"/>
      <c r="H133" s="122">
        <v>4013</v>
      </c>
      <c r="I133" s="118"/>
      <c r="J133" s="231"/>
      <c r="K133" s="231"/>
      <c r="L133" s="231"/>
      <c r="M133" s="231"/>
      <c r="N133" s="231"/>
      <c r="O133" s="231"/>
      <c r="P133" s="231"/>
      <c r="Q133" s="231"/>
      <c r="R133" s="231"/>
      <c r="S133" s="231"/>
      <c r="T133" s="231"/>
      <c r="U133" s="231"/>
      <c r="V133" s="231"/>
      <c r="W133" s="231"/>
      <c r="X133" s="231"/>
      <c r="Y133" s="231"/>
      <c r="Z133" s="231"/>
      <c r="AA133" s="231"/>
      <c r="AB133" s="231"/>
      <c r="AC133" s="231"/>
      <c r="AD133" s="231"/>
      <c r="AE133" s="231"/>
      <c r="AF133" s="231"/>
      <c r="AG133" s="231"/>
    </row>
    <row r="134" spans="1:33" s="203" customFormat="1">
      <c r="A134" s="120">
        <v>32</v>
      </c>
      <c r="B134" s="47" t="s">
        <v>121</v>
      </c>
      <c r="C134" s="47"/>
      <c r="D134" s="47"/>
      <c r="E134" s="49">
        <v>371.52118770000106</v>
      </c>
      <c r="F134" s="52">
        <v>254</v>
      </c>
      <c r="G134" s="118"/>
      <c r="H134" s="100">
        <v>325</v>
      </c>
      <c r="I134" s="118"/>
      <c r="J134" s="231"/>
      <c r="K134" s="231"/>
      <c r="L134" s="231"/>
      <c r="M134" s="231"/>
      <c r="N134" s="231"/>
      <c r="O134" s="231"/>
      <c r="P134" s="231"/>
      <c r="Q134" s="231"/>
      <c r="R134" s="231"/>
      <c r="S134" s="231"/>
      <c r="T134" s="231"/>
      <c r="U134" s="231"/>
      <c r="V134" s="231"/>
      <c r="W134" s="231"/>
      <c r="X134" s="231"/>
      <c r="Y134" s="231"/>
      <c r="Z134" s="231"/>
      <c r="AA134" s="231"/>
      <c r="AB134" s="231"/>
      <c r="AC134" s="231"/>
      <c r="AD134" s="231"/>
      <c r="AE134" s="231"/>
      <c r="AF134" s="231"/>
      <c r="AG134" s="231"/>
    </row>
    <row r="135" spans="1:33" s="203" customFormat="1">
      <c r="A135" s="120">
        <v>33</v>
      </c>
      <c r="B135" s="116" t="s">
        <v>128</v>
      </c>
      <c r="C135" s="116"/>
      <c r="D135" s="116"/>
      <c r="E135" s="80">
        <v>12277.7021666</v>
      </c>
      <c r="F135" s="142">
        <f>SUM(F128:F134)</f>
        <v>13190</v>
      </c>
      <c r="G135" s="118"/>
      <c r="H135" s="142">
        <f>SUM(H128:H134)</f>
        <v>13615</v>
      </c>
      <c r="I135" s="139"/>
      <c r="J135" s="231"/>
      <c r="K135" s="231"/>
      <c r="L135" s="231"/>
      <c r="M135" s="231"/>
      <c r="N135" s="231"/>
      <c r="O135" s="231"/>
      <c r="P135" s="231"/>
      <c r="Q135" s="231"/>
      <c r="R135" s="231"/>
      <c r="S135" s="231"/>
      <c r="T135" s="231"/>
      <c r="U135" s="231"/>
      <c r="V135" s="231"/>
      <c r="W135" s="231"/>
      <c r="X135" s="231"/>
      <c r="Y135" s="231"/>
      <c r="Z135" s="231"/>
      <c r="AA135" s="231"/>
      <c r="AB135" s="231"/>
      <c r="AC135" s="231"/>
      <c r="AD135" s="231"/>
      <c r="AE135" s="231"/>
      <c r="AF135" s="231"/>
      <c r="AG135" s="231"/>
    </row>
    <row r="136" spans="1:33" s="203" customFormat="1">
      <c r="A136" s="111"/>
      <c r="B136" s="47"/>
      <c r="C136" s="47"/>
      <c r="D136" s="138"/>
      <c r="E136" s="117"/>
      <c r="F136" s="118"/>
      <c r="G136" s="118"/>
      <c r="H136" s="118"/>
      <c r="I136" s="139"/>
      <c r="J136" s="231"/>
      <c r="K136" s="231"/>
      <c r="L136" s="231"/>
      <c r="M136" s="231"/>
      <c r="N136" s="231"/>
      <c r="O136" s="231"/>
      <c r="P136" s="231"/>
      <c r="Q136" s="231"/>
      <c r="R136" s="231"/>
      <c r="S136" s="231"/>
      <c r="T136" s="231"/>
      <c r="U136" s="231"/>
      <c r="V136" s="231"/>
      <c r="W136" s="231"/>
      <c r="X136" s="231"/>
      <c r="Y136" s="231"/>
      <c r="Z136" s="231"/>
      <c r="AA136" s="231"/>
      <c r="AB136" s="231"/>
      <c r="AC136" s="231"/>
      <c r="AD136" s="231"/>
      <c r="AE136" s="231"/>
      <c r="AF136" s="231"/>
      <c r="AG136" s="231"/>
    </row>
    <row r="137" spans="1:33" s="203" customFormat="1">
      <c r="A137" s="119" t="s">
        <v>109</v>
      </c>
      <c r="B137" s="116"/>
      <c r="C137" s="116"/>
      <c r="D137" s="116"/>
      <c r="E137" s="140"/>
      <c r="F137" s="146"/>
      <c r="G137" s="118"/>
      <c r="H137" s="146"/>
      <c r="I137" s="139"/>
      <c r="J137" s="231"/>
      <c r="K137" s="231"/>
      <c r="L137" s="231"/>
      <c r="M137" s="231"/>
      <c r="N137" s="231"/>
      <c r="O137" s="231"/>
      <c r="P137" s="231"/>
      <c r="Q137" s="231"/>
      <c r="R137" s="231"/>
      <c r="S137" s="231"/>
      <c r="T137" s="231"/>
      <c r="U137" s="231"/>
      <c r="V137" s="231"/>
      <c r="W137" s="231"/>
      <c r="X137" s="231"/>
      <c r="Y137" s="231"/>
      <c r="Z137" s="231"/>
      <c r="AA137" s="231"/>
      <c r="AB137" s="231"/>
      <c r="AC137" s="231"/>
      <c r="AD137" s="231"/>
      <c r="AE137" s="231"/>
      <c r="AF137" s="231"/>
      <c r="AG137" s="231"/>
    </row>
    <row r="138" spans="1:33" s="203" customFormat="1">
      <c r="A138" s="120">
        <v>34</v>
      </c>
      <c r="B138" s="47" t="s">
        <v>123</v>
      </c>
      <c r="C138" s="47"/>
      <c r="D138" s="47"/>
      <c r="E138" s="49">
        <v>1810.9881421999999</v>
      </c>
      <c r="F138" s="52">
        <v>1853</v>
      </c>
      <c r="G138" s="118"/>
      <c r="H138" s="122">
        <v>1914</v>
      </c>
      <c r="I138" s="118"/>
      <c r="J138" s="231"/>
      <c r="K138" s="231"/>
      <c r="L138" s="231"/>
      <c r="M138" s="231"/>
      <c r="N138" s="231"/>
      <c r="O138" s="231"/>
      <c r="P138" s="231"/>
      <c r="Q138" s="231"/>
      <c r="R138" s="231"/>
      <c r="S138" s="231"/>
      <c r="T138" s="231"/>
      <c r="U138" s="231"/>
      <c r="V138" s="231"/>
      <c r="W138" s="231"/>
      <c r="X138" s="231"/>
      <c r="Y138" s="231"/>
      <c r="Z138" s="231"/>
      <c r="AA138" s="231"/>
      <c r="AB138" s="231"/>
      <c r="AC138" s="231"/>
      <c r="AD138" s="231"/>
      <c r="AE138" s="231"/>
      <c r="AF138" s="231"/>
      <c r="AG138" s="231"/>
    </row>
    <row r="139" spans="1:33" s="203" customFormat="1">
      <c r="A139" s="120">
        <v>35</v>
      </c>
      <c r="B139" s="47" t="s">
        <v>119</v>
      </c>
      <c r="C139" s="47"/>
      <c r="D139" s="47"/>
      <c r="E139" s="49">
        <v>1750</v>
      </c>
      <c r="F139" s="52">
        <v>1640</v>
      </c>
      <c r="G139" s="118"/>
      <c r="H139" s="122">
        <v>1680</v>
      </c>
      <c r="I139" s="118"/>
      <c r="J139" s="231"/>
      <c r="K139" s="231"/>
      <c r="L139" s="231"/>
      <c r="M139" s="231"/>
      <c r="N139" s="231"/>
      <c r="O139" s="231"/>
      <c r="P139" s="231"/>
      <c r="Q139" s="231"/>
      <c r="R139" s="231"/>
      <c r="S139" s="231"/>
      <c r="T139" s="231"/>
      <c r="U139" s="231"/>
      <c r="V139" s="231"/>
      <c r="W139" s="231"/>
      <c r="X139" s="231"/>
      <c r="Y139" s="231"/>
      <c r="Z139" s="231"/>
      <c r="AA139" s="231"/>
      <c r="AB139" s="231"/>
      <c r="AC139" s="231"/>
      <c r="AD139" s="231"/>
      <c r="AE139" s="231"/>
      <c r="AF139" s="231"/>
      <c r="AG139" s="231"/>
    </row>
    <row r="140" spans="1:33" s="203" customFormat="1">
      <c r="A140" s="120">
        <v>36</v>
      </c>
      <c r="B140" s="47" t="s">
        <v>120</v>
      </c>
      <c r="C140" s="47"/>
      <c r="D140" s="47"/>
      <c r="E140" s="49">
        <v>30280.288</v>
      </c>
      <c r="F140" s="52">
        <v>6121</v>
      </c>
      <c r="G140" s="118"/>
      <c r="H140" s="122">
        <v>6289</v>
      </c>
      <c r="I140" s="118"/>
      <c r="J140" s="231"/>
      <c r="K140" s="231"/>
      <c r="L140" s="231"/>
      <c r="M140" s="231"/>
      <c r="N140" s="231"/>
      <c r="O140" s="231"/>
      <c r="P140" s="231"/>
      <c r="Q140" s="231"/>
      <c r="R140" s="231"/>
      <c r="S140" s="231"/>
      <c r="T140" s="231"/>
      <c r="U140" s="231"/>
      <c r="V140" s="231"/>
      <c r="W140" s="231"/>
      <c r="X140" s="231"/>
      <c r="Y140" s="231"/>
      <c r="Z140" s="231"/>
      <c r="AA140" s="231"/>
      <c r="AB140" s="231"/>
      <c r="AC140" s="231"/>
      <c r="AD140" s="231"/>
      <c r="AE140" s="231"/>
      <c r="AF140" s="231"/>
      <c r="AG140" s="231"/>
    </row>
    <row r="141" spans="1:33" s="203" customFormat="1">
      <c r="A141" s="120">
        <v>37</v>
      </c>
      <c r="B141" s="90" t="s">
        <v>126</v>
      </c>
      <c r="C141" s="47"/>
      <c r="D141" s="47"/>
      <c r="E141" s="49">
        <v>0</v>
      </c>
      <c r="F141" s="52">
        <v>0</v>
      </c>
      <c r="G141" s="118"/>
      <c r="H141" s="99">
        <v>0</v>
      </c>
      <c r="I141" s="118"/>
      <c r="J141" s="231"/>
      <c r="K141" s="231"/>
      <c r="L141" s="231"/>
      <c r="M141" s="231"/>
      <c r="N141" s="231"/>
      <c r="O141" s="231"/>
      <c r="P141" s="231"/>
      <c r="Q141" s="231"/>
      <c r="R141" s="231"/>
      <c r="S141" s="231"/>
      <c r="T141" s="231"/>
      <c r="U141" s="231"/>
      <c r="V141" s="231"/>
      <c r="W141" s="231"/>
      <c r="X141" s="231"/>
      <c r="Y141" s="231"/>
      <c r="Z141" s="231"/>
      <c r="AA141" s="231"/>
      <c r="AB141" s="231"/>
      <c r="AC141" s="231"/>
      <c r="AD141" s="231"/>
      <c r="AE141" s="231"/>
      <c r="AF141" s="231"/>
      <c r="AG141" s="231"/>
    </row>
    <row r="142" spans="1:33" s="203" customFormat="1">
      <c r="A142" s="120">
        <v>38</v>
      </c>
      <c r="B142" s="47" t="s">
        <v>121</v>
      </c>
      <c r="C142" s="47"/>
      <c r="D142" s="47"/>
      <c r="E142" s="49">
        <v>2469.4056879000068</v>
      </c>
      <c r="F142" s="52">
        <v>19929</v>
      </c>
      <c r="G142" s="118"/>
      <c r="H142" s="100">
        <v>21647</v>
      </c>
      <c r="I142" s="118"/>
      <c r="J142" s="231"/>
      <c r="K142" s="231"/>
      <c r="L142" s="231"/>
      <c r="M142" s="231"/>
      <c r="N142" s="231"/>
      <c r="O142" s="231"/>
      <c r="P142" s="231"/>
      <c r="Q142" s="231"/>
      <c r="R142" s="231"/>
      <c r="S142" s="231"/>
      <c r="T142" s="231"/>
      <c r="U142" s="231"/>
      <c r="V142" s="231"/>
      <c r="W142" s="231"/>
      <c r="X142" s="231"/>
      <c r="Y142" s="231"/>
      <c r="Z142" s="231"/>
      <c r="AA142" s="231"/>
      <c r="AB142" s="231"/>
      <c r="AC142" s="231"/>
      <c r="AD142" s="231"/>
      <c r="AE142" s="231"/>
      <c r="AF142" s="231"/>
      <c r="AG142" s="231"/>
    </row>
    <row r="143" spans="1:33" s="203" customFormat="1">
      <c r="A143" s="120">
        <v>39</v>
      </c>
      <c r="B143" s="116" t="s">
        <v>129</v>
      </c>
      <c r="C143" s="116"/>
      <c r="D143" s="116"/>
      <c r="E143" s="80">
        <v>36310.681830100009</v>
      </c>
      <c r="F143" s="142">
        <f>SUM(F138:F142)</f>
        <v>29543</v>
      </c>
      <c r="G143" s="118"/>
      <c r="H143" s="142">
        <f>SUM(H138:H142)</f>
        <v>31530</v>
      </c>
      <c r="I143" s="139"/>
      <c r="J143" s="231"/>
      <c r="K143" s="231"/>
      <c r="L143" s="231"/>
      <c r="M143" s="231"/>
      <c r="N143" s="231"/>
      <c r="O143" s="231"/>
      <c r="P143" s="231"/>
      <c r="Q143" s="231"/>
      <c r="R143" s="231"/>
      <c r="S143" s="231"/>
      <c r="T143" s="231"/>
      <c r="U143" s="231"/>
      <c r="V143" s="231"/>
      <c r="W143" s="231"/>
      <c r="X143" s="231"/>
      <c r="Y143" s="231"/>
      <c r="Z143" s="231"/>
      <c r="AA143" s="231"/>
      <c r="AB143" s="231"/>
      <c r="AC143" s="231"/>
      <c r="AD143" s="231"/>
      <c r="AE143" s="231"/>
      <c r="AF143" s="231"/>
      <c r="AG143" s="231"/>
    </row>
    <row r="144" spans="1:33" s="203" customFormat="1">
      <c r="A144" s="111"/>
      <c r="B144" s="47"/>
      <c r="C144" s="47"/>
      <c r="D144" s="47"/>
      <c r="E144" s="117"/>
      <c r="F144" s="118"/>
      <c r="G144" s="118"/>
      <c r="H144" s="118"/>
      <c r="I144" s="139"/>
      <c r="J144" s="231"/>
      <c r="K144" s="231"/>
      <c r="L144" s="231"/>
      <c r="M144" s="231"/>
      <c r="N144" s="231"/>
      <c r="O144" s="231"/>
      <c r="P144" s="231"/>
      <c r="Q144" s="231"/>
      <c r="R144" s="231"/>
      <c r="S144" s="231"/>
      <c r="T144" s="231"/>
      <c r="U144" s="231"/>
      <c r="V144" s="231"/>
      <c r="W144" s="231"/>
      <c r="X144" s="231"/>
      <c r="Y144" s="231"/>
      <c r="Z144" s="231"/>
      <c r="AA144" s="231"/>
      <c r="AB144" s="231"/>
      <c r="AC144" s="231"/>
      <c r="AD144" s="231"/>
      <c r="AE144" s="231"/>
      <c r="AF144" s="231"/>
      <c r="AG144" s="231"/>
    </row>
    <row r="145" spans="1:33" s="203" customFormat="1">
      <c r="A145" s="119" t="s">
        <v>110</v>
      </c>
      <c r="B145" s="116"/>
      <c r="C145" s="116"/>
      <c r="D145" s="116"/>
      <c r="E145" s="140"/>
      <c r="F145" s="146"/>
      <c r="G145" s="118"/>
      <c r="H145" s="146"/>
      <c r="I145" s="139"/>
      <c r="J145" s="231"/>
      <c r="K145" s="231"/>
      <c r="L145" s="231"/>
      <c r="M145" s="231"/>
      <c r="N145" s="231"/>
      <c r="O145" s="231"/>
      <c r="P145" s="231"/>
      <c r="Q145" s="231"/>
      <c r="R145" s="231"/>
      <c r="S145" s="231"/>
      <c r="T145" s="231"/>
      <c r="U145" s="231"/>
      <c r="V145" s="231"/>
      <c r="W145" s="231"/>
      <c r="X145" s="231"/>
      <c r="Y145" s="231"/>
      <c r="Z145" s="231"/>
      <c r="AA145" s="231"/>
      <c r="AB145" s="231"/>
      <c r="AC145" s="231"/>
      <c r="AD145" s="231"/>
      <c r="AE145" s="231"/>
      <c r="AF145" s="231"/>
      <c r="AG145" s="231"/>
    </row>
    <row r="146" spans="1:33" s="203" customFormat="1">
      <c r="A146" s="120">
        <v>40</v>
      </c>
      <c r="B146" s="47" t="s">
        <v>123</v>
      </c>
      <c r="C146" s="47"/>
      <c r="D146" s="47"/>
      <c r="E146" s="49">
        <v>1683.6840988999998</v>
      </c>
      <c r="F146" s="52">
        <v>1733</v>
      </c>
      <c r="G146" s="118"/>
      <c r="H146" s="122">
        <v>1778</v>
      </c>
      <c r="I146" s="118"/>
      <c r="J146" s="231"/>
      <c r="K146" s="231"/>
      <c r="L146" s="231"/>
      <c r="M146" s="231"/>
      <c r="N146" s="231"/>
      <c r="O146" s="231"/>
      <c r="P146" s="231"/>
      <c r="Q146" s="231"/>
      <c r="R146" s="231"/>
      <c r="S146" s="231"/>
      <c r="T146" s="231"/>
      <c r="U146" s="231"/>
      <c r="V146" s="231"/>
      <c r="W146" s="231"/>
      <c r="X146" s="231"/>
      <c r="Y146" s="231"/>
      <c r="Z146" s="231"/>
      <c r="AA146" s="231"/>
      <c r="AB146" s="231"/>
      <c r="AC146" s="231"/>
      <c r="AD146" s="231"/>
      <c r="AE146" s="231"/>
      <c r="AF146" s="231"/>
      <c r="AG146" s="231"/>
    </row>
    <row r="147" spans="1:33" s="203" customFormat="1">
      <c r="A147" s="120">
        <v>41</v>
      </c>
      <c r="B147" s="47" t="s">
        <v>119</v>
      </c>
      <c r="C147" s="47"/>
      <c r="D147" s="47"/>
      <c r="E147" s="49">
        <v>250</v>
      </c>
      <c r="F147" s="52">
        <v>249</v>
      </c>
      <c r="G147" s="118"/>
      <c r="H147" s="122">
        <v>255</v>
      </c>
      <c r="I147" s="118"/>
      <c r="J147" s="231"/>
      <c r="K147" s="231"/>
      <c r="L147" s="231"/>
      <c r="M147" s="231"/>
      <c r="N147" s="231"/>
      <c r="O147" s="231"/>
      <c r="P147" s="231"/>
      <c r="Q147" s="231"/>
      <c r="R147" s="231"/>
      <c r="S147" s="231"/>
      <c r="T147" s="231"/>
      <c r="U147" s="231"/>
      <c r="V147" s="231"/>
      <c r="W147" s="231"/>
      <c r="X147" s="231"/>
      <c r="Y147" s="231"/>
      <c r="Z147" s="231"/>
      <c r="AA147" s="231"/>
      <c r="AB147" s="231"/>
      <c r="AC147" s="231"/>
      <c r="AD147" s="231"/>
      <c r="AE147" s="231"/>
      <c r="AF147" s="231"/>
      <c r="AG147" s="231"/>
    </row>
    <row r="148" spans="1:33" s="203" customFormat="1">
      <c r="A148" s="120">
        <v>42</v>
      </c>
      <c r="B148" s="47" t="s">
        <v>120</v>
      </c>
      <c r="C148" s="47"/>
      <c r="D148" s="47"/>
      <c r="E148" s="49">
        <v>7863.262999999999</v>
      </c>
      <c r="F148" s="52">
        <v>959</v>
      </c>
      <c r="G148" s="118"/>
      <c r="H148" s="122">
        <v>983</v>
      </c>
      <c r="I148" s="118"/>
      <c r="J148" s="231"/>
      <c r="K148" s="231"/>
      <c r="L148" s="231"/>
      <c r="M148" s="231"/>
      <c r="N148" s="231"/>
      <c r="O148" s="231"/>
      <c r="P148" s="231"/>
      <c r="Q148" s="231"/>
      <c r="R148" s="231"/>
      <c r="S148" s="231"/>
      <c r="T148" s="231"/>
      <c r="U148" s="231"/>
      <c r="V148" s="231"/>
      <c r="W148" s="231"/>
      <c r="X148" s="231"/>
      <c r="Y148" s="231"/>
      <c r="Z148" s="231"/>
      <c r="AA148" s="231"/>
      <c r="AB148" s="231"/>
      <c r="AC148" s="231"/>
      <c r="AD148" s="231"/>
      <c r="AE148" s="231"/>
      <c r="AF148" s="231"/>
      <c r="AG148" s="231"/>
    </row>
    <row r="149" spans="1:33" s="203" customFormat="1">
      <c r="A149" s="120">
        <v>43</v>
      </c>
      <c r="B149" s="47" t="s">
        <v>121</v>
      </c>
      <c r="C149" s="47"/>
      <c r="D149" s="47"/>
      <c r="E149" s="49">
        <v>907.49751439999886</v>
      </c>
      <c r="F149" s="52">
        <v>6238</v>
      </c>
      <c r="G149" s="118"/>
      <c r="H149" s="100">
        <v>6166</v>
      </c>
      <c r="I149" s="118"/>
      <c r="J149" s="231"/>
      <c r="K149" s="231"/>
      <c r="L149" s="231"/>
      <c r="M149" s="231"/>
      <c r="N149" s="231"/>
      <c r="O149" s="231"/>
      <c r="P149" s="231"/>
      <c r="Q149" s="231"/>
      <c r="R149" s="231"/>
      <c r="S149" s="231"/>
      <c r="T149" s="231"/>
      <c r="U149" s="231"/>
      <c r="V149" s="231"/>
      <c r="W149" s="231"/>
      <c r="X149" s="231"/>
      <c r="Y149" s="231"/>
      <c r="Z149" s="231"/>
      <c r="AA149" s="231"/>
      <c r="AB149" s="231"/>
      <c r="AC149" s="231"/>
      <c r="AD149" s="231"/>
      <c r="AE149" s="231"/>
      <c r="AF149" s="231"/>
      <c r="AG149" s="231"/>
    </row>
    <row r="150" spans="1:33" s="203" customFormat="1">
      <c r="A150" s="124">
        <v>44</v>
      </c>
      <c r="B150" s="94" t="s">
        <v>130</v>
      </c>
      <c r="C150" s="94"/>
      <c r="D150" s="94"/>
      <c r="E150" s="80">
        <v>10704.444613299996</v>
      </c>
      <c r="F150" s="142">
        <f>SUM(F146:F149)</f>
        <v>9179</v>
      </c>
      <c r="G150" s="259"/>
      <c r="H150" s="142">
        <f>SUM(H146:H149)</f>
        <v>9182</v>
      </c>
      <c r="I150" s="139"/>
      <c r="J150" s="231"/>
      <c r="K150" s="231"/>
      <c r="L150" s="231"/>
      <c r="M150" s="231"/>
      <c r="N150" s="231"/>
      <c r="O150" s="231"/>
      <c r="P150" s="231"/>
      <c r="Q150" s="231"/>
      <c r="R150" s="231"/>
      <c r="S150" s="231"/>
      <c r="T150" s="231"/>
      <c r="U150" s="231"/>
      <c r="V150" s="231"/>
      <c r="W150" s="231"/>
      <c r="X150" s="231"/>
      <c r="Y150" s="231"/>
      <c r="Z150" s="231"/>
      <c r="AA150" s="231"/>
      <c r="AB150" s="231"/>
      <c r="AC150" s="231"/>
      <c r="AD150" s="231"/>
      <c r="AE150" s="231"/>
      <c r="AF150" s="231"/>
      <c r="AG150" s="231"/>
    </row>
    <row r="151" spans="1:33" s="203" customFormat="1">
      <c r="A151" s="148"/>
      <c r="B151" s="129"/>
      <c r="C151" s="129"/>
      <c r="D151" s="149"/>
      <c r="E151" s="150"/>
      <c r="F151" s="29"/>
      <c r="G151" s="29"/>
      <c r="H151" s="207"/>
      <c r="I151" s="29"/>
      <c r="J151" s="231"/>
      <c r="K151" s="231"/>
      <c r="L151" s="231"/>
      <c r="M151" s="231"/>
      <c r="N151" s="231"/>
      <c r="O151" s="231"/>
      <c r="P151" s="231"/>
      <c r="Q151" s="231"/>
      <c r="R151" s="231"/>
      <c r="S151" s="231"/>
      <c r="T151" s="231"/>
      <c r="U151" s="231"/>
      <c r="V151" s="231"/>
      <c r="W151" s="231"/>
      <c r="X151" s="231"/>
      <c r="Y151" s="231"/>
      <c r="Z151" s="231"/>
      <c r="AA151" s="231"/>
      <c r="AB151" s="231"/>
      <c r="AC151" s="231"/>
      <c r="AD151" s="231"/>
      <c r="AE151" s="231"/>
      <c r="AF151" s="231"/>
      <c r="AG151" s="231"/>
    </row>
    <row r="152" spans="1:33" s="203" customFormat="1">
      <c r="A152" s="148"/>
      <c r="B152" s="129"/>
      <c r="C152" s="129"/>
      <c r="D152" s="151"/>
      <c r="E152" s="152"/>
      <c r="F152" s="29"/>
      <c r="G152" s="29"/>
      <c r="H152" s="131" t="s">
        <v>27</v>
      </c>
      <c r="I152" s="29"/>
      <c r="J152" s="231"/>
      <c r="K152" s="231"/>
      <c r="L152" s="231"/>
      <c r="M152" s="231"/>
      <c r="N152" s="231"/>
      <c r="O152" s="231"/>
      <c r="P152" s="231"/>
      <c r="Q152" s="231"/>
      <c r="R152" s="231"/>
      <c r="S152" s="231"/>
      <c r="T152" s="231"/>
      <c r="U152" s="231"/>
      <c r="V152" s="231"/>
      <c r="W152" s="231"/>
      <c r="X152" s="231"/>
      <c r="Y152" s="231"/>
      <c r="Z152" s="231"/>
      <c r="AA152" s="231"/>
      <c r="AB152" s="231"/>
      <c r="AC152" s="231"/>
      <c r="AD152" s="231"/>
      <c r="AE152" s="231"/>
      <c r="AF152" s="231"/>
      <c r="AG152" s="231"/>
    </row>
    <row r="153" spans="1:33" s="203" customFormat="1">
      <c r="A153" s="106" t="s">
        <v>20</v>
      </c>
      <c r="B153" s="107"/>
      <c r="C153" s="107"/>
      <c r="D153" s="107"/>
      <c r="E153" s="856" t="s">
        <v>377</v>
      </c>
      <c r="F153" s="856" t="s">
        <v>402</v>
      </c>
      <c r="G153" s="130"/>
      <c r="H153" s="856" t="s">
        <v>403</v>
      </c>
      <c r="I153" s="130"/>
      <c r="J153" s="231"/>
      <c r="K153" s="231"/>
      <c r="L153" s="231"/>
      <c r="M153" s="231"/>
      <c r="N153" s="231"/>
      <c r="O153" s="231"/>
      <c r="P153" s="231"/>
      <c r="Q153" s="231"/>
      <c r="R153" s="231"/>
      <c r="S153" s="231"/>
      <c r="T153" s="231"/>
      <c r="U153" s="231"/>
      <c r="V153" s="231"/>
      <c r="W153" s="231"/>
      <c r="X153" s="231"/>
      <c r="Y153" s="231"/>
      <c r="Z153" s="231"/>
      <c r="AA153" s="231"/>
      <c r="AB153" s="231"/>
      <c r="AC153" s="231"/>
      <c r="AD153" s="231"/>
      <c r="AE153" s="231"/>
      <c r="AF153" s="231"/>
      <c r="AG153" s="231"/>
    </row>
    <row r="154" spans="1:33" s="203" customFormat="1">
      <c r="A154" s="153"/>
      <c r="B154" s="132"/>
      <c r="C154" s="132"/>
      <c r="D154" s="132"/>
      <c r="E154" s="859"/>
      <c r="F154" s="859"/>
      <c r="G154" s="130"/>
      <c r="H154" s="859"/>
      <c r="I154" s="130"/>
      <c r="J154" s="231"/>
      <c r="K154" s="231"/>
      <c r="L154" s="231"/>
      <c r="M154" s="231"/>
      <c r="N154" s="231"/>
      <c r="O154" s="231"/>
      <c r="P154" s="231"/>
      <c r="Q154" s="231"/>
      <c r="R154" s="231"/>
      <c r="S154" s="231"/>
      <c r="T154" s="231"/>
      <c r="U154" s="231"/>
      <c r="V154" s="231"/>
      <c r="W154" s="231"/>
      <c r="X154" s="231"/>
      <c r="Y154" s="231"/>
      <c r="Z154" s="231"/>
      <c r="AA154" s="231"/>
      <c r="AB154" s="231"/>
      <c r="AC154" s="231"/>
      <c r="AD154" s="231"/>
      <c r="AE154" s="231"/>
      <c r="AF154" s="231"/>
      <c r="AG154" s="231"/>
    </row>
    <row r="155" spans="1:33" s="203" customFormat="1">
      <c r="A155" s="154" t="s">
        <v>131</v>
      </c>
      <c r="B155" s="116"/>
      <c r="C155" s="116"/>
      <c r="D155" s="116"/>
      <c r="E155" s="859"/>
      <c r="F155" s="859"/>
      <c r="G155" s="130"/>
      <c r="H155" s="859"/>
      <c r="I155" s="130"/>
      <c r="J155" s="231"/>
      <c r="K155" s="231"/>
      <c r="L155" s="231"/>
      <c r="M155" s="231"/>
      <c r="N155" s="231"/>
      <c r="O155" s="231"/>
      <c r="P155" s="231"/>
      <c r="Q155" s="231"/>
      <c r="R155" s="231"/>
      <c r="S155" s="231"/>
      <c r="T155" s="231"/>
      <c r="U155" s="231"/>
      <c r="V155" s="231"/>
      <c r="W155" s="231"/>
      <c r="X155" s="231"/>
      <c r="Y155" s="231"/>
      <c r="Z155" s="231"/>
      <c r="AA155" s="231"/>
      <c r="AB155" s="231"/>
      <c r="AC155" s="231"/>
      <c r="AD155" s="231"/>
      <c r="AE155" s="231"/>
      <c r="AF155" s="231"/>
      <c r="AG155" s="231"/>
    </row>
    <row r="156" spans="1:33" s="203" customFormat="1" ht="12.75" customHeight="1">
      <c r="A156" s="109" t="s">
        <v>83</v>
      </c>
      <c r="B156" s="47"/>
      <c r="C156" s="47"/>
      <c r="D156" s="47"/>
      <c r="E156" s="859"/>
      <c r="F156" s="859"/>
      <c r="G156" s="130"/>
      <c r="H156" s="859"/>
      <c r="I156" s="130"/>
      <c r="J156" s="231"/>
      <c r="K156" s="231"/>
      <c r="L156" s="231"/>
      <c r="M156" s="231"/>
      <c r="N156" s="231"/>
      <c r="O156" s="231"/>
      <c r="P156" s="231"/>
      <c r="Q156" s="231"/>
      <c r="R156" s="231"/>
      <c r="S156" s="231"/>
      <c r="T156" s="231"/>
      <c r="U156" s="231"/>
      <c r="V156" s="231"/>
      <c r="W156" s="231"/>
      <c r="X156" s="231"/>
      <c r="Y156" s="231"/>
      <c r="Z156" s="231"/>
      <c r="AA156" s="231"/>
      <c r="AB156" s="231"/>
      <c r="AC156" s="231"/>
      <c r="AD156" s="231"/>
      <c r="AE156" s="231"/>
      <c r="AF156" s="231"/>
      <c r="AG156" s="231"/>
    </row>
    <row r="157" spans="1:33" s="203" customFormat="1">
      <c r="A157" s="110" t="s">
        <v>84</v>
      </c>
      <c r="B157" s="132"/>
      <c r="C157" s="132"/>
      <c r="D157" s="132"/>
      <c r="E157" s="860"/>
      <c r="F157" s="860"/>
      <c r="G157" s="130"/>
      <c r="H157" s="860"/>
      <c r="I157" s="130"/>
      <c r="J157" s="231"/>
      <c r="K157" s="231"/>
      <c r="L157" s="231"/>
      <c r="M157" s="231"/>
      <c r="N157" s="231"/>
      <c r="O157" s="231"/>
      <c r="P157" s="231"/>
      <c r="Q157" s="231"/>
      <c r="R157" s="231"/>
      <c r="S157" s="231"/>
      <c r="T157" s="231"/>
      <c r="U157" s="231"/>
      <c r="V157" s="231"/>
      <c r="W157" s="231"/>
      <c r="X157" s="231"/>
      <c r="Y157" s="231"/>
      <c r="Z157" s="231"/>
      <c r="AA157" s="231"/>
      <c r="AB157" s="231"/>
      <c r="AC157" s="231"/>
      <c r="AD157" s="231"/>
      <c r="AE157" s="231"/>
      <c r="AF157" s="231"/>
      <c r="AG157" s="231"/>
    </row>
    <row r="158" spans="1:33" s="203" customFormat="1">
      <c r="A158" s="119" t="s">
        <v>132</v>
      </c>
      <c r="B158" s="47"/>
      <c r="C158" s="47"/>
      <c r="D158" s="47"/>
      <c r="E158" s="155"/>
      <c r="F158" s="146" t="s">
        <v>133</v>
      </c>
      <c r="G158" s="118"/>
      <c r="H158" s="146"/>
      <c r="I158" s="29"/>
      <c r="J158" s="231"/>
      <c r="K158" s="231"/>
      <c r="L158" s="231"/>
      <c r="M158" s="231"/>
      <c r="N158" s="231"/>
      <c r="O158" s="231"/>
      <c r="P158" s="231"/>
      <c r="Q158" s="231"/>
      <c r="R158" s="231"/>
      <c r="S158" s="231"/>
      <c r="T158" s="231"/>
      <c r="U158" s="231"/>
      <c r="V158" s="231"/>
      <c r="W158" s="231"/>
      <c r="X158" s="231"/>
      <c r="Y158" s="231"/>
      <c r="Z158" s="231"/>
      <c r="AA158" s="231"/>
      <c r="AB158" s="231"/>
      <c r="AC158" s="231"/>
      <c r="AD158" s="231"/>
      <c r="AE158" s="231"/>
      <c r="AF158" s="231"/>
      <c r="AG158" s="231"/>
    </row>
    <row r="159" spans="1:33" s="203" customFormat="1">
      <c r="A159" s="120">
        <v>1</v>
      </c>
      <c r="B159" s="47" t="s">
        <v>134</v>
      </c>
      <c r="C159" s="47"/>
      <c r="D159" s="47"/>
      <c r="E159" s="74">
        <v>0</v>
      </c>
      <c r="F159" s="52">
        <v>0</v>
      </c>
      <c r="G159" s="118"/>
      <c r="H159" s="122">
        <v>0</v>
      </c>
      <c r="I159" s="118"/>
      <c r="J159" s="231"/>
      <c r="K159" s="231"/>
      <c r="L159" s="231"/>
      <c r="M159" s="231"/>
      <c r="N159" s="231"/>
      <c r="O159" s="231"/>
      <c r="P159" s="231"/>
      <c r="Q159" s="231"/>
      <c r="R159" s="231"/>
      <c r="S159" s="231"/>
      <c r="T159" s="231"/>
      <c r="U159" s="231"/>
      <c r="V159" s="231"/>
      <c r="W159" s="231"/>
      <c r="X159" s="231"/>
      <c r="Y159" s="231"/>
      <c r="Z159" s="231"/>
      <c r="AA159" s="231"/>
      <c r="AB159" s="231"/>
      <c r="AC159" s="231"/>
      <c r="AD159" s="231"/>
      <c r="AE159" s="231"/>
      <c r="AF159" s="231"/>
      <c r="AG159" s="231"/>
    </row>
    <row r="160" spans="1:33" s="203" customFormat="1">
      <c r="A160" s="120">
        <v>2</v>
      </c>
      <c r="B160" s="47" t="s">
        <v>135</v>
      </c>
      <c r="C160" s="47"/>
      <c r="D160" s="47"/>
      <c r="E160" s="49">
        <v>3886.0895938605399</v>
      </c>
      <c r="F160" s="52">
        <v>4241</v>
      </c>
      <c r="G160" s="118"/>
      <c r="H160" s="122">
        <v>4829</v>
      </c>
      <c r="I160" s="118"/>
      <c r="J160" s="231"/>
      <c r="K160" s="231"/>
      <c r="L160" s="231"/>
      <c r="M160" s="231"/>
      <c r="N160" s="231"/>
      <c r="O160" s="231"/>
      <c r="P160" s="231"/>
      <c r="Q160" s="231"/>
      <c r="R160" s="231"/>
      <c r="S160" s="231"/>
      <c r="T160" s="231"/>
      <c r="U160" s="231"/>
      <c r="V160" s="231"/>
      <c r="W160" s="231"/>
      <c r="X160" s="231"/>
      <c r="Y160" s="231"/>
      <c r="Z160" s="231"/>
      <c r="AA160" s="231"/>
      <c r="AB160" s="231"/>
      <c r="AC160" s="231"/>
      <c r="AD160" s="231"/>
      <c r="AE160" s="231"/>
      <c r="AF160" s="231"/>
      <c r="AG160" s="231"/>
    </row>
    <row r="161" spans="1:33" s="203" customFormat="1">
      <c r="A161" s="120">
        <v>3</v>
      </c>
      <c r="B161" s="47" t="s">
        <v>136</v>
      </c>
      <c r="C161" s="47"/>
      <c r="D161" s="47"/>
      <c r="E161" s="114">
        <v>6634.3311469891296</v>
      </c>
      <c r="F161" s="52">
        <v>8088</v>
      </c>
      <c r="G161" s="118"/>
      <c r="H161" s="122">
        <v>8993</v>
      </c>
      <c r="I161" s="118"/>
      <c r="J161" s="231"/>
      <c r="K161" s="231"/>
      <c r="L161" s="231"/>
      <c r="M161" s="231"/>
      <c r="N161" s="231"/>
      <c r="O161" s="231"/>
      <c r="P161" s="231"/>
      <c r="Q161" s="231"/>
      <c r="R161" s="231"/>
      <c r="S161" s="231"/>
      <c r="T161" s="231"/>
      <c r="U161" s="231"/>
      <c r="V161" s="231"/>
      <c r="W161" s="231"/>
      <c r="X161" s="231"/>
      <c r="Y161" s="231"/>
      <c r="Z161" s="231"/>
      <c r="AA161" s="231"/>
      <c r="AB161" s="231"/>
      <c r="AC161" s="231"/>
      <c r="AD161" s="231"/>
      <c r="AE161" s="231"/>
      <c r="AF161" s="231"/>
      <c r="AG161" s="231"/>
    </row>
    <row r="162" spans="1:33" s="203" customFormat="1">
      <c r="A162" s="120">
        <v>4</v>
      </c>
      <c r="B162" s="47" t="s">
        <v>137</v>
      </c>
      <c r="C162" s="47"/>
      <c r="D162" s="47"/>
      <c r="E162" s="114">
        <v>3387.3218509858398</v>
      </c>
      <c r="F162" s="52">
        <v>4867</v>
      </c>
      <c r="G162" s="118"/>
      <c r="H162" s="100">
        <v>4967</v>
      </c>
      <c r="I162" s="118"/>
      <c r="J162" s="231"/>
      <c r="K162" s="231"/>
      <c r="L162" s="231"/>
      <c r="M162" s="231"/>
      <c r="N162" s="231"/>
      <c r="O162" s="231"/>
      <c r="P162" s="231"/>
      <c r="Q162" s="231"/>
      <c r="R162" s="231"/>
      <c r="S162" s="231"/>
      <c r="T162" s="231"/>
      <c r="U162" s="231"/>
      <c r="V162" s="231"/>
      <c r="W162" s="231"/>
      <c r="X162" s="231"/>
      <c r="Y162" s="231"/>
      <c r="Z162" s="231"/>
      <c r="AA162" s="231"/>
      <c r="AB162" s="231"/>
      <c r="AC162" s="231"/>
      <c r="AD162" s="231"/>
      <c r="AE162" s="231"/>
      <c r="AF162" s="231"/>
      <c r="AG162" s="231"/>
    </row>
    <row r="163" spans="1:33" s="203" customFormat="1">
      <c r="A163" s="120">
        <v>5</v>
      </c>
      <c r="B163" s="116" t="s">
        <v>138</v>
      </c>
      <c r="C163" s="116"/>
      <c r="D163" s="116"/>
      <c r="E163" s="80">
        <v>13907.742591835509</v>
      </c>
      <c r="F163" s="142">
        <f>SUM(F159:F162)</f>
        <v>17196</v>
      </c>
      <c r="G163" s="118"/>
      <c r="H163" s="142">
        <f>SUM(H159:H162)</f>
        <v>18789</v>
      </c>
      <c r="I163" s="29"/>
      <c r="J163" s="231"/>
      <c r="K163" s="231"/>
      <c r="L163" s="231"/>
      <c r="M163" s="231"/>
      <c r="N163" s="231"/>
      <c r="O163" s="231"/>
      <c r="P163" s="231"/>
      <c r="Q163" s="231"/>
      <c r="R163" s="231"/>
      <c r="S163" s="231"/>
      <c r="T163" s="231"/>
      <c r="U163" s="231"/>
      <c r="V163" s="231"/>
      <c r="W163" s="231"/>
      <c r="X163" s="231"/>
      <c r="Y163" s="231"/>
      <c r="Z163" s="231"/>
      <c r="AA163" s="231"/>
      <c r="AB163" s="231"/>
      <c r="AC163" s="231"/>
      <c r="AD163" s="231"/>
      <c r="AE163" s="231"/>
      <c r="AF163" s="231"/>
      <c r="AG163" s="231"/>
    </row>
    <row r="164" spans="1:33" s="203" customFormat="1">
      <c r="A164" s="46"/>
      <c r="B164" s="132"/>
      <c r="C164" s="132"/>
      <c r="D164" s="132"/>
      <c r="E164" s="156"/>
      <c r="F164" s="139"/>
      <c r="G164" s="139"/>
      <c r="H164" s="139"/>
      <c r="I164" s="29"/>
      <c r="J164" s="231"/>
      <c r="K164" s="231"/>
      <c r="L164" s="231"/>
      <c r="M164" s="231"/>
      <c r="N164" s="231"/>
      <c r="O164" s="231"/>
      <c r="P164" s="231"/>
      <c r="Q164" s="231"/>
      <c r="R164" s="231"/>
      <c r="S164" s="231"/>
      <c r="T164" s="231"/>
      <c r="U164" s="231"/>
      <c r="V164" s="231"/>
      <c r="W164" s="231"/>
      <c r="X164" s="231"/>
      <c r="Y164" s="231"/>
      <c r="Z164" s="231"/>
      <c r="AA164" s="231"/>
      <c r="AB164" s="231"/>
      <c r="AC164" s="231"/>
      <c r="AD164" s="231"/>
      <c r="AE164" s="231"/>
      <c r="AF164" s="231"/>
      <c r="AG164" s="231"/>
    </row>
    <row r="165" spans="1:33" s="203" customFormat="1">
      <c r="A165" s="119" t="s">
        <v>139</v>
      </c>
      <c r="B165" s="47"/>
      <c r="C165" s="47"/>
      <c r="D165" s="47"/>
      <c r="E165" s="140"/>
      <c r="F165" s="146"/>
      <c r="G165" s="118"/>
      <c r="H165" s="146"/>
      <c r="I165" s="29"/>
      <c r="J165" s="231"/>
      <c r="K165" s="231"/>
      <c r="L165" s="231"/>
      <c r="M165" s="231"/>
      <c r="N165" s="231"/>
      <c r="O165" s="231"/>
      <c r="P165" s="231"/>
      <c r="Q165" s="231"/>
      <c r="R165" s="231"/>
      <c r="S165" s="231"/>
      <c r="T165" s="231"/>
      <c r="U165" s="231"/>
      <c r="V165" s="231"/>
      <c r="W165" s="231"/>
      <c r="X165" s="231"/>
      <c r="Y165" s="231"/>
      <c r="Z165" s="231"/>
      <c r="AA165" s="231"/>
      <c r="AB165" s="231"/>
      <c r="AC165" s="231"/>
      <c r="AD165" s="231"/>
      <c r="AE165" s="231"/>
      <c r="AF165" s="231"/>
      <c r="AG165" s="231"/>
    </row>
    <row r="166" spans="1:33" s="203" customFormat="1">
      <c r="A166" s="120">
        <v>6</v>
      </c>
      <c r="B166" s="47" t="s">
        <v>140</v>
      </c>
      <c r="C166" s="47"/>
      <c r="D166" s="47"/>
      <c r="E166" s="74">
        <v>839.858094453896</v>
      </c>
      <c r="F166" s="52">
        <v>1319</v>
      </c>
      <c r="G166" s="118"/>
      <c r="H166" s="122">
        <v>1126</v>
      </c>
      <c r="I166" s="118"/>
      <c r="J166" s="231"/>
      <c r="K166" s="231"/>
      <c r="L166" s="231"/>
      <c r="M166" s="231"/>
      <c r="N166" s="231"/>
      <c r="O166" s="231"/>
      <c r="P166" s="231"/>
      <c r="Q166" s="231"/>
      <c r="R166" s="231"/>
      <c r="S166" s="231"/>
      <c r="T166" s="231"/>
      <c r="U166" s="231"/>
      <c r="V166" s="231"/>
      <c r="W166" s="231"/>
      <c r="X166" s="231"/>
      <c r="Y166" s="231"/>
      <c r="Z166" s="231"/>
      <c r="AA166" s="231"/>
      <c r="AB166" s="231"/>
      <c r="AC166" s="231"/>
      <c r="AD166" s="231"/>
      <c r="AE166" s="231"/>
      <c r="AF166" s="231"/>
      <c r="AG166" s="231"/>
    </row>
    <row r="167" spans="1:33" s="203" customFormat="1">
      <c r="A167" s="120">
        <v>7</v>
      </c>
      <c r="B167" s="47" t="s">
        <v>141</v>
      </c>
      <c r="C167" s="47"/>
      <c r="D167" s="47"/>
      <c r="E167" s="49">
        <v>910.945816158708</v>
      </c>
      <c r="F167" s="52">
        <v>1258</v>
      </c>
      <c r="G167" s="118"/>
      <c r="H167" s="122">
        <v>1188</v>
      </c>
      <c r="I167" s="118"/>
      <c r="J167" s="231"/>
      <c r="K167" s="231"/>
      <c r="L167" s="231"/>
      <c r="M167" s="231"/>
      <c r="N167" s="231"/>
      <c r="O167" s="231"/>
      <c r="P167" s="231"/>
      <c r="Q167" s="231"/>
      <c r="R167" s="231"/>
      <c r="S167" s="231"/>
      <c r="T167" s="231"/>
      <c r="U167" s="231"/>
      <c r="V167" s="231"/>
      <c r="W167" s="231"/>
      <c r="X167" s="231"/>
      <c r="Y167" s="231"/>
      <c r="Z167" s="231"/>
      <c r="AA167" s="231"/>
      <c r="AB167" s="231"/>
      <c r="AC167" s="231"/>
      <c r="AD167" s="231"/>
      <c r="AE167" s="231"/>
      <c r="AF167" s="231"/>
      <c r="AG167" s="231"/>
    </row>
    <row r="168" spans="1:33" s="203" customFormat="1">
      <c r="A168" s="120">
        <v>8</v>
      </c>
      <c r="B168" s="47" t="s">
        <v>121</v>
      </c>
      <c r="C168" s="47"/>
      <c r="D168" s="47"/>
      <c r="E168" s="49">
        <v>0</v>
      </c>
      <c r="F168" s="52">
        <v>0</v>
      </c>
      <c r="G168" s="118"/>
      <c r="H168" s="100">
        <v>0</v>
      </c>
      <c r="I168" s="118"/>
      <c r="J168" s="231"/>
      <c r="K168" s="231"/>
      <c r="L168" s="231"/>
      <c r="M168" s="231"/>
      <c r="N168" s="231"/>
      <c r="O168" s="231"/>
      <c r="P168" s="231"/>
      <c r="Q168" s="231"/>
      <c r="R168" s="231"/>
      <c r="S168" s="231"/>
      <c r="T168" s="231"/>
      <c r="U168" s="231"/>
      <c r="V168" s="231"/>
      <c r="W168" s="231"/>
      <c r="X168" s="231"/>
      <c r="Y168" s="231"/>
      <c r="Z168" s="231"/>
      <c r="AA168" s="231"/>
      <c r="AB168" s="231"/>
      <c r="AC168" s="231"/>
      <c r="AD168" s="231"/>
      <c r="AE168" s="231"/>
      <c r="AF168" s="231"/>
      <c r="AG168" s="231"/>
    </row>
    <row r="169" spans="1:33" s="203" customFormat="1">
      <c r="A169" s="120">
        <v>9</v>
      </c>
      <c r="B169" s="116" t="s">
        <v>142</v>
      </c>
      <c r="C169" s="116"/>
      <c r="D169" s="116"/>
      <c r="E169" s="80">
        <v>1750.8039106126039</v>
      </c>
      <c r="F169" s="142">
        <f>SUM(F166:F168)</f>
        <v>2577</v>
      </c>
      <c r="G169" s="118"/>
      <c r="H169" s="142">
        <f>SUM(H166:H168)</f>
        <v>2314</v>
      </c>
      <c r="I169" s="29"/>
      <c r="J169" s="231"/>
      <c r="K169" s="231"/>
      <c r="L169" s="231"/>
      <c r="M169" s="231"/>
      <c r="N169" s="231"/>
      <c r="O169" s="231"/>
      <c r="P169" s="231"/>
      <c r="Q169" s="231"/>
      <c r="R169" s="231"/>
      <c r="S169" s="231"/>
      <c r="T169" s="231"/>
      <c r="U169" s="231"/>
      <c r="V169" s="231"/>
      <c r="W169" s="231"/>
      <c r="X169" s="231"/>
      <c r="Y169" s="231"/>
      <c r="Z169" s="231"/>
      <c r="AA169" s="231"/>
      <c r="AB169" s="231"/>
      <c r="AC169" s="231"/>
      <c r="AD169" s="231"/>
      <c r="AE169" s="231"/>
      <c r="AF169" s="231"/>
      <c r="AG169" s="231"/>
    </row>
    <row r="170" spans="1:33" s="203" customFormat="1">
      <c r="A170" s="46"/>
      <c r="B170" s="132"/>
      <c r="C170" s="132"/>
      <c r="D170" s="132"/>
      <c r="E170" s="156"/>
      <c r="F170" s="139"/>
      <c r="G170" s="139"/>
      <c r="H170" s="139"/>
      <c r="I170" s="29"/>
      <c r="J170" s="231"/>
      <c r="K170" s="231"/>
      <c r="L170" s="231"/>
      <c r="M170" s="231"/>
      <c r="N170" s="231"/>
      <c r="O170" s="231"/>
      <c r="P170" s="231"/>
      <c r="Q170" s="231"/>
      <c r="R170" s="231"/>
      <c r="S170" s="231"/>
      <c r="T170" s="231"/>
      <c r="U170" s="231"/>
      <c r="V170" s="231"/>
      <c r="W170" s="231"/>
      <c r="X170" s="231"/>
      <c r="Y170" s="231"/>
      <c r="Z170" s="231"/>
      <c r="AA170" s="231"/>
      <c r="AB170" s="231"/>
      <c r="AC170" s="231"/>
      <c r="AD170" s="231"/>
      <c r="AE170" s="231"/>
      <c r="AF170" s="231"/>
      <c r="AG170" s="231"/>
    </row>
    <row r="171" spans="1:33" s="203" customFormat="1">
      <c r="A171" s="120">
        <v>10</v>
      </c>
      <c r="B171" s="47" t="s">
        <v>143</v>
      </c>
      <c r="C171" s="47"/>
      <c r="D171" s="47"/>
      <c r="E171" s="41">
        <v>0</v>
      </c>
      <c r="F171" s="121">
        <v>0</v>
      </c>
      <c r="G171" s="118"/>
      <c r="H171" s="133">
        <v>0</v>
      </c>
      <c r="I171" s="29"/>
      <c r="J171" s="231"/>
      <c r="K171" s="231"/>
      <c r="L171" s="231"/>
      <c r="M171" s="231"/>
      <c r="N171" s="231"/>
      <c r="O171" s="231"/>
      <c r="P171" s="231"/>
      <c r="Q171" s="231"/>
      <c r="R171" s="231"/>
      <c r="S171" s="231"/>
      <c r="T171" s="231"/>
      <c r="U171" s="231"/>
      <c r="V171" s="231"/>
      <c r="W171" s="231"/>
      <c r="X171" s="231"/>
      <c r="Y171" s="231"/>
      <c r="Z171" s="231"/>
      <c r="AA171" s="231"/>
      <c r="AB171" s="231"/>
      <c r="AC171" s="231"/>
      <c r="AD171" s="231"/>
      <c r="AE171" s="231"/>
      <c r="AF171" s="231"/>
      <c r="AG171" s="231"/>
    </row>
    <row r="172" spans="1:33" s="203" customFormat="1">
      <c r="A172" s="120">
        <v>11</v>
      </c>
      <c r="B172" s="47" t="s">
        <v>144</v>
      </c>
      <c r="C172" s="47"/>
      <c r="D172" s="47"/>
      <c r="E172" s="56">
        <v>0</v>
      </c>
      <c r="F172" s="126">
        <v>0</v>
      </c>
      <c r="G172" s="118"/>
      <c r="H172" s="100">
        <v>0</v>
      </c>
      <c r="I172" s="29"/>
      <c r="J172" s="231"/>
      <c r="K172" s="231"/>
      <c r="L172" s="231"/>
      <c r="M172" s="231"/>
      <c r="N172" s="231"/>
      <c r="O172" s="231"/>
      <c r="P172" s="231"/>
      <c r="Q172" s="231"/>
      <c r="R172" s="231"/>
      <c r="S172" s="231"/>
      <c r="T172" s="231"/>
      <c r="U172" s="231"/>
      <c r="V172" s="231"/>
      <c r="W172" s="231"/>
      <c r="X172" s="231"/>
      <c r="Y172" s="231"/>
      <c r="Z172" s="231"/>
      <c r="AA172" s="231"/>
      <c r="AB172" s="231"/>
      <c r="AC172" s="231"/>
      <c r="AD172" s="231"/>
      <c r="AE172" s="231"/>
      <c r="AF172" s="231"/>
      <c r="AG172" s="231"/>
    </row>
    <row r="173" spans="1:33" s="203" customFormat="1">
      <c r="A173" s="46"/>
      <c r="B173" s="132"/>
      <c r="C173" s="132"/>
      <c r="D173" s="132"/>
      <c r="E173" s="156"/>
      <c r="F173" s="139"/>
      <c r="G173" s="139"/>
      <c r="H173" s="139"/>
      <c r="I173" s="29"/>
      <c r="J173" s="231"/>
      <c r="K173" s="231"/>
      <c r="L173" s="231"/>
      <c r="M173" s="231"/>
      <c r="N173" s="231"/>
      <c r="O173" s="231"/>
      <c r="P173" s="231"/>
      <c r="Q173" s="231"/>
      <c r="R173" s="231"/>
      <c r="S173" s="231"/>
      <c r="T173" s="231"/>
      <c r="U173" s="231"/>
      <c r="V173" s="231"/>
      <c r="W173" s="231"/>
      <c r="X173" s="231"/>
      <c r="Y173" s="231"/>
      <c r="Z173" s="231"/>
      <c r="AA173" s="231"/>
      <c r="AB173" s="231"/>
      <c r="AC173" s="231"/>
      <c r="AD173" s="231"/>
      <c r="AE173" s="231"/>
      <c r="AF173" s="231"/>
      <c r="AG173" s="231"/>
    </row>
    <row r="174" spans="1:33" s="203" customFormat="1">
      <c r="A174" s="119" t="s">
        <v>145</v>
      </c>
      <c r="B174" s="47"/>
      <c r="C174" s="47"/>
      <c r="D174" s="47"/>
      <c r="E174" s="157"/>
      <c r="F174" s="146"/>
      <c r="G174" s="118"/>
      <c r="H174" s="146"/>
      <c r="I174" s="29"/>
      <c r="J174" s="231"/>
      <c r="K174" s="231"/>
      <c r="L174" s="231"/>
      <c r="M174" s="231"/>
      <c r="N174" s="231"/>
      <c r="O174" s="231"/>
      <c r="P174" s="231"/>
      <c r="Q174" s="231"/>
      <c r="R174" s="231"/>
      <c r="S174" s="231"/>
      <c r="T174" s="231"/>
      <c r="U174" s="231"/>
      <c r="V174" s="231"/>
      <c r="W174" s="231"/>
      <c r="X174" s="231"/>
      <c r="Y174" s="231"/>
      <c r="Z174" s="231"/>
      <c r="AA174" s="231"/>
      <c r="AB174" s="231"/>
      <c r="AC174" s="231"/>
      <c r="AD174" s="231"/>
      <c r="AE174" s="231"/>
      <c r="AF174" s="231"/>
      <c r="AG174" s="231"/>
    </row>
    <row r="175" spans="1:33" s="203" customFormat="1">
      <c r="A175" s="120">
        <v>12</v>
      </c>
      <c r="B175" s="47" t="s">
        <v>146</v>
      </c>
      <c r="C175" s="47"/>
      <c r="D175" s="47"/>
      <c r="E175" s="74">
        <v>600</v>
      </c>
      <c r="F175" s="52">
        <v>552</v>
      </c>
      <c r="G175" s="118"/>
      <c r="H175" s="122">
        <v>567</v>
      </c>
      <c r="I175" s="118"/>
      <c r="J175" s="231"/>
      <c r="K175" s="231"/>
      <c r="L175" s="231"/>
      <c r="M175" s="231"/>
      <c r="N175" s="231"/>
      <c r="O175" s="231"/>
      <c r="P175" s="231"/>
      <c r="Q175" s="231"/>
      <c r="R175" s="231"/>
      <c r="S175" s="231"/>
      <c r="T175" s="231"/>
      <c r="U175" s="231"/>
      <c r="V175" s="231"/>
      <c r="W175" s="231"/>
      <c r="X175" s="231"/>
      <c r="Y175" s="231"/>
      <c r="Z175" s="231"/>
      <c r="AA175" s="231"/>
      <c r="AB175" s="231"/>
      <c r="AC175" s="231"/>
      <c r="AD175" s="231"/>
      <c r="AE175" s="231"/>
      <c r="AF175" s="231"/>
      <c r="AG175" s="231"/>
    </row>
    <row r="176" spans="1:33" s="203" customFormat="1">
      <c r="A176" s="120">
        <v>13</v>
      </c>
      <c r="B176" s="47" t="s">
        <v>147</v>
      </c>
      <c r="C176" s="47"/>
      <c r="D176" s="47"/>
      <c r="E176" s="49">
        <v>5600</v>
      </c>
      <c r="F176" s="52">
        <v>5374</v>
      </c>
      <c r="G176" s="118"/>
      <c r="H176" s="122">
        <v>5421</v>
      </c>
      <c r="I176" s="118"/>
      <c r="J176" s="231"/>
      <c r="K176" s="231"/>
      <c r="L176" s="231"/>
      <c r="M176" s="231"/>
      <c r="N176" s="231"/>
      <c r="O176" s="231"/>
      <c r="P176" s="231"/>
      <c r="Q176" s="231"/>
      <c r="R176" s="231"/>
      <c r="S176" s="231"/>
      <c r="T176" s="231"/>
      <c r="U176" s="231"/>
      <c r="V176" s="231"/>
      <c r="W176" s="231"/>
      <c r="X176" s="231"/>
      <c r="Y176" s="231"/>
      <c r="Z176" s="231"/>
      <c r="AA176" s="231"/>
      <c r="AB176" s="231"/>
      <c r="AC176" s="231"/>
      <c r="AD176" s="231"/>
      <c r="AE176" s="231"/>
      <c r="AF176" s="231"/>
      <c r="AG176" s="231"/>
    </row>
    <row r="177" spans="1:33" s="203" customFormat="1">
      <c r="A177" s="120">
        <v>14</v>
      </c>
      <c r="B177" s="47" t="s">
        <v>148</v>
      </c>
      <c r="C177" s="47"/>
      <c r="D177" s="47"/>
      <c r="E177" s="56">
        <v>0</v>
      </c>
      <c r="F177" s="52">
        <v>0</v>
      </c>
      <c r="G177" s="118"/>
      <c r="H177" s="100">
        <v>0</v>
      </c>
      <c r="I177" s="118"/>
      <c r="J177" s="231"/>
      <c r="K177" s="231"/>
      <c r="L177" s="231"/>
      <c r="M177" s="231"/>
      <c r="N177" s="231"/>
      <c r="O177" s="231"/>
      <c r="P177" s="231"/>
      <c r="Q177" s="231"/>
      <c r="R177" s="231"/>
      <c r="S177" s="231"/>
      <c r="T177" s="231"/>
      <c r="U177" s="231"/>
      <c r="V177" s="231"/>
      <c r="W177" s="231"/>
      <c r="X177" s="231"/>
      <c r="Y177" s="231"/>
      <c r="Z177" s="231"/>
      <c r="AA177" s="231"/>
      <c r="AB177" s="231"/>
      <c r="AC177" s="231"/>
      <c r="AD177" s="231"/>
      <c r="AE177" s="231"/>
      <c r="AF177" s="231"/>
      <c r="AG177" s="231"/>
    </row>
    <row r="178" spans="1:33" s="203" customFormat="1">
      <c r="A178" s="120">
        <v>15</v>
      </c>
      <c r="B178" s="116" t="s">
        <v>149</v>
      </c>
      <c r="C178" s="116"/>
      <c r="D178" s="116"/>
      <c r="E178" s="80">
        <v>6200</v>
      </c>
      <c r="F178" s="142">
        <f>SUM(F175:F177)</f>
        <v>5926</v>
      </c>
      <c r="G178" s="118"/>
      <c r="H178" s="142">
        <f>SUM(H175:H177)</f>
        <v>5988</v>
      </c>
      <c r="I178" s="29"/>
      <c r="J178" s="231"/>
      <c r="K178" s="231"/>
      <c r="L178" s="231"/>
      <c r="M178" s="231"/>
      <c r="N178" s="231"/>
      <c r="O178" s="231"/>
      <c r="P178" s="231"/>
      <c r="Q178" s="231"/>
      <c r="R178" s="231"/>
      <c r="S178" s="231"/>
      <c r="T178" s="231"/>
      <c r="U178" s="231"/>
      <c r="V178" s="231"/>
      <c r="W178" s="231"/>
      <c r="X178" s="231"/>
      <c r="Y178" s="231"/>
      <c r="Z178" s="231"/>
      <c r="AA178" s="231"/>
      <c r="AB178" s="231"/>
      <c r="AC178" s="231"/>
      <c r="AD178" s="231"/>
      <c r="AE178" s="231"/>
      <c r="AF178" s="231"/>
      <c r="AG178" s="231"/>
    </row>
    <row r="179" spans="1:33" s="203" customFormat="1">
      <c r="A179" s="120">
        <v>16</v>
      </c>
      <c r="B179" s="116" t="s">
        <v>150</v>
      </c>
      <c r="C179" s="116"/>
      <c r="D179" s="116"/>
      <c r="E179" s="80">
        <v>6200</v>
      </c>
      <c r="F179" s="158">
        <f>F172+F178</f>
        <v>5926</v>
      </c>
      <c r="G179" s="118"/>
      <c r="H179" s="158">
        <f>H172+H178</f>
        <v>5988</v>
      </c>
      <c r="I179" s="29"/>
      <c r="J179" s="231"/>
      <c r="K179" s="231"/>
      <c r="L179" s="231"/>
      <c r="M179" s="231"/>
      <c r="N179" s="231"/>
      <c r="O179" s="231"/>
      <c r="P179" s="231"/>
      <c r="Q179" s="231"/>
      <c r="R179" s="231"/>
      <c r="S179" s="231"/>
      <c r="T179" s="231"/>
      <c r="U179" s="231"/>
      <c r="V179" s="231"/>
      <c r="W179" s="231"/>
      <c r="X179" s="231"/>
      <c r="Y179" s="231"/>
      <c r="Z179" s="231"/>
      <c r="AA179" s="231"/>
      <c r="AB179" s="231"/>
      <c r="AC179" s="231"/>
      <c r="AD179" s="231"/>
      <c r="AE179" s="231"/>
      <c r="AF179" s="231"/>
      <c r="AG179" s="231"/>
    </row>
    <row r="180" spans="1:33" s="203" customFormat="1">
      <c r="A180" s="120">
        <v>17</v>
      </c>
      <c r="B180" s="116" t="s">
        <v>151</v>
      </c>
      <c r="C180" s="116"/>
      <c r="D180" s="116"/>
      <c r="E180" s="159">
        <v>21858.546502448113</v>
      </c>
      <c r="F180" s="61">
        <f>SUM(F163+F169+F171+F179)</f>
        <v>25699</v>
      </c>
      <c r="G180" s="118"/>
      <c r="H180" s="61">
        <f>SUM(H163+H169+H171+H179)</f>
        <v>27091</v>
      </c>
      <c r="I180" s="29"/>
      <c r="J180" s="231"/>
      <c r="K180" s="231"/>
      <c r="L180" s="231"/>
      <c r="M180" s="231"/>
      <c r="N180" s="231"/>
      <c r="O180" s="231"/>
      <c r="P180" s="231"/>
      <c r="Q180" s="231"/>
      <c r="R180" s="231"/>
      <c r="S180" s="231"/>
      <c r="T180" s="231"/>
      <c r="U180" s="231"/>
      <c r="V180" s="231"/>
      <c r="W180" s="231"/>
      <c r="X180" s="231"/>
      <c r="Y180" s="231"/>
      <c r="Z180" s="231"/>
      <c r="AA180" s="231"/>
      <c r="AB180" s="231"/>
      <c r="AC180" s="231"/>
      <c r="AD180" s="231"/>
      <c r="AE180" s="231"/>
      <c r="AF180" s="231"/>
      <c r="AG180" s="231"/>
    </row>
    <row r="181" spans="1:33" s="203" customFormat="1">
      <c r="A181" s="46"/>
      <c r="B181" s="132"/>
      <c r="C181" s="132"/>
      <c r="D181" s="132"/>
      <c r="E181" s="156"/>
      <c r="F181" s="139"/>
      <c r="G181" s="139"/>
      <c r="H181" s="139"/>
      <c r="I181" s="29"/>
      <c r="J181" s="231"/>
      <c r="K181" s="231"/>
      <c r="L181" s="231"/>
      <c r="M181" s="231"/>
      <c r="N181" s="231"/>
      <c r="O181" s="231"/>
      <c r="P181" s="231"/>
      <c r="Q181" s="231"/>
      <c r="R181" s="231"/>
      <c r="S181" s="231"/>
      <c r="T181" s="231"/>
      <c r="U181" s="231"/>
      <c r="V181" s="231"/>
      <c r="W181" s="231"/>
      <c r="X181" s="231"/>
      <c r="Y181" s="231"/>
      <c r="Z181" s="231"/>
      <c r="AA181" s="231"/>
      <c r="AB181" s="231"/>
      <c r="AC181" s="231"/>
      <c r="AD181" s="231"/>
      <c r="AE181" s="231"/>
      <c r="AF181" s="231"/>
      <c r="AG181" s="231"/>
    </row>
    <row r="182" spans="1:33" s="203" customFormat="1">
      <c r="A182" s="119" t="s">
        <v>152</v>
      </c>
      <c r="B182" s="47"/>
      <c r="C182" s="47"/>
      <c r="D182" s="116"/>
      <c r="E182" s="117"/>
      <c r="F182" s="118"/>
      <c r="G182" s="118"/>
      <c r="H182" s="118"/>
      <c r="I182" s="29"/>
      <c r="J182" s="231"/>
      <c r="K182" s="231"/>
      <c r="L182" s="231"/>
      <c r="M182" s="231"/>
      <c r="N182" s="231"/>
      <c r="O182" s="231"/>
      <c r="P182" s="231"/>
      <c r="Q182" s="231"/>
      <c r="R182" s="231"/>
      <c r="S182" s="231"/>
      <c r="T182" s="231"/>
      <c r="U182" s="231"/>
      <c r="V182" s="231"/>
      <c r="W182" s="231"/>
      <c r="X182" s="231"/>
      <c r="Y182" s="231"/>
      <c r="Z182" s="231"/>
      <c r="AA182" s="231"/>
      <c r="AB182" s="231"/>
      <c r="AC182" s="231"/>
      <c r="AD182" s="231"/>
      <c r="AE182" s="231"/>
      <c r="AF182" s="231"/>
      <c r="AG182" s="231"/>
    </row>
    <row r="183" spans="1:33" s="203" customFormat="1">
      <c r="A183" s="120">
        <v>18</v>
      </c>
      <c r="B183" s="47" t="s">
        <v>153</v>
      </c>
      <c r="C183" s="47"/>
      <c r="D183" s="47"/>
      <c r="E183" s="41">
        <v>0</v>
      </c>
      <c r="F183" s="121">
        <v>0</v>
      </c>
      <c r="G183" s="118"/>
      <c r="H183" s="133">
        <v>0</v>
      </c>
      <c r="I183" s="29"/>
      <c r="J183" s="231"/>
      <c r="K183" s="231"/>
      <c r="L183" s="231"/>
      <c r="M183" s="231"/>
      <c r="N183" s="231"/>
      <c r="O183" s="231"/>
      <c r="P183" s="231"/>
      <c r="Q183" s="231"/>
      <c r="R183" s="231"/>
      <c r="S183" s="231"/>
      <c r="T183" s="231"/>
      <c r="U183" s="231"/>
      <c r="V183" s="231"/>
      <c r="W183" s="231"/>
      <c r="X183" s="231"/>
      <c r="Y183" s="231"/>
      <c r="Z183" s="231"/>
      <c r="AA183" s="231"/>
      <c r="AB183" s="231"/>
      <c r="AC183" s="231"/>
      <c r="AD183" s="231"/>
      <c r="AE183" s="231"/>
      <c r="AF183" s="231"/>
      <c r="AG183" s="231"/>
    </row>
    <row r="184" spans="1:33" s="203" customFormat="1">
      <c r="A184" s="120">
        <v>19</v>
      </c>
      <c r="B184" s="47" t="s">
        <v>154</v>
      </c>
      <c r="C184" s="47"/>
      <c r="D184" s="47"/>
      <c r="E184" s="49">
        <v>0</v>
      </c>
      <c r="F184" s="52">
        <v>0</v>
      </c>
      <c r="G184" s="118"/>
      <c r="H184" s="122">
        <v>0</v>
      </c>
      <c r="I184" s="29"/>
      <c r="J184" s="231"/>
      <c r="K184" s="231"/>
      <c r="L184" s="231"/>
      <c r="M184" s="231"/>
      <c r="N184" s="231"/>
      <c r="O184" s="231"/>
      <c r="P184" s="231"/>
      <c r="Q184" s="231"/>
      <c r="R184" s="231"/>
      <c r="S184" s="231"/>
      <c r="T184" s="231"/>
      <c r="U184" s="231"/>
      <c r="V184" s="231"/>
      <c r="W184" s="231"/>
      <c r="X184" s="231"/>
      <c r="Y184" s="231"/>
      <c r="Z184" s="231"/>
      <c r="AA184" s="231"/>
      <c r="AB184" s="231"/>
      <c r="AC184" s="231"/>
      <c r="AD184" s="231"/>
      <c r="AE184" s="231"/>
      <c r="AF184" s="231"/>
      <c r="AG184" s="231"/>
    </row>
    <row r="185" spans="1:33" s="203" customFormat="1">
      <c r="A185" s="120">
        <v>20</v>
      </c>
      <c r="B185" s="47" t="s">
        <v>155</v>
      </c>
      <c r="C185" s="47"/>
      <c r="D185" s="47"/>
      <c r="E185" s="49">
        <v>0</v>
      </c>
      <c r="F185" s="52">
        <v>0</v>
      </c>
      <c r="G185" s="118"/>
      <c r="H185" s="122">
        <v>0</v>
      </c>
      <c r="I185" s="29"/>
      <c r="J185" s="231"/>
      <c r="K185" s="231"/>
      <c r="L185" s="231"/>
      <c r="M185" s="231"/>
      <c r="N185" s="231"/>
      <c r="O185" s="231"/>
      <c r="P185" s="231"/>
      <c r="Q185" s="231"/>
      <c r="R185" s="231"/>
      <c r="S185" s="231"/>
      <c r="T185" s="231"/>
      <c r="U185" s="231"/>
      <c r="V185" s="231"/>
      <c r="W185" s="231"/>
      <c r="X185" s="231"/>
      <c r="Y185" s="231"/>
      <c r="Z185" s="231"/>
      <c r="AA185" s="231"/>
      <c r="AB185" s="231"/>
      <c r="AC185" s="231"/>
      <c r="AD185" s="231"/>
      <c r="AE185" s="231"/>
      <c r="AF185" s="231"/>
      <c r="AG185" s="231"/>
    </row>
    <row r="186" spans="1:33" s="203" customFormat="1">
      <c r="A186" s="120">
        <v>21</v>
      </c>
      <c r="B186" s="47" t="s">
        <v>156</v>
      </c>
      <c r="C186" s="47"/>
      <c r="D186" s="47"/>
      <c r="E186" s="49">
        <v>0</v>
      </c>
      <c r="F186" s="52">
        <v>0</v>
      </c>
      <c r="G186" s="118"/>
      <c r="H186" s="122">
        <v>0</v>
      </c>
      <c r="I186" s="29"/>
      <c r="J186" s="231"/>
      <c r="K186" s="231"/>
      <c r="L186" s="231"/>
      <c r="M186" s="231"/>
      <c r="N186" s="231"/>
      <c r="O186" s="231"/>
      <c r="P186" s="231"/>
      <c r="Q186" s="231"/>
      <c r="R186" s="231"/>
      <c r="S186" s="231"/>
      <c r="T186" s="231"/>
      <c r="U186" s="231"/>
      <c r="V186" s="231"/>
      <c r="W186" s="231"/>
      <c r="X186" s="231"/>
      <c r="Y186" s="231"/>
      <c r="Z186" s="231"/>
      <c r="AA186" s="231"/>
      <c r="AB186" s="231"/>
      <c r="AC186" s="231"/>
      <c r="AD186" s="231"/>
      <c r="AE186" s="231"/>
      <c r="AF186" s="231"/>
      <c r="AG186" s="231"/>
    </row>
    <row r="187" spans="1:33" s="203" customFormat="1">
      <c r="A187" s="120">
        <v>22</v>
      </c>
      <c r="B187" s="47" t="s">
        <v>157</v>
      </c>
      <c r="C187" s="47"/>
      <c r="D187" s="47"/>
      <c r="E187" s="49">
        <v>0</v>
      </c>
      <c r="F187" s="52">
        <v>0</v>
      </c>
      <c r="G187" s="118"/>
      <c r="H187" s="122">
        <v>0</v>
      </c>
      <c r="I187" s="29"/>
      <c r="J187" s="231"/>
      <c r="K187" s="231"/>
      <c r="L187" s="231"/>
      <c r="M187" s="231"/>
      <c r="N187" s="231"/>
      <c r="O187" s="231"/>
      <c r="P187" s="231"/>
      <c r="Q187" s="231"/>
      <c r="R187" s="231"/>
      <c r="S187" s="231"/>
      <c r="T187" s="231"/>
      <c r="U187" s="231"/>
      <c r="V187" s="231"/>
      <c r="W187" s="231"/>
      <c r="X187" s="231"/>
      <c r="Y187" s="231"/>
      <c r="Z187" s="231"/>
      <c r="AA187" s="231"/>
      <c r="AB187" s="231"/>
      <c r="AC187" s="231"/>
      <c r="AD187" s="231"/>
      <c r="AE187" s="231"/>
      <c r="AF187" s="231"/>
      <c r="AG187" s="231"/>
    </row>
    <row r="188" spans="1:33" s="203" customFormat="1">
      <c r="A188" s="120">
        <v>23</v>
      </c>
      <c r="B188" s="47" t="s">
        <v>158</v>
      </c>
      <c r="C188" s="47"/>
      <c r="D188" s="47"/>
      <c r="E188" s="49">
        <v>0</v>
      </c>
      <c r="F188" s="52">
        <v>0</v>
      </c>
      <c r="G188" s="118"/>
      <c r="H188" s="122">
        <v>0</v>
      </c>
      <c r="I188" s="29"/>
      <c r="J188" s="231"/>
      <c r="K188" s="231"/>
      <c r="L188" s="231"/>
      <c r="M188" s="231"/>
      <c r="N188" s="231"/>
      <c r="O188" s="231"/>
      <c r="P188" s="231"/>
      <c r="Q188" s="231"/>
      <c r="R188" s="231"/>
      <c r="S188" s="231"/>
      <c r="T188" s="231"/>
      <c r="U188" s="231"/>
      <c r="V188" s="231"/>
      <c r="W188" s="231"/>
      <c r="X188" s="231"/>
      <c r="Y188" s="231"/>
      <c r="Z188" s="231"/>
      <c r="AA188" s="231"/>
      <c r="AB188" s="231"/>
      <c r="AC188" s="231"/>
      <c r="AD188" s="231"/>
      <c r="AE188" s="231"/>
      <c r="AF188" s="231"/>
      <c r="AG188" s="231"/>
    </row>
    <row r="189" spans="1:33" s="203" customFormat="1">
      <c r="A189" s="120">
        <v>24</v>
      </c>
      <c r="B189" s="47" t="s">
        <v>159</v>
      </c>
      <c r="C189" s="47"/>
      <c r="D189" s="47"/>
      <c r="E189" s="49">
        <v>0</v>
      </c>
      <c r="F189" s="52">
        <v>0</v>
      </c>
      <c r="G189" s="118"/>
      <c r="H189" s="122">
        <v>0</v>
      </c>
      <c r="I189" s="29"/>
      <c r="J189" s="231"/>
      <c r="K189" s="231"/>
      <c r="L189" s="231"/>
      <c r="M189" s="231"/>
      <c r="N189" s="231"/>
      <c r="O189" s="231"/>
      <c r="P189" s="231"/>
      <c r="Q189" s="231"/>
      <c r="R189" s="231"/>
      <c r="S189" s="231"/>
      <c r="T189" s="231"/>
      <c r="U189" s="231"/>
      <c r="V189" s="231"/>
      <c r="W189" s="231"/>
      <c r="X189" s="231"/>
      <c r="Y189" s="231"/>
      <c r="Z189" s="231"/>
      <c r="AA189" s="231"/>
      <c r="AB189" s="231"/>
      <c r="AC189" s="231"/>
      <c r="AD189" s="231"/>
      <c r="AE189" s="231"/>
      <c r="AF189" s="231"/>
      <c r="AG189" s="231"/>
    </row>
    <row r="190" spans="1:33" s="203" customFormat="1">
      <c r="A190" s="124">
        <v>25</v>
      </c>
      <c r="B190" s="54" t="s">
        <v>160</v>
      </c>
      <c r="C190" s="54"/>
      <c r="D190" s="54"/>
      <c r="E190" s="56">
        <v>0</v>
      </c>
      <c r="F190" s="126">
        <v>0</v>
      </c>
      <c r="G190" s="118"/>
      <c r="H190" s="100">
        <v>0</v>
      </c>
      <c r="I190" s="24"/>
      <c r="J190" s="231"/>
      <c r="K190" s="231"/>
      <c r="L190" s="231"/>
      <c r="M190" s="231"/>
      <c r="N190" s="231"/>
      <c r="O190" s="231"/>
      <c r="P190" s="231"/>
      <c r="Q190" s="231"/>
      <c r="R190" s="231"/>
      <c r="S190" s="231"/>
      <c r="T190" s="231"/>
      <c r="U190" s="231"/>
      <c r="V190" s="231"/>
      <c r="W190" s="231"/>
      <c r="X190" s="231"/>
      <c r="Y190" s="231"/>
      <c r="Z190" s="231"/>
      <c r="AA190" s="231"/>
      <c r="AB190" s="231"/>
      <c r="AC190" s="231"/>
      <c r="AD190" s="231"/>
      <c r="AE190" s="231"/>
      <c r="AF190" s="231"/>
      <c r="AG190" s="231"/>
    </row>
    <row r="191" spans="1:33" s="203" customFormat="1">
      <c r="A191" s="161"/>
      <c r="B191" s="129"/>
      <c r="C191" s="129"/>
      <c r="D191" s="149"/>
      <c r="E191" s="162"/>
      <c r="F191" s="29"/>
      <c r="G191" s="29"/>
      <c r="H191" s="207"/>
      <c r="I191" s="29"/>
      <c r="J191" s="231"/>
      <c r="K191" s="231"/>
      <c r="L191" s="231"/>
      <c r="M191" s="231"/>
      <c r="N191" s="231"/>
      <c r="O191" s="231"/>
      <c r="P191" s="231"/>
      <c r="Q191" s="231"/>
      <c r="R191" s="231"/>
      <c r="S191" s="231"/>
      <c r="T191" s="231"/>
      <c r="U191" s="231"/>
      <c r="V191" s="231"/>
      <c r="W191" s="231"/>
      <c r="X191" s="231"/>
      <c r="Y191" s="231"/>
      <c r="Z191" s="231"/>
      <c r="AA191" s="231"/>
      <c r="AB191" s="231"/>
      <c r="AC191" s="231"/>
      <c r="AD191" s="231"/>
      <c r="AE191" s="231"/>
      <c r="AF191" s="231"/>
      <c r="AG191" s="231"/>
    </row>
    <row r="192" spans="1:33" s="203" customFormat="1">
      <c r="A192" s="161"/>
      <c r="B192" s="129"/>
      <c r="C192" s="129"/>
      <c r="D192" s="151"/>
      <c r="E192" s="163"/>
      <c r="F192" s="29"/>
      <c r="G192" s="29"/>
      <c r="H192" s="131" t="s">
        <v>27</v>
      </c>
      <c r="I192" s="29"/>
      <c r="J192" s="231"/>
      <c r="K192" s="231"/>
      <c r="L192" s="231"/>
      <c r="M192" s="231"/>
      <c r="N192" s="231"/>
      <c r="O192" s="231"/>
      <c r="P192" s="231"/>
      <c r="Q192" s="231"/>
      <c r="R192" s="231"/>
      <c r="S192" s="231"/>
      <c r="T192" s="231"/>
      <c r="U192" s="231"/>
      <c r="V192" s="231"/>
      <c r="W192" s="231"/>
      <c r="X192" s="231"/>
      <c r="Y192" s="231"/>
      <c r="Z192" s="231"/>
      <c r="AA192" s="231"/>
      <c r="AB192" s="231"/>
      <c r="AC192" s="231"/>
      <c r="AD192" s="231"/>
      <c r="AE192" s="231"/>
      <c r="AF192" s="231"/>
      <c r="AG192" s="231"/>
    </row>
    <row r="193" spans="1:33" s="203" customFormat="1" ht="12.75" customHeight="1">
      <c r="A193" s="106" t="s">
        <v>23</v>
      </c>
      <c r="B193" s="164"/>
      <c r="C193" s="164"/>
      <c r="D193" s="164"/>
      <c r="E193" s="856" t="s">
        <v>377</v>
      </c>
      <c r="F193" s="856" t="s">
        <v>402</v>
      </c>
      <c r="G193" s="130"/>
      <c r="H193" s="856" t="s">
        <v>403</v>
      </c>
      <c r="I193" s="130"/>
      <c r="J193" s="231"/>
      <c r="K193" s="231"/>
      <c r="L193" s="231"/>
      <c r="M193" s="231"/>
      <c r="N193" s="231"/>
      <c r="O193" s="231"/>
      <c r="P193" s="231"/>
      <c r="Q193" s="231"/>
      <c r="R193" s="231"/>
      <c r="S193" s="231"/>
      <c r="T193" s="231"/>
      <c r="U193" s="231"/>
      <c r="V193" s="231"/>
      <c r="W193" s="231"/>
      <c r="X193" s="231"/>
      <c r="Y193" s="231"/>
      <c r="Z193" s="231"/>
      <c r="AA193" s="231"/>
      <c r="AB193" s="231"/>
      <c r="AC193" s="231"/>
      <c r="AD193" s="231"/>
      <c r="AE193" s="231"/>
      <c r="AF193" s="231"/>
      <c r="AG193" s="231"/>
    </row>
    <row r="194" spans="1:33" s="203" customFormat="1" ht="23.25" customHeight="1">
      <c r="A194" s="165"/>
      <c r="B194" s="132"/>
      <c r="C194" s="132"/>
      <c r="D194" s="132"/>
      <c r="E194" s="859"/>
      <c r="F194" s="859"/>
      <c r="G194" s="130"/>
      <c r="H194" s="859"/>
      <c r="I194" s="130"/>
      <c r="J194" s="231"/>
      <c r="K194" s="231"/>
      <c r="L194" s="231"/>
      <c r="M194" s="231"/>
      <c r="N194" s="231"/>
      <c r="O194" s="231"/>
      <c r="P194" s="231"/>
      <c r="Q194" s="231"/>
      <c r="R194" s="231"/>
      <c r="S194" s="231"/>
      <c r="T194" s="231"/>
      <c r="U194" s="231"/>
      <c r="V194" s="231"/>
      <c r="W194" s="231"/>
      <c r="X194" s="231"/>
      <c r="Y194" s="231"/>
      <c r="Z194" s="231"/>
      <c r="AA194" s="231"/>
      <c r="AB194" s="231"/>
      <c r="AC194" s="231"/>
      <c r="AD194" s="231"/>
      <c r="AE194" s="231"/>
      <c r="AF194" s="231"/>
      <c r="AG194" s="231"/>
    </row>
    <row r="195" spans="1:33" s="203" customFormat="1">
      <c r="A195" s="154" t="s">
        <v>161</v>
      </c>
      <c r="B195" s="116"/>
      <c r="C195" s="116"/>
      <c r="D195" s="116"/>
      <c r="E195" s="859"/>
      <c r="F195" s="859"/>
      <c r="G195" s="130"/>
      <c r="H195" s="859"/>
      <c r="I195" s="130"/>
      <c r="J195" s="231"/>
      <c r="K195" s="231"/>
      <c r="L195" s="231"/>
      <c r="M195" s="231"/>
      <c r="N195" s="231"/>
      <c r="O195" s="231"/>
      <c r="P195" s="231"/>
      <c r="Q195" s="231"/>
      <c r="R195" s="231"/>
      <c r="S195" s="231"/>
      <c r="T195" s="231"/>
      <c r="U195" s="231"/>
      <c r="V195" s="231"/>
      <c r="W195" s="231"/>
      <c r="X195" s="231"/>
      <c r="Y195" s="231"/>
      <c r="Z195" s="231"/>
      <c r="AA195" s="231"/>
      <c r="AB195" s="231"/>
      <c r="AC195" s="231"/>
      <c r="AD195" s="231"/>
      <c r="AE195" s="231"/>
      <c r="AF195" s="231"/>
      <c r="AG195" s="231"/>
    </row>
    <row r="196" spans="1:33" s="203" customFormat="1">
      <c r="A196" s="109" t="s">
        <v>83</v>
      </c>
      <c r="B196" s="47"/>
      <c r="C196" s="47"/>
      <c r="D196" s="47"/>
      <c r="E196" s="859"/>
      <c r="F196" s="859"/>
      <c r="G196" s="130"/>
      <c r="H196" s="859"/>
      <c r="I196" s="130"/>
      <c r="J196" s="231"/>
      <c r="K196" s="231"/>
      <c r="L196" s="231"/>
      <c r="M196" s="231"/>
      <c r="N196" s="231"/>
      <c r="O196" s="231"/>
      <c r="P196" s="231"/>
      <c r="Q196" s="231"/>
      <c r="R196" s="231"/>
      <c r="S196" s="231"/>
      <c r="T196" s="231"/>
      <c r="U196" s="231"/>
      <c r="V196" s="231"/>
      <c r="W196" s="231"/>
      <c r="X196" s="231"/>
      <c r="Y196" s="231"/>
      <c r="Z196" s="231"/>
      <c r="AA196" s="231"/>
      <c r="AB196" s="231"/>
      <c r="AC196" s="231"/>
      <c r="AD196" s="231"/>
      <c r="AE196" s="231"/>
      <c r="AF196" s="231"/>
      <c r="AG196" s="231"/>
    </row>
    <row r="197" spans="1:33" s="203" customFormat="1">
      <c r="A197" s="110" t="s">
        <v>84</v>
      </c>
      <c r="B197" s="132"/>
      <c r="C197" s="132"/>
      <c r="D197" s="132"/>
      <c r="E197" s="860"/>
      <c r="F197" s="860"/>
      <c r="G197" s="130"/>
      <c r="H197" s="860"/>
      <c r="I197" s="130"/>
      <c r="J197" s="231"/>
      <c r="K197" s="231"/>
      <c r="L197" s="231"/>
      <c r="M197" s="231"/>
      <c r="N197" s="231"/>
      <c r="O197" s="231"/>
      <c r="P197" s="231"/>
      <c r="Q197" s="231"/>
      <c r="R197" s="231"/>
      <c r="S197" s="231"/>
      <c r="T197" s="231"/>
      <c r="U197" s="231"/>
      <c r="V197" s="231"/>
      <c r="W197" s="231"/>
      <c r="X197" s="231"/>
      <c r="Y197" s="231"/>
      <c r="Z197" s="231"/>
      <c r="AA197" s="231"/>
      <c r="AB197" s="231"/>
      <c r="AC197" s="231"/>
      <c r="AD197" s="231"/>
      <c r="AE197" s="231"/>
      <c r="AF197" s="231"/>
      <c r="AG197" s="231"/>
    </row>
    <row r="198" spans="1:33" s="203" customFormat="1">
      <c r="A198" s="153" t="s">
        <v>162</v>
      </c>
      <c r="B198" s="166"/>
      <c r="C198" s="166"/>
      <c r="D198" s="166"/>
      <c r="E198" s="167"/>
      <c r="F198" s="146"/>
      <c r="G198" s="118"/>
      <c r="H198" s="146"/>
      <c r="I198" s="29"/>
      <c r="J198" s="231"/>
      <c r="K198" s="231"/>
      <c r="L198" s="231"/>
      <c r="M198" s="231"/>
      <c r="N198" s="231"/>
      <c r="O198" s="231"/>
      <c r="P198" s="231"/>
      <c r="Q198" s="231"/>
      <c r="R198" s="231"/>
      <c r="S198" s="231"/>
      <c r="T198" s="231"/>
      <c r="U198" s="231"/>
      <c r="V198" s="231"/>
      <c r="W198" s="231"/>
      <c r="X198" s="231"/>
      <c r="Y198" s="231"/>
      <c r="Z198" s="231"/>
      <c r="AA198" s="231"/>
      <c r="AB198" s="231"/>
      <c r="AC198" s="231"/>
      <c r="AD198" s="231"/>
      <c r="AE198" s="231"/>
      <c r="AF198" s="231"/>
      <c r="AG198" s="231"/>
    </row>
    <row r="199" spans="1:33" s="203" customFormat="1">
      <c r="A199" s="120">
        <v>1</v>
      </c>
      <c r="B199" s="47" t="s">
        <v>163</v>
      </c>
      <c r="C199" s="47"/>
      <c r="D199" s="47"/>
      <c r="E199" s="74">
        <v>2788.5645648550199</v>
      </c>
      <c r="F199" s="52">
        <v>3323</v>
      </c>
      <c r="G199" s="118"/>
      <c r="H199" s="122">
        <v>3133</v>
      </c>
      <c r="I199" s="118"/>
      <c r="J199" s="231"/>
      <c r="K199" s="231"/>
      <c r="L199" s="231"/>
      <c r="M199" s="231"/>
      <c r="N199" s="231"/>
      <c r="O199" s="231"/>
      <c r="P199" s="231"/>
      <c r="Q199" s="231"/>
      <c r="R199" s="231"/>
      <c r="S199" s="231"/>
      <c r="T199" s="231"/>
      <c r="U199" s="231"/>
      <c r="V199" s="231"/>
      <c r="W199" s="231"/>
      <c r="X199" s="231"/>
      <c r="Y199" s="231"/>
      <c r="Z199" s="231"/>
      <c r="AA199" s="231"/>
      <c r="AB199" s="231"/>
      <c r="AC199" s="231"/>
      <c r="AD199" s="231"/>
      <c r="AE199" s="231"/>
      <c r="AF199" s="231"/>
      <c r="AG199" s="231"/>
    </row>
    <row r="200" spans="1:33" s="203" customFormat="1">
      <c r="A200" s="120">
        <v>2</v>
      </c>
      <c r="B200" s="47" t="s">
        <v>164</v>
      </c>
      <c r="C200" s="47"/>
      <c r="D200" s="47"/>
      <c r="E200" s="56">
        <v>221.97595457402801</v>
      </c>
      <c r="F200" s="52">
        <v>256</v>
      </c>
      <c r="G200" s="118"/>
      <c r="H200" s="100">
        <v>259</v>
      </c>
      <c r="I200" s="118"/>
      <c r="J200" s="231"/>
      <c r="K200" s="231"/>
      <c r="L200" s="231"/>
      <c r="M200" s="231"/>
      <c r="N200" s="231"/>
      <c r="O200" s="231"/>
      <c r="P200" s="231"/>
      <c r="Q200" s="231"/>
      <c r="R200" s="231"/>
      <c r="S200" s="231"/>
      <c r="T200" s="231"/>
      <c r="U200" s="231"/>
      <c r="V200" s="231"/>
      <c r="W200" s="231"/>
      <c r="X200" s="231"/>
      <c r="Y200" s="231"/>
      <c r="Z200" s="231"/>
      <c r="AA200" s="231"/>
      <c r="AB200" s="231"/>
      <c r="AC200" s="231"/>
      <c r="AD200" s="231"/>
      <c r="AE200" s="231"/>
      <c r="AF200" s="231"/>
      <c r="AG200" s="231"/>
    </row>
    <row r="201" spans="1:33" s="203" customFormat="1">
      <c r="A201" s="120">
        <v>3</v>
      </c>
      <c r="B201" s="116" t="s">
        <v>165</v>
      </c>
      <c r="C201" s="116"/>
      <c r="D201" s="116"/>
      <c r="E201" s="80">
        <v>3010.5405194290479</v>
      </c>
      <c r="F201" s="142">
        <f>SUM(F199:F200)</f>
        <v>3579</v>
      </c>
      <c r="G201" s="118"/>
      <c r="H201" s="142">
        <f>SUM(H199:H200)</f>
        <v>3392</v>
      </c>
      <c r="I201" s="29"/>
      <c r="J201" s="231"/>
      <c r="K201" s="231"/>
      <c r="L201" s="231"/>
      <c r="M201" s="231"/>
      <c r="N201" s="231"/>
      <c r="O201" s="231"/>
      <c r="P201" s="231"/>
      <c r="Q201" s="231"/>
      <c r="R201" s="231"/>
      <c r="S201" s="231"/>
      <c r="T201" s="231"/>
      <c r="U201" s="231"/>
      <c r="V201" s="231"/>
      <c r="W201" s="231"/>
      <c r="X201" s="231"/>
      <c r="Y201" s="231"/>
      <c r="Z201" s="231"/>
      <c r="AA201" s="231"/>
      <c r="AB201" s="231"/>
      <c r="AC201" s="231"/>
      <c r="AD201" s="231"/>
      <c r="AE201" s="231"/>
      <c r="AF201" s="231"/>
      <c r="AG201" s="231"/>
    </row>
    <row r="202" spans="1:33" s="203" customFormat="1">
      <c r="A202" s="46"/>
      <c r="B202" s="132"/>
      <c r="C202" s="132"/>
      <c r="D202" s="132"/>
      <c r="E202" s="156"/>
      <c r="F202" s="139"/>
      <c r="G202" s="139"/>
      <c r="H202" s="139"/>
      <c r="I202" s="29"/>
      <c r="J202" s="231"/>
      <c r="K202" s="231"/>
      <c r="L202" s="231"/>
      <c r="M202" s="231"/>
      <c r="N202" s="231"/>
      <c r="O202" s="231"/>
      <c r="P202" s="231"/>
      <c r="Q202" s="231"/>
      <c r="R202" s="231"/>
      <c r="S202" s="231"/>
      <c r="T202" s="231"/>
      <c r="U202" s="231"/>
      <c r="V202" s="231"/>
      <c r="W202" s="231"/>
      <c r="X202" s="231"/>
      <c r="Y202" s="231"/>
      <c r="Z202" s="231"/>
      <c r="AA202" s="231"/>
      <c r="AB202" s="231"/>
      <c r="AC202" s="231"/>
      <c r="AD202" s="231"/>
      <c r="AE202" s="231"/>
      <c r="AF202" s="231"/>
      <c r="AG202" s="231"/>
    </row>
    <row r="203" spans="1:33" s="203" customFormat="1">
      <c r="A203" s="153" t="s">
        <v>166</v>
      </c>
      <c r="B203" s="116"/>
      <c r="C203" s="116"/>
      <c r="D203" s="116"/>
      <c r="E203" s="140"/>
      <c r="F203" s="146"/>
      <c r="G203" s="118"/>
      <c r="H203" s="146"/>
      <c r="I203" s="29"/>
      <c r="J203" s="231"/>
      <c r="K203" s="231"/>
      <c r="L203" s="231"/>
      <c r="M203" s="231"/>
      <c r="N203" s="231"/>
      <c r="O203" s="231"/>
      <c r="P203" s="231"/>
      <c r="Q203" s="231"/>
      <c r="R203" s="231"/>
      <c r="S203" s="231"/>
      <c r="T203" s="231"/>
      <c r="U203" s="231"/>
      <c r="V203" s="231"/>
      <c r="W203" s="231"/>
      <c r="X203" s="231"/>
      <c r="Y203" s="231"/>
      <c r="Z203" s="231"/>
      <c r="AA203" s="231"/>
      <c r="AB203" s="231"/>
      <c r="AC203" s="231"/>
      <c r="AD203" s="231"/>
      <c r="AE203" s="231"/>
      <c r="AF203" s="231"/>
      <c r="AG203" s="231"/>
    </row>
    <row r="204" spans="1:33" s="203" customFormat="1">
      <c r="A204" s="120">
        <v>4</v>
      </c>
      <c r="B204" s="47" t="s">
        <v>167</v>
      </c>
      <c r="C204" s="47"/>
      <c r="D204" s="47"/>
      <c r="E204" s="74">
        <v>5959.6351293300304</v>
      </c>
      <c r="F204" s="52">
        <v>9145</v>
      </c>
      <c r="G204" s="118"/>
      <c r="H204" s="122">
        <v>6823</v>
      </c>
      <c r="I204" s="118"/>
      <c r="J204" s="231"/>
      <c r="K204" s="231"/>
      <c r="L204" s="231"/>
      <c r="M204" s="231"/>
      <c r="N204" s="231"/>
      <c r="O204" s="231"/>
      <c r="P204" s="231"/>
      <c r="Q204" s="231"/>
      <c r="R204" s="231"/>
      <c r="S204" s="231"/>
      <c r="T204" s="231"/>
      <c r="U204" s="231"/>
      <c r="V204" s="231"/>
      <c r="W204" s="231"/>
      <c r="X204" s="231"/>
      <c r="Y204" s="231"/>
      <c r="Z204" s="231"/>
      <c r="AA204" s="231"/>
      <c r="AB204" s="231"/>
      <c r="AC204" s="231"/>
      <c r="AD204" s="231"/>
      <c r="AE204" s="231"/>
      <c r="AF204" s="231"/>
      <c r="AG204" s="231"/>
    </row>
    <row r="205" spans="1:33" s="203" customFormat="1">
      <c r="A205" s="120">
        <v>5</v>
      </c>
      <c r="B205" s="47" t="s">
        <v>168</v>
      </c>
      <c r="C205" s="47"/>
      <c r="D205" s="47"/>
      <c r="E205" s="49">
        <v>12797.507886085499</v>
      </c>
      <c r="F205" s="52">
        <v>17070</v>
      </c>
      <c r="G205" s="118"/>
      <c r="H205" s="122">
        <v>17003</v>
      </c>
      <c r="I205" s="118"/>
      <c r="J205" s="231"/>
      <c r="K205" s="231"/>
      <c r="L205" s="231"/>
      <c r="M205" s="231"/>
      <c r="N205" s="231"/>
      <c r="O205" s="231"/>
      <c r="P205" s="231"/>
      <c r="Q205" s="231"/>
      <c r="R205" s="231"/>
      <c r="S205" s="231"/>
      <c r="T205" s="231"/>
      <c r="U205" s="231"/>
      <c r="V205" s="231"/>
      <c r="W205" s="231"/>
      <c r="X205" s="231"/>
      <c r="Y205" s="231"/>
      <c r="Z205" s="231"/>
      <c r="AA205" s="231"/>
      <c r="AB205" s="231"/>
      <c r="AC205" s="231"/>
      <c r="AD205" s="231"/>
      <c r="AE205" s="231"/>
      <c r="AF205" s="231"/>
      <c r="AG205" s="231"/>
    </row>
    <row r="206" spans="1:33" s="203" customFormat="1">
      <c r="A206" s="120">
        <v>6</v>
      </c>
      <c r="B206" s="47" t="s">
        <v>169</v>
      </c>
      <c r="C206" s="47"/>
      <c r="D206" s="47"/>
      <c r="E206" s="49">
        <v>5689</v>
      </c>
      <c r="F206" s="52">
        <v>7270</v>
      </c>
      <c r="G206" s="118"/>
      <c r="H206" s="100">
        <v>5544</v>
      </c>
      <c r="I206" s="118"/>
      <c r="J206" s="231"/>
      <c r="K206" s="231"/>
      <c r="L206" s="231"/>
      <c r="M206" s="231"/>
      <c r="N206" s="231"/>
      <c r="O206" s="231"/>
      <c r="P206" s="231"/>
      <c r="Q206" s="231"/>
      <c r="R206" s="231"/>
      <c r="S206" s="231"/>
      <c r="T206" s="231"/>
      <c r="U206" s="231"/>
      <c r="V206" s="231"/>
      <c r="W206" s="231"/>
      <c r="X206" s="231"/>
      <c r="Y206" s="231"/>
      <c r="Z206" s="231"/>
      <c r="AA206" s="231"/>
      <c r="AB206" s="231"/>
      <c r="AC206" s="231"/>
      <c r="AD206" s="231"/>
      <c r="AE206" s="231"/>
      <c r="AF206" s="231"/>
      <c r="AG206" s="231"/>
    </row>
    <row r="207" spans="1:33" s="203" customFormat="1">
      <c r="A207" s="120">
        <v>7</v>
      </c>
      <c r="B207" s="116" t="s">
        <v>170</v>
      </c>
      <c r="C207" s="116"/>
      <c r="D207" s="116"/>
      <c r="E207" s="80">
        <v>24446.143015415531</v>
      </c>
      <c r="F207" s="142">
        <f>SUM(F204:F206)</f>
        <v>33485</v>
      </c>
      <c r="G207" s="118"/>
      <c r="H207" s="142">
        <f>SUM(H204:H206)</f>
        <v>29370</v>
      </c>
      <c r="I207" s="29"/>
      <c r="J207" s="231"/>
      <c r="K207" s="231"/>
      <c r="L207" s="231"/>
      <c r="M207" s="231"/>
      <c r="N207" s="231"/>
      <c r="O207" s="231"/>
      <c r="P207" s="231"/>
      <c r="Q207" s="231"/>
      <c r="R207" s="231"/>
      <c r="S207" s="231"/>
      <c r="T207" s="231"/>
      <c r="U207" s="231"/>
      <c r="V207" s="231"/>
      <c r="W207" s="231"/>
      <c r="X207" s="231"/>
      <c r="Y207" s="231"/>
      <c r="Z207" s="231"/>
      <c r="AA207" s="231"/>
      <c r="AB207" s="231"/>
      <c r="AC207" s="231"/>
      <c r="AD207" s="231"/>
      <c r="AE207" s="231"/>
      <c r="AF207" s="231"/>
      <c r="AG207" s="231"/>
    </row>
    <row r="208" spans="1:33" s="203" customFormat="1">
      <c r="A208" s="46"/>
      <c r="B208" s="132"/>
      <c r="C208" s="132"/>
      <c r="D208" s="132"/>
      <c r="E208" s="156"/>
      <c r="F208" s="139"/>
      <c r="G208" s="139"/>
      <c r="H208" s="139"/>
      <c r="I208" s="29"/>
      <c r="J208" s="231"/>
      <c r="K208" s="231"/>
      <c r="L208" s="231"/>
      <c r="M208" s="231"/>
      <c r="N208" s="231"/>
      <c r="O208" s="231"/>
      <c r="P208" s="231"/>
      <c r="Q208" s="231"/>
      <c r="R208" s="231"/>
      <c r="S208" s="231"/>
      <c r="T208" s="231"/>
      <c r="U208" s="231"/>
      <c r="V208" s="231"/>
      <c r="W208" s="231"/>
      <c r="X208" s="231"/>
      <c r="Y208" s="231"/>
      <c r="Z208" s="231"/>
      <c r="AA208" s="231"/>
      <c r="AB208" s="231"/>
      <c r="AC208" s="231"/>
      <c r="AD208" s="231"/>
      <c r="AE208" s="231"/>
      <c r="AF208" s="231"/>
      <c r="AG208" s="231"/>
    </row>
    <row r="209" spans="1:33" s="203" customFormat="1">
      <c r="A209" s="153" t="s">
        <v>121</v>
      </c>
      <c r="B209" s="168"/>
      <c r="C209" s="168"/>
      <c r="D209" s="168"/>
      <c r="E209" s="140"/>
      <c r="F209" s="146"/>
      <c r="G209" s="118"/>
      <c r="H209" s="146"/>
      <c r="I209" s="29"/>
      <c r="J209" s="231"/>
      <c r="K209" s="231"/>
      <c r="L209" s="231"/>
      <c r="M209" s="231"/>
      <c r="N209" s="231"/>
      <c r="O209" s="231"/>
      <c r="P209" s="231"/>
      <c r="Q209" s="231"/>
      <c r="R209" s="231"/>
      <c r="S209" s="231"/>
      <c r="T209" s="231"/>
      <c r="U209" s="231"/>
      <c r="V209" s="231"/>
      <c r="W209" s="231"/>
      <c r="X209" s="231"/>
      <c r="Y209" s="231"/>
      <c r="Z209" s="231"/>
      <c r="AA209" s="231"/>
      <c r="AB209" s="231"/>
      <c r="AC209" s="231"/>
      <c r="AD209" s="231"/>
      <c r="AE209" s="231"/>
      <c r="AF209" s="231"/>
      <c r="AG209" s="231"/>
    </row>
    <row r="210" spans="1:33" s="203" customFormat="1">
      <c r="A210" s="120">
        <v>8</v>
      </c>
      <c r="B210" s="47" t="s">
        <v>171</v>
      </c>
      <c r="C210" s="47"/>
      <c r="D210" s="47"/>
      <c r="E210" s="74">
        <v>506.51231616695799</v>
      </c>
      <c r="F210" s="52">
        <v>-6</v>
      </c>
      <c r="G210" s="118"/>
      <c r="H210" s="122">
        <v>364</v>
      </c>
      <c r="I210" s="118"/>
      <c r="J210" s="231"/>
      <c r="K210" s="231"/>
      <c r="L210" s="231"/>
      <c r="M210" s="231"/>
      <c r="N210" s="231"/>
      <c r="O210" s="231"/>
      <c r="P210" s="231"/>
      <c r="Q210" s="231"/>
      <c r="R210" s="231"/>
      <c r="S210" s="231"/>
      <c r="T210" s="231"/>
      <c r="U210" s="231"/>
      <c r="V210" s="231"/>
      <c r="W210" s="231"/>
      <c r="X210" s="231"/>
      <c r="Y210" s="231"/>
      <c r="Z210" s="231"/>
      <c r="AA210" s="231"/>
      <c r="AB210" s="231"/>
      <c r="AC210" s="231"/>
      <c r="AD210" s="231"/>
      <c r="AE210" s="231"/>
      <c r="AF210" s="231"/>
      <c r="AG210" s="231"/>
    </row>
    <row r="211" spans="1:33" s="203" customFormat="1">
      <c r="A211" s="120">
        <v>9</v>
      </c>
      <c r="B211" s="47" t="s">
        <v>172</v>
      </c>
      <c r="C211" s="47"/>
      <c r="D211" s="47"/>
      <c r="E211" s="49">
        <v>0</v>
      </c>
      <c r="F211" s="52">
        <v>0</v>
      </c>
      <c r="G211" s="118"/>
      <c r="H211" s="122">
        <v>0</v>
      </c>
      <c r="I211" s="118"/>
      <c r="J211" s="231"/>
      <c r="K211" s="231"/>
      <c r="L211" s="231"/>
      <c r="M211" s="231"/>
      <c r="N211" s="231"/>
      <c r="O211" s="231"/>
      <c r="P211" s="231"/>
      <c r="Q211" s="231"/>
      <c r="R211" s="231"/>
      <c r="S211" s="231"/>
      <c r="T211" s="231"/>
      <c r="U211" s="231"/>
      <c r="V211" s="231"/>
      <c r="W211" s="231"/>
      <c r="X211" s="231"/>
      <c r="Y211" s="231"/>
      <c r="Z211" s="231"/>
      <c r="AA211" s="231"/>
      <c r="AB211" s="231"/>
      <c r="AC211" s="231"/>
      <c r="AD211" s="231"/>
      <c r="AE211" s="231"/>
      <c r="AF211" s="231"/>
      <c r="AG211" s="231"/>
    </row>
    <row r="212" spans="1:33" s="203" customFormat="1">
      <c r="A212" s="120">
        <v>10</v>
      </c>
      <c r="B212" s="47" t="s">
        <v>173</v>
      </c>
      <c r="C212" s="47"/>
      <c r="D212" s="47"/>
      <c r="E212" s="49">
        <v>823.53521815996999</v>
      </c>
      <c r="F212" s="52">
        <v>460</v>
      </c>
      <c r="G212" s="118"/>
      <c r="H212" s="122">
        <v>558</v>
      </c>
      <c r="I212" s="118"/>
      <c r="J212" s="231"/>
      <c r="K212" s="231"/>
      <c r="L212" s="231"/>
      <c r="M212" s="231"/>
      <c r="N212" s="231"/>
      <c r="O212" s="231"/>
      <c r="P212" s="231"/>
      <c r="Q212" s="231"/>
      <c r="R212" s="231"/>
      <c r="S212" s="231"/>
      <c r="T212" s="231"/>
      <c r="U212" s="231"/>
      <c r="V212" s="231"/>
      <c r="W212" s="231"/>
      <c r="X212" s="231"/>
      <c r="Y212" s="231"/>
      <c r="Z212" s="231"/>
      <c r="AA212" s="231"/>
      <c r="AB212" s="231"/>
      <c r="AC212" s="231"/>
      <c r="AD212" s="231"/>
      <c r="AE212" s="231"/>
      <c r="AF212" s="231"/>
      <c r="AG212" s="231"/>
    </row>
    <row r="213" spans="1:33" s="203" customFormat="1">
      <c r="A213" s="120">
        <v>11</v>
      </c>
      <c r="B213" s="47" t="s">
        <v>174</v>
      </c>
      <c r="C213" s="47"/>
      <c r="D213" s="47"/>
      <c r="E213" s="49">
        <v>2272.2823217872801</v>
      </c>
      <c r="F213" s="52">
        <v>3571</v>
      </c>
      <c r="G213" s="118"/>
      <c r="H213" s="99">
        <v>2504</v>
      </c>
      <c r="I213" s="118"/>
      <c r="J213" s="231"/>
      <c r="K213" s="231"/>
      <c r="L213" s="231"/>
      <c r="M213" s="231"/>
      <c r="N213" s="231"/>
      <c r="O213" s="231"/>
      <c r="P213" s="231"/>
      <c r="Q213" s="231"/>
      <c r="R213" s="231"/>
      <c r="S213" s="231"/>
      <c r="T213" s="231"/>
      <c r="U213" s="231"/>
      <c r="V213" s="231"/>
      <c r="W213" s="231"/>
      <c r="X213" s="231"/>
      <c r="Y213" s="231"/>
      <c r="Z213" s="231"/>
      <c r="AA213" s="231"/>
      <c r="AB213" s="231"/>
      <c r="AC213" s="231"/>
      <c r="AD213" s="231"/>
      <c r="AE213" s="231"/>
      <c r="AF213" s="231"/>
      <c r="AG213" s="231"/>
    </row>
    <row r="214" spans="1:33" s="203" customFormat="1">
      <c r="A214" s="120">
        <v>12</v>
      </c>
      <c r="B214" s="116" t="s">
        <v>175</v>
      </c>
      <c r="C214" s="116"/>
      <c r="D214" s="116"/>
      <c r="E214" s="159">
        <v>31059.013390958786</v>
      </c>
      <c r="F214" s="61">
        <f>F201+F207+SUM(F210:F213)</f>
        <v>41089</v>
      </c>
      <c r="G214" s="118"/>
      <c r="H214" s="61">
        <f>H201+H207+SUM(H210:H213)</f>
        <v>36188</v>
      </c>
      <c r="I214" s="29"/>
      <c r="J214" s="231"/>
      <c r="K214" s="231"/>
      <c r="L214" s="231"/>
      <c r="M214" s="231"/>
      <c r="N214" s="231"/>
      <c r="O214" s="231"/>
      <c r="P214" s="231"/>
      <c r="Q214" s="231"/>
      <c r="R214" s="231"/>
      <c r="S214" s="231"/>
      <c r="T214" s="231"/>
      <c r="U214" s="231"/>
      <c r="V214" s="231"/>
      <c r="W214" s="231"/>
      <c r="X214" s="231"/>
      <c r="Y214" s="231"/>
      <c r="Z214" s="231"/>
      <c r="AA214" s="231"/>
      <c r="AB214" s="231"/>
      <c r="AC214" s="231"/>
      <c r="AD214" s="231"/>
      <c r="AE214" s="231"/>
      <c r="AF214" s="231"/>
      <c r="AG214" s="231"/>
    </row>
    <row r="215" spans="1:33" s="203" customFormat="1">
      <c r="A215" s="111"/>
      <c r="B215" s="47"/>
      <c r="C215" s="47"/>
      <c r="D215" s="47"/>
      <c r="E215" s="117"/>
      <c r="F215" s="118"/>
      <c r="G215" s="118"/>
      <c r="H215" s="118"/>
      <c r="I215" s="29"/>
      <c r="J215" s="231"/>
      <c r="K215" s="231"/>
      <c r="L215" s="231"/>
      <c r="M215" s="231"/>
      <c r="N215" s="231"/>
      <c r="O215" s="231"/>
      <c r="P215" s="231"/>
      <c r="Q215" s="231"/>
      <c r="R215" s="231"/>
      <c r="S215" s="231"/>
      <c r="T215" s="231"/>
      <c r="U215" s="231"/>
      <c r="V215" s="231"/>
      <c r="W215" s="231"/>
      <c r="X215" s="231"/>
      <c r="Y215" s="231"/>
      <c r="Z215" s="231"/>
      <c r="AA215" s="231"/>
      <c r="AB215" s="231"/>
      <c r="AC215" s="231"/>
      <c r="AD215" s="231"/>
      <c r="AE215" s="231"/>
      <c r="AF215" s="231"/>
      <c r="AG215" s="231"/>
    </row>
    <row r="216" spans="1:33" s="203" customFormat="1">
      <c r="A216" s="119" t="s">
        <v>176</v>
      </c>
      <c r="B216" s="116"/>
      <c r="C216" s="116"/>
      <c r="D216" s="116"/>
      <c r="E216" s="117"/>
      <c r="F216" s="160"/>
      <c r="G216" s="118"/>
      <c r="H216" s="160"/>
      <c r="I216" s="29"/>
      <c r="J216" s="231"/>
      <c r="K216" s="231"/>
      <c r="L216" s="231"/>
      <c r="M216" s="231"/>
      <c r="N216" s="231"/>
      <c r="O216" s="231"/>
      <c r="P216" s="231"/>
      <c r="Q216" s="231"/>
      <c r="R216" s="231"/>
      <c r="S216" s="231"/>
      <c r="T216" s="231"/>
      <c r="U216" s="231"/>
      <c r="V216" s="231"/>
      <c r="W216" s="231"/>
      <c r="X216" s="231"/>
      <c r="Y216" s="231"/>
      <c r="Z216" s="231"/>
      <c r="AA216" s="231"/>
      <c r="AB216" s="231"/>
      <c r="AC216" s="231"/>
      <c r="AD216" s="231"/>
      <c r="AE216" s="231"/>
      <c r="AF216" s="231"/>
      <c r="AG216" s="231"/>
    </row>
    <row r="217" spans="1:33" s="203" customFormat="1">
      <c r="A217" s="120">
        <v>13</v>
      </c>
      <c r="B217" s="47" t="s">
        <v>177</v>
      </c>
      <c r="C217" s="47"/>
      <c r="D217" s="47"/>
      <c r="E217" s="41">
        <v>95.553698752476194</v>
      </c>
      <c r="F217" s="121">
        <v>143</v>
      </c>
      <c r="G217" s="118"/>
      <c r="H217" s="169">
        <v>-304</v>
      </c>
      <c r="I217" s="118"/>
      <c r="J217" s="231"/>
      <c r="K217" s="231"/>
      <c r="L217" s="231"/>
      <c r="M217" s="231"/>
      <c r="N217" s="231"/>
      <c r="O217" s="231"/>
      <c r="P217" s="231"/>
      <c r="Q217" s="231"/>
      <c r="R217" s="231"/>
      <c r="S217" s="231"/>
      <c r="T217" s="231"/>
      <c r="U217" s="231"/>
      <c r="V217" s="231"/>
      <c r="W217" s="231"/>
      <c r="X217" s="231"/>
      <c r="Y217" s="231"/>
      <c r="Z217" s="231"/>
      <c r="AA217" s="231"/>
      <c r="AB217" s="231"/>
      <c r="AC217" s="231"/>
      <c r="AD217" s="231"/>
      <c r="AE217" s="231"/>
      <c r="AF217" s="231"/>
      <c r="AG217" s="231"/>
    </row>
    <row r="218" spans="1:33" s="203" customFormat="1">
      <c r="A218" s="124">
        <v>14</v>
      </c>
      <c r="B218" s="54" t="s">
        <v>178</v>
      </c>
      <c r="C218" s="54"/>
      <c r="D218" s="54"/>
      <c r="E218" s="56">
        <v>5688.9067288188398</v>
      </c>
      <c r="F218" s="126">
        <v>7314</v>
      </c>
      <c r="G218" s="118"/>
      <c r="H218" s="100">
        <v>5401</v>
      </c>
      <c r="I218" s="118"/>
      <c r="J218" s="231"/>
      <c r="K218" s="231"/>
      <c r="L218" s="231"/>
      <c r="M218" s="231"/>
      <c r="N218" s="231"/>
      <c r="O218" s="231"/>
      <c r="P218" s="231"/>
      <c r="Q218" s="231"/>
      <c r="R218" s="231"/>
      <c r="S218" s="231"/>
      <c r="T218" s="231"/>
      <c r="U218" s="231"/>
      <c r="V218" s="231"/>
      <c r="W218" s="231"/>
      <c r="X218" s="231"/>
      <c r="Y218" s="231"/>
      <c r="Z218" s="231"/>
      <c r="AA218" s="231"/>
      <c r="AB218" s="231"/>
      <c r="AC218" s="231"/>
      <c r="AD218" s="231"/>
      <c r="AE218" s="231"/>
      <c r="AF218" s="231"/>
      <c r="AG218" s="231"/>
    </row>
    <row r="219" spans="1:33" s="203" customFormat="1">
      <c r="A219" s="148"/>
      <c r="B219" s="29"/>
      <c r="C219" s="29"/>
      <c r="D219" s="170"/>
      <c r="E219" s="171"/>
      <c r="F219" s="29"/>
      <c r="G219" s="29"/>
      <c r="H219" s="207"/>
      <c r="I219" s="29"/>
      <c r="J219" s="231"/>
      <c r="K219" s="231"/>
      <c r="L219" s="231"/>
      <c r="M219" s="231"/>
      <c r="N219" s="231"/>
      <c r="O219" s="231"/>
      <c r="P219" s="231"/>
      <c r="Q219" s="231"/>
      <c r="R219" s="231"/>
      <c r="S219" s="231"/>
      <c r="T219" s="231"/>
      <c r="U219" s="231"/>
      <c r="V219" s="231"/>
      <c r="W219" s="231"/>
      <c r="X219" s="231"/>
      <c r="Y219" s="231"/>
      <c r="Z219" s="231"/>
      <c r="AA219" s="231"/>
      <c r="AB219" s="231"/>
      <c r="AC219" s="231"/>
      <c r="AD219" s="231"/>
      <c r="AE219" s="231"/>
      <c r="AF219" s="231"/>
      <c r="AG219" s="231"/>
    </row>
    <row r="220" spans="1:33" s="203" customFormat="1">
      <c r="A220" s="148"/>
      <c r="B220" s="29"/>
      <c r="C220" s="29"/>
      <c r="D220" s="172"/>
      <c r="E220" s="152"/>
      <c r="F220" s="29"/>
      <c r="G220" s="29"/>
      <c r="H220" s="131" t="s">
        <v>27</v>
      </c>
      <c r="I220" s="29"/>
      <c r="J220" s="231"/>
      <c r="K220" s="231"/>
      <c r="L220" s="231"/>
      <c r="M220" s="231"/>
      <c r="N220" s="231"/>
      <c r="O220" s="231"/>
      <c r="P220" s="231"/>
      <c r="Q220" s="231"/>
      <c r="R220" s="231"/>
      <c r="S220" s="231"/>
      <c r="T220" s="231"/>
      <c r="U220" s="231"/>
      <c r="V220" s="231"/>
      <c r="W220" s="231"/>
      <c r="X220" s="231"/>
      <c r="Y220" s="231"/>
      <c r="Z220" s="231"/>
      <c r="AA220" s="231"/>
      <c r="AB220" s="231"/>
      <c r="AC220" s="231"/>
      <c r="AD220" s="231"/>
      <c r="AE220" s="231"/>
      <c r="AF220" s="231"/>
      <c r="AG220" s="231"/>
    </row>
    <row r="221" spans="1:33" s="203" customFormat="1" ht="12.75" customHeight="1">
      <c r="A221" s="106" t="s">
        <v>10</v>
      </c>
      <c r="B221" s="164"/>
      <c r="C221" s="164"/>
      <c r="D221" s="164"/>
      <c r="E221" s="856" t="s">
        <v>377</v>
      </c>
      <c r="F221" s="856" t="s">
        <v>402</v>
      </c>
      <c r="G221" s="130"/>
      <c r="H221" s="856" t="s">
        <v>403</v>
      </c>
      <c r="I221" s="130"/>
      <c r="J221" s="231"/>
      <c r="K221" s="231"/>
      <c r="L221" s="231"/>
      <c r="M221" s="231"/>
      <c r="N221" s="231"/>
      <c r="O221" s="231"/>
      <c r="P221" s="231"/>
      <c r="Q221" s="231"/>
      <c r="R221" s="231"/>
      <c r="S221" s="231"/>
      <c r="T221" s="231"/>
      <c r="U221" s="231"/>
      <c r="V221" s="231"/>
      <c r="W221" s="231"/>
      <c r="X221" s="231"/>
      <c r="Y221" s="231"/>
      <c r="Z221" s="231"/>
      <c r="AA221" s="231"/>
      <c r="AB221" s="231"/>
      <c r="AC221" s="231"/>
      <c r="AD221" s="231"/>
      <c r="AE221" s="231"/>
      <c r="AF221" s="231"/>
      <c r="AG221" s="231"/>
    </row>
    <row r="222" spans="1:33" s="203" customFormat="1">
      <c r="A222" s="109"/>
      <c r="B222" s="132"/>
      <c r="C222" s="132"/>
      <c r="D222" s="132"/>
      <c r="E222" s="859"/>
      <c r="F222" s="859"/>
      <c r="G222" s="130"/>
      <c r="H222" s="859"/>
      <c r="I222" s="130"/>
      <c r="J222" s="231"/>
      <c r="K222" s="231"/>
      <c r="L222" s="231"/>
      <c r="M222" s="231"/>
      <c r="N222" s="231"/>
      <c r="O222" s="231"/>
      <c r="P222" s="231"/>
      <c r="Q222" s="231"/>
      <c r="R222" s="231"/>
      <c r="S222" s="231"/>
      <c r="T222" s="231"/>
      <c r="U222" s="231"/>
      <c r="V222" s="231"/>
      <c r="W222" s="231"/>
      <c r="X222" s="231"/>
      <c r="Y222" s="231"/>
      <c r="Z222" s="231"/>
      <c r="AA222" s="231"/>
      <c r="AB222" s="231"/>
      <c r="AC222" s="231"/>
      <c r="AD222" s="231"/>
      <c r="AE222" s="231"/>
      <c r="AF222" s="231"/>
      <c r="AG222" s="231"/>
    </row>
    <row r="223" spans="1:33" s="203" customFormat="1">
      <c r="A223" s="154" t="s">
        <v>179</v>
      </c>
      <c r="B223" s="116"/>
      <c r="C223" s="116"/>
      <c r="D223" s="116"/>
      <c r="E223" s="859"/>
      <c r="F223" s="859"/>
      <c r="G223" s="130"/>
      <c r="H223" s="859"/>
      <c r="I223" s="130"/>
      <c r="J223" s="231"/>
      <c r="K223" s="231"/>
      <c r="L223" s="231"/>
      <c r="M223" s="231"/>
      <c r="N223" s="231"/>
      <c r="O223" s="231"/>
      <c r="P223" s="231"/>
      <c r="Q223" s="231"/>
      <c r="R223" s="231"/>
      <c r="S223" s="231"/>
      <c r="T223" s="231"/>
      <c r="U223" s="231"/>
      <c r="V223" s="231"/>
      <c r="W223" s="231"/>
      <c r="X223" s="231"/>
      <c r="Y223" s="231"/>
      <c r="Z223" s="231"/>
      <c r="AA223" s="231"/>
      <c r="AB223" s="231"/>
      <c r="AC223" s="231"/>
      <c r="AD223" s="231"/>
      <c r="AE223" s="231"/>
      <c r="AF223" s="231"/>
      <c r="AG223" s="231"/>
    </row>
    <row r="224" spans="1:33" s="203" customFormat="1">
      <c r="A224" s="109" t="s">
        <v>83</v>
      </c>
      <c r="B224" s="47"/>
      <c r="C224" s="47"/>
      <c r="D224" s="47"/>
      <c r="E224" s="859"/>
      <c r="F224" s="859"/>
      <c r="G224" s="130"/>
      <c r="H224" s="859"/>
      <c r="I224" s="130"/>
      <c r="J224" s="231"/>
      <c r="K224" s="231"/>
      <c r="L224" s="231"/>
      <c r="M224" s="231"/>
      <c r="N224" s="231"/>
      <c r="O224" s="231"/>
      <c r="P224" s="231"/>
      <c r="Q224" s="231"/>
      <c r="R224" s="231"/>
      <c r="S224" s="231"/>
      <c r="T224" s="231"/>
      <c r="U224" s="231"/>
      <c r="V224" s="231"/>
      <c r="W224" s="231"/>
      <c r="X224" s="231"/>
      <c r="Y224" s="231"/>
      <c r="Z224" s="231"/>
      <c r="AA224" s="231"/>
      <c r="AB224" s="231"/>
      <c r="AC224" s="231"/>
      <c r="AD224" s="231"/>
      <c r="AE224" s="231"/>
      <c r="AF224" s="231"/>
      <c r="AG224" s="231"/>
    </row>
    <row r="225" spans="1:33" s="203" customFormat="1">
      <c r="A225" s="110" t="s">
        <v>84</v>
      </c>
      <c r="B225" s="132"/>
      <c r="C225" s="132"/>
      <c r="D225" s="132"/>
      <c r="E225" s="860"/>
      <c r="F225" s="860"/>
      <c r="G225" s="130"/>
      <c r="H225" s="860"/>
      <c r="I225" s="130"/>
      <c r="J225" s="231"/>
      <c r="K225" s="231"/>
      <c r="L225" s="231"/>
      <c r="M225" s="231"/>
      <c r="N225" s="231"/>
      <c r="O225" s="231"/>
      <c r="P225" s="231"/>
      <c r="Q225" s="231"/>
      <c r="R225" s="231"/>
      <c r="S225" s="231"/>
      <c r="T225" s="231"/>
      <c r="U225" s="231"/>
      <c r="V225" s="231"/>
      <c r="W225" s="231"/>
      <c r="X225" s="231"/>
      <c r="Y225" s="231"/>
      <c r="Z225" s="231"/>
      <c r="AA225" s="231"/>
      <c r="AB225" s="231"/>
      <c r="AC225" s="231"/>
      <c r="AD225" s="231"/>
      <c r="AE225" s="231"/>
      <c r="AF225" s="231"/>
      <c r="AG225" s="231"/>
    </row>
    <row r="226" spans="1:33" s="203" customFormat="1">
      <c r="A226" s="120">
        <v>1</v>
      </c>
      <c r="B226" s="47" t="s">
        <v>180</v>
      </c>
      <c r="C226" s="47"/>
      <c r="D226" s="47"/>
      <c r="E226" s="41">
        <v>345</v>
      </c>
      <c r="F226" s="52">
        <v>461</v>
      </c>
      <c r="G226" s="118"/>
      <c r="H226" s="133">
        <v>-34</v>
      </c>
      <c r="I226" s="118"/>
      <c r="J226" s="231"/>
      <c r="K226" s="231"/>
      <c r="L226" s="231"/>
      <c r="M226" s="231"/>
      <c r="N226" s="231"/>
      <c r="O226" s="231"/>
      <c r="P226" s="231"/>
      <c r="Q226" s="231"/>
      <c r="R226" s="231"/>
      <c r="S226" s="231"/>
      <c r="T226" s="231"/>
      <c r="U226" s="231"/>
      <c r="V226" s="231"/>
      <c r="W226" s="231"/>
      <c r="X226" s="231"/>
      <c r="Y226" s="231"/>
      <c r="Z226" s="231"/>
      <c r="AA226" s="231"/>
      <c r="AB226" s="231"/>
      <c r="AC226" s="231"/>
      <c r="AD226" s="231"/>
      <c r="AE226" s="231"/>
      <c r="AF226" s="231"/>
      <c r="AG226" s="231"/>
    </row>
    <row r="227" spans="1:33" s="203" customFormat="1">
      <c r="A227" s="120">
        <v>2</v>
      </c>
      <c r="B227" s="47" t="s">
        <v>181</v>
      </c>
      <c r="C227" s="47"/>
      <c r="D227" s="47"/>
      <c r="E227" s="49">
        <v>355</v>
      </c>
      <c r="F227" s="52">
        <v>172</v>
      </c>
      <c r="G227" s="118"/>
      <c r="H227" s="122">
        <v>183</v>
      </c>
      <c r="I227" s="118"/>
      <c r="J227" s="231"/>
      <c r="K227" s="231"/>
      <c r="L227" s="231"/>
      <c r="M227" s="231"/>
      <c r="N227" s="231"/>
      <c r="O227" s="231"/>
      <c r="P227" s="231"/>
      <c r="Q227" s="231"/>
      <c r="R227" s="231"/>
      <c r="S227" s="231"/>
      <c r="T227" s="231"/>
      <c r="U227" s="231"/>
      <c r="V227" s="231"/>
      <c r="W227" s="231"/>
      <c r="X227" s="231"/>
      <c r="Y227" s="231"/>
      <c r="Z227" s="231"/>
      <c r="AA227" s="231"/>
      <c r="AB227" s="231"/>
      <c r="AC227" s="231"/>
      <c r="AD227" s="231"/>
      <c r="AE227" s="231"/>
      <c r="AF227" s="231"/>
      <c r="AG227" s="231"/>
    </row>
    <row r="228" spans="1:33" s="203" customFormat="1">
      <c r="A228" s="120">
        <v>3</v>
      </c>
      <c r="B228" s="47" t="s">
        <v>182</v>
      </c>
      <c r="C228" s="47"/>
      <c r="D228" s="47"/>
      <c r="E228" s="114">
        <v>952</v>
      </c>
      <c r="F228" s="52">
        <v>892</v>
      </c>
      <c r="G228" s="118"/>
      <c r="H228" s="122">
        <v>828</v>
      </c>
      <c r="I228" s="118"/>
      <c r="J228" s="231"/>
      <c r="K228" s="231"/>
      <c r="L228" s="231"/>
      <c r="M228" s="231"/>
      <c r="N228" s="231"/>
      <c r="O228" s="231"/>
      <c r="P228" s="231"/>
      <c r="Q228" s="231"/>
      <c r="R228" s="231"/>
      <c r="S228" s="231"/>
      <c r="T228" s="231"/>
      <c r="U228" s="231"/>
      <c r="V228" s="231"/>
      <c r="W228" s="231"/>
      <c r="X228" s="231"/>
      <c r="Y228" s="231"/>
      <c r="Z228" s="231"/>
      <c r="AA228" s="231"/>
      <c r="AB228" s="231"/>
      <c r="AC228" s="231"/>
      <c r="AD228" s="231"/>
      <c r="AE228" s="231"/>
      <c r="AF228" s="231"/>
      <c r="AG228" s="231"/>
    </row>
    <row r="229" spans="1:33" s="203" customFormat="1">
      <c r="A229" s="120">
        <v>4</v>
      </c>
      <c r="B229" s="47" t="s">
        <v>183</v>
      </c>
      <c r="C229" s="47"/>
      <c r="D229" s="47"/>
      <c r="E229" s="114">
        <v>0</v>
      </c>
      <c r="F229" s="52">
        <v>56</v>
      </c>
      <c r="G229" s="118"/>
      <c r="H229" s="122">
        <v>0</v>
      </c>
      <c r="I229" s="118"/>
      <c r="J229" s="231"/>
      <c r="K229" s="231"/>
      <c r="L229" s="231"/>
      <c r="M229" s="231"/>
      <c r="N229" s="231"/>
      <c r="O229" s="231"/>
      <c r="P229" s="231"/>
      <c r="Q229" s="231"/>
      <c r="R229" s="231"/>
      <c r="S229" s="231"/>
      <c r="T229" s="231"/>
      <c r="U229" s="231"/>
      <c r="V229" s="231"/>
      <c r="W229" s="231"/>
      <c r="X229" s="231"/>
      <c r="Y229" s="231"/>
      <c r="Z229" s="231"/>
      <c r="AA229" s="231"/>
      <c r="AB229" s="231"/>
      <c r="AC229" s="231"/>
      <c r="AD229" s="231"/>
      <c r="AE229" s="231"/>
      <c r="AF229" s="231"/>
      <c r="AG229" s="231"/>
    </row>
    <row r="230" spans="1:33" s="203" customFormat="1">
      <c r="A230" s="120">
        <v>5</v>
      </c>
      <c r="B230" s="47" t="s">
        <v>184</v>
      </c>
      <c r="C230" s="47"/>
      <c r="D230" s="47"/>
      <c r="E230" s="114">
        <v>6309.8360770309509</v>
      </c>
      <c r="F230" s="52">
        <v>7573</v>
      </c>
      <c r="G230" s="118"/>
      <c r="H230" s="99">
        <v>5812</v>
      </c>
      <c r="I230" s="118"/>
      <c r="J230" s="231"/>
      <c r="K230" s="231"/>
      <c r="L230" s="231"/>
      <c r="M230" s="231"/>
      <c r="N230" s="231"/>
      <c r="O230" s="231"/>
      <c r="P230" s="231"/>
      <c r="Q230" s="231"/>
      <c r="R230" s="231"/>
      <c r="S230" s="231"/>
      <c r="T230" s="231"/>
      <c r="U230" s="231"/>
      <c r="V230" s="231"/>
      <c r="W230" s="231"/>
      <c r="X230" s="231"/>
      <c r="Y230" s="231"/>
      <c r="Z230" s="231"/>
      <c r="AA230" s="231"/>
      <c r="AB230" s="231"/>
      <c r="AC230" s="231"/>
      <c r="AD230" s="231"/>
      <c r="AE230" s="231"/>
      <c r="AF230" s="231"/>
      <c r="AG230" s="231"/>
    </row>
    <row r="231" spans="1:33" s="203" customFormat="1">
      <c r="A231" s="124">
        <v>6</v>
      </c>
      <c r="B231" s="173" t="s">
        <v>185</v>
      </c>
      <c r="C231" s="173"/>
      <c r="D231" s="173"/>
      <c r="E231" s="159">
        <v>7961.8360770309509</v>
      </c>
      <c r="F231" s="61">
        <f>SUM(F226:F230)</f>
        <v>9154</v>
      </c>
      <c r="G231" s="118"/>
      <c r="H231" s="61">
        <f>SUM(H226:H230)</f>
        <v>6789</v>
      </c>
      <c r="I231" s="29"/>
      <c r="J231" s="231"/>
      <c r="K231" s="231"/>
      <c r="L231" s="231"/>
      <c r="M231" s="231"/>
      <c r="N231" s="231"/>
      <c r="O231" s="231"/>
      <c r="P231" s="231"/>
      <c r="Q231" s="231"/>
      <c r="R231" s="231"/>
      <c r="S231" s="231"/>
      <c r="T231" s="231"/>
      <c r="U231" s="231"/>
      <c r="V231" s="231"/>
      <c r="W231" s="231"/>
      <c r="X231" s="231"/>
      <c r="Y231" s="231"/>
      <c r="Z231" s="231"/>
      <c r="AA231" s="231"/>
      <c r="AB231" s="231"/>
      <c r="AC231" s="231"/>
      <c r="AD231" s="231"/>
      <c r="AE231" s="231"/>
      <c r="AF231" s="231"/>
      <c r="AG231" s="231"/>
    </row>
    <row r="232" spans="1:33" s="203" customFormat="1">
      <c r="A232" s="148"/>
      <c r="B232" s="29"/>
      <c r="C232" s="29"/>
      <c r="D232" s="170"/>
      <c r="E232" s="150"/>
      <c r="F232" s="29"/>
      <c r="G232" s="29"/>
      <c r="H232" s="207"/>
      <c r="I232" s="29"/>
      <c r="J232" s="231"/>
      <c r="K232" s="231"/>
      <c r="L232" s="231"/>
      <c r="M232" s="231"/>
      <c r="N232" s="231"/>
      <c r="O232" s="231"/>
      <c r="P232" s="231"/>
      <c r="Q232" s="231"/>
      <c r="R232" s="231"/>
      <c r="S232" s="231"/>
      <c r="T232" s="231"/>
      <c r="U232" s="231"/>
      <c r="V232" s="231"/>
      <c r="W232" s="231"/>
      <c r="X232" s="231"/>
      <c r="Y232" s="231"/>
      <c r="Z232" s="231"/>
      <c r="AA232" s="231"/>
      <c r="AB232" s="231"/>
      <c r="AC232" s="231"/>
      <c r="AD232" s="231"/>
      <c r="AE232" s="231"/>
      <c r="AF232" s="231"/>
      <c r="AG232" s="231"/>
    </row>
    <row r="233" spans="1:33" s="203" customFormat="1">
      <c r="A233" s="148"/>
      <c r="B233" s="29"/>
      <c r="C233" s="29"/>
      <c r="D233" s="172"/>
      <c r="E233" s="152"/>
      <c r="F233" s="29"/>
      <c r="G233" s="29"/>
      <c r="H233" s="131" t="s">
        <v>27</v>
      </c>
      <c r="I233" s="29"/>
      <c r="J233" s="231"/>
      <c r="K233" s="231"/>
      <c r="L233" s="231"/>
      <c r="M233" s="231"/>
      <c r="N233" s="231"/>
      <c r="O233" s="231"/>
      <c r="P233" s="231"/>
      <c r="Q233" s="231"/>
      <c r="R233" s="231"/>
      <c r="S233" s="231"/>
      <c r="T233" s="231"/>
      <c r="U233" s="231"/>
      <c r="V233" s="231"/>
      <c r="W233" s="231"/>
      <c r="X233" s="231"/>
      <c r="Y233" s="231"/>
      <c r="Z233" s="231"/>
      <c r="AA233" s="231"/>
      <c r="AB233" s="231"/>
      <c r="AC233" s="231"/>
      <c r="AD233" s="231"/>
      <c r="AE233" s="231"/>
      <c r="AF233" s="231"/>
      <c r="AG233" s="231"/>
    </row>
    <row r="234" spans="1:33" s="203" customFormat="1" ht="12.75" customHeight="1">
      <c r="A234" s="106" t="s">
        <v>12</v>
      </c>
      <c r="B234" s="164"/>
      <c r="C234" s="164"/>
      <c r="D234" s="164"/>
      <c r="E234" s="856" t="s">
        <v>377</v>
      </c>
      <c r="F234" s="856" t="s">
        <v>402</v>
      </c>
      <c r="G234" s="130"/>
      <c r="H234" s="856" t="s">
        <v>403</v>
      </c>
      <c r="I234" s="130"/>
      <c r="J234" s="231"/>
      <c r="K234" s="231"/>
      <c r="L234" s="231"/>
      <c r="M234" s="231"/>
      <c r="N234" s="231"/>
      <c r="O234" s="231"/>
      <c r="P234" s="231"/>
      <c r="Q234" s="231"/>
      <c r="R234" s="231"/>
      <c r="S234" s="231"/>
      <c r="T234" s="231"/>
      <c r="U234" s="231"/>
      <c r="V234" s="231"/>
      <c r="W234" s="231"/>
      <c r="X234" s="231"/>
      <c r="Y234" s="231"/>
      <c r="Z234" s="231"/>
      <c r="AA234" s="231"/>
      <c r="AB234" s="231"/>
      <c r="AC234" s="231"/>
      <c r="AD234" s="231"/>
      <c r="AE234" s="231"/>
      <c r="AF234" s="231"/>
      <c r="AG234" s="231"/>
    </row>
    <row r="235" spans="1:33" s="203" customFormat="1">
      <c r="A235" s="165"/>
      <c r="B235" s="47"/>
      <c r="C235" s="47"/>
      <c r="D235" s="47"/>
      <c r="E235" s="859"/>
      <c r="F235" s="859"/>
      <c r="G235" s="130"/>
      <c r="H235" s="859"/>
      <c r="I235" s="130"/>
      <c r="J235" s="231"/>
      <c r="K235" s="231"/>
      <c r="L235" s="231"/>
      <c r="M235" s="231"/>
      <c r="N235" s="231"/>
      <c r="O235" s="231"/>
      <c r="P235" s="231"/>
      <c r="Q235" s="231"/>
      <c r="R235" s="231"/>
      <c r="S235" s="231"/>
      <c r="T235" s="231"/>
      <c r="U235" s="231"/>
      <c r="V235" s="231"/>
      <c r="W235" s="231"/>
      <c r="X235" s="231"/>
      <c r="Y235" s="231"/>
      <c r="Z235" s="231"/>
      <c r="AA235" s="231"/>
      <c r="AB235" s="231"/>
      <c r="AC235" s="231"/>
      <c r="AD235" s="231"/>
      <c r="AE235" s="231"/>
      <c r="AF235" s="231"/>
      <c r="AG235" s="231"/>
    </row>
    <row r="236" spans="1:33" s="203" customFormat="1">
      <c r="A236" s="154" t="s">
        <v>186</v>
      </c>
      <c r="B236" s="174"/>
      <c r="C236" s="174"/>
      <c r="D236" s="174"/>
      <c r="E236" s="859"/>
      <c r="F236" s="859"/>
      <c r="G236" s="130"/>
      <c r="H236" s="859"/>
      <c r="I236" s="130"/>
      <c r="J236" s="231"/>
      <c r="K236" s="231"/>
      <c r="L236" s="231"/>
      <c r="M236" s="231"/>
      <c r="N236" s="231"/>
      <c r="O236" s="231"/>
      <c r="P236" s="231"/>
      <c r="Q236" s="231"/>
      <c r="R236" s="231"/>
      <c r="S236" s="231"/>
      <c r="T236" s="231"/>
      <c r="U236" s="231"/>
      <c r="V236" s="231"/>
      <c r="W236" s="231"/>
      <c r="X236" s="231"/>
      <c r="Y236" s="231"/>
      <c r="Z236" s="231"/>
      <c r="AA236" s="231"/>
      <c r="AB236" s="231"/>
      <c r="AC236" s="231"/>
      <c r="AD236" s="231"/>
      <c r="AE236" s="231"/>
      <c r="AF236" s="231"/>
      <c r="AG236" s="231"/>
    </row>
    <row r="237" spans="1:33" s="203" customFormat="1">
      <c r="A237" s="109" t="s">
        <v>83</v>
      </c>
      <c r="B237" s="47"/>
      <c r="C237" s="47"/>
      <c r="D237" s="47"/>
      <c r="E237" s="859"/>
      <c r="F237" s="859"/>
      <c r="G237" s="130"/>
      <c r="H237" s="859"/>
      <c r="I237" s="130"/>
      <c r="J237" s="231"/>
      <c r="K237" s="231"/>
      <c r="L237" s="231"/>
      <c r="M237" s="231"/>
      <c r="N237" s="231"/>
      <c r="O237" s="231"/>
      <c r="P237" s="231"/>
      <c r="Q237" s="231"/>
      <c r="R237" s="231"/>
      <c r="S237" s="231"/>
      <c r="T237" s="231"/>
      <c r="U237" s="231"/>
      <c r="V237" s="231"/>
      <c r="W237" s="231"/>
      <c r="X237" s="231"/>
      <c r="Y237" s="231"/>
      <c r="Z237" s="231"/>
      <c r="AA237" s="231"/>
      <c r="AB237" s="231"/>
      <c r="AC237" s="231"/>
      <c r="AD237" s="231"/>
      <c r="AE237" s="231"/>
      <c r="AF237" s="231"/>
      <c r="AG237" s="231"/>
    </row>
    <row r="238" spans="1:33" s="203" customFormat="1">
      <c r="A238" s="110" t="s">
        <v>84</v>
      </c>
      <c r="B238" s="174"/>
      <c r="C238" s="174"/>
      <c r="D238" s="174"/>
      <c r="E238" s="860"/>
      <c r="F238" s="860"/>
      <c r="G238" s="130"/>
      <c r="H238" s="860"/>
      <c r="I238" s="130"/>
      <c r="J238" s="231"/>
      <c r="K238" s="231"/>
      <c r="L238" s="231"/>
      <c r="M238" s="231"/>
      <c r="N238" s="231"/>
      <c r="O238" s="231"/>
      <c r="P238" s="231"/>
      <c r="Q238" s="231"/>
      <c r="R238" s="231"/>
      <c r="S238" s="231"/>
      <c r="T238" s="231"/>
      <c r="U238" s="231"/>
      <c r="V238" s="231"/>
      <c r="W238" s="231"/>
      <c r="X238" s="231"/>
      <c r="Y238" s="231"/>
      <c r="Z238" s="231"/>
      <c r="AA238" s="231"/>
      <c r="AB238" s="231"/>
      <c r="AC238" s="231"/>
      <c r="AD238" s="231"/>
      <c r="AE238" s="231"/>
      <c r="AF238" s="231"/>
      <c r="AG238" s="231"/>
    </row>
    <row r="239" spans="1:33" s="203" customFormat="1">
      <c r="A239" s="153" t="s">
        <v>187</v>
      </c>
      <c r="B239" s="116"/>
      <c r="C239" s="116"/>
      <c r="D239" s="116"/>
      <c r="E239" s="167"/>
      <c r="F239" s="146"/>
      <c r="G239" s="118"/>
      <c r="H239" s="146"/>
      <c r="I239" s="29"/>
      <c r="J239" s="231"/>
      <c r="K239" s="231"/>
      <c r="L239" s="231"/>
      <c r="M239" s="231"/>
      <c r="N239" s="231"/>
      <c r="O239" s="231"/>
      <c r="P239" s="231"/>
      <c r="Q239" s="231"/>
      <c r="R239" s="231"/>
      <c r="S239" s="231"/>
      <c r="T239" s="231"/>
      <c r="U239" s="231"/>
      <c r="V239" s="231"/>
      <c r="W239" s="231"/>
      <c r="X239" s="231"/>
      <c r="Y239" s="231"/>
      <c r="Z239" s="231"/>
      <c r="AA239" s="231"/>
      <c r="AB239" s="231"/>
      <c r="AC239" s="231"/>
      <c r="AD239" s="231"/>
      <c r="AE239" s="231"/>
      <c r="AF239" s="231"/>
      <c r="AG239" s="231"/>
    </row>
    <row r="240" spans="1:33" s="203" customFormat="1">
      <c r="A240" s="120">
        <v>1</v>
      </c>
      <c r="B240" s="47" t="s">
        <v>188</v>
      </c>
      <c r="C240" s="47"/>
      <c r="D240" s="47"/>
      <c r="E240" s="74">
        <v>1472.1102630119726</v>
      </c>
      <c r="F240" s="52">
        <v>1469</v>
      </c>
      <c r="G240" s="118"/>
      <c r="H240" s="122">
        <v>1385</v>
      </c>
      <c r="I240" s="118"/>
      <c r="J240" s="231"/>
      <c r="K240" s="231"/>
      <c r="L240" s="231"/>
      <c r="M240" s="231"/>
      <c r="N240" s="231"/>
      <c r="O240" s="231"/>
      <c r="P240" s="231"/>
      <c r="Q240" s="231"/>
      <c r="R240" s="231"/>
      <c r="S240" s="231"/>
      <c r="T240" s="231"/>
      <c r="U240" s="231"/>
      <c r="V240" s="231"/>
      <c r="W240" s="231"/>
      <c r="X240" s="231"/>
      <c r="Y240" s="231"/>
      <c r="Z240" s="231"/>
      <c r="AA240" s="231"/>
      <c r="AB240" s="231"/>
      <c r="AC240" s="231"/>
      <c r="AD240" s="231"/>
      <c r="AE240" s="231"/>
      <c r="AF240" s="231"/>
      <c r="AG240" s="231"/>
    </row>
    <row r="241" spans="1:33" s="203" customFormat="1">
      <c r="A241" s="815">
        <v>2</v>
      </c>
      <c r="B241" s="47" t="s">
        <v>189</v>
      </c>
      <c r="C241" s="47"/>
      <c r="D241" s="47"/>
      <c r="E241" s="114">
        <v>1329.0615293872381</v>
      </c>
      <c r="F241" s="52">
        <v>1348</v>
      </c>
      <c r="G241" s="118"/>
      <c r="H241" s="100">
        <v>1250</v>
      </c>
      <c r="I241" s="118"/>
      <c r="J241" s="231"/>
      <c r="K241" s="231"/>
      <c r="L241" s="231"/>
      <c r="M241" s="231"/>
      <c r="N241" s="231"/>
      <c r="O241" s="231"/>
      <c r="P241" s="231"/>
      <c r="Q241" s="231"/>
      <c r="R241" s="231"/>
      <c r="S241" s="231"/>
      <c r="T241" s="231"/>
      <c r="U241" s="231"/>
      <c r="V241" s="231"/>
      <c r="W241" s="231"/>
      <c r="X241" s="231"/>
      <c r="Y241" s="231"/>
      <c r="Z241" s="231"/>
      <c r="AA241" s="231"/>
      <c r="AB241" s="231"/>
      <c r="AC241" s="231"/>
      <c r="AD241" s="231"/>
      <c r="AE241" s="231"/>
      <c r="AF241" s="231"/>
      <c r="AG241" s="231"/>
    </row>
    <row r="242" spans="1:33" s="203" customFormat="1">
      <c r="A242" s="815">
        <v>3</v>
      </c>
      <c r="B242" s="168" t="s">
        <v>190</v>
      </c>
      <c r="C242" s="168"/>
      <c r="D242" s="168"/>
      <c r="E242" s="80">
        <v>2801.171792399211</v>
      </c>
      <c r="F242" s="142">
        <f>SUM(F240:F241)</f>
        <v>2817</v>
      </c>
      <c r="G242" s="118"/>
      <c r="H242" s="142">
        <f>SUM(H240:H241)</f>
        <v>2635</v>
      </c>
      <c r="I242" s="29"/>
      <c r="J242" s="231"/>
      <c r="K242" s="231"/>
      <c r="L242" s="231"/>
      <c r="M242" s="231"/>
      <c r="N242" s="231"/>
      <c r="O242" s="231"/>
      <c r="P242" s="231"/>
      <c r="Q242" s="231"/>
      <c r="R242" s="231"/>
      <c r="S242" s="231"/>
      <c r="T242" s="231"/>
      <c r="U242" s="231"/>
      <c r="V242" s="231"/>
      <c r="W242" s="231"/>
      <c r="X242" s="231"/>
      <c r="Y242" s="231"/>
      <c r="Z242" s="231"/>
      <c r="AA242" s="231"/>
      <c r="AB242" s="231"/>
      <c r="AC242" s="231"/>
      <c r="AD242" s="231"/>
      <c r="AE242" s="231"/>
      <c r="AF242" s="231"/>
      <c r="AG242" s="231"/>
    </row>
    <row r="243" spans="1:33" s="203" customFormat="1">
      <c r="A243" s="815"/>
      <c r="B243" s="116"/>
      <c r="C243" s="116"/>
      <c r="D243" s="116"/>
      <c r="E243" s="117"/>
      <c r="F243" s="118"/>
      <c r="G243" s="118"/>
      <c r="H243" s="118"/>
      <c r="I243" s="29"/>
      <c r="J243" s="231"/>
      <c r="K243" s="231"/>
      <c r="L243" s="231"/>
      <c r="M243" s="231"/>
      <c r="N243" s="231"/>
      <c r="O243" s="231"/>
      <c r="P243" s="231"/>
      <c r="Q243" s="231"/>
      <c r="R243" s="231"/>
      <c r="S243" s="231"/>
      <c r="T243" s="231"/>
      <c r="U243" s="231"/>
      <c r="V243" s="231"/>
      <c r="W243" s="231"/>
      <c r="X243" s="231"/>
      <c r="Y243" s="231"/>
      <c r="Z243" s="231"/>
      <c r="AA243" s="231"/>
      <c r="AB243" s="231"/>
      <c r="AC243" s="231"/>
      <c r="AD243" s="231"/>
      <c r="AE243" s="231"/>
      <c r="AF243" s="231"/>
      <c r="AG243" s="231"/>
    </row>
    <row r="244" spans="1:33" s="203" customFormat="1">
      <c r="A244" s="108" t="s">
        <v>191</v>
      </c>
      <c r="B244" s="47"/>
      <c r="C244" s="47"/>
      <c r="D244" s="47"/>
      <c r="E244" s="140"/>
      <c r="F244" s="146"/>
      <c r="G244" s="118"/>
      <c r="H244" s="146"/>
      <c r="I244" s="29"/>
      <c r="J244" s="231"/>
      <c r="K244" s="231"/>
      <c r="L244" s="231"/>
      <c r="M244" s="231"/>
      <c r="N244" s="231"/>
      <c r="O244" s="231"/>
      <c r="P244" s="231"/>
      <c r="Q244" s="231"/>
      <c r="R244" s="231"/>
      <c r="S244" s="231"/>
      <c r="T244" s="231"/>
      <c r="U244" s="231"/>
      <c r="V244" s="231"/>
      <c r="W244" s="231"/>
      <c r="X244" s="231"/>
      <c r="Y244" s="231"/>
      <c r="Z244" s="231"/>
      <c r="AA244" s="231"/>
      <c r="AB244" s="231"/>
      <c r="AC244" s="231"/>
      <c r="AD244" s="231"/>
      <c r="AE244" s="231"/>
      <c r="AF244" s="231"/>
      <c r="AG244" s="231"/>
    </row>
    <row r="245" spans="1:33" s="203" customFormat="1">
      <c r="A245" s="815">
        <v>4</v>
      </c>
      <c r="B245" s="47" t="s">
        <v>192</v>
      </c>
      <c r="C245" s="47"/>
      <c r="D245" s="47"/>
      <c r="E245" s="74">
        <v>0</v>
      </c>
      <c r="F245" s="52">
        <v>0</v>
      </c>
      <c r="G245" s="118"/>
      <c r="H245" s="122">
        <v>0</v>
      </c>
      <c r="I245" s="118"/>
      <c r="J245" s="231"/>
      <c r="K245" s="231"/>
      <c r="L245" s="231"/>
      <c r="M245" s="231"/>
      <c r="N245" s="231"/>
      <c r="O245" s="231"/>
      <c r="P245" s="231"/>
      <c r="Q245" s="231"/>
      <c r="R245" s="231"/>
      <c r="S245" s="231"/>
      <c r="T245" s="231"/>
      <c r="U245" s="231"/>
      <c r="V245" s="231"/>
      <c r="W245" s="231"/>
      <c r="X245" s="231"/>
      <c r="Y245" s="231"/>
      <c r="Z245" s="231"/>
      <c r="AA245" s="231"/>
      <c r="AB245" s="231"/>
      <c r="AC245" s="231"/>
      <c r="AD245" s="231"/>
      <c r="AE245" s="231"/>
      <c r="AF245" s="231"/>
      <c r="AG245" s="231"/>
    </row>
    <row r="246" spans="1:33" s="203" customFormat="1">
      <c r="A246" s="815">
        <v>5</v>
      </c>
      <c r="B246" s="47" t="s">
        <v>193</v>
      </c>
      <c r="C246" s="47"/>
      <c r="D246" s="47"/>
      <c r="E246" s="49">
        <v>30</v>
      </c>
      <c r="F246" s="52">
        <v>74</v>
      </c>
      <c r="G246" s="118"/>
      <c r="H246" s="100">
        <v>31</v>
      </c>
      <c r="I246" s="118"/>
      <c r="J246" s="231"/>
      <c r="K246" s="231"/>
      <c r="L246" s="231"/>
      <c r="M246" s="231"/>
      <c r="N246" s="231"/>
      <c r="O246" s="231"/>
      <c r="P246" s="231"/>
      <c r="Q246" s="231"/>
      <c r="R246" s="231"/>
      <c r="S246" s="231"/>
      <c r="T246" s="231"/>
      <c r="U246" s="231"/>
      <c r="V246" s="231"/>
      <c r="W246" s="231"/>
      <c r="X246" s="231"/>
      <c r="Y246" s="231"/>
      <c r="Z246" s="231"/>
      <c r="AA246" s="231"/>
      <c r="AB246" s="231"/>
      <c r="AC246" s="231"/>
      <c r="AD246" s="231"/>
      <c r="AE246" s="231"/>
      <c r="AF246" s="231"/>
      <c r="AG246" s="231"/>
    </row>
    <row r="247" spans="1:33" s="203" customFormat="1">
      <c r="A247" s="815">
        <v>6</v>
      </c>
      <c r="B247" s="116" t="s">
        <v>194</v>
      </c>
      <c r="C247" s="116"/>
      <c r="D247" s="116"/>
      <c r="E247" s="80">
        <v>30</v>
      </c>
      <c r="F247" s="142">
        <f>SUM(F245:F246)</f>
        <v>74</v>
      </c>
      <c r="G247" s="118"/>
      <c r="H247" s="142">
        <f>SUM(H245:H246)</f>
        <v>31</v>
      </c>
      <c r="I247" s="29"/>
      <c r="J247" s="231"/>
      <c r="K247" s="231"/>
      <c r="L247" s="231"/>
      <c r="M247" s="231"/>
      <c r="N247" s="231"/>
      <c r="O247" s="231"/>
      <c r="P247" s="231"/>
      <c r="Q247" s="231"/>
      <c r="R247" s="231"/>
      <c r="S247" s="231"/>
      <c r="T247" s="231"/>
      <c r="U247" s="231"/>
      <c r="V247" s="231"/>
      <c r="W247" s="231"/>
      <c r="X247" s="231"/>
      <c r="Y247" s="231"/>
      <c r="Z247" s="231"/>
      <c r="AA247" s="231"/>
      <c r="AB247" s="231"/>
      <c r="AC247" s="231"/>
      <c r="AD247" s="231"/>
      <c r="AE247" s="231"/>
      <c r="AF247" s="231"/>
      <c r="AG247" s="231"/>
    </row>
    <row r="248" spans="1:33" s="203" customFormat="1">
      <c r="A248" s="815"/>
      <c r="B248" s="116"/>
      <c r="C248" s="116"/>
      <c r="D248" s="116"/>
      <c r="E248" s="117"/>
      <c r="F248" s="118"/>
      <c r="G248" s="118"/>
      <c r="H248" s="118"/>
      <c r="I248" s="29"/>
      <c r="J248" s="231"/>
      <c r="K248" s="231"/>
      <c r="L248" s="231"/>
      <c r="M248" s="231"/>
      <c r="N248" s="231"/>
      <c r="O248" s="231"/>
      <c r="P248" s="231"/>
      <c r="Q248" s="231"/>
      <c r="R248" s="231"/>
      <c r="S248" s="231"/>
      <c r="T248" s="231"/>
      <c r="U248" s="231"/>
      <c r="V248" s="231"/>
      <c r="W248" s="231"/>
      <c r="X248" s="231"/>
      <c r="Y248" s="231"/>
      <c r="Z248" s="231"/>
      <c r="AA248" s="231"/>
      <c r="AB248" s="231"/>
      <c r="AC248" s="231"/>
      <c r="AD248" s="231"/>
      <c r="AE248" s="231"/>
      <c r="AF248" s="231"/>
      <c r="AG248" s="231"/>
    </row>
    <row r="249" spans="1:33" s="203" customFormat="1">
      <c r="A249" s="108" t="s">
        <v>195</v>
      </c>
      <c r="B249" s="116"/>
      <c r="C249" s="116"/>
      <c r="D249" s="116"/>
      <c r="E249" s="140"/>
      <c r="F249" s="146"/>
      <c r="G249" s="118"/>
      <c r="H249" s="146"/>
      <c r="I249" s="29"/>
      <c r="J249" s="231"/>
      <c r="K249" s="231"/>
      <c r="L249" s="231"/>
      <c r="M249" s="231"/>
      <c r="N249" s="231"/>
      <c r="O249" s="231"/>
      <c r="P249" s="231"/>
      <c r="Q249" s="231"/>
      <c r="R249" s="231"/>
      <c r="S249" s="231"/>
      <c r="T249" s="231"/>
      <c r="U249" s="231"/>
      <c r="V249" s="231"/>
      <c r="W249" s="231"/>
      <c r="X249" s="231"/>
      <c r="Y249" s="231"/>
      <c r="Z249" s="231"/>
      <c r="AA249" s="231"/>
      <c r="AB249" s="231"/>
      <c r="AC249" s="231"/>
      <c r="AD249" s="231"/>
      <c r="AE249" s="231"/>
      <c r="AF249" s="231"/>
      <c r="AG249" s="231"/>
    </row>
    <row r="250" spans="1:33" s="203" customFormat="1">
      <c r="A250" s="815">
        <v>7</v>
      </c>
      <c r="B250" s="47" t="s">
        <v>196</v>
      </c>
      <c r="C250" s="47"/>
      <c r="D250" s="47"/>
      <c r="E250" s="74">
        <v>2450</v>
      </c>
      <c r="F250" s="52">
        <v>3381</v>
      </c>
      <c r="G250" s="118"/>
      <c r="H250" s="52">
        <v>3699</v>
      </c>
      <c r="I250" s="118"/>
      <c r="J250" s="231"/>
      <c r="K250" s="231"/>
      <c r="L250" s="231"/>
      <c r="M250" s="231"/>
      <c r="N250" s="231"/>
      <c r="O250" s="231"/>
      <c r="P250" s="231"/>
      <c r="Q250" s="231"/>
      <c r="R250" s="231"/>
      <c r="S250" s="231"/>
      <c r="T250" s="231"/>
      <c r="U250" s="231"/>
      <c r="V250" s="231"/>
      <c r="W250" s="231"/>
      <c r="X250" s="231"/>
      <c r="Y250" s="231"/>
      <c r="Z250" s="231"/>
      <c r="AA250" s="231"/>
      <c r="AB250" s="231"/>
      <c r="AC250" s="231"/>
      <c r="AD250" s="231"/>
      <c r="AE250" s="231"/>
      <c r="AF250" s="231"/>
      <c r="AG250" s="231"/>
    </row>
    <row r="251" spans="1:33" s="203" customFormat="1">
      <c r="A251" s="815">
        <v>8</v>
      </c>
      <c r="B251" s="47" t="s">
        <v>197</v>
      </c>
      <c r="C251" s="47"/>
      <c r="D251" s="47"/>
      <c r="E251" s="49">
        <v>8284.7599999999984</v>
      </c>
      <c r="F251" s="52">
        <v>8645</v>
      </c>
      <c r="G251" s="118"/>
      <c r="H251" s="122">
        <v>7485</v>
      </c>
      <c r="I251" s="118"/>
      <c r="J251" s="231"/>
      <c r="K251" s="231"/>
      <c r="L251" s="231"/>
      <c r="M251" s="231"/>
      <c r="N251" s="231"/>
      <c r="O251" s="231"/>
      <c r="P251" s="231"/>
      <c r="Q251" s="231"/>
      <c r="R251" s="231"/>
      <c r="S251" s="231"/>
      <c r="T251" s="231"/>
      <c r="U251" s="231"/>
      <c r="V251" s="231"/>
      <c r="W251" s="231"/>
      <c r="X251" s="231"/>
      <c r="Y251" s="231"/>
      <c r="Z251" s="231"/>
      <c r="AA251" s="231"/>
      <c r="AB251" s="231"/>
      <c r="AC251" s="231"/>
      <c r="AD251" s="231"/>
      <c r="AE251" s="231"/>
      <c r="AF251" s="231"/>
      <c r="AG251" s="231"/>
    </row>
    <row r="252" spans="1:33" s="203" customFormat="1">
      <c r="A252" s="815">
        <v>9</v>
      </c>
      <c r="B252" s="47" t="s">
        <v>198</v>
      </c>
      <c r="C252" s="47"/>
      <c r="D252" s="47"/>
      <c r="E252" s="49">
        <v>6480</v>
      </c>
      <c r="F252" s="52">
        <v>7777</v>
      </c>
      <c r="G252" s="118"/>
      <c r="H252" s="122">
        <v>8562</v>
      </c>
      <c r="I252" s="118"/>
      <c r="J252" s="231"/>
      <c r="K252" s="231"/>
      <c r="L252" s="231"/>
      <c r="M252" s="231"/>
      <c r="N252" s="231"/>
      <c r="O252" s="231"/>
      <c r="P252" s="231"/>
      <c r="Q252" s="231"/>
      <c r="R252" s="231"/>
      <c r="S252" s="231"/>
      <c r="T252" s="231"/>
      <c r="U252" s="231"/>
      <c r="V252" s="231"/>
      <c r="W252" s="231"/>
      <c r="X252" s="231"/>
      <c r="Y252" s="231"/>
      <c r="Z252" s="231"/>
      <c r="AA252" s="231"/>
      <c r="AB252" s="231"/>
      <c r="AC252" s="231"/>
      <c r="AD252" s="231"/>
      <c r="AE252" s="231"/>
      <c r="AF252" s="231"/>
      <c r="AG252" s="231"/>
    </row>
    <row r="253" spans="1:33" s="203" customFormat="1">
      <c r="A253" s="815">
        <v>10</v>
      </c>
      <c r="B253" s="47" t="s">
        <v>199</v>
      </c>
      <c r="C253" s="47"/>
      <c r="D253" s="47"/>
      <c r="E253" s="49">
        <v>3909.7898871173243</v>
      </c>
      <c r="F253" s="52">
        <v>3871</v>
      </c>
      <c r="G253" s="118"/>
      <c r="H253" s="122">
        <v>3678</v>
      </c>
      <c r="I253" s="118"/>
      <c r="J253" s="231"/>
      <c r="K253" s="231"/>
      <c r="L253" s="231"/>
      <c r="M253" s="231"/>
      <c r="N253" s="231"/>
      <c r="O253" s="231"/>
      <c r="P253" s="231"/>
      <c r="Q253" s="231"/>
      <c r="R253" s="231"/>
      <c r="S253" s="231"/>
      <c r="T253" s="231"/>
      <c r="U253" s="231"/>
      <c r="V253" s="231"/>
      <c r="W253" s="231"/>
      <c r="X253" s="231"/>
      <c r="Y253" s="231"/>
      <c r="Z253" s="231"/>
      <c r="AA253" s="231"/>
      <c r="AB253" s="231"/>
      <c r="AC253" s="231"/>
      <c r="AD253" s="231"/>
      <c r="AE253" s="231"/>
      <c r="AF253" s="231"/>
      <c r="AG253" s="231"/>
    </row>
    <row r="254" spans="1:33" s="203" customFormat="1">
      <c r="A254" s="815">
        <v>11</v>
      </c>
      <c r="B254" s="116" t="s">
        <v>200</v>
      </c>
      <c r="C254" s="116"/>
      <c r="D254" s="116"/>
      <c r="E254" s="80">
        <v>21124.549887117322</v>
      </c>
      <c r="F254" s="142">
        <f>SUM(F250:F253)</f>
        <v>23674</v>
      </c>
      <c r="G254" s="118"/>
      <c r="H254" s="142">
        <f>SUM(H250:H253)</f>
        <v>23424</v>
      </c>
      <c r="I254" s="260"/>
      <c r="J254" s="231"/>
      <c r="K254" s="231"/>
      <c r="L254" s="231"/>
      <c r="M254" s="231"/>
      <c r="N254" s="231"/>
      <c r="O254" s="231"/>
      <c r="P254" s="231"/>
      <c r="Q254" s="231"/>
      <c r="R254" s="231"/>
      <c r="S254" s="231"/>
      <c r="T254" s="231"/>
      <c r="U254" s="231"/>
      <c r="V254" s="231"/>
      <c r="W254" s="231"/>
      <c r="X254" s="231"/>
      <c r="Y254" s="231"/>
      <c r="Z254" s="231"/>
      <c r="AA254" s="231"/>
      <c r="AB254" s="231"/>
      <c r="AC254" s="231"/>
      <c r="AD254" s="231"/>
      <c r="AE254" s="231"/>
      <c r="AF254" s="231"/>
      <c r="AG254" s="231"/>
    </row>
    <row r="255" spans="1:33" s="203" customFormat="1">
      <c r="A255" s="815"/>
      <c r="B255" s="116"/>
      <c r="C255" s="116"/>
      <c r="D255" s="116"/>
      <c r="E255" s="117"/>
      <c r="F255" s="118"/>
      <c r="G255" s="118"/>
      <c r="H255" s="118"/>
      <c r="I255" s="29"/>
      <c r="J255" s="231"/>
      <c r="K255" s="231"/>
      <c r="L255" s="231"/>
      <c r="M255" s="231"/>
      <c r="N255" s="231"/>
      <c r="O255" s="231"/>
      <c r="P255" s="231"/>
      <c r="Q255" s="231"/>
      <c r="R255" s="231"/>
      <c r="S255" s="231"/>
      <c r="T255" s="231"/>
      <c r="U255" s="231"/>
      <c r="V255" s="231"/>
      <c r="W255" s="231"/>
      <c r="X255" s="231"/>
      <c r="Y255" s="231"/>
      <c r="Z255" s="231"/>
      <c r="AA255" s="231"/>
      <c r="AB255" s="231"/>
      <c r="AC255" s="231"/>
      <c r="AD255" s="231"/>
      <c r="AE255" s="231"/>
      <c r="AF255" s="231"/>
      <c r="AG255" s="231"/>
    </row>
    <row r="256" spans="1:33" s="203" customFormat="1">
      <c r="A256" s="815">
        <v>12</v>
      </c>
      <c r="B256" s="47" t="s">
        <v>201</v>
      </c>
      <c r="C256" s="47"/>
      <c r="D256" s="47"/>
      <c r="E256" s="176">
        <v>5816.6073204834674</v>
      </c>
      <c r="F256" s="136">
        <v>5913</v>
      </c>
      <c r="G256" s="118"/>
      <c r="H256" s="122">
        <v>5472</v>
      </c>
      <c r="I256" s="118"/>
      <c r="J256" s="231"/>
      <c r="K256" s="231"/>
      <c r="L256" s="231"/>
      <c r="M256" s="231"/>
      <c r="N256" s="231"/>
      <c r="O256" s="231"/>
      <c r="P256" s="231"/>
      <c r="Q256" s="231"/>
      <c r="R256" s="231"/>
      <c r="S256" s="231"/>
      <c r="T256" s="231"/>
      <c r="U256" s="231"/>
      <c r="V256" s="231"/>
      <c r="W256" s="231"/>
      <c r="X256" s="231"/>
      <c r="Y256" s="231"/>
      <c r="Z256" s="231"/>
      <c r="AA256" s="231"/>
      <c r="AB256" s="231"/>
      <c r="AC256" s="231"/>
      <c r="AD256" s="231"/>
      <c r="AE256" s="231"/>
      <c r="AF256" s="231"/>
      <c r="AG256" s="231"/>
    </row>
    <row r="257" spans="1:33" s="203" customFormat="1">
      <c r="A257" s="124">
        <v>13</v>
      </c>
      <c r="B257" s="94" t="s">
        <v>202</v>
      </c>
      <c r="C257" s="94"/>
      <c r="D257" s="94"/>
      <c r="E257" s="159">
        <v>29772.329000000002</v>
      </c>
      <c r="F257" s="61">
        <f>F242+F247+F254+F256</f>
        <v>32478</v>
      </c>
      <c r="G257" s="118"/>
      <c r="H257" s="61">
        <f>H242+H247+H254+H256</f>
        <v>31562</v>
      </c>
      <c r="I257" s="21"/>
      <c r="J257" s="231"/>
      <c r="K257" s="231"/>
      <c r="L257" s="231"/>
      <c r="M257" s="231"/>
      <c r="N257" s="231"/>
      <c r="O257" s="231"/>
      <c r="P257" s="231"/>
      <c r="Q257" s="231"/>
      <c r="R257" s="231"/>
      <c r="S257" s="231"/>
      <c r="T257" s="231"/>
      <c r="U257" s="231"/>
      <c r="V257" s="231"/>
      <c r="W257" s="231"/>
      <c r="X257" s="231"/>
      <c r="Y257" s="231"/>
      <c r="Z257" s="231"/>
      <c r="AA257" s="231"/>
      <c r="AB257" s="231"/>
      <c r="AC257" s="231"/>
      <c r="AD257" s="231"/>
      <c r="AE257" s="231"/>
      <c r="AF257" s="231"/>
      <c r="AG257" s="231"/>
    </row>
    <row r="258" spans="1:33" s="203" customFormat="1">
      <c r="A258" s="207"/>
      <c r="B258" s="207"/>
      <c r="C258" s="207"/>
      <c r="D258" s="208"/>
      <c r="E258" s="208"/>
      <c r="F258" s="207"/>
      <c r="G258" s="207"/>
      <c r="H258" s="207"/>
      <c r="I258" s="21"/>
      <c r="J258" s="231"/>
      <c r="K258" s="231"/>
      <c r="L258" s="231"/>
      <c r="M258" s="231"/>
      <c r="N258" s="231"/>
      <c r="O258" s="231"/>
      <c r="P258" s="231"/>
      <c r="Q258" s="231"/>
      <c r="R258" s="231"/>
      <c r="S258" s="231"/>
      <c r="T258" s="231"/>
      <c r="U258" s="231"/>
      <c r="V258" s="231"/>
      <c r="W258" s="231"/>
      <c r="X258" s="231"/>
      <c r="Y258" s="231"/>
      <c r="Z258" s="231"/>
      <c r="AA258" s="231"/>
      <c r="AB258" s="231"/>
      <c r="AC258" s="231"/>
      <c r="AD258" s="231"/>
      <c r="AE258" s="231"/>
      <c r="AF258" s="231"/>
      <c r="AG258" s="231"/>
    </row>
    <row r="259" spans="1:33" s="203" customFormat="1">
      <c r="A259" s="23"/>
      <c r="B259" s="207"/>
      <c r="C259" s="207"/>
      <c r="D259" s="207"/>
      <c r="E259" s="207"/>
      <c r="F259" s="207"/>
      <c r="G259" s="207"/>
      <c r="H259" s="21"/>
      <c r="I259" s="21"/>
      <c r="J259" s="231"/>
      <c r="K259" s="231"/>
      <c r="L259" s="231"/>
      <c r="M259" s="231"/>
      <c r="N259" s="231"/>
      <c r="O259" s="231"/>
      <c r="P259" s="231"/>
      <c r="Q259" s="231"/>
      <c r="R259" s="231"/>
      <c r="S259" s="231"/>
      <c r="T259" s="231"/>
      <c r="U259" s="231"/>
      <c r="V259" s="231"/>
      <c r="W259" s="231"/>
      <c r="X259" s="231"/>
      <c r="Y259" s="231"/>
      <c r="Z259" s="231"/>
      <c r="AA259" s="231"/>
      <c r="AB259" s="231"/>
      <c r="AC259" s="231"/>
      <c r="AD259" s="231"/>
      <c r="AE259" s="231"/>
      <c r="AF259" s="231"/>
      <c r="AG259" s="231"/>
    </row>
    <row r="260" spans="1:33" s="203" customFormat="1">
      <c r="A260" s="148"/>
      <c r="B260" s="29"/>
      <c r="C260" s="29"/>
      <c r="D260" s="172"/>
      <c r="E260" s="152"/>
      <c r="F260" s="29"/>
      <c r="G260" s="29"/>
      <c r="H260" s="131" t="s">
        <v>27</v>
      </c>
      <c r="I260" s="21"/>
      <c r="J260" s="231"/>
      <c r="K260" s="231"/>
      <c r="L260" s="231"/>
      <c r="M260" s="231"/>
      <c r="N260" s="231"/>
      <c r="O260" s="231"/>
      <c r="P260" s="231"/>
      <c r="Q260" s="231"/>
      <c r="R260" s="231"/>
      <c r="S260" s="231"/>
      <c r="T260" s="231"/>
      <c r="U260" s="231"/>
      <c r="V260" s="231"/>
      <c r="W260" s="231"/>
      <c r="X260" s="231"/>
      <c r="Y260" s="231"/>
      <c r="Z260" s="231"/>
      <c r="AA260" s="231"/>
      <c r="AB260" s="231"/>
      <c r="AC260" s="231"/>
      <c r="AD260" s="231"/>
      <c r="AE260" s="231"/>
      <c r="AF260" s="231"/>
      <c r="AG260" s="231"/>
    </row>
    <row r="261" spans="1:33" s="203" customFormat="1" ht="12.75" customHeight="1">
      <c r="A261" s="106" t="s">
        <v>15</v>
      </c>
      <c r="B261" s="164"/>
      <c r="C261" s="164"/>
      <c r="D261" s="164"/>
      <c r="E261" s="856" t="s">
        <v>377</v>
      </c>
      <c r="F261" s="856" t="s">
        <v>402</v>
      </c>
      <c r="G261" s="130"/>
      <c r="H261" s="856" t="s">
        <v>403</v>
      </c>
      <c r="I261" s="21"/>
      <c r="J261" s="231"/>
      <c r="K261" s="231"/>
      <c r="L261" s="231"/>
      <c r="M261" s="231"/>
      <c r="N261" s="231"/>
      <c r="O261" s="231"/>
      <c r="P261" s="231"/>
      <c r="Q261" s="231"/>
      <c r="R261" s="231"/>
      <c r="S261" s="231"/>
      <c r="T261" s="231"/>
      <c r="U261" s="231"/>
      <c r="V261" s="231"/>
      <c r="W261" s="231"/>
      <c r="X261" s="231"/>
      <c r="Y261" s="231"/>
      <c r="Z261" s="231"/>
      <c r="AA261" s="231"/>
      <c r="AB261" s="231"/>
      <c r="AC261" s="231"/>
      <c r="AD261" s="231"/>
      <c r="AE261" s="231"/>
      <c r="AF261" s="231"/>
      <c r="AG261" s="231"/>
    </row>
    <row r="262" spans="1:33" s="203" customFormat="1">
      <c r="A262" s="165"/>
      <c r="B262" s="47"/>
      <c r="C262" s="47"/>
      <c r="D262" s="47"/>
      <c r="E262" s="859"/>
      <c r="F262" s="859"/>
      <c r="G262" s="130"/>
      <c r="H262" s="859"/>
      <c r="I262" s="21"/>
      <c r="J262" s="231"/>
      <c r="K262" s="231"/>
      <c r="L262" s="231"/>
      <c r="M262" s="231"/>
      <c r="N262" s="231"/>
      <c r="O262" s="231"/>
      <c r="P262" s="231"/>
      <c r="Q262" s="231"/>
      <c r="R262" s="231"/>
      <c r="S262" s="231"/>
      <c r="T262" s="231"/>
      <c r="U262" s="231"/>
      <c r="V262" s="231"/>
      <c r="W262" s="231"/>
      <c r="X262" s="231"/>
      <c r="Y262" s="231"/>
      <c r="Z262" s="231"/>
      <c r="AA262" s="231"/>
      <c r="AB262" s="231"/>
      <c r="AC262" s="231"/>
      <c r="AD262" s="231"/>
      <c r="AE262" s="231"/>
      <c r="AF262" s="231"/>
      <c r="AG262" s="231"/>
    </row>
    <row r="263" spans="1:33" s="203" customFormat="1">
      <c r="A263" s="109"/>
      <c r="B263" s="174"/>
      <c r="C263" s="174"/>
      <c r="D263" s="174"/>
      <c r="E263" s="859"/>
      <c r="F263" s="859"/>
      <c r="G263" s="130"/>
      <c r="H263" s="859"/>
      <c r="I263" s="21"/>
      <c r="J263" s="231"/>
      <c r="K263" s="231"/>
      <c r="L263" s="231"/>
      <c r="M263" s="231"/>
      <c r="N263" s="231"/>
      <c r="O263" s="231"/>
      <c r="P263" s="231"/>
      <c r="Q263" s="231"/>
      <c r="R263" s="231"/>
      <c r="S263" s="231"/>
      <c r="T263" s="231"/>
      <c r="U263" s="231"/>
      <c r="V263" s="231"/>
      <c r="W263" s="231"/>
      <c r="X263" s="231"/>
      <c r="Y263" s="231"/>
      <c r="Z263" s="231"/>
      <c r="AA263" s="231"/>
      <c r="AB263" s="231"/>
      <c r="AC263" s="231"/>
      <c r="AD263" s="231"/>
      <c r="AE263" s="231"/>
      <c r="AF263" s="231"/>
      <c r="AG263" s="231"/>
    </row>
    <row r="264" spans="1:33" s="203" customFormat="1">
      <c r="A264" s="154" t="s">
        <v>203</v>
      </c>
      <c r="B264" s="47"/>
      <c r="C264" s="47"/>
      <c r="D264" s="47"/>
      <c r="E264" s="859"/>
      <c r="F264" s="859"/>
      <c r="G264" s="130"/>
      <c r="H264" s="859"/>
      <c r="I264" s="21"/>
      <c r="J264" s="231"/>
      <c r="K264" s="231"/>
      <c r="L264" s="231"/>
      <c r="M264" s="231"/>
      <c r="N264" s="231"/>
      <c r="O264" s="231"/>
      <c r="P264" s="231"/>
      <c r="Q264" s="231"/>
      <c r="R264" s="231"/>
      <c r="S264" s="231"/>
      <c r="T264" s="231"/>
      <c r="U264" s="231"/>
      <c r="V264" s="231"/>
      <c r="W264" s="231"/>
      <c r="X264" s="231"/>
      <c r="Y264" s="231"/>
      <c r="Z264" s="231"/>
      <c r="AA264" s="231"/>
      <c r="AB264" s="231"/>
      <c r="AC264" s="231"/>
      <c r="AD264" s="231"/>
      <c r="AE264" s="231"/>
      <c r="AF264" s="231"/>
      <c r="AG264" s="231"/>
    </row>
    <row r="265" spans="1:33" s="203" customFormat="1">
      <c r="A265" s="109" t="s">
        <v>83</v>
      </c>
      <c r="B265" s="174"/>
      <c r="C265" s="174"/>
      <c r="D265" s="174"/>
      <c r="E265" s="860"/>
      <c r="F265" s="860"/>
      <c r="G265" s="130"/>
      <c r="H265" s="860"/>
      <c r="I265" s="21"/>
      <c r="J265" s="231"/>
      <c r="K265" s="231"/>
      <c r="L265" s="231"/>
      <c r="M265" s="231"/>
      <c r="N265" s="231"/>
      <c r="O265" s="231"/>
      <c r="P265" s="231"/>
      <c r="Q265" s="231"/>
      <c r="R265" s="231"/>
      <c r="S265" s="231"/>
      <c r="T265" s="231"/>
      <c r="U265" s="231"/>
      <c r="V265" s="231"/>
      <c r="W265" s="231"/>
      <c r="X265" s="231"/>
      <c r="Y265" s="231"/>
      <c r="Z265" s="231"/>
      <c r="AA265" s="231"/>
      <c r="AB265" s="231"/>
      <c r="AC265" s="231"/>
      <c r="AD265" s="231"/>
      <c r="AE265" s="231"/>
      <c r="AF265" s="231"/>
      <c r="AG265" s="231"/>
    </row>
    <row r="266" spans="1:33" s="203" customFormat="1">
      <c r="A266" s="110" t="s">
        <v>84</v>
      </c>
      <c r="B266" s="116"/>
      <c r="C266" s="116"/>
      <c r="D266" s="116"/>
      <c r="E266" s="178"/>
      <c r="F266" s="146"/>
      <c r="G266" s="118"/>
      <c r="H266" s="146"/>
      <c r="I266" s="21"/>
      <c r="J266" s="231"/>
      <c r="K266" s="231"/>
      <c r="L266" s="231"/>
      <c r="M266" s="231"/>
      <c r="N266" s="231"/>
      <c r="O266" s="231"/>
      <c r="P266" s="231"/>
      <c r="Q266" s="231"/>
      <c r="R266" s="231"/>
      <c r="S266" s="231"/>
      <c r="T266" s="231"/>
      <c r="U266" s="231"/>
      <c r="V266" s="231"/>
      <c r="W266" s="231"/>
      <c r="X266" s="231"/>
      <c r="Y266" s="231"/>
      <c r="Z266" s="231"/>
      <c r="AA266" s="231"/>
      <c r="AB266" s="231"/>
      <c r="AC266" s="231"/>
      <c r="AD266" s="231"/>
      <c r="AE266" s="231"/>
      <c r="AF266" s="231"/>
      <c r="AG266" s="231"/>
    </row>
    <row r="267" spans="1:33" s="203" customFormat="1">
      <c r="A267" s="120">
        <v>1</v>
      </c>
      <c r="B267" s="47" t="s">
        <v>204</v>
      </c>
      <c r="C267" s="47"/>
      <c r="D267" s="47"/>
      <c r="E267" s="74">
        <v>0</v>
      </c>
      <c r="F267" s="52">
        <v>15</v>
      </c>
      <c r="G267" s="118"/>
      <c r="H267" s="122">
        <v>0</v>
      </c>
      <c r="I267" s="118"/>
      <c r="J267" s="231"/>
      <c r="K267" s="231"/>
      <c r="L267" s="231"/>
      <c r="M267" s="231"/>
      <c r="N267" s="231"/>
      <c r="O267" s="231"/>
      <c r="P267" s="231"/>
      <c r="Q267" s="231"/>
      <c r="R267" s="231"/>
      <c r="S267" s="231"/>
      <c r="T267" s="231"/>
      <c r="U267" s="231"/>
      <c r="V267" s="231"/>
      <c r="W267" s="231"/>
      <c r="X267" s="231"/>
      <c r="Y267" s="231"/>
      <c r="Z267" s="231"/>
      <c r="AA267" s="231"/>
      <c r="AB267" s="231"/>
      <c r="AC267" s="231"/>
      <c r="AD267" s="231"/>
      <c r="AE267" s="231"/>
      <c r="AF267" s="231"/>
      <c r="AG267" s="231"/>
    </row>
    <row r="268" spans="1:33" s="203" customFormat="1">
      <c r="A268" s="815">
        <v>2</v>
      </c>
      <c r="B268" s="166" t="s">
        <v>205</v>
      </c>
      <c r="C268" s="166"/>
      <c r="D268" s="47"/>
      <c r="E268" s="114">
        <v>1004</v>
      </c>
      <c r="F268" s="52">
        <v>621</v>
      </c>
      <c r="G268" s="118"/>
      <c r="H268" s="122">
        <v>921</v>
      </c>
      <c r="I268" s="118"/>
      <c r="J268" s="231"/>
      <c r="K268" s="231"/>
      <c r="L268" s="231"/>
      <c r="M268" s="231"/>
      <c r="N268" s="231"/>
      <c r="O268" s="231"/>
      <c r="P268" s="231"/>
      <c r="Q268" s="231"/>
      <c r="R268" s="231"/>
      <c r="S268" s="231"/>
      <c r="T268" s="231"/>
      <c r="U268" s="231"/>
      <c r="V268" s="231"/>
      <c r="W268" s="231"/>
      <c r="X268" s="231"/>
      <c r="Y268" s="231"/>
      <c r="Z268" s="231"/>
      <c r="AA268" s="231"/>
      <c r="AB268" s="231"/>
      <c r="AC268" s="231"/>
      <c r="AD268" s="231"/>
      <c r="AE268" s="231"/>
      <c r="AF268" s="231"/>
      <c r="AG268" s="231"/>
    </row>
    <row r="269" spans="1:33" s="203" customFormat="1">
      <c r="A269" s="120">
        <v>3</v>
      </c>
      <c r="B269" s="47" t="s">
        <v>206</v>
      </c>
      <c r="C269" s="47"/>
      <c r="D269" s="168"/>
      <c r="E269" s="114">
        <v>317</v>
      </c>
      <c r="F269" s="52">
        <v>243</v>
      </c>
      <c r="G269" s="118"/>
      <c r="H269" s="122">
        <v>269</v>
      </c>
      <c r="I269" s="118"/>
      <c r="J269" s="231"/>
      <c r="K269" s="231"/>
      <c r="L269" s="231"/>
      <c r="M269" s="231"/>
      <c r="N269" s="231"/>
      <c r="O269" s="231"/>
      <c r="P269" s="231"/>
      <c r="Q269" s="231"/>
      <c r="R269" s="231"/>
      <c r="S269" s="231"/>
      <c r="T269" s="231"/>
      <c r="U269" s="231"/>
      <c r="V269" s="231"/>
      <c r="W269" s="231"/>
      <c r="X269" s="231"/>
      <c r="Y269" s="231"/>
      <c r="Z269" s="231"/>
      <c r="AA269" s="231"/>
      <c r="AB269" s="231"/>
      <c r="AC269" s="231"/>
      <c r="AD269" s="231"/>
      <c r="AE269" s="231"/>
      <c r="AF269" s="231"/>
      <c r="AG269" s="231"/>
    </row>
    <row r="270" spans="1:33" s="203" customFormat="1">
      <c r="A270" s="815">
        <v>4</v>
      </c>
      <c r="B270" s="47" t="s">
        <v>207</v>
      </c>
      <c r="C270" s="47"/>
      <c r="D270" s="116"/>
      <c r="E270" s="114">
        <v>0</v>
      </c>
      <c r="F270" s="52">
        <v>0</v>
      </c>
      <c r="G270" s="118"/>
      <c r="H270" s="122">
        <v>0</v>
      </c>
      <c r="I270" s="118"/>
      <c r="J270" s="231"/>
      <c r="K270" s="231"/>
      <c r="L270" s="231"/>
      <c r="M270" s="231"/>
      <c r="N270" s="231"/>
      <c r="O270" s="231"/>
      <c r="P270" s="231"/>
      <c r="Q270" s="231"/>
      <c r="R270" s="231"/>
      <c r="S270" s="231"/>
      <c r="T270" s="231"/>
      <c r="U270" s="231"/>
      <c r="V270" s="231"/>
      <c r="W270" s="231"/>
      <c r="X270" s="231"/>
      <c r="Y270" s="231"/>
      <c r="Z270" s="231"/>
      <c r="AA270" s="231"/>
      <c r="AB270" s="231"/>
      <c r="AC270" s="231"/>
      <c r="AD270" s="231"/>
      <c r="AE270" s="231"/>
      <c r="AF270" s="231"/>
      <c r="AG270" s="231"/>
    </row>
    <row r="271" spans="1:33" s="203" customFormat="1">
      <c r="A271" s="120">
        <v>5</v>
      </c>
      <c r="B271" s="47" t="s">
        <v>208</v>
      </c>
      <c r="C271" s="47"/>
      <c r="D271" s="47"/>
      <c r="E271" s="114">
        <v>0</v>
      </c>
      <c r="F271" s="52">
        <v>-573</v>
      </c>
      <c r="G271" s="118"/>
      <c r="H271" s="122">
        <v>32</v>
      </c>
      <c r="I271" s="118"/>
      <c r="J271" s="231"/>
      <c r="K271" s="231"/>
      <c r="L271" s="231"/>
      <c r="M271" s="231"/>
      <c r="N271" s="231"/>
      <c r="O271" s="231"/>
      <c r="P271" s="231"/>
      <c r="Q271" s="231"/>
      <c r="R271" s="231"/>
      <c r="S271" s="231"/>
      <c r="T271" s="231"/>
      <c r="U271" s="231"/>
      <c r="V271" s="231"/>
      <c r="W271" s="231"/>
      <c r="X271" s="231"/>
      <c r="Y271" s="231"/>
      <c r="Z271" s="231"/>
      <c r="AA271" s="231"/>
      <c r="AB271" s="231"/>
      <c r="AC271" s="231"/>
      <c r="AD271" s="231"/>
      <c r="AE271" s="231"/>
      <c r="AF271" s="231"/>
      <c r="AG271" s="231"/>
    </row>
    <row r="272" spans="1:33" s="203" customFormat="1">
      <c r="A272" s="815">
        <v>6</v>
      </c>
      <c r="B272" s="47" t="s">
        <v>209</v>
      </c>
      <c r="C272" s="47"/>
      <c r="D272" s="47"/>
      <c r="E272" s="114">
        <v>0</v>
      </c>
      <c r="F272" s="52">
        <v>-722</v>
      </c>
      <c r="G272" s="118"/>
      <c r="H272" s="122">
        <v>-364</v>
      </c>
      <c r="I272" s="118"/>
      <c r="J272" s="231"/>
      <c r="K272" s="231"/>
      <c r="L272" s="231"/>
      <c r="M272" s="231"/>
      <c r="N272" s="231"/>
      <c r="O272" s="231"/>
      <c r="P272" s="231"/>
      <c r="Q272" s="231"/>
      <c r="R272" s="231"/>
      <c r="S272" s="231"/>
      <c r="T272" s="231"/>
      <c r="U272" s="231"/>
      <c r="V272" s="231"/>
      <c r="W272" s="231"/>
      <c r="X272" s="231"/>
      <c r="Y272" s="231"/>
      <c r="Z272" s="231"/>
      <c r="AA272" s="231"/>
      <c r="AB272" s="231"/>
      <c r="AC272" s="231"/>
      <c r="AD272" s="231"/>
      <c r="AE272" s="231"/>
      <c r="AF272" s="231"/>
      <c r="AG272" s="231"/>
    </row>
    <row r="273" spans="1:33" s="203" customFormat="1">
      <c r="A273" s="120">
        <v>7</v>
      </c>
      <c r="B273" s="47" t="s">
        <v>210</v>
      </c>
      <c r="C273" s="47"/>
      <c r="D273" s="47"/>
      <c r="E273" s="114">
        <v>1260</v>
      </c>
      <c r="F273" s="52">
        <v>1571</v>
      </c>
      <c r="G273" s="118"/>
      <c r="H273" s="122">
        <v>1464</v>
      </c>
      <c r="I273" s="118"/>
      <c r="J273" s="231"/>
      <c r="K273" s="231"/>
      <c r="L273" s="231"/>
      <c r="M273" s="231"/>
      <c r="N273" s="231"/>
      <c r="O273" s="231"/>
      <c r="P273" s="231"/>
      <c r="Q273" s="231"/>
      <c r="R273" s="231"/>
      <c r="S273" s="231"/>
      <c r="T273" s="231"/>
      <c r="U273" s="231"/>
      <c r="V273" s="231"/>
      <c r="W273" s="231"/>
      <c r="X273" s="231"/>
      <c r="Y273" s="231"/>
      <c r="Z273" s="231"/>
      <c r="AA273" s="231"/>
      <c r="AB273" s="231"/>
      <c r="AC273" s="231"/>
      <c r="AD273" s="231"/>
      <c r="AE273" s="231"/>
      <c r="AF273" s="231"/>
      <c r="AG273" s="231"/>
    </row>
    <row r="274" spans="1:33" s="203" customFormat="1">
      <c r="A274" s="815">
        <v>8</v>
      </c>
      <c r="B274" s="47" t="s">
        <v>211</v>
      </c>
      <c r="C274" s="47"/>
      <c r="D274" s="47"/>
      <c r="E274" s="114">
        <v>2020</v>
      </c>
      <c r="F274" s="52">
        <v>1995</v>
      </c>
      <c r="G274" s="118"/>
      <c r="H274" s="122">
        <v>1960</v>
      </c>
      <c r="I274" s="118"/>
      <c r="J274" s="231"/>
      <c r="K274" s="231"/>
      <c r="L274" s="231"/>
      <c r="M274" s="231"/>
      <c r="N274" s="231"/>
      <c r="O274" s="231"/>
      <c r="P274" s="231"/>
      <c r="Q274" s="231"/>
      <c r="R274" s="231"/>
      <c r="S274" s="231"/>
      <c r="T274" s="231"/>
      <c r="U274" s="231"/>
      <c r="V274" s="231"/>
      <c r="W274" s="231"/>
      <c r="X274" s="231"/>
      <c r="Y274" s="231"/>
      <c r="Z274" s="231"/>
      <c r="AA274" s="231"/>
      <c r="AB274" s="231"/>
      <c r="AC274" s="231"/>
      <c r="AD274" s="231"/>
      <c r="AE274" s="231"/>
      <c r="AF274" s="231"/>
      <c r="AG274" s="231"/>
    </row>
    <row r="275" spans="1:33" s="203" customFormat="1">
      <c r="A275" s="120">
        <v>9</v>
      </c>
      <c r="B275" s="47" t="s">
        <v>212</v>
      </c>
      <c r="C275" s="47"/>
      <c r="D275" s="47"/>
      <c r="E275" s="114">
        <v>1785</v>
      </c>
      <c r="F275" s="52">
        <v>1833</v>
      </c>
      <c r="G275" s="118"/>
      <c r="H275" s="122">
        <v>684</v>
      </c>
      <c r="I275" s="118"/>
      <c r="J275" s="231"/>
      <c r="K275" s="231"/>
      <c r="L275" s="231"/>
      <c r="M275" s="231"/>
      <c r="N275" s="231"/>
      <c r="O275" s="231"/>
      <c r="P275" s="231"/>
      <c r="Q275" s="231"/>
      <c r="R275" s="231"/>
      <c r="S275" s="231"/>
      <c r="T275" s="231"/>
      <c r="U275" s="231"/>
      <c r="V275" s="231"/>
      <c r="W275" s="231"/>
      <c r="X275" s="231"/>
      <c r="Y275" s="231"/>
      <c r="Z275" s="231"/>
      <c r="AA275" s="231"/>
      <c r="AB275" s="231"/>
      <c r="AC275" s="231"/>
      <c r="AD275" s="231"/>
      <c r="AE275" s="231"/>
      <c r="AF275" s="231"/>
      <c r="AG275" s="231"/>
    </row>
    <row r="276" spans="1:33" s="203" customFormat="1">
      <c r="A276" s="815">
        <v>10</v>
      </c>
      <c r="B276" s="47" t="s">
        <v>213</v>
      </c>
      <c r="C276" s="47"/>
      <c r="D276" s="47"/>
      <c r="E276" s="114">
        <v>3723</v>
      </c>
      <c r="F276" s="52">
        <v>9457</v>
      </c>
      <c r="G276" s="118"/>
      <c r="H276" s="99">
        <v>12730</v>
      </c>
      <c r="I276" s="118"/>
      <c r="J276" s="231"/>
      <c r="K276" s="231"/>
      <c r="L276" s="231"/>
      <c r="M276" s="231"/>
      <c r="N276" s="231"/>
      <c r="O276" s="231"/>
      <c r="P276" s="231"/>
      <c r="Q276" s="231"/>
      <c r="R276" s="231"/>
      <c r="S276" s="231"/>
      <c r="T276" s="231"/>
      <c r="U276" s="231"/>
      <c r="V276" s="231"/>
      <c r="W276" s="231"/>
      <c r="X276" s="231"/>
      <c r="Y276" s="231"/>
      <c r="Z276" s="231"/>
      <c r="AA276" s="231"/>
      <c r="AB276" s="231"/>
      <c r="AC276" s="231"/>
      <c r="AD276" s="231"/>
      <c r="AE276" s="231"/>
      <c r="AF276" s="231"/>
      <c r="AG276" s="231"/>
    </row>
    <row r="277" spans="1:33" s="203" customFormat="1">
      <c r="A277" s="124">
        <v>11</v>
      </c>
      <c r="B277" s="94" t="s">
        <v>214</v>
      </c>
      <c r="C277" s="94"/>
      <c r="D277" s="94"/>
      <c r="E277" s="159">
        <v>10109</v>
      </c>
      <c r="F277" s="61">
        <f>SUM(F267:F276)</f>
        <v>14440</v>
      </c>
      <c r="G277" s="118"/>
      <c r="H277" s="61">
        <f>SUM(H267:H276)</f>
        <v>17696</v>
      </c>
      <c r="I277" s="21"/>
      <c r="J277" s="231"/>
      <c r="K277" s="231"/>
      <c r="L277" s="231"/>
      <c r="M277" s="231"/>
      <c r="N277" s="231"/>
      <c r="O277" s="231"/>
      <c r="P277" s="231"/>
      <c r="Q277" s="231"/>
      <c r="R277" s="231"/>
      <c r="S277" s="231"/>
      <c r="T277" s="231"/>
      <c r="U277" s="231"/>
      <c r="V277" s="231"/>
      <c r="W277" s="231"/>
      <c r="X277" s="231"/>
      <c r="Y277" s="231"/>
      <c r="Z277" s="231"/>
      <c r="AA277" s="231"/>
      <c r="AB277" s="231"/>
      <c r="AC277" s="231"/>
      <c r="AD277" s="231"/>
      <c r="AE277" s="231"/>
      <c r="AF277" s="231"/>
      <c r="AG277" s="231"/>
    </row>
    <row r="278" spans="1:33" s="203" customFormat="1">
      <c r="A278" s="207"/>
      <c r="B278" s="207"/>
      <c r="C278" s="207"/>
      <c r="D278" s="207"/>
      <c r="E278" s="207"/>
      <c r="F278" s="207"/>
      <c r="G278" s="207"/>
      <c r="H278" s="207"/>
      <c r="I278" s="21"/>
      <c r="J278" s="231"/>
      <c r="K278" s="231"/>
      <c r="L278" s="231"/>
      <c r="M278" s="231"/>
      <c r="N278" s="231"/>
      <c r="O278" s="231"/>
      <c r="P278" s="231"/>
      <c r="Q278" s="231"/>
      <c r="R278" s="231"/>
      <c r="S278" s="231"/>
      <c r="T278" s="231"/>
      <c r="U278" s="231"/>
      <c r="V278" s="231"/>
      <c r="W278" s="231"/>
      <c r="X278" s="231"/>
      <c r="Y278" s="231"/>
      <c r="Z278" s="231"/>
      <c r="AA278" s="231"/>
      <c r="AB278" s="231"/>
      <c r="AC278" s="231"/>
      <c r="AD278" s="231"/>
      <c r="AE278" s="231"/>
      <c r="AF278" s="231"/>
      <c r="AG278" s="231"/>
    </row>
    <row r="279" spans="1:33" s="203" customFormat="1">
      <c r="A279" s="207"/>
      <c r="B279" s="207"/>
      <c r="C279" s="207"/>
      <c r="D279" s="207"/>
      <c r="E279" s="207"/>
      <c r="F279" s="207"/>
      <c r="G279" s="207"/>
      <c r="H279" s="131" t="s">
        <v>27</v>
      </c>
      <c r="I279" s="21"/>
      <c r="J279" s="231"/>
      <c r="K279" s="231"/>
      <c r="L279" s="231"/>
      <c r="M279" s="231"/>
      <c r="N279" s="231"/>
      <c r="O279" s="231"/>
      <c r="P279" s="231"/>
      <c r="Q279" s="231"/>
      <c r="R279" s="231"/>
      <c r="S279" s="231"/>
      <c r="T279" s="231"/>
      <c r="U279" s="231"/>
      <c r="V279" s="231"/>
      <c r="W279" s="231"/>
      <c r="X279" s="231"/>
      <c r="Y279" s="231"/>
      <c r="Z279" s="231"/>
      <c r="AA279" s="231"/>
      <c r="AB279" s="231"/>
      <c r="AC279" s="231"/>
      <c r="AD279" s="231"/>
      <c r="AE279" s="231"/>
      <c r="AF279" s="231"/>
      <c r="AG279" s="231"/>
    </row>
    <row r="280" spans="1:33" s="203" customFormat="1" ht="12.75" customHeight="1">
      <c r="A280" s="106" t="s">
        <v>18</v>
      </c>
      <c r="B280" s="164"/>
      <c r="C280" s="164"/>
      <c r="D280" s="164"/>
      <c r="E280" s="856" t="s">
        <v>377</v>
      </c>
      <c r="F280" s="856" t="s">
        <v>402</v>
      </c>
      <c r="G280" s="130"/>
      <c r="H280" s="856" t="s">
        <v>403</v>
      </c>
      <c r="I280" s="21"/>
      <c r="J280" s="231"/>
      <c r="K280" s="231"/>
      <c r="L280" s="231"/>
      <c r="M280" s="231"/>
      <c r="N280" s="231"/>
      <c r="O280" s="231"/>
      <c r="P280" s="231"/>
      <c r="Q280" s="231"/>
      <c r="R280" s="231"/>
      <c r="S280" s="231"/>
      <c r="T280" s="231"/>
      <c r="U280" s="231"/>
      <c r="V280" s="231"/>
      <c r="W280" s="231"/>
      <c r="X280" s="231"/>
      <c r="Y280" s="231"/>
      <c r="Z280" s="231"/>
      <c r="AA280" s="231"/>
      <c r="AB280" s="231"/>
      <c r="AC280" s="231"/>
      <c r="AD280" s="231"/>
      <c r="AE280" s="231"/>
      <c r="AF280" s="231"/>
      <c r="AG280" s="231"/>
    </row>
    <row r="281" spans="1:33" s="203" customFormat="1">
      <c r="A281" s="165"/>
      <c r="B281" s="47"/>
      <c r="C281" s="47"/>
      <c r="D281" s="47"/>
      <c r="E281" s="859"/>
      <c r="F281" s="859"/>
      <c r="G281" s="130"/>
      <c r="H281" s="859"/>
      <c r="I281" s="21"/>
      <c r="J281" s="231"/>
      <c r="K281" s="231"/>
      <c r="L281" s="231"/>
      <c r="M281" s="231"/>
      <c r="N281" s="231"/>
      <c r="O281" s="231"/>
      <c r="P281" s="231"/>
      <c r="Q281" s="231"/>
      <c r="R281" s="231"/>
      <c r="S281" s="231"/>
      <c r="T281" s="231"/>
      <c r="U281" s="231"/>
      <c r="V281" s="231"/>
      <c r="W281" s="231"/>
      <c r="X281" s="231"/>
      <c r="Y281" s="231"/>
      <c r="Z281" s="231"/>
      <c r="AA281" s="231"/>
      <c r="AB281" s="231"/>
      <c r="AC281" s="231"/>
      <c r="AD281" s="231"/>
      <c r="AE281" s="231"/>
      <c r="AF281" s="231"/>
      <c r="AG281" s="231"/>
    </row>
    <row r="282" spans="1:33" s="203" customFormat="1" ht="21.75" customHeight="1">
      <c r="A282" s="109"/>
      <c r="B282" s="174"/>
      <c r="C282" s="174"/>
      <c r="D282" s="174"/>
      <c r="E282" s="859"/>
      <c r="F282" s="859"/>
      <c r="G282" s="130"/>
      <c r="H282" s="859"/>
      <c r="I282" s="21"/>
      <c r="J282" s="231"/>
      <c r="K282" s="231"/>
      <c r="L282" s="231"/>
      <c r="M282" s="231"/>
      <c r="N282" s="231"/>
      <c r="O282" s="231"/>
      <c r="P282" s="231"/>
      <c r="Q282" s="231"/>
      <c r="R282" s="231"/>
      <c r="S282" s="231"/>
      <c r="T282" s="231"/>
      <c r="U282" s="231"/>
      <c r="V282" s="231"/>
      <c r="W282" s="231"/>
      <c r="X282" s="231"/>
      <c r="Y282" s="231"/>
      <c r="Z282" s="231"/>
      <c r="AA282" s="231"/>
      <c r="AB282" s="231"/>
      <c r="AC282" s="231"/>
      <c r="AD282" s="231"/>
      <c r="AE282" s="231"/>
      <c r="AF282" s="231"/>
      <c r="AG282" s="231"/>
    </row>
    <row r="283" spans="1:33" s="203" customFormat="1">
      <c r="A283" s="154" t="s">
        <v>215</v>
      </c>
      <c r="B283" s="47"/>
      <c r="C283" s="47"/>
      <c r="D283" s="47"/>
      <c r="E283" s="859"/>
      <c r="F283" s="859"/>
      <c r="G283" s="130"/>
      <c r="H283" s="859"/>
      <c r="I283" s="21"/>
      <c r="J283" s="231"/>
      <c r="K283" s="231"/>
      <c r="L283" s="231"/>
      <c r="M283" s="231"/>
      <c r="N283" s="231"/>
      <c r="O283" s="231"/>
      <c r="P283" s="231"/>
      <c r="Q283" s="231"/>
      <c r="R283" s="231"/>
      <c r="S283" s="231"/>
      <c r="T283" s="231"/>
      <c r="U283" s="231"/>
      <c r="V283" s="231"/>
      <c r="W283" s="231"/>
      <c r="X283" s="231"/>
      <c r="Y283" s="231"/>
      <c r="Z283" s="231"/>
      <c r="AA283" s="231"/>
      <c r="AB283" s="231"/>
      <c r="AC283" s="231"/>
      <c r="AD283" s="231"/>
      <c r="AE283" s="231"/>
      <c r="AF283" s="231"/>
      <c r="AG283" s="231"/>
    </row>
    <row r="284" spans="1:33" s="203" customFormat="1">
      <c r="A284" s="109" t="s">
        <v>83</v>
      </c>
      <c r="B284" s="174"/>
      <c r="C284" s="174"/>
      <c r="D284" s="174"/>
      <c r="E284" s="860"/>
      <c r="F284" s="860"/>
      <c r="G284" s="130"/>
      <c r="H284" s="860"/>
      <c r="I284" s="21"/>
      <c r="J284" s="231"/>
      <c r="K284" s="231"/>
      <c r="L284" s="231"/>
      <c r="M284" s="231"/>
      <c r="N284" s="231"/>
      <c r="O284" s="231"/>
      <c r="P284" s="231"/>
      <c r="Q284" s="231"/>
      <c r="R284" s="231"/>
      <c r="S284" s="231"/>
      <c r="T284" s="231"/>
      <c r="U284" s="231"/>
      <c r="V284" s="231"/>
      <c r="W284" s="231"/>
      <c r="X284" s="231"/>
      <c r="Y284" s="231"/>
      <c r="Z284" s="231"/>
      <c r="AA284" s="231"/>
      <c r="AB284" s="231"/>
      <c r="AC284" s="231"/>
      <c r="AD284" s="231"/>
      <c r="AE284" s="231"/>
      <c r="AF284" s="231"/>
      <c r="AG284" s="231"/>
    </row>
    <row r="285" spans="1:33" s="203" customFormat="1">
      <c r="A285" s="110" t="s">
        <v>84</v>
      </c>
      <c r="B285" s="116"/>
      <c r="C285" s="116"/>
      <c r="D285" s="116"/>
      <c r="E285" s="178"/>
      <c r="F285" s="146"/>
      <c r="G285" s="118"/>
      <c r="H285" s="146"/>
      <c r="I285" s="21"/>
      <c r="J285" s="231"/>
      <c r="K285" s="231"/>
      <c r="L285" s="231"/>
      <c r="M285" s="231"/>
      <c r="N285" s="231"/>
      <c r="O285" s="231"/>
      <c r="P285" s="231"/>
      <c r="Q285" s="231"/>
      <c r="R285" s="231"/>
      <c r="S285" s="231"/>
      <c r="T285" s="231"/>
      <c r="U285" s="231"/>
      <c r="V285" s="231"/>
      <c r="W285" s="231"/>
      <c r="X285" s="231"/>
      <c r="Y285" s="231"/>
      <c r="Z285" s="231"/>
      <c r="AA285" s="231"/>
      <c r="AB285" s="231"/>
      <c r="AC285" s="231"/>
      <c r="AD285" s="231"/>
      <c r="AE285" s="231"/>
      <c r="AF285" s="231"/>
      <c r="AG285" s="231"/>
    </row>
    <row r="286" spans="1:33" s="203" customFormat="1">
      <c r="A286" s="120">
        <v>1</v>
      </c>
      <c r="B286" s="47" t="s">
        <v>216</v>
      </c>
      <c r="C286" s="47"/>
      <c r="D286" s="47"/>
      <c r="E286" s="74">
        <v>69</v>
      </c>
      <c r="F286" s="52">
        <v>151</v>
      </c>
      <c r="G286" s="118"/>
      <c r="H286" s="122">
        <v>-378</v>
      </c>
      <c r="I286" s="118"/>
      <c r="J286" s="231"/>
      <c r="K286" s="231"/>
      <c r="L286" s="231"/>
      <c r="M286" s="231"/>
      <c r="N286" s="231"/>
      <c r="O286" s="231"/>
      <c r="P286" s="231"/>
      <c r="Q286" s="231"/>
      <c r="R286" s="231"/>
      <c r="S286" s="231"/>
      <c r="T286" s="231"/>
      <c r="U286" s="231"/>
      <c r="V286" s="231"/>
      <c r="W286" s="231"/>
      <c r="X286" s="231"/>
      <c r="Y286" s="231"/>
      <c r="Z286" s="231"/>
      <c r="AA286" s="231"/>
      <c r="AB286" s="231"/>
      <c r="AC286" s="231"/>
      <c r="AD286" s="231"/>
      <c r="AE286" s="231"/>
      <c r="AF286" s="231"/>
      <c r="AG286" s="231"/>
    </row>
    <row r="287" spans="1:33" s="203" customFormat="1">
      <c r="A287" s="815">
        <v>2</v>
      </c>
      <c r="B287" s="47" t="s">
        <v>217</v>
      </c>
      <c r="C287" s="47"/>
      <c r="D287" s="47"/>
      <c r="E287" s="114">
        <v>19</v>
      </c>
      <c r="F287" s="52">
        <v>10</v>
      </c>
      <c r="G287" s="118"/>
      <c r="H287" s="122">
        <v>-2</v>
      </c>
      <c r="I287" s="118"/>
      <c r="J287" s="231"/>
      <c r="K287" s="231"/>
      <c r="L287" s="231"/>
      <c r="M287" s="231"/>
      <c r="N287" s="231"/>
      <c r="O287" s="231"/>
      <c r="P287" s="231"/>
      <c r="Q287" s="231"/>
      <c r="R287" s="231"/>
      <c r="S287" s="231"/>
      <c r="T287" s="231"/>
      <c r="U287" s="231"/>
      <c r="V287" s="231"/>
      <c r="W287" s="231"/>
      <c r="X287" s="231"/>
      <c r="Y287" s="231"/>
      <c r="Z287" s="231"/>
      <c r="AA287" s="231"/>
      <c r="AB287" s="231"/>
      <c r="AC287" s="231"/>
      <c r="AD287" s="231"/>
      <c r="AE287" s="231"/>
      <c r="AF287" s="231"/>
      <c r="AG287" s="231"/>
    </row>
    <row r="288" spans="1:33" s="203" customFormat="1">
      <c r="A288" s="120">
        <v>3</v>
      </c>
      <c r="B288" s="90" t="s">
        <v>218</v>
      </c>
      <c r="C288" s="166"/>
      <c r="D288" s="168"/>
      <c r="E288" s="114">
        <v>1312</v>
      </c>
      <c r="F288" s="52">
        <v>1911</v>
      </c>
      <c r="G288" s="118"/>
      <c r="H288" s="122">
        <v>-313</v>
      </c>
      <c r="I288" s="118"/>
      <c r="J288" s="231"/>
      <c r="K288" s="231"/>
      <c r="L288" s="231"/>
      <c r="M288" s="231"/>
      <c r="N288" s="231"/>
      <c r="O288" s="231"/>
      <c r="P288" s="231"/>
      <c r="Q288" s="231"/>
      <c r="R288" s="231"/>
      <c r="S288" s="231"/>
      <c r="T288" s="231"/>
      <c r="U288" s="231"/>
      <c r="V288" s="231"/>
      <c r="W288" s="231"/>
      <c r="X288" s="231"/>
      <c r="Y288" s="231"/>
      <c r="Z288" s="231"/>
      <c r="AA288" s="231"/>
      <c r="AB288" s="231"/>
      <c r="AC288" s="231"/>
      <c r="AD288" s="231"/>
      <c r="AE288" s="231"/>
      <c r="AF288" s="231"/>
      <c r="AG288" s="231"/>
    </row>
    <row r="289" spans="1:33" s="203" customFormat="1">
      <c r="A289" s="815">
        <v>4</v>
      </c>
      <c r="B289" s="47" t="s">
        <v>219</v>
      </c>
      <c r="C289" s="47"/>
      <c r="D289" s="116"/>
      <c r="E289" s="114">
        <v>0</v>
      </c>
      <c r="F289" s="52">
        <v>0</v>
      </c>
      <c r="G289" s="118"/>
      <c r="H289" s="122">
        <v>0</v>
      </c>
      <c r="I289" s="118"/>
      <c r="J289" s="231"/>
      <c r="K289" s="231"/>
      <c r="L289" s="231"/>
      <c r="M289" s="231"/>
      <c r="N289" s="231"/>
      <c r="O289" s="231"/>
      <c r="P289" s="231"/>
      <c r="Q289" s="231"/>
      <c r="R289" s="231"/>
      <c r="S289" s="231"/>
      <c r="T289" s="231"/>
      <c r="U289" s="231"/>
      <c r="V289" s="231"/>
      <c r="W289" s="231"/>
      <c r="X289" s="231"/>
      <c r="Y289" s="231"/>
      <c r="Z289" s="231"/>
      <c r="AA289" s="231"/>
      <c r="AB289" s="231"/>
      <c r="AC289" s="231"/>
      <c r="AD289" s="231"/>
      <c r="AE289" s="231"/>
      <c r="AF289" s="231"/>
      <c r="AG289" s="231"/>
    </row>
    <row r="290" spans="1:33" s="203" customFormat="1">
      <c r="A290" s="815">
        <v>5</v>
      </c>
      <c r="B290" s="47" t="s">
        <v>220</v>
      </c>
      <c r="C290" s="47"/>
      <c r="D290" s="47"/>
      <c r="E290" s="114">
        <v>14.990025156568436</v>
      </c>
      <c r="F290" s="52">
        <v>-111</v>
      </c>
      <c r="G290" s="118"/>
      <c r="H290" s="122">
        <v>-354</v>
      </c>
      <c r="I290" s="118"/>
      <c r="J290" s="231"/>
      <c r="K290" s="231"/>
      <c r="L290" s="231"/>
      <c r="M290" s="231"/>
      <c r="N290" s="231"/>
      <c r="O290" s="231"/>
      <c r="P290" s="231"/>
      <c r="Q290" s="231"/>
      <c r="R290" s="231"/>
      <c r="S290" s="231"/>
      <c r="T290" s="231"/>
      <c r="U290" s="231"/>
      <c r="V290" s="231"/>
      <c r="W290" s="231"/>
      <c r="X290" s="231"/>
      <c r="Y290" s="231"/>
      <c r="Z290" s="231"/>
      <c r="AA290" s="231"/>
      <c r="AB290" s="231"/>
      <c r="AC290" s="231"/>
      <c r="AD290" s="231"/>
      <c r="AE290" s="231"/>
      <c r="AF290" s="231"/>
      <c r="AG290" s="231"/>
    </row>
    <row r="291" spans="1:33" s="203" customFormat="1">
      <c r="A291" s="120">
        <v>6</v>
      </c>
      <c r="B291" s="47" t="s">
        <v>221</v>
      </c>
      <c r="C291" s="47"/>
      <c r="D291" s="47"/>
      <c r="E291" s="114">
        <v>10</v>
      </c>
      <c r="F291" s="52">
        <v>10</v>
      </c>
      <c r="G291" s="118"/>
      <c r="H291" s="122">
        <v>10</v>
      </c>
      <c r="I291" s="118"/>
      <c r="J291" s="231"/>
      <c r="K291" s="231"/>
      <c r="L291" s="231"/>
      <c r="M291" s="231"/>
      <c r="N291" s="231"/>
      <c r="O291" s="231"/>
      <c r="P291" s="231"/>
      <c r="Q291" s="231"/>
      <c r="R291" s="231"/>
      <c r="S291" s="231"/>
      <c r="T291" s="231"/>
      <c r="U291" s="231"/>
      <c r="V291" s="231"/>
      <c r="W291" s="231"/>
      <c r="X291" s="231"/>
      <c r="Y291" s="231"/>
      <c r="Z291" s="231"/>
      <c r="AA291" s="231"/>
      <c r="AB291" s="231"/>
      <c r="AC291" s="231"/>
      <c r="AD291" s="231"/>
      <c r="AE291" s="231"/>
      <c r="AF291" s="231"/>
      <c r="AG291" s="231"/>
    </row>
    <row r="292" spans="1:33" s="203" customFormat="1">
      <c r="A292" s="815">
        <v>7</v>
      </c>
      <c r="B292" s="47" t="s">
        <v>222</v>
      </c>
      <c r="C292" s="47"/>
      <c r="D292" s="116"/>
      <c r="E292" s="114">
        <v>334</v>
      </c>
      <c r="F292" s="52">
        <v>635</v>
      </c>
      <c r="G292" s="118"/>
      <c r="H292" s="122">
        <v>714</v>
      </c>
      <c r="I292" s="118"/>
      <c r="J292" s="231"/>
      <c r="K292" s="231"/>
      <c r="L292" s="231"/>
      <c r="M292" s="231"/>
      <c r="N292" s="231"/>
      <c r="O292" s="231"/>
      <c r="P292" s="231"/>
      <c r="Q292" s="231"/>
      <c r="R292" s="231"/>
      <c r="S292" s="231"/>
      <c r="T292" s="231"/>
      <c r="U292" s="231"/>
      <c r="V292" s="231"/>
      <c r="W292" s="231"/>
      <c r="X292" s="231"/>
      <c r="Y292" s="231"/>
      <c r="Z292" s="231"/>
      <c r="AA292" s="231"/>
      <c r="AB292" s="231"/>
      <c r="AC292" s="231"/>
      <c r="AD292" s="231"/>
      <c r="AE292" s="231"/>
      <c r="AF292" s="231"/>
      <c r="AG292" s="231"/>
    </row>
    <row r="293" spans="1:33" s="203" customFormat="1">
      <c r="A293" s="120">
        <v>8</v>
      </c>
      <c r="B293" s="47" t="s">
        <v>223</v>
      </c>
      <c r="C293" s="47"/>
      <c r="D293" s="116"/>
      <c r="E293" s="114">
        <v>1087</v>
      </c>
      <c r="F293" s="52">
        <v>780</v>
      </c>
      <c r="G293" s="118"/>
      <c r="H293" s="122">
        <v>878</v>
      </c>
      <c r="I293" s="118"/>
      <c r="J293" s="231"/>
      <c r="K293" s="231"/>
      <c r="L293" s="231"/>
      <c r="M293" s="231"/>
      <c r="N293" s="231"/>
      <c r="O293" s="231"/>
      <c r="P293" s="231"/>
      <c r="Q293" s="231"/>
      <c r="R293" s="231"/>
      <c r="S293" s="231"/>
      <c r="T293" s="231"/>
      <c r="U293" s="231"/>
      <c r="V293" s="231"/>
      <c r="W293" s="231"/>
      <c r="X293" s="231"/>
      <c r="Y293" s="231"/>
      <c r="Z293" s="231"/>
      <c r="AA293" s="231"/>
      <c r="AB293" s="231"/>
      <c r="AC293" s="231"/>
      <c r="AD293" s="231"/>
      <c r="AE293" s="231"/>
      <c r="AF293" s="231"/>
      <c r="AG293" s="231"/>
    </row>
    <row r="294" spans="1:33" s="203" customFormat="1">
      <c r="A294" s="815">
        <v>9</v>
      </c>
      <c r="B294" s="47" t="s">
        <v>224</v>
      </c>
      <c r="C294" s="47"/>
      <c r="D294" s="116"/>
      <c r="E294" s="114">
        <v>479</v>
      </c>
      <c r="F294" s="52">
        <v>399</v>
      </c>
      <c r="G294" s="118"/>
      <c r="H294" s="122">
        <v>449</v>
      </c>
      <c r="I294" s="118"/>
      <c r="J294" s="231"/>
      <c r="K294" s="231"/>
      <c r="L294" s="231"/>
      <c r="M294" s="231"/>
      <c r="N294" s="231"/>
      <c r="O294" s="231"/>
      <c r="P294" s="231"/>
      <c r="Q294" s="231"/>
      <c r="R294" s="231"/>
      <c r="S294" s="231"/>
      <c r="T294" s="231"/>
      <c r="U294" s="231"/>
      <c r="V294" s="231"/>
      <c r="W294" s="231"/>
      <c r="X294" s="231"/>
      <c r="Y294" s="231"/>
      <c r="Z294" s="231"/>
      <c r="AA294" s="231"/>
      <c r="AB294" s="231"/>
      <c r="AC294" s="231"/>
      <c r="AD294" s="231"/>
      <c r="AE294" s="231"/>
      <c r="AF294" s="231"/>
      <c r="AG294" s="231"/>
    </row>
    <row r="295" spans="1:33" s="203" customFormat="1">
      <c r="A295" s="120">
        <v>10</v>
      </c>
      <c r="B295" s="47" t="s">
        <v>225</v>
      </c>
      <c r="C295" s="47"/>
      <c r="D295" s="47"/>
      <c r="E295" s="114">
        <v>558</v>
      </c>
      <c r="F295" s="52">
        <v>615</v>
      </c>
      <c r="G295" s="118"/>
      <c r="H295" s="122">
        <v>658</v>
      </c>
      <c r="I295" s="118"/>
      <c r="J295" s="231"/>
      <c r="K295" s="231"/>
      <c r="L295" s="231"/>
      <c r="M295" s="231"/>
      <c r="N295" s="231"/>
      <c r="O295" s="231"/>
      <c r="P295" s="231"/>
      <c r="Q295" s="231"/>
      <c r="R295" s="231"/>
      <c r="S295" s="231"/>
      <c r="T295" s="231"/>
      <c r="U295" s="231"/>
      <c r="V295" s="231"/>
      <c r="W295" s="231"/>
      <c r="X295" s="231"/>
      <c r="Y295" s="231"/>
      <c r="Z295" s="231"/>
      <c r="AA295" s="231"/>
      <c r="AB295" s="231"/>
      <c r="AC295" s="231"/>
      <c r="AD295" s="231"/>
      <c r="AE295" s="231"/>
      <c r="AF295" s="231"/>
      <c r="AG295" s="231"/>
    </row>
    <row r="296" spans="1:33" s="203" customFormat="1">
      <c r="A296" s="815">
        <v>11</v>
      </c>
      <c r="B296" s="47" t="s">
        <v>226</v>
      </c>
      <c r="C296" s="47"/>
      <c r="D296" s="47"/>
      <c r="E296" s="114">
        <v>0</v>
      </c>
      <c r="F296" s="52">
        <v>0</v>
      </c>
      <c r="G296" s="118"/>
      <c r="H296" s="122">
        <v>0</v>
      </c>
      <c r="I296" s="118"/>
      <c r="J296" s="231"/>
      <c r="K296" s="231"/>
      <c r="L296" s="231"/>
      <c r="M296" s="231"/>
      <c r="N296" s="231"/>
      <c r="O296" s="231"/>
      <c r="P296" s="231"/>
      <c r="Q296" s="231"/>
      <c r="R296" s="231"/>
      <c r="S296" s="231"/>
      <c r="T296" s="231"/>
      <c r="U296" s="231"/>
      <c r="V296" s="231"/>
      <c r="W296" s="231"/>
      <c r="X296" s="231"/>
      <c r="Y296" s="231"/>
      <c r="Z296" s="231"/>
      <c r="AA296" s="231"/>
      <c r="AB296" s="231"/>
      <c r="AC296" s="231"/>
      <c r="AD296" s="231"/>
      <c r="AE296" s="231"/>
      <c r="AF296" s="231"/>
      <c r="AG296" s="231"/>
    </row>
    <row r="297" spans="1:33" s="203" customFormat="1">
      <c r="A297" s="120">
        <v>12</v>
      </c>
      <c r="B297" s="47" t="s">
        <v>227</v>
      </c>
      <c r="C297" s="47"/>
      <c r="D297" s="47"/>
      <c r="E297" s="114">
        <v>241.89346909282938</v>
      </c>
      <c r="F297" s="52">
        <v>228</v>
      </c>
      <c r="G297" s="118"/>
      <c r="H297" s="122">
        <v>-95</v>
      </c>
      <c r="I297" s="118"/>
      <c r="J297" s="231"/>
      <c r="K297" s="231"/>
      <c r="L297" s="231"/>
      <c r="M297" s="231"/>
      <c r="N297" s="231"/>
      <c r="O297" s="231"/>
      <c r="P297" s="231"/>
      <c r="Q297" s="231"/>
      <c r="R297" s="231"/>
      <c r="S297" s="231"/>
      <c r="T297" s="231"/>
      <c r="U297" s="231"/>
      <c r="V297" s="231"/>
      <c r="W297" s="231"/>
      <c r="X297" s="231"/>
      <c r="Y297" s="231"/>
      <c r="Z297" s="231"/>
      <c r="AA297" s="231"/>
      <c r="AB297" s="231"/>
      <c r="AC297" s="231"/>
      <c r="AD297" s="231"/>
      <c r="AE297" s="231"/>
      <c r="AF297" s="231"/>
      <c r="AG297" s="231"/>
    </row>
    <row r="298" spans="1:33" s="203" customFormat="1">
      <c r="A298" s="815">
        <v>13</v>
      </c>
      <c r="B298" s="47" t="s">
        <v>228</v>
      </c>
      <c r="C298" s="47"/>
      <c r="D298" s="47"/>
      <c r="E298" s="114">
        <v>7767.1653260434778</v>
      </c>
      <c r="F298" s="52">
        <v>8316</v>
      </c>
      <c r="G298" s="118"/>
      <c r="H298" s="122">
        <v>5136</v>
      </c>
      <c r="I298" s="118"/>
      <c r="J298" s="231"/>
      <c r="K298" s="231"/>
      <c r="L298" s="231"/>
      <c r="M298" s="231"/>
      <c r="N298" s="231"/>
      <c r="O298" s="231"/>
      <c r="P298" s="231"/>
      <c r="Q298" s="231"/>
      <c r="R298" s="231"/>
      <c r="S298" s="231"/>
      <c r="T298" s="231"/>
      <c r="U298" s="231"/>
      <c r="V298" s="231"/>
      <c r="W298" s="231"/>
      <c r="X298" s="231"/>
      <c r="Y298" s="231"/>
      <c r="Z298" s="231"/>
      <c r="AA298" s="231"/>
      <c r="AB298" s="231"/>
      <c r="AC298" s="231"/>
      <c r="AD298" s="231"/>
      <c r="AE298" s="231"/>
      <c r="AF298" s="231"/>
      <c r="AG298" s="231"/>
    </row>
    <row r="299" spans="1:33" s="203" customFormat="1">
      <c r="A299" s="120">
        <v>14</v>
      </c>
      <c r="B299" s="47" t="s">
        <v>229</v>
      </c>
      <c r="C299" s="47"/>
      <c r="D299" s="116"/>
      <c r="E299" s="114">
        <v>0</v>
      </c>
      <c r="F299" s="52">
        <v>0</v>
      </c>
      <c r="G299" s="118"/>
      <c r="H299" s="122">
        <v>0</v>
      </c>
      <c r="I299" s="118"/>
      <c r="J299" s="231"/>
      <c r="K299" s="231"/>
      <c r="L299" s="231"/>
      <c r="M299" s="231"/>
      <c r="N299" s="231"/>
      <c r="O299" s="231"/>
      <c r="P299" s="231"/>
      <c r="Q299" s="231"/>
      <c r="R299" s="231"/>
      <c r="S299" s="231"/>
      <c r="T299" s="231"/>
      <c r="U299" s="231"/>
      <c r="V299" s="231"/>
      <c r="W299" s="231"/>
      <c r="X299" s="231"/>
      <c r="Y299" s="231"/>
      <c r="Z299" s="231"/>
      <c r="AA299" s="231"/>
      <c r="AB299" s="231"/>
      <c r="AC299" s="231"/>
      <c r="AD299" s="231"/>
      <c r="AE299" s="231"/>
      <c r="AF299" s="231"/>
      <c r="AG299" s="231"/>
    </row>
    <row r="300" spans="1:33" s="203" customFormat="1">
      <c r="A300" s="815">
        <v>15</v>
      </c>
      <c r="B300" s="47" t="s">
        <v>230</v>
      </c>
      <c r="C300" s="47"/>
      <c r="D300" s="116"/>
      <c r="E300" s="114">
        <v>8679</v>
      </c>
      <c r="F300" s="52">
        <v>7446</v>
      </c>
      <c r="G300" s="118"/>
      <c r="H300" s="122">
        <v>7410</v>
      </c>
      <c r="I300" s="118"/>
      <c r="J300" s="231"/>
      <c r="K300" s="231"/>
      <c r="L300" s="231"/>
      <c r="M300" s="231"/>
      <c r="N300" s="231"/>
      <c r="O300" s="231"/>
      <c r="P300" s="231"/>
      <c r="Q300" s="231"/>
      <c r="R300" s="231"/>
      <c r="S300" s="231"/>
      <c r="T300" s="231"/>
      <c r="U300" s="231"/>
      <c r="V300" s="231"/>
      <c r="W300" s="231"/>
      <c r="X300" s="231"/>
      <c r="Y300" s="231"/>
      <c r="Z300" s="231"/>
      <c r="AA300" s="231"/>
      <c r="AB300" s="231"/>
      <c r="AC300" s="231"/>
      <c r="AD300" s="231"/>
      <c r="AE300" s="231"/>
      <c r="AF300" s="231"/>
      <c r="AG300" s="231"/>
    </row>
    <row r="301" spans="1:33" s="203" customFormat="1">
      <c r="A301" s="120">
        <v>17</v>
      </c>
      <c r="B301" s="47" t="s">
        <v>231</v>
      </c>
      <c r="C301" s="47"/>
      <c r="D301" s="47"/>
      <c r="E301" s="114">
        <v>4132</v>
      </c>
      <c r="F301" s="52">
        <v>8388</v>
      </c>
      <c r="G301" s="118"/>
      <c r="H301" s="99">
        <v>4622</v>
      </c>
      <c r="I301" s="118"/>
      <c r="J301" s="231"/>
      <c r="K301" s="231"/>
      <c r="L301" s="231"/>
      <c r="M301" s="231"/>
      <c r="N301" s="231"/>
      <c r="O301" s="231"/>
      <c r="P301" s="231"/>
      <c r="Q301" s="231"/>
      <c r="R301" s="231"/>
      <c r="S301" s="231"/>
      <c r="T301" s="231"/>
      <c r="U301" s="231"/>
      <c r="V301" s="231"/>
      <c r="W301" s="231"/>
      <c r="X301" s="231"/>
      <c r="Y301" s="231"/>
      <c r="Z301" s="231"/>
      <c r="AA301" s="231"/>
      <c r="AB301" s="231"/>
      <c r="AC301" s="231"/>
      <c r="AD301" s="231"/>
      <c r="AE301" s="231"/>
      <c r="AF301" s="231"/>
      <c r="AG301" s="231"/>
    </row>
    <row r="302" spans="1:33" s="203" customFormat="1">
      <c r="A302" s="816">
        <v>18</v>
      </c>
      <c r="B302" s="94" t="s">
        <v>232</v>
      </c>
      <c r="C302" s="94"/>
      <c r="D302" s="94"/>
      <c r="E302" s="159">
        <v>24703.048820292875</v>
      </c>
      <c r="F302" s="61">
        <f>SUM(F286:F301)</f>
        <v>28778</v>
      </c>
      <c r="G302" s="118"/>
      <c r="H302" s="61">
        <f>SUM(H286:H301)</f>
        <v>18735</v>
      </c>
      <c r="I302" s="21"/>
      <c r="J302" s="231"/>
      <c r="K302" s="231"/>
      <c r="L302" s="231"/>
      <c r="M302" s="231"/>
      <c r="N302" s="231"/>
      <c r="O302" s="231"/>
      <c r="P302" s="231"/>
      <c r="Q302" s="231"/>
      <c r="R302" s="231"/>
      <c r="S302" s="231"/>
      <c r="T302" s="231"/>
      <c r="U302" s="231"/>
      <c r="V302" s="231"/>
      <c r="W302" s="231"/>
      <c r="X302" s="231"/>
      <c r="Y302" s="231"/>
      <c r="Z302" s="231"/>
      <c r="AA302" s="231"/>
      <c r="AB302" s="231"/>
      <c r="AC302" s="231"/>
      <c r="AD302" s="231"/>
      <c r="AE302" s="231"/>
      <c r="AF302" s="231"/>
      <c r="AG302" s="231"/>
    </row>
    <row r="303" spans="1:33" s="203" customFormat="1">
      <c r="A303" s="179"/>
      <c r="B303" s="180"/>
      <c r="C303" s="180"/>
      <c r="D303" s="181"/>
      <c r="E303" s="182"/>
      <c r="F303" s="183"/>
      <c r="G303" s="21"/>
      <c r="H303" s="183"/>
      <c r="I303" s="21"/>
      <c r="J303" s="231"/>
      <c r="K303" s="231"/>
      <c r="L303" s="231"/>
      <c r="M303" s="231"/>
      <c r="N303" s="231"/>
      <c r="O303" s="231"/>
      <c r="P303" s="231"/>
      <c r="Q303" s="231"/>
      <c r="R303" s="231"/>
      <c r="S303" s="231"/>
      <c r="T303" s="231"/>
      <c r="U303" s="231"/>
      <c r="V303" s="231"/>
      <c r="W303" s="231"/>
      <c r="X303" s="231"/>
      <c r="Y303" s="231"/>
      <c r="Z303" s="231"/>
      <c r="AA303" s="231"/>
      <c r="AB303" s="231"/>
      <c r="AC303" s="231"/>
      <c r="AD303" s="231"/>
      <c r="AE303" s="231"/>
      <c r="AF303" s="231"/>
      <c r="AG303" s="231"/>
    </row>
    <row r="304" spans="1:33" s="203" customFormat="1">
      <c r="A304" s="184"/>
      <c r="B304" s="207"/>
      <c r="C304" s="207"/>
      <c r="D304" s="209"/>
      <c r="E304" s="185"/>
      <c r="F304" s="207"/>
      <c r="G304" s="207"/>
      <c r="H304" s="131" t="s">
        <v>27</v>
      </c>
      <c r="I304" s="21"/>
      <c r="J304" s="231"/>
      <c r="K304" s="231"/>
      <c r="L304" s="231"/>
      <c r="M304" s="231"/>
      <c r="N304" s="231"/>
      <c r="O304" s="231"/>
      <c r="P304" s="231"/>
      <c r="Q304" s="231"/>
      <c r="R304" s="231"/>
      <c r="S304" s="231"/>
      <c r="T304" s="231"/>
      <c r="U304" s="231"/>
      <c r="V304" s="231"/>
      <c r="W304" s="231"/>
      <c r="X304" s="231"/>
      <c r="Y304" s="231"/>
      <c r="Z304" s="231"/>
      <c r="AA304" s="231"/>
      <c r="AB304" s="231"/>
      <c r="AC304" s="231"/>
      <c r="AD304" s="231"/>
      <c r="AE304" s="231"/>
      <c r="AF304" s="231"/>
      <c r="AG304" s="231"/>
    </row>
    <row r="305" spans="1:33" s="203" customFormat="1" ht="12.75" customHeight="1">
      <c r="A305" s="106" t="s">
        <v>21</v>
      </c>
      <c r="B305" s="164"/>
      <c r="C305" s="164"/>
      <c r="D305" s="164"/>
      <c r="E305" s="856" t="s">
        <v>377</v>
      </c>
      <c r="F305" s="856" t="s">
        <v>402</v>
      </c>
      <c r="G305" s="130"/>
      <c r="H305" s="856" t="s">
        <v>403</v>
      </c>
      <c r="I305" s="21"/>
      <c r="J305" s="231"/>
      <c r="K305" s="231"/>
      <c r="L305" s="231"/>
      <c r="M305" s="231"/>
      <c r="N305" s="231"/>
      <c r="O305" s="231"/>
      <c r="P305" s="231"/>
      <c r="Q305" s="231"/>
      <c r="R305" s="231"/>
      <c r="S305" s="231"/>
      <c r="T305" s="231"/>
      <c r="U305" s="231"/>
      <c r="V305" s="231"/>
      <c r="W305" s="231"/>
      <c r="X305" s="231"/>
      <c r="Y305" s="231"/>
      <c r="Z305" s="231"/>
      <c r="AA305" s="231"/>
      <c r="AB305" s="231"/>
      <c r="AC305" s="231"/>
      <c r="AD305" s="231"/>
      <c r="AE305" s="231"/>
      <c r="AF305" s="231"/>
      <c r="AG305" s="231"/>
    </row>
    <row r="306" spans="1:33" s="203" customFormat="1">
      <c r="A306" s="165"/>
      <c r="B306" s="47"/>
      <c r="C306" s="47"/>
      <c r="D306" s="47"/>
      <c r="E306" s="859"/>
      <c r="F306" s="859"/>
      <c r="G306" s="130"/>
      <c r="H306" s="859"/>
      <c r="I306" s="21"/>
      <c r="J306" s="231"/>
      <c r="K306" s="231"/>
      <c r="L306" s="231"/>
      <c r="M306" s="231"/>
      <c r="N306" s="231"/>
      <c r="O306" s="231"/>
      <c r="P306" s="231"/>
      <c r="Q306" s="231"/>
      <c r="R306" s="231"/>
      <c r="S306" s="231"/>
      <c r="T306" s="231"/>
      <c r="U306" s="231"/>
      <c r="V306" s="231"/>
      <c r="W306" s="231"/>
      <c r="X306" s="231"/>
      <c r="Y306" s="231"/>
      <c r="Z306" s="231"/>
      <c r="AA306" s="231"/>
      <c r="AB306" s="231"/>
      <c r="AC306" s="231"/>
      <c r="AD306" s="231"/>
      <c r="AE306" s="231"/>
      <c r="AF306" s="231"/>
      <c r="AG306" s="231"/>
    </row>
    <row r="307" spans="1:33" s="203" customFormat="1" ht="12.75" customHeight="1">
      <c r="A307" s="109"/>
      <c r="B307" s="174"/>
      <c r="C307" s="174"/>
      <c r="D307" s="174"/>
      <c r="E307" s="859"/>
      <c r="F307" s="859"/>
      <c r="G307" s="130"/>
      <c r="H307" s="859"/>
      <c r="I307" s="21"/>
      <c r="J307" s="231"/>
      <c r="K307" s="231"/>
      <c r="L307" s="231"/>
      <c r="M307" s="231"/>
      <c r="N307" s="231"/>
      <c r="O307" s="231"/>
      <c r="P307" s="231"/>
      <c r="Q307" s="231"/>
      <c r="R307" s="231"/>
      <c r="S307" s="231"/>
      <c r="T307" s="231"/>
      <c r="U307" s="231"/>
      <c r="V307" s="231"/>
      <c r="W307" s="231"/>
      <c r="X307" s="231"/>
      <c r="Y307" s="231"/>
      <c r="Z307" s="231"/>
      <c r="AA307" s="231"/>
      <c r="AB307" s="231"/>
      <c r="AC307" s="231"/>
      <c r="AD307" s="231"/>
      <c r="AE307" s="231"/>
      <c r="AF307" s="231"/>
      <c r="AG307" s="231"/>
    </row>
    <row r="308" spans="1:33" s="203" customFormat="1">
      <c r="A308" s="154" t="s">
        <v>233</v>
      </c>
      <c r="B308" s="47"/>
      <c r="C308" s="47"/>
      <c r="D308" s="47"/>
      <c r="E308" s="859"/>
      <c r="F308" s="859"/>
      <c r="G308" s="130"/>
      <c r="H308" s="859"/>
      <c r="I308" s="21"/>
      <c r="J308" s="231"/>
      <c r="K308" s="231"/>
      <c r="L308" s="231"/>
      <c r="M308" s="231"/>
      <c r="N308" s="231"/>
      <c r="O308" s="231"/>
      <c r="P308" s="231"/>
      <c r="Q308" s="231"/>
      <c r="R308" s="231"/>
      <c r="S308" s="231"/>
      <c r="T308" s="231"/>
      <c r="U308" s="231"/>
      <c r="V308" s="231"/>
      <c r="W308" s="231"/>
      <c r="X308" s="231"/>
      <c r="Y308" s="231"/>
      <c r="Z308" s="231"/>
      <c r="AA308" s="231"/>
      <c r="AB308" s="231"/>
      <c r="AC308" s="231"/>
      <c r="AD308" s="231"/>
      <c r="AE308" s="231"/>
      <c r="AF308" s="231"/>
      <c r="AG308" s="231"/>
    </row>
    <row r="309" spans="1:33" s="203" customFormat="1">
      <c r="A309" s="109" t="s">
        <v>83</v>
      </c>
      <c r="B309" s="174"/>
      <c r="C309" s="174"/>
      <c r="D309" s="174"/>
      <c r="E309" s="860"/>
      <c r="F309" s="860"/>
      <c r="G309" s="130"/>
      <c r="H309" s="860"/>
      <c r="I309" s="21"/>
      <c r="J309" s="231"/>
      <c r="K309" s="231"/>
      <c r="L309" s="231"/>
      <c r="M309" s="231"/>
      <c r="N309" s="231"/>
      <c r="O309" s="231"/>
      <c r="P309" s="231"/>
      <c r="Q309" s="231"/>
      <c r="R309" s="231"/>
      <c r="S309" s="231"/>
      <c r="T309" s="231"/>
      <c r="U309" s="231"/>
      <c r="V309" s="231"/>
      <c r="W309" s="231"/>
      <c r="X309" s="231"/>
      <c r="Y309" s="231"/>
      <c r="Z309" s="231"/>
      <c r="AA309" s="231"/>
      <c r="AB309" s="231"/>
      <c r="AC309" s="231"/>
      <c r="AD309" s="231"/>
      <c r="AE309" s="231"/>
      <c r="AF309" s="231"/>
      <c r="AG309" s="231"/>
    </row>
    <row r="310" spans="1:33" s="203" customFormat="1">
      <c r="A310" s="110" t="s">
        <v>84</v>
      </c>
      <c r="B310" s="116"/>
      <c r="C310" s="116"/>
      <c r="D310" s="116"/>
      <c r="E310" s="262"/>
      <c r="F310" s="146"/>
      <c r="G310" s="118"/>
      <c r="H310" s="146"/>
      <c r="I310" s="21"/>
      <c r="J310" s="231"/>
      <c r="K310" s="231"/>
      <c r="L310" s="231"/>
      <c r="M310" s="231"/>
      <c r="N310" s="231"/>
      <c r="O310" s="231"/>
      <c r="P310" s="231"/>
      <c r="Q310" s="231"/>
      <c r="R310" s="231"/>
      <c r="S310" s="231"/>
      <c r="T310" s="231"/>
      <c r="U310" s="231"/>
      <c r="V310" s="231"/>
      <c r="W310" s="231"/>
      <c r="X310" s="231"/>
      <c r="Y310" s="231"/>
      <c r="Z310" s="231"/>
      <c r="AA310" s="231"/>
      <c r="AB310" s="231"/>
      <c r="AC310" s="231"/>
      <c r="AD310" s="231"/>
      <c r="AE310" s="231"/>
      <c r="AF310" s="231"/>
      <c r="AG310" s="231"/>
    </row>
    <row r="311" spans="1:33" s="203" customFormat="1">
      <c r="A311" s="120">
        <v>1</v>
      </c>
      <c r="B311" s="47" t="s">
        <v>258</v>
      </c>
      <c r="C311" s="47"/>
      <c r="D311" s="186"/>
      <c r="E311" s="74">
        <v>-1913.336</v>
      </c>
      <c r="F311" s="52">
        <v>-379</v>
      </c>
      <c r="G311" s="118"/>
      <c r="H311" s="52">
        <v>-539</v>
      </c>
      <c r="I311" s="118"/>
      <c r="J311" s="231"/>
      <c r="K311" s="231"/>
      <c r="L311" s="231"/>
      <c r="M311" s="231"/>
      <c r="N311" s="231"/>
      <c r="O311" s="231"/>
      <c r="P311" s="231"/>
      <c r="Q311" s="231"/>
      <c r="R311" s="231"/>
      <c r="S311" s="231"/>
      <c r="T311" s="231"/>
      <c r="U311" s="231"/>
      <c r="V311" s="231"/>
      <c r="W311" s="231"/>
      <c r="X311" s="231"/>
      <c r="Y311" s="231"/>
      <c r="Z311" s="231"/>
      <c r="AA311" s="231"/>
      <c r="AB311" s="231"/>
      <c r="AC311" s="231"/>
      <c r="AD311" s="231"/>
      <c r="AE311" s="231"/>
      <c r="AF311" s="231"/>
      <c r="AG311" s="231"/>
    </row>
    <row r="312" spans="1:33" s="203" customFormat="1">
      <c r="A312" s="120">
        <v>2</v>
      </c>
      <c r="B312" s="47" t="s">
        <v>234</v>
      </c>
      <c r="C312" s="47"/>
      <c r="D312" s="186"/>
      <c r="E312" s="114">
        <v>1929</v>
      </c>
      <c r="F312" s="52">
        <v>3817</v>
      </c>
      <c r="G312" s="118"/>
      <c r="H312" s="52">
        <v>1875</v>
      </c>
      <c r="I312" s="118"/>
      <c r="J312" s="231"/>
      <c r="K312" s="231"/>
      <c r="L312" s="231"/>
      <c r="M312" s="231"/>
      <c r="N312" s="231"/>
      <c r="O312" s="231"/>
      <c r="P312" s="231"/>
      <c r="Q312" s="231"/>
      <c r="R312" s="231"/>
      <c r="S312" s="231"/>
      <c r="T312" s="231"/>
      <c r="U312" s="231"/>
      <c r="V312" s="231"/>
      <c r="W312" s="231"/>
      <c r="X312" s="231"/>
      <c r="Y312" s="231"/>
      <c r="Z312" s="231"/>
      <c r="AA312" s="231"/>
      <c r="AB312" s="231"/>
      <c r="AC312" s="231"/>
      <c r="AD312" s="231"/>
      <c r="AE312" s="231"/>
      <c r="AF312" s="231"/>
      <c r="AG312" s="231"/>
    </row>
    <row r="313" spans="1:33" s="203" customFormat="1">
      <c r="A313" s="120">
        <v>3</v>
      </c>
      <c r="B313" s="47" t="s">
        <v>259</v>
      </c>
      <c r="C313" s="47"/>
      <c r="D313" s="186"/>
      <c r="E313" s="114">
        <v>-500</v>
      </c>
      <c r="F313" s="52">
        <v>-750</v>
      </c>
      <c r="G313" s="118"/>
      <c r="H313" s="52">
        <v>-500</v>
      </c>
      <c r="I313" s="118"/>
      <c r="J313" s="231"/>
      <c r="K313" s="231"/>
      <c r="L313" s="231"/>
      <c r="M313" s="231"/>
      <c r="N313" s="231"/>
      <c r="O313" s="231"/>
      <c r="P313" s="231"/>
      <c r="Q313" s="231"/>
      <c r="R313" s="231"/>
      <c r="S313" s="231"/>
      <c r="T313" s="231"/>
      <c r="U313" s="231"/>
      <c r="V313" s="231"/>
      <c r="W313" s="231"/>
      <c r="X313" s="231"/>
      <c r="Y313" s="231"/>
      <c r="Z313" s="231"/>
      <c r="AA313" s="231"/>
      <c r="AB313" s="231"/>
      <c r="AC313" s="231"/>
      <c r="AD313" s="231"/>
      <c r="AE313" s="231"/>
      <c r="AF313" s="231"/>
      <c r="AG313" s="231"/>
    </row>
    <row r="314" spans="1:33" s="203" customFormat="1">
      <c r="A314" s="120">
        <v>4</v>
      </c>
      <c r="B314" s="47" t="s">
        <v>235</v>
      </c>
      <c r="C314" s="47"/>
      <c r="D314" s="186"/>
      <c r="E314" s="114">
        <v>18594</v>
      </c>
      <c r="F314" s="52">
        <v>21938</v>
      </c>
      <c r="G314" s="118"/>
      <c r="H314" s="52">
        <v>23305</v>
      </c>
      <c r="I314" s="118"/>
      <c r="J314" s="231"/>
      <c r="K314" s="231"/>
      <c r="L314" s="231"/>
      <c r="M314" s="231"/>
      <c r="N314" s="231"/>
      <c r="O314" s="231"/>
      <c r="P314" s="231"/>
      <c r="Q314" s="231"/>
      <c r="R314" s="231"/>
      <c r="S314" s="231"/>
      <c r="T314" s="231"/>
      <c r="U314" s="231"/>
      <c r="V314" s="231"/>
      <c r="W314" s="231"/>
      <c r="X314" s="231"/>
      <c r="Y314" s="231"/>
      <c r="Z314" s="231"/>
      <c r="AA314" s="231"/>
      <c r="AB314" s="231"/>
      <c r="AC314" s="231"/>
      <c r="AD314" s="231"/>
      <c r="AE314" s="231"/>
      <c r="AF314" s="231"/>
      <c r="AG314" s="231"/>
    </row>
    <row r="315" spans="1:33" s="203" customFormat="1">
      <c r="A315" s="120">
        <v>5</v>
      </c>
      <c r="B315" s="47" t="s">
        <v>236</v>
      </c>
      <c r="C315" s="47"/>
      <c r="D315" s="186"/>
      <c r="E315" s="114">
        <v>4434</v>
      </c>
      <c r="F315" s="52">
        <v>5169</v>
      </c>
      <c r="G315" s="118"/>
      <c r="H315" s="52">
        <v>5807</v>
      </c>
      <c r="I315" s="118"/>
      <c r="J315" s="231"/>
      <c r="K315" s="231"/>
      <c r="L315" s="231"/>
      <c r="M315" s="231"/>
      <c r="N315" s="231"/>
      <c r="O315" s="231"/>
      <c r="P315" s="231"/>
      <c r="Q315" s="231"/>
      <c r="R315" s="231"/>
      <c r="S315" s="231"/>
      <c r="T315" s="231"/>
      <c r="U315" s="231"/>
      <c r="V315" s="231"/>
      <c r="W315" s="231"/>
      <c r="X315" s="231"/>
      <c r="Y315" s="231"/>
      <c r="Z315" s="231"/>
      <c r="AA315" s="231"/>
      <c r="AB315" s="231"/>
      <c r="AC315" s="231"/>
      <c r="AD315" s="231"/>
      <c r="AE315" s="231"/>
      <c r="AF315" s="231"/>
      <c r="AG315" s="231"/>
    </row>
    <row r="316" spans="1:33" s="203" customFormat="1">
      <c r="A316" s="120">
        <v>6</v>
      </c>
      <c r="B316" s="47" t="s">
        <v>237</v>
      </c>
      <c r="C316" s="47"/>
      <c r="D316" s="186"/>
      <c r="E316" s="114">
        <v>33066</v>
      </c>
      <c r="F316" s="52">
        <v>29454</v>
      </c>
      <c r="G316" s="118"/>
      <c r="H316" s="52">
        <v>30961</v>
      </c>
      <c r="I316" s="118"/>
      <c r="J316" s="231"/>
      <c r="K316" s="231"/>
      <c r="L316" s="231"/>
      <c r="M316" s="231"/>
      <c r="N316" s="231"/>
      <c r="O316" s="231"/>
      <c r="P316" s="231"/>
      <c r="Q316" s="231"/>
      <c r="R316" s="231"/>
      <c r="S316" s="231"/>
      <c r="T316" s="231"/>
      <c r="U316" s="231"/>
      <c r="V316" s="231"/>
      <c r="W316" s="231"/>
      <c r="X316" s="231"/>
      <c r="Y316" s="231"/>
      <c r="Z316" s="231"/>
      <c r="AA316" s="231"/>
      <c r="AB316" s="231"/>
      <c r="AC316" s="231"/>
      <c r="AD316" s="231"/>
      <c r="AE316" s="231"/>
      <c r="AF316" s="231"/>
      <c r="AG316" s="231"/>
    </row>
    <row r="317" spans="1:33" s="203" customFormat="1">
      <c r="A317" s="120">
        <v>7</v>
      </c>
      <c r="B317" s="47" t="s">
        <v>238</v>
      </c>
      <c r="C317" s="47"/>
      <c r="D317" s="186"/>
      <c r="E317" s="114">
        <v>0</v>
      </c>
      <c r="F317" s="52">
        <v>0</v>
      </c>
      <c r="G317" s="118"/>
      <c r="H317" s="52">
        <v>0</v>
      </c>
      <c r="I317" s="118"/>
      <c r="J317" s="231"/>
      <c r="K317" s="231"/>
      <c r="L317" s="231"/>
      <c r="M317" s="231"/>
      <c r="N317" s="231"/>
      <c r="O317" s="231"/>
      <c r="P317" s="231"/>
      <c r="Q317" s="231"/>
      <c r="R317" s="231"/>
      <c r="S317" s="231"/>
      <c r="T317" s="231"/>
      <c r="U317" s="231"/>
      <c r="V317" s="231"/>
      <c r="W317" s="231"/>
      <c r="X317" s="231"/>
      <c r="Y317" s="231"/>
      <c r="Z317" s="231"/>
      <c r="AA317" s="231"/>
      <c r="AB317" s="231"/>
      <c r="AC317" s="231"/>
      <c r="AD317" s="231"/>
      <c r="AE317" s="231"/>
      <c r="AF317" s="231"/>
      <c r="AG317" s="231"/>
    </row>
    <row r="318" spans="1:33" s="203" customFormat="1">
      <c r="A318" s="120">
        <v>8</v>
      </c>
      <c r="B318" s="47" t="s">
        <v>239</v>
      </c>
      <c r="C318" s="47"/>
      <c r="D318" s="186"/>
      <c r="E318" s="114">
        <v>0</v>
      </c>
      <c r="F318" s="52">
        <v>0</v>
      </c>
      <c r="G318" s="118"/>
      <c r="H318" s="52">
        <v>0</v>
      </c>
      <c r="I318" s="118"/>
      <c r="J318" s="231"/>
      <c r="K318" s="231"/>
      <c r="L318" s="231"/>
      <c r="M318" s="231"/>
      <c r="N318" s="231"/>
      <c r="O318" s="231"/>
      <c r="P318" s="231"/>
      <c r="Q318" s="231"/>
      <c r="R318" s="231"/>
      <c r="S318" s="231"/>
      <c r="T318" s="231"/>
      <c r="U318" s="231"/>
      <c r="V318" s="231"/>
      <c r="W318" s="231"/>
      <c r="X318" s="231"/>
      <c r="Y318" s="231"/>
      <c r="Z318" s="231"/>
      <c r="AA318" s="231"/>
      <c r="AB318" s="231"/>
      <c r="AC318" s="231"/>
      <c r="AD318" s="231"/>
      <c r="AE318" s="231"/>
      <c r="AF318" s="231"/>
      <c r="AG318" s="231"/>
    </row>
    <row r="319" spans="1:33" s="203" customFormat="1">
      <c r="A319" s="815">
        <v>9</v>
      </c>
      <c r="B319" s="90" t="s">
        <v>260</v>
      </c>
      <c r="C319" s="47"/>
      <c r="D319" s="47"/>
      <c r="E319" s="114">
        <v>0</v>
      </c>
      <c r="F319" s="188"/>
      <c r="G319" s="43"/>
      <c r="H319" s="189">
        <v>1239</v>
      </c>
      <c r="I319" s="118"/>
      <c r="J319" s="231"/>
      <c r="K319" s="231"/>
      <c r="L319" s="231"/>
      <c r="M319" s="231"/>
      <c r="N319" s="231"/>
      <c r="O319" s="231"/>
      <c r="P319" s="231"/>
      <c r="Q319" s="231"/>
      <c r="R319" s="231"/>
      <c r="S319" s="231"/>
      <c r="T319" s="231"/>
      <c r="U319" s="231"/>
      <c r="V319" s="231"/>
      <c r="W319" s="231"/>
      <c r="X319" s="231"/>
      <c r="Y319" s="231"/>
      <c r="Z319" s="231"/>
      <c r="AA319" s="231"/>
      <c r="AB319" s="231"/>
      <c r="AC319" s="231"/>
      <c r="AD319" s="231"/>
      <c r="AE319" s="231"/>
      <c r="AF319" s="231"/>
      <c r="AG319" s="231"/>
    </row>
    <row r="320" spans="1:33" s="203" customFormat="1">
      <c r="A320" s="124">
        <v>10</v>
      </c>
      <c r="B320" s="94" t="s">
        <v>62</v>
      </c>
      <c r="C320" s="94"/>
      <c r="D320" s="94"/>
      <c r="E320" s="159">
        <v>55609.664000000004</v>
      </c>
      <c r="F320" s="61">
        <f>F311+F312+F313+F314+F315+F316+F317+F318</f>
        <v>59249</v>
      </c>
      <c r="G320" s="118"/>
      <c r="H320" s="61">
        <f>H311+H312+H313+H314+H315+H316+H317+H318+H319</f>
        <v>62148</v>
      </c>
      <c r="I320" s="183"/>
      <c r="J320" s="231"/>
      <c r="K320" s="231"/>
      <c r="L320" s="231"/>
      <c r="M320" s="231"/>
      <c r="N320" s="231"/>
      <c r="O320" s="231"/>
      <c r="P320" s="231"/>
      <c r="Q320" s="231"/>
      <c r="R320" s="231"/>
      <c r="S320" s="231"/>
      <c r="T320" s="231"/>
      <c r="U320" s="231"/>
      <c r="V320" s="231"/>
      <c r="W320" s="231"/>
      <c r="X320" s="231"/>
      <c r="Y320" s="231"/>
      <c r="Z320" s="231"/>
      <c r="AA320" s="231"/>
      <c r="AB320" s="231"/>
      <c r="AC320" s="231"/>
      <c r="AD320" s="231"/>
      <c r="AE320" s="231"/>
      <c r="AF320" s="231"/>
      <c r="AG320" s="231"/>
    </row>
    <row r="321" spans="1:33" s="203" customFormat="1">
      <c r="A321" s="179"/>
      <c r="B321" s="180"/>
      <c r="C321" s="180"/>
      <c r="D321" s="180"/>
      <c r="E321" s="180"/>
      <c r="F321" s="183"/>
      <c r="G321" s="21"/>
      <c r="H321" s="183"/>
      <c r="I321" s="183"/>
      <c r="J321" s="231"/>
      <c r="K321" s="231"/>
      <c r="L321" s="231"/>
      <c r="M321" s="231"/>
      <c r="N321" s="231"/>
      <c r="O321" s="231"/>
      <c r="P321" s="231"/>
      <c r="Q321" s="231"/>
      <c r="R321" s="231"/>
      <c r="S321" s="231"/>
      <c r="T321" s="231"/>
      <c r="U321" s="231"/>
      <c r="V321" s="231"/>
      <c r="W321" s="231"/>
      <c r="X321" s="231"/>
      <c r="Y321" s="231"/>
      <c r="Z321" s="231"/>
      <c r="AA321" s="231"/>
      <c r="AB321" s="231"/>
      <c r="AC321" s="231"/>
      <c r="AD321" s="231"/>
      <c r="AE321" s="231"/>
      <c r="AF321" s="231"/>
      <c r="AG321" s="231"/>
    </row>
    <row r="322" spans="1:33" s="203" customFormat="1">
      <c r="A322" s="148"/>
      <c r="B322" s="207"/>
      <c r="C322" s="207"/>
      <c r="D322" s="29"/>
      <c r="E322" s="29"/>
      <c r="F322" s="29"/>
      <c r="G322" s="29"/>
      <c r="H322" s="31" t="s">
        <v>27</v>
      </c>
      <c r="I322" s="2"/>
      <c r="J322" s="231"/>
      <c r="K322" s="231"/>
      <c r="L322" s="231"/>
      <c r="M322" s="231"/>
      <c r="N322" s="231"/>
      <c r="O322" s="231"/>
      <c r="P322" s="231"/>
      <c r="Q322" s="231"/>
      <c r="R322" s="231"/>
      <c r="S322" s="231"/>
      <c r="T322" s="231"/>
      <c r="U322" s="231"/>
      <c r="V322" s="231"/>
      <c r="W322" s="231"/>
      <c r="X322" s="231"/>
      <c r="Y322" s="231"/>
      <c r="Z322" s="231"/>
      <c r="AA322" s="231"/>
      <c r="AB322" s="231"/>
      <c r="AC322" s="231"/>
      <c r="AD322" s="231"/>
      <c r="AE322" s="231"/>
      <c r="AF322" s="231"/>
      <c r="AG322" s="231"/>
    </row>
    <row r="323" spans="1:33" s="203" customFormat="1">
      <c r="A323" s="190" t="s">
        <v>240</v>
      </c>
      <c r="B323" s="263"/>
      <c r="C323" s="861" t="s">
        <v>405</v>
      </c>
      <c r="D323" s="862"/>
      <c r="E323" s="862"/>
      <c r="F323" s="862"/>
      <c r="G323" s="862"/>
      <c r="H323" s="863"/>
      <c r="I323" s="210"/>
      <c r="J323" s="231"/>
      <c r="K323" s="231"/>
      <c r="L323" s="231"/>
      <c r="M323" s="231"/>
      <c r="N323" s="231"/>
      <c r="O323" s="231"/>
      <c r="P323" s="231"/>
      <c r="Q323" s="231"/>
      <c r="R323" s="231"/>
      <c r="S323" s="231"/>
      <c r="T323" s="231"/>
      <c r="U323" s="231"/>
      <c r="V323" s="231"/>
      <c r="W323" s="231"/>
      <c r="X323" s="231"/>
      <c r="Y323" s="231"/>
      <c r="Z323" s="231"/>
      <c r="AA323" s="231"/>
      <c r="AB323" s="231"/>
      <c r="AC323" s="231"/>
      <c r="AD323" s="231"/>
      <c r="AE323" s="231"/>
      <c r="AF323" s="231"/>
      <c r="AG323" s="231"/>
    </row>
    <row r="324" spans="1:33" s="203" customFormat="1" ht="39" thickBot="1">
      <c r="A324" s="110" t="s">
        <v>84</v>
      </c>
      <c r="B324" s="116"/>
      <c r="C324" s="35" t="s">
        <v>52</v>
      </c>
      <c r="D324" s="35" t="s">
        <v>53</v>
      </c>
      <c r="E324" s="37" t="s">
        <v>54</v>
      </c>
      <c r="F324" s="37" t="s">
        <v>55</v>
      </c>
      <c r="G324" s="37" t="s">
        <v>241</v>
      </c>
      <c r="H324" s="35" t="s">
        <v>121</v>
      </c>
      <c r="I324" s="29"/>
      <c r="J324" s="231"/>
      <c r="K324" s="231"/>
      <c r="L324" s="231"/>
      <c r="M324" s="231"/>
      <c r="N324" s="231"/>
      <c r="O324" s="231"/>
      <c r="P324" s="231"/>
      <c r="Q324" s="231"/>
      <c r="R324" s="231"/>
      <c r="S324" s="231"/>
      <c r="T324" s="231"/>
      <c r="U324" s="231"/>
      <c r="V324" s="231"/>
      <c r="W324" s="231"/>
      <c r="X324" s="231"/>
      <c r="Y324" s="231"/>
      <c r="Z324" s="231"/>
      <c r="AA324" s="231"/>
      <c r="AB324" s="231"/>
      <c r="AC324" s="231"/>
      <c r="AD324" s="231"/>
      <c r="AE324" s="231"/>
      <c r="AF324" s="231"/>
      <c r="AG324" s="231"/>
    </row>
    <row r="325" spans="1:33" s="203" customFormat="1" ht="13.5" thickBot="1">
      <c r="A325" s="815">
        <v>1</v>
      </c>
      <c r="B325" s="116" t="s">
        <v>242</v>
      </c>
      <c r="C325" s="193">
        <f t="shared" ref="C325:H325" si="0">SUM(C326:C329)</f>
        <v>26093</v>
      </c>
      <c r="D325" s="193">
        <f t="shared" si="0"/>
        <v>0</v>
      </c>
      <c r="E325" s="193">
        <v>0</v>
      </c>
      <c r="F325" s="193">
        <f t="shared" si="0"/>
        <v>0</v>
      </c>
      <c r="G325" s="193">
        <f>SUM(G326:G329)</f>
        <v>0</v>
      </c>
      <c r="H325" s="193">
        <f t="shared" si="0"/>
        <v>0</v>
      </c>
      <c r="I325" s="207"/>
      <c r="J325" s="231"/>
      <c r="K325" s="231"/>
      <c r="L325" s="231"/>
      <c r="M325" s="231"/>
      <c r="N325" s="231"/>
      <c r="O325" s="231"/>
      <c r="P325" s="231"/>
      <c r="Q325" s="231"/>
      <c r="R325" s="231"/>
      <c r="S325" s="231"/>
      <c r="T325" s="231"/>
      <c r="U325" s="231"/>
      <c r="V325" s="231"/>
      <c r="W325" s="231"/>
      <c r="X325" s="231"/>
      <c r="Y325" s="231"/>
      <c r="Z325" s="231"/>
      <c r="AA325" s="231"/>
      <c r="AB325" s="231"/>
      <c r="AC325" s="231"/>
      <c r="AD325" s="231"/>
      <c r="AE325" s="231"/>
      <c r="AF325" s="231"/>
      <c r="AG325" s="231"/>
    </row>
    <row r="326" spans="1:33" s="203" customFormat="1">
      <c r="A326" s="815">
        <v>2</v>
      </c>
      <c r="B326" s="47" t="s">
        <v>243</v>
      </c>
      <c r="C326" s="52">
        <v>7574</v>
      </c>
      <c r="D326" s="169">
        <v>0</v>
      </c>
      <c r="E326" s="169">
        <v>0</v>
      </c>
      <c r="F326" s="169">
        <v>0</v>
      </c>
      <c r="G326" s="169">
        <v>0</v>
      </c>
      <c r="H326" s="169">
        <v>0</v>
      </c>
      <c r="I326" s="21"/>
      <c r="J326" s="231"/>
      <c r="K326" s="231"/>
      <c r="L326" s="231"/>
      <c r="M326" s="231"/>
      <c r="N326" s="231"/>
      <c r="O326" s="231"/>
      <c r="P326" s="231"/>
      <c r="Q326" s="231"/>
      <c r="R326" s="231"/>
      <c r="S326" s="231"/>
      <c r="T326" s="231"/>
      <c r="U326" s="231"/>
      <c r="V326" s="231"/>
      <c r="W326" s="231"/>
      <c r="X326" s="231"/>
      <c r="Y326" s="231"/>
      <c r="Z326" s="231"/>
      <c r="AA326" s="231"/>
      <c r="AB326" s="231"/>
      <c r="AC326" s="231"/>
      <c r="AD326" s="231"/>
      <c r="AE326" s="231"/>
      <c r="AF326" s="231"/>
      <c r="AG326" s="231"/>
    </row>
    <row r="327" spans="1:33" s="203" customFormat="1">
      <c r="A327" s="815">
        <v>3</v>
      </c>
      <c r="B327" s="47" t="s">
        <v>244</v>
      </c>
      <c r="C327" s="99">
        <v>11411</v>
      </c>
      <c r="D327" s="99">
        <v>0</v>
      </c>
      <c r="E327" s="99">
        <v>0</v>
      </c>
      <c r="F327" s="99">
        <v>0</v>
      </c>
      <c r="G327" s="99">
        <v>0</v>
      </c>
      <c r="H327" s="99">
        <v>0</v>
      </c>
      <c r="I327" s="21"/>
      <c r="J327" s="231"/>
      <c r="K327" s="231"/>
      <c r="L327" s="231"/>
      <c r="M327" s="231"/>
      <c r="N327" s="231"/>
      <c r="O327" s="231"/>
      <c r="P327" s="231"/>
      <c r="Q327" s="231"/>
      <c r="R327" s="231"/>
      <c r="S327" s="231"/>
      <c r="T327" s="231"/>
      <c r="U327" s="231"/>
      <c r="V327" s="231"/>
      <c r="W327" s="231"/>
      <c r="X327" s="231"/>
      <c r="Y327" s="231"/>
      <c r="Z327" s="231"/>
      <c r="AA327" s="231"/>
      <c r="AB327" s="231"/>
      <c r="AC327" s="231"/>
      <c r="AD327" s="231"/>
      <c r="AE327" s="231"/>
      <c r="AF327" s="231"/>
      <c r="AG327" s="231"/>
    </row>
    <row r="328" spans="1:33" s="203" customFormat="1">
      <c r="A328" s="815">
        <v>4</v>
      </c>
      <c r="B328" s="47" t="s">
        <v>245</v>
      </c>
      <c r="C328" s="99">
        <v>5169</v>
      </c>
      <c r="D328" s="99">
        <v>0</v>
      </c>
      <c r="E328" s="99">
        <v>0</v>
      </c>
      <c r="F328" s="99">
        <v>0</v>
      </c>
      <c r="G328" s="99">
        <v>0</v>
      </c>
      <c r="H328" s="99">
        <v>0</v>
      </c>
      <c r="I328" s="21"/>
      <c r="J328" s="231"/>
      <c r="K328" s="231"/>
      <c r="L328" s="231"/>
      <c r="M328" s="231"/>
      <c r="N328" s="231"/>
      <c r="O328" s="231"/>
      <c r="P328" s="231"/>
      <c r="Q328" s="231"/>
      <c r="R328" s="231"/>
      <c r="S328" s="231"/>
      <c r="T328" s="231"/>
      <c r="U328" s="231"/>
      <c r="V328" s="231"/>
      <c r="W328" s="231"/>
      <c r="X328" s="231"/>
      <c r="Y328" s="231"/>
      <c r="Z328" s="231"/>
      <c r="AA328" s="231"/>
      <c r="AB328" s="231"/>
      <c r="AC328" s="231"/>
      <c r="AD328" s="231"/>
      <c r="AE328" s="231"/>
      <c r="AF328" s="231"/>
      <c r="AG328" s="231"/>
    </row>
    <row r="329" spans="1:33" s="203" customFormat="1">
      <c r="A329" s="816">
        <v>5</v>
      </c>
      <c r="B329" s="54" t="s">
        <v>246</v>
      </c>
      <c r="C329" s="100">
        <v>1939</v>
      </c>
      <c r="D329" s="100">
        <v>0</v>
      </c>
      <c r="E329" s="100">
        <v>0</v>
      </c>
      <c r="F329" s="100">
        <v>0</v>
      </c>
      <c r="G329" s="100">
        <v>0</v>
      </c>
      <c r="H329" s="100">
        <v>0</v>
      </c>
      <c r="I329" s="21"/>
      <c r="J329" s="231"/>
      <c r="K329" s="231"/>
      <c r="L329" s="231"/>
      <c r="M329" s="231"/>
      <c r="N329" s="231"/>
      <c r="O329" s="231"/>
      <c r="P329" s="231"/>
      <c r="Q329" s="231"/>
      <c r="R329" s="231"/>
      <c r="S329" s="231"/>
      <c r="T329" s="231"/>
      <c r="U329" s="231"/>
      <c r="V329" s="231"/>
      <c r="W329" s="231"/>
      <c r="X329" s="231"/>
      <c r="Y329" s="231"/>
      <c r="Z329" s="231"/>
      <c r="AA329" s="231"/>
      <c r="AB329" s="231"/>
      <c r="AC329" s="231"/>
      <c r="AD329" s="231"/>
      <c r="AE329" s="231"/>
      <c r="AF329" s="231"/>
      <c r="AG329" s="231"/>
    </row>
    <row r="330" spans="1:33" s="203" customFormat="1">
      <c r="A330" s="815"/>
      <c r="B330" s="47"/>
      <c r="C330" s="864" t="s">
        <v>404</v>
      </c>
      <c r="D330" s="865"/>
      <c r="E330" s="865"/>
      <c r="F330" s="865"/>
      <c r="G330" s="865"/>
      <c r="H330" s="866"/>
      <c r="I330" s="207"/>
      <c r="J330" s="231"/>
      <c r="K330" s="231"/>
      <c r="L330" s="231"/>
      <c r="M330" s="231"/>
      <c r="N330" s="231"/>
      <c r="O330" s="231"/>
      <c r="P330" s="231"/>
      <c r="Q330" s="231"/>
      <c r="R330" s="231"/>
      <c r="S330" s="231"/>
      <c r="T330" s="231"/>
      <c r="U330" s="231"/>
      <c r="V330" s="231"/>
      <c r="W330" s="231"/>
      <c r="X330" s="231"/>
      <c r="Y330" s="231"/>
      <c r="Z330" s="231"/>
      <c r="AA330" s="231"/>
      <c r="AB330" s="231"/>
      <c r="AC330" s="231"/>
      <c r="AD330" s="231"/>
      <c r="AE330" s="231"/>
      <c r="AF330" s="231"/>
      <c r="AG330" s="231"/>
    </row>
    <row r="331" spans="1:33" s="203" customFormat="1" ht="39" thickBot="1">
      <c r="A331" s="110" t="s">
        <v>84</v>
      </c>
      <c r="B331" s="116"/>
      <c r="C331" s="35" t="s">
        <v>52</v>
      </c>
      <c r="D331" s="35" t="s">
        <v>53</v>
      </c>
      <c r="E331" s="37" t="s">
        <v>54</v>
      </c>
      <c r="F331" s="37" t="s">
        <v>55</v>
      </c>
      <c r="G331" s="37" t="s">
        <v>241</v>
      </c>
      <c r="H331" s="35" t="s">
        <v>121</v>
      </c>
      <c r="I331" s="207"/>
      <c r="J331" s="231"/>
      <c r="K331" s="231"/>
      <c r="L331" s="231"/>
      <c r="M331" s="231"/>
      <c r="N331" s="231"/>
      <c r="O331" s="231"/>
      <c r="P331" s="231"/>
      <c r="Q331" s="231"/>
      <c r="R331" s="231"/>
      <c r="S331" s="231"/>
      <c r="T331" s="231"/>
      <c r="U331" s="231"/>
      <c r="V331" s="231"/>
      <c r="W331" s="231"/>
      <c r="X331" s="231"/>
      <c r="Y331" s="231"/>
      <c r="Z331" s="231"/>
      <c r="AA331" s="231"/>
      <c r="AB331" s="231"/>
      <c r="AC331" s="231"/>
      <c r="AD331" s="231"/>
      <c r="AE331" s="231"/>
      <c r="AF331" s="231"/>
      <c r="AG331" s="231"/>
    </row>
    <row r="332" spans="1:33" s="203" customFormat="1" ht="13.5" thickBot="1">
      <c r="A332" s="815">
        <v>1</v>
      </c>
      <c r="B332" s="116" t="s">
        <v>242</v>
      </c>
      <c r="C332" s="193">
        <f t="shared" ref="C332:H332" si="1">SUM(C333:C336)</f>
        <v>28087</v>
      </c>
      <c r="D332" s="193">
        <f t="shared" si="1"/>
        <v>0</v>
      </c>
      <c r="E332" s="193">
        <v>0</v>
      </c>
      <c r="F332" s="193">
        <f t="shared" si="1"/>
        <v>0</v>
      </c>
      <c r="G332" s="193">
        <f>SUM(G333:G336)</f>
        <v>0</v>
      </c>
      <c r="H332" s="193">
        <f t="shared" si="1"/>
        <v>0</v>
      </c>
      <c r="I332" s="207"/>
      <c r="J332" s="231"/>
      <c r="K332" s="231"/>
      <c r="L332" s="231"/>
      <c r="M332" s="231"/>
      <c r="N332" s="231"/>
      <c r="O332" s="231"/>
      <c r="P332" s="231"/>
      <c r="Q332" s="231"/>
      <c r="R332" s="231"/>
      <c r="S332" s="231"/>
      <c r="T332" s="231"/>
      <c r="U332" s="231"/>
      <c r="V332" s="231"/>
      <c r="W332" s="231"/>
      <c r="X332" s="231"/>
      <c r="Y332" s="231"/>
      <c r="Z332" s="231"/>
      <c r="AA332" s="231"/>
      <c r="AB332" s="231"/>
      <c r="AC332" s="231"/>
      <c r="AD332" s="231"/>
      <c r="AE332" s="231"/>
      <c r="AF332" s="231"/>
      <c r="AG332" s="231"/>
    </row>
    <row r="333" spans="1:33" s="203" customFormat="1">
      <c r="A333" s="815">
        <v>2</v>
      </c>
      <c r="B333" s="47" t="s">
        <v>243</v>
      </c>
      <c r="C333" s="169">
        <v>8126</v>
      </c>
      <c r="D333" s="169">
        <v>0</v>
      </c>
      <c r="E333" s="169">
        <v>0</v>
      </c>
      <c r="F333" s="169">
        <v>0</v>
      </c>
      <c r="G333" s="169">
        <v>0</v>
      </c>
      <c r="H333" s="169">
        <v>0</v>
      </c>
      <c r="I333" s="21"/>
      <c r="J333" s="231"/>
      <c r="K333" s="231"/>
      <c r="L333" s="231"/>
      <c r="M333" s="231"/>
      <c r="N333" s="231"/>
      <c r="O333" s="231"/>
      <c r="P333" s="231"/>
      <c r="Q333" s="231"/>
      <c r="R333" s="231"/>
      <c r="S333" s="231"/>
      <c r="T333" s="231"/>
      <c r="U333" s="231"/>
      <c r="V333" s="231"/>
      <c r="W333" s="231"/>
      <c r="X333" s="231"/>
      <c r="Y333" s="231"/>
      <c r="Z333" s="231"/>
      <c r="AA333" s="231"/>
      <c r="AB333" s="231"/>
      <c r="AC333" s="231"/>
      <c r="AD333" s="231"/>
      <c r="AE333" s="231"/>
      <c r="AF333" s="231"/>
      <c r="AG333" s="231"/>
    </row>
    <row r="334" spans="1:33" s="203" customFormat="1">
      <c r="A334" s="815">
        <v>3</v>
      </c>
      <c r="B334" s="47" t="s">
        <v>244</v>
      </c>
      <c r="C334" s="99">
        <v>12279</v>
      </c>
      <c r="D334" s="99">
        <v>0</v>
      </c>
      <c r="E334" s="99">
        <v>0</v>
      </c>
      <c r="F334" s="99">
        <v>0</v>
      </c>
      <c r="G334" s="99">
        <v>0</v>
      </c>
      <c r="H334" s="99">
        <v>0</v>
      </c>
      <c r="I334" s="21"/>
      <c r="J334" s="231"/>
      <c r="K334" s="231"/>
      <c r="L334" s="231"/>
      <c r="M334" s="231"/>
      <c r="N334" s="231"/>
      <c r="O334" s="231"/>
      <c r="P334" s="231"/>
      <c r="Q334" s="231"/>
      <c r="R334" s="231"/>
      <c r="S334" s="231"/>
      <c r="T334" s="231"/>
      <c r="U334" s="231"/>
      <c r="V334" s="231"/>
      <c r="W334" s="231"/>
      <c r="X334" s="231"/>
      <c r="Y334" s="231"/>
      <c r="Z334" s="231"/>
      <c r="AA334" s="231"/>
      <c r="AB334" s="231"/>
      <c r="AC334" s="231"/>
      <c r="AD334" s="231"/>
      <c r="AE334" s="231"/>
      <c r="AF334" s="231"/>
      <c r="AG334" s="231"/>
    </row>
    <row r="335" spans="1:33" s="203" customFormat="1">
      <c r="A335" s="815">
        <v>4</v>
      </c>
      <c r="B335" s="47" t="s">
        <v>245</v>
      </c>
      <c r="C335" s="99">
        <v>5807</v>
      </c>
      <c r="D335" s="99">
        <v>0</v>
      </c>
      <c r="E335" s="99">
        <v>0</v>
      </c>
      <c r="F335" s="99">
        <v>0</v>
      </c>
      <c r="G335" s="99">
        <v>0</v>
      </c>
      <c r="H335" s="99">
        <v>0</v>
      </c>
      <c r="I335" s="21"/>
      <c r="J335" s="231"/>
      <c r="K335" s="231"/>
      <c r="L335" s="231"/>
      <c r="M335" s="231"/>
      <c r="N335" s="231"/>
      <c r="O335" s="231"/>
      <c r="P335" s="231"/>
      <c r="Q335" s="231"/>
      <c r="R335" s="231"/>
      <c r="S335" s="231"/>
      <c r="T335" s="231"/>
      <c r="U335" s="231"/>
      <c r="V335" s="231"/>
      <c r="W335" s="231"/>
      <c r="X335" s="231"/>
      <c r="Y335" s="231"/>
      <c r="Z335" s="231"/>
      <c r="AA335" s="231"/>
      <c r="AB335" s="231"/>
      <c r="AC335" s="231"/>
      <c r="AD335" s="231"/>
      <c r="AE335" s="231"/>
      <c r="AF335" s="231"/>
      <c r="AG335" s="231"/>
    </row>
    <row r="336" spans="1:33" s="203" customFormat="1">
      <c r="A336" s="816">
        <v>5</v>
      </c>
      <c r="B336" s="54" t="s">
        <v>246</v>
      </c>
      <c r="C336" s="100">
        <v>1875</v>
      </c>
      <c r="D336" s="100">
        <v>0</v>
      </c>
      <c r="E336" s="100">
        <v>0</v>
      </c>
      <c r="F336" s="100">
        <v>0</v>
      </c>
      <c r="G336" s="100">
        <v>0</v>
      </c>
      <c r="H336" s="100">
        <v>0</v>
      </c>
      <c r="I336" s="21"/>
      <c r="J336" s="231"/>
      <c r="K336" s="231"/>
      <c r="L336" s="231"/>
      <c r="M336" s="231"/>
      <c r="N336" s="231"/>
      <c r="O336" s="231"/>
      <c r="P336" s="231"/>
      <c r="Q336" s="231"/>
      <c r="R336" s="231"/>
      <c r="S336" s="231"/>
      <c r="T336" s="231"/>
      <c r="U336" s="231"/>
      <c r="V336" s="231"/>
      <c r="W336" s="231"/>
      <c r="X336" s="231"/>
      <c r="Y336" s="231"/>
      <c r="Z336" s="231"/>
      <c r="AA336" s="231"/>
      <c r="AB336" s="231"/>
      <c r="AC336" s="231"/>
      <c r="AD336" s="231"/>
      <c r="AE336" s="231"/>
      <c r="AF336" s="231"/>
      <c r="AG336" s="231"/>
    </row>
    <row r="337" spans="1:33" s="203" customFormat="1">
      <c r="A337" s="23"/>
      <c r="B337" s="207"/>
      <c r="C337" s="207"/>
      <c r="D337" s="207"/>
      <c r="E337" s="207"/>
      <c r="F337" s="207"/>
      <c r="G337" s="207"/>
      <c r="H337" s="21"/>
      <c r="I337" s="21"/>
      <c r="J337" s="231"/>
      <c r="K337" s="231"/>
      <c r="L337" s="231"/>
      <c r="M337" s="231"/>
      <c r="N337" s="231"/>
      <c r="O337" s="231"/>
      <c r="P337" s="231"/>
      <c r="Q337" s="231"/>
      <c r="R337" s="231"/>
      <c r="S337" s="231"/>
      <c r="T337" s="231"/>
      <c r="U337" s="231"/>
      <c r="V337" s="231"/>
      <c r="W337" s="231"/>
      <c r="X337" s="231"/>
      <c r="Y337" s="231"/>
      <c r="Z337" s="231"/>
      <c r="AA337" s="231"/>
      <c r="AB337" s="231"/>
      <c r="AC337" s="231"/>
      <c r="AD337" s="231"/>
      <c r="AE337" s="231"/>
      <c r="AF337" s="231"/>
      <c r="AG337" s="231"/>
    </row>
    <row r="338" spans="1:33" s="203" customFormat="1" ht="12.75" customHeight="1">
      <c r="A338" s="23"/>
      <c r="B338" s="207"/>
      <c r="C338" s="207"/>
      <c r="D338" s="207"/>
      <c r="E338" s="207"/>
      <c r="F338" s="207"/>
      <c r="G338" s="207"/>
      <c r="H338" s="21"/>
      <c r="I338" s="21"/>
      <c r="J338" s="231"/>
      <c r="K338" s="231"/>
      <c r="L338" s="231"/>
      <c r="M338" s="231"/>
      <c r="N338" s="231"/>
      <c r="O338" s="231"/>
      <c r="P338" s="231"/>
      <c r="Q338" s="231"/>
      <c r="R338" s="231"/>
      <c r="S338" s="231"/>
      <c r="T338" s="231"/>
      <c r="U338" s="231"/>
      <c r="V338" s="231"/>
      <c r="W338" s="231"/>
      <c r="X338" s="231"/>
      <c r="Y338" s="231"/>
      <c r="Z338" s="231"/>
      <c r="AA338" s="231"/>
      <c r="AB338" s="231"/>
      <c r="AC338" s="231"/>
      <c r="AD338" s="231"/>
      <c r="AE338" s="231"/>
      <c r="AF338" s="231"/>
      <c r="AG338" s="231"/>
    </row>
    <row r="339" spans="1:33" s="203" customFormat="1">
      <c r="A339" s="23"/>
      <c r="B339" s="207"/>
      <c r="C339" s="207"/>
      <c r="D339" s="207"/>
      <c r="E339" s="207"/>
      <c r="F339" s="207"/>
      <c r="G339" s="207"/>
      <c r="H339" s="21"/>
      <c r="I339" s="21"/>
      <c r="J339" s="231"/>
      <c r="K339" s="231"/>
      <c r="L339" s="231"/>
      <c r="M339" s="231"/>
      <c r="N339" s="231"/>
      <c r="O339" s="231"/>
      <c r="P339" s="231"/>
      <c r="Q339" s="231"/>
      <c r="R339" s="231"/>
      <c r="S339" s="231"/>
      <c r="T339" s="231"/>
      <c r="U339" s="231"/>
      <c r="V339" s="231"/>
      <c r="W339" s="231"/>
      <c r="X339" s="231"/>
      <c r="Y339" s="231"/>
      <c r="Z339" s="231"/>
      <c r="AA339" s="231"/>
      <c r="AB339" s="231"/>
      <c r="AC339" s="231"/>
      <c r="AD339" s="231"/>
      <c r="AE339" s="231"/>
      <c r="AF339" s="231"/>
      <c r="AG339" s="231"/>
    </row>
    <row r="340" spans="1:33" s="203" customFormat="1">
      <c r="A340" s="23"/>
      <c r="B340" s="207"/>
      <c r="C340" s="207"/>
      <c r="D340" s="207"/>
      <c r="E340" s="207"/>
      <c r="F340" s="207"/>
      <c r="G340" s="207"/>
      <c r="H340" s="131" t="s">
        <v>27</v>
      </c>
      <c r="I340" s="21"/>
      <c r="J340" s="231"/>
      <c r="K340" s="231"/>
      <c r="L340" s="231"/>
      <c r="M340" s="231"/>
      <c r="N340" s="231"/>
      <c r="O340" s="231"/>
      <c r="P340" s="231"/>
      <c r="Q340" s="231"/>
      <c r="R340" s="231"/>
      <c r="S340" s="231"/>
      <c r="T340" s="231"/>
      <c r="U340" s="231"/>
      <c r="V340" s="231"/>
      <c r="W340" s="231"/>
      <c r="X340" s="231"/>
      <c r="Y340" s="231"/>
      <c r="Z340" s="231"/>
      <c r="AA340" s="231"/>
      <c r="AB340" s="231"/>
      <c r="AC340" s="231"/>
      <c r="AD340" s="231"/>
      <c r="AE340" s="231"/>
      <c r="AF340" s="231"/>
      <c r="AG340" s="231"/>
    </row>
    <row r="341" spans="1:33" s="203" customFormat="1">
      <c r="A341" s="197"/>
      <c r="B341" s="69"/>
      <c r="C341" s="69"/>
      <c r="D341" s="69"/>
      <c r="E341" s="856" t="s">
        <v>377</v>
      </c>
      <c r="F341" s="853" t="s">
        <v>402</v>
      </c>
      <c r="G341" s="207"/>
      <c r="H341" s="856" t="s">
        <v>403</v>
      </c>
      <c r="I341" s="21"/>
      <c r="J341" s="231"/>
      <c r="K341" s="231"/>
      <c r="L341" s="231"/>
      <c r="M341" s="231"/>
      <c r="N341" s="231"/>
      <c r="O341" s="231"/>
      <c r="P341" s="231"/>
      <c r="Q341" s="231"/>
      <c r="R341" s="231"/>
      <c r="S341" s="231"/>
      <c r="T341" s="231"/>
      <c r="U341" s="231"/>
      <c r="V341" s="231"/>
      <c r="W341" s="231"/>
      <c r="X341" s="231"/>
      <c r="Y341" s="231"/>
      <c r="Z341" s="231"/>
      <c r="AA341" s="231"/>
      <c r="AB341" s="231"/>
      <c r="AC341" s="231"/>
      <c r="AD341" s="231"/>
      <c r="AE341" s="231"/>
      <c r="AF341" s="231"/>
      <c r="AG341" s="231"/>
    </row>
    <row r="342" spans="1:33" s="203" customFormat="1">
      <c r="A342" s="144" t="s">
        <v>261</v>
      </c>
      <c r="B342" s="116"/>
      <c r="C342" s="116"/>
      <c r="D342" s="116"/>
      <c r="E342" s="859"/>
      <c r="F342" s="854"/>
      <c r="G342" s="207"/>
      <c r="H342" s="857"/>
      <c r="I342" s="21"/>
      <c r="J342" s="231"/>
      <c r="K342" s="231"/>
      <c r="L342" s="231"/>
      <c r="M342" s="231"/>
      <c r="N342" s="231"/>
      <c r="O342" s="231"/>
      <c r="P342" s="231"/>
      <c r="Q342" s="231"/>
      <c r="R342" s="231"/>
      <c r="S342" s="231"/>
      <c r="T342" s="231"/>
      <c r="U342" s="231"/>
      <c r="V342" s="231"/>
      <c r="W342" s="231"/>
      <c r="X342" s="231"/>
      <c r="Y342" s="231"/>
      <c r="Z342" s="231"/>
      <c r="AA342" s="231"/>
      <c r="AB342" s="231"/>
      <c r="AC342" s="231"/>
      <c r="AD342" s="231"/>
      <c r="AE342" s="231"/>
      <c r="AF342" s="231"/>
      <c r="AG342" s="231"/>
    </row>
    <row r="343" spans="1:33" s="203" customFormat="1">
      <c r="A343" s="119"/>
      <c r="B343" s="116"/>
      <c r="C343" s="116"/>
      <c r="D343" s="116"/>
      <c r="E343" s="859"/>
      <c r="F343" s="854"/>
      <c r="G343" s="207"/>
      <c r="H343" s="857"/>
      <c r="I343" s="21"/>
      <c r="J343" s="231"/>
      <c r="K343" s="231"/>
      <c r="L343" s="231"/>
      <c r="M343" s="231"/>
      <c r="N343" s="231"/>
      <c r="O343" s="231"/>
      <c r="P343" s="231"/>
      <c r="Q343" s="231"/>
      <c r="R343" s="231"/>
      <c r="S343" s="231"/>
      <c r="T343" s="231"/>
      <c r="U343" s="231"/>
      <c r="V343" s="231"/>
      <c r="W343" s="231"/>
      <c r="X343" s="231"/>
      <c r="Y343" s="231"/>
      <c r="Z343" s="231"/>
      <c r="AA343" s="231"/>
      <c r="AB343" s="231"/>
      <c r="AC343" s="231"/>
      <c r="AD343" s="231"/>
      <c r="AE343" s="231"/>
      <c r="AF343" s="231"/>
      <c r="AG343" s="231"/>
    </row>
    <row r="344" spans="1:33" s="203" customFormat="1">
      <c r="A344" s="198" t="s">
        <v>262</v>
      </c>
      <c r="B344" s="116"/>
      <c r="C344" s="116"/>
      <c r="D344" s="116"/>
      <c r="E344" s="859"/>
      <c r="F344" s="854"/>
      <c r="G344" s="207"/>
      <c r="H344" s="857"/>
      <c r="I344" s="21"/>
      <c r="J344" s="231"/>
      <c r="K344" s="231"/>
      <c r="L344" s="231"/>
      <c r="M344" s="231"/>
      <c r="N344" s="231"/>
      <c r="O344" s="231"/>
      <c r="P344" s="231"/>
      <c r="Q344" s="231"/>
      <c r="R344" s="231"/>
      <c r="S344" s="231"/>
      <c r="T344" s="231"/>
      <c r="U344" s="231"/>
      <c r="V344" s="231"/>
      <c r="W344" s="231"/>
      <c r="X344" s="231"/>
      <c r="Y344" s="231"/>
      <c r="Z344" s="231"/>
      <c r="AA344" s="231"/>
      <c r="AB344" s="231"/>
      <c r="AC344" s="231"/>
      <c r="AD344" s="231"/>
      <c r="AE344" s="231"/>
      <c r="AF344" s="231"/>
      <c r="AG344" s="231"/>
    </row>
    <row r="345" spans="1:33" s="203" customFormat="1">
      <c r="A345" s="198" t="s">
        <v>330</v>
      </c>
      <c r="B345" s="116"/>
      <c r="C345" s="116"/>
      <c r="D345" s="116"/>
      <c r="E345" s="860"/>
      <c r="F345" s="855"/>
      <c r="G345" s="207"/>
      <c r="H345" s="858"/>
      <c r="I345" s="21"/>
      <c r="J345" s="231"/>
      <c r="K345" s="231"/>
      <c r="L345" s="231"/>
      <c r="M345" s="231"/>
      <c r="N345" s="231"/>
      <c r="O345" s="231"/>
      <c r="P345" s="231"/>
      <c r="Q345" s="231"/>
      <c r="R345" s="231"/>
      <c r="S345" s="231"/>
      <c r="T345" s="231"/>
      <c r="U345" s="231"/>
      <c r="V345" s="231"/>
      <c r="W345" s="231"/>
      <c r="X345" s="231"/>
      <c r="Y345" s="231"/>
      <c r="Z345" s="231"/>
      <c r="AA345" s="231"/>
      <c r="AB345" s="231"/>
      <c r="AC345" s="231"/>
      <c r="AD345" s="231"/>
      <c r="AE345" s="231"/>
      <c r="AF345" s="231"/>
      <c r="AG345" s="231"/>
    </row>
    <row r="346" spans="1:33" s="203" customFormat="1">
      <c r="A346" s="119"/>
      <c r="B346" s="47"/>
      <c r="C346" s="116"/>
      <c r="D346" s="116"/>
      <c r="E346" s="178"/>
      <c r="F346" s="146"/>
      <c r="G346" s="23"/>
      <c r="H346" s="264"/>
      <c r="I346" s="21"/>
      <c r="J346" s="231"/>
      <c r="K346" s="231"/>
      <c r="L346" s="231"/>
      <c r="M346" s="231"/>
      <c r="N346" s="231"/>
      <c r="O346" s="231"/>
      <c r="P346" s="231"/>
      <c r="Q346" s="231"/>
      <c r="R346" s="231"/>
      <c r="S346" s="231"/>
      <c r="T346" s="231"/>
      <c r="U346" s="231"/>
      <c r="V346" s="231"/>
      <c r="W346" s="231"/>
      <c r="X346" s="231"/>
      <c r="Y346" s="231"/>
      <c r="Z346" s="231"/>
      <c r="AA346" s="231"/>
      <c r="AB346" s="231"/>
      <c r="AC346" s="231"/>
      <c r="AD346" s="231"/>
      <c r="AE346" s="231"/>
      <c r="AF346" s="231"/>
      <c r="AG346" s="231"/>
    </row>
    <row r="347" spans="1:33" s="203" customFormat="1">
      <c r="A347" s="815">
        <v>1</v>
      </c>
      <c r="B347" s="47" t="s">
        <v>263</v>
      </c>
      <c r="C347" s="116"/>
      <c r="D347" s="116"/>
      <c r="E347" s="354">
        <v>22327</v>
      </c>
      <c r="F347" s="265">
        <v>22327</v>
      </c>
      <c r="G347" s="118"/>
      <c r="H347" s="126">
        <v>22327</v>
      </c>
      <c r="I347" s="118"/>
      <c r="J347" s="231"/>
      <c r="K347" s="231"/>
      <c r="L347" s="231"/>
      <c r="M347" s="231"/>
      <c r="N347" s="231"/>
      <c r="O347" s="231"/>
      <c r="P347" s="231"/>
      <c r="Q347" s="231"/>
      <c r="R347" s="231"/>
      <c r="S347" s="231"/>
      <c r="T347" s="231"/>
      <c r="U347" s="231"/>
      <c r="V347" s="231"/>
      <c r="W347" s="231"/>
      <c r="X347" s="231"/>
      <c r="Y347" s="231"/>
      <c r="Z347" s="231"/>
      <c r="AA347" s="231"/>
      <c r="AB347" s="231"/>
      <c r="AC347" s="231"/>
      <c r="AD347" s="231"/>
      <c r="AE347" s="231"/>
      <c r="AF347" s="231"/>
      <c r="AG347" s="231"/>
    </row>
    <row r="348" spans="1:33" s="203" customFormat="1">
      <c r="A348" s="815"/>
      <c r="B348" s="47"/>
      <c r="C348" s="116"/>
      <c r="D348" s="116"/>
      <c r="E348" s="355"/>
      <c r="F348" s="188"/>
      <c r="G348" s="43"/>
      <c r="H348" s="188"/>
      <c r="I348" s="86"/>
      <c r="J348" s="231"/>
      <c r="K348" s="231"/>
      <c r="L348" s="231"/>
      <c r="M348" s="231"/>
      <c r="N348" s="231"/>
      <c r="O348" s="231"/>
      <c r="P348" s="231"/>
      <c r="Q348" s="231"/>
      <c r="R348" s="231"/>
      <c r="S348" s="231"/>
      <c r="T348" s="231"/>
      <c r="U348" s="231"/>
      <c r="V348" s="231"/>
      <c r="W348" s="231"/>
      <c r="X348" s="231"/>
      <c r="Y348" s="231"/>
      <c r="Z348" s="231"/>
      <c r="AA348" s="231"/>
      <c r="AB348" s="231"/>
      <c r="AC348" s="231"/>
      <c r="AD348" s="231"/>
      <c r="AE348" s="231"/>
      <c r="AF348" s="231"/>
      <c r="AG348" s="231"/>
    </row>
    <row r="349" spans="1:33" s="203" customFormat="1">
      <c r="A349" s="108" t="s">
        <v>378</v>
      </c>
      <c r="B349" s="47"/>
      <c r="C349" s="116"/>
      <c r="D349" s="116"/>
      <c r="E349" s="355"/>
      <c r="F349" s="188"/>
      <c r="G349" s="43"/>
      <c r="H349" s="188"/>
      <c r="I349" s="86"/>
      <c r="J349" s="231"/>
      <c r="K349" s="231"/>
      <c r="L349" s="231"/>
      <c r="M349" s="231"/>
      <c r="N349" s="231"/>
      <c r="O349" s="231"/>
      <c r="P349" s="231"/>
      <c r="Q349" s="231"/>
      <c r="R349" s="231"/>
      <c r="S349" s="231"/>
      <c r="T349" s="231"/>
      <c r="U349" s="231"/>
      <c r="V349" s="231"/>
      <c r="W349" s="231"/>
      <c r="X349" s="231"/>
      <c r="Y349" s="231"/>
      <c r="Z349" s="231"/>
      <c r="AA349" s="231"/>
      <c r="AB349" s="231"/>
      <c r="AC349" s="231"/>
      <c r="AD349" s="231"/>
      <c r="AE349" s="231"/>
      <c r="AF349" s="231"/>
      <c r="AG349" s="231"/>
    </row>
    <row r="350" spans="1:33" s="203" customFormat="1">
      <c r="A350" s="815"/>
      <c r="B350" s="47"/>
      <c r="C350" s="116"/>
      <c r="D350" s="116"/>
      <c r="E350" s="355"/>
      <c r="F350" s="188"/>
      <c r="G350" s="43"/>
      <c r="H350" s="188"/>
      <c r="I350" s="86"/>
      <c r="J350" s="231"/>
      <c r="K350" s="231"/>
      <c r="L350" s="231"/>
      <c r="M350" s="231"/>
      <c r="N350" s="231"/>
      <c r="O350" s="231"/>
      <c r="P350" s="231"/>
      <c r="Q350" s="231"/>
      <c r="R350" s="231"/>
      <c r="S350" s="231"/>
      <c r="T350" s="231"/>
      <c r="U350" s="231"/>
      <c r="V350" s="231"/>
      <c r="W350" s="231"/>
      <c r="X350" s="231"/>
      <c r="Y350" s="231"/>
      <c r="Z350" s="231"/>
      <c r="AA350" s="231"/>
      <c r="AB350" s="231"/>
      <c r="AC350" s="231"/>
      <c r="AD350" s="231"/>
      <c r="AE350" s="231"/>
      <c r="AF350" s="231"/>
      <c r="AG350" s="231"/>
    </row>
    <row r="351" spans="1:33" s="203" customFormat="1">
      <c r="A351" s="198" t="s">
        <v>379</v>
      </c>
      <c r="B351" s="47"/>
      <c r="C351" s="116"/>
      <c r="D351" s="116"/>
      <c r="E351" s="355"/>
      <c r="F351" s="188"/>
      <c r="G351" s="43"/>
      <c r="H351" s="188"/>
      <c r="I351" s="86"/>
      <c r="J351" s="231"/>
      <c r="K351" s="231"/>
      <c r="L351" s="231"/>
      <c r="M351" s="231"/>
      <c r="N351" s="231"/>
      <c r="O351" s="231"/>
      <c r="P351" s="231"/>
      <c r="Q351" s="231"/>
      <c r="R351" s="231"/>
      <c r="S351" s="231"/>
      <c r="T351" s="231"/>
      <c r="U351" s="231"/>
      <c r="V351" s="231"/>
      <c r="W351" s="231"/>
      <c r="X351" s="231"/>
      <c r="Y351" s="231"/>
      <c r="Z351" s="231"/>
      <c r="AA351" s="231"/>
      <c r="AB351" s="231"/>
      <c r="AC351" s="231"/>
      <c r="AD351" s="231"/>
      <c r="AE351" s="231"/>
      <c r="AF351" s="231"/>
      <c r="AG351" s="231"/>
    </row>
    <row r="352" spans="1:33" s="203" customFormat="1">
      <c r="A352" s="815"/>
      <c r="B352" s="47"/>
      <c r="C352" s="116"/>
      <c r="D352" s="116"/>
      <c r="E352" s="355"/>
      <c r="F352" s="188"/>
      <c r="G352" s="43"/>
      <c r="H352" s="188"/>
      <c r="I352" s="86"/>
      <c r="J352" s="231"/>
      <c r="K352" s="231"/>
      <c r="L352" s="231"/>
      <c r="M352" s="231"/>
      <c r="N352" s="231"/>
      <c r="O352" s="231"/>
      <c r="P352" s="231"/>
      <c r="Q352" s="231"/>
      <c r="R352" s="231"/>
      <c r="S352" s="231"/>
      <c r="T352" s="231"/>
      <c r="U352" s="231"/>
      <c r="V352" s="231"/>
      <c r="W352" s="231"/>
      <c r="X352" s="231"/>
      <c r="Y352" s="231"/>
      <c r="Z352" s="231"/>
      <c r="AA352" s="231"/>
      <c r="AB352" s="231"/>
      <c r="AC352" s="231"/>
      <c r="AD352" s="231"/>
      <c r="AE352" s="231"/>
      <c r="AF352" s="231"/>
      <c r="AG352" s="231"/>
    </row>
    <row r="353" spans="1:33" s="203" customFormat="1">
      <c r="A353" s="815">
        <v>2</v>
      </c>
      <c r="B353" s="47" t="s">
        <v>52</v>
      </c>
      <c r="C353" s="116"/>
      <c r="D353" s="116"/>
      <c r="E353" s="74">
        <v>1929</v>
      </c>
      <c r="F353" s="265">
        <v>1939</v>
      </c>
      <c r="G353" s="118"/>
      <c r="H353" s="126">
        <v>1875</v>
      </c>
      <c r="I353" s="118"/>
      <c r="J353" s="231"/>
      <c r="K353" s="231"/>
      <c r="L353" s="231"/>
      <c r="M353" s="231"/>
      <c r="N353" s="231"/>
      <c r="O353" s="231"/>
      <c r="P353" s="231"/>
      <c r="Q353" s="231"/>
      <c r="R353" s="231"/>
      <c r="S353" s="231"/>
      <c r="T353" s="231"/>
      <c r="U353" s="231"/>
      <c r="V353" s="231"/>
      <c r="W353" s="231"/>
      <c r="X353" s="231"/>
      <c r="Y353" s="231"/>
      <c r="Z353" s="231"/>
      <c r="AA353" s="231"/>
      <c r="AB353" s="231"/>
      <c r="AC353" s="231"/>
      <c r="AD353" s="231"/>
      <c r="AE353" s="231"/>
      <c r="AF353" s="231"/>
      <c r="AG353" s="231"/>
    </row>
    <row r="354" spans="1:33" s="203" customFormat="1">
      <c r="A354" s="815">
        <v>3</v>
      </c>
      <c r="B354" s="47" t="s">
        <v>53</v>
      </c>
      <c r="C354" s="116"/>
      <c r="D354" s="116"/>
      <c r="E354" s="49">
        <v>0</v>
      </c>
      <c r="F354" s="265">
        <v>0</v>
      </c>
      <c r="G354" s="118"/>
      <c r="H354" s="126">
        <v>0</v>
      </c>
      <c r="I354" s="118"/>
      <c r="J354" s="231"/>
      <c r="K354" s="231"/>
      <c r="L354" s="231"/>
      <c r="M354" s="231"/>
      <c r="N354" s="231"/>
      <c r="O354" s="231"/>
      <c r="P354" s="231"/>
      <c r="Q354" s="231"/>
      <c r="R354" s="231"/>
      <c r="S354" s="231"/>
      <c r="T354" s="231"/>
      <c r="U354" s="231"/>
      <c r="V354" s="231"/>
      <c r="W354" s="231"/>
      <c r="X354" s="231"/>
      <c r="Y354" s="231"/>
      <c r="Z354" s="231"/>
      <c r="AA354" s="231"/>
      <c r="AB354" s="231"/>
      <c r="AC354" s="231"/>
      <c r="AD354" s="231"/>
      <c r="AE354" s="231"/>
      <c r="AF354" s="231"/>
      <c r="AG354" s="231"/>
    </row>
    <row r="355" spans="1:33" s="203" customFormat="1">
      <c r="A355" s="815">
        <v>4</v>
      </c>
      <c r="B355" s="47" t="s">
        <v>54</v>
      </c>
      <c r="C355" s="116"/>
      <c r="D355" s="116"/>
      <c r="E355" s="49">
        <v>0</v>
      </c>
      <c r="F355" s="265">
        <v>0</v>
      </c>
      <c r="G355" s="118"/>
      <c r="H355" s="126">
        <v>0</v>
      </c>
      <c r="I355" s="118"/>
      <c r="J355" s="231"/>
      <c r="K355" s="231"/>
      <c r="L355" s="231"/>
      <c r="M355" s="231"/>
      <c r="N355" s="231"/>
      <c r="O355" s="231"/>
      <c r="P355" s="231"/>
      <c r="Q355" s="231"/>
      <c r="R355" s="231"/>
      <c r="S355" s="231"/>
      <c r="T355" s="231"/>
      <c r="U355" s="231"/>
      <c r="V355" s="231"/>
      <c r="W355" s="231"/>
      <c r="X355" s="231"/>
      <c r="Y355" s="231"/>
      <c r="Z355" s="231"/>
      <c r="AA355" s="231"/>
      <c r="AB355" s="231"/>
      <c r="AC355" s="231"/>
      <c r="AD355" s="231"/>
      <c r="AE355" s="231"/>
      <c r="AF355" s="231"/>
      <c r="AG355" s="231"/>
    </row>
    <row r="356" spans="1:33" s="203" customFormat="1">
      <c r="A356" s="815">
        <v>5</v>
      </c>
      <c r="B356" s="47" t="s">
        <v>55</v>
      </c>
      <c r="C356" s="116"/>
      <c r="D356" s="116"/>
      <c r="E356" s="49">
        <v>0</v>
      </c>
      <c r="F356" s="265">
        <v>200</v>
      </c>
      <c r="G356" s="118"/>
      <c r="H356" s="126">
        <v>0</v>
      </c>
      <c r="I356" s="118"/>
      <c r="J356" s="231"/>
      <c r="K356" s="231"/>
      <c r="L356" s="231"/>
      <c r="M356" s="231"/>
      <c r="N356" s="231"/>
      <c r="O356" s="231"/>
      <c r="P356" s="231"/>
      <c r="Q356" s="231"/>
      <c r="R356" s="231"/>
      <c r="S356" s="231"/>
      <c r="T356" s="231"/>
      <c r="U356" s="231"/>
      <c r="V356" s="231"/>
      <c r="W356" s="231"/>
      <c r="X356" s="231"/>
      <c r="Y356" s="231"/>
      <c r="Z356" s="231"/>
      <c r="AA356" s="231"/>
      <c r="AB356" s="231"/>
      <c r="AC356" s="231"/>
      <c r="AD356" s="231"/>
      <c r="AE356" s="231"/>
      <c r="AF356" s="231"/>
      <c r="AG356" s="231"/>
    </row>
    <row r="357" spans="1:33" s="203" customFormat="1">
      <c r="A357" s="815">
        <v>6</v>
      </c>
      <c r="B357" s="47" t="s">
        <v>56</v>
      </c>
      <c r="C357" s="116"/>
      <c r="D357" s="116"/>
      <c r="E357" s="49">
        <v>0</v>
      </c>
      <c r="F357" s="265">
        <v>0</v>
      </c>
      <c r="G357" s="118"/>
      <c r="H357" s="126">
        <v>0</v>
      </c>
      <c r="I357" s="118"/>
      <c r="J357" s="231"/>
      <c r="K357" s="231"/>
      <c r="L357" s="231"/>
      <c r="M357" s="231"/>
      <c r="N357" s="231"/>
      <c r="O357" s="231"/>
      <c r="P357" s="231"/>
      <c r="Q357" s="231"/>
      <c r="R357" s="231"/>
      <c r="S357" s="231"/>
      <c r="T357" s="231"/>
      <c r="U357" s="231"/>
      <c r="V357" s="231"/>
      <c r="W357" s="231"/>
      <c r="X357" s="231"/>
      <c r="Y357" s="231"/>
      <c r="Z357" s="231"/>
      <c r="AA357" s="231"/>
      <c r="AB357" s="231"/>
      <c r="AC357" s="231"/>
      <c r="AD357" s="231"/>
      <c r="AE357" s="231"/>
      <c r="AF357" s="231"/>
      <c r="AG357" s="231"/>
    </row>
    <row r="358" spans="1:33" s="203" customFormat="1">
      <c r="A358" s="815">
        <v>7</v>
      </c>
      <c r="B358" s="47" t="s">
        <v>57</v>
      </c>
      <c r="C358" s="116"/>
      <c r="D358" s="116"/>
      <c r="E358" s="49">
        <v>0</v>
      </c>
      <c r="F358" s="265">
        <v>300</v>
      </c>
      <c r="G358" s="118"/>
      <c r="H358" s="126">
        <v>0</v>
      </c>
      <c r="I358" s="118"/>
      <c r="J358" s="231"/>
      <c r="K358" s="231"/>
      <c r="L358" s="231"/>
      <c r="M358" s="231"/>
      <c r="N358" s="231"/>
      <c r="O358" s="231"/>
      <c r="P358" s="231"/>
      <c r="Q358" s="231"/>
      <c r="R358" s="231"/>
      <c r="S358" s="231"/>
      <c r="T358" s="231"/>
      <c r="U358" s="231"/>
      <c r="V358" s="231"/>
      <c r="W358" s="231"/>
      <c r="X358" s="231"/>
      <c r="Y358" s="231"/>
      <c r="Z358" s="231"/>
      <c r="AA358" s="231"/>
      <c r="AB358" s="231"/>
      <c r="AC358" s="231"/>
      <c r="AD358" s="231"/>
      <c r="AE358" s="231"/>
      <c r="AF358" s="231"/>
      <c r="AG358" s="231"/>
    </row>
    <row r="359" spans="1:33" s="203" customFormat="1">
      <c r="A359" s="815">
        <v>8</v>
      </c>
      <c r="B359" s="47" t="s">
        <v>58</v>
      </c>
      <c r="C359" s="116"/>
      <c r="D359" s="116"/>
      <c r="E359" s="49">
        <v>0</v>
      </c>
      <c r="F359" s="265">
        <v>0</v>
      </c>
      <c r="G359" s="118"/>
      <c r="H359" s="126">
        <v>0</v>
      </c>
      <c r="I359" s="118"/>
      <c r="J359" s="231"/>
      <c r="K359" s="231"/>
      <c r="L359" s="231"/>
      <c r="M359" s="231"/>
      <c r="N359" s="231"/>
      <c r="O359" s="231"/>
      <c r="P359" s="231"/>
      <c r="Q359" s="231"/>
      <c r="R359" s="231"/>
      <c r="S359" s="231"/>
      <c r="T359" s="231"/>
      <c r="U359" s="231"/>
      <c r="V359" s="231"/>
      <c r="W359" s="231"/>
      <c r="X359" s="231"/>
      <c r="Y359" s="231"/>
      <c r="Z359" s="231"/>
      <c r="AA359" s="231"/>
      <c r="AB359" s="231"/>
      <c r="AC359" s="231"/>
      <c r="AD359" s="231"/>
      <c r="AE359" s="231"/>
      <c r="AF359" s="231"/>
      <c r="AG359" s="231"/>
    </row>
    <row r="360" spans="1:33" s="203" customFormat="1">
      <c r="A360" s="815">
        <v>9</v>
      </c>
      <c r="B360" s="47" t="s">
        <v>59</v>
      </c>
      <c r="C360" s="116"/>
      <c r="D360" s="116"/>
      <c r="E360" s="49">
        <v>0</v>
      </c>
      <c r="F360" s="265">
        <v>1378</v>
      </c>
      <c r="G360" s="118"/>
      <c r="H360" s="126">
        <v>0</v>
      </c>
      <c r="I360" s="118"/>
      <c r="J360" s="231"/>
      <c r="K360" s="231"/>
      <c r="L360" s="231"/>
      <c r="M360" s="231"/>
      <c r="N360" s="231"/>
      <c r="O360" s="231"/>
      <c r="P360" s="231"/>
      <c r="Q360" s="231"/>
      <c r="R360" s="231"/>
      <c r="S360" s="231"/>
      <c r="T360" s="231"/>
      <c r="U360" s="231"/>
      <c r="V360" s="231"/>
      <c r="W360" s="231"/>
      <c r="X360" s="231"/>
      <c r="Y360" s="231"/>
      <c r="Z360" s="231"/>
      <c r="AA360" s="231"/>
      <c r="AB360" s="231"/>
      <c r="AC360" s="231"/>
      <c r="AD360" s="231"/>
      <c r="AE360" s="231"/>
      <c r="AF360" s="231"/>
      <c r="AG360" s="231"/>
    </row>
    <row r="361" spans="1:33" s="203" customFormat="1">
      <c r="A361" s="815">
        <v>10</v>
      </c>
      <c r="B361" s="47" t="s">
        <v>60</v>
      </c>
      <c r="C361" s="116"/>
      <c r="D361" s="116"/>
      <c r="E361" s="49">
        <v>0</v>
      </c>
      <c r="F361" s="265">
        <v>0</v>
      </c>
      <c r="G361" s="118"/>
      <c r="H361" s="126">
        <v>0</v>
      </c>
      <c r="I361" s="118"/>
      <c r="J361" s="231"/>
      <c r="K361" s="231"/>
      <c r="L361" s="231"/>
      <c r="M361" s="231"/>
      <c r="N361" s="231"/>
      <c r="O361" s="231"/>
      <c r="P361" s="231"/>
      <c r="Q361" s="231"/>
      <c r="R361" s="231"/>
      <c r="S361" s="231"/>
      <c r="T361" s="231"/>
      <c r="U361" s="231"/>
      <c r="V361" s="231"/>
      <c r="W361" s="231"/>
      <c r="X361" s="231"/>
      <c r="Y361" s="231"/>
      <c r="Z361" s="231"/>
      <c r="AA361" s="231"/>
      <c r="AB361" s="231"/>
      <c r="AC361" s="231"/>
      <c r="AD361" s="231"/>
      <c r="AE361" s="231"/>
      <c r="AF361" s="231"/>
      <c r="AG361" s="231"/>
    </row>
    <row r="362" spans="1:33" s="203" customFormat="1">
      <c r="A362" s="815">
        <v>11</v>
      </c>
      <c r="B362" s="47" t="s">
        <v>61</v>
      </c>
      <c r="C362" s="116"/>
      <c r="D362" s="116"/>
      <c r="E362" s="49">
        <v>0</v>
      </c>
      <c r="F362" s="265">
        <v>0</v>
      </c>
      <c r="G362" s="118"/>
      <c r="H362" s="126">
        <v>0</v>
      </c>
      <c r="I362" s="118"/>
      <c r="J362" s="231"/>
      <c r="K362" s="231"/>
      <c r="L362" s="231"/>
      <c r="M362" s="231"/>
      <c r="N362" s="231"/>
      <c r="O362" s="231"/>
      <c r="P362" s="231"/>
      <c r="Q362" s="231"/>
      <c r="R362" s="231"/>
      <c r="S362" s="231"/>
      <c r="T362" s="231"/>
      <c r="U362" s="231"/>
      <c r="V362" s="231"/>
      <c r="W362" s="231"/>
      <c r="X362" s="231"/>
      <c r="Y362" s="231"/>
      <c r="Z362" s="231"/>
      <c r="AA362" s="231"/>
      <c r="AB362" s="231"/>
      <c r="AC362" s="231"/>
      <c r="AD362" s="231"/>
      <c r="AE362" s="231"/>
      <c r="AF362" s="231"/>
      <c r="AG362" s="231"/>
    </row>
    <row r="363" spans="1:33" s="203" customFormat="1">
      <c r="A363" s="816">
        <v>12</v>
      </c>
      <c r="B363" s="54" t="s">
        <v>380</v>
      </c>
      <c r="C363" s="94"/>
      <c r="D363" s="94"/>
      <c r="E363" s="135">
        <v>1929</v>
      </c>
      <c r="F363" s="61">
        <f>SUM(F353:F362)</f>
        <v>3817</v>
      </c>
      <c r="G363" s="43"/>
      <c r="H363" s="61">
        <f>SUM(H353:H362)</f>
        <v>1875</v>
      </c>
      <c r="I363" s="86"/>
      <c r="J363" s="231"/>
      <c r="K363" s="231"/>
      <c r="L363" s="231"/>
      <c r="M363" s="231"/>
      <c r="N363" s="231"/>
      <c r="O363" s="231"/>
      <c r="P363" s="231"/>
      <c r="Q363" s="231"/>
      <c r="R363" s="231"/>
      <c r="S363" s="231"/>
      <c r="T363" s="231"/>
      <c r="U363" s="231"/>
      <c r="V363" s="231"/>
      <c r="W363" s="231"/>
      <c r="X363" s="231"/>
      <c r="Y363" s="231"/>
      <c r="Z363" s="231"/>
      <c r="AA363" s="231"/>
      <c r="AB363" s="231"/>
      <c r="AC363" s="231"/>
      <c r="AD363" s="231"/>
      <c r="AE363" s="231"/>
      <c r="AF363" s="231"/>
      <c r="AG363" s="231"/>
    </row>
    <row r="364" spans="1:33" s="203" customFormat="1">
      <c r="A364" s="199"/>
      <c r="B364" s="15"/>
      <c r="C364" s="15"/>
      <c r="D364" s="15"/>
      <c r="E364" s="15"/>
      <c r="F364" s="15"/>
      <c r="G364" s="15"/>
      <c r="H364" s="15"/>
      <c r="I364" s="86"/>
      <c r="J364" s="231"/>
      <c r="K364" s="231"/>
      <c r="L364" s="231"/>
      <c r="M364" s="231"/>
      <c r="N364" s="231"/>
      <c r="O364" s="231"/>
      <c r="P364" s="231"/>
      <c r="Q364" s="231"/>
      <c r="R364" s="231"/>
      <c r="S364" s="231"/>
      <c r="T364" s="231"/>
      <c r="U364" s="231"/>
      <c r="V364" s="231"/>
      <c r="W364" s="231"/>
      <c r="X364" s="231"/>
      <c r="Y364" s="231"/>
      <c r="Z364" s="231"/>
      <c r="AA364" s="231"/>
      <c r="AB364" s="231"/>
      <c r="AC364" s="231"/>
      <c r="AD364" s="231"/>
      <c r="AE364" s="231"/>
      <c r="AF364" s="231"/>
      <c r="AG364" s="231"/>
    </row>
    <row r="365" spans="1:33" s="203" customFormat="1">
      <c r="A365" s="199"/>
      <c r="B365" s="15"/>
      <c r="C365" s="15"/>
      <c r="D365" s="15"/>
      <c r="E365" s="15"/>
      <c r="F365" s="15"/>
      <c r="G365" s="15"/>
      <c r="H365" s="86"/>
      <c r="I365" s="86"/>
      <c r="J365" s="231"/>
      <c r="K365" s="231"/>
      <c r="L365" s="231"/>
      <c r="M365" s="231"/>
      <c r="N365" s="231"/>
      <c r="O365" s="231"/>
      <c r="P365" s="231"/>
      <c r="Q365" s="231"/>
      <c r="R365" s="231"/>
      <c r="S365" s="231"/>
      <c r="T365" s="231"/>
      <c r="U365" s="231"/>
      <c r="V365" s="231"/>
      <c r="W365" s="231"/>
      <c r="X365" s="231"/>
      <c r="Y365" s="231"/>
      <c r="Z365" s="231"/>
      <c r="AA365" s="231"/>
      <c r="AB365" s="231"/>
      <c r="AC365" s="231"/>
      <c r="AD365" s="231"/>
      <c r="AE365" s="231"/>
      <c r="AF365" s="231"/>
      <c r="AG365" s="231"/>
    </row>
    <row r="366" spans="1:33" s="203" customFormat="1">
      <c r="A366" s="199"/>
      <c r="B366" s="15"/>
      <c r="C366" s="15"/>
      <c r="D366" s="15"/>
      <c r="E366" s="15"/>
      <c r="F366" s="15"/>
      <c r="G366" s="15"/>
      <c r="H366" s="86"/>
      <c r="I366" s="86"/>
      <c r="J366" s="231"/>
      <c r="K366" s="231"/>
      <c r="L366" s="231"/>
      <c r="M366" s="231"/>
      <c r="N366" s="231"/>
      <c r="O366" s="231"/>
      <c r="P366" s="231"/>
      <c r="Q366" s="231"/>
      <c r="R366" s="231"/>
      <c r="S366" s="231"/>
      <c r="T366" s="231"/>
      <c r="U366" s="231"/>
      <c r="V366" s="231"/>
      <c r="W366" s="231"/>
      <c r="X366" s="231"/>
      <c r="Y366" s="231"/>
      <c r="Z366" s="231"/>
      <c r="AA366" s="231"/>
      <c r="AB366" s="231"/>
      <c r="AC366" s="231"/>
      <c r="AD366" s="231"/>
      <c r="AE366" s="231"/>
      <c r="AF366" s="231"/>
      <c r="AG366" s="231"/>
    </row>
    <row r="367" spans="1:33" s="8" customFormat="1"/>
    <row r="368" spans="1:33" s="8" customFormat="1"/>
    <row r="369" s="8" customFormat="1"/>
    <row r="370" s="8" customFormat="1"/>
    <row r="371" s="8" customFormat="1"/>
    <row r="372" s="8" customFormat="1"/>
    <row r="373" s="8" customFormat="1"/>
    <row r="374" s="8" customFormat="1"/>
    <row r="375" s="8" customFormat="1"/>
    <row r="376" s="8" customFormat="1"/>
    <row r="377" s="8" customFormat="1"/>
    <row r="378" s="8" customFormat="1"/>
    <row r="379" s="8" customFormat="1"/>
    <row r="380" s="8" customFormat="1"/>
    <row r="381" s="8" customFormat="1"/>
    <row r="382" s="8" customFormat="1"/>
    <row r="383" s="8" customFormat="1"/>
    <row r="384" s="8" customFormat="1"/>
    <row r="385" spans="1:9" s="8" customFormat="1"/>
    <row r="386" spans="1:9" s="8" customFormat="1"/>
    <row r="387" spans="1:9" s="8" customFormat="1"/>
    <row r="388" spans="1:9" s="8" customFormat="1"/>
    <row r="389" spans="1:9" s="8" customFormat="1"/>
    <row r="390" spans="1:9" s="8" customFormat="1"/>
    <row r="391" spans="1:9" s="8" customFormat="1"/>
    <row r="392" spans="1:9" s="8" customFormat="1"/>
    <row r="393" spans="1:9" s="8" customFormat="1"/>
    <row r="394" spans="1:9" s="8" customFormat="1"/>
    <row r="395" spans="1:9" s="8" customFormat="1"/>
    <row r="396" spans="1:9" s="8" customFormat="1"/>
    <row r="397" spans="1:9" s="8" customFormat="1"/>
    <row r="398" spans="1:9" s="8" customFormat="1"/>
    <row r="399" spans="1:9" s="8" customFormat="1"/>
    <row r="400" spans="1:9">
      <c r="A400" s="8"/>
      <c r="B400" s="8"/>
      <c r="C400" s="8"/>
      <c r="D400" s="8"/>
      <c r="E400" s="8"/>
      <c r="F400" s="8"/>
      <c r="G400" s="8"/>
      <c r="H400" s="8"/>
      <c r="I400" s="8"/>
    </row>
    <row r="401" spans="1:9">
      <c r="A401" s="8"/>
      <c r="B401" s="8"/>
      <c r="C401" s="8"/>
      <c r="D401" s="8"/>
      <c r="E401" s="8"/>
      <c r="F401" s="8"/>
      <c r="G401" s="8"/>
      <c r="H401" s="8"/>
      <c r="I401" s="8"/>
    </row>
    <row r="402" spans="1:9">
      <c r="A402" s="8"/>
      <c r="B402" s="8"/>
      <c r="C402" s="8"/>
      <c r="D402" s="8"/>
      <c r="E402" s="8"/>
      <c r="F402" s="8"/>
      <c r="G402" s="8"/>
      <c r="H402" s="8"/>
      <c r="I402" s="8"/>
    </row>
    <row r="403" spans="1:9">
      <c r="A403" s="8"/>
      <c r="B403" s="8"/>
      <c r="C403" s="8"/>
      <c r="D403" s="8"/>
      <c r="E403" s="8"/>
      <c r="F403" s="8"/>
      <c r="G403" s="8"/>
      <c r="H403" s="8"/>
      <c r="I403" s="8"/>
    </row>
    <row r="404" spans="1:9">
      <c r="A404" s="8"/>
      <c r="B404" s="8"/>
      <c r="C404" s="8"/>
      <c r="D404" s="8"/>
      <c r="E404" s="8"/>
      <c r="F404" s="8"/>
      <c r="G404" s="8"/>
      <c r="H404" s="8"/>
      <c r="I404" s="8"/>
    </row>
    <row r="405" spans="1:9">
      <c r="A405" s="8"/>
      <c r="B405" s="8"/>
      <c r="C405" s="8"/>
      <c r="D405" s="8"/>
      <c r="E405" s="8"/>
      <c r="F405" s="8"/>
      <c r="G405" s="8"/>
      <c r="H405" s="8"/>
      <c r="I405" s="8"/>
    </row>
    <row r="406" spans="1:9">
      <c r="A406" s="8"/>
      <c r="B406" s="8"/>
      <c r="C406" s="8"/>
      <c r="D406" s="8"/>
      <c r="E406" s="8"/>
      <c r="F406" s="8"/>
      <c r="G406" s="8"/>
      <c r="H406" s="8"/>
      <c r="I406" s="8"/>
    </row>
    <row r="407" spans="1:9">
      <c r="A407" s="8"/>
      <c r="B407" s="8"/>
      <c r="C407" s="8"/>
      <c r="D407" s="8"/>
      <c r="E407" s="8"/>
      <c r="F407" s="8"/>
      <c r="G407" s="8"/>
      <c r="H407" s="8"/>
      <c r="I407" s="8"/>
    </row>
    <row r="408" spans="1:9">
      <c r="A408" s="8"/>
      <c r="B408" s="8"/>
      <c r="C408" s="8"/>
      <c r="D408" s="8"/>
      <c r="E408" s="8"/>
      <c r="F408" s="8"/>
      <c r="G408" s="8"/>
      <c r="H408" s="8"/>
      <c r="I408" s="8"/>
    </row>
    <row r="409" spans="1:9">
      <c r="A409" s="8"/>
      <c r="B409" s="8"/>
      <c r="C409" s="8"/>
      <c r="D409" s="8"/>
      <c r="E409" s="8"/>
      <c r="F409" s="8"/>
      <c r="G409" s="8"/>
      <c r="H409" s="8"/>
      <c r="I409" s="8"/>
    </row>
    <row r="410" spans="1:9">
      <c r="A410" s="8"/>
      <c r="B410" s="8"/>
      <c r="C410" s="8"/>
      <c r="D410" s="8"/>
      <c r="E410" s="8"/>
      <c r="F410" s="8"/>
      <c r="G410" s="8"/>
      <c r="H410" s="8"/>
      <c r="I410" s="8"/>
    </row>
    <row r="411" spans="1:9">
      <c r="A411" s="8"/>
      <c r="B411" s="8"/>
      <c r="C411" s="8"/>
      <c r="D411" s="8"/>
      <c r="E411" s="8"/>
      <c r="F411" s="8"/>
      <c r="G411" s="8"/>
      <c r="H411" s="8"/>
      <c r="I411" s="8"/>
    </row>
    <row r="412" spans="1:9">
      <c r="A412" s="8"/>
      <c r="B412" s="8"/>
      <c r="C412" s="8"/>
      <c r="D412" s="8"/>
      <c r="E412" s="8"/>
      <c r="F412" s="8"/>
      <c r="G412" s="8"/>
      <c r="H412" s="8"/>
      <c r="I412" s="8"/>
    </row>
    <row r="413" spans="1:9">
      <c r="A413" s="8"/>
      <c r="B413" s="8"/>
      <c r="C413" s="8"/>
      <c r="D413" s="8"/>
      <c r="E413" s="8"/>
      <c r="F413" s="8"/>
      <c r="G413" s="8"/>
      <c r="H413" s="8"/>
      <c r="I413" s="8"/>
    </row>
    <row r="414" spans="1:9">
      <c r="A414" s="8"/>
      <c r="B414" s="8"/>
      <c r="C414" s="8"/>
      <c r="D414" s="8"/>
      <c r="E414" s="8"/>
      <c r="F414" s="8"/>
      <c r="G414" s="8"/>
      <c r="H414" s="8"/>
      <c r="I414" s="8"/>
    </row>
  </sheetData>
  <mergeCells count="59">
    <mergeCell ref="F341:F345"/>
    <mergeCell ref="H341:H345"/>
    <mergeCell ref="E261:E265"/>
    <mergeCell ref="F261:F265"/>
    <mergeCell ref="H261:H265"/>
    <mergeCell ref="E280:E284"/>
    <mergeCell ref="F280:F284"/>
    <mergeCell ref="H280:H284"/>
    <mergeCell ref="E305:E309"/>
    <mergeCell ref="F305:F309"/>
    <mergeCell ref="H305:H309"/>
    <mergeCell ref="C323:H323"/>
    <mergeCell ref="C330:H330"/>
    <mergeCell ref="E341:E345"/>
    <mergeCell ref="E221:E225"/>
    <mergeCell ref="F221:F225"/>
    <mergeCell ref="H221:H225"/>
    <mergeCell ref="E234:E238"/>
    <mergeCell ref="F234:F238"/>
    <mergeCell ref="H234:H238"/>
    <mergeCell ref="G66:G70"/>
    <mergeCell ref="H66:H70"/>
    <mergeCell ref="F91:F95"/>
    <mergeCell ref="H91:H95"/>
    <mergeCell ref="E193:E197"/>
    <mergeCell ref="F193:F197"/>
    <mergeCell ref="H193:H197"/>
    <mergeCell ref="E153:E157"/>
    <mergeCell ref="F153:F157"/>
    <mergeCell ref="H153:H157"/>
    <mergeCell ref="E91:E95"/>
    <mergeCell ref="I66:I70"/>
    <mergeCell ref="A23:D24"/>
    <mergeCell ref="E23:E24"/>
    <mergeCell ref="F23:F24"/>
    <mergeCell ref="H23:H24"/>
    <mergeCell ref="A25:A27"/>
    <mergeCell ref="B25:D27"/>
    <mergeCell ref="E25:E27"/>
    <mergeCell ref="F25:F27"/>
    <mergeCell ref="H25:H27"/>
    <mergeCell ref="A40:D41"/>
    <mergeCell ref="E40:E41"/>
    <mergeCell ref="F40:F41"/>
    <mergeCell ref="H40:H41"/>
    <mergeCell ref="E66:E70"/>
    <mergeCell ref="F66:F70"/>
    <mergeCell ref="C19:F19"/>
    <mergeCell ref="B3:B4"/>
    <mergeCell ref="C3:D4"/>
    <mergeCell ref="A5:B5"/>
    <mergeCell ref="D6:H6"/>
    <mergeCell ref="A9:I9"/>
    <mergeCell ref="D10:F10"/>
    <mergeCell ref="C14:F14"/>
    <mergeCell ref="C15:F15"/>
    <mergeCell ref="C16:F16"/>
    <mergeCell ref="C17:F17"/>
    <mergeCell ref="C18:F18"/>
  </mergeCells>
  <phoneticPr fontId="10" type="noConversion"/>
  <conditionalFormatting sqref="F286:F301 F311:F318 F80:F88 F96:F97 F103:F104 F106 F110:F114 F118:F124 F128:F134 F138:F142 F146:F149 F159:F162 F166:F168 F171:F172 F175:F177 F183:F190 F199:F200 F204:F206 F210:F213 F217:F218 F226:F230 F240:F241 F245:F246 F250:F253 F256 F267:F276 H250 C326">
    <cfRule type="expression" dxfId="22" priority="287" stopIfTrue="1">
      <formula>ISBLANK(C80)</formula>
    </cfRule>
    <cfRule type="expression" dxfId="21" priority="288" stopIfTrue="1">
      <formula>IF(AND(OR(C80-B80&gt;500,C80-B80&lt;-500),OR(#REF!&gt;0.1,#REF!&lt;-0.1)),TRUE,FALSE)</formula>
    </cfRule>
  </conditionalFormatting>
  <dataValidations count="1">
    <dataValidation type="list" errorStyle="information" allowBlank="1" showInputMessage="1" showErrorMessage="1" errorTitle="POBE 2006" error="Please select from the drop-down menu..." prompt="Please select your Authority from the drop-down menu..." sqref="C3:D4">
      <formula1>#REF!</formula1>
    </dataValidation>
  </dataValidations>
  <hyperlinks>
    <hyperlink ref="F7" r:id="rId1" display="lgfstats@scotland.gsi.gov.uk"/>
    <hyperlink ref="D6" r:id="rId2"/>
    <hyperlink ref="D10" r:id="rId3" display="^lgfstats@gov.scot"/>
    <hyperlink ref="B14" location="'POBE 2017'!A28" display="PART 1 - Expenditure"/>
    <hyperlink ref="C19:F19" location="'POBE 2017'!A323" display="Sheet 10. - PUBLIC PRIVATE PARTNERSHIPS/PRIVATE FINANCE INITIATIVES"/>
    <hyperlink ref="B15" location="'POBE 2017'!A40" display="PART 2 - Income and Balances"/>
    <hyperlink ref="B16" location="'POBE 2017'!A66" display="Sheet 1. EDUCATION"/>
    <hyperlink ref="B17" location="'POBE 2017'!A91" display="Sheet 2. SOCIAL WORK"/>
    <hyperlink ref="B18" location="'POBE 2017'!A153" display="Sheet 3. ROADS AND TRANSPORT"/>
    <hyperlink ref="B19" location="'POBE 2017'!A193" display="Sheet 4. ENVIRONMENTAL SERVICES"/>
    <hyperlink ref="C14:F14" location="'POBE 2017'!A221" display="Sheet 5. PLANNING AND DEVELOPMENT SERVICES"/>
    <hyperlink ref="C15:F15" location="'POBE 2017'!A234" display="Sheet 6. CULTURAL AND RELATED SERVICES"/>
    <hyperlink ref="C16:F16" location="'POBE 2017'!A261" display="Sheet 7. HOUSING"/>
    <hyperlink ref="C17:F17" location="'POBE 2017'!A280" display="Sheet 8. CENTRAL SERVICES"/>
    <hyperlink ref="C18:F18" location="'POBE 2017'!A305" display="Sheet 9. OTHER EXPENDITURE"/>
  </hyperlinks>
  <pageMargins left="0.75" right="0.75" top="1" bottom="1" header="0.5" footer="0.5"/>
  <pageSetup paperSize="9" orientation="portrait" r:id="rId4"/>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AH414"/>
  <sheetViews>
    <sheetView topLeftCell="A184" zoomScale="80" zoomScaleNormal="80" workbookViewId="0">
      <selection activeCell="F188" sqref="F188"/>
    </sheetView>
  </sheetViews>
  <sheetFormatPr defaultColWidth="9.140625" defaultRowHeight="12.75"/>
  <cols>
    <col min="1" max="1" width="10.5703125" style="1" customWidth="1"/>
    <col min="2" max="2" width="43" style="1" customWidth="1"/>
    <col min="3" max="3" width="24.5703125" style="1" customWidth="1"/>
    <col min="4" max="4" width="14.7109375" style="1" customWidth="1"/>
    <col min="5" max="5" width="21.5703125" style="1" customWidth="1"/>
    <col min="6" max="6" width="19.140625" style="1" customWidth="1"/>
    <col min="7" max="7" width="17.42578125" style="1" customWidth="1"/>
    <col min="8" max="8" width="19.28515625" style="1" customWidth="1"/>
    <col min="9" max="9" width="17.85546875" style="1" customWidth="1"/>
    <col min="10" max="16" width="9.140625" style="8" customWidth="1"/>
    <col min="17" max="27" width="9.140625" style="8"/>
    <col min="28" max="28" width="0" style="8" hidden="1" customWidth="1"/>
    <col min="29" max="34" width="9.140625" style="8"/>
    <col min="35" max="16384" width="9.140625" style="1"/>
  </cols>
  <sheetData>
    <row r="1" spans="1:34" s="203" customFormat="1" ht="51" customHeight="1">
      <c r="A1" s="3" t="s">
        <v>410</v>
      </c>
      <c r="B1" s="4"/>
      <c r="C1" s="224"/>
      <c r="D1" s="224"/>
      <c r="E1" s="224"/>
      <c r="F1" s="224"/>
      <c r="G1" s="225"/>
      <c r="H1" s="226"/>
      <c r="I1" s="227"/>
      <c r="J1" s="231"/>
      <c r="K1" s="231"/>
      <c r="L1" s="231"/>
      <c r="M1" s="231"/>
      <c r="N1" s="231"/>
      <c r="O1" s="231"/>
      <c r="P1" s="231"/>
      <c r="Q1" s="231"/>
      <c r="R1" s="231"/>
      <c r="S1" s="231"/>
      <c r="T1" s="231"/>
      <c r="U1" s="231"/>
      <c r="V1" s="231"/>
      <c r="W1" s="231"/>
      <c r="X1" s="231"/>
      <c r="Y1" s="231"/>
      <c r="Z1" s="231"/>
      <c r="AA1" s="231"/>
      <c r="AB1" s="231"/>
      <c r="AC1" s="231"/>
      <c r="AD1" s="231"/>
      <c r="AE1" s="231"/>
      <c r="AF1" s="231"/>
      <c r="AG1" s="231"/>
      <c r="AH1" s="231"/>
    </row>
    <row r="2" spans="1:34" s="203" customFormat="1" ht="35.25">
      <c r="A2" s="9"/>
      <c r="B2" s="10"/>
      <c r="C2" s="232"/>
      <c r="D2" s="232"/>
      <c r="E2" s="232"/>
      <c r="F2" s="11"/>
      <c r="G2" s="11"/>
      <c r="H2" s="11"/>
      <c r="I2" s="11"/>
      <c r="J2" s="231"/>
      <c r="K2" s="231"/>
      <c r="L2" s="231"/>
      <c r="M2" s="231"/>
      <c r="N2" s="231"/>
      <c r="O2" s="231"/>
      <c r="P2" s="231"/>
      <c r="Q2" s="231"/>
      <c r="R2" s="231"/>
      <c r="S2" s="231"/>
      <c r="T2" s="231"/>
      <c r="U2" s="231"/>
      <c r="V2" s="231"/>
      <c r="W2" s="231"/>
      <c r="X2" s="231"/>
      <c r="Y2" s="231"/>
      <c r="Z2" s="231"/>
      <c r="AA2" s="231"/>
      <c r="AB2" s="231"/>
      <c r="AC2" s="231"/>
      <c r="AD2" s="231"/>
      <c r="AE2" s="231"/>
      <c r="AF2" s="231"/>
      <c r="AG2" s="231"/>
      <c r="AH2" s="231"/>
    </row>
    <row r="3" spans="1:34" s="203" customFormat="1" ht="15">
      <c r="A3" s="12"/>
      <c r="B3" s="882" t="s">
        <v>0</v>
      </c>
      <c r="C3" s="884" t="s">
        <v>38</v>
      </c>
      <c r="D3" s="885"/>
      <c r="E3" s="13"/>
      <c r="F3" s="14"/>
      <c r="G3" s="14"/>
      <c r="H3" s="15"/>
      <c r="I3" s="14"/>
      <c r="J3" s="231"/>
      <c r="K3" s="231"/>
      <c r="L3" s="231"/>
      <c r="M3" s="231"/>
      <c r="N3" s="231"/>
      <c r="O3" s="231"/>
      <c r="P3" s="231"/>
      <c r="Q3" s="231"/>
      <c r="R3" s="231"/>
      <c r="S3" s="231"/>
      <c r="T3" s="231"/>
      <c r="U3" s="231"/>
      <c r="V3" s="231"/>
      <c r="W3" s="231"/>
      <c r="X3" s="231"/>
      <c r="Y3" s="231"/>
      <c r="Z3" s="231"/>
      <c r="AA3" s="231"/>
      <c r="AB3" s="231"/>
      <c r="AC3" s="231"/>
      <c r="AD3" s="231"/>
      <c r="AE3" s="231"/>
      <c r="AF3" s="231"/>
      <c r="AG3" s="231"/>
      <c r="AH3" s="231"/>
    </row>
    <row r="4" spans="1:34" s="203" customFormat="1" ht="15">
      <c r="A4" s="17"/>
      <c r="B4" s="883"/>
      <c r="C4" s="886"/>
      <c r="D4" s="887"/>
      <c r="E4" s="13"/>
      <c r="F4" s="14"/>
      <c r="G4" s="14"/>
      <c r="H4" s="15"/>
      <c r="I4" s="14"/>
      <c r="J4" s="231"/>
      <c r="K4" s="231"/>
      <c r="L4" s="231"/>
      <c r="M4" s="231"/>
      <c r="N4" s="231"/>
      <c r="O4" s="231"/>
      <c r="P4" s="231"/>
      <c r="Q4" s="231"/>
      <c r="R4" s="231"/>
      <c r="S4" s="231"/>
      <c r="T4" s="231"/>
      <c r="U4" s="231"/>
      <c r="V4" s="231"/>
      <c r="W4" s="231"/>
      <c r="X4" s="231"/>
      <c r="Y4" s="231"/>
      <c r="Z4" s="231"/>
      <c r="AA4" s="231"/>
      <c r="AB4" s="231"/>
      <c r="AC4" s="231"/>
      <c r="AD4" s="231"/>
      <c r="AE4" s="231"/>
      <c r="AF4" s="231"/>
      <c r="AG4" s="231"/>
      <c r="AH4" s="231"/>
    </row>
    <row r="5" spans="1:34" s="203" customFormat="1" ht="15">
      <c r="A5" s="888"/>
      <c r="B5" s="889"/>
      <c r="C5" s="18"/>
      <c r="D5" s="206"/>
      <c r="E5" s="206"/>
      <c r="F5" s="14"/>
      <c r="G5" s="14"/>
      <c r="H5" s="14"/>
      <c r="I5" s="234"/>
      <c r="J5" s="231"/>
      <c r="K5" s="231"/>
      <c r="L5" s="231"/>
      <c r="M5" s="231"/>
      <c r="N5" s="231"/>
      <c r="O5" s="231"/>
      <c r="P5" s="231"/>
      <c r="Q5" s="231"/>
      <c r="R5" s="231"/>
      <c r="S5" s="231"/>
      <c r="T5" s="231"/>
      <c r="U5" s="231"/>
      <c r="V5" s="231"/>
      <c r="W5" s="231"/>
      <c r="X5" s="231"/>
      <c r="Y5" s="231"/>
      <c r="Z5" s="231"/>
      <c r="AA5" s="231"/>
      <c r="AB5" s="231"/>
      <c r="AC5" s="231"/>
      <c r="AD5" s="231"/>
      <c r="AE5" s="231"/>
      <c r="AF5" s="231"/>
      <c r="AG5" s="231"/>
      <c r="AH5" s="231"/>
    </row>
    <row r="6" spans="1:34" s="203" customFormat="1" ht="23.25" customHeight="1">
      <c r="A6" s="19" t="s">
        <v>1</v>
      </c>
      <c r="B6" s="207"/>
      <c r="C6" s="20"/>
      <c r="D6" s="890" t="s">
        <v>249</v>
      </c>
      <c r="E6" s="890"/>
      <c r="F6" s="890"/>
      <c r="G6" s="890"/>
      <c r="H6" s="890"/>
      <c r="I6" s="29"/>
      <c r="J6" s="231"/>
      <c r="K6" s="231"/>
      <c r="L6" s="231"/>
      <c r="M6" s="231"/>
      <c r="N6" s="231"/>
      <c r="O6" s="231"/>
      <c r="P6" s="231"/>
      <c r="Q6" s="231"/>
      <c r="R6" s="231"/>
      <c r="S6" s="231"/>
      <c r="T6" s="231"/>
      <c r="U6" s="231"/>
      <c r="V6" s="231"/>
      <c r="W6" s="231"/>
      <c r="X6" s="231"/>
      <c r="Y6" s="231"/>
      <c r="Z6" s="231"/>
      <c r="AA6" s="231"/>
      <c r="AB6" s="231"/>
      <c r="AC6" s="231"/>
      <c r="AD6" s="231"/>
      <c r="AE6" s="231"/>
      <c r="AF6" s="231"/>
      <c r="AG6" s="231"/>
      <c r="AH6" s="231"/>
    </row>
    <row r="7" spans="1:34" s="203" customFormat="1" ht="18.75" customHeight="1">
      <c r="A7" s="19" t="s">
        <v>419</v>
      </c>
      <c r="B7" s="207"/>
      <c r="C7" s="207"/>
      <c r="D7" s="207"/>
      <c r="E7" s="207"/>
      <c r="F7" s="362" t="s">
        <v>250</v>
      </c>
      <c r="G7" s="1"/>
      <c r="H7" s="21"/>
      <c r="I7" s="29"/>
      <c r="J7" s="231"/>
      <c r="K7" s="231"/>
      <c r="L7" s="231"/>
      <c r="M7" s="231"/>
      <c r="N7" s="231"/>
      <c r="O7" s="231"/>
      <c r="P7" s="231"/>
      <c r="Q7" s="231"/>
      <c r="R7" s="231"/>
      <c r="S7" s="231"/>
      <c r="T7" s="231"/>
      <c r="U7" s="231"/>
      <c r="V7" s="231"/>
      <c r="W7" s="231"/>
      <c r="X7" s="231"/>
      <c r="Y7" s="231"/>
      <c r="Z7" s="231"/>
      <c r="AA7" s="231"/>
      <c r="AB7" s="231"/>
      <c r="AC7" s="231"/>
      <c r="AD7" s="231"/>
      <c r="AE7" s="231"/>
      <c r="AF7" s="231"/>
      <c r="AG7" s="231"/>
      <c r="AH7" s="231"/>
    </row>
    <row r="8" spans="1:34" s="203" customFormat="1" ht="24" customHeight="1">
      <c r="A8" s="22" t="s">
        <v>408</v>
      </c>
      <c r="B8" s="207"/>
      <c r="C8" s="207"/>
      <c r="D8" s="207"/>
      <c r="E8" s="207"/>
      <c r="F8" s="207"/>
      <c r="G8" s="650"/>
      <c r="H8" s="21"/>
      <c r="I8" s="29"/>
      <c r="J8" s="231"/>
      <c r="K8" s="231"/>
      <c r="L8" s="231"/>
      <c r="M8" s="231"/>
      <c r="N8" s="231"/>
      <c r="O8" s="231"/>
      <c r="P8" s="231"/>
      <c r="Q8" s="231"/>
      <c r="R8" s="231"/>
      <c r="S8" s="231"/>
      <c r="T8" s="231"/>
      <c r="U8" s="231"/>
      <c r="V8" s="231"/>
      <c r="W8" s="231"/>
      <c r="X8" s="231"/>
      <c r="Y8" s="231"/>
      <c r="Z8" s="231"/>
      <c r="AA8" s="231"/>
      <c r="AB8" s="231"/>
      <c r="AC8" s="231"/>
      <c r="AD8" s="231"/>
      <c r="AE8" s="231"/>
      <c r="AF8" s="231"/>
      <c r="AG8" s="231"/>
      <c r="AH8" s="231"/>
    </row>
    <row r="9" spans="1:34" s="203" customFormat="1" ht="30.75" customHeight="1">
      <c r="A9" s="891" t="s">
        <v>420</v>
      </c>
      <c r="B9" s="892"/>
      <c r="C9" s="892"/>
      <c r="D9" s="892"/>
      <c r="E9" s="892"/>
      <c r="F9" s="892"/>
      <c r="G9" s="892"/>
      <c r="H9" s="892"/>
      <c r="I9" s="892"/>
      <c r="J9" s="231"/>
      <c r="K9" s="231"/>
      <c r="L9" s="231"/>
      <c r="M9" s="231"/>
      <c r="N9" s="231"/>
      <c r="O9" s="231"/>
      <c r="P9" s="231"/>
      <c r="Q9" s="231"/>
      <c r="R9" s="231"/>
      <c r="S9" s="231"/>
      <c r="T9" s="231"/>
      <c r="U9" s="231"/>
      <c r="V9" s="231"/>
      <c r="W9" s="231"/>
      <c r="X9" s="231"/>
      <c r="Y9" s="231"/>
      <c r="Z9" s="231"/>
      <c r="AA9" s="231"/>
      <c r="AB9" s="231"/>
      <c r="AC9" s="231"/>
      <c r="AD9" s="231"/>
      <c r="AE9" s="231"/>
      <c r="AF9" s="231"/>
      <c r="AG9" s="231"/>
      <c r="AH9" s="231"/>
    </row>
    <row r="10" spans="1:34" s="203" customFormat="1" ht="12.75" customHeight="1">
      <c r="A10" s="22" t="s">
        <v>409</v>
      </c>
      <c r="B10" s="19"/>
      <c r="C10" s="1"/>
      <c r="D10" s="880" t="s">
        <v>250</v>
      </c>
      <c r="E10" s="881"/>
      <c r="F10" s="881"/>
      <c r="G10" s="207"/>
      <c r="H10" s="207"/>
      <c r="I10" s="29"/>
      <c r="J10" s="231"/>
      <c r="K10" s="231"/>
      <c r="L10" s="231"/>
      <c r="M10" s="231"/>
      <c r="N10" s="231"/>
      <c r="O10" s="231"/>
      <c r="P10" s="231"/>
      <c r="Q10" s="231"/>
      <c r="R10" s="231"/>
      <c r="S10" s="231"/>
      <c r="T10" s="231"/>
      <c r="U10" s="231"/>
      <c r="V10" s="231"/>
      <c r="W10" s="231"/>
      <c r="X10" s="231"/>
      <c r="Y10" s="231"/>
      <c r="Z10" s="231"/>
      <c r="AA10" s="231"/>
      <c r="AB10" s="231"/>
      <c r="AC10" s="231"/>
      <c r="AD10" s="231"/>
      <c r="AE10" s="231"/>
      <c r="AF10" s="231"/>
      <c r="AG10" s="231"/>
      <c r="AH10" s="231"/>
    </row>
    <row r="11" spans="1:34" s="203" customFormat="1">
      <c r="A11" s="23"/>
      <c r="B11" s="207"/>
      <c r="C11" s="207"/>
      <c r="D11" s="207"/>
      <c r="E11" s="207"/>
      <c r="F11" s="207"/>
      <c r="G11" s="21"/>
      <c r="H11" s="21"/>
      <c r="I11" s="29"/>
      <c r="J11" s="231"/>
      <c r="K11" s="231"/>
      <c r="L11" s="231"/>
      <c r="M11" s="231"/>
      <c r="N11" s="231"/>
      <c r="O11" s="231"/>
      <c r="P11" s="231"/>
      <c r="Q11" s="231"/>
      <c r="R11" s="231"/>
      <c r="S11" s="231"/>
      <c r="T11" s="231"/>
      <c r="U11" s="231"/>
      <c r="V11" s="231"/>
      <c r="W11" s="231"/>
      <c r="X11" s="231"/>
      <c r="Y11" s="231"/>
      <c r="Z11" s="231"/>
      <c r="AA11" s="231"/>
      <c r="AB11" s="231"/>
      <c r="AC11" s="231"/>
      <c r="AD11" s="231"/>
      <c r="AE11" s="231"/>
      <c r="AF11" s="231"/>
      <c r="AG11" s="231"/>
      <c r="AH11" s="231"/>
    </row>
    <row r="12" spans="1:34" s="203" customFormat="1">
      <c r="A12" s="24"/>
      <c r="B12" s="25" t="s">
        <v>7</v>
      </c>
      <c r="C12" s="26"/>
      <c r="D12" s="356"/>
      <c r="E12" s="356"/>
      <c r="F12" s="357"/>
      <c r="G12" s="21"/>
      <c r="H12" s="21"/>
      <c r="I12" s="29"/>
      <c r="J12" s="231"/>
      <c r="K12" s="231"/>
      <c r="L12" s="231"/>
      <c r="M12" s="231"/>
      <c r="N12" s="231"/>
      <c r="O12" s="231"/>
      <c r="P12" s="231"/>
      <c r="Q12" s="231"/>
      <c r="R12" s="231"/>
      <c r="S12" s="231"/>
      <c r="T12" s="231"/>
      <c r="U12" s="231"/>
      <c r="V12" s="231"/>
      <c r="W12" s="231"/>
      <c r="X12" s="231"/>
      <c r="Y12" s="231"/>
      <c r="Z12" s="231"/>
      <c r="AA12" s="231"/>
      <c r="AB12" s="231"/>
      <c r="AC12" s="231"/>
      <c r="AD12" s="231"/>
      <c r="AE12" s="231"/>
      <c r="AF12" s="231"/>
      <c r="AG12" s="231"/>
      <c r="AH12" s="231"/>
    </row>
    <row r="13" spans="1:34" s="203" customFormat="1">
      <c r="A13" s="23"/>
      <c r="B13" s="27"/>
      <c r="C13" s="358"/>
      <c r="D13" s="15"/>
      <c r="E13" s="15"/>
      <c r="F13" s="359"/>
      <c r="G13" s="207"/>
      <c r="H13" s="21"/>
      <c r="I13" s="29"/>
      <c r="J13" s="231"/>
      <c r="K13" s="231"/>
      <c r="L13" s="231"/>
      <c r="M13" s="231"/>
      <c r="N13" s="231"/>
      <c r="O13" s="231"/>
      <c r="P13" s="231"/>
      <c r="Q13" s="231"/>
      <c r="R13" s="231"/>
      <c r="S13" s="231"/>
      <c r="T13" s="231"/>
      <c r="U13" s="231"/>
      <c r="V13" s="231"/>
      <c r="W13" s="231"/>
      <c r="X13" s="231"/>
      <c r="Y13" s="231"/>
      <c r="Z13" s="231"/>
      <c r="AA13" s="231"/>
      <c r="AB13" s="231"/>
      <c r="AC13" s="231"/>
      <c r="AD13" s="231"/>
      <c r="AE13" s="231"/>
      <c r="AF13" s="231"/>
      <c r="AG13" s="231"/>
      <c r="AH13" s="231"/>
    </row>
    <row r="14" spans="1:34" s="203" customFormat="1">
      <c r="A14" s="23"/>
      <c r="B14" s="363" t="s">
        <v>328</v>
      </c>
      <c r="C14" s="870" t="s">
        <v>10</v>
      </c>
      <c r="D14" s="870"/>
      <c r="E14" s="870"/>
      <c r="F14" s="871"/>
      <c r="G14" s="207"/>
      <c r="H14" s="21"/>
      <c r="I14" s="29"/>
      <c r="J14" s="231"/>
      <c r="K14" s="231"/>
      <c r="L14" s="231"/>
      <c r="M14" s="231"/>
      <c r="N14" s="231"/>
      <c r="O14" s="231"/>
      <c r="P14" s="231"/>
      <c r="Q14" s="231"/>
      <c r="R14" s="231"/>
      <c r="S14" s="231"/>
      <c r="T14" s="231"/>
      <c r="U14" s="231"/>
      <c r="V14" s="231"/>
      <c r="W14" s="231"/>
      <c r="X14" s="231"/>
      <c r="Y14" s="231"/>
      <c r="Z14" s="231"/>
      <c r="AA14" s="231"/>
      <c r="AB14" s="231"/>
      <c r="AC14" s="231"/>
      <c r="AD14" s="231"/>
      <c r="AE14" s="231"/>
      <c r="AF14" s="231"/>
      <c r="AG14" s="231"/>
      <c r="AH14" s="231"/>
    </row>
    <row r="15" spans="1:34" s="203" customFormat="1">
      <c r="A15" s="23"/>
      <c r="B15" s="363" t="s">
        <v>329</v>
      </c>
      <c r="C15" s="870" t="s">
        <v>12</v>
      </c>
      <c r="D15" s="870"/>
      <c r="E15" s="870"/>
      <c r="F15" s="871"/>
      <c r="G15" s="207"/>
      <c r="H15" s="21"/>
      <c r="I15" s="29"/>
      <c r="J15" s="231"/>
      <c r="K15" s="231"/>
      <c r="L15" s="231"/>
      <c r="M15" s="231"/>
      <c r="N15" s="231"/>
      <c r="O15" s="231"/>
      <c r="P15" s="231"/>
      <c r="Q15" s="231"/>
      <c r="R15" s="231"/>
      <c r="S15" s="231"/>
      <c r="T15" s="231"/>
      <c r="U15" s="231"/>
      <c r="V15" s="231"/>
      <c r="W15" s="231"/>
      <c r="X15" s="231"/>
      <c r="Y15" s="231"/>
      <c r="Z15" s="231"/>
      <c r="AA15" s="231"/>
      <c r="AB15" s="231"/>
      <c r="AC15" s="231"/>
      <c r="AD15" s="231"/>
      <c r="AE15" s="231"/>
      <c r="AF15" s="231"/>
      <c r="AG15" s="231"/>
      <c r="AH15" s="231"/>
    </row>
    <row r="16" spans="1:34" s="203" customFormat="1">
      <c r="A16" s="23"/>
      <c r="B16" s="360" t="s">
        <v>14</v>
      </c>
      <c r="C16" s="870" t="s">
        <v>15</v>
      </c>
      <c r="D16" s="870"/>
      <c r="E16" s="870"/>
      <c r="F16" s="871"/>
      <c r="G16" s="207"/>
      <c r="H16" s="21"/>
      <c r="I16" s="29"/>
      <c r="J16" s="231"/>
      <c r="K16" s="231"/>
      <c r="L16" s="231"/>
      <c r="M16" s="231"/>
      <c r="N16" s="231"/>
      <c r="O16" s="231"/>
      <c r="P16" s="231"/>
      <c r="Q16" s="231"/>
      <c r="R16" s="231"/>
      <c r="S16" s="231"/>
      <c r="T16" s="231"/>
      <c r="U16" s="231"/>
      <c r="V16" s="231"/>
      <c r="W16" s="231"/>
      <c r="X16" s="231"/>
      <c r="Y16" s="231"/>
      <c r="Z16" s="231"/>
      <c r="AA16" s="231"/>
      <c r="AB16" s="231"/>
      <c r="AC16" s="231"/>
      <c r="AD16" s="231"/>
      <c r="AE16" s="231"/>
      <c r="AF16" s="231"/>
      <c r="AG16" s="231"/>
      <c r="AH16" s="231"/>
    </row>
    <row r="17" spans="1:34" s="203" customFormat="1">
      <c r="A17" s="23"/>
      <c r="B17" s="360" t="s">
        <v>17</v>
      </c>
      <c r="C17" s="870" t="s">
        <v>18</v>
      </c>
      <c r="D17" s="870"/>
      <c r="E17" s="870"/>
      <c r="F17" s="871"/>
      <c r="G17" s="207"/>
      <c r="H17" s="21"/>
      <c r="I17" s="29"/>
      <c r="J17" s="231"/>
      <c r="K17" s="231"/>
      <c r="L17" s="231"/>
      <c r="M17" s="231"/>
      <c r="N17" s="231"/>
      <c r="O17" s="231"/>
      <c r="P17" s="231"/>
      <c r="Q17" s="231"/>
      <c r="R17" s="231"/>
      <c r="S17" s="231"/>
      <c r="T17" s="231"/>
      <c r="U17" s="231"/>
      <c r="V17" s="231"/>
      <c r="W17" s="231"/>
      <c r="X17" s="231"/>
      <c r="Y17" s="231"/>
      <c r="Z17" s="231"/>
      <c r="AA17" s="231"/>
      <c r="AB17" s="231"/>
      <c r="AC17" s="231"/>
      <c r="AD17" s="231"/>
      <c r="AE17" s="231"/>
      <c r="AF17" s="231"/>
      <c r="AG17" s="231"/>
      <c r="AH17" s="231"/>
    </row>
    <row r="18" spans="1:34" s="203" customFormat="1">
      <c r="A18" s="23"/>
      <c r="B18" s="360" t="s">
        <v>20</v>
      </c>
      <c r="C18" s="870" t="s">
        <v>21</v>
      </c>
      <c r="D18" s="870"/>
      <c r="E18" s="870"/>
      <c r="F18" s="871"/>
      <c r="G18" s="207"/>
      <c r="H18" s="21"/>
      <c r="I18" s="29"/>
      <c r="J18" s="231"/>
      <c r="K18" s="231"/>
      <c r="L18" s="231"/>
      <c r="M18" s="231"/>
      <c r="N18" s="231"/>
      <c r="O18" s="231"/>
      <c r="P18" s="231"/>
      <c r="Q18" s="231"/>
      <c r="R18" s="231"/>
      <c r="S18" s="231"/>
      <c r="T18" s="231"/>
      <c r="U18" s="231"/>
      <c r="V18" s="231"/>
      <c r="W18" s="231"/>
      <c r="X18" s="231"/>
      <c r="Y18" s="231"/>
      <c r="Z18" s="231"/>
      <c r="AA18" s="231"/>
      <c r="AB18" s="231"/>
      <c r="AC18" s="231"/>
      <c r="AD18" s="231"/>
      <c r="AE18" s="231"/>
      <c r="AF18" s="231"/>
      <c r="AG18" s="231"/>
      <c r="AH18" s="231"/>
    </row>
    <row r="19" spans="1:34" s="203" customFormat="1">
      <c r="A19" s="23"/>
      <c r="B19" s="361" t="s">
        <v>23</v>
      </c>
      <c r="C19" s="872" t="s">
        <v>24</v>
      </c>
      <c r="D19" s="872"/>
      <c r="E19" s="872"/>
      <c r="F19" s="873"/>
      <c r="G19" s="21"/>
      <c r="H19" s="21"/>
      <c r="I19" s="29"/>
      <c r="J19" s="231"/>
      <c r="K19" s="231"/>
      <c r="L19" s="231"/>
      <c r="M19" s="231"/>
      <c r="N19" s="231"/>
      <c r="O19" s="231"/>
      <c r="P19" s="231"/>
      <c r="Q19" s="231"/>
      <c r="R19" s="231"/>
      <c r="S19" s="231"/>
      <c r="T19" s="231"/>
      <c r="U19" s="231"/>
      <c r="V19" s="231"/>
      <c r="W19" s="231"/>
      <c r="X19" s="231"/>
      <c r="Y19" s="231"/>
      <c r="Z19" s="231"/>
      <c r="AA19" s="231"/>
      <c r="AB19" s="231"/>
      <c r="AC19" s="231"/>
      <c r="AD19" s="231"/>
      <c r="AE19" s="231"/>
      <c r="AF19" s="231"/>
      <c r="AG19" s="231"/>
      <c r="AH19" s="231"/>
    </row>
    <row r="20" spans="1:34" s="203" customFormat="1">
      <c r="A20" s="236"/>
      <c r="B20" s="206"/>
      <c r="C20" s="206"/>
      <c r="D20" s="206"/>
      <c r="E20" s="206"/>
      <c r="F20" s="206"/>
      <c r="G20" s="206"/>
      <c r="H20" s="206"/>
      <c r="I20" s="206"/>
      <c r="J20" s="231"/>
      <c r="K20" s="231"/>
      <c r="L20" s="231"/>
      <c r="M20" s="231"/>
      <c r="N20" s="231"/>
      <c r="O20" s="231"/>
      <c r="P20" s="231"/>
      <c r="Q20" s="231"/>
      <c r="R20" s="231"/>
      <c r="S20" s="231"/>
      <c r="T20" s="231"/>
      <c r="U20" s="231"/>
      <c r="V20" s="231"/>
      <c r="W20" s="231"/>
      <c r="X20" s="231"/>
      <c r="Y20" s="231"/>
      <c r="Z20" s="231"/>
      <c r="AA20" s="231"/>
      <c r="AB20" s="231"/>
      <c r="AC20" s="231"/>
      <c r="AD20" s="231"/>
      <c r="AE20" s="231"/>
      <c r="AF20" s="231"/>
      <c r="AG20" s="231"/>
      <c r="AH20" s="231"/>
    </row>
    <row r="21" spans="1:34" s="203" customFormat="1" ht="19.5">
      <c r="A21" s="30"/>
      <c r="B21" s="13"/>
      <c r="C21" s="13"/>
      <c r="D21" s="13"/>
      <c r="E21" s="13"/>
      <c r="F21" s="13"/>
      <c r="G21" s="13"/>
      <c r="H21" s="31" t="s">
        <v>27</v>
      </c>
      <c r="I21" s="237"/>
      <c r="J21" s="231"/>
      <c r="K21" s="231"/>
      <c r="L21" s="231"/>
      <c r="M21" s="231"/>
      <c r="N21" s="231"/>
      <c r="O21" s="231"/>
      <c r="P21" s="231"/>
      <c r="Q21" s="231"/>
      <c r="R21" s="231"/>
      <c r="S21" s="231"/>
      <c r="T21" s="231"/>
      <c r="U21" s="231"/>
      <c r="V21" s="231"/>
      <c r="W21" s="231"/>
      <c r="X21" s="231"/>
      <c r="Y21" s="231"/>
      <c r="Z21" s="231"/>
      <c r="AA21" s="231"/>
      <c r="AB21" s="231"/>
      <c r="AC21" s="231"/>
      <c r="AD21" s="231"/>
      <c r="AE21" s="231"/>
      <c r="AF21" s="231"/>
      <c r="AG21" s="231"/>
      <c r="AH21" s="231"/>
    </row>
    <row r="22" spans="1:34" s="203" customFormat="1" ht="18.75" customHeight="1">
      <c r="A22" s="32"/>
      <c r="B22" s="29"/>
      <c r="C22" s="29"/>
      <c r="D22" s="29"/>
      <c r="E22" s="29"/>
      <c r="F22" s="33">
        <v>1</v>
      </c>
      <c r="G22" s="34"/>
      <c r="H22" s="33">
        <v>2</v>
      </c>
      <c r="I22" s="34"/>
      <c r="J22" s="231"/>
      <c r="K22" s="231"/>
      <c r="L22" s="231"/>
      <c r="M22" s="231"/>
      <c r="N22" s="231"/>
      <c r="O22" s="231"/>
      <c r="P22" s="231"/>
      <c r="Q22" s="231"/>
      <c r="R22" s="231"/>
      <c r="S22" s="231"/>
      <c r="T22" s="231"/>
      <c r="U22" s="231"/>
      <c r="V22" s="231"/>
      <c r="W22" s="231"/>
      <c r="X22" s="231"/>
      <c r="Y22" s="231"/>
      <c r="Z22" s="231"/>
      <c r="AA22" s="231"/>
      <c r="AB22" s="231"/>
      <c r="AC22" s="231"/>
      <c r="AD22" s="231"/>
      <c r="AE22" s="231"/>
      <c r="AF22" s="231"/>
      <c r="AG22" s="231"/>
      <c r="AH22" s="231"/>
    </row>
    <row r="23" spans="1:34" s="203" customFormat="1" ht="21.95" customHeight="1">
      <c r="A23" s="874" t="s">
        <v>30</v>
      </c>
      <c r="B23" s="875"/>
      <c r="C23" s="875"/>
      <c r="D23" s="875"/>
      <c r="E23" s="878" t="s">
        <v>376</v>
      </c>
      <c r="F23" s="856" t="s">
        <v>407</v>
      </c>
      <c r="G23" s="36"/>
      <c r="H23" s="878" t="s">
        <v>406</v>
      </c>
      <c r="I23" s="36"/>
      <c r="J23" s="231"/>
      <c r="K23" s="231"/>
      <c r="L23" s="231"/>
      <c r="M23" s="231"/>
      <c r="N23" s="231"/>
      <c r="O23" s="231"/>
      <c r="P23" s="231"/>
      <c r="Q23" s="231"/>
      <c r="R23" s="231"/>
      <c r="S23" s="231"/>
      <c r="T23" s="231"/>
      <c r="U23" s="231"/>
      <c r="V23" s="231"/>
      <c r="W23" s="231"/>
      <c r="X23" s="231"/>
      <c r="Y23" s="231"/>
      <c r="Z23" s="231"/>
      <c r="AA23" s="231"/>
      <c r="AB23" s="231"/>
      <c r="AC23" s="231"/>
      <c r="AD23" s="231"/>
      <c r="AE23" s="231"/>
      <c r="AF23" s="231"/>
      <c r="AG23" s="231"/>
      <c r="AH23" s="231"/>
    </row>
    <row r="24" spans="1:34" s="203" customFormat="1" ht="21.95" customHeight="1">
      <c r="A24" s="876"/>
      <c r="B24" s="877"/>
      <c r="C24" s="877"/>
      <c r="D24" s="877"/>
      <c r="E24" s="879"/>
      <c r="F24" s="860"/>
      <c r="G24" s="23"/>
      <c r="H24" s="879"/>
      <c r="I24" s="36"/>
      <c r="J24" s="231"/>
      <c r="K24" s="231"/>
      <c r="L24" s="231"/>
      <c r="M24" s="231"/>
      <c r="N24" s="231"/>
      <c r="O24" s="231"/>
      <c r="P24" s="231"/>
      <c r="Q24" s="231"/>
      <c r="R24" s="231"/>
      <c r="S24" s="231"/>
      <c r="T24" s="231"/>
      <c r="U24" s="231"/>
      <c r="V24" s="231"/>
      <c r="W24" s="231"/>
      <c r="X24" s="231"/>
      <c r="Y24" s="231"/>
      <c r="Z24" s="231"/>
      <c r="AA24" s="231"/>
      <c r="AB24" s="231"/>
      <c r="AC24" s="231"/>
      <c r="AD24" s="231"/>
      <c r="AE24" s="231"/>
      <c r="AF24" s="231"/>
      <c r="AG24" s="231"/>
      <c r="AH24" s="231"/>
    </row>
    <row r="25" spans="1:34" s="203" customFormat="1" ht="21.95" customHeight="1">
      <c r="A25" s="898" t="s">
        <v>48</v>
      </c>
      <c r="B25" s="901" t="s">
        <v>49</v>
      </c>
      <c r="C25" s="901"/>
      <c r="D25" s="902"/>
      <c r="E25" s="907" t="s">
        <v>50</v>
      </c>
      <c r="F25" s="909" t="s">
        <v>51</v>
      </c>
      <c r="G25" s="34"/>
      <c r="H25" s="907" t="s">
        <v>50</v>
      </c>
      <c r="I25" s="36"/>
      <c r="J25" s="231"/>
      <c r="K25" s="231"/>
      <c r="L25" s="231"/>
      <c r="M25" s="231"/>
      <c r="N25" s="231"/>
      <c r="O25" s="231"/>
      <c r="P25" s="231"/>
      <c r="Q25" s="231"/>
      <c r="R25" s="231"/>
      <c r="S25" s="231"/>
      <c r="T25" s="231"/>
      <c r="U25" s="231"/>
      <c r="V25" s="231"/>
      <c r="W25" s="231"/>
      <c r="X25" s="231"/>
      <c r="Y25" s="231"/>
      <c r="Z25" s="231"/>
      <c r="AA25" s="231"/>
      <c r="AB25" s="231"/>
      <c r="AC25" s="231"/>
      <c r="AD25" s="231"/>
      <c r="AE25" s="231"/>
      <c r="AF25" s="231"/>
      <c r="AG25" s="231"/>
      <c r="AH25" s="231"/>
    </row>
    <row r="26" spans="1:34" s="203" customFormat="1" ht="21.95" customHeight="1">
      <c r="A26" s="899"/>
      <c r="B26" s="903"/>
      <c r="C26" s="903"/>
      <c r="D26" s="904"/>
      <c r="E26" s="908"/>
      <c r="F26" s="859"/>
      <c r="G26" s="34"/>
      <c r="H26" s="908"/>
      <c r="I26" s="36"/>
      <c r="J26" s="231"/>
      <c r="K26" s="231"/>
      <c r="L26" s="231"/>
      <c r="M26" s="231"/>
      <c r="N26" s="231"/>
      <c r="O26" s="231"/>
      <c r="P26" s="231"/>
      <c r="Q26" s="231"/>
      <c r="R26" s="231"/>
      <c r="S26" s="231"/>
      <c r="T26" s="231"/>
      <c r="U26" s="231"/>
      <c r="V26" s="231"/>
      <c r="W26" s="231"/>
      <c r="X26" s="231"/>
      <c r="Y26" s="231"/>
      <c r="Z26" s="231"/>
      <c r="AA26" s="231"/>
      <c r="AB26" s="231"/>
      <c r="AC26" s="231"/>
      <c r="AD26" s="231"/>
      <c r="AE26" s="231"/>
      <c r="AF26" s="231"/>
      <c r="AG26" s="231"/>
      <c r="AH26" s="231"/>
    </row>
    <row r="27" spans="1:34" s="203" customFormat="1" ht="21.95" customHeight="1">
      <c r="A27" s="900"/>
      <c r="B27" s="905"/>
      <c r="C27" s="905"/>
      <c r="D27" s="906"/>
      <c r="E27" s="879"/>
      <c r="F27" s="860"/>
      <c r="G27" s="34"/>
      <c r="H27" s="879"/>
      <c r="I27" s="36"/>
      <c r="J27" s="231"/>
      <c r="K27" s="231"/>
      <c r="L27" s="231"/>
      <c r="M27" s="231"/>
      <c r="N27" s="231"/>
      <c r="O27" s="231"/>
      <c r="P27" s="231"/>
      <c r="Q27" s="231"/>
      <c r="R27" s="231"/>
      <c r="S27" s="231"/>
      <c r="T27" s="231"/>
      <c r="U27" s="231"/>
      <c r="V27" s="231"/>
      <c r="W27" s="231"/>
      <c r="X27" s="231"/>
      <c r="Y27" s="231"/>
      <c r="Z27" s="231"/>
      <c r="AA27" s="231"/>
      <c r="AB27" s="231"/>
      <c r="AC27" s="231"/>
      <c r="AD27" s="231"/>
      <c r="AE27" s="231"/>
      <c r="AF27" s="231"/>
      <c r="AG27" s="231"/>
      <c r="AH27" s="231"/>
    </row>
    <row r="28" spans="1:34" s="203" customFormat="1">
      <c r="A28" s="38">
        <v>1</v>
      </c>
      <c r="B28" s="39" t="s">
        <v>52</v>
      </c>
      <c r="C28" s="39"/>
      <c r="D28" s="40"/>
      <c r="E28" s="41">
        <v>30692</v>
      </c>
      <c r="F28" s="42">
        <f>F77</f>
        <v>31339</v>
      </c>
      <c r="G28" s="43"/>
      <c r="H28" s="44">
        <f>H77</f>
        <v>33829</v>
      </c>
      <c r="I28" s="43"/>
      <c r="J28" s="231"/>
      <c r="K28" s="231"/>
      <c r="L28" s="231"/>
      <c r="M28" s="231"/>
      <c r="N28" s="231"/>
      <c r="O28" s="231"/>
      <c r="P28" s="231"/>
      <c r="Q28" s="231"/>
      <c r="R28" s="231"/>
      <c r="S28" s="231"/>
      <c r="T28" s="231"/>
      <c r="U28" s="231"/>
      <c r="V28" s="231"/>
      <c r="W28" s="231"/>
      <c r="X28" s="231"/>
      <c r="Y28" s="231"/>
      <c r="Z28" s="231"/>
      <c r="AA28" s="231"/>
      <c r="AB28" s="231"/>
      <c r="AC28" s="231"/>
      <c r="AD28" s="231"/>
      <c r="AE28" s="231"/>
      <c r="AF28" s="231"/>
      <c r="AG28" s="231"/>
      <c r="AH28" s="231"/>
    </row>
    <row r="29" spans="1:34" s="203" customFormat="1">
      <c r="A29" s="46">
        <v>2</v>
      </c>
      <c r="B29" s="47" t="s">
        <v>53</v>
      </c>
      <c r="C29" s="47"/>
      <c r="D29" s="48"/>
      <c r="E29" s="49">
        <v>18093</v>
      </c>
      <c r="F29" s="50">
        <f>F105</f>
        <v>19396</v>
      </c>
      <c r="G29" s="43"/>
      <c r="H29" s="51">
        <f>H105</f>
        <v>19803</v>
      </c>
      <c r="I29" s="43"/>
      <c r="J29" s="231"/>
      <c r="K29" s="231"/>
      <c r="L29" s="231"/>
      <c r="M29" s="231"/>
      <c r="N29" s="231"/>
      <c r="O29" s="231"/>
      <c r="P29" s="231"/>
      <c r="Q29" s="231"/>
      <c r="R29" s="231"/>
      <c r="S29" s="231"/>
      <c r="T29" s="231"/>
      <c r="U29" s="231"/>
      <c r="V29" s="231"/>
      <c r="W29" s="231"/>
      <c r="X29" s="231"/>
      <c r="Y29" s="231"/>
      <c r="Z29" s="231"/>
      <c r="AA29" s="231"/>
      <c r="AB29" s="231"/>
      <c r="AC29" s="231"/>
      <c r="AD29" s="231"/>
      <c r="AE29" s="231"/>
      <c r="AF29" s="231"/>
      <c r="AG29" s="231"/>
      <c r="AH29" s="231"/>
    </row>
    <row r="30" spans="1:34" s="203" customFormat="1">
      <c r="A30" s="46">
        <v>3</v>
      </c>
      <c r="B30" s="47" t="s">
        <v>54</v>
      </c>
      <c r="C30" s="47"/>
      <c r="D30" s="48"/>
      <c r="E30" s="49">
        <v>9432</v>
      </c>
      <c r="F30" s="50">
        <f>F180</f>
        <v>15090</v>
      </c>
      <c r="G30" s="43"/>
      <c r="H30" s="51">
        <f>H180</f>
        <v>15413</v>
      </c>
      <c r="I30" s="43"/>
      <c r="J30" s="231"/>
      <c r="K30" s="231"/>
      <c r="L30" s="231"/>
      <c r="M30" s="231"/>
      <c r="N30" s="231"/>
      <c r="O30" s="231"/>
      <c r="P30" s="231"/>
      <c r="Q30" s="231"/>
      <c r="R30" s="231"/>
      <c r="S30" s="231"/>
      <c r="T30" s="231"/>
      <c r="U30" s="231"/>
      <c r="V30" s="231"/>
      <c r="W30" s="231"/>
      <c r="X30" s="231"/>
      <c r="Y30" s="231"/>
      <c r="Z30" s="231"/>
      <c r="AA30" s="231"/>
      <c r="AB30" s="231"/>
      <c r="AC30" s="231"/>
      <c r="AD30" s="231"/>
      <c r="AE30" s="231"/>
      <c r="AF30" s="231"/>
      <c r="AG30" s="231"/>
      <c r="AH30" s="231"/>
    </row>
    <row r="31" spans="1:34" s="203" customFormat="1">
      <c r="A31" s="46">
        <v>4</v>
      </c>
      <c r="B31" s="47" t="s">
        <v>55</v>
      </c>
      <c r="C31" s="47"/>
      <c r="D31" s="48"/>
      <c r="E31" s="49">
        <v>3305</v>
      </c>
      <c r="F31" s="50">
        <f>F214</f>
        <v>3353</v>
      </c>
      <c r="G31" s="43"/>
      <c r="H31" s="51">
        <f>H214</f>
        <v>3571</v>
      </c>
      <c r="I31" s="43"/>
      <c r="J31" s="231"/>
      <c r="K31" s="231"/>
      <c r="L31" s="231"/>
      <c r="M31" s="231"/>
      <c r="N31" s="231"/>
      <c r="O31" s="231"/>
      <c r="P31" s="231"/>
      <c r="Q31" s="231"/>
      <c r="R31" s="231"/>
      <c r="S31" s="231"/>
      <c r="T31" s="231"/>
      <c r="U31" s="231"/>
      <c r="V31" s="231"/>
      <c r="W31" s="231"/>
      <c r="X31" s="231"/>
      <c r="Y31" s="231"/>
      <c r="Z31" s="231"/>
      <c r="AA31" s="231"/>
      <c r="AB31" s="231"/>
      <c r="AC31" s="231"/>
      <c r="AD31" s="231"/>
      <c r="AE31" s="231"/>
      <c r="AF31" s="231"/>
      <c r="AG31" s="231"/>
      <c r="AH31" s="231"/>
    </row>
    <row r="32" spans="1:34" s="203" customFormat="1">
      <c r="A32" s="46">
        <v>5</v>
      </c>
      <c r="B32" s="47" t="s">
        <v>56</v>
      </c>
      <c r="C32" s="47"/>
      <c r="D32" s="48"/>
      <c r="E32" s="49">
        <v>2990</v>
      </c>
      <c r="F32" s="50">
        <f>F231</f>
        <v>3186</v>
      </c>
      <c r="G32" s="43"/>
      <c r="H32" s="51">
        <f>H231</f>
        <v>2707</v>
      </c>
      <c r="I32" s="43"/>
      <c r="J32" s="231"/>
      <c r="K32" s="231"/>
      <c r="L32" s="231"/>
      <c r="M32" s="231"/>
      <c r="N32" s="231"/>
      <c r="O32" s="231"/>
      <c r="P32" s="231"/>
      <c r="Q32" s="231"/>
      <c r="R32" s="231"/>
      <c r="S32" s="231"/>
      <c r="T32" s="231"/>
      <c r="U32" s="231"/>
      <c r="V32" s="231"/>
      <c r="W32" s="231"/>
      <c r="X32" s="231"/>
      <c r="Y32" s="231"/>
      <c r="Z32" s="231"/>
      <c r="AA32" s="231"/>
      <c r="AB32" s="231"/>
      <c r="AC32" s="231"/>
      <c r="AD32" s="231"/>
      <c r="AE32" s="231"/>
      <c r="AF32" s="231"/>
      <c r="AG32" s="231"/>
      <c r="AH32" s="231"/>
    </row>
    <row r="33" spans="1:34" s="203" customFormat="1">
      <c r="A33" s="46">
        <v>6</v>
      </c>
      <c r="B33" s="47" t="s">
        <v>57</v>
      </c>
      <c r="C33" s="47"/>
      <c r="D33" s="48"/>
      <c r="E33" s="49">
        <v>4035</v>
      </c>
      <c r="F33" s="50">
        <f>F257</f>
        <v>4116</v>
      </c>
      <c r="G33" s="43"/>
      <c r="H33" s="51">
        <f>H257</f>
        <v>4092</v>
      </c>
      <c r="I33" s="43"/>
      <c r="J33" s="231"/>
      <c r="K33" s="231"/>
      <c r="L33" s="231"/>
      <c r="M33" s="231"/>
      <c r="N33" s="231"/>
      <c r="O33" s="231"/>
      <c r="P33" s="231"/>
      <c r="Q33" s="231"/>
      <c r="R33" s="231"/>
      <c r="S33" s="231"/>
      <c r="T33" s="231"/>
      <c r="U33" s="231"/>
      <c r="V33" s="231"/>
      <c r="W33" s="231"/>
      <c r="X33" s="231"/>
      <c r="Y33" s="231"/>
      <c r="Z33" s="231"/>
      <c r="AA33" s="231"/>
      <c r="AB33" s="231"/>
      <c r="AC33" s="231"/>
      <c r="AD33" s="231"/>
      <c r="AE33" s="231"/>
      <c r="AF33" s="231"/>
      <c r="AG33" s="231"/>
      <c r="AH33" s="231"/>
    </row>
    <row r="34" spans="1:34" s="203" customFormat="1">
      <c r="A34" s="46">
        <v>7</v>
      </c>
      <c r="B34" s="47" t="s">
        <v>58</v>
      </c>
      <c r="C34" s="47"/>
      <c r="D34" s="48"/>
      <c r="E34" s="49">
        <v>1471</v>
      </c>
      <c r="F34" s="50">
        <f>F277</f>
        <v>1418</v>
      </c>
      <c r="G34" s="43"/>
      <c r="H34" s="50">
        <f>H277</f>
        <v>1534</v>
      </c>
      <c r="I34" s="43"/>
      <c r="J34" s="231"/>
      <c r="K34" s="231"/>
      <c r="L34" s="231"/>
      <c r="M34" s="231"/>
      <c r="N34" s="231"/>
      <c r="O34" s="231"/>
      <c r="P34" s="231"/>
      <c r="Q34" s="231"/>
      <c r="R34" s="231"/>
      <c r="S34" s="231"/>
      <c r="T34" s="231"/>
      <c r="U34" s="231"/>
      <c r="V34" s="231"/>
      <c r="W34" s="231"/>
      <c r="X34" s="231"/>
      <c r="Y34" s="231"/>
      <c r="Z34" s="231"/>
      <c r="AA34" s="231"/>
      <c r="AB34" s="231"/>
      <c r="AC34" s="231"/>
      <c r="AD34" s="231"/>
      <c r="AE34" s="231"/>
      <c r="AF34" s="231"/>
      <c r="AG34" s="231"/>
      <c r="AH34" s="231"/>
    </row>
    <row r="35" spans="1:34" s="203" customFormat="1">
      <c r="A35" s="46">
        <v>8</v>
      </c>
      <c r="B35" s="47" t="s">
        <v>59</v>
      </c>
      <c r="C35" s="47"/>
      <c r="D35" s="48"/>
      <c r="E35" s="49">
        <v>7460</v>
      </c>
      <c r="F35" s="50">
        <f>F302</f>
        <v>7772</v>
      </c>
      <c r="G35" s="43"/>
      <c r="H35" s="50">
        <f>H302</f>
        <v>7291</v>
      </c>
      <c r="I35" s="21"/>
      <c r="J35" s="231"/>
      <c r="K35" s="231"/>
      <c r="L35" s="231"/>
      <c r="M35" s="231"/>
      <c r="N35" s="231"/>
      <c r="O35" s="231"/>
      <c r="P35" s="231"/>
      <c r="Q35" s="231"/>
      <c r="R35" s="231"/>
      <c r="S35" s="231"/>
      <c r="T35" s="231"/>
      <c r="U35" s="231"/>
      <c r="V35" s="231"/>
      <c r="W35" s="231"/>
      <c r="X35" s="231"/>
      <c r="Y35" s="231"/>
      <c r="Z35" s="231"/>
      <c r="AA35" s="231"/>
      <c r="AB35" s="231"/>
      <c r="AC35" s="231"/>
      <c r="AD35" s="231"/>
      <c r="AE35" s="231"/>
      <c r="AF35" s="231"/>
      <c r="AG35" s="231"/>
      <c r="AH35" s="231"/>
    </row>
    <row r="36" spans="1:34" s="203" customFormat="1">
      <c r="A36" s="46">
        <v>9</v>
      </c>
      <c r="B36" s="47" t="s">
        <v>60</v>
      </c>
      <c r="C36" s="47"/>
      <c r="D36" s="48"/>
      <c r="E36" s="49">
        <v>0</v>
      </c>
      <c r="F36" s="52"/>
      <c r="G36" s="43"/>
      <c r="H36" s="52"/>
      <c r="I36" s="21"/>
      <c r="J36" s="231"/>
      <c r="K36" s="231"/>
      <c r="L36" s="231"/>
      <c r="M36" s="231"/>
      <c r="N36" s="231"/>
      <c r="O36" s="231"/>
      <c r="P36" s="231"/>
      <c r="Q36" s="231"/>
      <c r="R36" s="231"/>
      <c r="S36" s="231"/>
      <c r="T36" s="231"/>
      <c r="U36" s="231"/>
      <c r="V36" s="231"/>
      <c r="W36" s="231"/>
      <c r="X36" s="231"/>
      <c r="Y36" s="231"/>
      <c r="Z36" s="231"/>
      <c r="AA36" s="231"/>
      <c r="AB36" s="231"/>
      <c r="AC36" s="231"/>
      <c r="AD36" s="231"/>
      <c r="AE36" s="231"/>
      <c r="AF36" s="231"/>
      <c r="AG36" s="231"/>
      <c r="AH36" s="231"/>
    </row>
    <row r="37" spans="1:34" s="203" customFormat="1">
      <c r="A37" s="53">
        <v>10</v>
      </c>
      <c r="B37" s="54" t="s">
        <v>61</v>
      </c>
      <c r="C37" s="54"/>
      <c r="D37" s="55"/>
      <c r="E37" s="56">
        <v>3935</v>
      </c>
      <c r="F37" s="57">
        <f>F320</f>
        <v>3955</v>
      </c>
      <c r="G37" s="43"/>
      <c r="H37" s="57">
        <f>H320</f>
        <v>2936</v>
      </c>
      <c r="I37" s="21"/>
      <c r="J37" s="231"/>
      <c r="K37" s="231"/>
      <c r="L37" s="231"/>
      <c r="M37" s="231"/>
      <c r="N37" s="231"/>
      <c r="O37" s="231"/>
      <c r="P37" s="231"/>
      <c r="Q37" s="231"/>
      <c r="R37" s="231"/>
      <c r="S37" s="231"/>
      <c r="T37" s="231"/>
      <c r="U37" s="231"/>
      <c r="V37" s="231"/>
      <c r="W37" s="231"/>
      <c r="X37" s="231"/>
      <c r="Y37" s="231"/>
      <c r="Z37" s="231"/>
      <c r="AA37" s="231"/>
      <c r="AB37" s="231"/>
      <c r="AC37" s="231"/>
      <c r="AD37" s="231"/>
      <c r="AE37" s="231"/>
      <c r="AF37" s="231"/>
      <c r="AG37" s="231"/>
      <c r="AH37" s="231"/>
    </row>
    <row r="38" spans="1:34" s="203" customFormat="1">
      <c r="A38" s="33">
        <v>11</v>
      </c>
      <c r="B38" s="58" t="s">
        <v>62</v>
      </c>
      <c r="C38" s="58"/>
      <c r="D38" s="59"/>
      <c r="E38" s="60">
        <v>81413</v>
      </c>
      <c r="F38" s="61">
        <f>SUM(F28:F37)</f>
        <v>89625</v>
      </c>
      <c r="G38" s="43"/>
      <c r="H38" s="61">
        <f>SUM(H28:H37)</f>
        <v>91176</v>
      </c>
      <c r="I38" s="68"/>
      <c r="J38" s="231"/>
      <c r="K38" s="231"/>
      <c r="L38" s="231"/>
      <c r="M38" s="231"/>
      <c r="N38" s="231"/>
      <c r="O38" s="231"/>
      <c r="P38" s="231"/>
      <c r="Q38" s="231"/>
      <c r="R38" s="231"/>
      <c r="S38" s="231"/>
      <c r="T38" s="231"/>
      <c r="U38" s="231"/>
      <c r="V38" s="231"/>
      <c r="W38" s="231"/>
      <c r="X38" s="231"/>
      <c r="Y38" s="231"/>
      <c r="Z38" s="231"/>
      <c r="AA38" s="231"/>
      <c r="AB38" s="231"/>
      <c r="AC38" s="231"/>
      <c r="AD38" s="231"/>
      <c r="AE38" s="231"/>
      <c r="AF38" s="231"/>
      <c r="AG38" s="231"/>
      <c r="AH38" s="231"/>
    </row>
    <row r="39" spans="1:34" s="203" customFormat="1" ht="12.75" customHeight="1">
      <c r="A39" s="63"/>
      <c r="B39" s="64"/>
      <c r="C39" s="64"/>
      <c r="D39" s="65"/>
      <c r="E39" s="66"/>
      <c r="F39" s="67"/>
      <c r="G39" s="21"/>
      <c r="H39" s="67"/>
      <c r="I39" s="68"/>
      <c r="J39" s="231"/>
      <c r="K39" s="231"/>
      <c r="L39" s="231"/>
      <c r="M39" s="231"/>
      <c r="N39" s="231"/>
      <c r="O39" s="231"/>
      <c r="P39" s="231"/>
      <c r="Q39" s="231"/>
      <c r="R39" s="231"/>
      <c r="S39" s="231"/>
      <c r="T39" s="231"/>
      <c r="U39" s="231"/>
      <c r="V39" s="231"/>
      <c r="W39" s="231"/>
      <c r="X39" s="231"/>
      <c r="Y39" s="231"/>
      <c r="Z39" s="231"/>
      <c r="AA39" s="231"/>
      <c r="AB39" s="231"/>
      <c r="AC39" s="231"/>
      <c r="AD39" s="231"/>
      <c r="AE39" s="231"/>
      <c r="AF39" s="231"/>
      <c r="AG39" s="231"/>
      <c r="AH39" s="231"/>
    </row>
    <row r="40" spans="1:34" s="203" customFormat="1" ht="12.75" customHeight="1">
      <c r="A40" s="893" t="s">
        <v>63</v>
      </c>
      <c r="B40" s="894"/>
      <c r="C40" s="894"/>
      <c r="D40" s="895"/>
      <c r="E40" s="878" t="s">
        <v>376</v>
      </c>
      <c r="F40" s="856" t="s">
        <v>407</v>
      </c>
      <c r="G40" s="36"/>
      <c r="H40" s="878" t="s">
        <v>406</v>
      </c>
      <c r="I40" s="43"/>
      <c r="J40" s="231"/>
      <c r="K40" s="231"/>
      <c r="L40" s="231"/>
      <c r="M40" s="231"/>
      <c r="N40" s="231"/>
      <c r="O40" s="231"/>
      <c r="P40" s="231"/>
      <c r="Q40" s="231"/>
      <c r="R40" s="231"/>
      <c r="S40" s="231"/>
      <c r="T40" s="231"/>
      <c r="U40" s="231"/>
      <c r="V40" s="231"/>
      <c r="W40" s="231"/>
      <c r="X40" s="231"/>
      <c r="Y40" s="231"/>
      <c r="Z40" s="231"/>
      <c r="AA40" s="231"/>
      <c r="AB40" s="231"/>
      <c r="AC40" s="231"/>
      <c r="AD40" s="231"/>
      <c r="AE40" s="231"/>
      <c r="AF40" s="231"/>
      <c r="AG40" s="231"/>
      <c r="AH40" s="231"/>
    </row>
    <row r="41" spans="1:34" s="203" customFormat="1" ht="27.75" customHeight="1">
      <c r="A41" s="876"/>
      <c r="B41" s="877"/>
      <c r="C41" s="877"/>
      <c r="D41" s="896"/>
      <c r="E41" s="879"/>
      <c r="F41" s="860"/>
      <c r="G41" s="23"/>
      <c r="H41" s="879"/>
      <c r="I41" s="43"/>
      <c r="J41" s="231"/>
      <c r="K41" s="231"/>
      <c r="L41" s="231"/>
      <c r="M41" s="231"/>
      <c r="N41" s="231"/>
      <c r="O41" s="231"/>
      <c r="P41" s="231"/>
      <c r="Q41" s="231"/>
      <c r="R41" s="231"/>
      <c r="S41" s="231"/>
      <c r="T41" s="231"/>
      <c r="U41" s="231"/>
      <c r="V41" s="231"/>
      <c r="W41" s="231"/>
      <c r="X41" s="231"/>
      <c r="Y41" s="231"/>
      <c r="Z41" s="231"/>
      <c r="AA41" s="231"/>
      <c r="AB41" s="231"/>
      <c r="AC41" s="231"/>
      <c r="AD41" s="231"/>
      <c r="AE41" s="231"/>
      <c r="AF41" s="231"/>
      <c r="AG41" s="231"/>
      <c r="AH41" s="231"/>
    </row>
    <row r="42" spans="1:34" s="203" customFormat="1">
      <c r="A42" s="651" t="s">
        <v>64</v>
      </c>
      <c r="B42" s="69" t="s">
        <v>65</v>
      </c>
      <c r="C42" s="69"/>
      <c r="D42" s="70"/>
      <c r="E42" s="71"/>
      <c r="F42" s="72" t="str">
        <f>IF(OR(F43&lt;0,F44&lt;0,F47&lt;0,F48&lt;0,H43&lt;0,H44&lt;0,H47&lt;0,H48&lt;0),"Funding should be recorded as positive figures",".")</f>
        <v>.</v>
      </c>
      <c r="G42" s="45"/>
      <c r="H42" s="73"/>
      <c r="I42" s="43"/>
      <c r="J42" s="231"/>
      <c r="K42" s="231"/>
      <c r="L42" s="231"/>
      <c r="M42" s="231"/>
      <c r="N42" s="231"/>
      <c r="O42" s="231"/>
      <c r="P42" s="231"/>
      <c r="Q42" s="231"/>
      <c r="R42" s="231"/>
      <c r="S42" s="231"/>
      <c r="T42" s="231"/>
      <c r="U42" s="231"/>
      <c r="V42" s="231"/>
      <c r="W42" s="231"/>
      <c r="X42" s="231"/>
      <c r="Y42" s="231"/>
      <c r="Z42" s="231"/>
      <c r="AA42" s="231"/>
      <c r="AB42" s="231"/>
      <c r="AC42" s="231"/>
      <c r="AD42" s="231"/>
      <c r="AE42" s="231"/>
      <c r="AF42" s="231"/>
      <c r="AG42" s="231"/>
      <c r="AH42" s="231"/>
    </row>
    <row r="43" spans="1:34" s="203" customFormat="1">
      <c r="A43" s="46">
        <v>1</v>
      </c>
      <c r="B43" s="47" t="s">
        <v>66</v>
      </c>
      <c r="C43" s="47"/>
      <c r="D43" s="48"/>
      <c r="E43" s="74">
        <v>52868</v>
      </c>
      <c r="F43" s="241">
        <v>59296</v>
      </c>
      <c r="G43" s="45"/>
      <c r="H43" s="75">
        <v>58359</v>
      </c>
      <c r="I43" s="43"/>
      <c r="J43" s="231"/>
      <c r="K43" s="231"/>
      <c r="L43" s="231"/>
      <c r="M43" s="231"/>
      <c r="N43" s="231"/>
      <c r="O43" s="231"/>
      <c r="P43" s="231"/>
      <c r="Q43" s="231"/>
      <c r="R43" s="231"/>
      <c r="S43" s="231"/>
      <c r="T43" s="231"/>
      <c r="U43" s="231"/>
      <c r="V43" s="231"/>
      <c r="W43" s="231"/>
      <c r="X43" s="231"/>
      <c r="Y43" s="231"/>
      <c r="Z43" s="231"/>
      <c r="AA43" s="231"/>
      <c r="AB43" s="231"/>
      <c r="AC43" s="231"/>
      <c r="AD43" s="231"/>
      <c r="AE43" s="231"/>
      <c r="AF43" s="231"/>
      <c r="AG43" s="231"/>
      <c r="AH43" s="231"/>
    </row>
    <row r="44" spans="1:34" s="203" customFormat="1">
      <c r="A44" s="46">
        <v>2</v>
      </c>
      <c r="B44" s="47" t="s">
        <v>67</v>
      </c>
      <c r="C44" s="47"/>
      <c r="D44" s="48"/>
      <c r="E44" s="49">
        <v>9376</v>
      </c>
      <c r="F44" s="241">
        <v>9376</v>
      </c>
      <c r="G44" s="45"/>
      <c r="H44" s="75">
        <v>10459</v>
      </c>
      <c r="I44" s="43"/>
      <c r="J44" s="231"/>
      <c r="K44" s="231"/>
      <c r="L44" s="231"/>
      <c r="M44" s="231"/>
      <c r="N44" s="231"/>
      <c r="O44" s="231"/>
      <c r="P44" s="231"/>
      <c r="Q44" s="231"/>
      <c r="R44" s="231"/>
      <c r="S44" s="231"/>
      <c r="T44" s="231"/>
      <c r="U44" s="231"/>
      <c r="V44" s="231"/>
      <c r="W44" s="231"/>
      <c r="X44" s="231"/>
      <c r="Y44" s="231"/>
      <c r="Z44" s="231"/>
      <c r="AA44" s="231"/>
      <c r="AB44" s="231"/>
      <c r="AC44" s="231"/>
      <c r="AD44" s="231"/>
      <c r="AE44" s="231"/>
      <c r="AF44" s="231"/>
      <c r="AG44" s="231"/>
      <c r="AH44" s="231"/>
    </row>
    <row r="45" spans="1:34" s="203" customFormat="1">
      <c r="A45" s="46">
        <v>3</v>
      </c>
      <c r="B45" s="47" t="s">
        <v>68</v>
      </c>
      <c r="C45" s="47"/>
      <c r="D45" s="48"/>
      <c r="E45" s="49">
        <v>0</v>
      </c>
      <c r="F45" s="52"/>
      <c r="G45" s="45"/>
      <c r="H45" s="75">
        <v>0</v>
      </c>
      <c r="I45" s="43"/>
      <c r="J45" s="231"/>
      <c r="K45" s="231"/>
      <c r="L45" s="231"/>
      <c r="M45" s="231"/>
      <c r="N45" s="231"/>
      <c r="O45" s="231"/>
      <c r="P45" s="231"/>
      <c r="Q45" s="231"/>
      <c r="R45" s="231"/>
      <c r="S45" s="231"/>
      <c r="T45" s="231"/>
      <c r="U45" s="231"/>
      <c r="V45" s="231"/>
      <c r="W45" s="231"/>
      <c r="X45" s="231"/>
      <c r="Y45" s="231"/>
      <c r="Z45" s="231"/>
      <c r="AA45" s="231"/>
      <c r="AB45" s="231"/>
      <c r="AC45" s="231"/>
      <c r="AD45" s="231"/>
      <c r="AE45" s="231"/>
      <c r="AF45" s="231"/>
      <c r="AG45" s="231"/>
      <c r="AH45" s="231"/>
    </row>
    <row r="46" spans="1:34" s="203" customFormat="1">
      <c r="A46" s="46">
        <v>4</v>
      </c>
      <c r="B46" s="47" t="s">
        <v>70</v>
      </c>
      <c r="C46" s="47"/>
      <c r="D46" s="48"/>
      <c r="E46" s="49">
        <v>0</v>
      </c>
      <c r="F46" s="52"/>
      <c r="G46" s="45"/>
      <c r="H46" s="75">
        <v>0</v>
      </c>
      <c r="I46" s="43"/>
      <c r="J46" s="231"/>
      <c r="K46" s="231"/>
      <c r="L46" s="231"/>
      <c r="M46" s="231"/>
      <c r="N46" s="231"/>
      <c r="O46" s="231"/>
      <c r="P46" s="231"/>
      <c r="Q46" s="231"/>
      <c r="R46" s="231"/>
      <c r="S46" s="231"/>
      <c r="T46" s="231"/>
      <c r="U46" s="231"/>
      <c r="V46" s="231"/>
      <c r="W46" s="231"/>
      <c r="X46" s="231"/>
      <c r="Y46" s="231"/>
      <c r="Z46" s="231"/>
      <c r="AA46" s="231"/>
      <c r="AB46" s="231"/>
      <c r="AC46" s="231"/>
      <c r="AD46" s="231"/>
      <c r="AE46" s="231"/>
      <c r="AF46" s="231"/>
      <c r="AG46" s="231"/>
      <c r="AH46" s="231"/>
    </row>
    <row r="47" spans="1:34" s="203" customFormat="1">
      <c r="A47" s="46">
        <v>5</v>
      </c>
      <c r="B47" s="47" t="s">
        <v>69</v>
      </c>
      <c r="C47" s="47"/>
      <c r="D47" s="48"/>
      <c r="E47" s="49">
        <v>6188</v>
      </c>
      <c r="F47" s="52">
        <v>6332</v>
      </c>
      <c r="G47" s="45"/>
      <c r="H47" s="76">
        <v>7021</v>
      </c>
      <c r="I47" s="43"/>
      <c r="J47" s="231"/>
      <c r="K47" s="231"/>
      <c r="L47" s="231"/>
      <c r="M47" s="231"/>
      <c r="N47" s="231"/>
      <c r="O47" s="231"/>
      <c r="P47" s="231"/>
      <c r="Q47" s="231"/>
      <c r="R47" s="231"/>
      <c r="S47" s="231"/>
      <c r="T47" s="231"/>
      <c r="U47" s="231"/>
      <c r="V47" s="231"/>
      <c r="W47" s="231"/>
      <c r="X47" s="231"/>
      <c r="Y47" s="231"/>
      <c r="Z47" s="231"/>
      <c r="AA47" s="231"/>
      <c r="AB47" s="231"/>
      <c r="AC47" s="231"/>
      <c r="AD47" s="231"/>
      <c r="AE47" s="231"/>
      <c r="AF47" s="231"/>
      <c r="AG47" s="231"/>
      <c r="AH47" s="231"/>
    </row>
    <row r="48" spans="1:34" s="203" customFormat="1">
      <c r="A48" s="46">
        <v>6</v>
      </c>
      <c r="B48" s="90" t="s">
        <v>253</v>
      </c>
      <c r="C48" s="47"/>
      <c r="D48" s="195"/>
      <c r="E48" s="49">
        <v>8851</v>
      </c>
      <c r="F48" s="52">
        <f>9007-223</f>
        <v>8784</v>
      </c>
      <c r="G48" s="45"/>
      <c r="H48" s="52">
        <v>9254</v>
      </c>
      <c r="I48" s="43"/>
      <c r="J48" s="231"/>
      <c r="K48" s="231"/>
      <c r="L48" s="231"/>
      <c r="M48" s="231"/>
      <c r="N48" s="231"/>
      <c r="O48" s="231"/>
      <c r="P48" s="231"/>
      <c r="Q48" s="231"/>
      <c r="R48" s="231"/>
      <c r="S48" s="231"/>
      <c r="T48" s="231"/>
      <c r="U48" s="231"/>
      <c r="V48" s="231"/>
      <c r="W48" s="231"/>
      <c r="X48" s="231"/>
      <c r="Y48" s="231"/>
      <c r="Z48" s="231"/>
      <c r="AA48" s="231"/>
      <c r="AB48" s="231"/>
      <c r="AC48" s="231"/>
      <c r="AD48" s="231"/>
      <c r="AE48" s="231"/>
      <c r="AF48" s="231"/>
      <c r="AG48" s="231"/>
      <c r="AH48" s="231"/>
    </row>
    <row r="49" spans="1:34" s="203" customFormat="1">
      <c r="A49" s="77">
        <v>7</v>
      </c>
      <c r="B49" s="78" t="s">
        <v>71</v>
      </c>
      <c r="C49" s="58"/>
      <c r="D49" s="79"/>
      <c r="E49" s="80">
        <v>77283</v>
      </c>
      <c r="F49" s="81">
        <f>SUM(F43:F48)</f>
        <v>83788</v>
      </c>
      <c r="G49" s="82"/>
      <c r="H49" s="62">
        <f>SUM(H43:H48)</f>
        <v>85093</v>
      </c>
      <c r="I49" s="242"/>
      <c r="J49" s="231"/>
      <c r="K49" s="231"/>
      <c r="L49" s="231"/>
      <c r="M49" s="231"/>
      <c r="N49" s="231"/>
      <c r="O49" s="231"/>
      <c r="P49" s="231"/>
      <c r="Q49" s="231"/>
      <c r="R49" s="231"/>
      <c r="S49" s="231"/>
      <c r="T49" s="231"/>
      <c r="U49" s="231"/>
      <c r="V49" s="231"/>
      <c r="W49" s="231"/>
      <c r="X49" s="231"/>
      <c r="Y49" s="231"/>
      <c r="Z49" s="231"/>
      <c r="AA49" s="231"/>
      <c r="AB49" s="231"/>
      <c r="AC49" s="231"/>
      <c r="AD49" s="231"/>
      <c r="AE49" s="231"/>
      <c r="AF49" s="231"/>
      <c r="AG49" s="231"/>
      <c r="AH49" s="231"/>
    </row>
    <row r="50" spans="1:34" s="203" customFormat="1">
      <c r="A50" s="83"/>
      <c r="B50" s="244"/>
      <c r="C50" s="244"/>
      <c r="D50" s="244"/>
      <c r="E50" s="85"/>
      <c r="F50" s="244"/>
      <c r="G50" s="86"/>
      <c r="H50" s="86"/>
      <c r="I50" s="21"/>
      <c r="J50" s="231"/>
      <c r="K50" s="231"/>
      <c r="L50" s="231"/>
      <c r="M50" s="231"/>
      <c r="N50" s="231"/>
      <c r="O50" s="231"/>
      <c r="P50" s="231"/>
      <c r="Q50" s="231"/>
      <c r="R50" s="231"/>
      <c r="S50" s="231"/>
      <c r="T50" s="231"/>
      <c r="U50" s="231"/>
      <c r="V50" s="231"/>
      <c r="W50" s="231"/>
      <c r="X50" s="231"/>
      <c r="Y50" s="231"/>
      <c r="Z50" s="231"/>
      <c r="AA50" s="231"/>
      <c r="AB50" s="231"/>
      <c r="AC50" s="231"/>
      <c r="AD50" s="231"/>
      <c r="AE50" s="231"/>
      <c r="AF50" s="231"/>
      <c r="AG50" s="231"/>
      <c r="AH50" s="231"/>
    </row>
    <row r="51" spans="1:34" s="203" customFormat="1">
      <c r="A51" s="651" t="s">
        <v>72</v>
      </c>
      <c r="B51" s="196" t="s">
        <v>254</v>
      </c>
      <c r="C51" s="69"/>
      <c r="D51" s="70"/>
      <c r="E51" s="87"/>
      <c r="F51" s="88"/>
      <c r="G51" s="45"/>
      <c r="H51" s="89"/>
      <c r="I51" s="43"/>
      <c r="J51" s="231"/>
      <c r="K51" s="231"/>
      <c r="L51" s="231"/>
      <c r="M51" s="231"/>
      <c r="N51" s="231"/>
      <c r="O51" s="231"/>
      <c r="P51" s="231"/>
      <c r="Q51" s="231"/>
      <c r="R51" s="231"/>
      <c r="S51" s="231"/>
      <c r="T51" s="231"/>
      <c r="U51" s="231"/>
      <c r="V51" s="231"/>
      <c r="W51" s="231"/>
      <c r="X51" s="231"/>
      <c r="Y51" s="231"/>
      <c r="Z51" s="231"/>
      <c r="AA51" s="231"/>
      <c r="AB51" s="231"/>
      <c r="AC51" s="231"/>
      <c r="AD51" s="231"/>
      <c r="AE51" s="231"/>
      <c r="AF51" s="231"/>
      <c r="AG51" s="231"/>
      <c r="AH51" s="231"/>
    </row>
    <row r="52" spans="1:34" s="203" customFormat="1">
      <c r="A52" s="46">
        <v>8</v>
      </c>
      <c r="B52" s="90" t="s">
        <v>73</v>
      </c>
      <c r="C52" s="47"/>
      <c r="D52" s="48"/>
      <c r="E52" s="74">
        <v>81413</v>
      </c>
      <c r="F52" s="50">
        <f>F38</f>
        <v>89625</v>
      </c>
      <c r="G52" s="45"/>
      <c r="H52" s="91">
        <f>H38</f>
        <v>91176</v>
      </c>
      <c r="I52" s="43"/>
      <c r="J52" s="231"/>
      <c r="K52" s="231"/>
      <c r="L52" s="231"/>
      <c r="M52" s="231"/>
      <c r="N52" s="231"/>
      <c r="O52" s="231"/>
      <c r="P52" s="231"/>
      <c r="Q52" s="231"/>
      <c r="R52" s="231"/>
      <c r="S52" s="231"/>
      <c r="T52" s="231"/>
      <c r="U52" s="231"/>
      <c r="V52" s="231"/>
      <c r="W52" s="231"/>
      <c r="X52" s="231"/>
      <c r="Y52" s="231"/>
      <c r="Z52" s="231"/>
      <c r="AA52" s="231"/>
      <c r="AB52" s="231"/>
      <c r="AC52" s="231"/>
      <c r="AD52" s="231"/>
      <c r="AE52" s="231"/>
      <c r="AF52" s="231"/>
      <c r="AG52" s="231"/>
      <c r="AH52" s="231"/>
    </row>
    <row r="53" spans="1:34" s="203" customFormat="1">
      <c r="A53" s="46">
        <v>9</v>
      </c>
      <c r="B53" s="90" t="s">
        <v>74</v>
      </c>
      <c r="C53" s="47"/>
      <c r="D53" s="48"/>
      <c r="E53" s="49">
        <v>77283</v>
      </c>
      <c r="F53" s="92">
        <f>F49</f>
        <v>83788</v>
      </c>
      <c r="G53" s="45"/>
      <c r="H53" s="91">
        <f>H49</f>
        <v>85093</v>
      </c>
      <c r="I53" s="43"/>
      <c r="J53" s="231"/>
      <c r="K53" s="231"/>
      <c r="L53" s="231"/>
      <c r="M53" s="231"/>
      <c r="N53" s="231"/>
      <c r="O53" s="231"/>
      <c r="P53" s="231"/>
      <c r="Q53" s="231"/>
      <c r="R53" s="231"/>
      <c r="S53" s="231"/>
      <c r="T53" s="231"/>
      <c r="U53" s="231"/>
      <c r="V53" s="231"/>
      <c r="W53" s="231"/>
      <c r="X53" s="231"/>
      <c r="Y53" s="231"/>
      <c r="Z53" s="231"/>
      <c r="AA53" s="231"/>
      <c r="AB53" s="231"/>
      <c r="AC53" s="231"/>
      <c r="AD53" s="231"/>
      <c r="AE53" s="231"/>
      <c r="AF53" s="231"/>
      <c r="AG53" s="231"/>
      <c r="AH53" s="231"/>
    </row>
    <row r="54" spans="1:34" s="203" customFormat="1">
      <c r="A54" s="653">
        <v>10</v>
      </c>
      <c r="B54" s="93" t="s">
        <v>255</v>
      </c>
      <c r="C54" s="94"/>
      <c r="D54" s="55"/>
      <c r="E54" s="95">
        <v>-4130</v>
      </c>
      <c r="F54" s="96">
        <f>F53-F52</f>
        <v>-5837</v>
      </c>
      <c r="G54" s="45"/>
      <c r="H54" s="97">
        <f>H53-H52</f>
        <v>-6083</v>
      </c>
      <c r="I54" s="43"/>
      <c r="J54" s="231"/>
      <c r="K54" s="231"/>
      <c r="L54" s="231"/>
      <c r="M54" s="231"/>
      <c r="N54" s="231"/>
      <c r="O54" s="231"/>
      <c r="P54" s="231"/>
      <c r="Q54" s="231"/>
      <c r="R54" s="231"/>
      <c r="S54" s="231"/>
      <c r="T54" s="231"/>
      <c r="U54" s="231"/>
      <c r="V54" s="231"/>
      <c r="W54" s="231"/>
      <c r="X54" s="231"/>
      <c r="Y54" s="231"/>
      <c r="Z54" s="231"/>
      <c r="AA54" s="231"/>
      <c r="AB54" s="231"/>
      <c r="AC54" s="231"/>
      <c r="AD54" s="231"/>
      <c r="AE54" s="231"/>
      <c r="AF54" s="231"/>
      <c r="AG54" s="231"/>
      <c r="AH54" s="231"/>
    </row>
    <row r="55" spans="1:34" s="203" customFormat="1">
      <c r="A55" s="83"/>
      <c r="B55" s="244"/>
      <c r="C55" s="244"/>
      <c r="D55" s="244"/>
      <c r="E55" s="85"/>
      <c r="F55" s="244"/>
      <c r="G55" s="86"/>
      <c r="H55" s="86"/>
      <c r="I55" s="21"/>
      <c r="J55" s="231"/>
      <c r="K55" s="231"/>
      <c r="L55" s="231"/>
      <c r="M55" s="231"/>
      <c r="N55" s="231"/>
      <c r="O55" s="231"/>
      <c r="P55" s="231"/>
      <c r="Q55" s="231"/>
      <c r="R55" s="231"/>
      <c r="S55" s="231"/>
      <c r="T55" s="231"/>
      <c r="U55" s="231"/>
      <c r="V55" s="231"/>
      <c r="W55" s="231"/>
      <c r="X55" s="231"/>
      <c r="Y55" s="231"/>
      <c r="Z55" s="231"/>
      <c r="AA55" s="231"/>
      <c r="AB55" s="231"/>
      <c r="AC55" s="231"/>
      <c r="AD55" s="231"/>
      <c r="AE55" s="231"/>
      <c r="AF55" s="231"/>
      <c r="AG55" s="231"/>
      <c r="AH55" s="231"/>
    </row>
    <row r="56" spans="1:34" s="203" customFormat="1">
      <c r="A56" s="651" t="s">
        <v>75</v>
      </c>
      <c r="B56" s="69" t="s">
        <v>256</v>
      </c>
      <c r="C56" s="69"/>
      <c r="D56" s="70"/>
      <c r="E56" s="87"/>
      <c r="F56" s="88"/>
      <c r="G56" s="45"/>
      <c r="H56" s="89"/>
      <c r="I56" s="43"/>
      <c r="J56" s="231"/>
      <c r="K56" s="231"/>
      <c r="L56" s="231"/>
      <c r="M56" s="231"/>
      <c r="N56" s="231"/>
      <c r="O56" s="231"/>
      <c r="P56" s="231"/>
      <c r="Q56" s="231"/>
      <c r="R56" s="231"/>
      <c r="S56" s="231"/>
      <c r="T56" s="231"/>
      <c r="U56" s="231"/>
      <c r="V56" s="231"/>
      <c r="W56" s="231"/>
      <c r="X56" s="231"/>
      <c r="Y56" s="231"/>
      <c r="Z56" s="231"/>
      <c r="AA56" s="231"/>
      <c r="AB56" s="231"/>
      <c r="AC56" s="231"/>
      <c r="AD56" s="231"/>
      <c r="AE56" s="231"/>
      <c r="AF56" s="231"/>
      <c r="AG56" s="231"/>
      <c r="AH56" s="231"/>
    </row>
    <row r="57" spans="1:34" s="203" customFormat="1">
      <c r="A57" s="46">
        <v>11</v>
      </c>
      <c r="B57" s="47" t="s">
        <v>76</v>
      </c>
      <c r="C57" s="47"/>
      <c r="D57" s="48"/>
      <c r="E57" s="74">
        <v>16923</v>
      </c>
      <c r="F57" s="52">
        <v>14983</v>
      </c>
      <c r="G57" s="45"/>
      <c r="H57" s="91">
        <f>F61</f>
        <v>14983</v>
      </c>
      <c r="I57" s="43"/>
      <c r="J57" s="231"/>
      <c r="K57" s="231"/>
      <c r="L57" s="231"/>
      <c r="M57" s="231"/>
      <c r="N57" s="231"/>
      <c r="O57" s="231"/>
      <c r="P57" s="231"/>
      <c r="Q57" s="231"/>
      <c r="R57" s="231"/>
      <c r="S57" s="231"/>
      <c r="T57" s="231"/>
      <c r="U57" s="231"/>
      <c r="V57" s="231"/>
      <c r="W57" s="231"/>
      <c r="X57" s="231"/>
      <c r="Y57" s="231"/>
      <c r="Z57" s="231"/>
      <c r="AA57" s="231"/>
      <c r="AB57" s="231"/>
      <c r="AC57" s="231"/>
      <c r="AD57" s="231"/>
      <c r="AE57" s="231"/>
      <c r="AF57" s="231"/>
      <c r="AG57" s="231"/>
      <c r="AH57" s="231"/>
    </row>
    <row r="58" spans="1:34" s="203" customFormat="1">
      <c r="A58" s="46">
        <v>12</v>
      </c>
      <c r="B58" s="90" t="s">
        <v>257</v>
      </c>
      <c r="C58" s="47"/>
      <c r="D58" s="48"/>
      <c r="E58" s="49">
        <v>-4130</v>
      </c>
      <c r="F58" s="92">
        <f>F54</f>
        <v>-5837</v>
      </c>
      <c r="G58" s="45"/>
      <c r="H58" s="98">
        <f>H54</f>
        <v>-6083</v>
      </c>
      <c r="I58" s="43"/>
      <c r="J58" s="231"/>
      <c r="K58" s="231"/>
      <c r="L58" s="231"/>
      <c r="M58" s="231"/>
      <c r="N58" s="231"/>
      <c r="O58" s="231"/>
      <c r="P58" s="231"/>
      <c r="Q58" s="231"/>
      <c r="R58" s="231"/>
      <c r="S58" s="231"/>
      <c r="T58" s="231"/>
      <c r="U58" s="231"/>
      <c r="V58" s="231"/>
      <c r="W58" s="231"/>
      <c r="X58" s="231"/>
      <c r="Y58" s="231"/>
      <c r="Z58" s="231"/>
      <c r="AA58" s="231"/>
      <c r="AB58" s="231"/>
      <c r="AC58" s="231"/>
      <c r="AD58" s="231"/>
      <c r="AE58" s="231"/>
      <c r="AF58" s="231"/>
      <c r="AG58" s="231"/>
      <c r="AH58" s="231"/>
    </row>
    <row r="59" spans="1:34" s="203" customFormat="1">
      <c r="A59" s="46">
        <v>13</v>
      </c>
      <c r="B59" s="47" t="s">
        <v>77</v>
      </c>
      <c r="C59" s="47"/>
      <c r="D59" s="48"/>
      <c r="E59" s="49">
        <v>0</v>
      </c>
      <c r="F59" s="52">
        <v>0</v>
      </c>
      <c r="G59" s="45"/>
      <c r="H59" s="99">
        <v>0</v>
      </c>
      <c r="I59" s="43"/>
      <c r="J59" s="231"/>
      <c r="K59" s="231"/>
      <c r="L59" s="231"/>
      <c r="M59" s="231"/>
      <c r="N59" s="231"/>
      <c r="O59" s="231"/>
      <c r="P59" s="231"/>
      <c r="Q59" s="231"/>
      <c r="R59" s="231"/>
      <c r="S59" s="231"/>
      <c r="T59" s="231"/>
      <c r="U59" s="231"/>
      <c r="V59" s="231"/>
      <c r="W59" s="231"/>
      <c r="X59" s="231"/>
      <c r="Y59" s="231"/>
      <c r="Z59" s="231"/>
      <c r="AA59" s="231"/>
      <c r="AB59" s="231"/>
      <c r="AC59" s="231"/>
      <c r="AD59" s="231"/>
      <c r="AE59" s="231"/>
      <c r="AF59" s="231"/>
      <c r="AG59" s="231"/>
      <c r="AH59" s="231"/>
    </row>
    <row r="60" spans="1:34" s="203" customFormat="1">
      <c r="A60" s="46">
        <v>14</v>
      </c>
      <c r="B60" s="47" t="s">
        <v>78</v>
      </c>
      <c r="C60" s="47"/>
      <c r="D60" s="48"/>
      <c r="E60" s="49">
        <v>4738</v>
      </c>
      <c r="F60" s="52">
        <v>5837</v>
      </c>
      <c r="G60" s="45"/>
      <c r="H60" s="100">
        <v>6083</v>
      </c>
      <c r="I60" s="43"/>
      <c r="J60" s="231"/>
      <c r="K60" s="231"/>
      <c r="L60" s="231"/>
      <c r="M60" s="231"/>
      <c r="N60" s="231"/>
      <c r="O60" s="231"/>
      <c r="P60" s="231"/>
      <c r="Q60" s="231"/>
      <c r="R60" s="231"/>
      <c r="S60" s="231"/>
      <c r="T60" s="231"/>
      <c r="U60" s="231"/>
      <c r="V60" s="231"/>
      <c r="W60" s="231"/>
      <c r="X60" s="231"/>
      <c r="Y60" s="231"/>
      <c r="Z60" s="231"/>
      <c r="AA60" s="231"/>
      <c r="AB60" s="231"/>
      <c r="AC60" s="231"/>
      <c r="AD60" s="231"/>
      <c r="AE60" s="231"/>
      <c r="AF60" s="231"/>
      <c r="AG60" s="231"/>
      <c r="AH60" s="231"/>
    </row>
    <row r="61" spans="1:34" s="203" customFormat="1">
      <c r="A61" s="53">
        <v>15</v>
      </c>
      <c r="B61" s="54" t="s">
        <v>79</v>
      </c>
      <c r="C61" s="54"/>
      <c r="D61" s="55"/>
      <c r="E61" s="56">
        <v>17531</v>
      </c>
      <c r="F61" s="96">
        <f>F57+F58+F59+F60</f>
        <v>14983</v>
      </c>
      <c r="G61" s="45"/>
      <c r="H61" s="101">
        <f>H57+H58+H59+H60</f>
        <v>14983</v>
      </c>
      <c r="I61" s="43"/>
      <c r="J61" s="231"/>
      <c r="K61" s="231"/>
      <c r="L61" s="231"/>
      <c r="M61" s="231"/>
      <c r="N61" s="231"/>
      <c r="O61" s="231"/>
      <c r="P61" s="231"/>
      <c r="Q61" s="231"/>
      <c r="R61" s="231"/>
      <c r="S61" s="231"/>
      <c r="T61" s="231"/>
      <c r="U61" s="231"/>
      <c r="V61" s="231"/>
      <c r="W61" s="231"/>
      <c r="X61" s="231"/>
      <c r="Y61" s="231"/>
      <c r="Z61" s="231"/>
      <c r="AA61" s="231"/>
      <c r="AB61" s="231"/>
      <c r="AC61" s="231"/>
      <c r="AD61" s="231"/>
      <c r="AE61" s="231"/>
      <c r="AF61" s="231"/>
      <c r="AG61" s="231"/>
      <c r="AH61" s="231"/>
    </row>
    <row r="62" spans="1:34" s="203" customFormat="1">
      <c r="A62" s="102"/>
      <c r="B62" s="207"/>
      <c r="C62" s="207"/>
      <c r="D62" s="207"/>
      <c r="E62" s="103"/>
      <c r="F62" s="21"/>
      <c r="G62" s="21"/>
      <c r="H62" s="21"/>
      <c r="I62" s="21"/>
      <c r="J62" s="231"/>
      <c r="K62" s="231"/>
      <c r="L62" s="231"/>
      <c r="M62" s="231"/>
      <c r="N62" s="231"/>
      <c r="O62" s="231"/>
      <c r="P62" s="231"/>
      <c r="Q62" s="231"/>
      <c r="R62" s="231"/>
      <c r="S62" s="231"/>
      <c r="T62" s="231"/>
      <c r="U62" s="231"/>
      <c r="V62" s="231"/>
      <c r="W62" s="231"/>
      <c r="X62" s="231"/>
      <c r="Y62" s="231"/>
      <c r="Z62" s="231"/>
      <c r="AA62" s="231"/>
      <c r="AB62" s="231"/>
      <c r="AC62" s="231"/>
      <c r="AD62" s="231"/>
      <c r="AE62" s="231"/>
      <c r="AF62" s="231"/>
      <c r="AG62" s="231"/>
      <c r="AH62" s="231"/>
    </row>
    <row r="63" spans="1:34" s="203" customFormat="1" ht="12.75" customHeight="1">
      <c r="A63" s="23"/>
      <c r="B63" s="207"/>
      <c r="C63" s="207"/>
      <c r="D63" s="207"/>
      <c r="E63" s="15"/>
      <c r="F63" s="207"/>
      <c r="G63" s="207"/>
      <c r="H63" s="21"/>
      <c r="I63" s="21"/>
      <c r="J63" s="231"/>
      <c r="K63" s="231"/>
      <c r="L63" s="231"/>
      <c r="M63" s="231"/>
      <c r="N63" s="231"/>
      <c r="O63" s="231"/>
      <c r="P63" s="231"/>
      <c r="Q63" s="231"/>
      <c r="R63" s="231"/>
      <c r="S63" s="231"/>
      <c r="T63" s="231"/>
      <c r="U63" s="231"/>
      <c r="V63" s="231"/>
      <c r="W63" s="231"/>
      <c r="X63" s="231"/>
      <c r="Y63" s="231"/>
      <c r="Z63" s="231"/>
      <c r="AA63" s="231"/>
      <c r="AB63" s="231"/>
      <c r="AC63" s="231"/>
      <c r="AD63" s="231"/>
      <c r="AE63" s="231"/>
      <c r="AF63" s="231"/>
      <c r="AG63" s="231"/>
      <c r="AH63" s="231"/>
    </row>
    <row r="64" spans="1:34" s="203" customFormat="1" ht="15">
      <c r="A64" s="104" t="s">
        <v>80</v>
      </c>
      <c r="B64" s="29"/>
      <c r="C64" s="29"/>
      <c r="D64" s="29"/>
      <c r="E64" s="15"/>
      <c r="F64" s="29"/>
      <c r="G64" s="29"/>
      <c r="H64" s="29"/>
      <c r="I64" s="29"/>
      <c r="J64" s="231"/>
      <c r="K64" s="231"/>
      <c r="L64" s="231"/>
      <c r="M64" s="231"/>
      <c r="N64" s="231"/>
      <c r="O64" s="231"/>
      <c r="P64" s="231"/>
      <c r="Q64" s="231"/>
      <c r="R64" s="231"/>
      <c r="S64" s="231"/>
      <c r="T64" s="231"/>
      <c r="U64" s="231"/>
      <c r="V64" s="231"/>
      <c r="W64" s="231"/>
      <c r="X64" s="231"/>
      <c r="Y64" s="231"/>
      <c r="Z64" s="231"/>
      <c r="AA64" s="231"/>
      <c r="AB64" s="231"/>
      <c r="AC64" s="231"/>
      <c r="AD64" s="231"/>
      <c r="AE64" s="231"/>
      <c r="AF64" s="231"/>
      <c r="AG64" s="231"/>
      <c r="AH64" s="231"/>
    </row>
    <row r="65" spans="1:34" s="203" customFormat="1">
      <c r="A65" s="32"/>
      <c r="B65" s="29"/>
      <c r="C65" s="29"/>
      <c r="D65" s="29"/>
      <c r="E65" s="105"/>
      <c r="F65" s="29"/>
      <c r="G65" s="29"/>
      <c r="H65" s="29"/>
      <c r="I65" s="131" t="s">
        <v>27</v>
      </c>
      <c r="J65" s="231"/>
      <c r="K65" s="231"/>
      <c r="L65" s="231"/>
      <c r="M65" s="231"/>
      <c r="N65" s="231"/>
      <c r="O65" s="231"/>
      <c r="P65" s="231"/>
      <c r="Q65" s="231"/>
      <c r="R65" s="231"/>
      <c r="S65" s="231"/>
      <c r="T65" s="231"/>
      <c r="U65" s="231"/>
      <c r="V65" s="231"/>
      <c r="W65" s="231"/>
      <c r="X65" s="231"/>
      <c r="Y65" s="231"/>
      <c r="Z65" s="231"/>
      <c r="AA65" s="231"/>
      <c r="AB65" s="231"/>
      <c r="AC65" s="231"/>
      <c r="AD65" s="231"/>
      <c r="AE65" s="231"/>
      <c r="AF65" s="231"/>
      <c r="AG65" s="231"/>
      <c r="AH65" s="231"/>
    </row>
    <row r="66" spans="1:34" s="203" customFormat="1">
      <c r="A66" s="106" t="s">
        <v>14</v>
      </c>
      <c r="B66" s="107"/>
      <c r="C66" s="107"/>
      <c r="D66" s="107"/>
      <c r="E66" s="856" t="s">
        <v>377</v>
      </c>
      <c r="F66" s="962" t="s">
        <v>402</v>
      </c>
      <c r="G66" s="867" t="s">
        <v>81</v>
      </c>
      <c r="H66" s="962" t="s">
        <v>403</v>
      </c>
      <c r="I66" s="867" t="s">
        <v>81</v>
      </c>
      <c r="J66" s="231"/>
      <c r="K66" s="231"/>
      <c r="L66" s="231"/>
      <c r="M66" s="231"/>
      <c r="N66" s="231"/>
      <c r="O66" s="231"/>
      <c r="P66" s="231"/>
      <c r="Q66" s="231"/>
      <c r="R66" s="231"/>
      <c r="S66" s="231"/>
      <c r="T66" s="231"/>
      <c r="U66" s="231"/>
      <c r="V66" s="231"/>
      <c r="W66" s="231"/>
      <c r="X66" s="231"/>
      <c r="Y66" s="231"/>
      <c r="Z66" s="231"/>
      <c r="AA66" s="231"/>
      <c r="AB66" s="231"/>
      <c r="AC66" s="231"/>
      <c r="AD66" s="231"/>
      <c r="AE66" s="231"/>
      <c r="AF66" s="231"/>
      <c r="AG66" s="231"/>
      <c r="AH66" s="231"/>
    </row>
    <row r="67" spans="1:34" s="203" customFormat="1" ht="21" customHeight="1">
      <c r="A67" s="108"/>
      <c r="B67" s="47"/>
      <c r="C67" s="47"/>
      <c r="D67" s="47"/>
      <c r="E67" s="859"/>
      <c r="F67" s="963"/>
      <c r="G67" s="868"/>
      <c r="H67" s="963"/>
      <c r="I67" s="868"/>
      <c r="J67" s="231"/>
      <c r="K67" s="231"/>
      <c r="L67" s="231"/>
      <c r="M67" s="231"/>
      <c r="N67" s="231"/>
      <c r="O67" s="231"/>
      <c r="P67" s="231"/>
      <c r="Q67" s="231"/>
      <c r="R67" s="231"/>
      <c r="S67" s="231"/>
      <c r="T67" s="231"/>
      <c r="U67" s="231"/>
      <c r="V67" s="231"/>
      <c r="W67" s="231"/>
      <c r="X67" s="231"/>
      <c r="Y67" s="231"/>
      <c r="Z67" s="231"/>
      <c r="AA67" s="231"/>
      <c r="AB67" s="231"/>
      <c r="AC67" s="231"/>
      <c r="AD67" s="231"/>
      <c r="AE67" s="231"/>
      <c r="AF67" s="231"/>
      <c r="AG67" s="231"/>
      <c r="AH67" s="231"/>
    </row>
    <row r="68" spans="1:34" s="203" customFormat="1">
      <c r="A68" s="109" t="s">
        <v>82</v>
      </c>
      <c r="B68" s="47"/>
      <c r="C68" s="47"/>
      <c r="D68" s="47"/>
      <c r="E68" s="859"/>
      <c r="F68" s="963"/>
      <c r="G68" s="868"/>
      <c r="H68" s="963"/>
      <c r="I68" s="868"/>
      <c r="J68" s="231"/>
      <c r="K68" s="231"/>
      <c r="L68" s="231"/>
      <c r="M68" s="231"/>
      <c r="N68" s="231"/>
      <c r="O68" s="231"/>
      <c r="P68" s="231"/>
      <c r="Q68" s="231"/>
      <c r="R68" s="231"/>
      <c r="S68" s="231"/>
      <c r="T68" s="231"/>
      <c r="U68" s="231"/>
      <c r="V68" s="231"/>
      <c r="W68" s="231"/>
      <c r="X68" s="231"/>
      <c r="Y68" s="231"/>
      <c r="Z68" s="231"/>
      <c r="AA68" s="231"/>
      <c r="AB68" s="231"/>
      <c r="AC68" s="231"/>
      <c r="AD68" s="231"/>
      <c r="AE68" s="231"/>
      <c r="AF68" s="231"/>
      <c r="AG68" s="231"/>
      <c r="AH68" s="231"/>
    </row>
    <row r="69" spans="1:34" s="203" customFormat="1">
      <c r="A69" s="109" t="s">
        <v>83</v>
      </c>
      <c r="B69" s="47"/>
      <c r="C69" s="47"/>
      <c r="D69" s="47"/>
      <c r="E69" s="859"/>
      <c r="F69" s="963"/>
      <c r="G69" s="868"/>
      <c r="H69" s="963"/>
      <c r="I69" s="868"/>
      <c r="J69" s="231"/>
      <c r="K69" s="231"/>
      <c r="L69" s="231"/>
      <c r="M69" s="231"/>
      <c r="N69" s="231"/>
      <c r="O69" s="231"/>
      <c r="P69" s="231"/>
      <c r="Q69" s="231"/>
      <c r="R69" s="231"/>
      <c r="S69" s="231"/>
      <c r="T69" s="231"/>
      <c r="U69" s="231"/>
      <c r="V69" s="231"/>
      <c r="W69" s="231"/>
      <c r="X69" s="231"/>
      <c r="Y69" s="231"/>
      <c r="Z69" s="231"/>
      <c r="AA69" s="231"/>
      <c r="AB69" s="231"/>
      <c r="AC69" s="231"/>
      <c r="AD69" s="231"/>
      <c r="AE69" s="231"/>
      <c r="AF69" s="231"/>
      <c r="AG69" s="231"/>
      <c r="AH69" s="231"/>
    </row>
    <row r="70" spans="1:34" s="203" customFormat="1">
      <c r="A70" s="110" t="s">
        <v>84</v>
      </c>
      <c r="B70" s="47"/>
      <c r="C70" s="47"/>
      <c r="D70" s="47"/>
      <c r="E70" s="860"/>
      <c r="F70" s="964"/>
      <c r="G70" s="869"/>
      <c r="H70" s="964"/>
      <c r="I70" s="869"/>
      <c r="J70" s="231"/>
      <c r="K70" s="231"/>
      <c r="L70" s="231"/>
      <c r="M70" s="231"/>
      <c r="N70" s="231"/>
      <c r="O70" s="231"/>
      <c r="P70" s="231"/>
      <c r="Q70" s="231"/>
      <c r="R70" s="231"/>
      <c r="S70" s="231"/>
      <c r="T70" s="231"/>
      <c r="U70" s="231"/>
      <c r="V70" s="231"/>
      <c r="W70" s="231"/>
      <c r="X70" s="231"/>
      <c r="Y70" s="231"/>
      <c r="Z70" s="231"/>
      <c r="AA70" s="231"/>
      <c r="AB70" s="231"/>
      <c r="AC70" s="231"/>
      <c r="AD70" s="231"/>
      <c r="AE70" s="231"/>
      <c r="AF70" s="231"/>
      <c r="AG70" s="231"/>
      <c r="AH70" s="231"/>
    </row>
    <row r="71" spans="1:34" s="203" customFormat="1">
      <c r="A71" s="111">
        <v>1</v>
      </c>
      <c r="B71" s="47" t="s">
        <v>85</v>
      </c>
      <c r="C71" s="47"/>
      <c r="D71" s="47"/>
      <c r="E71" s="41">
        <v>2013</v>
      </c>
      <c r="F71" s="247">
        <f>1930+297</f>
        <v>2227</v>
      </c>
      <c r="G71" s="112">
        <v>1583</v>
      </c>
      <c r="H71" s="248">
        <f>2981+1200</f>
        <v>4181</v>
      </c>
      <c r="I71" s="112">
        <v>2444</v>
      </c>
      <c r="J71" s="231"/>
      <c r="K71" s="231"/>
      <c r="L71" s="231"/>
      <c r="M71" s="231"/>
      <c r="N71" s="231"/>
      <c r="O71" s="231"/>
      <c r="P71" s="231"/>
      <c r="Q71" s="231"/>
      <c r="R71" s="231"/>
      <c r="S71" s="231"/>
      <c r="T71" s="231"/>
      <c r="U71" s="231"/>
      <c r="V71" s="231"/>
      <c r="W71" s="231"/>
      <c r="X71" s="231"/>
      <c r="Y71" s="231"/>
      <c r="Z71" s="231"/>
      <c r="AA71" s="231"/>
      <c r="AB71" s="231"/>
      <c r="AC71" s="231"/>
      <c r="AD71" s="231"/>
      <c r="AE71" s="231"/>
      <c r="AF71" s="231"/>
      <c r="AG71" s="231"/>
      <c r="AH71" s="231"/>
    </row>
    <row r="72" spans="1:34" s="203" customFormat="1">
      <c r="A72" s="111">
        <v>2</v>
      </c>
      <c r="B72" s="47" t="s">
        <v>86</v>
      </c>
      <c r="C72" s="47"/>
      <c r="D72" s="47"/>
      <c r="E72" s="49">
        <v>12731</v>
      </c>
      <c r="F72" s="247">
        <f>12881+172</f>
        <v>13053</v>
      </c>
      <c r="G72" s="113">
        <f>10691+172</f>
        <v>10863</v>
      </c>
      <c r="H72" s="123">
        <f>13514+160</f>
        <v>13674</v>
      </c>
      <c r="I72" s="113">
        <f>11217+160</f>
        <v>11377</v>
      </c>
      <c r="J72" s="231"/>
      <c r="K72" s="231"/>
      <c r="L72" s="231"/>
      <c r="M72" s="231"/>
      <c r="N72" s="231"/>
      <c r="O72" s="231"/>
      <c r="P72" s="231"/>
      <c r="Q72" s="231"/>
      <c r="R72" s="231"/>
      <c r="S72" s="231"/>
      <c r="T72" s="231"/>
      <c r="U72" s="231"/>
      <c r="V72" s="231"/>
      <c r="W72" s="231"/>
      <c r="X72" s="231"/>
      <c r="Y72" s="231"/>
      <c r="Z72" s="231"/>
      <c r="AA72" s="231"/>
      <c r="AB72" s="231"/>
      <c r="AC72" s="231"/>
      <c r="AD72" s="231"/>
      <c r="AE72" s="231"/>
      <c r="AF72" s="231"/>
      <c r="AG72" s="231"/>
      <c r="AH72" s="231"/>
    </row>
    <row r="73" spans="1:34" s="203" customFormat="1">
      <c r="A73" s="111">
        <v>3</v>
      </c>
      <c r="B73" s="47" t="s">
        <v>87</v>
      </c>
      <c r="C73" s="47"/>
      <c r="D73" s="47"/>
      <c r="E73" s="114">
        <v>12920</v>
      </c>
      <c r="F73" s="247">
        <f>12093+60</f>
        <v>12153</v>
      </c>
      <c r="G73" s="113">
        <f>9795+60</f>
        <v>9855</v>
      </c>
      <c r="H73" s="123">
        <f>12852+72</f>
        <v>12924</v>
      </c>
      <c r="I73" s="113">
        <f>10410+72</f>
        <v>10482</v>
      </c>
      <c r="J73" s="231"/>
      <c r="K73" s="231"/>
      <c r="L73" s="231"/>
      <c r="M73" s="231"/>
      <c r="N73" s="231"/>
      <c r="O73" s="231"/>
      <c r="P73" s="231"/>
      <c r="Q73" s="231"/>
      <c r="R73" s="231"/>
      <c r="S73" s="231"/>
      <c r="T73" s="231"/>
      <c r="U73" s="231"/>
      <c r="V73" s="231"/>
      <c r="W73" s="231"/>
      <c r="X73" s="231"/>
      <c r="Y73" s="231"/>
      <c r="Z73" s="231"/>
      <c r="AA73" s="231"/>
      <c r="AB73" s="231"/>
      <c r="AC73" s="231"/>
      <c r="AD73" s="231"/>
      <c r="AE73" s="231"/>
      <c r="AF73" s="231"/>
      <c r="AG73" s="231"/>
      <c r="AH73" s="231"/>
    </row>
    <row r="74" spans="1:34" s="203" customFormat="1">
      <c r="A74" s="111">
        <v>4</v>
      </c>
      <c r="B74" s="47" t="s">
        <v>88</v>
      </c>
      <c r="C74" s="47"/>
      <c r="D74" s="47"/>
      <c r="E74" s="114">
        <v>1311</v>
      </c>
      <c r="F74" s="247">
        <v>1674</v>
      </c>
      <c r="G74" s="113">
        <v>0</v>
      </c>
      <c r="H74" s="123">
        <v>1342</v>
      </c>
      <c r="I74" s="113">
        <v>0</v>
      </c>
      <c r="J74" s="231"/>
      <c r="K74" s="231"/>
      <c r="L74" s="231"/>
      <c r="M74" s="231"/>
      <c r="N74" s="231"/>
      <c r="O74" s="231"/>
      <c r="P74" s="231"/>
      <c r="Q74" s="231"/>
      <c r="R74" s="231"/>
      <c r="S74" s="231"/>
      <c r="T74" s="231"/>
      <c r="U74" s="231"/>
      <c r="V74" s="231"/>
      <c r="W74" s="231"/>
      <c r="X74" s="231"/>
      <c r="Y74" s="231"/>
      <c r="Z74" s="231"/>
      <c r="AA74" s="231"/>
      <c r="AB74" s="231"/>
      <c r="AC74" s="231"/>
      <c r="AD74" s="231"/>
      <c r="AE74" s="231"/>
      <c r="AF74" s="231"/>
      <c r="AG74" s="231"/>
      <c r="AH74" s="231"/>
    </row>
    <row r="75" spans="1:34" s="203" customFormat="1">
      <c r="A75" s="111">
        <v>5</v>
      </c>
      <c r="B75" s="47" t="s">
        <v>89</v>
      </c>
      <c r="C75" s="47" t="s">
        <v>90</v>
      </c>
      <c r="D75" s="47"/>
      <c r="E75" s="114">
        <v>82</v>
      </c>
      <c r="F75" s="247">
        <v>82</v>
      </c>
      <c r="G75" s="113">
        <v>0</v>
      </c>
      <c r="H75" s="123">
        <v>68</v>
      </c>
      <c r="I75" s="113">
        <v>0</v>
      </c>
      <c r="J75" s="231"/>
      <c r="K75" s="231"/>
      <c r="L75" s="231"/>
      <c r="M75" s="231"/>
      <c r="N75" s="231"/>
      <c r="O75" s="231"/>
      <c r="P75" s="231"/>
      <c r="Q75" s="231"/>
      <c r="R75" s="231"/>
      <c r="S75" s="231"/>
      <c r="T75" s="231"/>
      <c r="U75" s="231"/>
      <c r="V75" s="231"/>
      <c r="W75" s="231"/>
      <c r="X75" s="231"/>
      <c r="Y75" s="231"/>
      <c r="Z75" s="231"/>
      <c r="AA75" s="231"/>
      <c r="AB75" s="231"/>
      <c r="AC75" s="231"/>
      <c r="AD75" s="231"/>
      <c r="AE75" s="231"/>
      <c r="AF75" s="231"/>
      <c r="AG75" s="231"/>
      <c r="AH75" s="231"/>
    </row>
    <row r="76" spans="1:34" s="203" customFormat="1">
      <c r="A76" s="652"/>
      <c r="B76" s="654"/>
      <c r="C76" s="47" t="s">
        <v>91</v>
      </c>
      <c r="D76" s="47"/>
      <c r="E76" s="114">
        <v>1635</v>
      </c>
      <c r="F76" s="247">
        <v>2150</v>
      </c>
      <c r="G76" s="115">
        <v>0</v>
      </c>
      <c r="H76" s="249">
        <v>1640</v>
      </c>
      <c r="I76" s="115">
        <v>0</v>
      </c>
      <c r="J76" s="231"/>
      <c r="K76" s="231"/>
      <c r="L76" s="231"/>
      <c r="M76" s="231"/>
      <c r="N76" s="231"/>
      <c r="O76" s="231"/>
      <c r="P76" s="231"/>
      <c r="Q76" s="231"/>
      <c r="R76" s="231"/>
      <c r="S76" s="231"/>
      <c r="T76" s="231"/>
      <c r="U76" s="231"/>
      <c r="V76" s="231"/>
      <c r="W76" s="231"/>
      <c r="X76" s="231"/>
      <c r="Y76" s="231"/>
      <c r="Z76" s="231"/>
      <c r="AA76" s="231"/>
      <c r="AB76" s="231"/>
      <c r="AC76" s="231"/>
      <c r="AD76" s="231"/>
      <c r="AE76" s="231"/>
      <c r="AF76" s="231"/>
      <c r="AG76" s="231"/>
      <c r="AH76" s="231"/>
    </row>
    <row r="77" spans="1:34" s="203" customFormat="1">
      <c r="A77" s="111">
        <v>6</v>
      </c>
      <c r="B77" s="116" t="s">
        <v>92</v>
      </c>
      <c r="C77" s="116"/>
      <c r="D77" s="47"/>
      <c r="E77" s="80">
        <v>30692</v>
      </c>
      <c r="F77" s="250">
        <f>SUM(F71:F76)</f>
        <v>31339</v>
      </c>
      <c r="G77" s="251">
        <f>SUM(G71:G76)</f>
        <v>22301</v>
      </c>
      <c r="H77" s="252">
        <f>SUM(H71:H76)</f>
        <v>33829</v>
      </c>
      <c r="I77" s="251">
        <f>SUM(I71:I76)</f>
        <v>24303</v>
      </c>
      <c r="J77" s="231"/>
      <c r="K77" s="231"/>
      <c r="L77" s="231"/>
      <c r="M77" s="231"/>
      <c r="N77" s="231"/>
      <c r="O77" s="231"/>
      <c r="P77" s="231"/>
      <c r="Q77" s="231"/>
      <c r="R77" s="231"/>
      <c r="S77" s="231"/>
      <c r="T77" s="231"/>
      <c r="U77" s="231"/>
      <c r="V77" s="231"/>
      <c r="W77" s="231"/>
      <c r="X77" s="231"/>
      <c r="Y77" s="231"/>
      <c r="Z77" s="231"/>
      <c r="AA77" s="231"/>
      <c r="AB77" s="231"/>
      <c r="AC77" s="231"/>
      <c r="AD77" s="231"/>
      <c r="AE77" s="231"/>
      <c r="AF77" s="231"/>
      <c r="AG77" s="231"/>
      <c r="AH77" s="231"/>
    </row>
    <row r="78" spans="1:34" s="203" customFormat="1">
      <c r="A78" s="652"/>
      <c r="B78" s="47"/>
      <c r="C78" s="47"/>
      <c r="D78" s="47"/>
      <c r="E78" s="117"/>
      <c r="F78" s="118"/>
      <c r="G78" s="118"/>
      <c r="H78" s="118"/>
      <c r="I78" s="118"/>
      <c r="J78" s="231"/>
      <c r="K78" s="231"/>
      <c r="L78" s="231"/>
      <c r="M78" s="231"/>
      <c r="N78" s="231"/>
      <c r="O78" s="231"/>
      <c r="P78" s="231"/>
      <c r="Q78" s="231"/>
      <c r="R78" s="231"/>
      <c r="S78" s="231"/>
      <c r="T78" s="231"/>
      <c r="U78" s="231"/>
      <c r="V78" s="231"/>
      <c r="W78" s="231"/>
      <c r="X78" s="231"/>
      <c r="Y78" s="231"/>
      <c r="Z78" s="231"/>
      <c r="AA78" s="231"/>
      <c r="AB78" s="231"/>
      <c r="AC78" s="231"/>
      <c r="AD78" s="231"/>
      <c r="AE78" s="231"/>
      <c r="AF78" s="231"/>
      <c r="AG78" s="231"/>
      <c r="AH78" s="231"/>
    </row>
    <row r="79" spans="1:34" s="203" customFormat="1">
      <c r="A79" s="119" t="s">
        <v>93</v>
      </c>
      <c r="B79" s="116"/>
      <c r="C79" s="116"/>
      <c r="D79" s="116"/>
      <c r="E79" s="117"/>
      <c r="F79" s="118"/>
      <c r="G79" s="118"/>
      <c r="H79" s="118"/>
      <c r="I79" s="118"/>
      <c r="J79" s="231"/>
      <c r="K79" s="231"/>
      <c r="L79" s="231"/>
      <c r="M79" s="231"/>
      <c r="N79" s="231"/>
      <c r="O79" s="231"/>
      <c r="P79" s="231"/>
      <c r="Q79" s="231"/>
      <c r="R79" s="231"/>
      <c r="S79" s="231"/>
      <c r="T79" s="231"/>
      <c r="U79" s="231"/>
      <c r="V79" s="231"/>
      <c r="W79" s="231"/>
      <c r="X79" s="231"/>
      <c r="Y79" s="231"/>
      <c r="Z79" s="231"/>
      <c r="AA79" s="231"/>
      <c r="AB79" s="231"/>
      <c r="AC79" s="231"/>
      <c r="AD79" s="231"/>
      <c r="AE79" s="231"/>
      <c r="AF79" s="231"/>
      <c r="AG79" s="231"/>
      <c r="AH79" s="231"/>
    </row>
    <row r="80" spans="1:34" s="203" customFormat="1">
      <c r="A80" s="120">
        <v>7</v>
      </c>
      <c r="B80" s="47" t="s">
        <v>94</v>
      </c>
      <c r="C80" s="47"/>
      <c r="D80" s="47"/>
      <c r="E80" s="41">
        <v>340</v>
      </c>
      <c r="F80" s="253">
        <v>85</v>
      </c>
      <c r="G80" s="112">
        <v>33</v>
      </c>
      <c r="H80" s="248">
        <v>84</v>
      </c>
      <c r="I80" s="112">
        <v>33</v>
      </c>
      <c r="J80" s="231"/>
      <c r="K80" s="231"/>
      <c r="L80" s="231"/>
      <c r="M80" s="231"/>
      <c r="N80" s="231"/>
      <c r="O80" s="231"/>
      <c r="P80" s="231"/>
      <c r="Q80" s="231"/>
      <c r="R80" s="231"/>
      <c r="S80" s="231"/>
      <c r="T80" s="231"/>
      <c r="U80" s="231"/>
      <c r="V80" s="231"/>
      <c r="W80" s="231"/>
      <c r="X80" s="231"/>
      <c r="Y80" s="231"/>
      <c r="Z80" s="231"/>
      <c r="AA80" s="231"/>
      <c r="AB80" s="231"/>
      <c r="AC80" s="231"/>
      <c r="AD80" s="231"/>
      <c r="AE80" s="231"/>
      <c r="AF80" s="231"/>
      <c r="AG80" s="231"/>
      <c r="AH80" s="231"/>
    </row>
    <row r="81" spans="1:34" s="203" customFormat="1">
      <c r="A81" s="120">
        <v>8</v>
      </c>
      <c r="B81" s="47" t="s">
        <v>95</v>
      </c>
      <c r="C81" s="47"/>
      <c r="D81" s="47"/>
      <c r="E81" s="49">
        <v>6808</v>
      </c>
      <c r="F81" s="247">
        <v>6533</v>
      </c>
      <c r="G81" s="113">
        <v>6403</v>
      </c>
      <c r="H81" s="123">
        <v>7126</v>
      </c>
      <c r="I81" s="113">
        <v>6984</v>
      </c>
      <c r="J81" s="231"/>
      <c r="K81" s="231"/>
      <c r="L81" s="231"/>
      <c r="M81" s="231"/>
      <c r="N81" s="231"/>
      <c r="O81" s="231"/>
      <c r="P81" s="231"/>
      <c r="Q81" s="231"/>
      <c r="R81" s="231"/>
      <c r="S81" s="231"/>
      <c r="T81" s="231"/>
      <c r="U81" s="231"/>
      <c r="V81" s="231"/>
      <c r="W81" s="231"/>
      <c r="X81" s="231"/>
      <c r="Y81" s="231"/>
      <c r="Z81" s="231"/>
      <c r="AA81" s="231"/>
      <c r="AB81" s="231"/>
      <c r="AC81" s="231"/>
      <c r="AD81" s="231"/>
      <c r="AE81" s="231"/>
      <c r="AF81" s="231"/>
      <c r="AG81" s="231"/>
      <c r="AH81" s="231"/>
    </row>
    <row r="82" spans="1:34" s="203" customFormat="1">
      <c r="A82" s="120">
        <v>9</v>
      </c>
      <c r="B82" s="47" t="s">
        <v>96</v>
      </c>
      <c r="C82" s="47"/>
      <c r="D82" s="47"/>
      <c r="E82" s="49">
        <v>7405</v>
      </c>
      <c r="F82" s="247">
        <v>6889</v>
      </c>
      <c r="G82" s="113">
        <v>6751</v>
      </c>
      <c r="H82" s="123">
        <v>7812</v>
      </c>
      <c r="I82" s="113">
        <v>7656</v>
      </c>
      <c r="J82" s="231"/>
      <c r="K82" s="231"/>
      <c r="L82" s="231"/>
      <c r="M82" s="231"/>
      <c r="N82" s="231"/>
      <c r="O82" s="231"/>
      <c r="P82" s="231"/>
      <c r="Q82" s="231"/>
      <c r="R82" s="231"/>
      <c r="S82" s="231"/>
      <c r="T82" s="231"/>
      <c r="U82" s="231"/>
      <c r="V82" s="231"/>
      <c r="W82" s="231"/>
      <c r="X82" s="231"/>
      <c r="Y82" s="231"/>
      <c r="Z82" s="231"/>
      <c r="AA82" s="231"/>
      <c r="AB82" s="231"/>
      <c r="AC82" s="231"/>
      <c r="AD82" s="231"/>
      <c r="AE82" s="231"/>
      <c r="AF82" s="231"/>
      <c r="AG82" s="231"/>
      <c r="AH82" s="231"/>
    </row>
    <row r="83" spans="1:34" s="203" customFormat="1">
      <c r="A83" s="120">
        <v>10</v>
      </c>
      <c r="B83" s="90" t="s">
        <v>97</v>
      </c>
      <c r="C83" s="47"/>
      <c r="D83" s="47"/>
      <c r="E83" s="49">
        <v>2968</v>
      </c>
      <c r="F83" s="247">
        <v>3475</v>
      </c>
      <c r="G83" s="113">
        <v>2050</v>
      </c>
      <c r="H83" s="123">
        <v>3175</v>
      </c>
      <c r="I83" s="113">
        <v>1873</v>
      </c>
      <c r="J83" s="231"/>
      <c r="K83" s="231"/>
      <c r="L83" s="231"/>
      <c r="M83" s="231"/>
      <c r="N83" s="231"/>
      <c r="O83" s="231"/>
      <c r="P83" s="231"/>
      <c r="Q83" s="231"/>
      <c r="R83" s="231"/>
      <c r="S83" s="231"/>
      <c r="T83" s="231"/>
      <c r="U83" s="231"/>
      <c r="V83" s="231"/>
      <c r="W83" s="231"/>
      <c r="X83" s="231"/>
      <c r="Y83" s="231"/>
      <c r="Z83" s="231"/>
      <c r="AA83" s="231"/>
      <c r="AB83" s="231"/>
      <c r="AC83" s="231"/>
      <c r="AD83" s="231"/>
      <c r="AE83" s="231"/>
      <c r="AF83" s="231"/>
      <c r="AG83" s="231"/>
      <c r="AH83" s="231"/>
    </row>
    <row r="84" spans="1:34" s="203" customFormat="1">
      <c r="A84" s="120">
        <v>11</v>
      </c>
      <c r="B84" s="90" t="s">
        <v>98</v>
      </c>
      <c r="C84" s="47"/>
      <c r="D84" s="47"/>
      <c r="E84" s="49">
        <v>2198</v>
      </c>
      <c r="F84" s="247">
        <v>2214</v>
      </c>
      <c r="G84" s="113">
        <v>0</v>
      </c>
      <c r="H84" s="123">
        <v>2391</v>
      </c>
      <c r="I84" s="113">
        <v>0</v>
      </c>
      <c r="J84" s="231"/>
      <c r="K84" s="231"/>
      <c r="L84" s="231"/>
      <c r="M84" s="231"/>
      <c r="N84" s="231"/>
      <c r="O84" s="231"/>
      <c r="P84" s="231"/>
      <c r="Q84" s="231"/>
      <c r="R84" s="231"/>
      <c r="S84" s="231"/>
      <c r="T84" s="231"/>
      <c r="U84" s="231"/>
      <c r="V84" s="231"/>
      <c r="W84" s="231"/>
      <c r="X84" s="231"/>
      <c r="Y84" s="231"/>
      <c r="Z84" s="231"/>
      <c r="AA84" s="231"/>
      <c r="AB84" s="231"/>
      <c r="AC84" s="231"/>
      <c r="AD84" s="231"/>
      <c r="AE84" s="231"/>
      <c r="AF84" s="231"/>
      <c r="AG84" s="231"/>
      <c r="AH84" s="231"/>
    </row>
    <row r="85" spans="1:34" s="203" customFormat="1">
      <c r="A85" s="120">
        <v>12</v>
      </c>
      <c r="B85" s="47" t="s">
        <v>99</v>
      </c>
      <c r="C85" s="47"/>
      <c r="D85" s="47"/>
      <c r="E85" s="49">
        <v>964</v>
      </c>
      <c r="F85" s="247">
        <v>1012</v>
      </c>
      <c r="G85" s="113">
        <v>0</v>
      </c>
      <c r="H85" s="123">
        <v>994</v>
      </c>
      <c r="I85" s="113">
        <v>0</v>
      </c>
      <c r="J85" s="231"/>
      <c r="K85" s="231"/>
      <c r="L85" s="231"/>
      <c r="M85" s="231"/>
      <c r="N85" s="231"/>
      <c r="O85" s="231"/>
      <c r="P85" s="231"/>
      <c r="Q85" s="231"/>
      <c r="R85" s="231"/>
      <c r="S85" s="231"/>
      <c r="T85" s="231"/>
      <c r="U85" s="231"/>
      <c r="V85" s="231"/>
      <c r="W85" s="231"/>
      <c r="X85" s="231"/>
      <c r="Y85" s="231"/>
      <c r="Z85" s="231"/>
      <c r="AA85" s="231"/>
      <c r="AB85" s="231"/>
      <c r="AC85" s="231"/>
      <c r="AD85" s="231"/>
      <c r="AE85" s="231"/>
      <c r="AF85" s="231"/>
      <c r="AG85" s="231"/>
      <c r="AH85" s="231"/>
    </row>
    <row r="86" spans="1:34" s="203" customFormat="1">
      <c r="A86" s="120">
        <v>13</v>
      </c>
      <c r="B86" s="47" t="s">
        <v>100</v>
      </c>
      <c r="C86" s="47"/>
      <c r="D86" s="47"/>
      <c r="E86" s="49">
        <v>4393</v>
      </c>
      <c r="F86" s="247">
        <v>4239</v>
      </c>
      <c r="G86" s="113">
        <v>0</v>
      </c>
      <c r="H86" s="123">
        <v>4506</v>
      </c>
      <c r="I86" s="113">
        <v>0</v>
      </c>
      <c r="J86" s="231"/>
      <c r="K86" s="231"/>
      <c r="L86" s="231"/>
      <c r="M86" s="231"/>
      <c r="N86" s="231"/>
      <c r="O86" s="231"/>
      <c r="P86" s="231"/>
      <c r="Q86" s="231"/>
      <c r="R86" s="231"/>
      <c r="S86" s="231"/>
      <c r="T86" s="231"/>
      <c r="U86" s="231"/>
      <c r="V86" s="231"/>
      <c r="W86" s="231"/>
      <c r="X86" s="231"/>
      <c r="Y86" s="231"/>
      <c r="Z86" s="231"/>
      <c r="AA86" s="231"/>
      <c r="AB86" s="231"/>
      <c r="AC86" s="231"/>
      <c r="AD86" s="231"/>
      <c r="AE86" s="231"/>
      <c r="AF86" s="231"/>
      <c r="AG86" s="231"/>
      <c r="AH86" s="231"/>
    </row>
    <row r="87" spans="1:34" s="203" customFormat="1">
      <c r="A87" s="120">
        <v>14</v>
      </c>
      <c r="B87" s="47" t="s">
        <v>101</v>
      </c>
      <c r="C87" s="47"/>
      <c r="D87" s="47"/>
      <c r="E87" s="49">
        <v>731</v>
      </c>
      <c r="F87" s="247">
        <v>726</v>
      </c>
      <c r="G87" s="113">
        <v>0</v>
      </c>
      <c r="H87" s="123">
        <v>745</v>
      </c>
      <c r="I87" s="113">
        <v>0</v>
      </c>
      <c r="J87" s="231"/>
      <c r="K87" s="231"/>
      <c r="L87" s="231"/>
      <c r="M87" s="231"/>
      <c r="N87" s="231"/>
      <c r="O87" s="231"/>
      <c r="P87" s="231"/>
      <c r="Q87" s="231"/>
      <c r="R87" s="231"/>
      <c r="S87" s="231"/>
      <c r="T87" s="231"/>
      <c r="U87" s="231"/>
      <c r="V87" s="231"/>
      <c r="W87" s="231"/>
      <c r="X87" s="231"/>
      <c r="Y87" s="231"/>
      <c r="Z87" s="231"/>
      <c r="AA87" s="231"/>
      <c r="AB87" s="231"/>
      <c r="AC87" s="231"/>
      <c r="AD87" s="231"/>
      <c r="AE87" s="231"/>
      <c r="AF87" s="231"/>
      <c r="AG87" s="231"/>
      <c r="AH87" s="231"/>
    </row>
    <row r="88" spans="1:34" s="203" customFormat="1">
      <c r="A88" s="124">
        <v>15</v>
      </c>
      <c r="B88" s="125" t="s">
        <v>102</v>
      </c>
      <c r="C88" s="54"/>
      <c r="D88" s="54"/>
      <c r="E88" s="56">
        <v>189</v>
      </c>
      <c r="F88" s="254">
        <v>195</v>
      </c>
      <c r="G88" s="127">
        <v>0</v>
      </c>
      <c r="H88" s="255">
        <v>203</v>
      </c>
      <c r="I88" s="127">
        <v>0</v>
      </c>
      <c r="J88" s="231"/>
      <c r="K88" s="231"/>
      <c r="L88" s="231"/>
      <c r="M88" s="231"/>
      <c r="N88" s="231"/>
      <c r="O88" s="231"/>
      <c r="P88" s="231"/>
      <c r="Q88" s="231"/>
      <c r="R88" s="231"/>
      <c r="S88" s="231"/>
      <c r="T88" s="231"/>
      <c r="U88" s="231"/>
      <c r="V88" s="231"/>
      <c r="W88" s="231"/>
      <c r="X88" s="231"/>
      <c r="Y88" s="231"/>
      <c r="Z88" s="231"/>
      <c r="AA88" s="231"/>
      <c r="AB88" s="231"/>
      <c r="AC88" s="231"/>
      <c r="AD88" s="231"/>
      <c r="AE88" s="231"/>
      <c r="AF88" s="231"/>
      <c r="AG88" s="231"/>
      <c r="AH88" s="231"/>
    </row>
    <row r="89" spans="1:34" s="203" customFormat="1">
      <c r="A89" s="128"/>
      <c r="B89" s="129"/>
      <c r="C89" s="129"/>
      <c r="D89" s="129"/>
      <c r="E89" s="15"/>
      <c r="F89" s="130"/>
      <c r="G89" s="29"/>
      <c r="H89" s="207"/>
      <c r="I89" s="29"/>
      <c r="J89" s="231"/>
      <c r="K89" s="231"/>
      <c r="L89" s="231"/>
      <c r="M89" s="231"/>
      <c r="N89" s="231"/>
      <c r="O89" s="231"/>
      <c r="P89" s="231"/>
      <c r="Q89" s="231"/>
      <c r="R89" s="231"/>
      <c r="S89" s="231"/>
      <c r="T89" s="231"/>
      <c r="U89" s="231"/>
      <c r="V89" s="231"/>
      <c r="W89" s="231"/>
      <c r="X89" s="231"/>
      <c r="Y89" s="231"/>
      <c r="Z89" s="231"/>
      <c r="AA89" s="231"/>
      <c r="AB89" s="231"/>
      <c r="AC89" s="231"/>
      <c r="AD89" s="231"/>
      <c r="AE89" s="231"/>
      <c r="AF89" s="231"/>
      <c r="AG89" s="231"/>
      <c r="AH89" s="231"/>
    </row>
    <row r="90" spans="1:34" s="203" customFormat="1">
      <c r="A90" s="128"/>
      <c r="B90" s="129"/>
      <c r="C90" s="129"/>
      <c r="D90" s="129"/>
      <c r="E90" s="105"/>
      <c r="F90" s="130"/>
      <c r="G90" s="29"/>
      <c r="H90" s="131" t="s">
        <v>27</v>
      </c>
      <c r="I90" s="29"/>
      <c r="J90" s="231"/>
      <c r="K90" s="231"/>
      <c r="L90" s="231"/>
      <c r="M90" s="231"/>
      <c r="N90" s="231"/>
      <c r="O90" s="231"/>
      <c r="P90" s="231"/>
      <c r="Q90" s="231"/>
      <c r="R90" s="231"/>
      <c r="S90" s="231"/>
      <c r="T90" s="231"/>
      <c r="U90" s="231"/>
      <c r="V90" s="231"/>
      <c r="W90" s="231"/>
      <c r="X90" s="231"/>
      <c r="Y90" s="231"/>
      <c r="Z90" s="231"/>
      <c r="AA90" s="231"/>
      <c r="AB90" s="231"/>
      <c r="AC90" s="231"/>
      <c r="AD90" s="231"/>
      <c r="AE90" s="231"/>
      <c r="AF90" s="231"/>
      <c r="AG90" s="231"/>
      <c r="AH90" s="231"/>
    </row>
    <row r="91" spans="1:34" s="203" customFormat="1">
      <c r="A91" s="106" t="s">
        <v>17</v>
      </c>
      <c r="B91" s="107"/>
      <c r="C91" s="107"/>
      <c r="D91" s="107"/>
      <c r="E91" s="856" t="s">
        <v>421</v>
      </c>
      <c r="F91" s="856" t="s">
        <v>402</v>
      </c>
      <c r="G91" s="257"/>
      <c r="H91" s="856" t="s">
        <v>403</v>
      </c>
      <c r="I91" s="29"/>
      <c r="J91" s="231"/>
      <c r="K91" s="231"/>
      <c r="L91" s="231"/>
      <c r="M91" s="231"/>
      <c r="N91" s="231"/>
      <c r="O91" s="231"/>
      <c r="P91" s="231"/>
      <c r="Q91" s="231"/>
      <c r="R91" s="231"/>
      <c r="S91" s="231"/>
      <c r="T91" s="231"/>
      <c r="U91" s="231"/>
      <c r="V91" s="231"/>
      <c r="W91" s="231"/>
      <c r="X91" s="231"/>
      <c r="Y91" s="231"/>
      <c r="Z91" s="231"/>
      <c r="AA91" s="231"/>
      <c r="AB91" s="231"/>
      <c r="AC91" s="231"/>
      <c r="AD91" s="231"/>
      <c r="AE91" s="231"/>
      <c r="AF91" s="231"/>
      <c r="AG91" s="231"/>
      <c r="AH91" s="231"/>
    </row>
    <row r="92" spans="1:34" s="203" customFormat="1" ht="12.75" customHeight="1">
      <c r="A92" s="109"/>
      <c r="B92" s="132"/>
      <c r="C92" s="132"/>
      <c r="D92" s="132"/>
      <c r="E92" s="859"/>
      <c r="F92" s="859"/>
      <c r="G92" s="29"/>
      <c r="H92" s="859"/>
      <c r="I92" s="29"/>
      <c r="J92" s="231"/>
      <c r="K92" s="231"/>
      <c r="L92" s="231"/>
      <c r="M92" s="231"/>
      <c r="N92" s="231"/>
      <c r="O92" s="231"/>
      <c r="P92" s="231"/>
      <c r="Q92" s="231"/>
      <c r="R92" s="231"/>
      <c r="S92" s="231"/>
      <c r="T92" s="231"/>
      <c r="U92" s="231"/>
      <c r="V92" s="231"/>
      <c r="W92" s="231"/>
      <c r="X92" s="231"/>
      <c r="Y92" s="231"/>
      <c r="Z92" s="231"/>
      <c r="AA92" s="231"/>
      <c r="AB92" s="231"/>
      <c r="AC92" s="231"/>
      <c r="AD92" s="231"/>
      <c r="AE92" s="231"/>
      <c r="AF92" s="231"/>
      <c r="AG92" s="231"/>
      <c r="AH92" s="231"/>
    </row>
    <row r="93" spans="1:34" s="203" customFormat="1">
      <c r="A93" s="109" t="s">
        <v>103</v>
      </c>
      <c r="B93" s="132"/>
      <c r="C93" s="132"/>
      <c r="D93" s="132"/>
      <c r="E93" s="859"/>
      <c r="F93" s="859"/>
      <c r="G93" s="29"/>
      <c r="H93" s="859"/>
      <c r="I93" s="29"/>
      <c r="J93" s="231"/>
      <c r="K93" s="231"/>
      <c r="L93" s="231"/>
      <c r="M93" s="231"/>
      <c r="N93" s="231"/>
      <c r="O93" s="231"/>
      <c r="P93" s="231"/>
      <c r="Q93" s="231"/>
      <c r="R93" s="231"/>
      <c r="S93" s="231"/>
      <c r="T93" s="231"/>
      <c r="U93" s="231"/>
      <c r="V93" s="231"/>
      <c r="W93" s="231"/>
      <c r="X93" s="231"/>
      <c r="Y93" s="231"/>
      <c r="Z93" s="231"/>
      <c r="AA93" s="231"/>
      <c r="AB93" s="231"/>
      <c r="AC93" s="231"/>
      <c r="AD93" s="231"/>
      <c r="AE93" s="231"/>
      <c r="AF93" s="231"/>
      <c r="AG93" s="231"/>
      <c r="AH93" s="231"/>
    </row>
    <row r="94" spans="1:34" s="203" customFormat="1">
      <c r="A94" s="109" t="s">
        <v>83</v>
      </c>
      <c r="B94" s="132"/>
      <c r="C94" s="132"/>
      <c r="D94" s="132"/>
      <c r="E94" s="859"/>
      <c r="F94" s="859"/>
      <c r="G94" s="130"/>
      <c r="H94" s="859"/>
      <c r="I94" s="29"/>
      <c r="J94" s="231"/>
      <c r="K94" s="231"/>
      <c r="L94" s="231"/>
      <c r="M94" s="231"/>
      <c r="N94" s="231"/>
      <c r="O94" s="231"/>
      <c r="P94" s="231"/>
      <c r="Q94" s="231"/>
      <c r="R94" s="231"/>
      <c r="S94" s="231"/>
      <c r="T94" s="231"/>
      <c r="U94" s="231"/>
      <c r="V94" s="231"/>
      <c r="W94" s="231"/>
      <c r="X94" s="231"/>
      <c r="Y94" s="231"/>
      <c r="Z94" s="231"/>
      <c r="AA94" s="231"/>
      <c r="AB94" s="231"/>
      <c r="AC94" s="231"/>
      <c r="AD94" s="231"/>
      <c r="AE94" s="231"/>
      <c r="AF94" s="231"/>
      <c r="AG94" s="231"/>
      <c r="AH94" s="231"/>
    </row>
    <row r="95" spans="1:34" s="203" customFormat="1">
      <c r="A95" s="110" t="s">
        <v>84</v>
      </c>
      <c r="B95" s="132"/>
      <c r="C95" s="132"/>
      <c r="D95" s="132"/>
      <c r="E95" s="860"/>
      <c r="F95" s="860"/>
      <c r="G95" s="130"/>
      <c r="H95" s="860"/>
      <c r="I95" s="130"/>
      <c r="J95" s="231"/>
      <c r="K95" s="231"/>
      <c r="L95" s="231"/>
      <c r="M95" s="231"/>
      <c r="N95" s="231"/>
      <c r="O95" s="231"/>
      <c r="P95" s="231"/>
      <c r="Q95" s="231"/>
      <c r="R95" s="231"/>
      <c r="S95" s="231"/>
      <c r="T95" s="231"/>
      <c r="U95" s="231"/>
      <c r="V95" s="231"/>
      <c r="W95" s="231"/>
      <c r="X95" s="231"/>
      <c r="Y95" s="231"/>
      <c r="Z95" s="231"/>
      <c r="AA95" s="231"/>
      <c r="AB95" s="231"/>
      <c r="AC95" s="231"/>
      <c r="AD95" s="231"/>
      <c r="AE95" s="231"/>
      <c r="AF95" s="231"/>
      <c r="AG95" s="231"/>
      <c r="AH95" s="231"/>
    </row>
    <row r="96" spans="1:34" s="203" customFormat="1">
      <c r="A96" s="120">
        <v>1</v>
      </c>
      <c r="B96" s="47" t="s">
        <v>104</v>
      </c>
      <c r="C96" s="47"/>
      <c r="D96" s="47"/>
      <c r="E96" s="41">
        <v>1570</v>
      </c>
      <c r="F96" s="52">
        <v>1641</v>
      </c>
      <c r="G96" s="118"/>
      <c r="H96" s="133">
        <v>1683</v>
      </c>
      <c r="I96" s="139"/>
      <c r="J96" s="231"/>
      <c r="K96" s="231"/>
      <c r="L96" s="231"/>
      <c r="M96" s="231"/>
      <c r="N96" s="231"/>
      <c r="O96" s="231"/>
      <c r="P96" s="231"/>
      <c r="Q96" s="231"/>
      <c r="R96" s="231"/>
      <c r="S96" s="231"/>
      <c r="T96" s="231"/>
      <c r="U96" s="231"/>
      <c r="V96" s="231"/>
      <c r="W96" s="231"/>
      <c r="X96" s="231"/>
      <c r="Y96" s="231"/>
      <c r="Z96" s="231"/>
      <c r="AA96" s="231"/>
      <c r="AB96" s="231"/>
      <c r="AC96" s="231"/>
      <c r="AD96" s="231"/>
      <c r="AE96" s="231"/>
      <c r="AF96" s="231"/>
      <c r="AG96" s="231"/>
      <c r="AH96" s="231"/>
    </row>
    <row r="97" spans="1:34" s="203" customFormat="1">
      <c r="A97" s="120">
        <v>2</v>
      </c>
      <c r="B97" s="47" t="s">
        <v>105</v>
      </c>
      <c r="C97" s="47"/>
      <c r="D97" s="47"/>
      <c r="E97" s="49">
        <v>3</v>
      </c>
      <c r="F97" s="52">
        <v>0</v>
      </c>
      <c r="G97" s="118"/>
      <c r="H97" s="122">
        <v>0</v>
      </c>
      <c r="I97" s="139"/>
      <c r="J97" s="231"/>
      <c r="K97" s="231"/>
      <c r="L97" s="231"/>
      <c r="M97" s="231"/>
      <c r="N97" s="231"/>
      <c r="O97" s="231"/>
      <c r="P97" s="231"/>
      <c r="Q97" s="231"/>
      <c r="R97" s="231"/>
      <c r="S97" s="231"/>
      <c r="T97" s="231"/>
      <c r="U97" s="231"/>
      <c r="V97" s="231"/>
      <c r="W97" s="231"/>
      <c r="X97" s="231"/>
      <c r="Y97" s="231"/>
      <c r="Z97" s="231"/>
      <c r="AA97" s="231"/>
      <c r="AB97" s="231"/>
      <c r="AC97" s="231"/>
      <c r="AD97" s="231"/>
      <c r="AE97" s="231"/>
      <c r="AF97" s="231"/>
      <c r="AG97" s="231"/>
      <c r="AH97" s="231"/>
    </row>
    <row r="98" spans="1:34" s="203" customFormat="1">
      <c r="A98" s="120">
        <v>3</v>
      </c>
      <c r="B98" s="47" t="s">
        <v>106</v>
      </c>
      <c r="C98" s="47"/>
      <c r="D98" s="47"/>
      <c r="E98" s="114">
        <v>2832</v>
      </c>
      <c r="F98" s="50">
        <f>F115</f>
        <v>3536</v>
      </c>
      <c r="G98" s="118"/>
      <c r="H98" s="50">
        <f>H115</f>
        <v>3362</v>
      </c>
      <c r="I98" s="139"/>
      <c r="J98" s="231"/>
      <c r="K98" s="231"/>
      <c r="L98" s="231"/>
      <c r="M98" s="231"/>
      <c r="N98" s="231"/>
      <c r="O98" s="231"/>
      <c r="P98" s="231"/>
      <c r="Q98" s="231"/>
      <c r="R98" s="231"/>
      <c r="S98" s="231"/>
      <c r="T98" s="231"/>
      <c r="U98" s="231"/>
      <c r="V98" s="231"/>
      <c r="W98" s="231"/>
      <c r="X98" s="231"/>
      <c r="Y98" s="231"/>
      <c r="Z98" s="231"/>
      <c r="AA98" s="231"/>
      <c r="AB98" s="231"/>
      <c r="AC98" s="231"/>
      <c r="AD98" s="231"/>
      <c r="AE98" s="231"/>
      <c r="AF98" s="231"/>
      <c r="AG98" s="231"/>
      <c r="AH98" s="231"/>
    </row>
    <row r="99" spans="1:34" s="203" customFormat="1">
      <c r="A99" s="120">
        <v>4</v>
      </c>
      <c r="B99" s="47" t="s">
        <v>107</v>
      </c>
      <c r="C99" s="47"/>
      <c r="D99" s="47"/>
      <c r="E99" s="114">
        <v>8330</v>
      </c>
      <c r="F99" s="50">
        <f>F125</f>
        <v>9370</v>
      </c>
      <c r="G99" s="118"/>
      <c r="H99" s="50">
        <f>H125</f>
        <v>8849</v>
      </c>
      <c r="I99" s="139"/>
      <c r="J99" s="231"/>
      <c r="K99" s="231"/>
      <c r="L99" s="231"/>
      <c r="M99" s="231"/>
      <c r="N99" s="231"/>
      <c r="O99" s="231"/>
      <c r="P99" s="231"/>
      <c r="Q99" s="231"/>
      <c r="R99" s="231"/>
      <c r="S99" s="231"/>
      <c r="T99" s="231"/>
      <c r="U99" s="231"/>
      <c r="V99" s="231"/>
      <c r="W99" s="231"/>
      <c r="X99" s="231"/>
      <c r="Y99" s="231"/>
      <c r="Z99" s="231"/>
      <c r="AA99" s="231"/>
      <c r="AB99" s="231"/>
      <c r="AC99" s="231"/>
      <c r="AD99" s="231"/>
      <c r="AE99" s="231"/>
      <c r="AF99" s="231"/>
      <c r="AG99" s="231"/>
      <c r="AH99" s="231"/>
    </row>
    <row r="100" spans="1:34" s="203" customFormat="1">
      <c r="A100" s="120">
        <v>5</v>
      </c>
      <c r="B100" s="47" t="s">
        <v>108</v>
      </c>
      <c r="C100" s="47"/>
      <c r="D100" s="47"/>
      <c r="E100" s="114">
        <v>603</v>
      </c>
      <c r="F100" s="50">
        <f>F135</f>
        <v>599</v>
      </c>
      <c r="G100" s="118"/>
      <c r="H100" s="50">
        <f>H135</f>
        <v>661</v>
      </c>
      <c r="I100" s="139"/>
      <c r="J100" s="231"/>
      <c r="K100" s="231"/>
      <c r="L100" s="231"/>
      <c r="M100" s="231"/>
      <c r="N100" s="231"/>
      <c r="O100" s="231"/>
      <c r="P100" s="231"/>
      <c r="Q100" s="231"/>
      <c r="R100" s="231"/>
      <c r="S100" s="231"/>
      <c r="T100" s="231"/>
      <c r="U100" s="231"/>
      <c r="V100" s="231"/>
      <c r="W100" s="231"/>
      <c r="X100" s="231"/>
      <c r="Y100" s="231"/>
      <c r="Z100" s="231"/>
      <c r="AA100" s="231"/>
      <c r="AB100" s="231"/>
      <c r="AC100" s="231"/>
      <c r="AD100" s="231"/>
      <c r="AE100" s="231"/>
      <c r="AF100" s="231"/>
      <c r="AG100" s="231"/>
      <c r="AH100" s="231"/>
    </row>
    <row r="101" spans="1:34" s="203" customFormat="1">
      <c r="A101" s="120">
        <v>6</v>
      </c>
      <c r="B101" s="47" t="s">
        <v>109</v>
      </c>
      <c r="C101" s="47"/>
      <c r="D101" s="47"/>
      <c r="E101" s="114">
        <v>4443</v>
      </c>
      <c r="F101" s="50">
        <f>F143</f>
        <v>3680</v>
      </c>
      <c r="G101" s="118"/>
      <c r="H101" s="50">
        <f>H143</f>
        <v>4633</v>
      </c>
      <c r="I101" s="139"/>
      <c r="J101" s="231"/>
      <c r="K101" s="231"/>
      <c r="L101" s="231"/>
      <c r="M101" s="231"/>
      <c r="N101" s="231"/>
      <c r="O101" s="231"/>
      <c r="P101" s="231"/>
      <c r="Q101" s="231"/>
      <c r="R101" s="231"/>
      <c r="S101" s="231"/>
      <c r="T101" s="231"/>
      <c r="U101" s="231"/>
      <c r="V101" s="231"/>
      <c r="W101" s="231"/>
      <c r="X101" s="231"/>
      <c r="Y101" s="231"/>
      <c r="Z101" s="231"/>
      <c r="AA101" s="231"/>
      <c r="AB101" s="231"/>
      <c r="AC101" s="231"/>
      <c r="AD101" s="231"/>
      <c r="AE101" s="231"/>
      <c r="AF101" s="231"/>
      <c r="AG101" s="231"/>
      <c r="AH101" s="231"/>
    </row>
    <row r="102" spans="1:34" s="203" customFormat="1">
      <c r="A102" s="120">
        <v>7</v>
      </c>
      <c r="B102" s="47" t="s">
        <v>110</v>
      </c>
      <c r="C102" s="47"/>
      <c r="D102" s="47"/>
      <c r="E102" s="114">
        <v>270</v>
      </c>
      <c r="F102" s="50">
        <f>F150</f>
        <v>221</v>
      </c>
      <c r="G102" s="118"/>
      <c r="H102" s="50">
        <f>H150</f>
        <v>275</v>
      </c>
      <c r="I102" s="139"/>
      <c r="J102" s="231"/>
      <c r="K102" s="231"/>
      <c r="L102" s="231"/>
      <c r="M102" s="231"/>
      <c r="N102" s="231"/>
      <c r="O102" s="231"/>
      <c r="P102" s="231"/>
      <c r="Q102" s="231"/>
      <c r="R102" s="231"/>
      <c r="S102" s="231"/>
      <c r="T102" s="231"/>
      <c r="U102" s="231"/>
      <c r="V102" s="231"/>
      <c r="W102" s="231"/>
      <c r="X102" s="231"/>
      <c r="Y102" s="231"/>
      <c r="Z102" s="231"/>
      <c r="AA102" s="231"/>
      <c r="AB102" s="231"/>
      <c r="AC102" s="231"/>
      <c r="AD102" s="231"/>
      <c r="AE102" s="231"/>
      <c r="AF102" s="231"/>
      <c r="AG102" s="231"/>
      <c r="AH102" s="231"/>
    </row>
    <row r="103" spans="1:34" s="203" customFormat="1">
      <c r="A103" s="120">
        <v>8</v>
      </c>
      <c r="B103" s="47" t="s">
        <v>111</v>
      </c>
      <c r="C103" s="47"/>
      <c r="D103" s="47"/>
      <c r="E103" s="114">
        <v>0</v>
      </c>
      <c r="F103" s="52">
        <v>4</v>
      </c>
      <c r="G103" s="118"/>
      <c r="H103" s="122">
        <v>0</v>
      </c>
      <c r="I103" s="139"/>
      <c r="J103" s="231"/>
      <c r="K103" s="231"/>
      <c r="L103" s="231"/>
      <c r="M103" s="231"/>
      <c r="N103" s="231"/>
      <c r="O103" s="231"/>
      <c r="P103" s="231"/>
      <c r="Q103" s="231"/>
      <c r="R103" s="231"/>
      <c r="S103" s="231"/>
      <c r="T103" s="231"/>
      <c r="U103" s="231"/>
      <c r="V103" s="231"/>
      <c r="W103" s="231"/>
      <c r="X103" s="231"/>
      <c r="Y103" s="231"/>
      <c r="Z103" s="231"/>
      <c r="AA103" s="231"/>
      <c r="AB103" s="231"/>
      <c r="AC103" s="231"/>
      <c r="AD103" s="231"/>
      <c r="AE103" s="231"/>
      <c r="AF103" s="231"/>
      <c r="AG103" s="231"/>
      <c r="AH103" s="231"/>
    </row>
    <row r="104" spans="1:34" s="203" customFormat="1">
      <c r="A104" s="120">
        <v>9</v>
      </c>
      <c r="B104" s="47" t="s">
        <v>112</v>
      </c>
      <c r="C104" s="47"/>
      <c r="D104" s="47"/>
      <c r="E104" s="114">
        <v>42</v>
      </c>
      <c r="F104" s="52">
        <f>42+303</f>
        <v>345</v>
      </c>
      <c r="G104" s="118"/>
      <c r="H104" s="122">
        <f>51+289</f>
        <v>340</v>
      </c>
      <c r="I104" s="139"/>
      <c r="J104" s="231"/>
      <c r="K104" s="231"/>
      <c r="L104" s="231"/>
      <c r="M104" s="231"/>
      <c r="N104" s="231"/>
      <c r="O104" s="231"/>
      <c r="P104" s="231"/>
      <c r="Q104" s="231"/>
      <c r="R104" s="231"/>
      <c r="S104" s="231"/>
      <c r="T104" s="231"/>
      <c r="U104" s="231"/>
      <c r="V104" s="231"/>
      <c r="W104" s="231"/>
      <c r="X104" s="231"/>
      <c r="Y104" s="231"/>
      <c r="Z104" s="231"/>
      <c r="AA104" s="231"/>
      <c r="AB104" s="231"/>
      <c r="AC104" s="231"/>
      <c r="AD104" s="231"/>
      <c r="AE104" s="231"/>
      <c r="AF104" s="231"/>
      <c r="AG104" s="231"/>
      <c r="AH104" s="231"/>
    </row>
    <row r="105" spans="1:34" s="203" customFormat="1">
      <c r="A105" s="111" t="s">
        <v>113</v>
      </c>
      <c r="B105" s="116" t="s">
        <v>114</v>
      </c>
      <c r="C105" s="116"/>
      <c r="D105" s="47"/>
      <c r="E105" s="134">
        <v>18093</v>
      </c>
      <c r="F105" s="61">
        <f>SUM(F96:F104)</f>
        <v>19396</v>
      </c>
      <c r="G105" s="118"/>
      <c r="H105" s="61">
        <f>SUM(H96:H104)</f>
        <v>19803</v>
      </c>
      <c r="I105" s="139"/>
      <c r="J105" s="231"/>
      <c r="K105" s="231"/>
      <c r="L105" s="231"/>
      <c r="M105" s="231"/>
      <c r="N105" s="231"/>
      <c r="O105" s="231"/>
      <c r="P105" s="231"/>
      <c r="Q105" s="231"/>
      <c r="R105" s="231"/>
      <c r="S105" s="231"/>
      <c r="T105" s="231"/>
      <c r="U105" s="231"/>
      <c r="V105" s="231"/>
      <c r="W105" s="231"/>
      <c r="X105" s="231"/>
      <c r="Y105" s="231"/>
      <c r="Z105" s="231"/>
      <c r="AA105" s="231"/>
      <c r="AB105" s="231"/>
      <c r="AC105" s="231"/>
      <c r="AD105" s="231"/>
      <c r="AE105" s="231"/>
      <c r="AF105" s="231"/>
      <c r="AG105" s="231"/>
      <c r="AH105" s="231"/>
    </row>
    <row r="106" spans="1:34" s="203" customFormat="1">
      <c r="A106" s="120">
        <v>11</v>
      </c>
      <c r="B106" s="90" t="s">
        <v>115</v>
      </c>
      <c r="C106" s="47"/>
      <c r="D106" s="47"/>
      <c r="E106" s="135">
        <v>0</v>
      </c>
      <c r="F106" s="136"/>
      <c r="G106" s="118"/>
      <c r="H106" s="137"/>
      <c r="I106" s="139"/>
      <c r="J106" s="231"/>
      <c r="K106" s="231"/>
      <c r="L106" s="231"/>
      <c r="M106" s="231"/>
      <c r="N106" s="231"/>
      <c r="O106" s="231"/>
      <c r="P106" s="231"/>
      <c r="Q106" s="231"/>
      <c r="R106" s="231"/>
      <c r="S106" s="231"/>
      <c r="T106" s="231"/>
      <c r="U106" s="231"/>
      <c r="V106" s="231"/>
      <c r="W106" s="231"/>
      <c r="X106" s="231"/>
      <c r="Y106" s="231"/>
      <c r="Z106" s="231"/>
      <c r="AA106" s="231"/>
      <c r="AB106" s="231"/>
      <c r="AC106" s="231"/>
      <c r="AD106" s="231"/>
      <c r="AE106" s="231"/>
      <c r="AF106" s="231"/>
      <c r="AG106" s="231"/>
      <c r="AH106" s="231"/>
    </row>
    <row r="107" spans="1:34" s="203" customFormat="1">
      <c r="A107" s="111"/>
      <c r="B107" s="47"/>
      <c r="C107" s="47"/>
      <c r="D107" s="138"/>
      <c r="E107" s="117"/>
      <c r="F107" s="139"/>
      <c r="G107" s="139"/>
      <c r="H107" s="139"/>
      <c r="I107" s="139"/>
      <c r="J107" s="231"/>
      <c r="K107" s="231"/>
      <c r="L107" s="231"/>
      <c r="M107" s="231"/>
      <c r="N107" s="231"/>
      <c r="O107" s="231"/>
      <c r="P107" s="231"/>
      <c r="Q107" s="231"/>
      <c r="R107" s="231"/>
      <c r="S107" s="231"/>
      <c r="T107" s="231"/>
      <c r="U107" s="231"/>
      <c r="V107" s="231"/>
      <c r="W107" s="231"/>
      <c r="X107" s="231"/>
      <c r="Y107" s="231"/>
      <c r="Z107" s="231"/>
      <c r="AA107" s="231"/>
      <c r="AB107" s="231"/>
      <c r="AC107" s="231"/>
      <c r="AD107" s="231"/>
      <c r="AE107" s="231"/>
      <c r="AF107" s="231"/>
      <c r="AG107" s="231"/>
      <c r="AH107" s="231"/>
    </row>
    <row r="108" spans="1:34" s="203" customFormat="1">
      <c r="A108" s="119" t="s">
        <v>116</v>
      </c>
      <c r="B108" s="47"/>
      <c r="C108" s="47"/>
      <c r="D108" s="47"/>
      <c r="E108" s="117"/>
      <c r="F108" s="139"/>
      <c r="G108" s="139"/>
      <c r="H108" s="139"/>
      <c r="I108" s="139"/>
      <c r="J108" s="231"/>
      <c r="K108" s="231"/>
      <c r="L108" s="231"/>
      <c r="M108" s="231"/>
      <c r="N108" s="231"/>
      <c r="O108" s="231"/>
      <c r="P108" s="231"/>
      <c r="Q108" s="231"/>
      <c r="R108" s="231"/>
      <c r="S108" s="231"/>
      <c r="T108" s="231"/>
      <c r="U108" s="231"/>
      <c r="V108" s="231"/>
      <c r="W108" s="231"/>
      <c r="X108" s="231"/>
      <c r="Y108" s="231"/>
      <c r="Z108" s="231"/>
      <c r="AA108" s="231"/>
      <c r="AB108" s="231"/>
      <c r="AC108" s="231"/>
      <c r="AD108" s="231"/>
      <c r="AE108" s="231"/>
      <c r="AF108" s="231"/>
      <c r="AG108" s="231"/>
      <c r="AH108" s="231"/>
    </row>
    <row r="109" spans="1:34" s="203" customFormat="1">
      <c r="A109" s="119" t="s">
        <v>106</v>
      </c>
      <c r="B109" s="47"/>
      <c r="C109" s="47"/>
      <c r="D109" s="47"/>
      <c r="E109" s="140"/>
      <c r="F109" s="141"/>
      <c r="G109" s="139"/>
      <c r="H109" s="141"/>
      <c r="I109" s="139"/>
      <c r="J109" s="231"/>
      <c r="K109" s="231"/>
      <c r="L109" s="231"/>
      <c r="M109" s="231"/>
      <c r="N109" s="231"/>
      <c r="O109" s="231"/>
      <c r="P109" s="231"/>
      <c r="Q109" s="231"/>
      <c r="R109" s="231"/>
      <c r="S109" s="231"/>
      <c r="T109" s="231"/>
      <c r="U109" s="231"/>
      <c r="V109" s="231"/>
      <c r="W109" s="231"/>
      <c r="X109" s="231"/>
      <c r="Y109" s="231"/>
      <c r="Z109" s="231"/>
      <c r="AA109" s="231"/>
      <c r="AB109" s="231"/>
      <c r="AC109" s="231"/>
      <c r="AD109" s="231"/>
      <c r="AE109" s="231"/>
      <c r="AF109" s="231"/>
      <c r="AG109" s="231"/>
      <c r="AH109" s="231"/>
    </row>
    <row r="110" spans="1:34" s="203" customFormat="1">
      <c r="A110" s="120">
        <v>12</v>
      </c>
      <c r="B110" s="47" t="s">
        <v>117</v>
      </c>
      <c r="C110" s="47"/>
      <c r="D110" s="47"/>
      <c r="E110" s="49">
        <v>857</v>
      </c>
      <c r="F110" s="52">
        <v>744</v>
      </c>
      <c r="G110" s="118"/>
      <c r="H110" s="122">
        <v>882</v>
      </c>
      <c r="I110" s="139"/>
      <c r="J110" s="231"/>
      <c r="K110" s="231"/>
      <c r="L110" s="231"/>
      <c r="M110" s="231"/>
      <c r="N110" s="231"/>
      <c r="O110" s="231"/>
      <c r="P110" s="231"/>
      <c r="Q110" s="231"/>
      <c r="R110" s="231"/>
      <c r="S110" s="231"/>
      <c r="T110" s="231"/>
      <c r="U110" s="231"/>
      <c r="V110" s="231"/>
      <c r="W110" s="231"/>
      <c r="X110" s="231"/>
      <c r="Y110" s="231"/>
      <c r="Z110" s="231"/>
      <c r="AA110" s="231"/>
      <c r="AB110" s="231"/>
      <c r="AC110" s="231"/>
      <c r="AD110" s="231"/>
      <c r="AE110" s="231"/>
      <c r="AF110" s="231"/>
      <c r="AG110" s="231"/>
      <c r="AH110" s="231"/>
    </row>
    <row r="111" spans="1:34" s="203" customFormat="1">
      <c r="A111" s="120">
        <v>13</v>
      </c>
      <c r="B111" s="47" t="s">
        <v>118</v>
      </c>
      <c r="C111" s="47"/>
      <c r="D111" s="47"/>
      <c r="E111" s="49">
        <v>673</v>
      </c>
      <c r="F111" s="52">
        <v>553</v>
      </c>
      <c r="G111" s="118"/>
      <c r="H111" s="122">
        <v>757</v>
      </c>
      <c r="I111" s="139"/>
      <c r="J111" s="231"/>
      <c r="K111" s="231"/>
      <c r="L111" s="231"/>
      <c r="M111" s="231"/>
      <c r="N111" s="231"/>
      <c r="O111" s="231"/>
      <c r="P111" s="231"/>
      <c r="Q111" s="231"/>
      <c r="R111" s="231"/>
      <c r="S111" s="231"/>
      <c r="T111" s="231"/>
      <c r="U111" s="231"/>
      <c r="V111" s="231"/>
      <c r="W111" s="231"/>
      <c r="X111" s="231"/>
      <c r="Y111" s="231"/>
      <c r="Z111" s="231"/>
      <c r="AA111" s="231"/>
      <c r="AB111" s="231"/>
      <c r="AC111" s="231"/>
      <c r="AD111" s="231"/>
      <c r="AE111" s="231"/>
      <c r="AF111" s="231"/>
      <c r="AG111" s="231"/>
      <c r="AH111" s="231"/>
    </row>
    <row r="112" spans="1:34" s="203" customFormat="1">
      <c r="A112" s="120">
        <v>14</v>
      </c>
      <c r="B112" s="47" t="s">
        <v>119</v>
      </c>
      <c r="C112" s="47"/>
      <c r="D112" s="47"/>
      <c r="E112" s="49">
        <v>1039</v>
      </c>
      <c r="F112" s="52">
        <v>1752</v>
      </c>
      <c r="G112" s="118"/>
      <c r="H112" s="122">
        <v>1429</v>
      </c>
      <c r="I112" s="139"/>
      <c r="J112" s="231"/>
      <c r="K112" s="231"/>
      <c r="L112" s="231"/>
      <c r="M112" s="231"/>
      <c r="N112" s="231"/>
      <c r="O112" s="231"/>
      <c r="P112" s="231"/>
      <c r="Q112" s="231"/>
      <c r="R112" s="231"/>
      <c r="S112" s="231"/>
      <c r="T112" s="231"/>
      <c r="U112" s="231"/>
      <c r="V112" s="231"/>
      <c r="W112" s="231"/>
      <c r="X112" s="231"/>
      <c r="Y112" s="231"/>
      <c r="Z112" s="231"/>
      <c r="AA112" s="231"/>
      <c r="AB112" s="231"/>
      <c r="AC112" s="231"/>
      <c r="AD112" s="231"/>
      <c r="AE112" s="231"/>
      <c r="AF112" s="231"/>
      <c r="AG112" s="231"/>
      <c r="AH112" s="231"/>
    </row>
    <row r="113" spans="1:34" s="203" customFormat="1">
      <c r="A113" s="120">
        <v>15</v>
      </c>
      <c r="B113" s="47" t="s">
        <v>120</v>
      </c>
      <c r="C113" s="47"/>
      <c r="D113" s="47"/>
      <c r="E113" s="49">
        <v>263</v>
      </c>
      <c r="F113" s="52">
        <v>487</v>
      </c>
      <c r="G113" s="118"/>
      <c r="H113" s="122">
        <v>294</v>
      </c>
      <c r="I113" s="139"/>
      <c r="J113" s="231"/>
      <c r="K113" s="231"/>
      <c r="L113" s="231"/>
      <c r="M113" s="231"/>
      <c r="N113" s="231"/>
      <c r="O113" s="231"/>
      <c r="P113" s="231"/>
      <c r="Q113" s="231"/>
      <c r="R113" s="231"/>
      <c r="S113" s="231"/>
      <c r="T113" s="231"/>
      <c r="U113" s="231"/>
      <c r="V113" s="231"/>
      <c r="W113" s="231"/>
      <c r="X113" s="231"/>
      <c r="Y113" s="231"/>
      <c r="Z113" s="231"/>
      <c r="AA113" s="231"/>
      <c r="AB113" s="231"/>
      <c r="AC113" s="231"/>
      <c r="AD113" s="231"/>
      <c r="AE113" s="231"/>
      <c r="AF113" s="231"/>
      <c r="AG113" s="231"/>
      <c r="AH113" s="231"/>
    </row>
    <row r="114" spans="1:34" s="203" customFormat="1">
      <c r="A114" s="120">
        <v>16</v>
      </c>
      <c r="B114" s="47" t="s">
        <v>121</v>
      </c>
      <c r="C114" s="47"/>
      <c r="D114" s="47"/>
      <c r="E114" s="49">
        <v>0</v>
      </c>
      <c r="F114" s="52">
        <v>0</v>
      </c>
      <c r="G114" s="118"/>
      <c r="H114" s="100">
        <v>0</v>
      </c>
      <c r="I114" s="139"/>
      <c r="J114" s="231"/>
      <c r="K114" s="231"/>
      <c r="L114" s="231"/>
      <c r="M114" s="231"/>
      <c r="N114" s="231"/>
      <c r="O114" s="231"/>
      <c r="P114" s="231"/>
      <c r="Q114" s="231"/>
      <c r="R114" s="231"/>
      <c r="S114" s="231"/>
      <c r="T114" s="231"/>
      <c r="U114" s="231"/>
      <c r="V114" s="231"/>
      <c r="W114" s="231"/>
      <c r="X114" s="231"/>
      <c r="Y114" s="231"/>
      <c r="Z114" s="231"/>
      <c r="AA114" s="231"/>
      <c r="AB114" s="231"/>
      <c r="AC114" s="231"/>
      <c r="AD114" s="231"/>
      <c r="AE114" s="231"/>
      <c r="AF114" s="231"/>
      <c r="AG114" s="231"/>
      <c r="AH114" s="231"/>
    </row>
    <row r="115" spans="1:34" s="203" customFormat="1">
      <c r="A115" s="120">
        <v>17</v>
      </c>
      <c r="B115" s="116" t="s">
        <v>122</v>
      </c>
      <c r="C115" s="116"/>
      <c r="D115" s="116"/>
      <c r="E115" s="80">
        <v>2832</v>
      </c>
      <c r="F115" s="142">
        <f>SUM(F110:F114)</f>
        <v>3536</v>
      </c>
      <c r="G115" s="118"/>
      <c r="H115" s="142">
        <f>SUM(H110:H114)</f>
        <v>3362</v>
      </c>
      <c r="I115" s="139"/>
      <c r="J115" s="231"/>
      <c r="K115" s="231"/>
      <c r="L115" s="231"/>
      <c r="M115" s="231"/>
      <c r="N115" s="231"/>
      <c r="O115" s="231"/>
      <c r="P115" s="231"/>
      <c r="Q115" s="231"/>
      <c r="R115" s="231"/>
      <c r="S115" s="231"/>
      <c r="T115" s="231"/>
      <c r="U115" s="231"/>
      <c r="V115" s="231"/>
      <c r="W115" s="231"/>
      <c r="X115" s="231"/>
      <c r="Y115" s="231"/>
      <c r="Z115" s="231"/>
      <c r="AA115" s="231"/>
      <c r="AB115" s="231"/>
      <c r="AC115" s="231"/>
      <c r="AD115" s="231"/>
      <c r="AE115" s="231"/>
      <c r="AF115" s="231"/>
      <c r="AG115" s="231"/>
      <c r="AH115" s="231"/>
    </row>
    <row r="116" spans="1:34" s="203" customFormat="1">
      <c r="A116" s="111"/>
      <c r="B116" s="116"/>
      <c r="C116" s="116"/>
      <c r="D116" s="116"/>
      <c r="E116" s="143"/>
      <c r="F116" s="118"/>
      <c r="G116" s="118"/>
      <c r="H116" s="118"/>
      <c r="I116" s="139"/>
      <c r="J116" s="231"/>
      <c r="K116" s="231"/>
      <c r="L116" s="231"/>
      <c r="M116" s="231"/>
      <c r="N116" s="231"/>
      <c r="O116" s="231"/>
      <c r="P116" s="231"/>
      <c r="Q116" s="231"/>
      <c r="R116" s="231"/>
      <c r="S116" s="231"/>
      <c r="T116" s="231"/>
      <c r="U116" s="231"/>
      <c r="V116" s="231"/>
      <c r="W116" s="231"/>
      <c r="X116" s="231"/>
      <c r="Y116" s="231"/>
      <c r="Z116" s="231"/>
      <c r="AA116" s="231"/>
      <c r="AB116" s="231"/>
      <c r="AC116" s="231"/>
      <c r="AD116" s="231"/>
      <c r="AE116" s="231"/>
      <c r="AF116" s="231"/>
      <c r="AG116" s="231"/>
      <c r="AH116" s="231"/>
    </row>
    <row r="117" spans="1:34" s="203" customFormat="1">
      <c r="A117" s="144" t="s">
        <v>107</v>
      </c>
      <c r="B117" s="116"/>
      <c r="C117" s="116"/>
      <c r="D117" s="116"/>
      <c r="E117" s="145"/>
      <c r="F117" s="146"/>
      <c r="G117" s="118"/>
      <c r="H117" s="146"/>
      <c r="I117" s="139"/>
      <c r="J117" s="231"/>
      <c r="K117" s="231"/>
      <c r="L117" s="231"/>
      <c r="M117" s="231"/>
      <c r="N117" s="231"/>
      <c r="O117" s="231"/>
      <c r="P117" s="231"/>
      <c r="Q117" s="231"/>
      <c r="R117" s="231"/>
      <c r="S117" s="231"/>
      <c r="T117" s="231"/>
      <c r="U117" s="231"/>
      <c r="V117" s="231"/>
      <c r="W117" s="231"/>
      <c r="X117" s="231"/>
      <c r="Y117" s="231"/>
      <c r="Z117" s="231"/>
      <c r="AA117" s="231"/>
      <c r="AB117" s="231"/>
      <c r="AC117" s="231"/>
      <c r="AD117" s="231"/>
      <c r="AE117" s="231"/>
      <c r="AF117" s="231"/>
      <c r="AG117" s="231"/>
      <c r="AH117" s="231"/>
    </row>
    <row r="118" spans="1:34" s="203" customFormat="1">
      <c r="A118" s="120">
        <v>18</v>
      </c>
      <c r="B118" s="47" t="s">
        <v>123</v>
      </c>
      <c r="C118" s="47"/>
      <c r="D118" s="47"/>
      <c r="E118" s="49">
        <v>516</v>
      </c>
      <c r="F118" s="52">
        <v>528</v>
      </c>
      <c r="G118" s="118"/>
      <c r="H118" s="122">
        <v>614</v>
      </c>
      <c r="I118" s="139"/>
      <c r="J118" s="231"/>
      <c r="K118" s="231"/>
      <c r="L118" s="231"/>
      <c r="M118" s="231"/>
      <c r="N118" s="231"/>
      <c r="O118" s="231"/>
      <c r="P118" s="231"/>
      <c r="Q118" s="231"/>
      <c r="R118" s="231"/>
      <c r="S118" s="231"/>
      <c r="T118" s="231"/>
      <c r="U118" s="231"/>
      <c r="V118" s="231"/>
      <c r="W118" s="231"/>
      <c r="X118" s="231"/>
      <c r="Y118" s="231"/>
      <c r="Z118" s="231"/>
      <c r="AA118" s="231"/>
      <c r="AB118" s="231"/>
      <c r="AC118" s="231"/>
      <c r="AD118" s="231"/>
      <c r="AE118" s="231"/>
      <c r="AF118" s="231"/>
      <c r="AG118" s="231"/>
      <c r="AH118" s="231"/>
    </row>
    <row r="119" spans="1:34" s="203" customFormat="1">
      <c r="A119" s="120">
        <v>19</v>
      </c>
      <c r="B119" s="47" t="s">
        <v>124</v>
      </c>
      <c r="C119" s="47"/>
      <c r="D119" s="47"/>
      <c r="E119" s="49">
        <v>2662</v>
      </c>
      <c r="F119" s="52">
        <v>2788</v>
      </c>
      <c r="G119" s="118"/>
      <c r="H119" s="122">
        <v>2851</v>
      </c>
      <c r="I119" s="139"/>
      <c r="J119" s="231"/>
      <c r="K119" s="231"/>
      <c r="L119" s="231"/>
      <c r="M119" s="231"/>
      <c r="N119" s="231"/>
      <c r="O119" s="231"/>
      <c r="P119" s="231"/>
      <c r="Q119" s="231"/>
      <c r="R119" s="231"/>
      <c r="S119" s="231"/>
      <c r="T119" s="231"/>
      <c r="U119" s="231"/>
      <c r="V119" s="231"/>
      <c r="W119" s="231"/>
      <c r="X119" s="231"/>
      <c r="Y119" s="231"/>
      <c r="Z119" s="231"/>
      <c r="AA119" s="231"/>
      <c r="AB119" s="231"/>
      <c r="AC119" s="231"/>
      <c r="AD119" s="231"/>
      <c r="AE119" s="231"/>
      <c r="AF119" s="231"/>
      <c r="AG119" s="231"/>
      <c r="AH119" s="231"/>
    </row>
    <row r="120" spans="1:34" s="203" customFormat="1">
      <c r="A120" s="120">
        <v>20</v>
      </c>
      <c r="B120" s="47" t="s">
        <v>119</v>
      </c>
      <c r="C120" s="47"/>
      <c r="D120" s="47"/>
      <c r="E120" s="49">
        <v>4182</v>
      </c>
      <c r="F120" s="52">
        <v>4897</v>
      </c>
      <c r="G120" s="118"/>
      <c r="H120" s="122">
        <v>4223</v>
      </c>
      <c r="I120" s="139"/>
      <c r="J120" s="231"/>
      <c r="K120" s="231"/>
      <c r="L120" s="231"/>
      <c r="M120" s="231"/>
      <c r="N120" s="231"/>
      <c r="O120" s="231"/>
      <c r="P120" s="231"/>
      <c r="Q120" s="231"/>
      <c r="R120" s="231"/>
      <c r="S120" s="231"/>
      <c r="T120" s="231"/>
      <c r="U120" s="231"/>
      <c r="V120" s="231"/>
      <c r="W120" s="231"/>
      <c r="X120" s="231"/>
      <c r="Y120" s="231"/>
      <c r="Z120" s="231"/>
      <c r="AA120" s="231"/>
      <c r="AB120" s="231"/>
      <c r="AC120" s="231"/>
      <c r="AD120" s="231"/>
      <c r="AE120" s="231"/>
      <c r="AF120" s="231"/>
      <c r="AG120" s="231"/>
      <c r="AH120" s="231"/>
    </row>
    <row r="121" spans="1:34" s="203" customFormat="1">
      <c r="A121" s="120">
        <v>21</v>
      </c>
      <c r="B121" s="47" t="s">
        <v>120</v>
      </c>
      <c r="C121" s="47"/>
      <c r="D121" s="47"/>
      <c r="E121" s="49">
        <v>411</v>
      </c>
      <c r="F121" s="52">
        <v>376</v>
      </c>
      <c r="G121" s="118"/>
      <c r="H121" s="122">
        <v>478</v>
      </c>
      <c r="I121" s="139"/>
      <c r="J121" s="231"/>
      <c r="K121" s="231"/>
      <c r="L121" s="231"/>
      <c r="M121" s="231"/>
      <c r="N121" s="231"/>
      <c r="O121" s="231"/>
      <c r="P121" s="231"/>
      <c r="Q121" s="231"/>
      <c r="R121" s="231"/>
      <c r="S121" s="231"/>
      <c r="T121" s="231"/>
      <c r="U121" s="231"/>
      <c r="V121" s="231"/>
      <c r="W121" s="231"/>
      <c r="X121" s="231"/>
      <c r="Y121" s="231"/>
      <c r="Z121" s="231"/>
      <c r="AA121" s="231"/>
      <c r="AB121" s="231"/>
      <c r="AC121" s="231"/>
      <c r="AD121" s="231"/>
      <c r="AE121" s="231"/>
      <c r="AF121" s="231"/>
      <c r="AG121" s="231"/>
      <c r="AH121" s="231"/>
    </row>
    <row r="122" spans="1:34" s="203" customFormat="1">
      <c r="A122" s="120">
        <v>22</v>
      </c>
      <c r="B122" s="47" t="s">
        <v>125</v>
      </c>
      <c r="C122" s="47"/>
      <c r="D122" s="47"/>
      <c r="E122" s="49">
        <v>269</v>
      </c>
      <c r="F122" s="52">
        <v>261</v>
      </c>
      <c r="G122" s="118"/>
      <c r="H122" s="122">
        <v>283</v>
      </c>
      <c r="I122" s="139"/>
      <c r="J122" s="231"/>
      <c r="K122" s="231"/>
      <c r="L122" s="231"/>
      <c r="M122" s="231"/>
      <c r="N122" s="231"/>
      <c r="O122" s="231"/>
      <c r="P122" s="231"/>
      <c r="Q122" s="231"/>
      <c r="R122" s="231"/>
      <c r="S122" s="231"/>
      <c r="T122" s="231"/>
      <c r="U122" s="231"/>
      <c r="V122" s="231"/>
      <c r="W122" s="231"/>
      <c r="X122" s="231"/>
      <c r="Y122" s="231"/>
      <c r="Z122" s="231"/>
      <c r="AA122" s="231"/>
      <c r="AB122" s="231"/>
      <c r="AC122" s="231"/>
      <c r="AD122" s="231"/>
      <c r="AE122" s="231"/>
      <c r="AF122" s="231"/>
      <c r="AG122" s="231"/>
      <c r="AH122" s="231"/>
    </row>
    <row r="123" spans="1:34" s="203" customFormat="1">
      <c r="A123" s="120">
        <v>23</v>
      </c>
      <c r="B123" s="90" t="s">
        <v>126</v>
      </c>
      <c r="C123" s="47"/>
      <c r="D123" s="47"/>
      <c r="E123" s="49">
        <v>290</v>
      </c>
      <c r="F123" s="52">
        <v>520</v>
      </c>
      <c r="G123" s="118"/>
      <c r="H123" s="99">
        <v>400</v>
      </c>
      <c r="I123" s="139"/>
      <c r="J123" s="231"/>
      <c r="K123" s="231"/>
      <c r="L123" s="231"/>
      <c r="M123" s="231"/>
      <c r="N123" s="231"/>
      <c r="O123" s="231"/>
      <c r="P123" s="231"/>
      <c r="Q123" s="231"/>
      <c r="R123" s="231"/>
      <c r="S123" s="231"/>
      <c r="T123" s="231"/>
      <c r="U123" s="231"/>
      <c r="V123" s="231"/>
      <c r="W123" s="231"/>
      <c r="X123" s="231"/>
      <c r="Y123" s="231"/>
      <c r="Z123" s="231"/>
      <c r="AA123" s="231"/>
      <c r="AB123" s="231"/>
      <c r="AC123" s="231"/>
      <c r="AD123" s="231"/>
      <c r="AE123" s="231"/>
      <c r="AF123" s="231"/>
      <c r="AG123" s="231"/>
      <c r="AH123" s="231"/>
    </row>
    <row r="124" spans="1:34" s="203" customFormat="1">
      <c r="A124" s="120">
        <v>24</v>
      </c>
      <c r="B124" s="47" t="s">
        <v>121</v>
      </c>
      <c r="C124" s="47"/>
      <c r="D124" s="47"/>
      <c r="E124" s="49">
        <v>0</v>
      </c>
      <c r="F124" s="52">
        <v>0</v>
      </c>
      <c r="G124" s="118"/>
      <c r="H124" s="100">
        <v>0</v>
      </c>
      <c r="I124" s="139"/>
      <c r="J124" s="231"/>
      <c r="K124" s="231"/>
      <c r="L124" s="231"/>
      <c r="M124" s="231"/>
      <c r="N124" s="231"/>
      <c r="O124" s="231"/>
      <c r="P124" s="231"/>
      <c r="Q124" s="231"/>
      <c r="R124" s="231"/>
      <c r="S124" s="231"/>
      <c r="T124" s="231"/>
      <c r="U124" s="231"/>
      <c r="V124" s="231"/>
      <c r="W124" s="231"/>
      <c r="X124" s="231"/>
      <c r="Y124" s="231"/>
      <c r="Z124" s="231"/>
      <c r="AA124" s="231"/>
      <c r="AB124" s="231"/>
      <c r="AC124" s="231"/>
      <c r="AD124" s="231"/>
      <c r="AE124" s="231"/>
      <c r="AF124" s="231"/>
      <c r="AG124" s="231"/>
      <c r="AH124" s="231"/>
    </row>
    <row r="125" spans="1:34" s="203" customFormat="1">
      <c r="A125" s="120">
        <v>25</v>
      </c>
      <c r="B125" s="147" t="s">
        <v>127</v>
      </c>
      <c r="C125" s="147"/>
      <c r="D125" s="147"/>
      <c r="E125" s="80">
        <v>8330</v>
      </c>
      <c r="F125" s="142">
        <f>SUM(F118:F124)</f>
        <v>9370</v>
      </c>
      <c r="G125" s="118"/>
      <c r="H125" s="142">
        <f>SUM(H118:H124)</f>
        <v>8849</v>
      </c>
      <c r="I125" s="139"/>
      <c r="J125" s="231"/>
      <c r="K125" s="231"/>
      <c r="L125" s="231"/>
      <c r="M125" s="231"/>
      <c r="N125" s="231"/>
      <c r="O125" s="231"/>
      <c r="P125" s="231"/>
      <c r="Q125" s="231"/>
      <c r="R125" s="231"/>
      <c r="S125" s="231"/>
      <c r="T125" s="231"/>
      <c r="U125" s="231"/>
      <c r="V125" s="231"/>
      <c r="W125" s="231"/>
      <c r="X125" s="231"/>
      <c r="Y125" s="231"/>
      <c r="Z125" s="231"/>
      <c r="AA125" s="231"/>
      <c r="AB125" s="231"/>
      <c r="AC125" s="231"/>
      <c r="AD125" s="231"/>
      <c r="AE125" s="231"/>
      <c r="AF125" s="231"/>
      <c r="AG125" s="231"/>
      <c r="AH125" s="231"/>
    </row>
    <row r="126" spans="1:34" s="203" customFormat="1">
      <c r="A126" s="111"/>
      <c r="B126" s="47"/>
      <c r="C126" s="47"/>
      <c r="D126" s="47"/>
      <c r="E126" s="117"/>
      <c r="F126" s="118"/>
      <c r="G126" s="118"/>
      <c r="H126" s="118"/>
      <c r="I126" s="139"/>
      <c r="J126" s="231"/>
      <c r="K126" s="231"/>
      <c r="L126" s="231"/>
      <c r="M126" s="231"/>
      <c r="N126" s="231"/>
      <c r="O126" s="231"/>
      <c r="P126" s="231"/>
      <c r="Q126" s="231"/>
      <c r="R126" s="231"/>
      <c r="S126" s="231"/>
      <c r="T126" s="231"/>
      <c r="U126" s="231"/>
      <c r="V126" s="231"/>
      <c r="W126" s="231"/>
      <c r="X126" s="231"/>
      <c r="Y126" s="231"/>
      <c r="Z126" s="231"/>
      <c r="AA126" s="231"/>
      <c r="AB126" s="231"/>
      <c r="AC126" s="231"/>
      <c r="AD126" s="231"/>
      <c r="AE126" s="231"/>
      <c r="AF126" s="231"/>
      <c r="AG126" s="231"/>
      <c r="AH126" s="231"/>
    </row>
    <row r="127" spans="1:34" s="203" customFormat="1">
      <c r="A127" s="119" t="s">
        <v>108</v>
      </c>
      <c r="B127" s="147"/>
      <c r="C127" s="147"/>
      <c r="D127" s="147"/>
      <c r="E127" s="140"/>
      <c r="F127" s="146"/>
      <c r="G127" s="118"/>
      <c r="H127" s="146"/>
      <c r="I127" s="139"/>
      <c r="J127" s="231"/>
      <c r="K127" s="231"/>
      <c r="L127" s="231"/>
      <c r="M127" s="231"/>
      <c r="N127" s="231"/>
      <c r="O127" s="231"/>
      <c r="P127" s="231"/>
      <c r="Q127" s="231"/>
      <c r="R127" s="231"/>
      <c r="S127" s="231"/>
      <c r="T127" s="231"/>
      <c r="U127" s="231"/>
      <c r="V127" s="231"/>
      <c r="W127" s="231"/>
      <c r="X127" s="231"/>
      <c r="Y127" s="231"/>
      <c r="Z127" s="231"/>
      <c r="AA127" s="231"/>
      <c r="AB127" s="231"/>
      <c r="AC127" s="231"/>
      <c r="AD127" s="231"/>
      <c r="AE127" s="231"/>
      <c r="AF127" s="231"/>
      <c r="AG127" s="231"/>
      <c r="AH127" s="231"/>
    </row>
    <row r="128" spans="1:34" s="203" customFormat="1">
      <c r="A128" s="120">
        <v>26</v>
      </c>
      <c r="B128" s="47" t="s">
        <v>123</v>
      </c>
      <c r="C128" s="47"/>
      <c r="D128" s="47"/>
      <c r="E128" s="74">
        <v>79</v>
      </c>
      <c r="F128" s="52">
        <v>81</v>
      </c>
      <c r="G128" s="118"/>
      <c r="H128" s="122">
        <v>91</v>
      </c>
      <c r="I128" s="139"/>
      <c r="J128" s="231"/>
      <c r="K128" s="231"/>
      <c r="L128" s="231"/>
      <c r="M128" s="231"/>
      <c r="N128" s="231"/>
      <c r="O128" s="231"/>
      <c r="P128" s="231"/>
      <c r="Q128" s="231"/>
      <c r="R128" s="231"/>
      <c r="S128" s="231"/>
      <c r="T128" s="231"/>
      <c r="U128" s="231"/>
      <c r="V128" s="231"/>
      <c r="W128" s="231"/>
      <c r="X128" s="231"/>
      <c r="Y128" s="231"/>
      <c r="Z128" s="231"/>
      <c r="AA128" s="231"/>
      <c r="AB128" s="231"/>
      <c r="AC128" s="231"/>
      <c r="AD128" s="231"/>
      <c r="AE128" s="231"/>
      <c r="AF128" s="231"/>
      <c r="AG128" s="231"/>
      <c r="AH128" s="231"/>
    </row>
    <row r="129" spans="1:34" s="203" customFormat="1">
      <c r="A129" s="120">
        <v>27</v>
      </c>
      <c r="B129" s="47" t="s">
        <v>124</v>
      </c>
      <c r="C129" s="47"/>
      <c r="D129" s="47"/>
      <c r="E129" s="49">
        <v>308</v>
      </c>
      <c r="F129" s="52">
        <v>315</v>
      </c>
      <c r="G129" s="118"/>
      <c r="H129" s="122">
        <v>320</v>
      </c>
      <c r="I129" s="139"/>
      <c r="J129" s="231"/>
      <c r="K129" s="231"/>
      <c r="L129" s="231"/>
      <c r="M129" s="231"/>
      <c r="N129" s="231"/>
      <c r="O129" s="231"/>
      <c r="P129" s="231"/>
      <c r="Q129" s="231"/>
      <c r="R129" s="231"/>
      <c r="S129" s="231"/>
      <c r="T129" s="231"/>
      <c r="U129" s="231"/>
      <c r="V129" s="231"/>
      <c r="W129" s="231"/>
      <c r="X129" s="231"/>
      <c r="Y129" s="231"/>
      <c r="Z129" s="231"/>
      <c r="AA129" s="231"/>
      <c r="AB129" s="231"/>
      <c r="AC129" s="231"/>
      <c r="AD129" s="231"/>
      <c r="AE129" s="231"/>
      <c r="AF129" s="231"/>
      <c r="AG129" s="231"/>
      <c r="AH129" s="231"/>
    </row>
    <row r="130" spans="1:34" s="203" customFormat="1">
      <c r="A130" s="120">
        <v>28</v>
      </c>
      <c r="B130" s="47" t="s">
        <v>119</v>
      </c>
      <c r="C130" s="47"/>
      <c r="D130" s="47"/>
      <c r="E130" s="49">
        <v>0</v>
      </c>
      <c r="F130" s="52">
        <v>0</v>
      </c>
      <c r="G130" s="118"/>
      <c r="H130" s="122">
        <v>0</v>
      </c>
      <c r="I130" s="139"/>
      <c r="J130" s="231"/>
      <c r="K130" s="231"/>
      <c r="L130" s="231"/>
      <c r="M130" s="231"/>
      <c r="N130" s="231"/>
      <c r="O130" s="231"/>
      <c r="P130" s="231"/>
      <c r="Q130" s="231"/>
      <c r="R130" s="231"/>
      <c r="S130" s="231"/>
      <c r="T130" s="231"/>
      <c r="U130" s="231"/>
      <c r="V130" s="231"/>
      <c r="W130" s="231"/>
      <c r="X130" s="231"/>
      <c r="Y130" s="231"/>
      <c r="Z130" s="231"/>
      <c r="AA130" s="231"/>
      <c r="AB130" s="231"/>
      <c r="AC130" s="231"/>
      <c r="AD130" s="231"/>
      <c r="AE130" s="231"/>
      <c r="AF130" s="231"/>
      <c r="AG130" s="231"/>
      <c r="AH130" s="231"/>
    </row>
    <row r="131" spans="1:34" s="203" customFormat="1">
      <c r="A131" s="120">
        <v>29</v>
      </c>
      <c r="B131" s="47" t="s">
        <v>120</v>
      </c>
      <c r="C131" s="47"/>
      <c r="D131" s="47"/>
      <c r="E131" s="49">
        <v>0</v>
      </c>
      <c r="F131" s="52">
        <v>0</v>
      </c>
      <c r="G131" s="118"/>
      <c r="H131" s="122">
        <v>0</v>
      </c>
      <c r="I131" s="139"/>
      <c r="J131" s="231"/>
      <c r="K131" s="231"/>
      <c r="L131" s="231"/>
      <c r="M131" s="231"/>
      <c r="N131" s="231"/>
      <c r="O131" s="231"/>
      <c r="P131" s="231"/>
      <c r="Q131" s="231"/>
      <c r="R131" s="231"/>
      <c r="S131" s="231"/>
      <c r="T131" s="231"/>
      <c r="U131" s="231"/>
      <c r="V131" s="231"/>
      <c r="W131" s="231"/>
      <c r="X131" s="231"/>
      <c r="Y131" s="231"/>
      <c r="Z131" s="231"/>
      <c r="AA131" s="231"/>
      <c r="AB131" s="231"/>
      <c r="AC131" s="231"/>
      <c r="AD131" s="231"/>
      <c r="AE131" s="231"/>
      <c r="AF131" s="231"/>
      <c r="AG131" s="231"/>
      <c r="AH131" s="231"/>
    </row>
    <row r="132" spans="1:34" s="203" customFormat="1">
      <c r="A132" s="120">
        <v>30</v>
      </c>
      <c r="B132" s="47" t="s">
        <v>125</v>
      </c>
      <c r="C132" s="47"/>
      <c r="D132" s="47"/>
      <c r="E132" s="49">
        <v>139</v>
      </c>
      <c r="F132" s="52">
        <v>134</v>
      </c>
      <c r="G132" s="118"/>
      <c r="H132" s="122">
        <v>141</v>
      </c>
      <c r="I132" s="139"/>
      <c r="J132" s="231"/>
      <c r="K132" s="231"/>
      <c r="L132" s="231"/>
      <c r="M132" s="231"/>
      <c r="N132" s="231"/>
      <c r="O132" s="231"/>
      <c r="P132" s="231"/>
      <c r="Q132" s="231"/>
      <c r="R132" s="231"/>
      <c r="S132" s="231"/>
      <c r="T132" s="231"/>
      <c r="U132" s="231"/>
      <c r="V132" s="231"/>
      <c r="W132" s="231"/>
      <c r="X132" s="231"/>
      <c r="Y132" s="231"/>
      <c r="Z132" s="231"/>
      <c r="AA132" s="231"/>
      <c r="AB132" s="231"/>
      <c r="AC132" s="231"/>
      <c r="AD132" s="231"/>
      <c r="AE132" s="231"/>
      <c r="AF132" s="231"/>
      <c r="AG132" s="231"/>
      <c r="AH132" s="231"/>
    </row>
    <row r="133" spans="1:34" s="203" customFormat="1">
      <c r="A133" s="120">
        <v>31</v>
      </c>
      <c r="B133" s="90" t="s">
        <v>126</v>
      </c>
      <c r="C133" s="47"/>
      <c r="D133" s="47"/>
      <c r="E133" s="49">
        <v>61</v>
      </c>
      <c r="F133" s="52">
        <v>69</v>
      </c>
      <c r="G133" s="118"/>
      <c r="H133" s="122">
        <v>73</v>
      </c>
      <c r="I133" s="139"/>
      <c r="J133" s="231"/>
      <c r="K133" s="231"/>
      <c r="L133" s="231"/>
      <c r="M133" s="231"/>
      <c r="N133" s="231"/>
      <c r="O133" s="231"/>
      <c r="P133" s="231"/>
      <c r="Q133" s="231"/>
      <c r="R133" s="231"/>
      <c r="S133" s="231"/>
      <c r="T133" s="231"/>
      <c r="U133" s="231"/>
      <c r="V133" s="231"/>
      <c r="W133" s="231"/>
      <c r="X133" s="231"/>
      <c r="Y133" s="231"/>
      <c r="Z133" s="231"/>
      <c r="AA133" s="231"/>
      <c r="AB133" s="231"/>
      <c r="AC133" s="231"/>
      <c r="AD133" s="231"/>
      <c r="AE133" s="231"/>
      <c r="AF133" s="231"/>
      <c r="AG133" s="231"/>
      <c r="AH133" s="231"/>
    </row>
    <row r="134" spans="1:34" s="203" customFormat="1">
      <c r="A134" s="120">
        <v>32</v>
      </c>
      <c r="B134" s="47" t="s">
        <v>121</v>
      </c>
      <c r="C134" s="47"/>
      <c r="D134" s="47"/>
      <c r="E134" s="49">
        <v>16</v>
      </c>
      <c r="F134" s="52">
        <v>0</v>
      </c>
      <c r="G134" s="118"/>
      <c r="H134" s="100">
        <v>36</v>
      </c>
      <c r="I134" s="139"/>
      <c r="J134" s="231"/>
      <c r="K134" s="231"/>
      <c r="L134" s="231"/>
      <c r="M134" s="231"/>
      <c r="N134" s="231"/>
      <c r="O134" s="231"/>
      <c r="P134" s="231"/>
      <c r="Q134" s="231"/>
      <c r="R134" s="231"/>
      <c r="S134" s="231"/>
      <c r="T134" s="231"/>
      <c r="U134" s="231"/>
      <c r="V134" s="231"/>
      <c r="W134" s="231"/>
      <c r="X134" s="231"/>
      <c r="Y134" s="231"/>
      <c r="Z134" s="231"/>
      <c r="AA134" s="231"/>
      <c r="AB134" s="231"/>
      <c r="AC134" s="231"/>
      <c r="AD134" s="231"/>
      <c r="AE134" s="231"/>
      <c r="AF134" s="231"/>
      <c r="AG134" s="231"/>
      <c r="AH134" s="231"/>
    </row>
    <row r="135" spans="1:34" s="203" customFormat="1">
      <c r="A135" s="120">
        <v>33</v>
      </c>
      <c r="B135" s="116" t="s">
        <v>128</v>
      </c>
      <c r="C135" s="116"/>
      <c r="D135" s="116"/>
      <c r="E135" s="80">
        <v>603</v>
      </c>
      <c r="F135" s="142">
        <f>SUM(F128:F134)</f>
        <v>599</v>
      </c>
      <c r="G135" s="118"/>
      <c r="H135" s="142">
        <f>SUM(H128:H134)</f>
        <v>661</v>
      </c>
      <c r="I135" s="139"/>
      <c r="J135" s="231"/>
      <c r="K135" s="231"/>
      <c r="L135" s="231"/>
      <c r="M135" s="231"/>
      <c r="N135" s="231"/>
      <c r="O135" s="231"/>
      <c r="P135" s="231"/>
      <c r="Q135" s="231"/>
      <c r="R135" s="231"/>
      <c r="S135" s="231"/>
      <c r="T135" s="231"/>
      <c r="U135" s="231"/>
      <c r="V135" s="231"/>
      <c r="W135" s="231"/>
      <c r="X135" s="231"/>
      <c r="Y135" s="231"/>
      <c r="Z135" s="231"/>
      <c r="AA135" s="231"/>
      <c r="AB135" s="231"/>
      <c r="AC135" s="231"/>
      <c r="AD135" s="231"/>
      <c r="AE135" s="231"/>
      <c r="AF135" s="231"/>
      <c r="AG135" s="231"/>
      <c r="AH135" s="231"/>
    </row>
    <row r="136" spans="1:34" s="203" customFormat="1">
      <c r="A136" s="111"/>
      <c r="B136" s="47"/>
      <c r="C136" s="47"/>
      <c r="D136" s="138"/>
      <c r="E136" s="117"/>
      <c r="F136" s="118"/>
      <c r="G136" s="118"/>
      <c r="H136" s="118"/>
      <c r="I136" s="139"/>
      <c r="J136" s="231"/>
      <c r="K136" s="231"/>
      <c r="L136" s="231"/>
      <c r="M136" s="231"/>
      <c r="N136" s="231"/>
      <c r="O136" s="231"/>
      <c r="P136" s="231"/>
      <c r="Q136" s="231"/>
      <c r="R136" s="231"/>
      <c r="S136" s="231"/>
      <c r="T136" s="231"/>
      <c r="U136" s="231"/>
      <c r="V136" s="231"/>
      <c r="W136" s="231"/>
      <c r="X136" s="231"/>
      <c r="Y136" s="231"/>
      <c r="Z136" s="231"/>
      <c r="AA136" s="231"/>
      <c r="AB136" s="231"/>
      <c r="AC136" s="231"/>
      <c r="AD136" s="231"/>
      <c r="AE136" s="231"/>
      <c r="AF136" s="231"/>
      <c r="AG136" s="231"/>
      <c r="AH136" s="231"/>
    </row>
    <row r="137" spans="1:34" s="203" customFormat="1">
      <c r="A137" s="119" t="s">
        <v>109</v>
      </c>
      <c r="B137" s="116"/>
      <c r="C137" s="116"/>
      <c r="D137" s="116"/>
      <c r="E137" s="140"/>
      <c r="F137" s="146"/>
      <c r="G137" s="118"/>
      <c r="H137" s="146"/>
      <c r="I137" s="139"/>
      <c r="J137" s="231"/>
      <c r="K137" s="231"/>
      <c r="L137" s="231"/>
      <c r="M137" s="231"/>
      <c r="N137" s="231"/>
      <c r="O137" s="231"/>
      <c r="P137" s="231"/>
      <c r="Q137" s="231"/>
      <c r="R137" s="231"/>
      <c r="S137" s="231"/>
      <c r="T137" s="231"/>
      <c r="U137" s="231"/>
      <c r="V137" s="231"/>
      <c r="W137" s="231"/>
      <c r="X137" s="231"/>
      <c r="Y137" s="231"/>
      <c r="Z137" s="231"/>
      <c r="AA137" s="231"/>
      <c r="AB137" s="231"/>
      <c r="AC137" s="231"/>
      <c r="AD137" s="231"/>
      <c r="AE137" s="231"/>
      <c r="AF137" s="231"/>
      <c r="AG137" s="231"/>
      <c r="AH137" s="231"/>
    </row>
    <row r="138" spans="1:34" s="203" customFormat="1">
      <c r="A138" s="120">
        <v>34</v>
      </c>
      <c r="B138" s="47" t="s">
        <v>123</v>
      </c>
      <c r="C138" s="47"/>
      <c r="D138" s="47"/>
      <c r="E138" s="49">
        <v>177</v>
      </c>
      <c r="F138" s="52">
        <v>182</v>
      </c>
      <c r="G138" s="118"/>
      <c r="H138" s="122">
        <v>205</v>
      </c>
      <c r="I138" s="139"/>
      <c r="J138" s="231"/>
      <c r="K138" s="231"/>
      <c r="L138" s="231"/>
      <c r="M138" s="231"/>
      <c r="N138" s="231"/>
      <c r="O138" s="231"/>
      <c r="P138" s="231"/>
      <c r="Q138" s="231"/>
      <c r="R138" s="231"/>
      <c r="S138" s="231"/>
      <c r="T138" s="231"/>
      <c r="U138" s="231"/>
      <c r="V138" s="231"/>
      <c r="W138" s="231"/>
      <c r="X138" s="231"/>
      <c r="Y138" s="231"/>
      <c r="Z138" s="231"/>
      <c r="AA138" s="231"/>
      <c r="AB138" s="231"/>
      <c r="AC138" s="231"/>
      <c r="AD138" s="231"/>
      <c r="AE138" s="231"/>
      <c r="AF138" s="231"/>
      <c r="AG138" s="231"/>
      <c r="AH138" s="231"/>
    </row>
    <row r="139" spans="1:34" s="203" customFormat="1">
      <c r="A139" s="120">
        <v>35</v>
      </c>
      <c r="B139" s="47" t="s">
        <v>119</v>
      </c>
      <c r="C139" s="47"/>
      <c r="D139" s="47"/>
      <c r="E139" s="49">
        <v>3104</v>
      </c>
      <c r="F139" s="52">
        <v>2495</v>
      </c>
      <c r="G139" s="118"/>
      <c r="H139" s="122">
        <v>3231</v>
      </c>
      <c r="I139" s="139"/>
      <c r="J139" s="231"/>
      <c r="K139" s="231"/>
      <c r="L139" s="231"/>
      <c r="M139" s="231"/>
      <c r="N139" s="231"/>
      <c r="O139" s="231"/>
      <c r="P139" s="231"/>
      <c r="Q139" s="231"/>
      <c r="R139" s="231"/>
      <c r="S139" s="231"/>
      <c r="T139" s="231"/>
      <c r="U139" s="231"/>
      <c r="V139" s="231"/>
      <c r="W139" s="231"/>
      <c r="X139" s="231"/>
      <c r="Y139" s="231"/>
      <c r="Z139" s="231"/>
      <c r="AA139" s="231"/>
      <c r="AB139" s="231"/>
      <c r="AC139" s="231"/>
      <c r="AD139" s="231"/>
      <c r="AE139" s="231"/>
      <c r="AF139" s="231"/>
      <c r="AG139" s="231"/>
      <c r="AH139" s="231"/>
    </row>
    <row r="140" spans="1:34" s="203" customFormat="1">
      <c r="A140" s="120">
        <v>36</v>
      </c>
      <c r="B140" s="47" t="s">
        <v>120</v>
      </c>
      <c r="C140" s="47"/>
      <c r="D140" s="47"/>
      <c r="E140" s="49">
        <v>575</v>
      </c>
      <c r="F140" s="52">
        <v>537</v>
      </c>
      <c r="G140" s="118"/>
      <c r="H140" s="122">
        <v>625</v>
      </c>
      <c r="I140" s="139"/>
      <c r="J140" s="231"/>
      <c r="K140" s="231"/>
      <c r="L140" s="231"/>
      <c r="M140" s="231"/>
      <c r="N140" s="231"/>
      <c r="O140" s="231"/>
      <c r="P140" s="231"/>
      <c r="Q140" s="231"/>
      <c r="R140" s="231"/>
      <c r="S140" s="231"/>
      <c r="T140" s="231"/>
      <c r="U140" s="231"/>
      <c r="V140" s="231"/>
      <c r="W140" s="231"/>
      <c r="X140" s="231"/>
      <c r="Y140" s="231"/>
      <c r="Z140" s="231"/>
      <c r="AA140" s="231"/>
      <c r="AB140" s="231"/>
      <c r="AC140" s="231"/>
      <c r="AD140" s="231"/>
      <c r="AE140" s="231"/>
      <c r="AF140" s="231"/>
      <c r="AG140" s="231"/>
      <c r="AH140" s="231"/>
    </row>
    <row r="141" spans="1:34" s="203" customFormat="1">
      <c r="A141" s="120">
        <v>37</v>
      </c>
      <c r="B141" s="90" t="s">
        <v>126</v>
      </c>
      <c r="C141" s="47"/>
      <c r="D141" s="47"/>
      <c r="E141" s="49">
        <v>276</v>
      </c>
      <c r="F141" s="52">
        <v>234</v>
      </c>
      <c r="G141" s="118"/>
      <c r="H141" s="99">
        <v>278</v>
      </c>
      <c r="I141" s="139"/>
      <c r="J141" s="231"/>
      <c r="K141" s="231"/>
      <c r="L141" s="231"/>
      <c r="M141" s="231"/>
      <c r="N141" s="231"/>
      <c r="O141" s="231"/>
      <c r="P141" s="231"/>
      <c r="Q141" s="231"/>
      <c r="R141" s="231"/>
      <c r="S141" s="231"/>
      <c r="T141" s="231"/>
      <c r="U141" s="231"/>
      <c r="V141" s="231"/>
      <c r="W141" s="231"/>
      <c r="X141" s="231"/>
      <c r="Y141" s="231"/>
      <c r="Z141" s="231"/>
      <c r="AA141" s="231"/>
      <c r="AB141" s="231"/>
      <c r="AC141" s="231"/>
      <c r="AD141" s="231"/>
      <c r="AE141" s="231"/>
      <c r="AF141" s="231"/>
      <c r="AG141" s="231"/>
      <c r="AH141" s="231"/>
    </row>
    <row r="142" spans="1:34" s="203" customFormat="1">
      <c r="A142" s="120">
        <v>38</v>
      </c>
      <c r="B142" s="47" t="s">
        <v>121</v>
      </c>
      <c r="C142" s="47"/>
      <c r="D142" s="47"/>
      <c r="E142" s="49">
        <v>311</v>
      </c>
      <c r="F142" s="52">
        <v>232</v>
      </c>
      <c r="G142" s="118"/>
      <c r="H142" s="100">
        <v>294</v>
      </c>
      <c r="I142" s="139"/>
      <c r="J142" s="231"/>
      <c r="K142" s="231"/>
      <c r="L142" s="231"/>
      <c r="M142" s="231"/>
      <c r="N142" s="231"/>
      <c r="O142" s="231"/>
      <c r="P142" s="231"/>
      <c r="Q142" s="231"/>
      <c r="R142" s="231"/>
      <c r="S142" s="231"/>
      <c r="T142" s="231"/>
      <c r="U142" s="231"/>
      <c r="V142" s="231"/>
      <c r="W142" s="231"/>
      <c r="X142" s="231"/>
      <c r="Y142" s="231"/>
      <c r="Z142" s="231"/>
      <c r="AA142" s="231"/>
      <c r="AB142" s="231"/>
      <c r="AC142" s="231"/>
      <c r="AD142" s="231"/>
      <c r="AE142" s="231"/>
      <c r="AF142" s="231"/>
      <c r="AG142" s="231"/>
      <c r="AH142" s="231"/>
    </row>
    <row r="143" spans="1:34" s="203" customFormat="1">
      <c r="A143" s="120">
        <v>39</v>
      </c>
      <c r="B143" s="116" t="s">
        <v>129</v>
      </c>
      <c r="C143" s="116"/>
      <c r="D143" s="116"/>
      <c r="E143" s="80">
        <v>4443</v>
      </c>
      <c r="F143" s="142">
        <f>SUM(F138:F142)</f>
        <v>3680</v>
      </c>
      <c r="G143" s="118"/>
      <c r="H143" s="142">
        <f>SUM(H138:H142)</f>
        <v>4633</v>
      </c>
      <c r="I143" s="139"/>
      <c r="J143" s="231"/>
      <c r="K143" s="231"/>
      <c r="L143" s="231"/>
      <c r="M143" s="231"/>
      <c r="N143" s="231"/>
      <c r="O143" s="231"/>
      <c r="P143" s="231"/>
      <c r="Q143" s="231"/>
      <c r="R143" s="231"/>
      <c r="S143" s="231"/>
      <c r="T143" s="231"/>
      <c r="U143" s="231"/>
      <c r="V143" s="231"/>
      <c r="W143" s="231"/>
      <c r="X143" s="231"/>
      <c r="Y143" s="231"/>
      <c r="Z143" s="231"/>
      <c r="AA143" s="231"/>
      <c r="AB143" s="231"/>
      <c r="AC143" s="231"/>
      <c r="AD143" s="231"/>
      <c r="AE143" s="231"/>
      <c r="AF143" s="231"/>
      <c r="AG143" s="231"/>
      <c r="AH143" s="231"/>
    </row>
    <row r="144" spans="1:34" s="203" customFormat="1">
      <c r="A144" s="111"/>
      <c r="B144" s="47"/>
      <c r="C144" s="47"/>
      <c r="D144" s="47"/>
      <c r="E144" s="117"/>
      <c r="F144" s="118"/>
      <c r="G144" s="118"/>
      <c r="H144" s="118"/>
      <c r="I144" s="139"/>
      <c r="J144" s="231"/>
      <c r="K144" s="231"/>
      <c r="L144" s="231"/>
      <c r="M144" s="231"/>
      <c r="N144" s="231"/>
      <c r="O144" s="231"/>
      <c r="P144" s="231"/>
      <c r="Q144" s="231"/>
      <c r="R144" s="231"/>
      <c r="S144" s="231"/>
      <c r="T144" s="231"/>
      <c r="U144" s="231"/>
      <c r="V144" s="231"/>
      <c r="W144" s="231"/>
      <c r="X144" s="231"/>
      <c r="Y144" s="231"/>
      <c r="Z144" s="231"/>
      <c r="AA144" s="231"/>
      <c r="AB144" s="231"/>
      <c r="AC144" s="231"/>
      <c r="AD144" s="231"/>
      <c r="AE144" s="231"/>
      <c r="AF144" s="231"/>
      <c r="AG144" s="231"/>
      <c r="AH144" s="231"/>
    </row>
    <row r="145" spans="1:34" s="203" customFormat="1">
      <c r="A145" s="119" t="s">
        <v>110</v>
      </c>
      <c r="B145" s="116"/>
      <c r="C145" s="116"/>
      <c r="D145" s="116"/>
      <c r="E145" s="140"/>
      <c r="F145" s="146"/>
      <c r="G145" s="118"/>
      <c r="H145" s="146"/>
      <c r="I145" s="139"/>
      <c r="J145" s="231"/>
      <c r="K145" s="231"/>
      <c r="L145" s="231"/>
      <c r="M145" s="231"/>
      <c r="N145" s="231"/>
      <c r="O145" s="231"/>
      <c r="P145" s="231"/>
      <c r="Q145" s="231"/>
      <c r="R145" s="231"/>
      <c r="S145" s="231"/>
      <c r="T145" s="231"/>
      <c r="U145" s="231"/>
      <c r="V145" s="231"/>
      <c r="W145" s="231"/>
      <c r="X145" s="231"/>
      <c r="Y145" s="231"/>
      <c r="Z145" s="231"/>
      <c r="AA145" s="231"/>
      <c r="AB145" s="231"/>
      <c r="AC145" s="231"/>
      <c r="AD145" s="231"/>
      <c r="AE145" s="231"/>
      <c r="AF145" s="231"/>
      <c r="AG145" s="231"/>
      <c r="AH145" s="231"/>
    </row>
    <row r="146" spans="1:34" s="203" customFormat="1">
      <c r="A146" s="120">
        <v>40</v>
      </c>
      <c r="B146" s="47" t="s">
        <v>123</v>
      </c>
      <c r="C146" s="47"/>
      <c r="D146" s="47"/>
      <c r="E146" s="49">
        <v>270</v>
      </c>
      <c r="F146" s="52">
        <v>221</v>
      </c>
      <c r="G146" s="118"/>
      <c r="H146" s="122">
        <v>275</v>
      </c>
      <c r="I146" s="139"/>
      <c r="J146" s="231"/>
      <c r="K146" s="231"/>
      <c r="L146" s="231"/>
      <c r="M146" s="231"/>
      <c r="N146" s="231"/>
      <c r="O146" s="231"/>
      <c r="P146" s="231"/>
      <c r="Q146" s="231"/>
      <c r="R146" s="231"/>
      <c r="S146" s="231"/>
      <c r="T146" s="231"/>
      <c r="U146" s="231"/>
      <c r="V146" s="231"/>
      <c r="W146" s="231"/>
      <c r="X146" s="231"/>
      <c r="Y146" s="231"/>
      <c r="Z146" s="231"/>
      <c r="AA146" s="231"/>
      <c r="AB146" s="231"/>
      <c r="AC146" s="231"/>
      <c r="AD146" s="231"/>
      <c r="AE146" s="231"/>
      <c r="AF146" s="231"/>
      <c r="AG146" s="231"/>
      <c r="AH146" s="231"/>
    </row>
    <row r="147" spans="1:34" s="203" customFormat="1">
      <c r="A147" s="120">
        <v>41</v>
      </c>
      <c r="B147" s="47" t="s">
        <v>119</v>
      </c>
      <c r="C147" s="47"/>
      <c r="D147" s="47"/>
      <c r="E147" s="49">
        <v>0</v>
      </c>
      <c r="F147" s="52">
        <v>0</v>
      </c>
      <c r="G147" s="118"/>
      <c r="H147" s="122">
        <v>0</v>
      </c>
      <c r="I147" s="139"/>
      <c r="J147" s="231"/>
      <c r="K147" s="231"/>
      <c r="L147" s="231"/>
      <c r="M147" s="231"/>
      <c r="N147" s="231"/>
      <c r="O147" s="231"/>
      <c r="P147" s="231"/>
      <c r="Q147" s="231"/>
      <c r="R147" s="231"/>
      <c r="S147" s="231"/>
      <c r="T147" s="231"/>
      <c r="U147" s="231"/>
      <c r="V147" s="231"/>
      <c r="W147" s="231"/>
      <c r="X147" s="231"/>
      <c r="Y147" s="231"/>
      <c r="Z147" s="231"/>
      <c r="AA147" s="231"/>
      <c r="AB147" s="231"/>
      <c r="AC147" s="231"/>
      <c r="AD147" s="231"/>
      <c r="AE147" s="231"/>
      <c r="AF147" s="231"/>
      <c r="AG147" s="231"/>
      <c r="AH147" s="231"/>
    </row>
    <row r="148" spans="1:34" s="203" customFormat="1">
      <c r="A148" s="120">
        <v>42</v>
      </c>
      <c r="B148" s="47" t="s">
        <v>120</v>
      </c>
      <c r="C148" s="47"/>
      <c r="D148" s="47"/>
      <c r="E148" s="49">
        <v>0</v>
      </c>
      <c r="F148" s="52">
        <v>0</v>
      </c>
      <c r="G148" s="118"/>
      <c r="H148" s="122">
        <v>0</v>
      </c>
      <c r="I148" s="139"/>
      <c r="J148" s="231"/>
      <c r="K148" s="231"/>
      <c r="L148" s="231"/>
      <c r="M148" s="231"/>
      <c r="N148" s="231"/>
      <c r="O148" s="231"/>
      <c r="P148" s="231"/>
      <c r="Q148" s="231"/>
      <c r="R148" s="231"/>
      <c r="S148" s="231"/>
      <c r="T148" s="231"/>
      <c r="U148" s="231"/>
      <c r="V148" s="231"/>
      <c r="W148" s="231"/>
      <c r="X148" s="231"/>
      <c r="Y148" s="231"/>
      <c r="Z148" s="231"/>
      <c r="AA148" s="231"/>
      <c r="AB148" s="231"/>
      <c r="AC148" s="231"/>
      <c r="AD148" s="231"/>
      <c r="AE148" s="231"/>
      <c r="AF148" s="231"/>
      <c r="AG148" s="231"/>
      <c r="AH148" s="231"/>
    </row>
    <row r="149" spans="1:34" s="203" customFormat="1">
      <c r="A149" s="120">
        <v>43</v>
      </c>
      <c r="B149" s="47" t="s">
        <v>121</v>
      </c>
      <c r="C149" s="47"/>
      <c r="D149" s="47"/>
      <c r="E149" s="49">
        <v>0</v>
      </c>
      <c r="F149" s="52">
        <v>0</v>
      </c>
      <c r="G149" s="118"/>
      <c r="H149" s="100">
        <v>0</v>
      </c>
      <c r="I149" s="139"/>
      <c r="J149" s="231"/>
      <c r="K149" s="231"/>
      <c r="L149" s="231"/>
      <c r="M149" s="231"/>
      <c r="N149" s="231"/>
      <c r="O149" s="231"/>
      <c r="P149" s="231"/>
      <c r="Q149" s="231"/>
      <c r="R149" s="231"/>
      <c r="S149" s="231"/>
      <c r="T149" s="231"/>
      <c r="U149" s="231"/>
      <c r="V149" s="231"/>
      <c r="W149" s="231"/>
      <c r="X149" s="231"/>
      <c r="Y149" s="231"/>
      <c r="Z149" s="231"/>
      <c r="AA149" s="231"/>
      <c r="AB149" s="231"/>
      <c r="AC149" s="231"/>
      <c r="AD149" s="231"/>
      <c r="AE149" s="231"/>
      <c r="AF149" s="231"/>
      <c r="AG149" s="231"/>
      <c r="AH149" s="231"/>
    </row>
    <row r="150" spans="1:34" s="203" customFormat="1">
      <c r="A150" s="124">
        <v>44</v>
      </c>
      <c r="B150" s="94" t="s">
        <v>130</v>
      </c>
      <c r="C150" s="94"/>
      <c r="D150" s="94"/>
      <c r="E150" s="80">
        <v>270</v>
      </c>
      <c r="F150" s="142">
        <f>SUM(F146:F149)</f>
        <v>221</v>
      </c>
      <c r="G150" s="259"/>
      <c r="H150" s="142">
        <f>SUM(H146:H149)</f>
        <v>275</v>
      </c>
      <c r="I150" s="139"/>
      <c r="J150" s="231"/>
      <c r="K150" s="231"/>
      <c r="L150" s="231"/>
      <c r="M150" s="231"/>
      <c r="N150" s="231"/>
      <c r="O150" s="231"/>
      <c r="P150" s="231"/>
      <c r="Q150" s="231"/>
      <c r="R150" s="231"/>
      <c r="S150" s="231"/>
      <c r="T150" s="231"/>
      <c r="U150" s="231"/>
      <c r="V150" s="231"/>
      <c r="W150" s="231"/>
      <c r="X150" s="231"/>
      <c r="Y150" s="231"/>
      <c r="Z150" s="231"/>
      <c r="AA150" s="231"/>
      <c r="AB150" s="231"/>
      <c r="AC150" s="231"/>
      <c r="AD150" s="231"/>
      <c r="AE150" s="231"/>
      <c r="AF150" s="231"/>
      <c r="AG150" s="231"/>
      <c r="AH150" s="231"/>
    </row>
    <row r="151" spans="1:34" s="203" customFormat="1">
      <c r="A151" s="148"/>
      <c r="B151" s="129"/>
      <c r="C151" s="129"/>
      <c r="D151" s="149"/>
      <c r="E151" s="150"/>
      <c r="F151" s="29"/>
      <c r="G151" s="29"/>
      <c r="H151" s="207"/>
      <c r="I151" s="29"/>
      <c r="J151" s="231"/>
      <c r="K151" s="231"/>
      <c r="L151" s="231"/>
      <c r="M151" s="231"/>
      <c r="N151" s="231"/>
      <c r="O151" s="231"/>
      <c r="P151" s="231"/>
      <c r="Q151" s="231"/>
      <c r="R151" s="231"/>
      <c r="S151" s="231"/>
      <c r="T151" s="231"/>
      <c r="U151" s="231"/>
      <c r="V151" s="231"/>
      <c r="W151" s="231"/>
      <c r="X151" s="231"/>
      <c r="Y151" s="231"/>
      <c r="Z151" s="231"/>
      <c r="AA151" s="231"/>
      <c r="AB151" s="231"/>
      <c r="AC151" s="231"/>
      <c r="AD151" s="231"/>
      <c r="AE151" s="231"/>
      <c r="AF151" s="231"/>
      <c r="AG151" s="231"/>
      <c r="AH151" s="231"/>
    </row>
    <row r="152" spans="1:34" s="203" customFormat="1">
      <c r="A152" s="148"/>
      <c r="B152" s="129"/>
      <c r="C152" s="129"/>
      <c r="D152" s="151"/>
      <c r="E152" s="152"/>
      <c r="F152" s="29"/>
      <c r="G152" s="29"/>
      <c r="H152" s="131" t="s">
        <v>27</v>
      </c>
      <c r="I152" s="29"/>
      <c r="J152" s="231"/>
      <c r="K152" s="231"/>
      <c r="L152" s="231"/>
      <c r="M152" s="231"/>
      <c r="N152" s="231"/>
      <c r="O152" s="231"/>
      <c r="P152" s="231"/>
      <c r="Q152" s="231"/>
      <c r="R152" s="231"/>
      <c r="S152" s="231"/>
      <c r="T152" s="231"/>
      <c r="U152" s="231"/>
      <c r="V152" s="231"/>
      <c r="W152" s="231"/>
      <c r="X152" s="231"/>
      <c r="Y152" s="231"/>
      <c r="Z152" s="231"/>
      <c r="AA152" s="231"/>
      <c r="AB152" s="231"/>
      <c r="AC152" s="231"/>
      <c r="AD152" s="231"/>
      <c r="AE152" s="231"/>
      <c r="AF152" s="231"/>
      <c r="AG152" s="231"/>
      <c r="AH152" s="231"/>
    </row>
    <row r="153" spans="1:34" s="203" customFormat="1">
      <c r="A153" s="106" t="s">
        <v>20</v>
      </c>
      <c r="B153" s="107"/>
      <c r="C153" s="107"/>
      <c r="D153" s="107"/>
      <c r="E153" s="856" t="s">
        <v>377</v>
      </c>
      <c r="F153" s="856" t="s">
        <v>402</v>
      </c>
      <c r="G153" s="130"/>
      <c r="H153" s="856" t="s">
        <v>403</v>
      </c>
      <c r="I153" s="130"/>
      <c r="J153" s="231"/>
      <c r="K153" s="231"/>
      <c r="L153" s="231"/>
      <c r="M153" s="231"/>
      <c r="N153" s="231"/>
      <c r="O153" s="231"/>
      <c r="P153" s="231"/>
      <c r="Q153" s="231"/>
      <c r="R153" s="231"/>
      <c r="S153" s="231"/>
      <c r="T153" s="231"/>
      <c r="U153" s="231"/>
      <c r="V153" s="231"/>
      <c r="W153" s="231"/>
      <c r="X153" s="231"/>
      <c r="Y153" s="231"/>
      <c r="Z153" s="231"/>
      <c r="AA153" s="231"/>
      <c r="AB153" s="231"/>
      <c r="AC153" s="231"/>
      <c r="AD153" s="231"/>
      <c r="AE153" s="231"/>
      <c r="AF153" s="231"/>
      <c r="AG153" s="231"/>
      <c r="AH153" s="231"/>
    </row>
    <row r="154" spans="1:34" s="203" customFormat="1">
      <c r="A154" s="153"/>
      <c r="B154" s="132"/>
      <c r="C154" s="132"/>
      <c r="D154" s="132"/>
      <c r="E154" s="859"/>
      <c r="F154" s="859"/>
      <c r="G154" s="130"/>
      <c r="H154" s="859"/>
      <c r="I154" s="130"/>
      <c r="J154" s="231"/>
      <c r="K154" s="231"/>
      <c r="L154" s="231"/>
      <c r="M154" s="231"/>
      <c r="N154" s="231"/>
      <c r="O154" s="231"/>
      <c r="P154" s="231"/>
      <c r="Q154" s="231"/>
      <c r="R154" s="231"/>
      <c r="S154" s="231"/>
      <c r="T154" s="231"/>
      <c r="U154" s="231"/>
      <c r="V154" s="231"/>
      <c r="W154" s="231"/>
      <c r="X154" s="231"/>
      <c r="Y154" s="231"/>
      <c r="Z154" s="231"/>
      <c r="AA154" s="231"/>
      <c r="AB154" s="231"/>
      <c r="AC154" s="231"/>
      <c r="AD154" s="231"/>
      <c r="AE154" s="231"/>
      <c r="AF154" s="231"/>
      <c r="AG154" s="231"/>
      <c r="AH154" s="231"/>
    </row>
    <row r="155" spans="1:34" s="203" customFormat="1">
      <c r="A155" s="154" t="s">
        <v>131</v>
      </c>
      <c r="B155" s="116"/>
      <c r="C155" s="116"/>
      <c r="D155" s="116"/>
      <c r="E155" s="859"/>
      <c r="F155" s="859"/>
      <c r="G155" s="130"/>
      <c r="H155" s="859"/>
      <c r="I155" s="130"/>
      <c r="J155" s="231"/>
      <c r="K155" s="231"/>
      <c r="L155" s="231"/>
      <c r="M155" s="231"/>
      <c r="N155" s="231"/>
      <c r="O155" s="231"/>
      <c r="P155" s="231"/>
      <c r="Q155" s="231"/>
      <c r="R155" s="231"/>
      <c r="S155" s="231"/>
      <c r="T155" s="231"/>
      <c r="U155" s="231"/>
      <c r="V155" s="231"/>
      <c r="W155" s="231"/>
      <c r="X155" s="231"/>
      <c r="Y155" s="231"/>
      <c r="Z155" s="231"/>
      <c r="AA155" s="231"/>
      <c r="AB155" s="231"/>
      <c r="AC155" s="231"/>
      <c r="AD155" s="231"/>
      <c r="AE155" s="231"/>
      <c r="AF155" s="231"/>
      <c r="AG155" s="231"/>
      <c r="AH155" s="231"/>
    </row>
    <row r="156" spans="1:34" s="203" customFormat="1" ht="12.75" customHeight="1">
      <c r="A156" s="109" t="s">
        <v>83</v>
      </c>
      <c r="B156" s="47"/>
      <c r="C156" s="47"/>
      <c r="D156" s="47"/>
      <c r="E156" s="859"/>
      <c r="F156" s="859"/>
      <c r="G156" s="130"/>
      <c r="H156" s="859"/>
      <c r="I156" s="130"/>
      <c r="J156" s="231"/>
      <c r="K156" s="231"/>
      <c r="L156" s="231"/>
      <c r="M156" s="231"/>
      <c r="N156" s="231"/>
      <c r="O156" s="231"/>
      <c r="P156" s="231"/>
      <c r="Q156" s="231"/>
      <c r="R156" s="231"/>
      <c r="S156" s="231"/>
      <c r="T156" s="231"/>
      <c r="U156" s="231"/>
      <c r="V156" s="231"/>
      <c r="W156" s="231"/>
      <c r="X156" s="231"/>
      <c r="Y156" s="231"/>
      <c r="Z156" s="231"/>
      <c r="AA156" s="231"/>
      <c r="AB156" s="231"/>
      <c r="AC156" s="231"/>
      <c r="AD156" s="231"/>
      <c r="AE156" s="231"/>
      <c r="AF156" s="231"/>
      <c r="AG156" s="231"/>
      <c r="AH156" s="231"/>
    </row>
    <row r="157" spans="1:34" s="203" customFormat="1">
      <c r="A157" s="110" t="s">
        <v>84</v>
      </c>
      <c r="B157" s="132"/>
      <c r="C157" s="132"/>
      <c r="D157" s="132"/>
      <c r="E157" s="860"/>
      <c r="F157" s="860"/>
      <c r="G157" s="130"/>
      <c r="H157" s="860"/>
      <c r="I157" s="130"/>
      <c r="J157" s="231"/>
      <c r="K157" s="231"/>
      <c r="L157" s="231"/>
      <c r="M157" s="231"/>
      <c r="N157" s="231"/>
      <c r="O157" s="231"/>
      <c r="P157" s="231"/>
      <c r="Q157" s="231"/>
      <c r="R157" s="231"/>
      <c r="S157" s="231"/>
      <c r="T157" s="231"/>
      <c r="U157" s="231"/>
      <c r="V157" s="231"/>
      <c r="W157" s="231"/>
      <c r="X157" s="231"/>
      <c r="Y157" s="231"/>
      <c r="Z157" s="231"/>
      <c r="AA157" s="231"/>
      <c r="AB157" s="231"/>
      <c r="AC157" s="231"/>
      <c r="AD157" s="231"/>
      <c r="AE157" s="231"/>
      <c r="AF157" s="231"/>
      <c r="AG157" s="231"/>
      <c r="AH157" s="231"/>
    </row>
    <row r="158" spans="1:34" s="203" customFormat="1">
      <c r="A158" s="119" t="s">
        <v>132</v>
      </c>
      <c r="B158" s="47"/>
      <c r="C158" s="47"/>
      <c r="D158" s="47"/>
      <c r="E158" s="155"/>
      <c r="F158" s="146" t="s">
        <v>133</v>
      </c>
      <c r="G158" s="118"/>
      <c r="H158" s="146"/>
      <c r="I158" s="29"/>
      <c r="J158" s="231"/>
      <c r="K158" s="231"/>
      <c r="L158" s="231"/>
      <c r="M158" s="231"/>
      <c r="N158" s="231"/>
      <c r="O158" s="231"/>
      <c r="P158" s="231"/>
      <c r="Q158" s="231"/>
      <c r="R158" s="231"/>
      <c r="S158" s="231"/>
      <c r="T158" s="231"/>
      <c r="U158" s="231"/>
      <c r="V158" s="231"/>
      <c r="W158" s="231"/>
      <c r="X158" s="231"/>
      <c r="Y158" s="231"/>
      <c r="Z158" s="231"/>
      <c r="AA158" s="231"/>
      <c r="AB158" s="231"/>
      <c r="AC158" s="231"/>
      <c r="AD158" s="231"/>
      <c r="AE158" s="231"/>
      <c r="AF158" s="231"/>
      <c r="AG158" s="231"/>
      <c r="AH158" s="231"/>
    </row>
    <row r="159" spans="1:34" s="203" customFormat="1">
      <c r="A159" s="120">
        <v>1</v>
      </c>
      <c r="B159" s="47" t="s">
        <v>134</v>
      </c>
      <c r="C159" s="47"/>
      <c r="D159" s="47"/>
      <c r="E159" s="74">
        <v>0</v>
      </c>
      <c r="F159" s="52">
        <v>0</v>
      </c>
      <c r="G159" s="118"/>
      <c r="H159" s="122">
        <v>0</v>
      </c>
      <c r="I159" s="118"/>
      <c r="J159" s="231"/>
      <c r="K159" s="231"/>
      <c r="L159" s="231"/>
      <c r="M159" s="231"/>
      <c r="N159" s="231"/>
      <c r="O159" s="231"/>
      <c r="P159" s="231"/>
      <c r="Q159" s="231"/>
      <c r="R159" s="231"/>
      <c r="S159" s="231"/>
      <c r="T159" s="231"/>
      <c r="U159" s="231"/>
      <c r="V159" s="231"/>
      <c r="W159" s="231"/>
      <c r="X159" s="231"/>
      <c r="Y159" s="231"/>
      <c r="Z159" s="231"/>
      <c r="AA159" s="231"/>
      <c r="AB159" s="231"/>
      <c r="AC159" s="231"/>
      <c r="AD159" s="231"/>
      <c r="AE159" s="231"/>
      <c r="AF159" s="231"/>
      <c r="AG159" s="231"/>
      <c r="AH159" s="231"/>
    </row>
    <row r="160" spans="1:34" s="203" customFormat="1">
      <c r="A160" s="120">
        <v>2</v>
      </c>
      <c r="B160" s="47" t="s">
        <v>135</v>
      </c>
      <c r="C160" s="47"/>
      <c r="D160" s="47"/>
      <c r="E160" s="49">
        <v>882</v>
      </c>
      <c r="F160" s="52">
        <v>820</v>
      </c>
      <c r="G160" s="118"/>
      <c r="H160" s="122">
        <v>909</v>
      </c>
      <c r="I160" s="118"/>
      <c r="J160" s="231"/>
      <c r="K160" s="231"/>
      <c r="L160" s="231"/>
      <c r="M160" s="231"/>
      <c r="N160" s="231"/>
      <c r="O160" s="231"/>
      <c r="P160" s="231"/>
      <c r="Q160" s="231"/>
      <c r="R160" s="231"/>
      <c r="S160" s="231"/>
      <c r="T160" s="231"/>
      <c r="U160" s="231"/>
      <c r="V160" s="231"/>
      <c r="W160" s="231"/>
      <c r="X160" s="231"/>
      <c r="Y160" s="231"/>
      <c r="Z160" s="231"/>
      <c r="AA160" s="231"/>
      <c r="AB160" s="231"/>
      <c r="AC160" s="231"/>
      <c r="AD160" s="231"/>
      <c r="AE160" s="231"/>
      <c r="AF160" s="231"/>
      <c r="AG160" s="231"/>
      <c r="AH160" s="231"/>
    </row>
    <row r="161" spans="1:34" s="203" customFormat="1">
      <c r="A161" s="120">
        <v>3</v>
      </c>
      <c r="B161" s="47" t="s">
        <v>136</v>
      </c>
      <c r="C161" s="47"/>
      <c r="D161" s="47"/>
      <c r="E161" s="114">
        <v>1240</v>
      </c>
      <c r="F161" s="52">
        <f>1472+84</f>
        <v>1556</v>
      </c>
      <c r="G161" s="118"/>
      <c r="H161" s="122">
        <f>1293+84</f>
        <v>1377</v>
      </c>
      <c r="I161" s="118"/>
      <c r="J161" s="231"/>
      <c r="K161" s="231"/>
      <c r="L161" s="231"/>
      <c r="M161" s="231"/>
      <c r="N161" s="231"/>
      <c r="O161" s="231"/>
      <c r="P161" s="231"/>
      <c r="Q161" s="231"/>
      <c r="R161" s="231"/>
      <c r="S161" s="231"/>
      <c r="T161" s="231"/>
      <c r="U161" s="231"/>
      <c r="V161" s="231"/>
      <c r="W161" s="231"/>
      <c r="X161" s="231"/>
      <c r="Y161" s="231"/>
      <c r="Z161" s="231"/>
      <c r="AA161" s="231"/>
      <c r="AB161" s="231"/>
      <c r="AC161" s="231"/>
      <c r="AD161" s="231"/>
      <c r="AE161" s="231"/>
      <c r="AF161" s="231"/>
      <c r="AG161" s="231"/>
      <c r="AH161" s="231"/>
    </row>
    <row r="162" spans="1:34" s="203" customFormat="1">
      <c r="A162" s="120">
        <v>4</v>
      </c>
      <c r="B162" s="47" t="s">
        <v>137</v>
      </c>
      <c r="C162" s="47"/>
      <c r="D162" s="47"/>
      <c r="E162" s="114">
        <v>231</v>
      </c>
      <c r="F162" s="52">
        <v>245</v>
      </c>
      <c r="G162" s="118"/>
      <c r="H162" s="100">
        <v>236</v>
      </c>
      <c r="I162" s="118"/>
      <c r="J162" s="231"/>
      <c r="K162" s="231"/>
      <c r="L162" s="231"/>
      <c r="M162" s="231"/>
      <c r="N162" s="231"/>
      <c r="O162" s="231"/>
      <c r="P162" s="231"/>
      <c r="Q162" s="231"/>
      <c r="R162" s="231"/>
      <c r="S162" s="231"/>
      <c r="T162" s="231"/>
      <c r="U162" s="231"/>
      <c r="V162" s="231"/>
      <c r="W162" s="231"/>
      <c r="X162" s="231"/>
      <c r="Y162" s="231"/>
      <c r="Z162" s="231"/>
      <c r="AA162" s="231"/>
      <c r="AB162" s="231"/>
      <c r="AC162" s="231"/>
      <c r="AD162" s="231"/>
      <c r="AE162" s="231"/>
      <c r="AF162" s="231"/>
      <c r="AG162" s="231"/>
      <c r="AH162" s="231"/>
    </row>
    <row r="163" spans="1:34" s="203" customFormat="1">
      <c r="A163" s="120">
        <v>5</v>
      </c>
      <c r="B163" s="116" t="s">
        <v>138</v>
      </c>
      <c r="C163" s="116"/>
      <c r="D163" s="116"/>
      <c r="E163" s="80">
        <v>2353</v>
      </c>
      <c r="F163" s="142">
        <f>SUM(F159:F162)</f>
        <v>2621</v>
      </c>
      <c r="G163" s="118"/>
      <c r="H163" s="142">
        <f>SUM(H159:H162)</f>
        <v>2522</v>
      </c>
      <c r="I163" s="118"/>
      <c r="J163" s="231"/>
      <c r="K163" s="231"/>
      <c r="L163" s="231"/>
      <c r="M163" s="231"/>
      <c r="N163" s="231"/>
      <c r="O163" s="231"/>
      <c r="P163" s="231"/>
      <c r="Q163" s="231"/>
      <c r="R163" s="231"/>
      <c r="S163" s="231"/>
      <c r="T163" s="231"/>
      <c r="U163" s="231"/>
      <c r="V163" s="231"/>
      <c r="W163" s="231"/>
      <c r="X163" s="231"/>
      <c r="Y163" s="231"/>
      <c r="Z163" s="231"/>
      <c r="AA163" s="231"/>
      <c r="AB163" s="231"/>
      <c r="AC163" s="231"/>
      <c r="AD163" s="231"/>
      <c r="AE163" s="231"/>
      <c r="AF163" s="231"/>
      <c r="AG163" s="231"/>
      <c r="AH163" s="231"/>
    </row>
    <row r="164" spans="1:34" s="203" customFormat="1">
      <c r="A164" s="46"/>
      <c r="B164" s="132"/>
      <c r="C164" s="132"/>
      <c r="D164" s="132"/>
      <c r="E164" s="156"/>
      <c r="F164" s="139"/>
      <c r="G164" s="118"/>
      <c r="H164" s="139"/>
      <c r="I164" s="118"/>
      <c r="J164" s="231"/>
      <c r="K164" s="231"/>
      <c r="L164" s="231"/>
      <c r="M164" s="231"/>
      <c r="N164" s="231"/>
      <c r="O164" s="231"/>
      <c r="P164" s="231"/>
      <c r="Q164" s="231"/>
      <c r="R164" s="231"/>
      <c r="S164" s="231"/>
      <c r="T164" s="231"/>
      <c r="U164" s="231"/>
      <c r="V164" s="231"/>
      <c r="W164" s="231"/>
      <c r="X164" s="231"/>
      <c r="Y164" s="231"/>
      <c r="Z164" s="231"/>
      <c r="AA164" s="231"/>
      <c r="AB164" s="231"/>
      <c r="AC164" s="231"/>
      <c r="AD164" s="231"/>
      <c r="AE164" s="231"/>
      <c r="AF164" s="231"/>
      <c r="AG164" s="231"/>
      <c r="AH164" s="231"/>
    </row>
    <row r="165" spans="1:34" s="203" customFormat="1">
      <c r="A165" s="119" t="s">
        <v>139</v>
      </c>
      <c r="B165" s="47"/>
      <c r="C165" s="47"/>
      <c r="D165" s="47"/>
      <c r="E165" s="140"/>
      <c r="F165" s="146"/>
      <c r="G165" s="118"/>
      <c r="H165" s="146"/>
      <c r="I165" s="118"/>
      <c r="J165" s="231"/>
      <c r="K165" s="231"/>
      <c r="L165" s="231"/>
      <c r="M165" s="231"/>
      <c r="N165" s="231"/>
      <c r="O165" s="231"/>
      <c r="P165" s="231"/>
      <c r="Q165" s="231"/>
      <c r="R165" s="231"/>
      <c r="S165" s="231"/>
      <c r="T165" s="231"/>
      <c r="U165" s="231"/>
      <c r="V165" s="231"/>
      <c r="W165" s="231"/>
      <c r="X165" s="231"/>
      <c r="Y165" s="231"/>
      <c r="Z165" s="231"/>
      <c r="AA165" s="231"/>
      <c r="AB165" s="231"/>
      <c r="AC165" s="231"/>
      <c r="AD165" s="231"/>
      <c r="AE165" s="231"/>
      <c r="AF165" s="231"/>
      <c r="AG165" s="231"/>
      <c r="AH165" s="231"/>
    </row>
    <row r="166" spans="1:34" s="203" customFormat="1">
      <c r="A166" s="120">
        <v>6</v>
      </c>
      <c r="B166" s="47" t="s">
        <v>140</v>
      </c>
      <c r="C166" s="47"/>
      <c r="D166" s="47"/>
      <c r="E166" s="74">
        <v>50</v>
      </c>
      <c r="F166" s="52">
        <v>43</v>
      </c>
      <c r="G166" s="118"/>
      <c r="H166" s="122">
        <v>51</v>
      </c>
      <c r="I166" s="118"/>
      <c r="J166" s="231"/>
      <c r="K166" s="231"/>
      <c r="L166" s="231"/>
      <c r="M166" s="231"/>
      <c r="N166" s="231"/>
      <c r="O166" s="231"/>
      <c r="P166" s="231"/>
      <c r="Q166" s="231"/>
      <c r="R166" s="231"/>
      <c r="S166" s="231"/>
      <c r="T166" s="231"/>
      <c r="U166" s="231"/>
      <c r="V166" s="231"/>
      <c r="W166" s="231"/>
      <c r="X166" s="231"/>
      <c r="Y166" s="231"/>
      <c r="Z166" s="231"/>
      <c r="AA166" s="231"/>
      <c r="AB166" s="231"/>
      <c r="AC166" s="231"/>
      <c r="AD166" s="231"/>
      <c r="AE166" s="231"/>
      <c r="AF166" s="231"/>
      <c r="AG166" s="231"/>
      <c r="AH166" s="231"/>
    </row>
    <row r="167" spans="1:34" s="203" customFormat="1">
      <c r="A167" s="120">
        <v>7</v>
      </c>
      <c r="B167" s="47" t="s">
        <v>141</v>
      </c>
      <c r="C167" s="47"/>
      <c r="D167" s="47"/>
      <c r="E167" s="49">
        <v>256</v>
      </c>
      <c r="F167" s="52">
        <v>275</v>
      </c>
      <c r="G167" s="118"/>
      <c r="H167" s="122">
        <v>253</v>
      </c>
      <c r="I167" s="118"/>
      <c r="J167" s="231"/>
      <c r="K167" s="231"/>
      <c r="L167" s="231"/>
      <c r="M167" s="231"/>
      <c r="N167" s="231"/>
      <c r="O167" s="231"/>
      <c r="P167" s="231"/>
      <c r="Q167" s="231"/>
      <c r="R167" s="231"/>
      <c r="S167" s="231"/>
      <c r="T167" s="231"/>
      <c r="U167" s="231"/>
      <c r="V167" s="231"/>
      <c r="W167" s="231"/>
      <c r="X167" s="231"/>
      <c r="Y167" s="231"/>
      <c r="Z167" s="231"/>
      <c r="AA167" s="231"/>
      <c r="AB167" s="231"/>
      <c r="AC167" s="231"/>
      <c r="AD167" s="231"/>
      <c r="AE167" s="231"/>
      <c r="AF167" s="231"/>
      <c r="AG167" s="231"/>
      <c r="AH167" s="231"/>
    </row>
    <row r="168" spans="1:34" s="203" customFormat="1">
      <c r="A168" s="120">
        <v>8</v>
      </c>
      <c r="B168" s="47" t="s">
        <v>121</v>
      </c>
      <c r="C168" s="47"/>
      <c r="D168" s="47"/>
      <c r="E168" s="49">
        <v>139</v>
      </c>
      <c r="F168" s="52">
        <v>90</v>
      </c>
      <c r="G168" s="118"/>
      <c r="H168" s="100">
        <v>143</v>
      </c>
      <c r="I168" s="118"/>
      <c r="J168" s="231"/>
      <c r="K168" s="231"/>
      <c r="L168" s="231"/>
      <c r="M168" s="231"/>
      <c r="N168" s="231"/>
      <c r="O168" s="231"/>
      <c r="P168" s="231"/>
      <c r="Q168" s="231"/>
      <c r="R168" s="231"/>
      <c r="S168" s="231"/>
      <c r="T168" s="231"/>
      <c r="U168" s="231"/>
      <c r="V168" s="231"/>
      <c r="W168" s="231"/>
      <c r="X168" s="231"/>
      <c r="Y168" s="231"/>
      <c r="Z168" s="231"/>
      <c r="AA168" s="231"/>
      <c r="AB168" s="231"/>
      <c r="AC168" s="231"/>
      <c r="AD168" s="231"/>
      <c r="AE168" s="231"/>
      <c r="AF168" s="231"/>
      <c r="AG168" s="231"/>
      <c r="AH168" s="231"/>
    </row>
    <row r="169" spans="1:34" s="203" customFormat="1">
      <c r="A169" s="120">
        <v>9</v>
      </c>
      <c r="B169" s="116" t="s">
        <v>142</v>
      </c>
      <c r="C169" s="116"/>
      <c r="D169" s="116"/>
      <c r="E169" s="80">
        <v>445</v>
      </c>
      <c r="F169" s="142">
        <f>SUM(F166:F168)</f>
        <v>408</v>
      </c>
      <c r="G169" s="118"/>
      <c r="H169" s="142">
        <f>SUM(H166:H168)</f>
        <v>447</v>
      </c>
      <c r="I169" s="118"/>
      <c r="J169" s="231"/>
      <c r="K169" s="231"/>
      <c r="L169" s="231"/>
      <c r="M169" s="231"/>
      <c r="N169" s="231"/>
      <c r="O169" s="231"/>
      <c r="P169" s="231"/>
      <c r="Q169" s="231"/>
      <c r="R169" s="231"/>
      <c r="S169" s="231"/>
      <c r="T169" s="231"/>
      <c r="U169" s="231"/>
      <c r="V169" s="231"/>
      <c r="W169" s="231"/>
      <c r="X169" s="231"/>
      <c r="Y169" s="231"/>
      <c r="Z169" s="231"/>
      <c r="AA169" s="231"/>
      <c r="AB169" s="231"/>
      <c r="AC169" s="231"/>
      <c r="AD169" s="231"/>
      <c r="AE169" s="231"/>
      <c r="AF169" s="231"/>
      <c r="AG169" s="231"/>
      <c r="AH169" s="231"/>
    </row>
    <row r="170" spans="1:34" s="203" customFormat="1">
      <c r="A170" s="46"/>
      <c r="B170" s="132"/>
      <c r="C170" s="132"/>
      <c r="D170" s="132"/>
      <c r="E170" s="156"/>
      <c r="F170" s="139"/>
      <c r="G170" s="118"/>
      <c r="H170" s="139"/>
      <c r="I170" s="118"/>
      <c r="J170" s="231"/>
      <c r="K170" s="231"/>
      <c r="L170" s="231"/>
      <c r="M170" s="231"/>
      <c r="N170" s="231"/>
      <c r="O170" s="231"/>
      <c r="P170" s="231"/>
      <c r="Q170" s="231"/>
      <c r="R170" s="231"/>
      <c r="S170" s="231"/>
      <c r="T170" s="231"/>
      <c r="U170" s="231"/>
      <c r="V170" s="231"/>
      <c r="W170" s="231"/>
      <c r="X170" s="231"/>
      <c r="Y170" s="231"/>
      <c r="Z170" s="231"/>
      <c r="AA170" s="231"/>
      <c r="AB170" s="231"/>
      <c r="AC170" s="231"/>
      <c r="AD170" s="231"/>
      <c r="AE170" s="231"/>
      <c r="AF170" s="231"/>
      <c r="AG170" s="231"/>
      <c r="AH170" s="231"/>
    </row>
    <row r="171" spans="1:34" s="203" customFormat="1">
      <c r="A171" s="120">
        <v>10</v>
      </c>
      <c r="B171" s="47" t="s">
        <v>143</v>
      </c>
      <c r="C171" s="47"/>
      <c r="D171" s="47"/>
      <c r="E171" s="41">
        <v>-47</v>
      </c>
      <c r="F171" s="121">
        <v>-44</v>
      </c>
      <c r="G171" s="118"/>
      <c r="H171" s="133">
        <v>-68</v>
      </c>
      <c r="I171" s="118"/>
      <c r="J171" s="231"/>
      <c r="K171" s="231"/>
      <c r="L171" s="231"/>
      <c r="M171" s="231"/>
      <c r="N171" s="231"/>
      <c r="O171" s="231"/>
      <c r="P171" s="231"/>
      <c r="Q171" s="231"/>
      <c r="R171" s="231"/>
      <c r="S171" s="231"/>
      <c r="T171" s="231"/>
      <c r="U171" s="231"/>
      <c r="V171" s="231"/>
      <c r="W171" s="231"/>
      <c r="X171" s="231"/>
      <c r="Y171" s="231"/>
      <c r="Z171" s="231"/>
      <c r="AA171" s="231"/>
      <c r="AB171" s="231"/>
      <c r="AC171" s="231"/>
      <c r="AD171" s="231"/>
      <c r="AE171" s="231"/>
      <c r="AF171" s="231"/>
      <c r="AG171" s="231"/>
      <c r="AH171" s="231"/>
    </row>
    <row r="172" spans="1:34" s="203" customFormat="1">
      <c r="A172" s="120">
        <v>11</v>
      </c>
      <c r="B172" s="47" t="s">
        <v>144</v>
      </c>
      <c r="C172" s="47"/>
      <c r="D172" s="47"/>
      <c r="E172" s="56">
        <v>4015</v>
      </c>
      <c r="F172" s="126">
        <f>3940+5500</f>
        <v>9440</v>
      </c>
      <c r="G172" s="118"/>
      <c r="H172" s="100">
        <f>4310+5300</f>
        <v>9610</v>
      </c>
      <c r="I172" s="118"/>
      <c r="J172" s="231"/>
      <c r="K172" s="231"/>
      <c r="L172" s="231"/>
      <c r="M172" s="231"/>
      <c r="N172" s="231"/>
      <c r="O172" s="231"/>
      <c r="P172" s="231"/>
      <c r="Q172" s="231"/>
      <c r="R172" s="231"/>
      <c r="S172" s="231"/>
      <c r="T172" s="231"/>
      <c r="U172" s="231"/>
      <c r="V172" s="231"/>
      <c r="W172" s="231"/>
      <c r="X172" s="231"/>
      <c r="Y172" s="231"/>
      <c r="Z172" s="231"/>
      <c r="AA172" s="231"/>
      <c r="AB172" s="231"/>
      <c r="AC172" s="231"/>
      <c r="AD172" s="231"/>
      <c r="AE172" s="231"/>
      <c r="AF172" s="231"/>
      <c r="AG172" s="231"/>
      <c r="AH172" s="231"/>
    </row>
    <row r="173" spans="1:34" s="203" customFormat="1">
      <c r="A173" s="46"/>
      <c r="B173" s="132"/>
      <c r="C173" s="132"/>
      <c r="D173" s="132"/>
      <c r="E173" s="156"/>
      <c r="F173" s="139"/>
      <c r="G173" s="118"/>
      <c r="H173" s="139"/>
      <c r="I173" s="118"/>
      <c r="J173" s="231"/>
      <c r="K173" s="231"/>
      <c r="L173" s="231"/>
      <c r="M173" s="231"/>
      <c r="N173" s="231"/>
      <c r="O173" s="231"/>
      <c r="P173" s="231"/>
      <c r="Q173" s="231"/>
      <c r="R173" s="231"/>
      <c r="S173" s="231"/>
      <c r="T173" s="231"/>
      <c r="U173" s="231"/>
      <c r="V173" s="231"/>
      <c r="W173" s="231"/>
      <c r="X173" s="231"/>
      <c r="Y173" s="231"/>
      <c r="Z173" s="231"/>
      <c r="AA173" s="231"/>
      <c r="AB173" s="231"/>
      <c r="AC173" s="231"/>
      <c r="AD173" s="231"/>
      <c r="AE173" s="231"/>
      <c r="AF173" s="231"/>
      <c r="AG173" s="231"/>
      <c r="AH173" s="231"/>
    </row>
    <row r="174" spans="1:34" s="203" customFormat="1">
      <c r="A174" s="119" t="s">
        <v>145</v>
      </c>
      <c r="B174" s="47"/>
      <c r="C174" s="47"/>
      <c r="D174" s="47"/>
      <c r="E174" s="157"/>
      <c r="F174" s="146"/>
      <c r="G174" s="118"/>
      <c r="H174" s="146"/>
      <c r="I174" s="118"/>
      <c r="J174" s="231"/>
      <c r="K174" s="231"/>
      <c r="L174" s="231"/>
      <c r="M174" s="231"/>
      <c r="N174" s="231"/>
      <c r="O174" s="231"/>
      <c r="P174" s="231"/>
      <c r="Q174" s="231"/>
      <c r="R174" s="231"/>
      <c r="S174" s="231"/>
      <c r="T174" s="231"/>
      <c r="U174" s="231"/>
      <c r="V174" s="231"/>
      <c r="W174" s="231"/>
      <c r="X174" s="231"/>
      <c r="Y174" s="231"/>
      <c r="Z174" s="231"/>
      <c r="AA174" s="231"/>
      <c r="AB174" s="231"/>
      <c r="AC174" s="231"/>
      <c r="AD174" s="231"/>
      <c r="AE174" s="231"/>
      <c r="AF174" s="231"/>
      <c r="AG174" s="231"/>
      <c r="AH174" s="231"/>
    </row>
    <row r="175" spans="1:34" s="203" customFormat="1">
      <c r="A175" s="120">
        <v>12</v>
      </c>
      <c r="B175" s="47" t="s">
        <v>146</v>
      </c>
      <c r="C175" s="47"/>
      <c r="D175" s="47"/>
      <c r="E175" s="74">
        <v>122</v>
      </c>
      <c r="F175" s="52">
        <v>126</v>
      </c>
      <c r="G175" s="118"/>
      <c r="H175" s="122">
        <v>122</v>
      </c>
      <c r="I175" s="118"/>
      <c r="J175" s="231"/>
      <c r="K175" s="231"/>
      <c r="L175" s="231"/>
      <c r="M175" s="231"/>
      <c r="N175" s="231"/>
      <c r="O175" s="231"/>
      <c r="P175" s="231"/>
      <c r="Q175" s="231"/>
      <c r="R175" s="231"/>
      <c r="S175" s="231"/>
      <c r="T175" s="231"/>
      <c r="U175" s="231"/>
      <c r="V175" s="231"/>
      <c r="W175" s="231"/>
      <c r="X175" s="231"/>
      <c r="Y175" s="231"/>
      <c r="Z175" s="231"/>
      <c r="AA175" s="231"/>
      <c r="AB175" s="231"/>
      <c r="AC175" s="231"/>
      <c r="AD175" s="231"/>
      <c r="AE175" s="231"/>
      <c r="AF175" s="231"/>
      <c r="AG175" s="231"/>
      <c r="AH175" s="231"/>
    </row>
    <row r="176" spans="1:34" s="203" customFormat="1">
      <c r="A176" s="120">
        <v>13</v>
      </c>
      <c r="B176" s="47" t="s">
        <v>147</v>
      </c>
      <c r="C176" s="47"/>
      <c r="D176" s="47"/>
      <c r="E176" s="49">
        <v>2261</v>
      </c>
      <c r="F176" s="52">
        <v>2244</v>
      </c>
      <c r="G176" s="118"/>
      <c r="H176" s="122">
        <v>2492</v>
      </c>
      <c r="I176" s="118"/>
      <c r="J176" s="231"/>
      <c r="K176" s="231"/>
      <c r="L176" s="231"/>
      <c r="M176" s="231"/>
      <c r="N176" s="231"/>
      <c r="O176" s="231"/>
      <c r="P176" s="231"/>
      <c r="Q176" s="231"/>
      <c r="R176" s="231"/>
      <c r="S176" s="231"/>
      <c r="T176" s="231"/>
      <c r="U176" s="231"/>
      <c r="V176" s="231"/>
      <c r="W176" s="231"/>
      <c r="X176" s="231"/>
      <c r="Y176" s="231"/>
      <c r="Z176" s="231"/>
      <c r="AA176" s="231"/>
      <c r="AB176" s="231"/>
      <c r="AC176" s="231"/>
      <c r="AD176" s="231"/>
      <c r="AE176" s="231"/>
      <c r="AF176" s="231"/>
      <c r="AG176" s="231"/>
      <c r="AH176" s="231"/>
    </row>
    <row r="177" spans="1:34" s="203" customFormat="1">
      <c r="A177" s="120">
        <v>14</v>
      </c>
      <c r="B177" s="47" t="s">
        <v>148</v>
      </c>
      <c r="C177" s="47"/>
      <c r="D177" s="47"/>
      <c r="E177" s="56">
        <v>283</v>
      </c>
      <c r="F177" s="52">
        <v>295</v>
      </c>
      <c r="G177" s="118"/>
      <c r="H177" s="100">
        <v>288</v>
      </c>
      <c r="I177" s="118"/>
      <c r="J177" s="231"/>
      <c r="K177" s="231"/>
      <c r="L177" s="231"/>
      <c r="M177" s="231"/>
      <c r="N177" s="231"/>
      <c r="O177" s="231"/>
      <c r="P177" s="231"/>
      <c r="Q177" s="231"/>
      <c r="R177" s="231"/>
      <c r="S177" s="231"/>
      <c r="T177" s="231"/>
      <c r="U177" s="231"/>
      <c r="V177" s="231"/>
      <c r="W177" s="231"/>
      <c r="X177" s="231"/>
      <c r="Y177" s="231"/>
      <c r="Z177" s="231"/>
      <c r="AA177" s="231"/>
      <c r="AB177" s="231"/>
      <c r="AC177" s="231"/>
      <c r="AD177" s="231"/>
      <c r="AE177" s="231"/>
      <c r="AF177" s="231"/>
      <c r="AG177" s="231"/>
      <c r="AH177" s="231"/>
    </row>
    <row r="178" spans="1:34" s="203" customFormat="1">
      <c r="A178" s="120">
        <v>15</v>
      </c>
      <c r="B178" s="116" t="s">
        <v>149</v>
      </c>
      <c r="C178" s="116"/>
      <c r="D178" s="116"/>
      <c r="E178" s="80">
        <v>2666</v>
      </c>
      <c r="F178" s="142">
        <f>SUM(F175:F177)</f>
        <v>2665</v>
      </c>
      <c r="G178" s="118"/>
      <c r="H178" s="142">
        <f>SUM(H175:H177)</f>
        <v>2902</v>
      </c>
      <c r="I178" s="118"/>
      <c r="J178" s="231"/>
      <c r="K178" s="231"/>
      <c r="L178" s="231"/>
      <c r="M178" s="231"/>
      <c r="N178" s="231"/>
      <c r="O178" s="231"/>
      <c r="P178" s="231"/>
      <c r="Q178" s="231"/>
      <c r="R178" s="231"/>
      <c r="S178" s="231"/>
      <c r="T178" s="231"/>
      <c r="U178" s="231"/>
      <c r="V178" s="231"/>
      <c r="W178" s="231"/>
      <c r="X178" s="231"/>
      <c r="Y178" s="231"/>
      <c r="Z178" s="231"/>
      <c r="AA178" s="231"/>
      <c r="AB178" s="231"/>
      <c r="AC178" s="231"/>
      <c r="AD178" s="231"/>
      <c r="AE178" s="231"/>
      <c r="AF178" s="231"/>
      <c r="AG178" s="231"/>
      <c r="AH178" s="231"/>
    </row>
    <row r="179" spans="1:34" s="203" customFormat="1">
      <c r="A179" s="120">
        <v>16</v>
      </c>
      <c r="B179" s="116" t="s">
        <v>150</v>
      </c>
      <c r="C179" s="116"/>
      <c r="D179" s="116"/>
      <c r="E179" s="80">
        <v>6681</v>
      </c>
      <c r="F179" s="158">
        <f>F172+F178</f>
        <v>12105</v>
      </c>
      <c r="G179" s="118"/>
      <c r="H179" s="158">
        <f>H172+H178</f>
        <v>12512</v>
      </c>
      <c r="I179" s="118"/>
      <c r="J179" s="231"/>
      <c r="K179" s="231"/>
      <c r="L179" s="231"/>
      <c r="M179" s="231"/>
      <c r="N179" s="231"/>
      <c r="O179" s="231"/>
      <c r="P179" s="231"/>
      <c r="Q179" s="231"/>
      <c r="R179" s="231"/>
      <c r="S179" s="231"/>
      <c r="T179" s="231"/>
      <c r="U179" s="231"/>
      <c r="V179" s="231"/>
      <c r="W179" s="231"/>
      <c r="X179" s="231"/>
      <c r="Y179" s="231"/>
      <c r="Z179" s="231"/>
      <c r="AA179" s="231"/>
      <c r="AB179" s="231"/>
      <c r="AC179" s="231"/>
      <c r="AD179" s="231"/>
      <c r="AE179" s="231"/>
      <c r="AF179" s="231"/>
      <c r="AG179" s="231"/>
      <c r="AH179" s="231"/>
    </row>
    <row r="180" spans="1:34" s="203" customFormat="1">
      <c r="A180" s="120">
        <v>17</v>
      </c>
      <c r="B180" s="116" t="s">
        <v>151</v>
      </c>
      <c r="C180" s="116"/>
      <c r="D180" s="116"/>
      <c r="E180" s="159">
        <v>9432</v>
      </c>
      <c r="F180" s="61">
        <f>SUM(F163+F169+F171+F179)</f>
        <v>15090</v>
      </c>
      <c r="G180" s="118"/>
      <c r="H180" s="61">
        <f>SUM(H163+H169+H171+H179)</f>
        <v>15413</v>
      </c>
      <c r="I180" s="118"/>
      <c r="J180" s="231"/>
      <c r="K180" s="231"/>
      <c r="L180" s="231"/>
      <c r="M180" s="231"/>
      <c r="N180" s="231"/>
      <c r="O180" s="231"/>
      <c r="P180" s="231"/>
      <c r="Q180" s="231"/>
      <c r="R180" s="231"/>
      <c r="S180" s="231"/>
      <c r="T180" s="231"/>
      <c r="U180" s="231"/>
      <c r="V180" s="231"/>
      <c r="W180" s="231"/>
      <c r="X180" s="231"/>
      <c r="Y180" s="231"/>
      <c r="Z180" s="231"/>
      <c r="AA180" s="231"/>
      <c r="AB180" s="231"/>
      <c r="AC180" s="231"/>
      <c r="AD180" s="231"/>
      <c r="AE180" s="231"/>
      <c r="AF180" s="231"/>
      <c r="AG180" s="231"/>
      <c r="AH180" s="231"/>
    </row>
    <row r="181" spans="1:34" s="203" customFormat="1">
      <c r="A181" s="46"/>
      <c r="B181" s="132"/>
      <c r="C181" s="132"/>
      <c r="D181" s="132"/>
      <c r="E181" s="156"/>
      <c r="F181" s="139"/>
      <c r="G181" s="118"/>
      <c r="H181" s="139"/>
      <c r="I181" s="118"/>
      <c r="J181" s="231"/>
      <c r="K181" s="231"/>
      <c r="L181" s="231"/>
      <c r="M181" s="231"/>
      <c r="N181" s="231"/>
      <c r="O181" s="231"/>
      <c r="P181" s="231"/>
      <c r="Q181" s="231"/>
      <c r="R181" s="231"/>
      <c r="S181" s="231"/>
      <c r="T181" s="231"/>
      <c r="U181" s="231"/>
      <c r="V181" s="231"/>
      <c r="W181" s="231"/>
      <c r="X181" s="231"/>
      <c r="Y181" s="231"/>
      <c r="Z181" s="231"/>
      <c r="AA181" s="231"/>
      <c r="AB181" s="231"/>
      <c r="AC181" s="231"/>
      <c r="AD181" s="231"/>
      <c r="AE181" s="231"/>
      <c r="AF181" s="231"/>
      <c r="AG181" s="231"/>
      <c r="AH181" s="231"/>
    </row>
    <row r="182" spans="1:34" s="203" customFormat="1">
      <c r="A182" s="119" t="s">
        <v>152</v>
      </c>
      <c r="B182" s="47"/>
      <c r="C182" s="47"/>
      <c r="D182" s="116"/>
      <c r="E182" s="117"/>
      <c r="F182" s="118"/>
      <c r="G182" s="118"/>
      <c r="H182" s="118"/>
      <c r="I182" s="118"/>
      <c r="J182" s="231"/>
      <c r="K182" s="231"/>
      <c r="L182" s="231"/>
      <c r="M182" s="231"/>
      <c r="N182" s="231"/>
      <c r="O182" s="231"/>
      <c r="P182" s="231"/>
      <c r="Q182" s="231"/>
      <c r="R182" s="231"/>
      <c r="S182" s="231"/>
      <c r="T182" s="231"/>
      <c r="U182" s="231"/>
      <c r="V182" s="231"/>
      <c r="W182" s="231"/>
      <c r="X182" s="231"/>
      <c r="Y182" s="231"/>
      <c r="Z182" s="231"/>
      <c r="AA182" s="231"/>
      <c r="AB182" s="231"/>
      <c r="AC182" s="231"/>
      <c r="AD182" s="231"/>
      <c r="AE182" s="231"/>
      <c r="AF182" s="231"/>
      <c r="AG182" s="231"/>
      <c r="AH182" s="231"/>
    </row>
    <row r="183" spans="1:34" s="203" customFormat="1">
      <c r="A183" s="120">
        <v>18</v>
      </c>
      <c r="B183" s="47" t="s">
        <v>153</v>
      </c>
      <c r="C183" s="47"/>
      <c r="D183" s="47"/>
      <c r="E183" s="41">
        <v>707</v>
      </c>
      <c r="F183" s="121">
        <v>687</v>
      </c>
      <c r="G183" s="118"/>
      <c r="H183" s="133">
        <v>814</v>
      </c>
      <c r="I183" s="118"/>
      <c r="J183" s="231"/>
      <c r="K183" s="231"/>
      <c r="L183" s="231"/>
      <c r="M183" s="231"/>
      <c r="N183" s="231"/>
      <c r="O183" s="231"/>
      <c r="P183" s="231"/>
      <c r="Q183" s="231"/>
      <c r="R183" s="231"/>
      <c r="S183" s="231"/>
      <c r="T183" s="231"/>
      <c r="U183" s="231"/>
      <c r="V183" s="231"/>
      <c r="W183" s="231"/>
      <c r="X183" s="231"/>
      <c r="Y183" s="231"/>
      <c r="Z183" s="231"/>
      <c r="AA183" s="231"/>
      <c r="AB183" s="231"/>
      <c r="AC183" s="231"/>
      <c r="AD183" s="231"/>
      <c r="AE183" s="231"/>
      <c r="AF183" s="231"/>
      <c r="AG183" s="231"/>
      <c r="AH183" s="231"/>
    </row>
    <row r="184" spans="1:34" s="203" customFormat="1">
      <c r="A184" s="120">
        <v>19</v>
      </c>
      <c r="B184" s="47" t="s">
        <v>154</v>
      </c>
      <c r="C184" s="47"/>
      <c r="D184" s="47"/>
      <c r="E184" s="49">
        <v>0</v>
      </c>
      <c r="F184" s="52">
        <v>0</v>
      </c>
      <c r="G184" s="118"/>
      <c r="H184" s="122">
        <v>0</v>
      </c>
      <c r="I184" s="118"/>
      <c r="J184" s="231"/>
      <c r="K184" s="231"/>
      <c r="L184" s="231"/>
      <c r="M184" s="231"/>
      <c r="N184" s="231"/>
      <c r="O184" s="231"/>
      <c r="P184" s="231"/>
      <c r="Q184" s="231"/>
      <c r="R184" s="231"/>
      <c r="S184" s="231"/>
      <c r="T184" s="231"/>
      <c r="U184" s="231"/>
      <c r="V184" s="231"/>
      <c r="W184" s="231"/>
      <c r="X184" s="231"/>
      <c r="Y184" s="231"/>
      <c r="Z184" s="231"/>
      <c r="AA184" s="231"/>
      <c r="AB184" s="231"/>
      <c r="AC184" s="231"/>
      <c r="AD184" s="231"/>
      <c r="AE184" s="231"/>
      <c r="AF184" s="231"/>
      <c r="AG184" s="231"/>
      <c r="AH184" s="231"/>
    </row>
    <row r="185" spans="1:34" s="203" customFormat="1">
      <c r="A185" s="120">
        <v>20</v>
      </c>
      <c r="B185" s="47" t="s">
        <v>155</v>
      </c>
      <c r="C185" s="47"/>
      <c r="D185" s="47"/>
      <c r="E185" s="49">
        <v>0</v>
      </c>
      <c r="F185" s="52">
        <v>0</v>
      </c>
      <c r="G185" s="118"/>
      <c r="H185" s="122">
        <v>0</v>
      </c>
      <c r="I185" s="118"/>
      <c r="J185" s="231"/>
      <c r="K185" s="231"/>
      <c r="L185" s="231"/>
      <c r="M185" s="231"/>
      <c r="N185" s="231"/>
      <c r="O185" s="231"/>
      <c r="P185" s="231"/>
      <c r="Q185" s="231"/>
      <c r="R185" s="231"/>
      <c r="S185" s="231"/>
      <c r="T185" s="231"/>
      <c r="U185" s="231"/>
      <c r="V185" s="231"/>
      <c r="W185" s="231"/>
      <c r="X185" s="231"/>
      <c r="Y185" s="231"/>
      <c r="Z185" s="231"/>
      <c r="AA185" s="231"/>
      <c r="AB185" s="231"/>
      <c r="AC185" s="231"/>
      <c r="AD185" s="231"/>
      <c r="AE185" s="231"/>
      <c r="AF185" s="231"/>
      <c r="AG185" s="231"/>
      <c r="AH185" s="231"/>
    </row>
    <row r="186" spans="1:34" s="203" customFormat="1">
      <c r="A186" s="120">
        <v>21</v>
      </c>
      <c r="B186" s="47" t="s">
        <v>156</v>
      </c>
      <c r="C186" s="47"/>
      <c r="D186" s="47"/>
      <c r="E186" s="49">
        <v>3</v>
      </c>
      <c r="F186" s="52">
        <v>4</v>
      </c>
      <c r="G186" s="118"/>
      <c r="H186" s="122">
        <v>3</v>
      </c>
      <c r="I186" s="118"/>
      <c r="J186" s="231"/>
      <c r="K186" s="231"/>
      <c r="L186" s="231"/>
      <c r="M186" s="231"/>
      <c r="N186" s="231"/>
      <c r="O186" s="231"/>
      <c r="P186" s="231"/>
      <c r="Q186" s="231"/>
      <c r="R186" s="231"/>
      <c r="S186" s="231"/>
      <c r="T186" s="231"/>
      <c r="U186" s="231"/>
      <c r="V186" s="231"/>
      <c r="W186" s="231"/>
      <c r="X186" s="231"/>
      <c r="Y186" s="231"/>
      <c r="Z186" s="231"/>
      <c r="AA186" s="231"/>
      <c r="AB186" s="231"/>
      <c r="AC186" s="231"/>
      <c r="AD186" s="231"/>
      <c r="AE186" s="231"/>
      <c r="AF186" s="231"/>
      <c r="AG186" s="231"/>
      <c r="AH186" s="231"/>
    </row>
    <row r="187" spans="1:34" s="203" customFormat="1">
      <c r="A187" s="120">
        <v>22</v>
      </c>
      <c r="B187" s="47" t="s">
        <v>157</v>
      </c>
      <c r="C187" s="47"/>
      <c r="D187" s="47"/>
      <c r="E187" s="49">
        <v>0</v>
      </c>
      <c r="F187" s="52">
        <v>0</v>
      </c>
      <c r="G187" s="118"/>
      <c r="H187" s="122">
        <v>0</v>
      </c>
      <c r="I187" s="118"/>
      <c r="J187" s="231"/>
      <c r="K187" s="231"/>
      <c r="L187" s="231"/>
      <c r="M187" s="231"/>
      <c r="N187" s="231"/>
      <c r="O187" s="231"/>
      <c r="P187" s="231"/>
      <c r="Q187" s="231"/>
      <c r="R187" s="231"/>
      <c r="S187" s="231"/>
      <c r="T187" s="231"/>
      <c r="U187" s="231"/>
      <c r="V187" s="231"/>
      <c r="W187" s="231"/>
      <c r="X187" s="231"/>
      <c r="Y187" s="231"/>
      <c r="Z187" s="231"/>
      <c r="AA187" s="231"/>
      <c r="AB187" s="231"/>
      <c r="AC187" s="231"/>
      <c r="AD187" s="231"/>
      <c r="AE187" s="231"/>
      <c r="AF187" s="231"/>
      <c r="AG187" s="231"/>
      <c r="AH187" s="231"/>
    </row>
    <row r="188" spans="1:34" s="203" customFormat="1">
      <c r="A188" s="120">
        <v>23</v>
      </c>
      <c r="B188" s="47" t="s">
        <v>158</v>
      </c>
      <c r="C188" s="47"/>
      <c r="D188" s="47"/>
      <c r="E188" s="49">
        <v>1454</v>
      </c>
      <c r="F188" s="52">
        <v>1476</v>
      </c>
      <c r="G188" s="118"/>
      <c r="H188" s="122">
        <v>1577</v>
      </c>
      <c r="I188" s="118"/>
      <c r="J188" s="231"/>
      <c r="K188" s="231"/>
      <c r="L188" s="231"/>
      <c r="M188" s="231"/>
      <c r="N188" s="231"/>
      <c r="O188" s="231"/>
      <c r="P188" s="231"/>
      <c r="Q188" s="231"/>
      <c r="R188" s="231"/>
      <c r="S188" s="231"/>
      <c r="T188" s="231"/>
      <c r="U188" s="231"/>
      <c r="V188" s="231"/>
      <c r="W188" s="231"/>
      <c r="X188" s="231"/>
      <c r="Y188" s="231"/>
      <c r="Z188" s="231"/>
      <c r="AA188" s="231"/>
      <c r="AB188" s="231"/>
      <c r="AC188" s="231"/>
      <c r="AD188" s="231"/>
      <c r="AE188" s="231"/>
      <c r="AF188" s="231"/>
      <c r="AG188" s="231"/>
      <c r="AH188" s="231"/>
    </row>
    <row r="189" spans="1:34" s="203" customFormat="1">
      <c r="A189" s="120">
        <v>24</v>
      </c>
      <c r="B189" s="47" t="s">
        <v>159</v>
      </c>
      <c r="C189" s="47"/>
      <c r="D189" s="47"/>
      <c r="E189" s="49">
        <v>0</v>
      </c>
      <c r="F189" s="52">
        <v>0</v>
      </c>
      <c r="G189" s="118"/>
      <c r="H189" s="122">
        <v>0</v>
      </c>
      <c r="I189" s="118"/>
      <c r="J189" s="231"/>
      <c r="K189" s="231"/>
      <c r="L189" s="231"/>
      <c r="M189" s="231"/>
      <c r="N189" s="231"/>
      <c r="O189" s="231"/>
      <c r="P189" s="231"/>
      <c r="Q189" s="231"/>
      <c r="R189" s="231"/>
      <c r="S189" s="231"/>
      <c r="T189" s="231"/>
      <c r="U189" s="231"/>
      <c r="V189" s="231"/>
      <c r="W189" s="231"/>
      <c r="X189" s="231"/>
      <c r="Y189" s="231"/>
      <c r="Z189" s="231"/>
      <c r="AA189" s="231"/>
      <c r="AB189" s="231"/>
      <c r="AC189" s="231"/>
      <c r="AD189" s="231"/>
      <c r="AE189" s="231"/>
      <c r="AF189" s="231"/>
      <c r="AG189" s="231"/>
      <c r="AH189" s="231"/>
    </row>
    <row r="190" spans="1:34" s="203" customFormat="1">
      <c r="A190" s="124">
        <v>25</v>
      </c>
      <c r="B190" s="54" t="s">
        <v>160</v>
      </c>
      <c r="C190" s="54"/>
      <c r="D190" s="54"/>
      <c r="E190" s="56">
        <v>0</v>
      </c>
      <c r="F190" s="126">
        <v>0</v>
      </c>
      <c r="G190" s="118"/>
      <c r="H190" s="100">
        <v>0</v>
      </c>
      <c r="I190" s="118"/>
      <c r="J190" s="231"/>
      <c r="K190" s="231"/>
      <c r="L190" s="231"/>
      <c r="M190" s="231"/>
      <c r="N190" s="231"/>
      <c r="O190" s="231"/>
      <c r="P190" s="231"/>
      <c r="Q190" s="231"/>
      <c r="R190" s="231"/>
      <c r="S190" s="231"/>
      <c r="T190" s="231"/>
      <c r="U190" s="231"/>
      <c r="V190" s="231"/>
      <c r="W190" s="231"/>
      <c r="X190" s="231"/>
      <c r="Y190" s="231"/>
      <c r="Z190" s="231"/>
      <c r="AA190" s="231"/>
      <c r="AB190" s="231"/>
      <c r="AC190" s="231"/>
      <c r="AD190" s="231"/>
      <c r="AE190" s="231"/>
      <c r="AF190" s="231"/>
      <c r="AG190" s="231"/>
      <c r="AH190" s="231"/>
    </row>
    <row r="191" spans="1:34" s="203" customFormat="1">
      <c r="A191" s="161"/>
      <c r="B191" s="129"/>
      <c r="C191" s="129"/>
      <c r="D191" s="149"/>
      <c r="E191" s="162"/>
      <c r="F191" s="29"/>
      <c r="G191" s="29"/>
      <c r="H191" s="207"/>
      <c r="I191" s="29"/>
      <c r="J191" s="231"/>
      <c r="K191" s="231"/>
      <c r="L191" s="231"/>
      <c r="M191" s="231"/>
      <c r="N191" s="231"/>
      <c r="O191" s="231"/>
      <c r="P191" s="231"/>
      <c r="Q191" s="231"/>
      <c r="R191" s="231"/>
      <c r="S191" s="231"/>
      <c r="T191" s="231"/>
      <c r="U191" s="231"/>
      <c r="V191" s="231"/>
      <c r="W191" s="231"/>
      <c r="X191" s="231"/>
      <c r="Y191" s="231"/>
      <c r="Z191" s="231"/>
      <c r="AA191" s="231"/>
      <c r="AB191" s="231"/>
      <c r="AC191" s="231"/>
      <c r="AD191" s="231"/>
      <c r="AE191" s="231"/>
      <c r="AF191" s="231"/>
      <c r="AG191" s="231"/>
      <c r="AH191" s="231"/>
    </row>
    <row r="192" spans="1:34" s="203" customFormat="1">
      <c r="A192" s="161"/>
      <c r="B192" s="129"/>
      <c r="C192" s="129"/>
      <c r="D192" s="151"/>
      <c r="E192" s="163"/>
      <c r="F192" s="29"/>
      <c r="G192" s="29"/>
      <c r="H192" s="131" t="s">
        <v>27</v>
      </c>
      <c r="I192" s="29"/>
      <c r="J192" s="231"/>
      <c r="K192" s="231"/>
      <c r="L192" s="231"/>
      <c r="M192" s="231"/>
      <c r="N192" s="231"/>
      <c r="O192" s="231"/>
      <c r="P192" s="231"/>
      <c r="Q192" s="231"/>
      <c r="R192" s="231"/>
      <c r="S192" s="231"/>
      <c r="T192" s="231"/>
      <c r="U192" s="231"/>
      <c r="V192" s="231"/>
      <c r="W192" s="231"/>
      <c r="X192" s="231"/>
      <c r="Y192" s="231"/>
      <c r="Z192" s="231"/>
      <c r="AA192" s="231"/>
      <c r="AB192" s="231"/>
      <c r="AC192" s="231"/>
      <c r="AD192" s="231"/>
      <c r="AE192" s="231"/>
      <c r="AF192" s="231"/>
      <c r="AG192" s="231"/>
      <c r="AH192" s="231"/>
    </row>
    <row r="193" spans="1:34" s="203" customFormat="1" ht="12.75" customHeight="1">
      <c r="A193" s="106" t="s">
        <v>23</v>
      </c>
      <c r="B193" s="164"/>
      <c r="C193" s="164"/>
      <c r="D193" s="164"/>
      <c r="E193" s="856" t="s">
        <v>377</v>
      </c>
      <c r="F193" s="856" t="s">
        <v>402</v>
      </c>
      <c r="G193" s="130"/>
      <c r="H193" s="856" t="s">
        <v>403</v>
      </c>
      <c r="I193" s="130"/>
      <c r="J193" s="231"/>
      <c r="K193" s="231"/>
      <c r="L193" s="231"/>
      <c r="M193" s="231"/>
      <c r="N193" s="231"/>
      <c r="O193" s="231"/>
      <c r="P193" s="231"/>
      <c r="Q193" s="231"/>
      <c r="R193" s="231"/>
      <c r="S193" s="231"/>
      <c r="T193" s="231"/>
      <c r="U193" s="231"/>
      <c r="V193" s="231"/>
      <c r="W193" s="231"/>
      <c r="X193" s="231"/>
      <c r="Y193" s="231"/>
      <c r="Z193" s="231"/>
      <c r="AA193" s="231"/>
      <c r="AB193" s="231"/>
      <c r="AC193" s="231"/>
      <c r="AD193" s="231"/>
      <c r="AE193" s="231"/>
      <c r="AF193" s="231"/>
      <c r="AG193" s="231"/>
      <c r="AH193" s="231"/>
    </row>
    <row r="194" spans="1:34" s="203" customFormat="1" ht="23.25" customHeight="1">
      <c r="A194" s="165"/>
      <c r="B194" s="132"/>
      <c r="C194" s="132"/>
      <c r="D194" s="132"/>
      <c r="E194" s="859"/>
      <c r="F194" s="859"/>
      <c r="G194" s="130"/>
      <c r="H194" s="859"/>
      <c r="I194" s="130"/>
      <c r="J194" s="231"/>
      <c r="K194" s="231"/>
      <c r="L194" s="231"/>
      <c r="M194" s="231"/>
      <c r="N194" s="231"/>
      <c r="O194" s="231"/>
      <c r="P194" s="231"/>
      <c r="Q194" s="231"/>
      <c r="R194" s="231"/>
      <c r="S194" s="231"/>
      <c r="T194" s="231"/>
      <c r="U194" s="231"/>
      <c r="V194" s="231"/>
      <c r="W194" s="231"/>
      <c r="X194" s="231"/>
      <c r="Y194" s="231"/>
      <c r="Z194" s="231"/>
      <c r="AA194" s="231"/>
      <c r="AB194" s="231"/>
      <c r="AC194" s="231"/>
      <c r="AD194" s="231"/>
      <c r="AE194" s="231"/>
      <c r="AF194" s="231"/>
      <c r="AG194" s="231"/>
      <c r="AH194" s="231"/>
    </row>
    <row r="195" spans="1:34" s="203" customFormat="1">
      <c r="A195" s="154" t="s">
        <v>161</v>
      </c>
      <c r="B195" s="116"/>
      <c r="C195" s="116"/>
      <c r="D195" s="116"/>
      <c r="E195" s="859"/>
      <c r="F195" s="859"/>
      <c r="G195" s="130"/>
      <c r="H195" s="859"/>
      <c r="I195" s="130"/>
      <c r="J195" s="231"/>
      <c r="K195" s="231"/>
      <c r="L195" s="231"/>
      <c r="M195" s="231"/>
      <c r="N195" s="231"/>
      <c r="O195" s="231"/>
      <c r="P195" s="231"/>
      <c r="Q195" s="231"/>
      <c r="R195" s="231"/>
      <c r="S195" s="231"/>
      <c r="T195" s="231"/>
      <c r="U195" s="231"/>
      <c r="V195" s="231"/>
      <c r="W195" s="231"/>
      <c r="X195" s="231"/>
      <c r="Y195" s="231"/>
      <c r="Z195" s="231"/>
      <c r="AA195" s="231"/>
      <c r="AB195" s="231"/>
      <c r="AC195" s="231"/>
      <c r="AD195" s="231"/>
      <c r="AE195" s="231"/>
      <c r="AF195" s="231"/>
      <c r="AG195" s="231"/>
      <c r="AH195" s="231"/>
    </row>
    <row r="196" spans="1:34" s="203" customFormat="1">
      <c r="A196" s="109" t="s">
        <v>83</v>
      </c>
      <c r="B196" s="47"/>
      <c r="C196" s="47"/>
      <c r="D196" s="47"/>
      <c r="E196" s="859"/>
      <c r="F196" s="859"/>
      <c r="G196" s="130"/>
      <c r="H196" s="859"/>
      <c r="I196" s="130"/>
      <c r="J196" s="231"/>
      <c r="K196" s="231"/>
      <c r="L196" s="231"/>
      <c r="M196" s="231"/>
      <c r="N196" s="231"/>
      <c r="O196" s="231"/>
      <c r="P196" s="231"/>
      <c r="Q196" s="231"/>
      <c r="R196" s="231"/>
      <c r="S196" s="231"/>
      <c r="T196" s="231"/>
      <c r="U196" s="231"/>
      <c r="V196" s="231"/>
      <c r="W196" s="231"/>
      <c r="X196" s="231"/>
      <c r="Y196" s="231"/>
      <c r="Z196" s="231"/>
      <c r="AA196" s="231"/>
      <c r="AB196" s="231"/>
      <c r="AC196" s="231"/>
      <c r="AD196" s="231"/>
      <c r="AE196" s="231"/>
      <c r="AF196" s="231"/>
      <c r="AG196" s="231"/>
      <c r="AH196" s="231"/>
    </row>
    <row r="197" spans="1:34" s="203" customFormat="1">
      <c r="A197" s="110" t="s">
        <v>84</v>
      </c>
      <c r="B197" s="132"/>
      <c r="C197" s="132"/>
      <c r="D197" s="132"/>
      <c r="E197" s="860"/>
      <c r="F197" s="860"/>
      <c r="G197" s="130"/>
      <c r="H197" s="860"/>
      <c r="I197" s="130"/>
      <c r="J197" s="231"/>
      <c r="K197" s="231"/>
      <c r="L197" s="231"/>
      <c r="M197" s="231"/>
      <c r="N197" s="231"/>
      <c r="O197" s="231"/>
      <c r="P197" s="231"/>
      <c r="Q197" s="231"/>
      <c r="R197" s="231"/>
      <c r="S197" s="231"/>
      <c r="T197" s="231"/>
      <c r="U197" s="231"/>
      <c r="V197" s="231"/>
      <c r="W197" s="231"/>
      <c r="X197" s="231"/>
      <c r="Y197" s="231"/>
      <c r="Z197" s="231"/>
      <c r="AA197" s="231"/>
      <c r="AB197" s="231"/>
      <c r="AC197" s="231"/>
      <c r="AD197" s="231"/>
      <c r="AE197" s="231"/>
      <c r="AF197" s="231"/>
      <c r="AG197" s="231"/>
      <c r="AH197" s="231"/>
    </row>
    <row r="198" spans="1:34" s="203" customFormat="1">
      <c r="A198" s="153" t="s">
        <v>162</v>
      </c>
      <c r="B198" s="166"/>
      <c r="C198" s="166"/>
      <c r="D198" s="166"/>
      <c r="E198" s="167"/>
      <c r="F198" s="146"/>
      <c r="G198" s="118"/>
      <c r="H198" s="146"/>
      <c r="I198" s="29"/>
      <c r="J198" s="231"/>
      <c r="K198" s="231"/>
      <c r="L198" s="231"/>
      <c r="M198" s="231"/>
      <c r="N198" s="231"/>
      <c r="O198" s="231"/>
      <c r="P198" s="231"/>
      <c r="Q198" s="231"/>
      <c r="R198" s="231"/>
      <c r="S198" s="231"/>
      <c r="T198" s="231"/>
      <c r="U198" s="231"/>
      <c r="V198" s="231"/>
      <c r="W198" s="231"/>
      <c r="X198" s="231"/>
      <c r="Y198" s="231"/>
      <c r="Z198" s="231"/>
      <c r="AA198" s="231"/>
      <c r="AB198" s="231"/>
      <c r="AC198" s="231"/>
      <c r="AD198" s="231"/>
      <c r="AE198" s="231"/>
      <c r="AF198" s="231"/>
      <c r="AG198" s="231"/>
      <c r="AH198" s="231"/>
    </row>
    <row r="199" spans="1:34" s="203" customFormat="1">
      <c r="A199" s="120">
        <v>1</v>
      </c>
      <c r="B199" s="47" t="s">
        <v>163</v>
      </c>
      <c r="C199" s="47"/>
      <c r="D199" s="47"/>
      <c r="E199" s="74">
        <v>0</v>
      </c>
      <c r="F199" s="52">
        <v>0</v>
      </c>
      <c r="G199" s="118"/>
      <c r="H199" s="122">
        <v>0</v>
      </c>
      <c r="I199" s="29"/>
      <c r="J199" s="231"/>
      <c r="K199" s="231"/>
      <c r="L199" s="231"/>
      <c r="M199" s="231"/>
      <c r="N199" s="231"/>
      <c r="O199" s="231"/>
      <c r="P199" s="231"/>
      <c r="Q199" s="231"/>
      <c r="R199" s="231"/>
      <c r="S199" s="231"/>
      <c r="T199" s="231"/>
      <c r="U199" s="231"/>
      <c r="V199" s="231"/>
      <c r="W199" s="231"/>
      <c r="X199" s="231"/>
      <c r="Y199" s="231"/>
      <c r="Z199" s="231"/>
      <c r="AA199" s="231"/>
      <c r="AB199" s="231"/>
      <c r="AC199" s="231"/>
      <c r="AD199" s="231"/>
      <c r="AE199" s="231"/>
      <c r="AF199" s="231"/>
      <c r="AG199" s="231"/>
      <c r="AH199" s="231"/>
    </row>
    <row r="200" spans="1:34" s="203" customFormat="1">
      <c r="A200" s="120">
        <v>2</v>
      </c>
      <c r="B200" s="47" t="s">
        <v>164</v>
      </c>
      <c r="C200" s="47"/>
      <c r="D200" s="47"/>
      <c r="E200" s="56">
        <v>235</v>
      </c>
      <c r="F200" s="52">
        <v>236</v>
      </c>
      <c r="G200" s="118"/>
      <c r="H200" s="100">
        <v>248</v>
      </c>
      <c r="I200" s="29"/>
      <c r="J200" s="231"/>
      <c r="K200" s="231"/>
      <c r="L200" s="231"/>
      <c r="M200" s="231"/>
      <c r="N200" s="231"/>
      <c r="O200" s="231"/>
      <c r="P200" s="231"/>
      <c r="Q200" s="231"/>
      <c r="R200" s="231"/>
      <c r="S200" s="231"/>
      <c r="T200" s="231"/>
      <c r="U200" s="231"/>
      <c r="V200" s="231"/>
      <c r="W200" s="231"/>
      <c r="X200" s="231"/>
      <c r="Y200" s="231"/>
      <c r="Z200" s="231"/>
      <c r="AA200" s="231"/>
      <c r="AB200" s="231"/>
      <c r="AC200" s="231"/>
      <c r="AD200" s="231"/>
      <c r="AE200" s="231"/>
      <c r="AF200" s="231"/>
      <c r="AG200" s="231"/>
      <c r="AH200" s="231"/>
    </row>
    <row r="201" spans="1:34" s="203" customFormat="1">
      <c r="A201" s="120">
        <v>3</v>
      </c>
      <c r="B201" s="116" t="s">
        <v>165</v>
      </c>
      <c r="C201" s="116"/>
      <c r="D201" s="116"/>
      <c r="E201" s="80">
        <v>235</v>
      </c>
      <c r="F201" s="142">
        <f>SUM(F199:F200)</f>
        <v>236</v>
      </c>
      <c r="G201" s="118"/>
      <c r="H201" s="142">
        <f>SUM(H199:H200)</f>
        <v>248</v>
      </c>
      <c r="I201" s="29"/>
      <c r="J201" s="231"/>
      <c r="K201" s="231"/>
      <c r="L201" s="231"/>
      <c r="M201" s="231"/>
      <c r="N201" s="231"/>
      <c r="O201" s="231"/>
      <c r="P201" s="231"/>
      <c r="Q201" s="231"/>
      <c r="R201" s="231"/>
      <c r="S201" s="231"/>
      <c r="T201" s="231"/>
      <c r="U201" s="231"/>
      <c r="V201" s="231"/>
      <c r="W201" s="231"/>
      <c r="X201" s="231"/>
      <c r="Y201" s="231"/>
      <c r="Z201" s="231"/>
      <c r="AA201" s="231"/>
      <c r="AB201" s="231"/>
      <c r="AC201" s="231"/>
      <c r="AD201" s="231"/>
      <c r="AE201" s="231"/>
      <c r="AF201" s="231"/>
      <c r="AG201" s="231"/>
      <c r="AH201" s="231"/>
    </row>
    <row r="202" spans="1:34" s="203" customFormat="1">
      <c r="A202" s="46"/>
      <c r="B202" s="132"/>
      <c r="C202" s="132"/>
      <c r="D202" s="132"/>
      <c r="E202" s="156"/>
      <c r="F202" s="139"/>
      <c r="G202" s="139"/>
      <c r="H202" s="139"/>
      <c r="I202" s="29"/>
      <c r="J202" s="231"/>
      <c r="K202" s="231"/>
      <c r="L202" s="231"/>
      <c r="M202" s="231"/>
      <c r="N202" s="231"/>
      <c r="O202" s="231"/>
      <c r="P202" s="231"/>
      <c r="Q202" s="231"/>
      <c r="R202" s="231"/>
      <c r="S202" s="231"/>
      <c r="T202" s="231"/>
      <c r="U202" s="231"/>
      <c r="V202" s="231"/>
      <c r="W202" s="231"/>
      <c r="X202" s="231"/>
      <c r="Y202" s="231"/>
      <c r="Z202" s="231"/>
      <c r="AA202" s="231"/>
      <c r="AB202" s="231"/>
      <c r="AC202" s="231"/>
      <c r="AD202" s="231"/>
      <c r="AE202" s="231"/>
      <c r="AF202" s="231"/>
      <c r="AG202" s="231"/>
      <c r="AH202" s="231"/>
    </row>
    <row r="203" spans="1:34" s="203" customFormat="1">
      <c r="A203" s="153" t="s">
        <v>166</v>
      </c>
      <c r="B203" s="116"/>
      <c r="C203" s="116"/>
      <c r="D203" s="116"/>
      <c r="E203" s="140"/>
      <c r="F203" s="146"/>
      <c r="G203" s="118"/>
      <c r="H203" s="146"/>
      <c r="I203" s="29"/>
      <c r="J203" s="231"/>
      <c r="K203" s="231"/>
      <c r="L203" s="231"/>
      <c r="M203" s="231"/>
      <c r="N203" s="231"/>
      <c r="O203" s="231"/>
      <c r="P203" s="231"/>
      <c r="Q203" s="231"/>
      <c r="R203" s="231"/>
      <c r="S203" s="231"/>
      <c r="T203" s="231"/>
      <c r="U203" s="231"/>
      <c r="V203" s="231"/>
      <c r="W203" s="231"/>
      <c r="X203" s="231"/>
      <c r="Y203" s="231"/>
      <c r="Z203" s="231"/>
      <c r="AA203" s="231"/>
      <c r="AB203" s="231"/>
      <c r="AC203" s="231"/>
      <c r="AD203" s="231"/>
      <c r="AE203" s="231"/>
      <c r="AF203" s="231"/>
      <c r="AG203" s="231"/>
      <c r="AH203" s="231"/>
    </row>
    <row r="204" spans="1:34" s="203" customFormat="1">
      <c r="A204" s="120">
        <v>4</v>
      </c>
      <c r="B204" s="47" t="s">
        <v>167</v>
      </c>
      <c r="C204" s="47"/>
      <c r="D204" s="47"/>
      <c r="E204" s="74">
        <v>512</v>
      </c>
      <c r="F204" s="52">
        <v>372</v>
      </c>
      <c r="G204" s="118"/>
      <c r="H204" s="122">
        <v>518</v>
      </c>
      <c r="I204" s="29"/>
      <c r="J204" s="231"/>
      <c r="K204" s="231"/>
      <c r="L204" s="231"/>
      <c r="M204" s="231"/>
      <c r="N204" s="231"/>
      <c r="O204" s="231"/>
      <c r="P204" s="231"/>
      <c r="Q204" s="231"/>
      <c r="R204" s="231"/>
      <c r="S204" s="231"/>
      <c r="T204" s="231"/>
      <c r="U204" s="231"/>
      <c r="V204" s="231"/>
      <c r="W204" s="231"/>
      <c r="X204" s="231"/>
      <c r="Y204" s="231"/>
      <c r="Z204" s="231"/>
      <c r="AA204" s="231"/>
      <c r="AB204" s="231"/>
      <c r="AC204" s="231"/>
      <c r="AD204" s="231"/>
      <c r="AE204" s="231"/>
      <c r="AF204" s="231"/>
      <c r="AG204" s="231"/>
      <c r="AH204" s="231"/>
    </row>
    <row r="205" spans="1:34" s="203" customFormat="1">
      <c r="A205" s="120">
        <v>5</v>
      </c>
      <c r="B205" s="47" t="s">
        <v>168</v>
      </c>
      <c r="C205" s="47"/>
      <c r="D205" s="47"/>
      <c r="E205" s="49">
        <v>1284</v>
      </c>
      <c r="F205" s="52">
        <v>1337</v>
      </c>
      <c r="G205" s="118"/>
      <c r="H205" s="122">
        <v>1513</v>
      </c>
      <c r="I205" s="29"/>
      <c r="J205" s="231"/>
      <c r="K205" s="231"/>
      <c r="L205" s="231"/>
      <c r="M205" s="231"/>
      <c r="N205" s="231"/>
      <c r="O205" s="231"/>
      <c r="P205" s="231"/>
      <c r="Q205" s="231"/>
      <c r="R205" s="231"/>
      <c r="S205" s="231"/>
      <c r="T205" s="231"/>
      <c r="U205" s="231"/>
      <c r="V205" s="231"/>
      <c r="W205" s="231"/>
      <c r="X205" s="231"/>
      <c r="Y205" s="231"/>
      <c r="Z205" s="231"/>
      <c r="AA205" s="231"/>
      <c r="AB205" s="231"/>
      <c r="AC205" s="231"/>
      <c r="AD205" s="231"/>
      <c r="AE205" s="231"/>
      <c r="AF205" s="231"/>
      <c r="AG205" s="231"/>
      <c r="AH205" s="231"/>
    </row>
    <row r="206" spans="1:34" s="203" customFormat="1">
      <c r="A206" s="120">
        <v>6</v>
      </c>
      <c r="B206" s="47" t="s">
        <v>169</v>
      </c>
      <c r="C206" s="47"/>
      <c r="D206" s="47"/>
      <c r="E206" s="49">
        <v>394</v>
      </c>
      <c r="F206" s="52">
        <v>564</v>
      </c>
      <c r="G206" s="118"/>
      <c r="H206" s="100">
        <v>402</v>
      </c>
      <c r="I206" s="29"/>
      <c r="J206" s="231"/>
      <c r="K206" s="231"/>
      <c r="L206" s="231"/>
      <c r="M206" s="231"/>
      <c r="N206" s="231"/>
      <c r="O206" s="231"/>
      <c r="P206" s="231"/>
      <c r="Q206" s="231"/>
      <c r="R206" s="231"/>
      <c r="S206" s="231"/>
      <c r="T206" s="231"/>
      <c r="U206" s="231"/>
      <c r="V206" s="231"/>
      <c r="W206" s="231"/>
      <c r="X206" s="231"/>
      <c r="Y206" s="231"/>
      <c r="Z206" s="231"/>
      <c r="AA206" s="231"/>
      <c r="AB206" s="231"/>
      <c r="AC206" s="231"/>
      <c r="AD206" s="231"/>
      <c r="AE206" s="231"/>
      <c r="AF206" s="231"/>
      <c r="AG206" s="231"/>
      <c r="AH206" s="231"/>
    </row>
    <row r="207" spans="1:34" s="203" customFormat="1">
      <c r="A207" s="120">
        <v>7</v>
      </c>
      <c r="B207" s="116" t="s">
        <v>170</v>
      </c>
      <c r="C207" s="116"/>
      <c r="D207" s="116"/>
      <c r="E207" s="80">
        <v>2190</v>
      </c>
      <c r="F207" s="142">
        <f>SUM(F204:F206)</f>
        <v>2273</v>
      </c>
      <c r="G207" s="118"/>
      <c r="H207" s="142">
        <f>SUM(H204:H206)</f>
        <v>2433</v>
      </c>
      <c r="I207" s="29"/>
      <c r="J207" s="231"/>
      <c r="K207" s="231"/>
      <c r="L207" s="231"/>
      <c r="M207" s="231"/>
      <c r="N207" s="231"/>
      <c r="O207" s="231"/>
      <c r="P207" s="231"/>
      <c r="Q207" s="231"/>
      <c r="R207" s="231"/>
      <c r="S207" s="231"/>
      <c r="T207" s="231"/>
      <c r="U207" s="231"/>
      <c r="V207" s="231"/>
      <c r="W207" s="231"/>
      <c r="X207" s="231"/>
      <c r="Y207" s="231"/>
      <c r="Z207" s="231"/>
      <c r="AA207" s="231"/>
      <c r="AB207" s="231"/>
      <c r="AC207" s="231"/>
      <c r="AD207" s="231"/>
      <c r="AE207" s="231"/>
      <c r="AF207" s="231"/>
      <c r="AG207" s="231"/>
      <c r="AH207" s="231"/>
    </row>
    <row r="208" spans="1:34" s="203" customFormat="1">
      <c r="A208" s="46"/>
      <c r="B208" s="132"/>
      <c r="C208" s="132"/>
      <c r="D208" s="132"/>
      <c r="E208" s="156"/>
      <c r="F208" s="139"/>
      <c r="G208" s="139"/>
      <c r="H208" s="139"/>
      <c r="I208" s="29"/>
      <c r="J208" s="231"/>
      <c r="K208" s="231"/>
      <c r="L208" s="231"/>
      <c r="M208" s="231"/>
      <c r="N208" s="231"/>
      <c r="O208" s="231"/>
      <c r="P208" s="231"/>
      <c r="Q208" s="231"/>
      <c r="R208" s="231"/>
      <c r="S208" s="231"/>
      <c r="T208" s="231"/>
      <c r="U208" s="231"/>
      <c r="V208" s="231"/>
      <c r="W208" s="231"/>
      <c r="X208" s="231"/>
      <c r="Y208" s="231"/>
      <c r="Z208" s="231"/>
      <c r="AA208" s="231"/>
      <c r="AB208" s="231"/>
      <c r="AC208" s="231"/>
      <c r="AD208" s="231"/>
      <c r="AE208" s="231"/>
      <c r="AF208" s="231"/>
      <c r="AG208" s="231"/>
      <c r="AH208" s="231"/>
    </row>
    <row r="209" spans="1:34" s="203" customFormat="1">
      <c r="A209" s="153" t="s">
        <v>121</v>
      </c>
      <c r="B209" s="168"/>
      <c r="C209" s="168"/>
      <c r="D209" s="168"/>
      <c r="E209" s="140"/>
      <c r="F209" s="146"/>
      <c r="G209" s="118"/>
      <c r="H209" s="146"/>
      <c r="I209" s="29"/>
      <c r="J209" s="231"/>
      <c r="K209" s="231"/>
      <c r="L209" s="231"/>
      <c r="M209" s="231"/>
      <c r="N209" s="231"/>
      <c r="O209" s="231"/>
      <c r="P209" s="231"/>
      <c r="Q209" s="231"/>
      <c r="R209" s="231"/>
      <c r="S209" s="231"/>
      <c r="T209" s="231"/>
      <c r="U209" s="231"/>
      <c r="V209" s="231"/>
      <c r="W209" s="231"/>
      <c r="X209" s="231"/>
      <c r="Y209" s="231"/>
      <c r="Z209" s="231"/>
      <c r="AA209" s="231"/>
      <c r="AB209" s="231"/>
      <c r="AC209" s="231"/>
      <c r="AD209" s="231"/>
      <c r="AE209" s="231"/>
      <c r="AF209" s="231"/>
      <c r="AG209" s="231"/>
      <c r="AH209" s="231"/>
    </row>
    <row r="210" spans="1:34" s="203" customFormat="1">
      <c r="A210" s="120">
        <v>8</v>
      </c>
      <c r="B210" s="47" t="s">
        <v>171</v>
      </c>
      <c r="C210" s="47"/>
      <c r="D210" s="47"/>
      <c r="E210" s="74">
        <v>90</v>
      </c>
      <c r="F210" s="52">
        <v>70</v>
      </c>
      <c r="G210" s="118"/>
      <c r="H210" s="122">
        <v>88</v>
      </c>
      <c r="I210" s="29"/>
      <c r="J210" s="231"/>
      <c r="K210" s="231"/>
      <c r="L210" s="231"/>
      <c r="M210" s="231"/>
      <c r="N210" s="231"/>
      <c r="O210" s="231"/>
      <c r="P210" s="231"/>
      <c r="Q210" s="231"/>
      <c r="R210" s="231"/>
      <c r="S210" s="231"/>
      <c r="T210" s="231"/>
      <c r="U210" s="231"/>
      <c r="V210" s="231"/>
      <c r="W210" s="231"/>
      <c r="X210" s="231"/>
      <c r="Y210" s="231"/>
      <c r="Z210" s="231"/>
      <c r="AA210" s="231"/>
      <c r="AB210" s="231"/>
      <c r="AC210" s="231"/>
      <c r="AD210" s="231"/>
      <c r="AE210" s="231"/>
      <c r="AF210" s="231"/>
      <c r="AG210" s="231"/>
      <c r="AH210" s="231"/>
    </row>
    <row r="211" spans="1:34" s="203" customFormat="1">
      <c r="A211" s="120">
        <v>9</v>
      </c>
      <c r="B211" s="47" t="s">
        <v>172</v>
      </c>
      <c r="C211" s="47"/>
      <c r="D211" s="47"/>
      <c r="E211" s="49">
        <v>80</v>
      </c>
      <c r="F211" s="52">
        <v>80</v>
      </c>
      <c r="G211" s="118"/>
      <c r="H211" s="122">
        <v>80</v>
      </c>
      <c r="I211" s="29"/>
      <c r="J211" s="231"/>
      <c r="K211" s="231"/>
      <c r="L211" s="231"/>
      <c r="M211" s="231"/>
      <c r="N211" s="231"/>
      <c r="O211" s="231"/>
      <c r="P211" s="231"/>
      <c r="Q211" s="231"/>
      <c r="R211" s="231"/>
      <c r="S211" s="231"/>
      <c r="T211" s="231"/>
      <c r="U211" s="231"/>
      <c r="V211" s="231"/>
      <c r="W211" s="231"/>
      <c r="X211" s="231"/>
      <c r="Y211" s="231"/>
      <c r="Z211" s="231"/>
      <c r="AA211" s="231"/>
      <c r="AB211" s="231"/>
      <c r="AC211" s="231"/>
      <c r="AD211" s="231"/>
      <c r="AE211" s="231"/>
      <c r="AF211" s="231"/>
      <c r="AG211" s="231"/>
      <c r="AH211" s="231"/>
    </row>
    <row r="212" spans="1:34" s="203" customFormat="1">
      <c r="A212" s="120">
        <v>10</v>
      </c>
      <c r="B212" s="47" t="s">
        <v>173</v>
      </c>
      <c r="C212" s="47"/>
      <c r="D212" s="47"/>
      <c r="E212" s="49">
        <v>80</v>
      </c>
      <c r="F212" s="52">
        <v>63</v>
      </c>
      <c r="G212" s="118"/>
      <c r="H212" s="122">
        <v>80</v>
      </c>
      <c r="I212" s="29"/>
      <c r="J212" s="231"/>
      <c r="K212" s="231"/>
      <c r="L212" s="231"/>
      <c r="M212" s="231"/>
      <c r="N212" s="231"/>
      <c r="O212" s="231"/>
      <c r="P212" s="231"/>
      <c r="Q212" s="231"/>
      <c r="R212" s="231"/>
      <c r="S212" s="231"/>
      <c r="T212" s="231"/>
      <c r="U212" s="231"/>
      <c r="V212" s="231"/>
      <c r="W212" s="231"/>
      <c r="X212" s="231"/>
      <c r="Y212" s="231"/>
      <c r="Z212" s="231"/>
      <c r="AA212" s="231"/>
      <c r="AB212" s="231"/>
      <c r="AC212" s="231"/>
      <c r="AD212" s="231"/>
      <c r="AE212" s="231"/>
      <c r="AF212" s="231"/>
      <c r="AG212" s="231"/>
      <c r="AH212" s="231"/>
    </row>
    <row r="213" spans="1:34" s="203" customFormat="1">
      <c r="A213" s="120">
        <v>11</v>
      </c>
      <c r="B213" s="47" t="s">
        <v>174</v>
      </c>
      <c r="C213" s="47"/>
      <c r="D213" s="47"/>
      <c r="E213" s="49">
        <v>630</v>
      </c>
      <c r="F213" s="52">
        <v>631</v>
      </c>
      <c r="G213" s="118"/>
      <c r="H213" s="99">
        <v>642</v>
      </c>
      <c r="I213" s="29"/>
      <c r="J213" s="231"/>
      <c r="K213" s="231"/>
      <c r="L213" s="231"/>
      <c r="M213" s="231"/>
      <c r="N213" s="231"/>
      <c r="O213" s="231"/>
      <c r="P213" s="231"/>
      <c r="Q213" s="231"/>
      <c r="R213" s="231"/>
      <c r="S213" s="231"/>
      <c r="T213" s="231"/>
      <c r="U213" s="231"/>
      <c r="V213" s="231"/>
      <c r="W213" s="231"/>
      <c r="X213" s="231"/>
      <c r="Y213" s="231"/>
      <c r="Z213" s="231"/>
      <c r="AA213" s="231"/>
      <c r="AB213" s="231"/>
      <c r="AC213" s="231"/>
      <c r="AD213" s="231"/>
      <c r="AE213" s="231"/>
      <c r="AF213" s="231"/>
      <c r="AG213" s="231"/>
      <c r="AH213" s="231"/>
    </row>
    <row r="214" spans="1:34" s="203" customFormat="1">
      <c r="A214" s="120">
        <v>12</v>
      </c>
      <c r="B214" s="116" t="s">
        <v>175</v>
      </c>
      <c r="C214" s="116"/>
      <c r="D214" s="116"/>
      <c r="E214" s="159">
        <v>3305</v>
      </c>
      <c r="F214" s="61">
        <f>F201+F207+SUM(F210:F213)</f>
        <v>3353</v>
      </c>
      <c r="G214" s="118"/>
      <c r="H214" s="61">
        <f>H201+H207+SUM(H210:H213)</f>
        <v>3571</v>
      </c>
      <c r="I214" s="29"/>
      <c r="J214" s="231"/>
      <c r="K214" s="231"/>
      <c r="L214" s="231"/>
      <c r="M214" s="231"/>
      <c r="N214" s="231"/>
      <c r="O214" s="231"/>
      <c r="P214" s="231"/>
      <c r="Q214" s="231"/>
      <c r="R214" s="231"/>
      <c r="S214" s="231"/>
      <c r="T214" s="231"/>
      <c r="U214" s="231"/>
      <c r="V214" s="231"/>
      <c r="W214" s="231"/>
      <c r="X214" s="231"/>
      <c r="Y214" s="231"/>
      <c r="Z214" s="231"/>
      <c r="AA214" s="231"/>
      <c r="AB214" s="231"/>
      <c r="AC214" s="231"/>
      <c r="AD214" s="231"/>
      <c r="AE214" s="231"/>
      <c r="AF214" s="231"/>
      <c r="AG214" s="231"/>
      <c r="AH214" s="231"/>
    </row>
    <row r="215" spans="1:34" s="203" customFormat="1">
      <c r="A215" s="111"/>
      <c r="B215" s="47"/>
      <c r="C215" s="47"/>
      <c r="D215" s="47"/>
      <c r="E215" s="117"/>
      <c r="F215" s="118"/>
      <c r="G215" s="118"/>
      <c r="H215" s="118"/>
      <c r="I215" s="29"/>
      <c r="J215" s="231"/>
      <c r="K215" s="231"/>
      <c r="L215" s="231"/>
      <c r="M215" s="231"/>
      <c r="N215" s="231"/>
      <c r="O215" s="231"/>
      <c r="P215" s="231"/>
      <c r="Q215" s="231"/>
      <c r="R215" s="231"/>
      <c r="S215" s="231"/>
      <c r="T215" s="231"/>
      <c r="U215" s="231"/>
      <c r="V215" s="231"/>
      <c r="W215" s="231"/>
      <c r="X215" s="231"/>
      <c r="Y215" s="231"/>
      <c r="Z215" s="231"/>
      <c r="AA215" s="231"/>
      <c r="AB215" s="231"/>
      <c r="AC215" s="231"/>
      <c r="AD215" s="231"/>
      <c r="AE215" s="231"/>
      <c r="AF215" s="231"/>
      <c r="AG215" s="231"/>
      <c r="AH215" s="231"/>
    </row>
    <row r="216" spans="1:34" s="203" customFormat="1">
      <c r="A216" s="119" t="s">
        <v>176</v>
      </c>
      <c r="B216" s="116"/>
      <c r="C216" s="116"/>
      <c r="D216" s="116"/>
      <c r="E216" s="117"/>
      <c r="F216" s="160"/>
      <c r="G216" s="118"/>
      <c r="H216" s="160"/>
      <c r="I216" s="29"/>
      <c r="J216" s="231"/>
      <c r="K216" s="231"/>
      <c r="L216" s="231"/>
      <c r="M216" s="231"/>
      <c r="N216" s="231"/>
      <c r="O216" s="231"/>
      <c r="P216" s="231"/>
      <c r="Q216" s="231"/>
      <c r="R216" s="231"/>
      <c r="S216" s="231"/>
      <c r="T216" s="231"/>
      <c r="U216" s="231"/>
      <c r="V216" s="231"/>
      <c r="W216" s="231"/>
      <c r="X216" s="231"/>
      <c r="Y216" s="231"/>
      <c r="Z216" s="231"/>
      <c r="AA216" s="231"/>
      <c r="AB216" s="231"/>
      <c r="AC216" s="231"/>
      <c r="AD216" s="231"/>
      <c r="AE216" s="231"/>
      <c r="AF216" s="231"/>
      <c r="AG216" s="231"/>
      <c r="AH216" s="231"/>
    </row>
    <row r="217" spans="1:34" s="203" customFormat="1">
      <c r="A217" s="120">
        <v>13</v>
      </c>
      <c r="B217" s="47" t="s">
        <v>177</v>
      </c>
      <c r="C217" s="47"/>
      <c r="D217" s="47"/>
      <c r="E217" s="41">
        <v>86</v>
      </c>
      <c r="F217" s="121">
        <v>91</v>
      </c>
      <c r="G217" s="118"/>
      <c r="H217" s="169">
        <v>83</v>
      </c>
      <c r="I217" s="29"/>
      <c r="J217" s="231"/>
      <c r="K217" s="231"/>
      <c r="L217" s="231"/>
      <c r="M217" s="231"/>
      <c r="N217" s="231"/>
      <c r="O217" s="231"/>
      <c r="P217" s="231"/>
      <c r="Q217" s="231"/>
      <c r="R217" s="231"/>
      <c r="S217" s="231"/>
      <c r="T217" s="231"/>
      <c r="U217" s="231"/>
      <c r="V217" s="231"/>
      <c r="W217" s="231"/>
      <c r="X217" s="231"/>
      <c r="Y217" s="231"/>
      <c r="Z217" s="231"/>
      <c r="AA217" s="231"/>
      <c r="AB217" s="231"/>
      <c r="AC217" s="231"/>
      <c r="AD217" s="231"/>
      <c r="AE217" s="231"/>
      <c r="AF217" s="231"/>
      <c r="AG217" s="231"/>
      <c r="AH217" s="231"/>
    </row>
    <row r="218" spans="1:34" s="203" customFormat="1">
      <c r="A218" s="124">
        <v>14</v>
      </c>
      <c r="B218" s="54" t="s">
        <v>178</v>
      </c>
      <c r="C218" s="54"/>
      <c r="D218" s="54"/>
      <c r="E218" s="56">
        <v>394</v>
      </c>
      <c r="F218" s="126">
        <v>248</v>
      </c>
      <c r="G218" s="118"/>
      <c r="H218" s="100">
        <v>402</v>
      </c>
      <c r="I218" s="29"/>
      <c r="J218" s="231"/>
      <c r="K218" s="231"/>
      <c r="L218" s="231"/>
      <c r="M218" s="231"/>
      <c r="N218" s="231"/>
      <c r="O218" s="231"/>
      <c r="P218" s="231"/>
      <c r="Q218" s="231"/>
      <c r="R218" s="231"/>
      <c r="S218" s="231"/>
      <c r="T218" s="231"/>
      <c r="U218" s="231"/>
      <c r="V218" s="231"/>
      <c r="W218" s="231"/>
      <c r="X218" s="231"/>
      <c r="Y218" s="231"/>
      <c r="Z218" s="231"/>
      <c r="AA218" s="231"/>
      <c r="AB218" s="231"/>
      <c r="AC218" s="231"/>
      <c r="AD218" s="231"/>
      <c r="AE218" s="231"/>
      <c r="AF218" s="231"/>
      <c r="AG218" s="231"/>
      <c r="AH218" s="231"/>
    </row>
    <row r="219" spans="1:34" s="203" customFormat="1">
      <c r="A219" s="148"/>
      <c r="B219" s="29"/>
      <c r="C219" s="29"/>
      <c r="D219" s="170"/>
      <c r="E219" s="171"/>
      <c r="F219" s="29"/>
      <c r="G219" s="29"/>
      <c r="H219" s="207"/>
      <c r="I219" s="29"/>
      <c r="J219" s="231"/>
      <c r="K219" s="231"/>
      <c r="L219" s="231"/>
      <c r="M219" s="231"/>
      <c r="N219" s="231"/>
      <c r="O219" s="231"/>
      <c r="P219" s="231"/>
      <c r="Q219" s="231"/>
      <c r="R219" s="231"/>
      <c r="S219" s="231"/>
      <c r="T219" s="231"/>
      <c r="U219" s="231"/>
      <c r="V219" s="231"/>
      <c r="W219" s="231"/>
      <c r="X219" s="231"/>
      <c r="Y219" s="231"/>
      <c r="Z219" s="231"/>
      <c r="AA219" s="231"/>
      <c r="AB219" s="231"/>
      <c r="AC219" s="231"/>
      <c r="AD219" s="231"/>
      <c r="AE219" s="231"/>
      <c r="AF219" s="231"/>
      <c r="AG219" s="231"/>
      <c r="AH219" s="231"/>
    </row>
    <row r="220" spans="1:34" s="203" customFormat="1">
      <c r="A220" s="148"/>
      <c r="B220" s="29"/>
      <c r="C220" s="29"/>
      <c r="D220" s="172"/>
      <c r="E220" s="152"/>
      <c r="F220" s="29"/>
      <c r="G220" s="29"/>
      <c r="H220" s="131" t="s">
        <v>27</v>
      </c>
      <c r="I220" s="29"/>
      <c r="J220" s="231"/>
      <c r="K220" s="231"/>
      <c r="L220" s="231"/>
      <c r="M220" s="231"/>
      <c r="N220" s="231"/>
      <c r="O220" s="231"/>
      <c r="P220" s="231"/>
      <c r="Q220" s="231"/>
      <c r="R220" s="231"/>
      <c r="S220" s="231"/>
      <c r="T220" s="231"/>
      <c r="U220" s="231"/>
      <c r="V220" s="231"/>
      <c r="W220" s="231"/>
      <c r="X220" s="231"/>
      <c r="Y220" s="231"/>
      <c r="Z220" s="231"/>
      <c r="AA220" s="231"/>
      <c r="AB220" s="231"/>
      <c r="AC220" s="231"/>
      <c r="AD220" s="231"/>
      <c r="AE220" s="231"/>
      <c r="AF220" s="231"/>
      <c r="AG220" s="231"/>
      <c r="AH220" s="231"/>
    </row>
    <row r="221" spans="1:34" s="203" customFormat="1" ht="12.75" customHeight="1">
      <c r="A221" s="106" t="s">
        <v>10</v>
      </c>
      <c r="B221" s="164"/>
      <c r="C221" s="164"/>
      <c r="D221" s="164"/>
      <c r="E221" s="856" t="s">
        <v>377</v>
      </c>
      <c r="F221" s="856" t="s">
        <v>402</v>
      </c>
      <c r="G221" s="130"/>
      <c r="H221" s="856" t="s">
        <v>403</v>
      </c>
      <c r="I221" s="130"/>
      <c r="J221" s="231"/>
      <c r="K221" s="231"/>
      <c r="L221" s="231"/>
      <c r="M221" s="231"/>
      <c r="N221" s="231"/>
      <c r="O221" s="231"/>
      <c r="P221" s="231"/>
      <c r="Q221" s="231"/>
      <c r="R221" s="231"/>
      <c r="S221" s="231"/>
      <c r="T221" s="231"/>
      <c r="U221" s="231"/>
      <c r="V221" s="231"/>
      <c r="W221" s="231"/>
      <c r="X221" s="231"/>
      <c r="Y221" s="231"/>
      <c r="Z221" s="231"/>
      <c r="AA221" s="231"/>
      <c r="AB221" s="231"/>
      <c r="AC221" s="231"/>
      <c r="AD221" s="231"/>
      <c r="AE221" s="231"/>
      <c r="AF221" s="231"/>
      <c r="AG221" s="231"/>
      <c r="AH221" s="231"/>
    </row>
    <row r="222" spans="1:34" s="203" customFormat="1">
      <c r="A222" s="109"/>
      <c r="B222" s="132"/>
      <c r="C222" s="132"/>
      <c r="D222" s="132"/>
      <c r="E222" s="859"/>
      <c r="F222" s="859"/>
      <c r="G222" s="130"/>
      <c r="H222" s="859"/>
      <c r="I222" s="130"/>
      <c r="J222" s="231"/>
      <c r="K222" s="231"/>
      <c r="L222" s="231"/>
      <c r="M222" s="231"/>
      <c r="N222" s="231"/>
      <c r="O222" s="231"/>
      <c r="P222" s="231"/>
      <c r="Q222" s="231"/>
      <c r="R222" s="231"/>
      <c r="S222" s="231"/>
      <c r="T222" s="231"/>
      <c r="U222" s="231"/>
      <c r="V222" s="231"/>
      <c r="W222" s="231"/>
      <c r="X222" s="231"/>
      <c r="Y222" s="231"/>
      <c r="Z222" s="231"/>
      <c r="AA222" s="231"/>
      <c r="AB222" s="231"/>
      <c r="AC222" s="231"/>
      <c r="AD222" s="231"/>
      <c r="AE222" s="231"/>
      <c r="AF222" s="231"/>
      <c r="AG222" s="231"/>
      <c r="AH222" s="231"/>
    </row>
    <row r="223" spans="1:34" s="203" customFormat="1">
      <c r="A223" s="154" t="s">
        <v>179</v>
      </c>
      <c r="B223" s="116"/>
      <c r="C223" s="116"/>
      <c r="D223" s="116"/>
      <c r="E223" s="859"/>
      <c r="F223" s="859"/>
      <c r="G223" s="130"/>
      <c r="H223" s="859"/>
      <c r="I223" s="130"/>
      <c r="J223" s="231"/>
      <c r="K223" s="231"/>
      <c r="L223" s="231"/>
      <c r="M223" s="231"/>
      <c r="N223" s="231"/>
      <c r="O223" s="231"/>
      <c r="P223" s="231"/>
      <c r="Q223" s="231"/>
      <c r="R223" s="231"/>
      <c r="S223" s="231"/>
      <c r="T223" s="231"/>
      <c r="U223" s="231"/>
      <c r="V223" s="231"/>
      <c r="W223" s="231"/>
      <c r="X223" s="231"/>
      <c r="Y223" s="231"/>
      <c r="Z223" s="231"/>
      <c r="AA223" s="231"/>
      <c r="AB223" s="231"/>
      <c r="AC223" s="231"/>
      <c r="AD223" s="231"/>
      <c r="AE223" s="231"/>
      <c r="AF223" s="231"/>
      <c r="AG223" s="231"/>
      <c r="AH223" s="231"/>
    </row>
    <row r="224" spans="1:34" s="203" customFormat="1">
      <c r="A224" s="109" t="s">
        <v>83</v>
      </c>
      <c r="B224" s="47"/>
      <c r="C224" s="47"/>
      <c r="D224" s="47"/>
      <c r="E224" s="859"/>
      <c r="F224" s="859"/>
      <c r="G224" s="130"/>
      <c r="H224" s="859"/>
      <c r="I224" s="130"/>
      <c r="J224" s="231"/>
      <c r="K224" s="231"/>
      <c r="L224" s="231"/>
      <c r="M224" s="231"/>
      <c r="N224" s="231"/>
      <c r="O224" s="231"/>
      <c r="P224" s="231"/>
      <c r="Q224" s="231"/>
      <c r="R224" s="231"/>
      <c r="S224" s="231"/>
      <c r="T224" s="231"/>
      <c r="U224" s="231"/>
      <c r="V224" s="231"/>
      <c r="W224" s="231"/>
      <c r="X224" s="231"/>
      <c r="Y224" s="231"/>
      <c r="Z224" s="231"/>
      <c r="AA224" s="231"/>
      <c r="AB224" s="231"/>
      <c r="AC224" s="231"/>
      <c r="AD224" s="231"/>
      <c r="AE224" s="231"/>
      <c r="AF224" s="231"/>
      <c r="AG224" s="231"/>
      <c r="AH224" s="231"/>
    </row>
    <row r="225" spans="1:34" s="203" customFormat="1">
      <c r="A225" s="110" t="s">
        <v>84</v>
      </c>
      <c r="B225" s="132"/>
      <c r="C225" s="132"/>
      <c r="D225" s="132"/>
      <c r="E225" s="860"/>
      <c r="F225" s="860"/>
      <c r="G225" s="130"/>
      <c r="H225" s="860"/>
      <c r="I225" s="130"/>
      <c r="J225" s="231"/>
      <c r="K225" s="231"/>
      <c r="L225" s="231"/>
      <c r="M225" s="231"/>
      <c r="N225" s="231"/>
      <c r="O225" s="231"/>
      <c r="P225" s="231"/>
      <c r="Q225" s="231"/>
      <c r="R225" s="231"/>
      <c r="S225" s="231"/>
      <c r="T225" s="231"/>
      <c r="U225" s="231"/>
      <c r="V225" s="231"/>
      <c r="W225" s="231"/>
      <c r="X225" s="231"/>
      <c r="Y225" s="231"/>
      <c r="Z225" s="231"/>
      <c r="AA225" s="231"/>
      <c r="AB225" s="231"/>
      <c r="AC225" s="231"/>
      <c r="AD225" s="231"/>
      <c r="AE225" s="231"/>
      <c r="AF225" s="231"/>
      <c r="AG225" s="231"/>
      <c r="AH225" s="231"/>
    </row>
    <row r="226" spans="1:34" s="203" customFormat="1">
      <c r="A226" s="120">
        <v>1</v>
      </c>
      <c r="B226" s="47" t="s">
        <v>180</v>
      </c>
      <c r="C226" s="47"/>
      <c r="D226" s="47"/>
      <c r="E226" s="41">
        <v>-13</v>
      </c>
      <c r="F226" s="52">
        <v>-17</v>
      </c>
      <c r="G226" s="118"/>
      <c r="H226" s="133">
        <v>22</v>
      </c>
      <c r="I226" s="29"/>
      <c r="J226" s="231"/>
      <c r="K226" s="231"/>
      <c r="L226" s="231"/>
      <c r="M226" s="231"/>
      <c r="N226" s="231"/>
      <c r="O226" s="231"/>
      <c r="P226" s="231"/>
      <c r="Q226" s="231"/>
      <c r="R226" s="231"/>
      <c r="S226" s="231"/>
      <c r="T226" s="231"/>
      <c r="U226" s="231"/>
      <c r="V226" s="231"/>
      <c r="W226" s="231"/>
      <c r="X226" s="231"/>
      <c r="Y226" s="231"/>
      <c r="Z226" s="231"/>
      <c r="AA226" s="231"/>
      <c r="AB226" s="231"/>
      <c r="AC226" s="231"/>
      <c r="AD226" s="231"/>
      <c r="AE226" s="231"/>
      <c r="AF226" s="231"/>
      <c r="AG226" s="231"/>
      <c r="AH226" s="231"/>
    </row>
    <row r="227" spans="1:34" s="203" customFormat="1">
      <c r="A227" s="120">
        <v>2</v>
      </c>
      <c r="B227" s="47" t="s">
        <v>181</v>
      </c>
      <c r="C227" s="47"/>
      <c r="D227" s="47"/>
      <c r="E227" s="49">
        <v>157</v>
      </c>
      <c r="F227" s="52">
        <v>148</v>
      </c>
      <c r="G227" s="118"/>
      <c r="H227" s="122">
        <v>171</v>
      </c>
      <c r="I227" s="29"/>
      <c r="J227" s="231"/>
      <c r="K227" s="231"/>
      <c r="L227" s="231"/>
      <c r="M227" s="231"/>
      <c r="N227" s="231"/>
      <c r="O227" s="231"/>
      <c r="P227" s="231"/>
      <c r="Q227" s="231"/>
      <c r="R227" s="231"/>
      <c r="S227" s="231"/>
      <c r="T227" s="231"/>
      <c r="U227" s="231"/>
      <c r="V227" s="231"/>
      <c r="W227" s="231"/>
      <c r="X227" s="231"/>
      <c r="Y227" s="231"/>
      <c r="Z227" s="231"/>
      <c r="AA227" s="231"/>
      <c r="AB227" s="231"/>
      <c r="AC227" s="231"/>
      <c r="AD227" s="231"/>
      <c r="AE227" s="231"/>
      <c r="AF227" s="231"/>
      <c r="AG227" s="231"/>
      <c r="AH227" s="231"/>
    </row>
    <row r="228" spans="1:34" s="203" customFormat="1">
      <c r="A228" s="120">
        <v>3</v>
      </c>
      <c r="B228" s="47" t="s">
        <v>182</v>
      </c>
      <c r="C228" s="47"/>
      <c r="D228" s="47"/>
      <c r="E228" s="114">
        <v>744</v>
      </c>
      <c r="F228" s="52">
        <v>744</v>
      </c>
      <c r="G228" s="118"/>
      <c r="H228" s="122">
        <v>728</v>
      </c>
      <c r="I228" s="29"/>
      <c r="J228" s="231"/>
      <c r="K228" s="231"/>
      <c r="L228" s="231"/>
      <c r="M228" s="231"/>
      <c r="N228" s="231"/>
      <c r="O228" s="231"/>
      <c r="P228" s="231"/>
      <c r="Q228" s="231"/>
      <c r="R228" s="231"/>
      <c r="S228" s="231"/>
      <c r="T228" s="231"/>
      <c r="U228" s="231"/>
      <c r="V228" s="231"/>
      <c r="W228" s="231"/>
      <c r="X228" s="231"/>
      <c r="Y228" s="231"/>
      <c r="Z228" s="231"/>
      <c r="AA228" s="231"/>
      <c r="AB228" s="231"/>
      <c r="AC228" s="231"/>
      <c r="AD228" s="231"/>
      <c r="AE228" s="231"/>
      <c r="AF228" s="231"/>
      <c r="AG228" s="231"/>
      <c r="AH228" s="231"/>
    </row>
    <row r="229" spans="1:34" s="203" customFormat="1">
      <c r="A229" s="120">
        <v>4</v>
      </c>
      <c r="B229" s="47" t="s">
        <v>183</v>
      </c>
      <c r="C229" s="47"/>
      <c r="D229" s="47"/>
      <c r="E229" s="114">
        <v>228</v>
      </c>
      <c r="F229" s="52">
        <v>227</v>
      </c>
      <c r="G229" s="118"/>
      <c r="H229" s="122">
        <v>221</v>
      </c>
      <c r="I229" s="29"/>
      <c r="J229" s="231"/>
      <c r="K229" s="231"/>
      <c r="L229" s="231"/>
      <c r="M229" s="231"/>
      <c r="N229" s="231"/>
      <c r="O229" s="231"/>
      <c r="P229" s="231"/>
      <c r="Q229" s="231"/>
      <c r="R229" s="231"/>
      <c r="S229" s="231"/>
      <c r="T229" s="231"/>
      <c r="U229" s="231"/>
      <c r="V229" s="231"/>
      <c r="W229" s="231"/>
      <c r="X229" s="231"/>
      <c r="Y229" s="231"/>
      <c r="Z229" s="231"/>
      <c r="AA229" s="231"/>
      <c r="AB229" s="231"/>
      <c r="AC229" s="231"/>
      <c r="AD229" s="231"/>
      <c r="AE229" s="231"/>
      <c r="AF229" s="231"/>
      <c r="AG229" s="231"/>
      <c r="AH229" s="231"/>
    </row>
    <row r="230" spans="1:34" s="203" customFormat="1">
      <c r="A230" s="120">
        <v>5</v>
      </c>
      <c r="B230" s="47" t="s">
        <v>184</v>
      </c>
      <c r="C230" s="47"/>
      <c r="D230" s="47"/>
      <c r="E230" s="114">
        <v>1874</v>
      </c>
      <c r="F230" s="52">
        <v>2084</v>
      </c>
      <c r="G230" s="118"/>
      <c r="H230" s="99">
        <v>1565</v>
      </c>
      <c r="I230" s="29"/>
      <c r="J230" s="231"/>
      <c r="K230" s="231"/>
      <c r="L230" s="231"/>
      <c r="M230" s="231"/>
      <c r="N230" s="231"/>
      <c r="O230" s="231"/>
      <c r="P230" s="231"/>
      <c r="Q230" s="231"/>
      <c r="R230" s="231"/>
      <c r="S230" s="231"/>
      <c r="T230" s="231"/>
      <c r="U230" s="231"/>
      <c r="V230" s="231"/>
      <c r="W230" s="231"/>
      <c r="X230" s="231"/>
      <c r="Y230" s="231"/>
      <c r="Z230" s="231"/>
      <c r="AA230" s="231"/>
      <c r="AB230" s="231"/>
      <c r="AC230" s="231"/>
      <c r="AD230" s="231"/>
      <c r="AE230" s="231"/>
      <c r="AF230" s="231"/>
      <c r="AG230" s="231"/>
      <c r="AH230" s="231"/>
    </row>
    <row r="231" spans="1:34" s="203" customFormat="1">
      <c r="A231" s="124">
        <v>6</v>
      </c>
      <c r="B231" s="173" t="s">
        <v>185</v>
      </c>
      <c r="C231" s="173"/>
      <c r="D231" s="173"/>
      <c r="E231" s="159">
        <v>2990</v>
      </c>
      <c r="F231" s="61">
        <f>SUM(F226:F230)</f>
        <v>3186</v>
      </c>
      <c r="G231" s="118"/>
      <c r="H231" s="61">
        <f>SUM(H226:H230)</f>
        <v>2707</v>
      </c>
      <c r="I231" s="29"/>
      <c r="J231" s="231"/>
      <c r="K231" s="231"/>
      <c r="L231" s="231"/>
      <c r="M231" s="231"/>
      <c r="N231" s="231"/>
      <c r="O231" s="231"/>
      <c r="P231" s="231"/>
      <c r="Q231" s="231"/>
      <c r="R231" s="231"/>
      <c r="S231" s="231"/>
      <c r="T231" s="231"/>
      <c r="U231" s="231"/>
      <c r="V231" s="231"/>
      <c r="W231" s="231"/>
      <c r="X231" s="231"/>
      <c r="Y231" s="231"/>
      <c r="Z231" s="231"/>
      <c r="AA231" s="231"/>
      <c r="AB231" s="231"/>
      <c r="AC231" s="231"/>
      <c r="AD231" s="231"/>
      <c r="AE231" s="231"/>
      <c r="AF231" s="231"/>
      <c r="AG231" s="231"/>
      <c r="AH231" s="231"/>
    </row>
    <row r="232" spans="1:34" s="203" customFormat="1">
      <c r="A232" s="148"/>
      <c r="B232" s="29"/>
      <c r="C232" s="29"/>
      <c r="D232" s="170"/>
      <c r="E232" s="150"/>
      <c r="F232" s="29"/>
      <c r="G232" s="29"/>
      <c r="H232" s="207"/>
      <c r="I232" s="29"/>
      <c r="J232" s="231"/>
      <c r="K232" s="231"/>
      <c r="L232" s="231"/>
      <c r="M232" s="231"/>
      <c r="N232" s="231"/>
      <c r="O232" s="231"/>
      <c r="P232" s="231"/>
      <c r="Q232" s="231"/>
      <c r="R232" s="231"/>
      <c r="S232" s="231"/>
      <c r="T232" s="231"/>
      <c r="U232" s="231"/>
      <c r="V232" s="231"/>
      <c r="W232" s="231"/>
      <c r="X232" s="231"/>
      <c r="Y232" s="231"/>
      <c r="Z232" s="231"/>
      <c r="AA232" s="231"/>
      <c r="AB232" s="231"/>
      <c r="AC232" s="231"/>
      <c r="AD232" s="231"/>
      <c r="AE232" s="231"/>
      <c r="AF232" s="231"/>
      <c r="AG232" s="231"/>
      <c r="AH232" s="231"/>
    </row>
    <row r="233" spans="1:34" s="203" customFormat="1">
      <c r="A233" s="148"/>
      <c r="B233" s="29"/>
      <c r="C233" s="29"/>
      <c r="D233" s="172"/>
      <c r="E233" s="152"/>
      <c r="F233" s="29"/>
      <c r="G233" s="29"/>
      <c r="H233" s="131" t="s">
        <v>27</v>
      </c>
      <c r="I233" s="29"/>
      <c r="J233" s="231"/>
      <c r="K233" s="231"/>
      <c r="L233" s="231"/>
      <c r="M233" s="231"/>
      <c r="N233" s="231"/>
      <c r="O233" s="231"/>
      <c r="P233" s="231"/>
      <c r="Q233" s="231"/>
      <c r="R233" s="231"/>
      <c r="S233" s="231"/>
      <c r="T233" s="231"/>
      <c r="U233" s="231"/>
      <c r="V233" s="231"/>
      <c r="W233" s="231"/>
      <c r="X233" s="231"/>
      <c r="Y233" s="231"/>
      <c r="Z233" s="231"/>
      <c r="AA233" s="231"/>
      <c r="AB233" s="231"/>
      <c r="AC233" s="231"/>
      <c r="AD233" s="231"/>
      <c r="AE233" s="231"/>
      <c r="AF233" s="231"/>
      <c r="AG233" s="231"/>
      <c r="AH233" s="231"/>
    </row>
    <row r="234" spans="1:34" s="203" customFormat="1" ht="12.75" customHeight="1">
      <c r="A234" s="106" t="s">
        <v>12</v>
      </c>
      <c r="B234" s="164"/>
      <c r="C234" s="164"/>
      <c r="D234" s="164"/>
      <c r="E234" s="856" t="s">
        <v>377</v>
      </c>
      <c r="F234" s="856" t="s">
        <v>402</v>
      </c>
      <c r="G234" s="130"/>
      <c r="H234" s="856" t="s">
        <v>403</v>
      </c>
      <c r="I234" s="130"/>
      <c r="J234" s="231"/>
      <c r="K234" s="231"/>
      <c r="L234" s="231"/>
      <c r="M234" s="231"/>
      <c r="N234" s="231"/>
      <c r="O234" s="231"/>
      <c r="P234" s="231"/>
      <c r="Q234" s="231"/>
      <c r="R234" s="231"/>
      <c r="S234" s="231"/>
      <c r="T234" s="231"/>
      <c r="U234" s="231"/>
      <c r="V234" s="231"/>
      <c r="W234" s="231"/>
      <c r="X234" s="231"/>
      <c r="Y234" s="231"/>
      <c r="Z234" s="231"/>
      <c r="AA234" s="231"/>
      <c r="AB234" s="231"/>
      <c r="AC234" s="231"/>
      <c r="AD234" s="231"/>
      <c r="AE234" s="231"/>
      <c r="AF234" s="231"/>
      <c r="AG234" s="231"/>
      <c r="AH234" s="231"/>
    </row>
    <row r="235" spans="1:34" s="203" customFormat="1">
      <c r="A235" s="165"/>
      <c r="B235" s="47"/>
      <c r="C235" s="47"/>
      <c r="D235" s="47"/>
      <c r="E235" s="859"/>
      <c r="F235" s="859"/>
      <c r="G235" s="130"/>
      <c r="H235" s="859"/>
      <c r="I235" s="130"/>
      <c r="J235" s="231"/>
      <c r="K235" s="231"/>
      <c r="L235" s="231"/>
      <c r="M235" s="231"/>
      <c r="N235" s="231"/>
      <c r="O235" s="231"/>
      <c r="P235" s="231"/>
      <c r="Q235" s="231"/>
      <c r="R235" s="231"/>
      <c r="S235" s="231"/>
      <c r="T235" s="231"/>
      <c r="U235" s="231"/>
      <c r="V235" s="231"/>
      <c r="W235" s="231"/>
      <c r="X235" s="231"/>
      <c r="Y235" s="231"/>
      <c r="Z235" s="231"/>
      <c r="AA235" s="231"/>
      <c r="AB235" s="231"/>
      <c r="AC235" s="231"/>
      <c r="AD235" s="231"/>
      <c r="AE235" s="231"/>
      <c r="AF235" s="231"/>
      <c r="AG235" s="231"/>
      <c r="AH235" s="231"/>
    </row>
    <row r="236" spans="1:34" s="203" customFormat="1">
      <c r="A236" s="154" t="s">
        <v>186</v>
      </c>
      <c r="B236" s="174"/>
      <c r="C236" s="174"/>
      <c r="D236" s="174"/>
      <c r="E236" s="859"/>
      <c r="F236" s="859"/>
      <c r="G236" s="130"/>
      <c r="H236" s="859"/>
      <c r="I236" s="130"/>
      <c r="J236" s="231"/>
      <c r="K236" s="231"/>
      <c r="L236" s="231"/>
      <c r="M236" s="231"/>
      <c r="N236" s="231"/>
      <c r="O236" s="231"/>
      <c r="P236" s="231"/>
      <c r="Q236" s="231"/>
      <c r="R236" s="231"/>
      <c r="S236" s="231"/>
      <c r="T236" s="231"/>
      <c r="U236" s="231"/>
      <c r="V236" s="231"/>
      <c r="W236" s="231"/>
      <c r="X236" s="231"/>
      <c r="Y236" s="231"/>
      <c r="Z236" s="231"/>
      <c r="AA236" s="231"/>
      <c r="AB236" s="231"/>
      <c r="AC236" s="231"/>
      <c r="AD236" s="231"/>
      <c r="AE236" s="231"/>
      <c r="AF236" s="231"/>
      <c r="AG236" s="231"/>
      <c r="AH236" s="231"/>
    </row>
    <row r="237" spans="1:34" s="203" customFormat="1">
      <c r="A237" s="109" t="s">
        <v>83</v>
      </c>
      <c r="B237" s="47"/>
      <c r="C237" s="47"/>
      <c r="D237" s="47"/>
      <c r="E237" s="859"/>
      <c r="F237" s="859"/>
      <c r="G237" s="130"/>
      <c r="H237" s="859"/>
      <c r="I237" s="130"/>
      <c r="J237" s="231"/>
      <c r="K237" s="231"/>
      <c r="L237" s="231"/>
      <c r="M237" s="231"/>
      <c r="N237" s="231"/>
      <c r="O237" s="231"/>
      <c r="P237" s="231"/>
      <c r="Q237" s="231"/>
      <c r="R237" s="231"/>
      <c r="S237" s="231"/>
      <c r="T237" s="231"/>
      <c r="U237" s="231"/>
      <c r="V237" s="231"/>
      <c r="W237" s="231"/>
      <c r="X237" s="231"/>
      <c r="Y237" s="231"/>
      <c r="Z237" s="231"/>
      <c r="AA237" s="231"/>
      <c r="AB237" s="231"/>
      <c r="AC237" s="231"/>
      <c r="AD237" s="231"/>
      <c r="AE237" s="231"/>
      <c r="AF237" s="231"/>
      <c r="AG237" s="231"/>
      <c r="AH237" s="231"/>
    </row>
    <row r="238" spans="1:34" s="203" customFormat="1">
      <c r="A238" s="110" t="s">
        <v>84</v>
      </c>
      <c r="B238" s="174"/>
      <c r="C238" s="174"/>
      <c r="D238" s="174"/>
      <c r="E238" s="860"/>
      <c r="F238" s="860"/>
      <c r="G238" s="130"/>
      <c r="H238" s="860"/>
      <c r="I238" s="130"/>
      <c r="J238" s="231"/>
      <c r="K238" s="231"/>
      <c r="L238" s="231"/>
      <c r="M238" s="231"/>
      <c r="N238" s="231"/>
      <c r="O238" s="231"/>
      <c r="P238" s="231"/>
      <c r="Q238" s="231"/>
      <c r="R238" s="231"/>
      <c r="S238" s="231"/>
      <c r="T238" s="231"/>
      <c r="U238" s="231"/>
      <c r="V238" s="231"/>
      <c r="W238" s="231"/>
      <c r="X238" s="231"/>
      <c r="Y238" s="231"/>
      <c r="Z238" s="231"/>
      <c r="AA238" s="231"/>
      <c r="AB238" s="231"/>
      <c r="AC238" s="231"/>
      <c r="AD238" s="231"/>
      <c r="AE238" s="231"/>
      <c r="AF238" s="231"/>
      <c r="AG238" s="231"/>
      <c r="AH238" s="231"/>
    </row>
    <row r="239" spans="1:34" s="203" customFormat="1">
      <c r="A239" s="153" t="s">
        <v>187</v>
      </c>
      <c r="B239" s="116"/>
      <c r="C239" s="116"/>
      <c r="D239" s="116"/>
      <c r="E239" s="167"/>
      <c r="F239" s="146"/>
      <c r="G239" s="118"/>
      <c r="H239" s="146"/>
      <c r="I239" s="29"/>
      <c r="J239" s="231"/>
      <c r="K239" s="231"/>
      <c r="L239" s="231"/>
      <c r="M239" s="231"/>
      <c r="N239" s="231"/>
      <c r="O239" s="231"/>
      <c r="P239" s="231"/>
      <c r="Q239" s="231"/>
      <c r="R239" s="231"/>
      <c r="S239" s="231"/>
      <c r="T239" s="231"/>
      <c r="U239" s="231"/>
      <c r="V239" s="231"/>
      <c r="W239" s="231"/>
      <c r="X239" s="231"/>
      <c r="Y239" s="231"/>
      <c r="Z239" s="231"/>
      <c r="AA239" s="231"/>
      <c r="AB239" s="231"/>
      <c r="AC239" s="231"/>
      <c r="AD239" s="231"/>
      <c r="AE239" s="231"/>
      <c r="AF239" s="231"/>
      <c r="AG239" s="231"/>
      <c r="AH239" s="231"/>
    </row>
    <row r="240" spans="1:34" s="203" customFormat="1">
      <c r="A240" s="120">
        <v>1</v>
      </c>
      <c r="B240" s="47" t="s">
        <v>188</v>
      </c>
      <c r="C240" s="47"/>
      <c r="D240" s="47"/>
      <c r="E240" s="74">
        <v>281</v>
      </c>
      <c r="F240" s="52">
        <v>377</v>
      </c>
      <c r="G240" s="118"/>
      <c r="H240" s="122">
        <v>279</v>
      </c>
      <c r="I240" s="29"/>
      <c r="J240" s="231"/>
      <c r="K240" s="231"/>
      <c r="L240" s="231"/>
      <c r="M240" s="231"/>
      <c r="N240" s="231"/>
      <c r="O240" s="231"/>
      <c r="P240" s="231"/>
      <c r="Q240" s="231"/>
      <c r="R240" s="231"/>
      <c r="S240" s="231"/>
      <c r="T240" s="231"/>
      <c r="U240" s="231"/>
      <c r="V240" s="231"/>
      <c r="W240" s="231"/>
      <c r="X240" s="231"/>
      <c r="Y240" s="231"/>
      <c r="Z240" s="231"/>
      <c r="AA240" s="231"/>
      <c r="AB240" s="231"/>
      <c r="AC240" s="231"/>
      <c r="AD240" s="231"/>
      <c r="AE240" s="231"/>
      <c r="AF240" s="231"/>
      <c r="AG240" s="231"/>
      <c r="AH240" s="231"/>
    </row>
    <row r="241" spans="1:34" s="203" customFormat="1">
      <c r="A241" s="652">
        <v>2</v>
      </c>
      <c r="B241" s="47" t="s">
        <v>189</v>
      </c>
      <c r="C241" s="47"/>
      <c r="D241" s="47"/>
      <c r="E241" s="114">
        <v>448</v>
      </c>
      <c r="F241" s="52">
        <v>393</v>
      </c>
      <c r="G241" s="118"/>
      <c r="H241" s="100">
        <v>453</v>
      </c>
      <c r="I241" s="29"/>
      <c r="J241" s="231"/>
      <c r="K241" s="231"/>
      <c r="L241" s="231"/>
      <c r="M241" s="231"/>
      <c r="N241" s="231"/>
      <c r="O241" s="231"/>
      <c r="P241" s="231"/>
      <c r="Q241" s="231"/>
      <c r="R241" s="231"/>
      <c r="S241" s="231"/>
      <c r="T241" s="231"/>
      <c r="U241" s="231"/>
      <c r="V241" s="231"/>
      <c r="W241" s="231"/>
      <c r="X241" s="231"/>
      <c r="Y241" s="231"/>
      <c r="Z241" s="231"/>
      <c r="AA241" s="231"/>
      <c r="AB241" s="231"/>
      <c r="AC241" s="231"/>
      <c r="AD241" s="231"/>
      <c r="AE241" s="231"/>
      <c r="AF241" s="231"/>
      <c r="AG241" s="231"/>
      <c r="AH241" s="231"/>
    </row>
    <row r="242" spans="1:34" s="203" customFormat="1">
      <c r="A242" s="652">
        <v>3</v>
      </c>
      <c r="B242" s="168" t="s">
        <v>190</v>
      </c>
      <c r="C242" s="168"/>
      <c r="D242" s="168"/>
      <c r="E242" s="80">
        <v>729</v>
      </c>
      <c r="F242" s="142">
        <f>SUM(F240:F241)</f>
        <v>770</v>
      </c>
      <c r="G242" s="118"/>
      <c r="H242" s="142">
        <f>SUM(H240:H241)</f>
        <v>732</v>
      </c>
      <c r="I242" s="29"/>
      <c r="J242" s="231"/>
      <c r="K242" s="231"/>
      <c r="L242" s="231"/>
      <c r="M242" s="231"/>
      <c r="N242" s="231"/>
      <c r="O242" s="231"/>
      <c r="P242" s="231"/>
      <c r="Q242" s="231"/>
      <c r="R242" s="231"/>
      <c r="S242" s="231"/>
      <c r="T242" s="231"/>
      <c r="U242" s="231"/>
      <c r="V242" s="231"/>
      <c r="W242" s="231"/>
      <c r="X242" s="231"/>
      <c r="Y242" s="231"/>
      <c r="Z242" s="231"/>
      <c r="AA242" s="231"/>
      <c r="AB242" s="231"/>
      <c r="AC242" s="231"/>
      <c r="AD242" s="231"/>
      <c r="AE242" s="231"/>
      <c r="AF242" s="231"/>
      <c r="AG242" s="231"/>
      <c r="AH242" s="231"/>
    </row>
    <row r="243" spans="1:34" s="203" customFormat="1">
      <c r="A243" s="652"/>
      <c r="B243" s="116"/>
      <c r="C243" s="116"/>
      <c r="D243" s="116"/>
      <c r="E243" s="117"/>
      <c r="F243" s="118"/>
      <c r="G243" s="118"/>
      <c r="H243" s="118"/>
      <c r="I243" s="29"/>
      <c r="J243" s="231"/>
      <c r="K243" s="231"/>
      <c r="L243" s="231"/>
      <c r="M243" s="231"/>
      <c r="N243" s="231"/>
      <c r="O243" s="231"/>
      <c r="P243" s="231"/>
      <c r="Q243" s="231"/>
      <c r="R243" s="231"/>
      <c r="S243" s="231"/>
      <c r="T243" s="231"/>
      <c r="U243" s="231"/>
      <c r="V243" s="231"/>
      <c r="W243" s="231"/>
      <c r="X243" s="231"/>
      <c r="Y243" s="231"/>
      <c r="Z243" s="231"/>
      <c r="AA243" s="231"/>
      <c r="AB243" s="231"/>
      <c r="AC243" s="231"/>
      <c r="AD243" s="231"/>
      <c r="AE243" s="231"/>
      <c r="AF243" s="231"/>
      <c r="AG243" s="231"/>
      <c r="AH243" s="231"/>
    </row>
    <row r="244" spans="1:34" s="203" customFormat="1">
      <c r="A244" s="108" t="s">
        <v>191</v>
      </c>
      <c r="B244" s="47"/>
      <c r="C244" s="47"/>
      <c r="D244" s="47"/>
      <c r="E244" s="140"/>
      <c r="F244" s="146"/>
      <c r="G244" s="118"/>
      <c r="H244" s="146"/>
      <c r="I244" s="29"/>
      <c r="J244" s="231"/>
      <c r="K244" s="231"/>
      <c r="L244" s="231"/>
      <c r="M244" s="231"/>
      <c r="N244" s="231"/>
      <c r="O244" s="231"/>
      <c r="P244" s="231"/>
      <c r="Q244" s="231"/>
      <c r="R244" s="231"/>
      <c r="S244" s="231"/>
      <c r="T244" s="231"/>
      <c r="U244" s="231"/>
      <c r="V244" s="231"/>
      <c r="W244" s="231"/>
      <c r="X244" s="231"/>
      <c r="Y244" s="231"/>
      <c r="Z244" s="231"/>
      <c r="AA244" s="231"/>
      <c r="AB244" s="231"/>
      <c r="AC244" s="231"/>
      <c r="AD244" s="231"/>
      <c r="AE244" s="231"/>
      <c r="AF244" s="231"/>
      <c r="AG244" s="231"/>
      <c r="AH244" s="231"/>
    </row>
    <row r="245" spans="1:34" s="203" customFormat="1">
      <c r="A245" s="652">
        <v>4</v>
      </c>
      <c r="B245" s="47" t="s">
        <v>192</v>
      </c>
      <c r="C245" s="47"/>
      <c r="D245" s="47"/>
      <c r="E245" s="74">
        <v>0</v>
      </c>
      <c r="F245" s="52">
        <v>0</v>
      </c>
      <c r="G245" s="118"/>
      <c r="H245" s="122">
        <v>0</v>
      </c>
      <c r="I245" s="29"/>
      <c r="J245" s="231"/>
      <c r="K245" s="231"/>
      <c r="L245" s="231"/>
      <c r="M245" s="231"/>
      <c r="N245" s="231"/>
      <c r="O245" s="231"/>
      <c r="P245" s="231"/>
      <c r="Q245" s="231"/>
      <c r="R245" s="231"/>
      <c r="S245" s="231"/>
      <c r="T245" s="231"/>
      <c r="U245" s="231"/>
      <c r="V245" s="231"/>
      <c r="W245" s="231"/>
      <c r="X245" s="231"/>
      <c r="Y245" s="231"/>
      <c r="Z245" s="231"/>
      <c r="AA245" s="231"/>
      <c r="AB245" s="231"/>
      <c r="AC245" s="231"/>
      <c r="AD245" s="231"/>
      <c r="AE245" s="231"/>
      <c r="AF245" s="231"/>
      <c r="AG245" s="231"/>
      <c r="AH245" s="231"/>
    </row>
    <row r="246" spans="1:34" s="203" customFormat="1">
      <c r="A246" s="652">
        <v>5</v>
      </c>
      <c r="B246" s="47" t="s">
        <v>193</v>
      </c>
      <c r="C246" s="47"/>
      <c r="D246" s="47"/>
      <c r="E246" s="49">
        <v>110</v>
      </c>
      <c r="F246" s="52">
        <v>117</v>
      </c>
      <c r="G246" s="118"/>
      <c r="H246" s="100">
        <v>130</v>
      </c>
      <c r="I246" s="29"/>
      <c r="J246" s="231"/>
      <c r="K246" s="231"/>
      <c r="L246" s="231"/>
      <c r="M246" s="231"/>
      <c r="N246" s="231"/>
      <c r="O246" s="231"/>
      <c r="P246" s="231"/>
      <c r="Q246" s="231"/>
      <c r="R246" s="231"/>
      <c r="S246" s="231"/>
      <c r="T246" s="231"/>
      <c r="U246" s="231"/>
      <c r="V246" s="231"/>
      <c r="W246" s="231"/>
      <c r="X246" s="231"/>
      <c r="Y246" s="231"/>
      <c r="Z246" s="231"/>
      <c r="AA246" s="231"/>
      <c r="AB246" s="231"/>
      <c r="AC246" s="231"/>
      <c r="AD246" s="231"/>
      <c r="AE246" s="231"/>
      <c r="AF246" s="231"/>
      <c r="AG246" s="231"/>
      <c r="AH246" s="231"/>
    </row>
    <row r="247" spans="1:34" s="203" customFormat="1">
      <c r="A247" s="652">
        <v>6</v>
      </c>
      <c r="B247" s="116" t="s">
        <v>194</v>
      </c>
      <c r="C247" s="116"/>
      <c r="D247" s="116"/>
      <c r="E247" s="80">
        <v>110</v>
      </c>
      <c r="F247" s="142">
        <f>SUM(F245:F246)</f>
        <v>117</v>
      </c>
      <c r="G247" s="118"/>
      <c r="H247" s="142">
        <f>SUM(H245:H246)</f>
        <v>130</v>
      </c>
      <c r="I247" s="29"/>
      <c r="J247" s="231"/>
      <c r="K247" s="231"/>
      <c r="L247" s="231"/>
      <c r="M247" s="231"/>
      <c r="N247" s="231"/>
      <c r="O247" s="231"/>
      <c r="P247" s="231"/>
      <c r="Q247" s="231"/>
      <c r="R247" s="231"/>
      <c r="S247" s="231"/>
      <c r="T247" s="231"/>
      <c r="U247" s="231"/>
      <c r="V247" s="231"/>
      <c r="W247" s="231"/>
      <c r="X247" s="231"/>
      <c r="Y247" s="231"/>
      <c r="Z247" s="231"/>
      <c r="AA247" s="231"/>
      <c r="AB247" s="231"/>
      <c r="AC247" s="231"/>
      <c r="AD247" s="231"/>
      <c r="AE247" s="231"/>
      <c r="AF247" s="231"/>
      <c r="AG247" s="231"/>
      <c r="AH247" s="231"/>
    </row>
    <row r="248" spans="1:34" s="203" customFormat="1">
      <c r="A248" s="652"/>
      <c r="B248" s="116"/>
      <c r="C248" s="116"/>
      <c r="D248" s="116"/>
      <c r="E248" s="117"/>
      <c r="F248" s="118"/>
      <c r="G248" s="118"/>
      <c r="H248" s="118"/>
      <c r="I248" s="29"/>
      <c r="J248" s="231"/>
      <c r="K248" s="231"/>
      <c r="L248" s="231"/>
      <c r="M248" s="231"/>
      <c r="N248" s="231"/>
      <c r="O248" s="231"/>
      <c r="P248" s="231"/>
      <c r="Q248" s="231"/>
      <c r="R248" s="231"/>
      <c r="S248" s="231"/>
      <c r="T248" s="231"/>
      <c r="U248" s="231"/>
      <c r="V248" s="231"/>
      <c r="W248" s="231"/>
      <c r="X248" s="231"/>
      <c r="Y248" s="231"/>
      <c r="Z248" s="231"/>
      <c r="AA248" s="231"/>
      <c r="AB248" s="231"/>
      <c r="AC248" s="231"/>
      <c r="AD248" s="231"/>
      <c r="AE248" s="231"/>
      <c r="AF248" s="231"/>
      <c r="AG248" s="231"/>
      <c r="AH248" s="231"/>
    </row>
    <row r="249" spans="1:34" s="203" customFormat="1">
      <c r="A249" s="108" t="s">
        <v>195</v>
      </c>
      <c r="B249" s="116"/>
      <c r="C249" s="116"/>
      <c r="D249" s="116"/>
      <c r="E249" s="140"/>
      <c r="F249" s="146"/>
      <c r="G249" s="118"/>
      <c r="H249" s="146"/>
      <c r="I249" s="29"/>
      <c r="J249" s="231"/>
      <c r="K249" s="231"/>
      <c r="L249" s="231"/>
      <c r="M249" s="231"/>
      <c r="N249" s="231"/>
      <c r="O249" s="231"/>
      <c r="P249" s="231"/>
      <c r="Q249" s="231"/>
      <c r="R249" s="231"/>
      <c r="S249" s="231"/>
      <c r="T249" s="231"/>
      <c r="U249" s="231"/>
      <c r="V249" s="231"/>
      <c r="W249" s="231"/>
      <c r="X249" s="231"/>
      <c r="Y249" s="231"/>
      <c r="Z249" s="231"/>
      <c r="AA249" s="231"/>
      <c r="AB249" s="231"/>
      <c r="AC249" s="231"/>
      <c r="AD249" s="231"/>
      <c r="AE249" s="231"/>
      <c r="AF249" s="231"/>
      <c r="AG249" s="231"/>
      <c r="AH249" s="231"/>
    </row>
    <row r="250" spans="1:34" s="203" customFormat="1">
      <c r="A250" s="652">
        <v>7</v>
      </c>
      <c r="B250" s="47" t="s">
        <v>196</v>
      </c>
      <c r="C250" s="47"/>
      <c r="D250" s="47"/>
      <c r="E250" s="74">
        <v>0</v>
      </c>
      <c r="F250" s="52">
        <v>0</v>
      </c>
      <c r="G250" s="118"/>
      <c r="H250" s="52">
        <v>0</v>
      </c>
      <c r="I250" s="29"/>
      <c r="J250" s="231"/>
      <c r="K250" s="231"/>
      <c r="L250" s="231"/>
      <c r="M250" s="231"/>
      <c r="N250" s="231"/>
      <c r="O250" s="231"/>
      <c r="P250" s="231"/>
      <c r="Q250" s="231"/>
      <c r="R250" s="231"/>
      <c r="S250" s="231"/>
      <c r="T250" s="231"/>
      <c r="U250" s="231"/>
      <c r="V250" s="231"/>
      <c r="W250" s="231"/>
      <c r="X250" s="231"/>
      <c r="Y250" s="231"/>
      <c r="Z250" s="231"/>
      <c r="AA250" s="231"/>
      <c r="AB250" s="231"/>
      <c r="AC250" s="231"/>
      <c r="AD250" s="231"/>
      <c r="AE250" s="231"/>
      <c r="AF250" s="231"/>
      <c r="AG250" s="231"/>
      <c r="AH250" s="231"/>
    </row>
    <row r="251" spans="1:34" s="203" customFormat="1">
      <c r="A251" s="652">
        <v>8</v>
      </c>
      <c r="B251" s="47" t="s">
        <v>197</v>
      </c>
      <c r="C251" s="47"/>
      <c r="D251" s="47"/>
      <c r="E251" s="49">
        <v>1387</v>
      </c>
      <c r="F251" s="52">
        <v>1363</v>
      </c>
      <c r="G251" s="118"/>
      <c r="H251" s="122">
        <v>1308</v>
      </c>
      <c r="I251" s="29"/>
      <c r="J251" s="231"/>
      <c r="K251" s="231"/>
      <c r="L251" s="231"/>
      <c r="M251" s="231"/>
      <c r="N251" s="231"/>
      <c r="O251" s="231"/>
      <c r="P251" s="231"/>
      <c r="Q251" s="231"/>
      <c r="R251" s="231"/>
      <c r="S251" s="231"/>
      <c r="T251" s="231"/>
      <c r="U251" s="231"/>
      <c r="V251" s="231"/>
      <c r="W251" s="231"/>
      <c r="X251" s="231"/>
      <c r="Y251" s="231"/>
      <c r="Z251" s="231"/>
      <c r="AA251" s="231"/>
      <c r="AB251" s="231"/>
      <c r="AC251" s="231"/>
      <c r="AD251" s="231"/>
      <c r="AE251" s="231"/>
      <c r="AF251" s="231"/>
      <c r="AG251" s="231"/>
      <c r="AH251" s="231"/>
    </row>
    <row r="252" spans="1:34" s="203" customFormat="1">
      <c r="A252" s="652">
        <v>9</v>
      </c>
      <c r="B252" s="47" t="s">
        <v>198</v>
      </c>
      <c r="C252" s="47"/>
      <c r="D252" s="47"/>
      <c r="E252" s="49">
        <v>304</v>
      </c>
      <c r="F252" s="52">
        <v>326</v>
      </c>
      <c r="G252" s="118"/>
      <c r="H252" s="122">
        <v>375</v>
      </c>
      <c r="I252" s="29"/>
      <c r="J252" s="231"/>
      <c r="K252" s="231"/>
      <c r="L252" s="231"/>
      <c r="M252" s="231"/>
      <c r="N252" s="231"/>
      <c r="O252" s="231"/>
      <c r="P252" s="231"/>
      <c r="Q252" s="231"/>
      <c r="R252" s="231"/>
      <c r="S252" s="231"/>
      <c r="T252" s="231"/>
      <c r="U252" s="231"/>
      <c r="V252" s="231"/>
      <c r="W252" s="231"/>
      <c r="X252" s="231"/>
      <c r="Y252" s="231"/>
      <c r="Z252" s="231"/>
      <c r="AA252" s="231"/>
      <c r="AB252" s="231"/>
      <c r="AC252" s="231"/>
      <c r="AD252" s="231"/>
      <c r="AE252" s="231"/>
      <c r="AF252" s="231"/>
      <c r="AG252" s="231"/>
      <c r="AH252" s="231"/>
    </row>
    <row r="253" spans="1:34" s="203" customFormat="1">
      <c r="A253" s="652">
        <v>10</v>
      </c>
      <c r="B253" s="47" t="s">
        <v>199</v>
      </c>
      <c r="C253" s="47"/>
      <c r="D253" s="47"/>
      <c r="E253" s="49">
        <v>722</v>
      </c>
      <c r="F253" s="52">
        <v>734</v>
      </c>
      <c r="G253" s="118"/>
      <c r="H253" s="100">
        <f>736+8</f>
        <v>744</v>
      </c>
      <c r="I253" s="29"/>
      <c r="J253" s="231"/>
      <c r="K253" s="231"/>
      <c r="L253" s="231"/>
      <c r="M253" s="231"/>
      <c r="N253" s="231"/>
      <c r="O253" s="231"/>
      <c r="P253" s="231"/>
      <c r="Q253" s="231"/>
      <c r="R253" s="231"/>
      <c r="S253" s="231"/>
      <c r="T253" s="231"/>
      <c r="U253" s="231"/>
      <c r="V253" s="231"/>
      <c r="W253" s="231"/>
      <c r="X253" s="231"/>
      <c r="Y253" s="231"/>
      <c r="Z253" s="231"/>
      <c r="AA253" s="231"/>
      <c r="AB253" s="231"/>
      <c r="AC253" s="231"/>
      <c r="AD253" s="231"/>
      <c r="AE253" s="231"/>
      <c r="AF253" s="231"/>
      <c r="AG253" s="231"/>
      <c r="AH253" s="231"/>
    </row>
    <row r="254" spans="1:34" s="203" customFormat="1">
      <c r="A254" s="652">
        <v>11</v>
      </c>
      <c r="B254" s="116" t="s">
        <v>200</v>
      </c>
      <c r="C254" s="116"/>
      <c r="D254" s="116"/>
      <c r="E254" s="80">
        <v>2413</v>
      </c>
      <c r="F254" s="142">
        <f>SUM(F250:F253)</f>
        <v>2423</v>
      </c>
      <c r="G254" s="118"/>
      <c r="H254" s="142">
        <f>SUM(H250:H253)</f>
        <v>2427</v>
      </c>
      <c r="I254" s="260"/>
      <c r="J254" s="231"/>
      <c r="K254" s="231"/>
      <c r="L254" s="231"/>
      <c r="M254" s="231"/>
      <c r="N254" s="231"/>
      <c r="O254" s="231"/>
      <c r="P254" s="231"/>
      <c r="Q254" s="231"/>
      <c r="R254" s="231"/>
      <c r="S254" s="231"/>
      <c r="T254" s="231"/>
      <c r="U254" s="231"/>
      <c r="V254" s="231"/>
      <c r="W254" s="231"/>
      <c r="X254" s="231"/>
      <c r="Y254" s="231"/>
      <c r="Z254" s="231"/>
      <c r="AA254" s="231"/>
      <c r="AB254" s="231"/>
      <c r="AC254" s="231"/>
      <c r="AD254" s="231"/>
      <c r="AE254" s="231"/>
      <c r="AF254" s="231"/>
      <c r="AG254" s="231"/>
      <c r="AH254" s="231"/>
    </row>
    <row r="255" spans="1:34" s="203" customFormat="1">
      <c r="A255" s="652"/>
      <c r="B255" s="116"/>
      <c r="C255" s="116"/>
      <c r="D255" s="116"/>
      <c r="E255" s="117"/>
      <c r="F255" s="118"/>
      <c r="G255" s="118"/>
      <c r="H255" s="118"/>
      <c r="I255" s="29"/>
      <c r="J255" s="231"/>
      <c r="K255" s="231"/>
      <c r="L255" s="231"/>
      <c r="M255" s="231"/>
      <c r="N255" s="231"/>
      <c r="O255" s="231"/>
      <c r="P255" s="231"/>
      <c r="Q255" s="231"/>
      <c r="R255" s="231"/>
      <c r="S255" s="231"/>
      <c r="T255" s="231"/>
      <c r="U255" s="231"/>
      <c r="V255" s="231"/>
      <c r="W255" s="231"/>
      <c r="X255" s="231"/>
      <c r="Y255" s="231"/>
      <c r="Z255" s="231"/>
      <c r="AA255" s="231"/>
      <c r="AB255" s="231"/>
      <c r="AC255" s="231"/>
      <c r="AD255" s="231"/>
      <c r="AE255" s="231"/>
      <c r="AF255" s="231"/>
      <c r="AG255" s="231"/>
      <c r="AH255" s="231"/>
    </row>
    <row r="256" spans="1:34" s="203" customFormat="1">
      <c r="A256" s="652">
        <v>12</v>
      </c>
      <c r="B256" s="47" t="s">
        <v>201</v>
      </c>
      <c r="C256" s="47"/>
      <c r="D256" s="47"/>
      <c r="E256" s="176">
        <v>783</v>
      </c>
      <c r="F256" s="136">
        <v>806</v>
      </c>
      <c r="G256" s="118"/>
      <c r="H256" s="177">
        <v>803</v>
      </c>
      <c r="I256" s="260"/>
      <c r="J256" s="231"/>
      <c r="K256" s="231"/>
      <c r="L256" s="231"/>
      <c r="M256" s="231"/>
      <c r="N256" s="231"/>
      <c r="O256" s="231"/>
      <c r="P256" s="231"/>
      <c r="Q256" s="231"/>
      <c r="R256" s="231"/>
      <c r="S256" s="231"/>
      <c r="T256" s="231"/>
      <c r="U256" s="231"/>
      <c r="V256" s="231"/>
      <c r="W256" s="231"/>
      <c r="X256" s="231"/>
      <c r="Y256" s="231"/>
      <c r="Z256" s="231"/>
      <c r="AA256" s="231"/>
      <c r="AB256" s="231"/>
      <c r="AC256" s="231"/>
      <c r="AD256" s="231"/>
      <c r="AE256" s="231"/>
      <c r="AF256" s="231"/>
      <c r="AG256" s="231"/>
      <c r="AH256" s="231"/>
    </row>
    <row r="257" spans="1:34" s="203" customFormat="1">
      <c r="A257" s="124">
        <v>13</v>
      </c>
      <c r="B257" s="94" t="s">
        <v>202</v>
      </c>
      <c r="C257" s="94"/>
      <c r="D257" s="94"/>
      <c r="E257" s="159">
        <v>4035</v>
      </c>
      <c r="F257" s="61">
        <f>F242+F247+F254+F256</f>
        <v>4116</v>
      </c>
      <c r="G257" s="118"/>
      <c r="H257" s="61">
        <f>H242+H247+H254+H256</f>
        <v>4092</v>
      </c>
      <c r="I257" s="21"/>
      <c r="J257" s="231"/>
      <c r="K257" s="231"/>
      <c r="L257" s="231"/>
      <c r="M257" s="231"/>
      <c r="N257" s="231"/>
      <c r="O257" s="231"/>
      <c r="P257" s="231"/>
      <c r="Q257" s="231"/>
      <c r="R257" s="231"/>
      <c r="S257" s="231"/>
      <c r="T257" s="231"/>
      <c r="U257" s="231"/>
      <c r="V257" s="231"/>
      <c r="W257" s="231"/>
      <c r="X257" s="231"/>
      <c r="Y257" s="231"/>
      <c r="Z257" s="231"/>
      <c r="AA257" s="231"/>
      <c r="AB257" s="231"/>
      <c r="AC257" s="231"/>
      <c r="AD257" s="231"/>
      <c r="AE257" s="231"/>
      <c r="AF257" s="231"/>
      <c r="AG257" s="231"/>
      <c r="AH257" s="231"/>
    </row>
    <row r="258" spans="1:34" s="203" customFormat="1">
      <c r="A258" s="207"/>
      <c r="B258" s="207"/>
      <c r="C258" s="207"/>
      <c r="D258" s="208"/>
      <c r="E258" s="208"/>
      <c r="F258" s="207"/>
      <c r="G258" s="207"/>
      <c r="H258" s="207"/>
      <c r="I258" s="21"/>
      <c r="J258" s="231"/>
      <c r="K258" s="231"/>
      <c r="L258" s="231"/>
      <c r="M258" s="231"/>
      <c r="N258" s="231"/>
      <c r="O258" s="231"/>
      <c r="P258" s="231"/>
      <c r="Q258" s="231"/>
      <c r="R258" s="231"/>
      <c r="S258" s="231"/>
      <c r="T258" s="231"/>
      <c r="U258" s="231"/>
      <c r="V258" s="231"/>
      <c r="W258" s="231"/>
      <c r="X258" s="231"/>
      <c r="Y258" s="231"/>
      <c r="Z258" s="231"/>
      <c r="AA258" s="231"/>
      <c r="AB258" s="231"/>
      <c r="AC258" s="231"/>
      <c r="AD258" s="231"/>
      <c r="AE258" s="231"/>
      <c r="AF258" s="231"/>
      <c r="AG258" s="231"/>
      <c r="AH258" s="231"/>
    </row>
    <row r="259" spans="1:34" s="203" customFormat="1">
      <c r="A259" s="23"/>
      <c r="B259" s="207"/>
      <c r="C259" s="207"/>
      <c r="D259" s="207"/>
      <c r="E259" s="207"/>
      <c r="F259" s="207"/>
      <c r="G259" s="207"/>
      <c r="H259" s="21"/>
      <c r="I259" s="21"/>
      <c r="J259" s="231"/>
      <c r="K259" s="231"/>
      <c r="L259" s="231"/>
      <c r="M259" s="231"/>
      <c r="N259" s="231"/>
      <c r="O259" s="231"/>
      <c r="P259" s="231"/>
      <c r="Q259" s="231"/>
      <c r="R259" s="231"/>
      <c r="S259" s="231"/>
      <c r="T259" s="231"/>
      <c r="U259" s="231"/>
      <c r="V259" s="231"/>
      <c r="W259" s="231"/>
      <c r="X259" s="231"/>
      <c r="Y259" s="231"/>
      <c r="Z259" s="231"/>
      <c r="AA259" s="231"/>
      <c r="AB259" s="231"/>
      <c r="AC259" s="231"/>
      <c r="AD259" s="231"/>
      <c r="AE259" s="231"/>
      <c r="AF259" s="231"/>
      <c r="AG259" s="231"/>
      <c r="AH259" s="231"/>
    </row>
    <row r="260" spans="1:34" s="203" customFormat="1">
      <c r="A260" s="148"/>
      <c r="B260" s="29"/>
      <c r="C260" s="29"/>
      <c r="D260" s="172"/>
      <c r="E260" s="152"/>
      <c r="F260" s="29"/>
      <c r="G260" s="29"/>
      <c r="H260" s="131" t="s">
        <v>27</v>
      </c>
      <c r="I260" s="21"/>
      <c r="J260" s="231"/>
      <c r="K260" s="231"/>
      <c r="L260" s="231"/>
      <c r="M260" s="231"/>
      <c r="N260" s="231"/>
      <c r="O260" s="231"/>
      <c r="P260" s="231"/>
      <c r="Q260" s="231"/>
      <c r="R260" s="231"/>
      <c r="S260" s="231"/>
      <c r="T260" s="231"/>
      <c r="U260" s="231"/>
      <c r="V260" s="231"/>
      <c r="W260" s="231"/>
      <c r="X260" s="231"/>
      <c r="Y260" s="231"/>
      <c r="Z260" s="231"/>
      <c r="AA260" s="231"/>
      <c r="AB260" s="231"/>
      <c r="AC260" s="231"/>
      <c r="AD260" s="231"/>
      <c r="AE260" s="231"/>
      <c r="AF260" s="231"/>
      <c r="AG260" s="231"/>
      <c r="AH260" s="231"/>
    </row>
    <row r="261" spans="1:34" s="203" customFormat="1" ht="12.75" customHeight="1">
      <c r="A261" s="106" t="s">
        <v>15</v>
      </c>
      <c r="B261" s="164"/>
      <c r="C261" s="164"/>
      <c r="D261" s="164"/>
      <c r="E261" s="856" t="s">
        <v>377</v>
      </c>
      <c r="F261" s="856" t="s">
        <v>402</v>
      </c>
      <c r="G261" s="130"/>
      <c r="H261" s="856" t="s">
        <v>403</v>
      </c>
      <c r="I261" s="21"/>
      <c r="J261" s="231"/>
      <c r="K261" s="231"/>
      <c r="L261" s="231"/>
      <c r="M261" s="231"/>
      <c r="N261" s="231"/>
      <c r="O261" s="231"/>
      <c r="P261" s="231"/>
      <c r="Q261" s="231"/>
      <c r="R261" s="231"/>
      <c r="S261" s="231"/>
      <c r="T261" s="231"/>
      <c r="U261" s="231"/>
      <c r="V261" s="231"/>
      <c r="W261" s="231"/>
      <c r="X261" s="231"/>
      <c r="Y261" s="231"/>
      <c r="Z261" s="231"/>
      <c r="AA261" s="231"/>
      <c r="AB261" s="231"/>
      <c r="AC261" s="231"/>
      <c r="AD261" s="231"/>
      <c r="AE261" s="231"/>
      <c r="AF261" s="231"/>
      <c r="AG261" s="231"/>
      <c r="AH261" s="231"/>
    </row>
    <row r="262" spans="1:34" s="203" customFormat="1">
      <c r="A262" s="165"/>
      <c r="B262" s="47"/>
      <c r="C262" s="47"/>
      <c r="D262" s="47"/>
      <c r="E262" s="859"/>
      <c r="F262" s="859"/>
      <c r="G262" s="130"/>
      <c r="H262" s="859"/>
      <c r="I262" s="21"/>
      <c r="J262" s="231"/>
      <c r="K262" s="231"/>
      <c r="L262" s="231"/>
      <c r="M262" s="231"/>
      <c r="N262" s="231"/>
      <c r="O262" s="231"/>
      <c r="P262" s="231"/>
      <c r="Q262" s="231"/>
      <c r="R262" s="231"/>
      <c r="S262" s="231"/>
      <c r="T262" s="231"/>
      <c r="U262" s="231"/>
      <c r="V262" s="231"/>
      <c r="W262" s="231"/>
      <c r="X262" s="231"/>
      <c r="Y262" s="231"/>
      <c r="Z262" s="231"/>
      <c r="AA262" s="231"/>
      <c r="AB262" s="231"/>
      <c r="AC262" s="231"/>
      <c r="AD262" s="231"/>
      <c r="AE262" s="231"/>
      <c r="AF262" s="231"/>
      <c r="AG262" s="231"/>
      <c r="AH262" s="231"/>
    </row>
    <row r="263" spans="1:34" s="203" customFormat="1">
      <c r="A263" s="109"/>
      <c r="B263" s="174"/>
      <c r="C263" s="174"/>
      <c r="D263" s="174"/>
      <c r="E263" s="859"/>
      <c r="F263" s="859"/>
      <c r="G263" s="130"/>
      <c r="H263" s="859"/>
      <c r="I263" s="21"/>
      <c r="J263" s="231"/>
      <c r="K263" s="231"/>
      <c r="L263" s="231"/>
      <c r="M263" s="231"/>
      <c r="N263" s="231"/>
      <c r="O263" s="231"/>
      <c r="P263" s="231"/>
      <c r="Q263" s="231"/>
      <c r="R263" s="231"/>
      <c r="S263" s="231"/>
      <c r="T263" s="231"/>
      <c r="U263" s="231"/>
      <c r="V263" s="231"/>
      <c r="W263" s="231"/>
      <c r="X263" s="231"/>
      <c r="Y263" s="231"/>
      <c r="Z263" s="231"/>
      <c r="AA263" s="231"/>
      <c r="AB263" s="231"/>
      <c r="AC263" s="231"/>
      <c r="AD263" s="231"/>
      <c r="AE263" s="231"/>
      <c r="AF263" s="231"/>
      <c r="AG263" s="231"/>
      <c r="AH263" s="231"/>
    </row>
    <row r="264" spans="1:34" s="203" customFormat="1">
      <c r="A264" s="154" t="s">
        <v>203</v>
      </c>
      <c r="B264" s="47"/>
      <c r="C264" s="47"/>
      <c r="D264" s="47"/>
      <c r="E264" s="859"/>
      <c r="F264" s="859"/>
      <c r="G264" s="130"/>
      <c r="H264" s="859"/>
      <c r="I264" s="21"/>
      <c r="J264" s="231"/>
      <c r="K264" s="231"/>
      <c r="L264" s="231"/>
      <c r="M264" s="231"/>
      <c r="N264" s="231"/>
      <c r="O264" s="231"/>
      <c r="P264" s="231"/>
      <c r="Q264" s="231"/>
      <c r="R264" s="231"/>
      <c r="S264" s="231"/>
      <c r="T264" s="231"/>
      <c r="U264" s="231"/>
      <c r="V264" s="231"/>
      <c r="W264" s="231"/>
      <c r="X264" s="231"/>
      <c r="Y264" s="231"/>
      <c r="Z264" s="231"/>
      <c r="AA264" s="231"/>
      <c r="AB264" s="231"/>
      <c r="AC264" s="231"/>
      <c r="AD264" s="231"/>
      <c r="AE264" s="231"/>
      <c r="AF264" s="231"/>
      <c r="AG264" s="231"/>
      <c r="AH264" s="231"/>
    </row>
    <row r="265" spans="1:34" s="203" customFormat="1">
      <c r="A265" s="109" t="s">
        <v>83</v>
      </c>
      <c r="B265" s="174"/>
      <c r="C265" s="174"/>
      <c r="D265" s="174"/>
      <c r="E265" s="860"/>
      <c r="F265" s="860"/>
      <c r="G265" s="130"/>
      <c r="H265" s="860"/>
      <c r="I265" s="21"/>
      <c r="J265" s="231"/>
      <c r="K265" s="231"/>
      <c r="L265" s="231"/>
      <c r="M265" s="231"/>
      <c r="N265" s="231"/>
      <c r="O265" s="231"/>
      <c r="P265" s="231"/>
      <c r="Q265" s="231"/>
      <c r="R265" s="231"/>
      <c r="S265" s="231"/>
      <c r="T265" s="231"/>
      <c r="U265" s="231"/>
      <c r="V265" s="231"/>
      <c r="W265" s="231"/>
      <c r="X265" s="231"/>
      <c r="Y265" s="231"/>
      <c r="Z265" s="231"/>
      <c r="AA265" s="231"/>
      <c r="AB265" s="231"/>
      <c r="AC265" s="231"/>
      <c r="AD265" s="231"/>
      <c r="AE265" s="231"/>
      <c r="AF265" s="231"/>
      <c r="AG265" s="231"/>
      <c r="AH265" s="231"/>
    </row>
    <row r="266" spans="1:34" s="203" customFormat="1">
      <c r="A266" s="110" t="s">
        <v>84</v>
      </c>
      <c r="B266" s="116"/>
      <c r="C266" s="116"/>
      <c r="D266" s="116"/>
      <c r="E266" s="178"/>
      <c r="F266" s="146"/>
      <c r="G266" s="118"/>
      <c r="H266" s="146"/>
      <c r="I266" s="21"/>
      <c r="J266" s="231"/>
      <c r="K266" s="231"/>
      <c r="L266" s="231"/>
      <c r="M266" s="231"/>
      <c r="N266" s="231"/>
      <c r="O266" s="231"/>
      <c r="P266" s="231"/>
      <c r="Q266" s="231"/>
      <c r="R266" s="231"/>
      <c r="S266" s="231"/>
      <c r="T266" s="231"/>
      <c r="U266" s="231"/>
      <c r="V266" s="231"/>
      <c r="W266" s="231"/>
      <c r="X266" s="231"/>
      <c r="Y266" s="231"/>
      <c r="Z266" s="231"/>
      <c r="AA266" s="231"/>
      <c r="AB266" s="231"/>
      <c r="AC266" s="231"/>
      <c r="AD266" s="231"/>
      <c r="AE266" s="231"/>
      <c r="AF266" s="231"/>
      <c r="AG266" s="231"/>
      <c r="AH266" s="231"/>
    </row>
    <row r="267" spans="1:34" s="203" customFormat="1">
      <c r="A267" s="120">
        <v>1</v>
      </c>
      <c r="B267" s="47" t="s">
        <v>204</v>
      </c>
      <c r="C267" s="47"/>
      <c r="D267" s="47"/>
      <c r="E267" s="74">
        <v>9</v>
      </c>
      <c r="F267" s="52">
        <v>7</v>
      </c>
      <c r="G267" s="118"/>
      <c r="H267" s="122">
        <v>10</v>
      </c>
      <c r="I267" s="21"/>
      <c r="J267" s="231"/>
      <c r="K267" s="231"/>
      <c r="L267" s="231"/>
      <c r="M267" s="231"/>
      <c r="N267" s="231"/>
      <c r="O267" s="231"/>
      <c r="P267" s="231"/>
      <c r="Q267" s="231"/>
      <c r="R267" s="231"/>
      <c r="S267" s="231"/>
      <c r="T267" s="231"/>
      <c r="U267" s="231"/>
      <c r="V267" s="231"/>
      <c r="W267" s="231"/>
      <c r="X267" s="231"/>
      <c r="Y267" s="231"/>
      <c r="Z267" s="231"/>
      <c r="AA267" s="231"/>
      <c r="AB267" s="231"/>
      <c r="AC267" s="231"/>
      <c r="AD267" s="231"/>
      <c r="AE267" s="231"/>
      <c r="AF267" s="231"/>
      <c r="AG267" s="231"/>
      <c r="AH267" s="231"/>
    </row>
    <row r="268" spans="1:34" s="203" customFormat="1">
      <c r="A268" s="652">
        <v>2</v>
      </c>
      <c r="B268" s="166" t="s">
        <v>205</v>
      </c>
      <c r="C268" s="166"/>
      <c r="D268" s="47"/>
      <c r="E268" s="114">
        <v>0</v>
      </c>
      <c r="F268" s="52">
        <v>0</v>
      </c>
      <c r="G268" s="118"/>
      <c r="H268" s="122">
        <v>0</v>
      </c>
      <c r="I268" s="21"/>
      <c r="J268" s="231"/>
      <c r="K268" s="231"/>
      <c r="L268" s="231"/>
      <c r="M268" s="231"/>
      <c r="N268" s="231"/>
      <c r="O268" s="231"/>
      <c r="P268" s="231"/>
      <c r="Q268" s="231"/>
      <c r="R268" s="231"/>
      <c r="S268" s="231"/>
      <c r="T268" s="231"/>
      <c r="U268" s="231"/>
      <c r="V268" s="231"/>
      <c r="W268" s="231"/>
      <c r="X268" s="231"/>
      <c r="Y268" s="231"/>
      <c r="Z268" s="231"/>
      <c r="AA268" s="231"/>
      <c r="AB268" s="231"/>
      <c r="AC268" s="231"/>
      <c r="AD268" s="231"/>
      <c r="AE268" s="231"/>
      <c r="AF268" s="231"/>
      <c r="AG268" s="231"/>
      <c r="AH268" s="231"/>
    </row>
    <row r="269" spans="1:34" s="203" customFormat="1">
      <c r="A269" s="120">
        <v>3</v>
      </c>
      <c r="B269" s="47" t="s">
        <v>206</v>
      </c>
      <c r="C269" s="47"/>
      <c r="D269" s="168"/>
      <c r="E269" s="114">
        <v>0</v>
      </c>
      <c r="F269" s="52">
        <v>0</v>
      </c>
      <c r="G269" s="118"/>
      <c r="H269" s="122">
        <v>0</v>
      </c>
      <c r="I269" s="21"/>
      <c r="J269" s="231"/>
      <c r="K269" s="231"/>
      <c r="L269" s="231"/>
      <c r="M269" s="231"/>
      <c r="N269" s="231"/>
      <c r="O269" s="231"/>
      <c r="P269" s="231"/>
      <c r="Q269" s="231"/>
      <c r="R269" s="231"/>
      <c r="S269" s="231"/>
      <c r="T269" s="231"/>
      <c r="U269" s="231"/>
      <c r="V269" s="231"/>
      <c r="W269" s="231"/>
      <c r="X269" s="231"/>
      <c r="Y269" s="231"/>
      <c r="Z269" s="231"/>
      <c r="AA269" s="231"/>
      <c r="AB269" s="231"/>
      <c r="AC269" s="231"/>
      <c r="AD269" s="231"/>
      <c r="AE269" s="231"/>
      <c r="AF269" s="231"/>
      <c r="AG269" s="231"/>
      <c r="AH269" s="231"/>
    </row>
    <row r="270" spans="1:34" s="203" customFormat="1">
      <c r="A270" s="652">
        <v>4</v>
      </c>
      <c r="B270" s="47" t="s">
        <v>207</v>
      </c>
      <c r="C270" s="47"/>
      <c r="D270" s="116"/>
      <c r="E270" s="114">
        <v>0</v>
      </c>
      <c r="F270" s="52">
        <v>0</v>
      </c>
      <c r="G270" s="118"/>
      <c r="H270" s="122">
        <v>0</v>
      </c>
      <c r="I270" s="21"/>
      <c r="J270" s="231"/>
      <c r="K270" s="231"/>
      <c r="L270" s="231"/>
      <c r="M270" s="231"/>
      <c r="N270" s="231"/>
      <c r="O270" s="231"/>
      <c r="P270" s="231"/>
      <c r="Q270" s="231"/>
      <c r="R270" s="231"/>
      <c r="S270" s="231"/>
      <c r="T270" s="231"/>
      <c r="U270" s="231"/>
      <c r="V270" s="231"/>
      <c r="W270" s="231"/>
      <c r="X270" s="231"/>
      <c r="Y270" s="231"/>
      <c r="Z270" s="231"/>
      <c r="AA270" s="231"/>
      <c r="AB270" s="231"/>
      <c r="AC270" s="231"/>
      <c r="AD270" s="231"/>
      <c r="AE270" s="231"/>
      <c r="AF270" s="231"/>
      <c r="AG270" s="231"/>
      <c r="AH270" s="231"/>
    </row>
    <row r="271" spans="1:34" s="203" customFormat="1">
      <c r="A271" s="120">
        <v>5</v>
      </c>
      <c r="B271" s="47" t="s">
        <v>208</v>
      </c>
      <c r="C271" s="47"/>
      <c r="D271" s="47"/>
      <c r="E271" s="114">
        <v>63</v>
      </c>
      <c r="F271" s="52">
        <v>82</v>
      </c>
      <c r="G271" s="118"/>
      <c r="H271" s="122">
        <v>68</v>
      </c>
      <c r="I271" s="21"/>
      <c r="J271" s="231"/>
      <c r="K271" s="231"/>
      <c r="L271" s="231"/>
      <c r="M271" s="231"/>
      <c r="N271" s="231"/>
      <c r="O271" s="231"/>
      <c r="P271" s="231"/>
      <c r="Q271" s="231"/>
      <c r="R271" s="231"/>
      <c r="S271" s="231"/>
      <c r="T271" s="231"/>
      <c r="U271" s="231"/>
      <c r="V271" s="231"/>
      <c r="W271" s="231"/>
      <c r="X271" s="231"/>
      <c r="Y271" s="231"/>
      <c r="Z271" s="231"/>
      <c r="AA271" s="231"/>
      <c r="AB271" s="231"/>
      <c r="AC271" s="231"/>
      <c r="AD271" s="231"/>
      <c r="AE271" s="231"/>
      <c r="AF271" s="231"/>
      <c r="AG271" s="231"/>
      <c r="AH271" s="231"/>
    </row>
    <row r="272" spans="1:34" s="203" customFormat="1">
      <c r="A272" s="652">
        <v>6</v>
      </c>
      <c r="B272" s="47" t="s">
        <v>209</v>
      </c>
      <c r="C272" s="47"/>
      <c r="D272" s="47"/>
      <c r="E272" s="114">
        <v>87</v>
      </c>
      <c r="F272" s="52">
        <v>114</v>
      </c>
      <c r="G272" s="118"/>
      <c r="H272" s="122">
        <v>94</v>
      </c>
      <c r="I272" s="21"/>
      <c r="J272" s="231"/>
      <c r="K272" s="231"/>
      <c r="L272" s="231"/>
      <c r="M272" s="231"/>
      <c r="N272" s="231"/>
      <c r="O272" s="231"/>
      <c r="P272" s="231"/>
      <c r="Q272" s="231"/>
      <c r="R272" s="231"/>
      <c r="S272" s="231"/>
      <c r="T272" s="231"/>
      <c r="U272" s="231"/>
      <c r="V272" s="231"/>
      <c r="W272" s="231"/>
      <c r="X272" s="231"/>
      <c r="Y272" s="231"/>
      <c r="Z272" s="231"/>
      <c r="AA272" s="231"/>
      <c r="AB272" s="231"/>
      <c r="AC272" s="231"/>
      <c r="AD272" s="231"/>
      <c r="AE272" s="231"/>
      <c r="AF272" s="231"/>
      <c r="AG272" s="231"/>
      <c r="AH272" s="231"/>
    </row>
    <row r="273" spans="1:34" s="203" customFormat="1">
      <c r="A273" s="120">
        <v>7</v>
      </c>
      <c r="B273" s="47" t="s">
        <v>210</v>
      </c>
      <c r="C273" s="47"/>
      <c r="D273" s="47"/>
      <c r="E273" s="114">
        <v>786</v>
      </c>
      <c r="F273" s="52">
        <v>765</v>
      </c>
      <c r="G273" s="118"/>
      <c r="H273" s="122">
        <v>794</v>
      </c>
      <c r="I273" s="21"/>
      <c r="J273" s="231"/>
      <c r="K273" s="231"/>
      <c r="L273" s="231"/>
      <c r="M273" s="231"/>
      <c r="N273" s="231"/>
      <c r="O273" s="231"/>
      <c r="P273" s="231"/>
      <c r="Q273" s="231"/>
      <c r="R273" s="231"/>
      <c r="S273" s="231"/>
      <c r="T273" s="231"/>
      <c r="U273" s="231"/>
      <c r="V273" s="231"/>
      <c r="W273" s="231"/>
      <c r="X273" s="231"/>
      <c r="Y273" s="231"/>
      <c r="Z273" s="231"/>
      <c r="AA273" s="231"/>
      <c r="AB273" s="231"/>
      <c r="AC273" s="231"/>
      <c r="AD273" s="231"/>
      <c r="AE273" s="231"/>
      <c r="AF273" s="231"/>
      <c r="AG273" s="231"/>
      <c r="AH273" s="231"/>
    </row>
    <row r="274" spans="1:34" s="203" customFormat="1">
      <c r="A274" s="652">
        <v>8</v>
      </c>
      <c r="B274" s="47" t="s">
        <v>211</v>
      </c>
      <c r="C274" s="47"/>
      <c r="D274" s="47"/>
      <c r="E274" s="114">
        <v>0</v>
      </c>
      <c r="F274" s="52">
        <v>0</v>
      </c>
      <c r="G274" s="118"/>
      <c r="H274" s="122">
        <v>0</v>
      </c>
      <c r="I274" s="21"/>
      <c r="J274" s="231"/>
      <c r="K274" s="231"/>
      <c r="L274" s="231"/>
      <c r="M274" s="231"/>
      <c r="N274" s="231"/>
      <c r="O274" s="231"/>
      <c r="P274" s="231"/>
      <c r="Q274" s="231"/>
      <c r="R274" s="231"/>
      <c r="S274" s="231"/>
      <c r="T274" s="231"/>
      <c r="U274" s="231"/>
      <c r="V274" s="231"/>
      <c r="W274" s="231"/>
      <c r="X274" s="231"/>
      <c r="Y274" s="231"/>
      <c r="Z274" s="231"/>
      <c r="AA274" s="231"/>
      <c r="AB274" s="231"/>
      <c r="AC274" s="231"/>
      <c r="AD274" s="231"/>
      <c r="AE274" s="231"/>
      <c r="AF274" s="231"/>
      <c r="AG274" s="231"/>
      <c r="AH274" s="231"/>
    </row>
    <row r="275" spans="1:34" s="203" customFormat="1">
      <c r="A275" s="120">
        <v>9</v>
      </c>
      <c r="B275" s="47" t="s">
        <v>212</v>
      </c>
      <c r="C275" s="47"/>
      <c r="D275" s="47"/>
      <c r="E275" s="114">
        <v>131</v>
      </c>
      <c r="F275" s="52">
        <v>116</v>
      </c>
      <c r="G275" s="118"/>
      <c r="H275" s="122">
        <v>135</v>
      </c>
      <c r="I275" s="21"/>
      <c r="J275" s="231"/>
      <c r="K275" s="231"/>
      <c r="L275" s="231"/>
      <c r="M275" s="231"/>
      <c r="N275" s="231"/>
      <c r="O275" s="231"/>
      <c r="P275" s="231"/>
      <c r="Q275" s="231"/>
      <c r="R275" s="231"/>
      <c r="S275" s="231"/>
      <c r="T275" s="231"/>
      <c r="U275" s="231"/>
      <c r="V275" s="231"/>
      <c r="W275" s="231"/>
      <c r="X275" s="231"/>
      <c r="Y275" s="231"/>
      <c r="Z275" s="231"/>
      <c r="AA275" s="231"/>
      <c r="AB275" s="231"/>
      <c r="AC275" s="231"/>
      <c r="AD275" s="231"/>
      <c r="AE275" s="231"/>
      <c r="AF275" s="231"/>
      <c r="AG275" s="231"/>
      <c r="AH275" s="231"/>
    </row>
    <row r="276" spans="1:34" s="203" customFormat="1">
      <c r="A276" s="652">
        <v>10</v>
      </c>
      <c r="B276" s="47" t="s">
        <v>213</v>
      </c>
      <c r="C276" s="47"/>
      <c r="D276" s="47"/>
      <c r="E276" s="114">
        <v>395</v>
      </c>
      <c r="F276" s="52">
        <v>334</v>
      </c>
      <c r="G276" s="118"/>
      <c r="H276" s="99">
        <v>433</v>
      </c>
      <c r="I276" s="21"/>
      <c r="J276" s="231"/>
      <c r="K276" s="231"/>
      <c r="L276" s="231"/>
      <c r="M276" s="231"/>
      <c r="N276" s="231"/>
      <c r="O276" s="231"/>
      <c r="P276" s="231"/>
      <c r="Q276" s="231"/>
      <c r="R276" s="231"/>
      <c r="S276" s="231"/>
      <c r="T276" s="231"/>
      <c r="U276" s="231"/>
      <c r="V276" s="231"/>
      <c r="W276" s="231"/>
      <c r="X276" s="231"/>
      <c r="Y276" s="231"/>
      <c r="Z276" s="231"/>
      <c r="AA276" s="231"/>
      <c r="AB276" s="231"/>
      <c r="AC276" s="231"/>
      <c r="AD276" s="231"/>
      <c r="AE276" s="231"/>
      <c r="AF276" s="231"/>
      <c r="AG276" s="231"/>
      <c r="AH276" s="231"/>
    </row>
    <row r="277" spans="1:34" s="203" customFormat="1">
      <c r="A277" s="124">
        <v>11</v>
      </c>
      <c r="B277" s="94" t="s">
        <v>214</v>
      </c>
      <c r="C277" s="94"/>
      <c r="D277" s="94"/>
      <c r="E277" s="159">
        <v>1471</v>
      </c>
      <c r="F277" s="61">
        <f>SUM(F267:F276)</f>
        <v>1418</v>
      </c>
      <c r="G277" s="118"/>
      <c r="H277" s="61">
        <f>SUM(H267:H276)</f>
        <v>1534</v>
      </c>
      <c r="I277" s="21"/>
      <c r="J277" s="231"/>
      <c r="K277" s="231"/>
      <c r="L277" s="231"/>
      <c r="M277" s="231"/>
      <c r="N277" s="231"/>
      <c r="O277" s="231"/>
      <c r="P277" s="231"/>
      <c r="Q277" s="231"/>
      <c r="R277" s="231"/>
      <c r="S277" s="231"/>
      <c r="T277" s="231"/>
      <c r="U277" s="231"/>
      <c r="V277" s="231"/>
      <c r="W277" s="231"/>
      <c r="X277" s="231"/>
      <c r="Y277" s="231"/>
      <c r="Z277" s="231"/>
      <c r="AA277" s="231"/>
      <c r="AB277" s="231"/>
      <c r="AC277" s="231"/>
      <c r="AD277" s="231"/>
      <c r="AE277" s="231"/>
      <c r="AF277" s="231"/>
      <c r="AG277" s="231"/>
      <c r="AH277" s="231"/>
    </row>
    <row r="278" spans="1:34" s="203" customFormat="1">
      <c r="A278" s="207"/>
      <c r="B278" s="207"/>
      <c r="C278" s="207"/>
      <c r="D278" s="207"/>
      <c r="E278" s="207"/>
      <c r="F278" s="207"/>
      <c r="G278" s="207"/>
      <c r="H278" s="207"/>
      <c r="I278" s="21"/>
      <c r="J278" s="231"/>
      <c r="K278" s="231"/>
      <c r="L278" s="231"/>
      <c r="M278" s="231"/>
      <c r="N278" s="231"/>
      <c r="O278" s="231"/>
      <c r="P278" s="231"/>
      <c r="Q278" s="231"/>
      <c r="R278" s="231"/>
      <c r="S278" s="231"/>
      <c r="T278" s="231"/>
      <c r="U278" s="231"/>
      <c r="V278" s="231"/>
      <c r="W278" s="231"/>
      <c r="X278" s="231"/>
      <c r="Y278" s="231"/>
      <c r="Z278" s="231"/>
      <c r="AA278" s="231"/>
      <c r="AB278" s="231"/>
      <c r="AC278" s="231"/>
      <c r="AD278" s="231"/>
      <c r="AE278" s="231"/>
      <c r="AF278" s="231"/>
      <c r="AG278" s="231"/>
      <c r="AH278" s="231"/>
    </row>
    <row r="279" spans="1:34" s="203" customFormat="1">
      <c r="A279" s="207"/>
      <c r="B279" s="207"/>
      <c r="C279" s="207"/>
      <c r="D279" s="207"/>
      <c r="E279" s="207"/>
      <c r="F279" s="207"/>
      <c r="G279" s="207"/>
      <c r="H279" s="131" t="s">
        <v>27</v>
      </c>
      <c r="I279" s="21"/>
      <c r="J279" s="231"/>
      <c r="K279" s="231"/>
      <c r="L279" s="231"/>
      <c r="M279" s="231"/>
      <c r="N279" s="231"/>
      <c r="O279" s="231"/>
      <c r="P279" s="231"/>
      <c r="Q279" s="231"/>
      <c r="R279" s="231"/>
      <c r="S279" s="231"/>
      <c r="T279" s="231"/>
      <c r="U279" s="231"/>
      <c r="V279" s="231"/>
      <c r="W279" s="231"/>
      <c r="X279" s="231"/>
      <c r="Y279" s="231"/>
      <c r="Z279" s="231"/>
      <c r="AA279" s="231"/>
      <c r="AB279" s="231"/>
      <c r="AC279" s="231"/>
      <c r="AD279" s="231"/>
      <c r="AE279" s="231"/>
      <c r="AF279" s="231"/>
      <c r="AG279" s="231"/>
      <c r="AH279" s="231"/>
    </row>
    <row r="280" spans="1:34" s="203" customFormat="1" ht="12.75" customHeight="1">
      <c r="A280" s="106" t="s">
        <v>18</v>
      </c>
      <c r="B280" s="164"/>
      <c r="C280" s="164"/>
      <c r="D280" s="164"/>
      <c r="E280" s="856" t="s">
        <v>377</v>
      </c>
      <c r="F280" s="856" t="s">
        <v>402</v>
      </c>
      <c r="G280" s="130"/>
      <c r="H280" s="856" t="s">
        <v>403</v>
      </c>
      <c r="I280" s="21"/>
      <c r="J280" s="231"/>
      <c r="K280" s="231"/>
      <c r="L280" s="231"/>
      <c r="M280" s="231"/>
      <c r="N280" s="231"/>
      <c r="O280" s="231"/>
      <c r="P280" s="231"/>
      <c r="Q280" s="231"/>
      <c r="R280" s="231"/>
      <c r="S280" s="231"/>
      <c r="T280" s="231"/>
      <c r="U280" s="231"/>
      <c r="V280" s="231"/>
      <c r="W280" s="231"/>
      <c r="X280" s="231"/>
      <c r="Y280" s="231"/>
      <c r="Z280" s="231"/>
      <c r="AA280" s="231"/>
      <c r="AB280" s="231"/>
      <c r="AC280" s="231"/>
      <c r="AD280" s="231"/>
      <c r="AE280" s="231"/>
      <c r="AF280" s="231"/>
      <c r="AG280" s="231"/>
      <c r="AH280" s="231"/>
    </row>
    <row r="281" spans="1:34" s="203" customFormat="1">
      <c r="A281" s="165"/>
      <c r="B281" s="47"/>
      <c r="C281" s="47"/>
      <c r="D281" s="47"/>
      <c r="E281" s="859"/>
      <c r="F281" s="859"/>
      <c r="G281" s="130"/>
      <c r="H281" s="859"/>
      <c r="I281" s="21"/>
      <c r="J281" s="231"/>
      <c r="K281" s="231"/>
      <c r="L281" s="231"/>
      <c r="M281" s="231"/>
      <c r="N281" s="231"/>
      <c r="O281" s="231"/>
      <c r="P281" s="231"/>
      <c r="Q281" s="231"/>
      <c r="R281" s="231"/>
      <c r="S281" s="231"/>
      <c r="T281" s="231"/>
      <c r="U281" s="231"/>
      <c r="V281" s="231"/>
      <c r="W281" s="231"/>
      <c r="X281" s="231"/>
      <c r="Y281" s="231"/>
      <c r="Z281" s="231"/>
      <c r="AA281" s="231"/>
      <c r="AB281" s="231"/>
      <c r="AC281" s="231"/>
      <c r="AD281" s="231"/>
      <c r="AE281" s="231"/>
      <c r="AF281" s="231"/>
      <c r="AG281" s="231"/>
      <c r="AH281" s="231"/>
    </row>
    <row r="282" spans="1:34" s="203" customFormat="1" ht="21.75" customHeight="1">
      <c r="A282" s="109"/>
      <c r="B282" s="174"/>
      <c r="C282" s="174"/>
      <c r="D282" s="174"/>
      <c r="E282" s="859"/>
      <c r="F282" s="859"/>
      <c r="G282" s="130"/>
      <c r="H282" s="859"/>
      <c r="I282" s="21"/>
      <c r="J282" s="231"/>
      <c r="K282" s="231"/>
      <c r="L282" s="231"/>
      <c r="M282" s="231"/>
      <c r="N282" s="231"/>
      <c r="O282" s="231"/>
      <c r="P282" s="231"/>
      <c r="Q282" s="231"/>
      <c r="R282" s="231"/>
      <c r="S282" s="231"/>
      <c r="T282" s="231"/>
      <c r="U282" s="231"/>
      <c r="V282" s="231"/>
      <c r="W282" s="231"/>
      <c r="X282" s="231"/>
      <c r="Y282" s="231"/>
      <c r="Z282" s="231"/>
      <c r="AA282" s="231"/>
      <c r="AB282" s="231"/>
      <c r="AC282" s="231"/>
      <c r="AD282" s="231"/>
      <c r="AE282" s="231"/>
      <c r="AF282" s="231"/>
      <c r="AG282" s="231"/>
      <c r="AH282" s="231"/>
    </row>
    <row r="283" spans="1:34" s="203" customFormat="1">
      <c r="A283" s="154" t="s">
        <v>215</v>
      </c>
      <c r="B283" s="47"/>
      <c r="C283" s="47"/>
      <c r="D283" s="47"/>
      <c r="E283" s="859"/>
      <c r="F283" s="859"/>
      <c r="G283" s="130"/>
      <c r="H283" s="859"/>
      <c r="I283" s="21"/>
      <c r="J283" s="231"/>
      <c r="K283" s="231"/>
      <c r="L283" s="231"/>
      <c r="M283" s="231"/>
      <c r="N283" s="231"/>
      <c r="O283" s="231"/>
      <c r="P283" s="231"/>
      <c r="Q283" s="231"/>
      <c r="R283" s="231"/>
      <c r="S283" s="231"/>
      <c r="T283" s="231"/>
      <c r="U283" s="231"/>
      <c r="V283" s="231"/>
      <c r="W283" s="231"/>
      <c r="X283" s="231"/>
      <c r="Y283" s="231"/>
      <c r="Z283" s="231"/>
      <c r="AA283" s="231"/>
      <c r="AB283" s="231"/>
      <c r="AC283" s="231"/>
      <c r="AD283" s="231"/>
      <c r="AE283" s="231"/>
      <c r="AF283" s="231"/>
      <c r="AG283" s="231"/>
      <c r="AH283" s="231"/>
    </row>
    <row r="284" spans="1:34" s="203" customFormat="1">
      <c r="A284" s="109" t="s">
        <v>83</v>
      </c>
      <c r="B284" s="174"/>
      <c r="C284" s="174"/>
      <c r="D284" s="174"/>
      <c r="E284" s="860"/>
      <c r="F284" s="860"/>
      <c r="G284" s="130"/>
      <c r="H284" s="860"/>
      <c r="I284" s="21"/>
      <c r="J284" s="231"/>
      <c r="K284" s="231"/>
      <c r="L284" s="231"/>
      <c r="M284" s="231"/>
      <c r="N284" s="231"/>
      <c r="O284" s="231"/>
      <c r="P284" s="231"/>
      <c r="Q284" s="231"/>
      <c r="R284" s="231"/>
      <c r="S284" s="231"/>
      <c r="T284" s="231"/>
      <c r="U284" s="231"/>
      <c r="V284" s="231"/>
      <c r="W284" s="231"/>
      <c r="X284" s="231"/>
      <c r="Y284" s="231"/>
      <c r="Z284" s="231"/>
      <c r="AA284" s="231"/>
      <c r="AB284" s="231"/>
      <c r="AC284" s="231"/>
      <c r="AD284" s="231"/>
      <c r="AE284" s="231"/>
      <c r="AF284" s="231"/>
      <c r="AG284" s="231"/>
      <c r="AH284" s="231"/>
    </row>
    <row r="285" spans="1:34" s="203" customFormat="1">
      <c r="A285" s="110" t="s">
        <v>84</v>
      </c>
      <c r="B285" s="116"/>
      <c r="C285" s="116"/>
      <c r="D285" s="116"/>
      <c r="E285" s="178"/>
      <c r="F285" s="146"/>
      <c r="G285" s="118"/>
      <c r="H285" s="146"/>
      <c r="I285" s="21"/>
      <c r="J285" s="231"/>
      <c r="K285" s="231"/>
      <c r="L285" s="231"/>
      <c r="M285" s="231"/>
      <c r="N285" s="231"/>
      <c r="O285" s="231"/>
      <c r="P285" s="231"/>
      <c r="Q285" s="231"/>
      <c r="R285" s="231"/>
      <c r="S285" s="231"/>
      <c r="T285" s="231"/>
      <c r="U285" s="231"/>
      <c r="V285" s="231"/>
      <c r="W285" s="231"/>
      <c r="X285" s="231"/>
      <c r="Y285" s="231"/>
      <c r="Z285" s="231"/>
      <c r="AA285" s="231"/>
      <c r="AB285" s="231"/>
      <c r="AC285" s="231"/>
      <c r="AD285" s="231"/>
      <c r="AE285" s="231"/>
      <c r="AF285" s="231"/>
      <c r="AG285" s="231"/>
      <c r="AH285" s="231"/>
    </row>
    <row r="286" spans="1:34" s="203" customFormat="1">
      <c r="A286" s="120">
        <v>1</v>
      </c>
      <c r="B286" s="47" t="s">
        <v>216</v>
      </c>
      <c r="C286" s="47"/>
      <c r="D286" s="47"/>
      <c r="E286" s="74">
        <v>159</v>
      </c>
      <c r="F286" s="52">
        <v>165</v>
      </c>
      <c r="G286" s="118"/>
      <c r="H286" s="122">
        <v>160</v>
      </c>
      <c r="I286" s="21"/>
      <c r="J286" s="231"/>
      <c r="K286" s="231"/>
      <c r="L286" s="231"/>
      <c r="M286" s="231"/>
      <c r="N286" s="231"/>
      <c r="O286" s="231"/>
      <c r="P286" s="231"/>
      <c r="Q286" s="231"/>
      <c r="R286" s="231"/>
      <c r="S286" s="231"/>
      <c r="T286" s="231"/>
      <c r="U286" s="231"/>
      <c r="V286" s="231"/>
      <c r="W286" s="231"/>
      <c r="X286" s="231"/>
      <c r="Y286" s="231"/>
      <c r="Z286" s="231"/>
      <c r="AA286" s="231"/>
      <c r="AB286" s="231"/>
      <c r="AC286" s="231"/>
      <c r="AD286" s="231"/>
      <c r="AE286" s="231"/>
      <c r="AF286" s="231"/>
      <c r="AG286" s="231"/>
      <c r="AH286" s="231"/>
    </row>
    <row r="287" spans="1:34" s="203" customFormat="1">
      <c r="A287" s="652">
        <v>2</v>
      </c>
      <c r="B287" s="47" t="s">
        <v>217</v>
      </c>
      <c r="C287" s="47"/>
      <c r="D287" s="47"/>
      <c r="E287" s="114">
        <v>230</v>
      </c>
      <c r="F287" s="52">
        <v>228</v>
      </c>
      <c r="G287" s="118"/>
      <c r="H287" s="122">
        <v>236</v>
      </c>
      <c r="I287" s="21"/>
      <c r="J287" s="231"/>
      <c r="K287" s="231"/>
      <c r="L287" s="231"/>
      <c r="M287" s="231"/>
      <c r="N287" s="231"/>
      <c r="O287" s="231"/>
      <c r="P287" s="231"/>
      <c r="Q287" s="231"/>
      <c r="R287" s="231"/>
      <c r="S287" s="231"/>
      <c r="T287" s="231"/>
      <c r="U287" s="231"/>
      <c r="V287" s="231"/>
      <c r="W287" s="231"/>
      <c r="X287" s="231"/>
      <c r="Y287" s="231"/>
      <c r="Z287" s="231"/>
      <c r="AA287" s="231"/>
      <c r="AB287" s="231"/>
      <c r="AC287" s="231"/>
      <c r="AD287" s="231"/>
      <c r="AE287" s="231"/>
      <c r="AF287" s="231"/>
      <c r="AG287" s="231"/>
      <c r="AH287" s="231"/>
    </row>
    <row r="288" spans="1:34" s="203" customFormat="1">
      <c r="A288" s="120">
        <v>3</v>
      </c>
      <c r="B288" s="90" t="s">
        <v>218</v>
      </c>
      <c r="C288" s="166"/>
      <c r="D288" s="168"/>
      <c r="E288" s="114">
        <v>0</v>
      </c>
      <c r="F288" s="52">
        <v>0</v>
      </c>
      <c r="G288" s="118"/>
      <c r="H288" s="122">
        <v>0</v>
      </c>
      <c r="I288" s="21"/>
      <c r="J288" s="231"/>
      <c r="K288" s="231"/>
      <c r="L288" s="231"/>
      <c r="M288" s="231"/>
      <c r="N288" s="231"/>
      <c r="O288" s="231"/>
      <c r="P288" s="231"/>
      <c r="Q288" s="231"/>
      <c r="R288" s="231"/>
      <c r="S288" s="231"/>
      <c r="T288" s="231"/>
      <c r="U288" s="231"/>
      <c r="V288" s="231"/>
      <c r="W288" s="231"/>
      <c r="X288" s="231"/>
      <c r="Y288" s="231"/>
      <c r="Z288" s="231"/>
      <c r="AA288" s="231"/>
      <c r="AB288" s="231"/>
      <c r="AC288" s="231"/>
      <c r="AD288" s="231"/>
      <c r="AE288" s="231"/>
      <c r="AF288" s="231"/>
      <c r="AG288" s="231"/>
      <c r="AH288" s="231"/>
    </row>
    <row r="289" spans="1:34" s="203" customFormat="1">
      <c r="A289" s="652">
        <v>4</v>
      </c>
      <c r="B289" s="47" t="s">
        <v>219</v>
      </c>
      <c r="C289" s="47"/>
      <c r="D289" s="116"/>
      <c r="E289" s="114">
        <v>112</v>
      </c>
      <c r="F289" s="52">
        <v>99</v>
      </c>
      <c r="G289" s="118"/>
      <c r="H289" s="122">
        <v>115</v>
      </c>
      <c r="I289" s="21"/>
      <c r="J289" s="231"/>
      <c r="K289" s="231"/>
      <c r="L289" s="231"/>
      <c r="M289" s="231"/>
      <c r="N289" s="231"/>
      <c r="O289" s="231"/>
      <c r="P289" s="231"/>
      <c r="Q289" s="231"/>
      <c r="R289" s="231"/>
      <c r="S289" s="231"/>
      <c r="T289" s="231"/>
      <c r="U289" s="231"/>
      <c r="V289" s="231"/>
      <c r="W289" s="231"/>
      <c r="X289" s="231"/>
      <c r="Y289" s="231"/>
      <c r="Z289" s="231"/>
      <c r="AA289" s="231"/>
      <c r="AB289" s="231"/>
      <c r="AC289" s="231"/>
      <c r="AD289" s="231"/>
      <c r="AE289" s="231"/>
      <c r="AF289" s="231"/>
      <c r="AG289" s="231"/>
      <c r="AH289" s="231"/>
    </row>
    <row r="290" spans="1:34" s="203" customFormat="1">
      <c r="A290" s="652">
        <v>5</v>
      </c>
      <c r="B290" s="47" t="s">
        <v>220</v>
      </c>
      <c r="C290" s="47"/>
      <c r="D290" s="47"/>
      <c r="E290" s="114">
        <v>26</v>
      </c>
      <c r="F290" s="52">
        <v>18</v>
      </c>
      <c r="G290" s="118"/>
      <c r="H290" s="122">
        <v>27</v>
      </c>
      <c r="I290" s="21"/>
      <c r="J290" s="231"/>
      <c r="K290" s="231"/>
      <c r="L290" s="231"/>
      <c r="M290" s="231"/>
      <c r="N290" s="231"/>
      <c r="O290" s="231"/>
      <c r="P290" s="231"/>
      <c r="Q290" s="231"/>
      <c r="R290" s="231"/>
      <c r="S290" s="231"/>
      <c r="T290" s="231"/>
      <c r="U290" s="231"/>
      <c r="V290" s="231"/>
      <c r="W290" s="231"/>
      <c r="X290" s="231"/>
      <c r="Y290" s="231"/>
      <c r="Z290" s="231"/>
      <c r="AA290" s="231"/>
      <c r="AB290" s="231"/>
      <c r="AC290" s="231"/>
      <c r="AD290" s="231"/>
      <c r="AE290" s="231"/>
      <c r="AF290" s="231"/>
      <c r="AG290" s="231"/>
      <c r="AH290" s="231"/>
    </row>
    <row r="291" spans="1:34" s="203" customFormat="1">
      <c r="A291" s="120">
        <v>6</v>
      </c>
      <c r="B291" s="47" t="s">
        <v>221</v>
      </c>
      <c r="C291" s="47"/>
      <c r="D291" s="47"/>
      <c r="E291" s="114">
        <v>84</v>
      </c>
      <c r="F291" s="52">
        <v>77</v>
      </c>
      <c r="G291" s="118"/>
      <c r="H291" s="122">
        <v>86</v>
      </c>
      <c r="I291" s="21"/>
      <c r="J291" s="231"/>
      <c r="K291" s="231"/>
      <c r="L291" s="231"/>
      <c r="M291" s="231"/>
      <c r="N291" s="231"/>
      <c r="O291" s="231"/>
      <c r="P291" s="231"/>
      <c r="Q291" s="231"/>
      <c r="R291" s="231"/>
      <c r="S291" s="231"/>
      <c r="T291" s="231"/>
      <c r="U291" s="231"/>
      <c r="V291" s="231"/>
      <c r="W291" s="231"/>
      <c r="X291" s="231"/>
      <c r="Y291" s="231"/>
      <c r="Z291" s="231"/>
      <c r="AA291" s="231"/>
      <c r="AB291" s="231"/>
      <c r="AC291" s="231"/>
      <c r="AD291" s="231"/>
      <c r="AE291" s="231"/>
      <c r="AF291" s="231"/>
      <c r="AG291" s="231"/>
      <c r="AH291" s="231"/>
    </row>
    <row r="292" spans="1:34" s="203" customFormat="1">
      <c r="A292" s="652">
        <v>7</v>
      </c>
      <c r="B292" s="47" t="s">
        <v>222</v>
      </c>
      <c r="C292" s="47"/>
      <c r="D292" s="116"/>
      <c r="E292" s="114">
        <v>111</v>
      </c>
      <c r="F292" s="52">
        <v>111</v>
      </c>
      <c r="G292" s="118"/>
      <c r="H292" s="122">
        <v>132</v>
      </c>
      <c r="I292" s="21"/>
      <c r="J292" s="231"/>
      <c r="K292" s="231"/>
      <c r="L292" s="231"/>
      <c r="M292" s="231"/>
      <c r="N292" s="231"/>
      <c r="O292" s="231"/>
      <c r="P292" s="231"/>
      <c r="Q292" s="231"/>
      <c r="R292" s="231"/>
      <c r="S292" s="231"/>
      <c r="T292" s="231"/>
      <c r="U292" s="231"/>
      <c r="V292" s="231"/>
      <c r="W292" s="231"/>
      <c r="X292" s="231"/>
      <c r="Y292" s="231"/>
      <c r="Z292" s="231"/>
      <c r="AA292" s="231"/>
      <c r="AB292" s="231"/>
      <c r="AC292" s="231"/>
      <c r="AD292" s="231"/>
      <c r="AE292" s="231"/>
      <c r="AF292" s="231"/>
      <c r="AG292" s="231"/>
      <c r="AH292" s="231"/>
    </row>
    <row r="293" spans="1:34" s="203" customFormat="1">
      <c r="A293" s="120">
        <v>8</v>
      </c>
      <c r="B293" s="47" t="s">
        <v>223</v>
      </c>
      <c r="C293" s="47"/>
      <c r="D293" s="116"/>
      <c r="E293" s="114">
        <v>111</v>
      </c>
      <c r="F293" s="52">
        <v>111</v>
      </c>
      <c r="G293" s="118"/>
      <c r="H293" s="122">
        <v>132</v>
      </c>
      <c r="I293" s="21"/>
      <c r="J293" s="231"/>
      <c r="K293" s="231"/>
      <c r="L293" s="231"/>
      <c r="M293" s="231"/>
      <c r="N293" s="231"/>
      <c r="O293" s="231"/>
      <c r="P293" s="231"/>
      <c r="Q293" s="231"/>
      <c r="R293" s="231"/>
      <c r="S293" s="231"/>
      <c r="T293" s="231"/>
      <c r="U293" s="231"/>
      <c r="V293" s="231"/>
      <c r="W293" s="231"/>
      <c r="X293" s="231"/>
      <c r="Y293" s="231"/>
      <c r="Z293" s="231"/>
      <c r="AA293" s="231"/>
      <c r="AB293" s="231"/>
      <c r="AC293" s="231"/>
      <c r="AD293" s="231"/>
      <c r="AE293" s="231"/>
      <c r="AF293" s="231"/>
      <c r="AG293" s="231"/>
      <c r="AH293" s="231"/>
    </row>
    <row r="294" spans="1:34" s="203" customFormat="1">
      <c r="A294" s="652">
        <v>9</v>
      </c>
      <c r="B294" s="47" t="s">
        <v>224</v>
      </c>
      <c r="C294" s="47"/>
      <c r="D294" s="116"/>
      <c r="E294" s="114">
        <v>120</v>
      </c>
      <c r="F294" s="52">
        <v>121</v>
      </c>
      <c r="G294" s="118"/>
      <c r="H294" s="122">
        <v>142</v>
      </c>
      <c r="I294" s="21"/>
      <c r="J294" s="231"/>
      <c r="K294" s="231"/>
      <c r="L294" s="231"/>
      <c r="M294" s="231"/>
      <c r="N294" s="231"/>
      <c r="O294" s="231"/>
      <c r="P294" s="231"/>
      <c r="Q294" s="231"/>
      <c r="R294" s="231"/>
      <c r="S294" s="231"/>
      <c r="T294" s="231"/>
      <c r="U294" s="231"/>
      <c r="V294" s="231"/>
      <c r="W294" s="231"/>
      <c r="X294" s="231"/>
      <c r="Y294" s="231"/>
      <c r="Z294" s="231"/>
      <c r="AA294" s="231"/>
      <c r="AB294" s="231"/>
      <c r="AC294" s="231"/>
      <c r="AD294" s="231"/>
      <c r="AE294" s="231"/>
      <c r="AF294" s="231"/>
      <c r="AG294" s="231"/>
      <c r="AH294" s="231"/>
    </row>
    <row r="295" spans="1:34" s="203" customFormat="1">
      <c r="A295" s="120">
        <v>10</v>
      </c>
      <c r="B295" s="47" t="s">
        <v>225</v>
      </c>
      <c r="C295" s="47"/>
      <c r="D295" s="47"/>
      <c r="E295" s="114">
        <v>20</v>
      </c>
      <c r="F295" s="52">
        <v>20</v>
      </c>
      <c r="G295" s="118"/>
      <c r="H295" s="122">
        <v>20</v>
      </c>
      <c r="I295" s="21"/>
      <c r="J295" s="231"/>
      <c r="K295" s="231"/>
      <c r="L295" s="231"/>
      <c r="M295" s="231"/>
      <c r="N295" s="231"/>
      <c r="O295" s="231"/>
      <c r="P295" s="231"/>
      <c r="Q295" s="231"/>
      <c r="R295" s="231"/>
      <c r="S295" s="231"/>
      <c r="T295" s="231"/>
      <c r="U295" s="231"/>
      <c r="V295" s="231"/>
      <c r="W295" s="231"/>
      <c r="X295" s="231"/>
      <c r="Y295" s="231"/>
      <c r="Z295" s="231"/>
      <c r="AA295" s="231"/>
      <c r="AB295" s="231"/>
      <c r="AC295" s="231"/>
      <c r="AD295" s="231"/>
      <c r="AE295" s="231"/>
      <c r="AF295" s="231"/>
      <c r="AG295" s="231"/>
      <c r="AH295" s="231"/>
    </row>
    <row r="296" spans="1:34" s="203" customFormat="1">
      <c r="A296" s="652">
        <v>11</v>
      </c>
      <c r="B296" s="47" t="s">
        <v>226</v>
      </c>
      <c r="C296" s="47"/>
      <c r="D296" s="47"/>
      <c r="E296" s="114">
        <v>150</v>
      </c>
      <c r="F296" s="52">
        <v>148</v>
      </c>
      <c r="G296" s="118"/>
      <c r="H296" s="122">
        <v>145</v>
      </c>
      <c r="I296" s="21"/>
      <c r="J296" s="231"/>
      <c r="K296" s="231"/>
      <c r="L296" s="231"/>
      <c r="M296" s="231"/>
      <c r="N296" s="231"/>
      <c r="O296" s="231"/>
      <c r="P296" s="231"/>
      <c r="Q296" s="231"/>
      <c r="R296" s="231"/>
      <c r="S296" s="231"/>
      <c r="T296" s="231"/>
      <c r="U296" s="231"/>
      <c r="V296" s="231"/>
      <c r="W296" s="231"/>
      <c r="X296" s="231"/>
      <c r="Y296" s="231"/>
      <c r="Z296" s="231"/>
      <c r="AA296" s="231"/>
      <c r="AB296" s="231"/>
      <c r="AC296" s="231"/>
      <c r="AD296" s="231"/>
      <c r="AE296" s="231"/>
      <c r="AF296" s="231"/>
      <c r="AG296" s="231"/>
      <c r="AH296" s="231"/>
    </row>
    <row r="297" spans="1:34" s="203" customFormat="1">
      <c r="A297" s="120">
        <v>12</v>
      </c>
      <c r="B297" s="47" t="s">
        <v>227</v>
      </c>
      <c r="C297" s="47"/>
      <c r="D297" s="47"/>
      <c r="E297" s="114">
        <v>58</v>
      </c>
      <c r="F297" s="52">
        <v>52</v>
      </c>
      <c r="G297" s="118"/>
      <c r="H297" s="122">
        <v>59</v>
      </c>
      <c r="I297" s="21"/>
      <c r="J297" s="231"/>
      <c r="K297" s="231"/>
      <c r="L297" s="231"/>
      <c r="M297" s="231"/>
      <c r="N297" s="231"/>
      <c r="O297" s="231"/>
      <c r="P297" s="231"/>
      <c r="Q297" s="231"/>
      <c r="R297" s="231"/>
      <c r="S297" s="231"/>
      <c r="T297" s="231"/>
      <c r="U297" s="231"/>
      <c r="V297" s="231"/>
      <c r="W297" s="231"/>
      <c r="X297" s="231"/>
      <c r="Y297" s="231"/>
      <c r="Z297" s="231"/>
      <c r="AA297" s="231"/>
      <c r="AB297" s="231"/>
      <c r="AC297" s="231"/>
      <c r="AD297" s="231"/>
      <c r="AE297" s="231"/>
      <c r="AF297" s="231"/>
      <c r="AG297" s="231"/>
      <c r="AH297" s="231"/>
    </row>
    <row r="298" spans="1:34" s="203" customFormat="1">
      <c r="A298" s="652">
        <v>13</v>
      </c>
      <c r="B298" s="47" t="s">
        <v>228</v>
      </c>
      <c r="C298" s="47"/>
      <c r="D298" s="47"/>
      <c r="E298" s="114">
        <v>5218</v>
      </c>
      <c r="F298" s="52">
        <v>5002</v>
      </c>
      <c r="G298" s="118"/>
      <c r="H298" s="122">
        <v>4353</v>
      </c>
      <c r="I298" s="21"/>
      <c r="J298" s="231"/>
      <c r="K298" s="231"/>
      <c r="L298" s="231"/>
      <c r="M298" s="231"/>
      <c r="N298" s="231"/>
      <c r="O298" s="231"/>
      <c r="P298" s="231"/>
      <c r="Q298" s="231"/>
      <c r="R298" s="231"/>
      <c r="S298" s="231"/>
      <c r="T298" s="231"/>
      <c r="U298" s="231"/>
      <c r="V298" s="231"/>
      <c r="W298" s="231"/>
      <c r="X298" s="231"/>
      <c r="Y298" s="231"/>
      <c r="Z298" s="231"/>
      <c r="AA298" s="231"/>
      <c r="AB298" s="231"/>
      <c r="AC298" s="231"/>
      <c r="AD298" s="231"/>
      <c r="AE298" s="231"/>
      <c r="AF298" s="231"/>
      <c r="AG298" s="231"/>
      <c r="AH298" s="231"/>
    </row>
    <row r="299" spans="1:34" s="203" customFormat="1">
      <c r="A299" s="120">
        <v>14</v>
      </c>
      <c r="B299" s="47" t="s">
        <v>229</v>
      </c>
      <c r="C299" s="47"/>
      <c r="D299" s="116"/>
      <c r="E299" s="114">
        <v>0</v>
      </c>
      <c r="F299" s="52">
        <v>0</v>
      </c>
      <c r="G299" s="118"/>
      <c r="H299" s="122">
        <v>0</v>
      </c>
      <c r="I299" s="21"/>
      <c r="J299" s="231"/>
      <c r="K299" s="231"/>
      <c r="L299" s="231"/>
      <c r="M299" s="231"/>
      <c r="N299" s="231"/>
      <c r="O299" s="231"/>
      <c r="P299" s="231"/>
      <c r="Q299" s="231"/>
      <c r="R299" s="231"/>
      <c r="S299" s="231"/>
      <c r="T299" s="231"/>
      <c r="U299" s="231"/>
      <c r="V299" s="231"/>
      <c r="W299" s="231"/>
      <c r="X299" s="231"/>
      <c r="Y299" s="231"/>
      <c r="Z299" s="231"/>
      <c r="AA299" s="231"/>
      <c r="AB299" s="231"/>
      <c r="AC299" s="231"/>
      <c r="AD299" s="231"/>
      <c r="AE299" s="231"/>
      <c r="AF299" s="231"/>
      <c r="AG299" s="231"/>
      <c r="AH299" s="231"/>
    </row>
    <row r="300" spans="1:34" s="203" customFormat="1">
      <c r="A300" s="652">
        <v>15</v>
      </c>
      <c r="B300" s="47" t="s">
        <v>230</v>
      </c>
      <c r="C300" s="47"/>
      <c r="D300" s="116"/>
      <c r="E300" s="114">
        <v>0</v>
      </c>
      <c r="F300" s="52">
        <v>0</v>
      </c>
      <c r="G300" s="118"/>
      <c r="H300" s="122">
        <v>0</v>
      </c>
      <c r="I300" s="21"/>
      <c r="J300" s="231"/>
      <c r="K300" s="231"/>
      <c r="L300" s="231"/>
      <c r="M300" s="231"/>
      <c r="N300" s="231"/>
      <c r="O300" s="231"/>
      <c r="P300" s="231"/>
      <c r="Q300" s="231"/>
      <c r="R300" s="231"/>
      <c r="S300" s="231"/>
      <c r="T300" s="231"/>
      <c r="U300" s="231"/>
      <c r="V300" s="231"/>
      <c r="W300" s="231"/>
      <c r="X300" s="231"/>
      <c r="Y300" s="231"/>
      <c r="Z300" s="231"/>
      <c r="AA300" s="231"/>
      <c r="AB300" s="231"/>
      <c r="AC300" s="231"/>
      <c r="AD300" s="231"/>
      <c r="AE300" s="231"/>
      <c r="AF300" s="231"/>
      <c r="AG300" s="231"/>
      <c r="AH300" s="231"/>
    </row>
    <row r="301" spans="1:34" s="203" customFormat="1">
      <c r="A301" s="120">
        <v>17</v>
      </c>
      <c r="B301" s="47" t="s">
        <v>231</v>
      </c>
      <c r="C301" s="47"/>
      <c r="D301" s="47"/>
      <c r="E301" s="114">
        <v>1061</v>
      </c>
      <c r="F301" s="52">
        <f>1161+459</f>
        <v>1620</v>
      </c>
      <c r="G301" s="118"/>
      <c r="H301" s="99">
        <f>1178+506</f>
        <v>1684</v>
      </c>
      <c r="I301" s="21"/>
      <c r="J301" s="231"/>
      <c r="K301" s="231"/>
      <c r="L301" s="231"/>
      <c r="M301" s="231"/>
      <c r="N301" s="231"/>
      <c r="O301" s="231"/>
      <c r="P301" s="231"/>
      <c r="Q301" s="231"/>
      <c r="R301" s="231"/>
      <c r="S301" s="231"/>
      <c r="T301" s="231"/>
      <c r="U301" s="231"/>
      <c r="V301" s="231"/>
      <c r="W301" s="231"/>
      <c r="X301" s="231"/>
      <c r="Y301" s="231"/>
      <c r="Z301" s="231"/>
      <c r="AA301" s="231"/>
      <c r="AB301" s="231"/>
      <c r="AC301" s="231"/>
      <c r="AD301" s="231"/>
      <c r="AE301" s="231"/>
      <c r="AF301" s="231"/>
      <c r="AG301" s="231"/>
      <c r="AH301" s="231"/>
    </row>
    <row r="302" spans="1:34" s="203" customFormat="1">
      <c r="A302" s="653">
        <v>18</v>
      </c>
      <c r="B302" s="94" t="s">
        <v>232</v>
      </c>
      <c r="C302" s="94"/>
      <c r="D302" s="94"/>
      <c r="E302" s="159">
        <v>7460</v>
      </c>
      <c r="F302" s="61">
        <f>SUM(F286:F301)</f>
        <v>7772</v>
      </c>
      <c r="G302" s="118"/>
      <c r="H302" s="61">
        <f>SUM(H286:H301)</f>
        <v>7291</v>
      </c>
      <c r="I302" s="21"/>
      <c r="J302" s="231"/>
      <c r="K302" s="231"/>
      <c r="L302" s="231"/>
      <c r="M302" s="231"/>
      <c r="N302" s="231"/>
      <c r="O302" s="231"/>
      <c r="P302" s="231"/>
      <c r="Q302" s="231"/>
      <c r="R302" s="231"/>
      <c r="S302" s="231"/>
      <c r="T302" s="231"/>
      <c r="U302" s="231"/>
      <c r="V302" s="231"/>
      <c r="W302" s="231"/>
      <c r="X302" s="231"/>
      <c r="Y302" s="231"/>
      <c r="Z302" s="231"/>
      <c r="AA302" s="231"/>
      <c r="AB302" s="231"/>
      <c r="AC302" s="231"/>
      <c r="AD302" s="231"/>
      <c r="AE302" s="231"/>
      <c r="AF302" s="231"/>
      <c r="AG302" s="231"/>
      <c r="AH302" s="231"/>
    </row>
    <row r="303" spans="1:34" s="203" customFormat="1">
      <c r="A303" s="179"/>
      <c r="B303" s="180"/>
      <c r="C303" s="180"/>
      <c r="D303" s="181"/>
      <c r="E303" s="182"/>
      <c r="F303" s="183"/>
      <c r="G303" s="21"/>
      <c r="H303" s="183"/>
      <c r="I303" s="21"/>
      <c r="J303" s="231"/>
      <c r="K303" s="231"/>
      <c r="L303" s="231"/>
      <c r="M303" s="231"/>
      <c r="N303" s="231"/>
      <c r="O303" s="231"/>
      <c r="P303" s="231"/>
      <c r="Q303" s="231"/>
      <c r="R303" s="231"/>
      <c r="S303" s="231"/>
      <c r="T303" s="231"/>
      <c r="U303" s="231"/>
      <c r="V303" s="231"/>
      <c r="W303" s="231"/>
      <c r="X303" s="231"/>
      <c r="Y303" s="231"/>
      <c r="Z303" s="231"/>
      <c r="AA303" s="231"/>
      <c r="AB303" s="231"/>
      <c r="AC303" s="231"/>
      <c r="AD303" s="231"/>
      <c r="AE303" s="231"/>
      <c r="AF303" s="231"/>
      <c r="AG303" s="231"/>
      <c r="AH303" s="231"/>
    </row>
    <row r="304" spans="1:34" s="203" customFormat="1">
      <c r="A304" s="184"/>
      <c r="B304" s="207"/>
      <c r="C304" s="207"/>
      <c r="D304" s="209"/>
      <c r="E304" s="185"/>
      <c r="F304" s="207"/>
      <c r="G304" s="207"/>
      <c r="H304" s="131" t="s">
        <v>27</v>
      </c>
      <c r="I304" s="21"/>
      <c r="J304" s="231"/>
      <c r="K304" s="231"/>
      <c r="L304" s="231"/>
      <c r="M304" s="231"/>
      <c r="N304" s="231"/>
      <c r="O304" s="231"/>
      <c r="P304" s="231"/>
      <c r="Q304" s="231"/>
      <c r="R304" s="231"/>
      <c r="S304" s="231"/>
      <c r="T304" s="231"/>
      <c r="U304" s="231"/>
      <c r="V304" s="231"/>
      <c r="W304" s="231"/>
      <c r="X304" s="231"/>
      <c r="Y304" s="231"/>
      <c r="Z304" s="231"/>
      <c r="AA304" s="231"/>
      <c r="AB304" s="231"/>
      <c r="AC304" s="231"/>
      <c r="AD304" s="231"/>
      <c r="AE304" s="231"/>
      <c r="AF304" s="231"/>
      <c r="AG304" s="231"/>
      <c r="AH304" s="231"/>
    </row>
    <row r="305" spans="1:34" s="203" customFormat="1" ht="12.75" customHeight="1">
      <c r="A305" s="106" t="s">
        <v>21</v>
      </c>
      <c r="B305" s="164"/>
      <c r="C305" s="164"/>
      <c r="D305" s="164"/>
      <c r="E305" s="856" t="s">
        <v>377</v>
      </c>
      <c r="F305" s="856" t="s">
        <v>402</v>
      </c>
      <c r="G305" s="130"/>
      <c r="H305" s="856" t="s">
        <v>403</v>
      </c>
      <c r="I305" s="21"/>
      <c r="J305" s="231"/>
      <c r="K305" s="231"/>
      <c r="L305" s="231"/>
      <c r="M305" s="231"/>
      <c r="N305" s="231"/>
      <c r="O305" s="231"/>
      <c r="P305" s="231"/>
      <c r="Q305" s="231"/>
      <c r="R305" s="231"/>
      <c r="S305" s="231"/>
      <c r="T305" s="231"/>
      <c r="U305" s="231"/>
      <c r="V305" s="231"/>
      <c r="W305" s="231"/>
      <c r="X305" s="231"/>
      <c r="Y305" s="231"/>
      <c r="Z305" s="231"/>
      <c r="AA305" s="231"/>
      <c r="AB305" s="231"/>
      <c r="AC305" s="231"/>
      <c r="AD305" s="231"/>
      <c r="AE305" s="231"/>
      <c r="AF305" s="231"/>
      <c r="AG305" s="231"/>
      <c r="AH305" s="231"/>
    </row>
    <row r="306" spans="1:34" s="203" customFormat="1">
      <c r="A306" s="165"/>
      <c r="B306" s="47"/>
      <c r="C306" s="47"/>
      <c r="D306" s="47"/>
      <c r="E306" s="859"/>
      <c r="F306" s="859"/>
      <c r="G306" s="130"/>
      <c r="H306" s="859"/>
      <c r="I306" s="21"/>
      <c r="J306" s="231"/>
      <c r="K306" s="231"/>
      <c r="L306" s="231"/>
      <c r="M306" s="231"/>
      <c r="N306" s="231"/>
      <c r="O306" s="231"/>
      <c r="P306" s="231"/>
      <c r="Q306" s="231"/>
      <c r="R306" s="231"/>
      <c r="S306" s="231"/>
      <c r="T306" s="231"/>
      <c r="U306" s="231"/>
      <c r="V306" s="231"/>
      <c r="W306" s="231"/>
      <c r="X306" s="231"/>
      <c r="Y306" s="231"/>
      <c r="Z306" s="231"/>
      <c r="AA306" s="231"/>
      <c r="AB306" s="231"/>
      <c r="AC306" s="231"/>
      <c r="AD306" s="231"/>
      <c r="AE306" s="231"/>
      <c r="AF306" s="231"/>
      <c r="AG306" s="231"/>
      <c r="AH306" s="231"/>
    </row>
    <row r="307" spans="1:34" s="203" customFormat="1" ht="12.75" customHeight="1">
      <c r="A307" s="109"/>
      <c r="B307" s="174"/>
      <c r="C307" s="174"/>
      <c r="D307" s="174"/>
      <c r="E307" s="859"/>
      <c r="F307" s="859"/>
      <c r="G307" s="130"/>
      <c r="H307" s="859"/>
      <c r="I307" s="21"/>
      <c r="J307" s="231"/>
      <c r="K307" s="231"/>
      <c r="L307" s="231"/>
      <c r="M307" s="231"/>
      <c r="N307" s="231"/>
      <c r="O307" s="231"/>
      <c r="P307" s="231"/>
      <c r="Q307" s="231"/>
      <c r="R307" s="231"/>
      <c r="S307" s="231"/>
      <c r="T307" s="231"/>
      <c r="U307" s="231"/>
      <c r="V307" s="231"/>
      <c r="W307" s="231"/>
      <c r="X307" s="231"/>
      <c r="Y307" s="231"/>
      <c r="Z307" s="231"/>
      <c r="AA307" s="231"/>
      <c r="AB307" s="231"/>
      <c r="AC307" s="231"/>
      <c r="AD307" s="231"/>
      <c r="AE307" s="231"/>
      <c r="AF307" s="231"/>
      <c r="AG307" s="231"/>
      <c r="AH307" s="231"/>
    </row>
    <row r="308" spans="1:34" s="203" customFormat="1">
      <c r="A308" s="154" t="s">
        <v>233</v>
      </c>
      <c r="B308" s="47"/>
      <c r="C308" s="47"/>
      <c r="D308" s="47"/>
      <c r="E308" s="859"/>
      <c r="F308" s="859"/>
      <c r="G308" s="130"/>
      <c r="H308" s="859"/>
      <c r="I308" s="21"/>
      <c r="J308" s="231"/>
      <c r="K308" s="231"/>
      <c r="L308" s="231"/>
      <c r="M308" s="231"/>
      <c r="N308" s="231"/>
      <c r="O308" s="231"/>
      <c r="P308" s="231"/>
      <c r="Q308" s="231"/>
      <c r="R308" s="231"/>
      <c r="S308" s="231"/>
      <c r="T308" s="231"/>
      <c r="U308" s="231"/>
      <c r="V308" s="231"/>
      <c r="W308" s="231"/>
      <c r="X308" s="231"/>
      <c r="Y308" s="231"/>
      <c r="Z308" s="231"/>
      <c r="AA308" s="231"/>
      <c r="AB308" s="231"/>
      <c r="AC308" s="231"/>
      <c r="AD308" s="231"/>
      <c r="AE308" s="231"/>
      <c r="AF308" s="231"/>
      <c r="AG308" s="231"/>
      <c r="AH308" s="231"/>
    </row>
    <row r="309" spans="1:34" s="203" customFormat="1">
      <c r="A309" s="109" t="s">
        <v>83</v>
      </c>
      <c r="B309" s="174"/>
      <c r="C309" s="174"/>
      <c r="D309" s="174"/>
      <c r="E309" s="860"/>
      <c r="F309" s="860"/>
      <c r="G309" s="130"/>
      <c r="H309" s="860"/>
      <c r="I309" s="21"/>
      <c r="J309" s="231"/>
      <c r="K309" s="231"/>
      <c r="L309" s="231"/>
      <c r="M309" s="231"/>
      <c r="N309" s="231"/>
      <c r="O309" s="231"/>
      <c r="P309" s="231"/>
      <c r="Q309" s="231"/>
      <c r="R309" s="231"/>
      <c r="S309" s="231"/>
      <c r="T309" s="231"/>
      <c r="U309" s="231"/>
      <c r="V309" s="231"/>
      <c r="W309" s="231"/>
      <c r="X309" s="231"/>
      <c r="Y309" s="231"/>
      <c r="Z309" s="231"/>
      <c r="AA309" s="231"/>
      <c r="AB309" s="231"/>
      <c r="AC309" s="231"/>
      <c r="AD309" s="231"/>
      <c r="AE309" s="231"/>
      <c r="AF309" s="231"/>
      <c r="AG309" s="231"/>
      <c r="AH309" s="231"/>
    </row>
    <row r="310" spans="1:34" s="203" customFormat="1">
      <c r="A310" s="110" t="s">
        <v>84</v>
      </c>
      <c r="B310" s="116"/>
      <c r="C310" s="116"/>
      <c r="D310" s="116"/>
      <c r="E310" s="262"/>
      <c r="F310" s="146"/>
      <c r="G310" s="118"/>
      <c r="H310" s="146"/>
      <c r="I310" s="21"/>
      <c r="J310" s="231"/>
      <c r="K310" s="231"/>
      <c r="L310" s="231"/>
      <c r="M310" s="231"/>
      <c r="N310" s="231"/>
      <c r="O310" s="231"/>
      <c r="P310" s="231"/>
      <c r="Q310" s="231"/>
      <c r="R310" s="231"/>
      <c r="S310" s="231"/>
      <c r="T310" s="231"/>
      <c r="U310" s="231"/>
      <c r="V310" s="231"/>
      <c r="W310" s="231"/>
      <c r="X310" s="231"/>
      <c r="Y310" s="231"/>
      <c r="Z310" s="231"/>
      <c r="AA310" s="231"/>
      <c r="AB310" s="231"/>
      <c r="AC310" s="231"/>
      <c r="AD310" s="231"/>
      <c r="AE310" s="231"/>
      <c r="AF310" s="231"/>
      <c r="AG310" s="231"/>
      <c r="AH310" s="231"/>
    </row>
    <row r="311" spans="1:34" s="203" customFormat="1">
      <c r="A311" s="120">
        <v>1</v>
      </c>
      <c r="B311" s="47" t="s">
        <v>258</v>
      </c>
      <c r="C311" s="47"/>
      <c r="D311" s="186"/>
      <c r="E311" s="74">
        <v>0</v>
      </c>
      <c r="F311" s="52">
        <v>0</v>
      </c>
      <c r="G311" s="43"/>
      <c r="H311" s="52">
        <v>0</v>
      </c>
      <c r="I311" s="21"/>
      <c r="J311" s="231"/>
      <c r="K311" s="231"/>
      <c r="L311" s="231"/>
      <c r="M311" s="231"/>
      <c r="N311" s="231"/>
      <c r="O311" s="231"/>
      <c r="P311" s="231"/>
      <c r="Q311" s="231"/>
      <c r="R311" s="231"/>
      <c r="S311" s="231"/>
      <c r="T311" s="231"/>
      <c r="U311" s="231"/>
      <c r="V311" s="231"/>
      <c r="W311" s="231"/>
      <c r="X311" s="231"/>
      <c r="Y311" s="231"/>
      <c r="Z311" s="231"/>
      <c r="AA311" s="231"/>
      <c r="AB311" s="231"/>
      <c r="AC311" s="231"/>
      <c r="AD311" s="231"/>
      <c r="AE311" s="231"/>
      <c r="AF311" s="231"/>
      <c r="AG311" s="231"/>
      <c r="AH311" s="231"/>
    </row>
    <row r="312" spans="1:34" s="203" customFormat="1">
      <c r="A312" s="120">
        <v>2</v>
      </c>
      <c r="B312" s="47" t="s">
        <v>234</v>
      </c>
      <c r="C312" s="47"/>
      <c r="D312" s="186"/>
      <c r="E312" s="114">
        <v>57</v>
      </c>
      <c r="F312" s="52">
        <v>0</v>
      </c>
      <c r="G312" s="43"/>
      <c r="H312" s="52">
        <v>0</v>
      </c>
      <c r="I312" s="21"/>
      <c r="J312" s="231"/>
      <c r="K312" s="231"/>
      <c r="L312" s="231"/>
      <c r="M312" s="231"/>
      <c r="N312" s="231"/>
      <c r="O312" s="231"/>
      <c r="P312" s="231"/>
      <c r="Q312" s="231"/>
      <c r="R312" s="231"/>
      <c r="S312" s="231"/>
      <c r="T312" s="231"/>
      <c r="U312" s="231"/>
      <c r="V312" s="231"/>
      <c r="W312" s="231"/>
      <c r="X312" s="231"/>
      <c r="Y312" s="231"/>
      <c r="Z312" s="231"/>
      <c r="AA312" s="231"/>
      <c r="AB312" s="231"/>
      <c r="AC312" s="231"/>
      <c r="AD312" s="231"/>
      <c r="AE312" s="231"/>
      <c r="AF312" s="231"/>
      <c r="AG312" s="231"/>
      <c r="AH312" s="231"/>
    </row>
    <row r="313" spans="1:34" s="203" customFormat="1">
      <c r="A313" s="120">
        <v>3</v>
      </c>
      <c r="B313" s="47" t="s">
        <v>259</v>
      </c>
      <c r="C313" s="47"/>
      <c r="D313" s="186"/>
      <c r="E313" s="114">
        <v>-372</v>
      </c>
      <c r="F313" s="52">
        <v>-372</v>
      </c>
      <c r="G313" s="43"/>
      <c r="H313" s="52">
        <v>-372</v>
      </c>
      <c r="I313" s="21"/>
      <c r="J313" s="231"/>
      <c r="K313" s="231"/>
      <c r="L313" s="231"/>
      <c r="M313" s="231"/>
      <c r="N313" s="231"/>
      <c r="O313" s="231"/>
      <c r="P313" s="231"/>
      <c r="Q313" s="231"/>
      <c r="R313" s="231"/>
      <c r="S313" s="231"/>
      <c r="T313" s="231"/>
      <c r="U313" s="231"/>
      <c r="V313" s="231"/>
      <c r="W313" s="231"/>
      <c r="X313" s="231"/>
      <c r="Y313" s="231"/>
      <c r="Z313" s="231"/>
      <c r="AA313" s="231"/>
      <c r="AB313" s="231"/>
      <c r="AC313" s="231"/>
      <c r="AD313" s="231"/>
      <c r="AE313" s="231"/>
      <c r="AF313" s="231"/>
      <c r="AG313" s="231"/>
      <c r="AH313" s="231"/>
    </row>
    <row r="314" spans="1:34" s="203" customFormat="1">
      <c r="A314" s="120">
        <v>4</v>
      </c>
      <c r="B314" s="47" t="s">
        <v>235</v>
      </c>
      <c r="C314" s="47"/>
      <c r="D314" s="186"/>
      <c r="E314" s="114">
        <v>3440</v>
      </c>
      <c r="F314" s="52">
        <v>3832</v>
      </c>
      <c r="G314" s="43"/>
      <c r="H314" s="52">
        <v>2684</v>
      </c>
      <c r="I314" s="21"/>
      <c r="J314" s="231"/>
      <c r="K314" s="231"/>
      <c r="L314" s="231"/>
      <c r="M314" s="231"/>
      <c r="N314" s="231"/>
      <c r="O314" s="231"/>
      <c r="P314" s="231"/>
      <c r="Q314" s="231"/>
      <c r="R314" s="231"/>
      <c r="S314" s="231"/>
      <c r="T314" s="231"/>
      <c r="U314" s="231"/>
      <c r="V314" s="231"/>
      <c r="W314" s="231"/>
      <c r="X314" s="231"/>
      <c r="Y314" s="231"/>
      <c r="Z314" s="231"/>
      <c r="AA314" s="231"/>
      <c r="AB314" s="231"/>
      <c r="AC314" s="231"/>
      <c r="AD314" s="231"/>
      <c r="AE314" s="231"/>
      <c r="AF314" s="231"/>
      <c r="AG314" s="231"/>
      <c r="AH314" s="231"/>
    </row>
    <row r="315" spans="1:34" s="203" customFormat="1">
      <c r="A315" s="120">
        <v>5</v>
      </c>
      <c r="B315" s="47" t="s">
        <v>236</v>
      </c>
      <c r="C315" s="47"/>
      <c r="D315" s="186"/>
      <c r="E315" s="114">
        <v>0</v>
      </c>
      <c r="F315" s="52">
        <v>0</v>
      </c>
      <c r="G315" s="187"/>
      <c r="H315" s="52">
        <v>0</v>
      </c>
      <c r="I315" s="21"/>
      <c r="J315" s="231"/>
      <c r="K315" s="231"/>
      <c r="L315" s="231"/>
      <c r="M315" s="231"/>
      <c r="N315" s="231"/>
      <c r="O315" s="231"/>
      <c r="P315" s="231"/>
      <c r="Q315" s="231"/>
      <c r="R315" s="231"/>
      <c r="S315" s="231"/>
      <c r="T315" s="231"/>
      <c r="U315" s="231"/>
      <c r="V315" s="231"/>
      <c r="W315" s="231"/>
      <c r="X315" s="231"/>
      <c r="Y315" s="231"/>
      <c r="Z315" s="231"/>
      <c r="AA315" s="231"/>
      <c r="AB315" s="231"/>
      <c r="AC315" s="231"/>
      <c r="AD315" s="231"/>
      <c r="AE315" s="231"/>
      <c r="AF315" s="231"/>
      <c r="AG315" s="231"/>
      <c r="AH315" s="231"/>
    </row>
    <row r="316" spans="1:34" s="203" customFormat="1">
      <c r="A316" s="120">
        <v>6</v>
      </c>
      <c r="B316" s="47" t="s">
        <v>237</v>
      </c>
      <c r="C316" s="47"/>
      <c r="D316" s="186"/>
      <c r="E316" s="114">
        <v>776</v>
      </c>
      <c r="F316" s="52">
        <v>472</v>
      </c>
      <c r="G316" s="43"/>
      <c r="H316" s="52">
        <v>596</v>
      </c>
      <c r="I316" s="21"/>
      <c r="J316" s="231"/>
      <c r="K316" s="231"/>
      <c r="L316" s="231"/>
      <c r="M316" s="231"/>
      <c r="N316" s="231"/>
      <c r="O316" s="231"/>
      <c r="P316" s="231"/>
      <c r="Q316" s="231"/>
      <c r="R316" s="231"/>
      <c r="S316" s="231"/>
      <c r="T316" s="231"/>
      <c r="U316" s="231"/>
      <c r="V316" s="231"/>
      <c r="W316" s="231"/>
      <c r="X316" s="231"/>
      <c r="Y316" s="231"/>
      <c r="Z316" s="231"/>
      <c r="AA316" s="231"/>
      <c r="AB316" s="231"/>
      <c r="AC316" s="231"/>
      <c r="AD316" s="231"/>
      <c r="AE316" s="231"/>
      <c r="AF316" s="231"/>
      <c r="AG316" s="231"/>
      <c r="AH316" s="231"/>
    </row>
    <row r="317" spans="1:34" s="203" customFormat="1">
      <c r="A317" s="120">
        <v>7</v>
      </c>
      <c r="B317" s="47" t="s">
        <v>238</v>
      </c>
      <c r="C317" s="47"/>
      <c r="D317" s="186"/>
      <c r="E317" s="114">
        <v>0</v>
      </c>
      <c r="F317" s="52"/>
      <c r="G317" s="43"/>
      <c r="H317" s="52">
        <v>0</v>
      </c>
      <c r="I317" s="21"/>
      <c r="J317" s="231"/>
      <c r="K317" s="231"/>
      <c r="L317" s="231"/>
      <c r="M317" s="231"/>
      <c r="N317" s="231"/>
      <c r="O317" s="231"/>
      <c r="P317" s="231"/>
      <c r="Q317" s="231"/>
      <c r="R317" s="231"/>
      <c r="S317" s="231"/>
      <c r="T317" s="231"/>
      <c r="U317" s="231"/>
      <c r="V317" s="231"/>
      <c r="W317" s="231"/>
      <c r="X317" s="231"/>
      <c r="Y317" s="231"/>
      <c r="Z317" s="231"/>
      <c r="AA317" s="231"/>
      <c r="AB317" s="231"/>
      <c r="AC317" s="231"/>
      <c r="AD317" s="231"/>
      <c r="AE317" s="231"/>
      <c r="AF317" s="231"/>
      <c r="AG317" s="231"/>
      <c r="AH317" s="231"/>
    </row>
    <row r="318" spans="1:34" s="203" customFormat="1">
      <c r="A318" s="120">
        <v>8</v>
      </c>
      <c r="B318" s="47" t="s">
        <v>239</v>
      </c>
      <c r="C318" s="47"/>
      <c r="D318" s="186"/>
      <c r="E318" s="114">
        <v>34</v>
      </c>
      <c r="F318" s="52">
        <v>23</v>
      </c>
      <c r="G318" s="43"/>
      <c r="H318" s="52">
        <v>28</v>
      </c>
      <c r="I318" s="21"/>
      <c r="J318" s="231"/>
      <c r="K318" s="231"/>
      <c r="L318" s="231"/>
      <c r="M318" s="231"/>
      <c r="N318" s="231"/>
      <c r="O318" s="231"/>
      <c r="P318" s="231"/>
      <c r="Q318" s="231"/>
      <c r="R318" s="231"/>
      <c r="S318" s="231"/>
      <c r="T318" s="231"/>
      <c r="U318" s="231"/>
      <c r="V318" s="231"/>
      <c r="W318" s="231"/>
      <c r="X318" s="231"/>
      <c r="Y318" s="231"/>
      <c r="Z318" s="231"/>
      <c r="AA318" s="231"/>
      <c r="AB318" s="231"/>
      <c r="AC318" s="231"/>
      <c r="AD318" s="231"/>
      <c r="AE318" s="231"/>
      <c r="AF318" s="231"/>
      <c r="AG318" s="231"/>
      <c r="AH318" s="231"/>
    </row>
    <row r="319" spans="1:34" s="203" customFormat="1">
      <c r="A319" s="652">
        <v>9</v>
      </c>
      <c r="B319" s="90" t="s">
        <v>260</v>
      </c>
      <c r="C319" s="47"/>
      <c r="D319" s="47"/>
      <c r="E319" s="114">
        <v>0</v>
      </c>
      <c r="F319" s="188"/>
      <c r="G319" s="43"/>
      <c r="H319" s="189">
        <v>0</v>
      </c>
      <c r="I319" s="21"/>
      <c r="J319" s="231"/>
      <c r="K319" s="231"/>
      <c r="L319" s="231"/>
      <c r="M319" s="231"/>
      <c r="N319" s="231"/>
      <c r="O319" s="231"/>
      <c r="P319" s="231"/>
      <c r="Q319" s="231"/>
      <c r="R319" s="231"/>
      <c r="S319" s="231"/>
      <c r="T319" s="231"/>
      <c r="U319" s="231"/>
      <c r="V319" s="231"/>
      <c r="W319" s="231"/>
      <c r="X319" s="231"/>
      <c r="Y319" s="231"/>
      <c r="Z319" s="231"/>
      <c r="AA319" s="231"/>
      <c r="AB319" s="231"/>
      <c r="AC319" s="231"/>
      <c r="AD319" s="231"/>
      <c r="AE319" s="231"/>
      <c r="AF319" s="231"/>
      <c r="AG319" s="231"/>
      <c r="AH319" s="231"/>
    </row>
    <row r="320" spans="1:34" s="203" customFormat="1">
      <c r="A320" s="124">
        <v>10</v>
      </c>
      <c r="B320" s="94" t="s">
        <v>62</v>
      </c>
      <c r="C320" s="94"/>
      <c r="D320" s="94"/>
      <c r="E320" s="159">
        <v>3935</v>
      </c>
      <c r="F320" s="61">
        <f>F311+F312+F313+F314+F315+F316+F317+F318</f>
        <v>3955</v>
      </c>
      <c r="G320" s="118"/>
      <c r="H320" s="61">
        <f>H311+H312+H313+H314+H315+H316+H317+H318+H319</f>
        <v>2936</v>
      </c>
      <c r="I320" s="21"/>
      <c r="J320" s="231"/>
      <c r="K320" s="231"/>
      <c r="L320" s="231"/>
      <c r="M320" s="231"/>
      <c r="N320" s="231"/>
      <c r="O320" s="231"/>
      <c r="P320" s="231"/>
      <c r="Q320" s="231"/>
      <c r="R320" s="231"/>
      <c r="S320" s="231"/>
      <c r="T320" s="231"/>
      <c r="U320" s="231"/>
      <c r="V320" s="231"/>
      <c r="W320" s="231"/>
      <c r="X320" s="231"/>
      <c r="Y320" s="231"/>
      <c r="Z320" s="231"/>
      <c r="AA320" s="231"/>
      <c r="AB320" s="231"/>
      <c r="AC320" s="231"/>
      <c r="AD320" s="231"/>
      <c r="AE320" s="231"/>
      <c r="AF320" s="231"/>
      <c r="AG320" s="231"/>
      <c r="AH320" s="231"/>
    </row>
    <row r="321" spans="1:34" s="203" customFormat="1">
      <c r="A321" s="179"/>
      <c r="B321" s="180"/>
      <c r="C321" s="180"/>
      <c r="D321" s="180"/>
      <c r="E321" s="180"/>
      <c r="F321" s="183"/>
      <c r="G321" s="21"/>
      <c r="H321" s="183"/>
      <c r="I321" s="183"/>
      <c r="J321" s="231"/>
      <c r="K321" s="231"/>
      <c r="L321" s="231"/>
      <c r="M321" s="231"/>
      <c r="N321" s="231"/>
      <c r="O321" s="231"/>
      <c r="P321" s="231"/>
      <c r="Q321" s="231"/>
      <c r="R321" s="231"/>
      <c r="S321" s="231"/>
      <c r="T321" s="231"/>
      <c r="U321" s="231"/>
      <c r="V321" s="231"/>
      <c r="W321" s="231"/>
      <c r="X321" s="231"/>
      <c r="Y321" s="231"/>
      <c r="Z321" s="231"/>
      <c r="AA321" s="231"/>
      <c r="AB321" s="231"/>
      <c r="AC321" s="231"/>
      <c r="AD321" s="231"/>
      <c r="AE321" s="231"/>
      <c r="AF321" s="231"/>
      <c r="AG321" s="231"/>
      <c r="AH321" s="231"/>
    </row>
    <row r="322" spans="1:34" s="203" customFormat="1">
      <c r="A322" s="148"/>
      <c r="B322" s="207"/>
      <c r="C322" s="207"/>
      <c r="D322" s="29"/>
      <c r="E322" s="29"/>
      <c r="F322" s="29"/>
      <c r="G322" s="29"/>
      <c r="H322" s="31" t="s">
        <v>27</v>
      </c>
      <c r="I322" s="2"/>
      <c r="J322" s="231"/>
      <c r="K322" s="231"/>
      <c r="L322" s="231"/>
      <c r="M322" s="231"/>
      <c r="N322" s="231"/>
      <c r="O322" s="231"/>
      <c r="P322" s="231"/>
      <c r="Q322" s="231"/>
      <c r="R322" s="231"/>
      <c r="S322" s="231"/>
      <c r="T322" s="231"/>
      <c r="U322" s="231"/>
      <c r="V322" s="231"/>
      <c r="W322" s="231"/>
      <c r="X322" s="231"/>
      <c r="Y322" s="231"/>
      <c r="Z322" s="231"/>
      <c r="AA322" s="231"/>
      <c r="AB322" s="231"/>
      <c r="AC322" s="231"/>
      <c r="AD322" s="231"/>
      <c r="AE322" s="231"/>
      <c r="AF322" s="231"/>
      <c r="AG322" s="231"/>
      <c r="AH322" s="231"/>
    </row>
    <row r="323" spans="1:34" s="203" customFormat="1">
      <c r="A323" s="190" t="s">
        <v>240</v>
      </c>
      <c r="B323" s="263"/>
      <c r="C323" s="861" t="s">
        <v>405</v>
      </c>
      <c r="D323" s="862"/>
      <c r="E323" s="862"/>
      <c r="F323" s="862"/>
      <c r="G323" s="862"/>
      <c r="H323" s="863"/>
      <c r="I323" s="210"/>
      <c r="J323" s="231"/>
      <c r="K323" s="231"/>
      <c r="L323" s="231"/>
      <c r="M323" s="231"/>
      <c r="N323" s="231"/>
      <c r="O323" s="231"/>
      <c r="P323" s="231"/>
      <c r="Q323" s="231"/>
      <c r="R323" s="231"/>
      <c r="S323" s="231"/>
      <c r="T323" s="231"/>
      <c r="U323" s="231"/>
      <c r="V323" s="231"/>
      <c r="W323" s="231"/>
      <c r="X323" s="231"/>
      <c r="Y323" s="231"/>
      <c r="Z323" s="231"/>
      <c r="AA323" s="231"/>
      <c r="AB323" s="231"/>
      <c r="AC323" s="231"/>
      <c r="AD323" s="231"/>
      <c r="AE323" s="231"/>
      <c r="AF323" s="231"/>
      <c r="AG323" s="231"/>
      <c r="AH323" s="231"/>
    </row>
    <row r="324" spans="1:34" s="203" customFormat="1" ht="39" thickBot="1">
      <c r="A324" s="110" t="s">
        <v>84</v>
      </c>
      <c r="B324" s="116"/>
      <c r="C324" s="35" t="s">
        <v>52</v>
      </c>
      <c r="D324" s="35" t="s">
        <v>53</v>
      </c>
      <c r="E324" s="37" t="s">
        <v>54</v>
      </c>
      <c r="F324" s="37" t="s">
        <v>55</v>
      </c>
      <c r="G324" s="37" t="s">
        <v>241</v>
      </c>
      <c r="H324" s="35" t="s">
        <v>121</v>
      </c>
      <c r="I324" s="29"/>
      <c r="J324" s="231"/>
      <c r="K324" s="231"/>
      <c r="L324" s="231"/>
      <c r="M324" s="231"/>
      <c r="N324" s="231"/>
      <c r="O324" s="231"/>
      <c r="P324" s="231"/>
      <c r="Q324" s="231"/>
      <c r="R324" s="231"/>
      <c r="S324" s="231"/>
      <c r="T324" s="231"/>
      <c r="U324" s="231"/>
      <c r="V324" s="231"/>
      <c r="W324" s="231"/>
      <c r="X324" s="231"/>
      <c r="Y324" s="231"/>
      <c r="Z324" s="231"/>
      <c r="AA324" s="231"/>
      <c r="AB324" s="231"/>
      <c r="AC324" s="231"/>
      <c r="AD324" s="231"/>
      <c r="AE324" s="231"/>
      <c r="AF324" s="231"/>
      <c r="AG324" s="231"/>
      <c r="AH324" s="231"/>
    </row>
    <row r="325" spans="1:34" s="203" customFormat="1" ht="13.5" thickBot="1">
      <c r="A325" s="652">
        <v>1</v>
      </c>
      <c r="B325" s="116" t="s">
        <v>242</v>
      </c>
      <c r="C325" s="193">
        <f t="shared" ref="C325:H325" si="0">SUM(C326:C329)</f>
        <v>0</v>
      </c>
      <c r="D325" s="193">
        <f t="shared" si="0"/>
        <v>0</v>
      </c>
      <c r="E325" s="193">
        <v>0</v>
      </c>
      <c r="F325" s="193">
        <f t="shared" si="0"/>
        <v>0</v>
      </c>
      <c r="G325" s="193">
        <f>SUM(G326:G329)</f>
        <v>0</v>
      </c>
      <c r="H325" s="193">
        <f t="shared" si="0"/>
        <v>0</v>
      </c>
      <c r="I325" s="207"/>
      <c r="J325" s="231"/>
      <c r="K325" s="231"/>
      <c r="L325" s="231"/>
      <c r="M325" s="231"/>
      <c r="N325" s="231"/>
      <c r="O325" s="231"/>
      <c r="P325" s="231"/>
      <c r="Q325" s="231"/>
      <c r="R325" s="231"/>
      <c r="S325" s="231"/>
      <c r="T325" s="231"/>
      <c r="U325" s="231"/>
      <c r="V325" s="231"/>
      <c r="W325" s="231"/>
      <c r="X325" s="231"/>
      <c r="Y325" s="231"/>
      <c r="Z325" s="231"/>
      <c r="AA325" s="231"/>
      <c r="AB325" s="231"/>
      <c r="AC325" s="231"/>
      <c r="AD325" s="231"/>
      <c r="AE325" s="231"/>
      <c r="AF325" s="231"/>
      <c r="AG325" s="231"/>
      <c r="AH325" s="231"/>
    </row>
    <row r="326" spans="1:34" s="203" customFormat="1">
      <c r="A326" s="652">
        <v>2</v>
      </c>
      <c r="B326" s="47" t="s">
        <v>243</v>
      </c>
      <c r="C326" s="169"/>
      <c r="D326" s="169"/>
      <c r="E326" s="169"/>
      <c r="F326" s="169"/>
      <c r="G326" s="169"/>
      <c r="H326" s="169"/>
      <c r="I326" s="207"/>
      <c r="J326" s="231"/>
      <c r="K326" s="231"/>
      <c r="L326" s="231"/>
      <c r="M326" s="231"/>
      <c r="N326" s="231"/>
      <c r="O326" s="231"/>
      <c r="P326" s="231"/>
      <c r="Q326" s="231"/>
      <c r="R326" s="231"/>
      <c r="S326" s="231"/>
      <c r="T326" s="231"/>
      <c r="U326" s="231"/>
      <c r="V326" s="231"/>
      <c r="W326" s="231"/>
      <c r="X326" s="231"/>
      <c r="Y326" s="231"/>
      <c r="Z326" s="231"/>
      <c r="AA326" s="231"/>
      <c r="AB326" s="231"/>
      <c r="AC326" s="231"/>
      <c r="AD326" s="231"/>
      <c r="AE326" s="231"/>
      <c r="AF326" s="231"/>
      <c r="AG326" s="231"/>
      <c r="AH326" s="231"/>
    </row>
    <row r="327" spans="1:34" s="203" customFormat="1">
      <c r="A327" s="652">
        <v>3</v>
      </c>
      <c r="B327" s="47" t="s">
        <v>244</v>
      </c>
      <c r="C327" s="99"/>
      <c r="D327" s="99"/>
      <c r="E327" s="99"/>
      <c r="F327" s="99"/>
      <c r="G327" s="99"/>
      <c r="H327" s="99"/>
      <c r="I327" s="207"/>
      <c r="J327" s="231"/>
      <c r="K327" s="231"/>
      <c r="L327" s="231"/>
      <c r="M327" s="231"/>
      <c r="N327" s="231"/>
      <c r="O327" s="231"/>
      <c r="P327" s="231"/>
      <c r="Q327" s="231"/>
      <c r="R327" s="231"/>
      <c r="S327" s="231"/>
      <c r="T327" s="231"/>
      <c r="U327" s="231"/>
      <c r="V327" s="231"/>
      <c r="W327" s="231"/>
      <c r="X327" s="231"/>
      <c r="Y327" s="231"/>
      <c r="Z327" s="231"/>
      <c r="AA327" s="231"/>
      <c r="AB327" s="231"/>
      <c r="AC327" s="231"/>
      <c r="AD327" s="231"/>
      <c r="AE327" s="231"/>
      <c r="AF327" s="231"/>
      <c r="AG327" s="231"/>
      <c r="AH327" s="231"/>
    </row>
    <row r="328" spans="1:34" s="203" customFormat="1">
      <c r="A328" s="652">
        <v>4</v>
      </c>
      <c r="B328" s="47" t="s">
        <v>245</v>
      </c>
      <c r="C328" s="99"/>
      <c r="D328" s="99"/>
      <c r="E328" s="99"/>
      <c r="F328" s="99"/>
      <c r="G328" s="99"/>
      <c r="H328" s="99"/>
      <c r="I328" s="207"/>
      <c r="J328" s="231"/>
      <c r="K328" s="231"/>
      <c r="L328" s="231"/>
      <c r="M328" s="231"/>
      <c r="N328" s="231"/>
      <c r="O328" s="231"/>
      <c r="P328" s="231"/>
      <c r="Q328" s="231"/>
      <c r="R328" s="231"/>
      <c r="S328" s="231"/>
      <c r="T328" s="231"/>
      <c r="U328" s="231"/>
      <c r="V328" s="231"/>
      <c r="W328" s="231"/>
      <c r="X328" s="231"/>
      <c r="Y328" s="231"/>
      <c r="Z328" s="231"/>
      <c r="AA328" s="231"/>
      <c r="AB328" s="231"/>
      <c r="AC328" s="231"/>
      <c r="AD328" s="231"/>
      <c r="AE328" s="231"/>
      <c r="AF328" s="231"/>
      <c r="AG328" s="231"/>
      <c r="AH328" s="231"/>
    </row>
    <row r="329" spans="1:34" s="203" customFormat="1">
      <c r="A329" s="653">
        <v>5</v>
      </c>
      <c r="B329" s="54" t="s">
        <v>246</v>
      </c>
      <c r="C329" s="100"/>
      <c r="D329" s="100"/>
      <c r="E329" s="100"/>
      <c r="F329" s="100"/>
      <c r="G329" s="100"/>
      <c r="H329" s="100"/>
      <c r="I329" s="207"/>
      <c r="J329" s="231"/>
      <c r="K329" s="231"/>
      <c r="L329" s="231"/>
      <c r="M329" s="231"/>
      <c r="N329" s="231"/>
      <c r="O329" s="231"/>
      <c r="P329" s="231"/>
      <c r="Q329" s="231"/>
      <c r="R329" s="231"/>
      <c r="S329" s="231"/>
      <c r="T329" s="231"/>
      <c r="U329" s="231"/>
      <c r="V329" s="231"/>
      <c r="W329" s="231"/>
      <c r="X329" s="231"/>
      <c r="Y329" s="231"/>
      <c r="Z329" s="231"/>
      <c r="AA329" s="231"/>
      <c r="AB329" s="231"/>
      <c r="AC329" s="231"/>
      <c r="AD329" s="231"/>
      <c r="AE329" s="231"/>
      <c r="AF329" s="231"/>
      <c r="AG329" s="231"/>
      <c r="AH329" s="231"/>
    </row>
    <row r="330" spans="1:34" s="203" customFormat="1">
      <c r="A330" s="652"/>
      <c r="B330" s="47"/>
      <c r="C330" s="864" t="s">
        <v>404</v>
      </c>
      <c r="D330" s="865"/>
      <c r="E330" s="865"/>
      <c r="F330" s="865"/>
      <c r="G330" s="865"/>
      <c r="H330" s="866"/>
      <c r="I330" s="207"/>
      <c r="J330" s="231"/>
      <c r="K330" s="231"/>
      <c r="L330" s="231"/>
      <c r="M330" s="231"/>
      <c r="N330" s="231"/>
      <c r="O330" s="231"/>
      <c r="P330" s="231"/>
      <c r="Q330" s="231"/>
      <c r="R330" s="231"/>
      <c r="S330" s="231"/>
      <c r="T330" s="231"/>
      <c r="U330" s="231"/>
      <c r="V330" s="231"/>
      <c r="W330" s="231"/>
      <c r="X330" s="231"/>
      <c r="Y330" s="231"/>
      <c r="Z330" s="231"/>
      <c r="AA330" s="231"/>
      <c r="AB330" s="231"/>
      <c r="AC330" s="231"/>
      <c r="AD330" s="231"/>
      <c r="AE330" s="231"/>
      <c r="AF330" s="231"/>
      <c r="AG330" s="231"/>
      <c r="AH330" s="231"/>
    </row>
    <row r="331" spans="1:34" s="203" customFormat="1" ht="39" thickBot="1">
      <c r="A331" s="110" t="s">
        <v>84</v>
      </c>
      <c r="B331" s="116"/>
      <c r="C331" s="35" t="s">
        <v>52</v>
      </c>
      <c r="D331" s="35" t="s">
        <v>53</v>
      </c>
      <c r="E331" s="37" t="s">
        <v>54</v>
      </c>
      <c r="F331" s="37" t="s">
        <v>55</v>
      </c>
      <c r="G331" s="37" t="s">
        <v>241</v>
      </c>
      <c r="H331" s="35" t="s">
        <v>121</v>
      </c>
      <c r="I331" s="207"/>
      <c r="J331" s="231"/>
      <c r="K331" s="231"/>
      <c r="L331" s="231"/>
      <c r="M331" s="231"/>
      <c r="N331" s="231"/>
      <c r="O331" s="231"/>
      <c r="P331" s="231"/>
      <c r="Q331" s="231"/>
      <c r="R331" s="231"/>
      <c r="S331" s="231"/>
      <c r="T331" s="231"/>
      <c r="U331" s="231"/>
      <c r="V331" s="231"/>
      <c r="W331" s="231"/>
      <c r="X331" s="231"/>
      <c r="Y331" s="231"/>
      <c r="Z331" s="231"/>
      <c r="AA331" s="231"/>
      <c r="AB331" s="231"/>
      <c r="AC331" s="231"/>
      <c r="AD331" s="231"/>
      <c r="AE331" s="231"/>
      <c r="AF331" s="231"/>
      <c r="AG331" s="231"/>
      <c r="AH331" s="231"/>
    </row>
    <row r="332" spans="1:34" s="203" customFormat="1" ht="13.5" thickBot="1">
      <c r="A332" s="652">
        <v>1</v>
      </c>
      <c r="B332" s="116" t="s">
        <v>242</v>
      </c>
      <c r="C332" s="193">
        <f t="shared" ref="C332:H332" si="1">SUM(C333:C336)</f>
        <v>0</v>
      </c>
      <c r="D332" s="193">
        <f t="shared" si="1"/>
        <v>0</v>
      </c>
      <c r="E332" s="193">
        <v>0</v>
      </c>
      <c r="F332" s="193">
        <f t="shared" si="1"/>
        <v>0</v>
      </c>
      <c r="G332" s="193">
        <f>SUM(G333:G336)</f>
        <v>0</v>
      </c>
      <c r="H332" s="193">
        <f t="shared" si="1"/>
        <v>0</v>
      </c>
      <c r="I332" s="207"/>
      <c r="J332" s="231"/>
      <c r="K332" s="231"/>
      <c r="L332" s="231"/>
      <c r="M332" s="231"/>
      <c r="N332" s="231"/>
      <c r="O332" s="231"/>
      <c r="P332" s="231"/>
      <c r="Q332" s="231"/>
      <c r="R332" s="231"/>
      <c r="S332" s="231"/>
      <c r="T332" s="231"/>
      <c r="U332" s="231"/>
      <c r="V332" s="231"/>
      <c r="W332" s="231"/>
      <c r="X332" s="231"/>
      <c r="Y332" s="231"/>
      <c r="Z332" s="231"/>
      <c r="AA332" s="231"/>
      <c r="AB332" s="231"/>
      <c r="AC332" s="231"/>
      <c r="AD332" s="231"/>
      <c r="AE332" s="231"/>
      <c r="AF332" s="231"/>
      <c r="AG332" s="231"/>
      <c r="AH332" s="231"/>
    </row>
    <row r="333" spans="1:34" s="203" customFormat="1">
      <c r="A333" s="652">
        <v>2</v>
      </c>
      <c r="B333" s="47" t="s">
        <v>243</v>
      </c>
      <c r="C333" s="169"/>
      <c r="D333" s="169"/>
      <c r="E333" s="169"/>
      <c r="F333" s="169"/>
      <c r="G333" s="169"/>
      <c r="H333" s="169"/>
      <c r="I333" s="207"/>
      <c r="J333" s="231"/>
      <c r="K333" s="231"/>
      <c r="L333" s="231"/>
      <c r="M333" s="231"/>
      <c r="N333" s="231"/>
      <c r="O333" s="231"/>
      <c r="P333" s="231"/>
      <c r="Q333" s="231"/>
      <c r="R333" s="231"/>
      <c r="S333" s="231"/>
      <c r="T333" s="231"/>
      <c r="U333" s="231"/>
      <c r="V333" s="231"/>
      <c r="W333" s="231"/>
      <c r="X333" s="231"/>
      <c r="Y333" s="231"/>
      <c r="Z333" s="231"/>
      <c r="AA333" s="231"/>
      <c r="AB333" s="231"/>
      <c r="AC333" s="231"/>
      <c r="AD333" s="231"/>
      <c r="AE333" s="231"/>
      <c r="AF333" s="231"/>
      <c r="AG333" s="231"/>
      <c r="AH333" s="231"/>
    </row>
    <row r="334" spans="1:34" s="203" customFormat="1">
      <c r="A334" s="652">
        <v>3</v>
      </c>
      <c r="B334" s="47" t="s">
        <v>244</v>
      </c>
      <c r="C334" s="99"/>
      <c r="D334" s="99"/>
      <c r="E334" s="99"/>
      <c r="F334" s="99"/>
      <c r="G334" s="99"/>
      <c r="H334" s="99"/>
      <c r="I334" s="207"/>
      <c r="J334" s="231"/>
      <c r="K334" s="231"/>
      <c r="L334" s="231"/>
      <c r="M334" s="231"/>
      <c r="N334" s="231"/>
      <c r="O334" s="231"/>
      <c r="P334" s="231"/>
      <c r="Q334" s="231"/>
      <c r="R334" s="231"/>
      <c r="S334" s="231"/>
      <c r="T334" s="231"/>
      <c r="U334" s="231"/>
      <c r="V334" s="231"/>
      <c r="W334" s="231"/>
      <c r="X334" s="231"/>
      <c r="Y334" s="231"/>
      <c r="Z334" s="231"/>
      <c r="AA334" s="231"/>
      <c r="AB334" s="231"/>
      <c r="AC334" s="231"/>
      <c r="AD334" s="231"/>
      <c r="AE334" s="231"/>
      <c r="AF334" s="231"/>
      <c r="AG334" s="231"/>
      <c r="AH334" s="231"/>
    </row>
    <row r="335" spans="1:34" s="203" customFormat="1">
      <c r="A335" s="652">
        <v>4</v>
      </c>
      <c r="B335" s="47" t="s">
        <v>245</v>
      </c>
      <c r="C335" s="99"/>
      <c r="D335" s="99"/>
      <c r="E335" s="99"/>
      <c r="F335" s="99"/>
      <c r="G335" s="99"/>
      <c r="H335" s="99"/>
      <c r="I335" s="207"/>
      <c r="J335" s="231"/>
      <c r="K335" s="231"/>
      <c r="L335" s="231"/>
      <c r="M335" s="231"/>
      <c r="N335" s="231"/>
      <c r="O335" s="231"/>
      <c r="P335" s="231"/>
      <c r="Q335" s="231"/>
      <c r="R335" s="231"/>
      <c r="S335" s="231"/>
      <c r="T335" s="231"/>
      <c r="U335" s="231"/>
      <c r="V335" s="231"/>
      <c r="W335" s="231"/>
      <c r="X335" s="231"/>
      <c r="Y335" s="231"/>
      <c r="Z335" s="231"/>
      <c r="AA335" s="231"/>
      <c r="AB335" s="231"/>
      <c r="AC335" s="231"/>
      <c r="AD335" s="231"/>
      <c r="AE335" s="231"/>
      <c r="AF335" s="231"/>
      <c r="AG335" s="231"/>
      <c r="AH335" s="231"/>
    </row>
    <row r="336" spans="1:34" s="203" customFormat="1">
      <c r="A336" s="653">
        <v>5</v>
      </c>
      <c r="B336" s="54" t="s">
        <v>246</v>
      </c>
      <c r="C336" s="100"/>
      <c r="D336" s="100"/>
      <c r="E336" s="100"/>
      <c r="F336" s="100"/>
      <c r="G336" s="100"/>
      <c r="H336" s="100"/>
      <c r="I336" s="207"/>
      <c r="J336" s="231"/>
      <c r="K336" s="231"/>
      <c r="L336" s="231"/>
      <c r="M336" s="231"/>
      <c r="N336" s="231"/>
      <c r="O336" s="231"/>
      <c r="P336" s="231"/>
      <c r="Q336" s="231"/>
      <c r="R336" s="231"/>
      <c r="S336" s="231"/>
      <c r="T336" s="231"/>
      <c r="U336" s="231"/>
      <c r="V336" s="231"/>
      <c r="W336" s="231"/>
      <c r="X336" s="231"/>
      <c r="Y336" s="231"/>
      <c r="Z336" s="231"/>
      <c r="AA336" s="231"/>
      <c r="AB336" s="231"/>
      <c r="AC336" s="231"/>
      <c r="AD336" s="231"/>
      <c r="AE336" s="231"/>
      <c r="AF336" s="231"/>
      <c r="AG336" s="231"/>
      <c r="AH336" s="231"/>
    </row>
    <row r="337" spans="1:34" s="203" customFormat="1">
      <c r="A337" s="23"/>
      <c r="B337" s="207"/>
      <c r="C337" s="207"/>
      <c r="D337" s="207"/>
      <c r="E337" s="207"/>
      <c r="F337" s="207"/>
      <c r="G337" s="207"/>
      <c r="H337" s="21"/>
      <c r="I337" s="21"/>
      <c r="J337" s="231"/>
      <c r="K337" s="231"/>
      <c r="L337" s="231"/>
      <c r="M337" s="231"/>
      <c r="N337" s="231"/>
      <c r="O337" s="231"/>
      <c r="P337" s="231"/>
      <c r="Q337" s="231"/>
      <c r="R337" s="231"/>
      <c r="S337" s="231"/>
      <c r="T337" s="231"/>
      <c r="U337" s="231"/>
      <c r="V337" s="231"/>
      <c r="W337" s="231"/>
      <c r="X337" s="231"/>
      <c r="Y337" s="231"/>
      <c r="Z337" s="231"/>
      <c r="AA337" s="231"/>
      <c r="AB337" s="231"/>
      <c r="AC337" s="231"/>
      <c r="AD337" s="231"/>
      <c r="AE337" s="231"/>
      <c r="AF337" s="231"/>
      <c r="AG337" s="231"/>
      <c r="AH337" s="231"/>
    </row>
    <row r="338" spans="1:34" s="203" customFormat="1" ht="12.75" customHeight="1">
      <c r="A338" s="23"/>
      <c r="B338" s="207"/>
      <c r="C338" s="207"/>
      <c r="D338" s="207"/>
      <c r="E338" s="207"/>
      <c r="F338" s="207"/>
      <c r="G338" s="207"/>
      <c r="H338" s="21"/>
      <c r="I338" s="21"/>
      <c r="J338" s="231"/>
      <c r="K338" s="231"/>
      <c r="L338" s="231"/>
      <c r="M338" s="231"/>
      <c r="N338" s="231"/>
      <c r="O338" s="231"/>
      <c r="P338" s="231"/>
      <c r="Q338" s="231"/>
      <c r="R338" s="231"/>
      <c r="S338" s="231"/>
      <c r="T338" s="231"/>
      <c r="U338" s="231"/>
      <c r="V338" s="231"/>
      <c r="W338" s="231"/>
      <c r="X338" s="231"/>
      <c r="Y338" s="231"/>
      <c r="Z338" s="231"/>
      <c r="AA338" s="231"/>
      <c r="AB338" s="231"/>
      <c r="AC338" s="231"/>
      <c r="AD338" s="231"/>
      <c r="AE338" s="231"/>
      <c r="AF338" s="231"/>
      <c r="AG338" s="231"/>
      <c r="AH338" s="231"/>
    </row>
    <row r="339" spans="1:34" s="203" customFormat="1">
      <c r="A339" s="23"/>
      <c r="B339" s="207"/>
      <c r="C339" s="207"/>
      <c r="D339" s="207"/>
      <c r="E339" s="207"/>
      <c r="F339" s="207"/>
      <c r="G339" s="207"/>
      <c r="H339" s="21"/>
      <c r="I339" s="21"/>
      <c r="J339" s="231"/>
      <c r="K339" s="231"/>
      <c r="L339" s="231"/>
      <c r="M339" s="231"/>
      <c r="N339" s="231"/>
      <c r="O339" s="231"/>
      <c r="P339" s="231"/>
      <c r="Q339" s="231"/>
      <c r="R339" s="231"/>
      <c r="S339" s="231"/>
      <c r="T339" s="231"/>
      <c r="U339" s="231"/>
      <c r="V339" s="231"/>
      <c r="W339" s="231"/>
      <c r="X339" s="231"/>
      <c r="Y339" s="231"/>
      <c r="Z339" s="231"/>
      <c r="AA339" s="231"/>
      <c r="AB339" s="231"/>
      <c r="AC339" s="231"/>
      <c r="AD339" s="231"/>
      <c r="AE339" s="231"/>
      <c r="AF339" s="231"/>
      <c r="AG339" s="231"/>
      <c r="AH339" s="231"/>
    </row>
    <row r="340" spans="1:34" s="203" customFormat="1">
      <c r="A340" s="23"/>
      <c r="B340" s="207"/>
      <c r="C340" s="207"/>
      <c r="D340" s="207"/>
      <c r="E340" s="207"/>
      <c r="F340" s="207"/>
      <c r="G340" s="207"/>
      <c r="H340" s="131" t="s">
        <v>27</v>
      </c>
      <c r="I340" s="21"/>
      <c r="J340" s="231"/>
      <c r="K340" s="231"/>
      <c r="L340" s="231"/>
      <c r="M340" s="231"/>
      <c r="N340" s="231"/>
      <c r="O340" s="231"/>
      <c r="P340" s="231"/>
      <c r="Q340" s="231"/>
      <c r="R340" s="231"/>
      <c r="S340" s="231"/>
      <c r="T340" s="231"/>
      <c r="U340" s="231"/>
      <c r="V340" s="231"/>
      <c r="W340" s="231"/>
      <c r="X340" s="231"/>
      <c r="Y340" s="231"/>
      <c r="Z340" s="231"/>
      <c r="AA340" s="231"/>
      <c r="AB340" s="231"/>
      <c r="AC340" s="231"/>
      <c r="AD340" s="231"/>
      <c r="AE340" s="231"/>
      <c r="AF340" s="231"/>
      <c r="AG340" s="231"/>
      <c r="AH340" s="231"/>
    </row>
    <row r="341" spans="1:34" s="203" customFormat="1">
      <c r="A341" s="197"/>
      <c r="B341" s="69"/>
      <c r="C341" s="69"/>
      <c r="D341" s="69"/>
      <c r="E341" s="856" t="s">
        <v>377</v>
      </c>
      <c r="F341" s="853" t="s">
        <v>402</v>
      </c>
      <c r="G341" s="207"/>
      <c r="H341" s="856" t="s">
        <v>403</v>
      </c>
      <c r="I341" s="21"/>
      <c r="J341" s="231"/>
      <c r="K341" s="231"/>
      <c r="L341" s="231"/>
      <c r="M341" s="231"/>
      <c r="N341" s="231"/>
      <c r="O341" s="231"/>
      <c r="P341" s="231"/>
      <c r="Q341" s="231"/>
      <c r="R341" s="231"/>
      <c r="S341" s="231"/>
      <c r="T341" s="231"/>
      <c r="U341" s="231"/>
      <c r="V341" s="231"/>
      <c r="W341" s="231"/>
      <c r="X341" s="231"/>
      <c r="Y341" s="231"/>
      <c r="Z341" s="231"/>
      <c r="AA341" s="231"/>
      <c r="AB341" s="231"/>
      <c r="AC341" s="231"/>
      <c r="AD341" s="231"/>
      <c r="AE341" s="231"/>
      <c r="AF341" s="231"/>
      <c r="AG341" s="231"/>
      <c r="AH341" s="231"/>
    </row>
    <row r="342" spans="1:34" s="203" customFormat="1">
      <c r="A342" s="144" t="s">
        <v>261</v>
      </c>
      <c r="B342" s="116"/>
      <c r="C342" s="116"/>
      <c r="D342" s="116"/>
      <c r="E342" s="859"/>
      <c r="F342" s="854"/>
      <c r="G342" s="207"/>
      <c r="H342" s="857"/>
      <c r="I342" s="21"/>
      <c r="J342" s="231"/>
      <c r="K342" s="231"/>
      <c r="L342" s="231"/>
      <c r="M342" s="231"/>
      <c r="N342" s="231"/>
      <c r="O342" s="231"/>
      <c r="P342" s="231"/>
      <c r="Q342" s="231"/>
      <c r="R342" s="231"/>
      <c r="S342" s="231"/>
      <c r="T342" s="231"/>
      <c r="U342" s="231"/>
      <c r="V342" s="231"/>
      <c r="W342" s="231"/>
      <c r="X342" s="231"/>
      <c r="Y342" s="231"/>
      <c r="Z342" s="231"/>
      <c r="AA342" s="231"/>
      <c r="AB342" s="231"/>
      <c r="AC342" s="231"/>
      <c r="AD342" s="231"/>
      <c r="AE342" s="231"/>
      <c r="AF342" s="231"/>
      <c r="AG342" s="231"/>
      <c r="AH342" s="231"/>
    </row>
    <row r="343" spans="1:34" s="203" customFormat="1">
      <c r="A343" s="119"/>
      <c r="B343" s="116"/>
      <c r="C343" s="116"/>
      <c r="D343" s="116"/>
      <c r="E343" s="859"/>
      <c r="F343" s="854"/>
      <c r="G343" s="207"/>
      <c r="H343" s="857"/>
      <c r="I343" s="21"/>
      <c r="J343" s="231"/>
      <c r="K343" s="231"/>
      <c r="L343" s="231"/>
      <c r="M343" s="231"/>
      <c r="N343" s="231"/>
      <c r="O343" s="231"/>
      <c r="P343" s="231"/>
      <c r="Q343" s="231"/>
      <c r="R343" s="231"/>
      <c r="S343" s="231"/>
      <c r="T343" s="231"/>
      <c r="U343" s="231"/>
      <c r="V343" s="231"/>
      <c r="W343" s="231"/>
      <c r="X343" s="231"/>
      <c r="Y343" s="231"/>
      <c r="Z343" s="231"/>
      <c r="AA343" s="231"/>
      <c r="AB343" s="231"/>
      <c r="AC343" s="231"/>
      <c r="AD343" s="231"/>
      <c r="AE343" s="231"/>
      <c r="AF343" s="231"/>
      <c r="AG343" s="231"/>
      <c r="AH343" s="231"/>
    </row>
    <row r="344" spans="1:34" s="203" customFormat="1">
      <c r="A344" s="198" t="s">
        <v>262</v>
      </c>
      <c r="B344" s="116"/>
      <c r="C344" s="116"/>
      <c r="D344" s="116"/>
      <c r="E344" s="859"/>
      <c r="F344" s="854"/>
      <c r="G344" s="207"/>
      <c r="H344" s="857"/>
      <c r="I344" s="21"/>
      <c r="J344" s="231"/>
      <c r="K344" s="231"/>
      <c r="L344" s="231"/>
      <c r="M344" s="231"/>
      <c r="N344" s="231"/>
      <c r="O344" s="231"/>
      <c r="P344" s="231"/>
      <c r="Q344" s="231"/>
      <c r="R344" s="231"/>
      <c r="S344" s="231"/>
      <c r="T344" s="231"/>
      <c r="U344" s="231"/>
      <c r="V344" s="231"/>
      <c r="W344" s="231"/>
      <c r="X344" s="231"/>
      <c r="Y344" s="231"/>
      <c r="Z344" s="231"/>
      <c r="AA344" s="231"/>
      <c r="AB344" s="231"/>
      <c r="AC344" s="231"/>
      <c r="AD344" s="231"/>
      <c r="AE344" s="231"/>
      <c r="AF344" s="231"/>
      <c r="AG344" s="231"/>
      <c r="AH344" s="231"/>
    </row>
    <row r="345" spans="1:34" s="203" customFormat="1">
      <c r="A345" s="198" t="s">
        <v>330</v>
      </c>
      <c r="B345" s="116"/>
      <c r="C345" s="116"/>
      <c r="D345" s="116"/>
      <c r="E345" s="860"/>
      <c r="F345" s="855"/>
      <c r="G345" s="207"/>
      <c r="H345" s="858"/>
      <c r="I345" s="21"/>
      <c r="J345" s="231"/>
      <c r="K345" s="231"/>
      <c r="L345" s="231"/>
      <c r="M345" s="231"/>
      <c r="N345" s="231"/>
      <c r="O345" s="231"/>
      <c r="P345" s="231"/>
      <c r="Q345" s="231"/>
      <c r="R345" s="231"/>
      <c r="S345" s="231"/>
      <c r="T345" s="231"/>
      <c r="U345" s="231"/>
      <c r="V345" s="231"/>
      <c r="W345" s="231"/>
      <c r="X345" s="231"/>
      <c r="Y345" s="231"/>
      <c r="Z345" s="231"/>
      <c r="AA345" s="231"/>
      <c r="AB345" s="231"/>
      <c r="AC345" s="231"/>
      <c r="AD345" s="231"/>
      <c r="AE345" s="231"/>
      <c r="AF345" s="231"/>
      <c r="AG345" s="231"/>
      <c r="AH345" s="231"/>
    </row>
    <row r="346" spans="1:34" s="203" customFormat="1">
      <c r="A346" s="119"/>
      <c r="B346" s="47"/>
      <c r="C346" s="116"/>
      <c r="D346" s="116"/>
      <c r="E346" s="178"/>
      <c r="F346" s="146"/>
      <c r="G346" s="23"/>
      <c r="H346" s="264"/>
      <c r="I346" s="21"/>
      <c r="J346" s="231"/>
      <c r="K346" s="231"/>
      <c r="L346" s="231"/>
      <c r="M346" s="231"/>
      <c r="N346" s="231"/>
      <c r="O346" s="231"/>
      <c r="P346" s="231"/>
      <c r="Q346" s="231"/>
      <c r="R346" s="231"/>
      <c r="S346" s="231"/>
      <c r="T346" s="231"/>
      <c r="U346" s="231"/>
      <c r="V346" s="231"/>
      <c r="W346" s="231"/>
      <c r="X346" s="231"/>
      <c r="Y346" s="231"/>
      <c r="Z346" s="231"/>
      <c r="AA346" s="231"/>
      <c r="AB346" s="231"/>
      <c r="AC346" s="231"/>
      <c r="AD346" s="231"/>
      <c r="AE346" s="231"/>
      <c r="AF346" s="231"/>
      <c r="AG346" s="231"/>
      <c r="AH346" s="231"/>
    </row>
    <row r="347" spans="1:34" s="203" customFormat="1">
      <c r="A347" s="652">
        <v>1</v>
      </c>
      <c r="B347" s="47" t="s">
        <v>263</v>
      </c>
      <c r="C347" s="116"/>
      <c r="D347" s="116"/>
      <c r="E347" s="354">
        <v>756</v>
      </c>
      <c r="F347" s="265">
        <v>745</v>
      </c>
      <c r="G347" s="43"/>
      <c r="H347" s="126">
        <v>782</v>
      </c>
      <c r="I347" s="86"/>
      <c r="J347" s="231"/>
      <c r="K347" s="231"/>
      <c r="L347" s="231"/>
      <c r="M347" s="231"/>
      <c r="N347" s="231"/>
      <c r="O347" s="231"/>
      <c r="P347" s="231"/>
      <c r="Q347" s="231"/>
      <c r="R347" s="231"/>
      <c r="S347" s="231"/>
      <c r="T347" s="231"/>
      <c r="U347" s="231"/>
      <c r="V347" s="231"/>
      <c r="W347" s="231"/>
      <c r="X347" s="231"/>
      <c r="Y347" s="231"/>
      <c r="Z347" s="231"/>
      <c r="AA347" s="231"/>
      <c r="AB347" s="231"/>
      <c r="AC347" s="231"/>
      <c r="AD347" s="231"/>
      <c r="AE347" s="231"/>
      <c r="AF347" s="231"/>
      <c r="AG347" s="231"/>
      <c r="AH347" s="231"/>
    </row>
    <row r="348" spans="1:34" s="203" customFormat="1">
      <c r="A348" s="652"/>
      <c r="B348" s="47"/>
      <c r="C348" s="116"/>
      <c r="D348" s="116"/>
      <c r="E348" s="355"/>
      <c r="F348" s="188"/>
      <c r="G348" s="43"/>
      <c r="H348" s="188"/>
      <c r="I348" s="86"/>
      <c r="J348" s="231"/>
      <c r="K348" s="231"/>
      <c r="L348" s="231"/>
      <c r="M348" s="231"/>
      <c r="N348" s="231"/>
      <c r="O348" s="231"/>
      <c r="P348" s="231"/>
      <c r="Q348" s="231"/>
      <c r="R348" s="231"/>
      <c r="S348" s="231"/>
      <c r="T348" s="231"/>
      <c r="U348" s="231"/>
      <c r="V348" s="231"/>
      <c r="W348" s="231"/>
      <c r="X348" s="231"/>
      <c r="Y348" s="231"/>
      <c r="Z348" s="231"/>
      <c r="AA348" s="231"/>
      <c r="AB348" s="231"/>
      <c r="AC348" s="231"/>
      <c r="AD348" s="231"/>
      <c r="AE348" s="231"/>
      <c r="AF348" s="231"/>
      <c r="AG348" s="231"/>
      <c r="AH348" s="231"/>
    </row>
    <row r="349" spans="1:34" s="203" customFormat="1">
      <c r="A349" s="108" t="s">
        <v>378</v>
      </c>
      <c r="B349" s="47"/>
      <c r="C349" s="116"/>
      <c r="D349" s="116"/>
      <c r="E349" s="355"/>
      <c r="F349" s="188"/>
      <c r="G349" s="43"/>
      <c r="H349" s="188"/>
      <c r="I349" s="86"/>
      <c r="J349" s="231"/>
      <c r="K349" s="231"/>
      <c r="L349" s="231"/>
      <c r="M349" s="231"/>
      <c r="N349" s="231"/>
      <c r="O349" s="231"/>
      <c r="P349" s="231"/>
      <c r="Q349" s="231"/>
      <c r="R349" s="231"/>
      <c r="S349" s="231"/>
      <c r="T349" s="231"/>
      <c r="U349" s="231"/>
      <c r="V349" s="231"/>
      <c r="W349" s="231"/>
      <c r="X349" s="231"/>
      <c r="Y349" s="231"/>
      <c r="Z349" s="231"/>
      <c r="AA349" s="231"/>
      <c r="AB349" s="231"/>
      <c r="AC349" s="231"/>
      <c r="AD349" s="231"/>
      <c r="AE349" s="231"/>
      <c r="AF349" s="231"/>
      <c r="AG349" s="231"/>
      <c r="AH349" s="231"/>
    </row>
    <row r="350" spans="1:34" s="203" customFormat="1">
      <c r="A350" s="652"/>
      <c r="B350" s="47"/>
      <c r="C350" s="116"/>
      <c r="D350" s="116"/>
      <c r="E350" s="355"/>
      <c r="F350" s="188"/>
      <c r="G350" s="43"/>
      <c r="H350" s="188"/>
      <c r="I350" s="86"/>
      <c r="J350" s="231"/>
      <c r="K350" s="231"/>
      <c r="L350" s="231"/>
      <c r="M350" s="231"/>
      <c r="N350" s="231"/>
      <c r="O350" s="231"/>
      <c r="P350" s="231"/>
      <c r="Q350" s="231"/>
      <c r="R350" s="231"/>
      <c r="S350" s="231"/>
      <c r="T350" s="231"/>
      <c r="U350" s="231"/>
      <c r="V350" s="231"/>
      <c r="W350" s="231"/>
      <c r="X350" s="231"/>
      <c r="Y350" s="231"/>
      <c r="Z350" s="231"/>
      <c r="AA350" s="231"/>
      <c r="AB350" s="231"/>
      <c r="AC350" s="231"/>
      <c r="AD350" s="231"/>
      <c r="AE350" s="231"/>
      <c r="AF350" s="231"/>
      <c r="AG350" s="231"/>
      <c r="AH350" s="231"/>
    </row>
    <row r="351" spans="1:34" s="203" customFormat="1">
      <c r="A351" s="198" t="s">
        <v>379</v>
      </c>
      <c r="B351" s="47"/>
      <c r="C351" s="116"/>
      <c r="D351" s="116"/>
      <c r="E351" s="355"/>
      <c r="F351" s="188"/>
      <c r="G351" s="43"/>
      <c r="H351" s="188"/>
      <c r="I351" s="86"/>
      <c r="J351" s="231"/>
      <c r="K351" s="231"/>
      <c r="L351" s="231"/>
      <c r="M351" s="231"/>
      <c r="N351" s="231"/>
      <c r="O351" s="231"/>
      <c r="P351" s="231"/>
      <c r="Q351" s="231"/>
      <c r="R351" s="231"/>
      <c r="S351" s="231"/>
      <c r="T351" s="231"/>
      <c r="U351" s="231"/>
      <c r="V351" s="231"/>
      <c r="W351" s="231"/>
      <c r="X351" s="231"/>
      <c r="Y351" s="231"/>
      <c r="Z351" s="231"/>
      <c r="AA351" s="231"/>
      <c r="AB351" s="231"/>
      <c r="AC351" s="231"/>
      <c r="AD351" s="231"/>
      <c r="AE351" s="231"/>
      <c r="AF351" s="231"/>
      <c r="AG351" s="231"/>
      <c r="AH351" s="231"/>
    </row>
    <row r="352" spans="1:34" s="203" customFormat="1">
      <c r="A352" s="652"/>
      <c r="B352" s="47"/>
      <c r="C352" s="116"/>
      <c r="D352" s="116"/>
      <c r="E352" s="355"/>
      <c r="F352" s="188"/>
      <c r="G352" s="43"/>
      <c r="H352" s="188"/>
      <c r="I352" s="86"/>
      <c r="J352" s="231"/>
      <c r="K352" s="231"/>
      <c r="L352" s="231"/>
      <c r="M352" s="231"/>
      <c r="N352" s="231"/>
      <c r="O352" s="231"/>
      <c r="P352" s="231"/>
      <c r="Q352" s="231"/>
      <c r="R352" s="231"/>
      <c r="S352" s="231"/>
      <c r="T352" s="231"/>
      <c r="U352" s="231"/>
      <c r="V352" s="231"/>
      <c r="W352" s="231"/>
      <c r="X352" s="231"/>
      <c r="Y352" s="231"/>
      <c r="Z352" s="231"/>
      <c r="AA352" s="231"/>
      <c r="AB352" s="231"/>
      <c r="AC352" s="231"/>
      <c r="AD352" s="231"/>
      <c r="AE352" s="231"/>
      <c r="AF352" s="231"/>
      <c r="AG352" s="231"/>
      <c r="AH352" s="231"/>
    </row>
    <row r="353" spans="1:34" s="203" customFormat="1">
      <c r="A353" s="652">
        <v>2</v>
      </c>
      <c r="B353" s="47" t="s">
        <v>52</v>
      </c>
      <c r="C353" s="116"/>
      <c r="D353" s="116"/>
      <c r="E353" s="74">
        <v>0</v>
      </c>
      <c r="F353" s="265">
        <v>0</v>
      </c>
      <c r="G353" s="43"/>
      <c r="H353" s="126">
        <v>0</v>
      </c>
      <c r="I353" s="86"/>
      <c r="J353" s="231"/>
      <c r="K353" s="231"/>
      <c r="L353" s="231"/>
      <c r="M353" s="231"/>
      <c r="N353" s="231"/>
      <c r="O353" s="231"/>
      <c r="P353" s="231"/>
      <c r="Q353" s="231"/>
      <c r="R353" s="231"/>
      <c r="S353" s="231"/>
      <c r="T353" s="231"/>
      <c r="U353" s="231"/>
      <c r="V353" s="231"/>
      <c r="W353" s="231"/>
      <c r="X353" s="231"/>
      <c r="Y353" s="231"/>
      <c r="Z353" s="231"/>
      <c r="AA353" s="231"/>
      <c r="AB353" s="231"/>
      <c r="AC353" s="231"/>
      <c r="AD353" s="231"/>
      <c r="AE353" s="231"/>
      <c r="AF353" s="231"/>
      <c r="AG353" s="231"/>
      <c r="AH353" s="231"/>
    </row>
    <row r="354" spans="1:34" s="203" customFormat="1">
      <c r="A354" s="652">
        <v>3</v>
      </c>
      <c r="B354" s="47" t="s">
        <v>53</v>
      </c>
      <c r="C354" s="116"/>
      <c r="D354" s="116"/>
      <c r="E354" s="49">
        <v>0</v>
      </c>
      <c r="F354" s="265">
        <v>2624</v>
      </c>
      <c r="G354" s="43"/>
      <c r="H354" s="126">
        <v>2886</v>
      </c>
      <c r="I354" s="86"/>
      <c r="J354" s="231"/>
      <c r="K354" s="231"/>
      <c r="L354" s="231"/>
      <c r="M354" s="231"/>
      <c r="N354" s="231"/>
      <c r="O354" s="231"/>
      <c r="P354" s="231"/>
      <c r="Q354" s="231"/>
      <c r="R354" s="231"/>
      <c r="S354" s="231"/>
      <c r="T354" s="231"/>
      <c r="U354" s="231"/>
      <c r="V354" s="231"/>
      <c r="W354" s="231"/>
      <c r="X354" s="231"/>
      <c r="Y354" s="231"/>
      <c r="Z354" s="231"/>
      <c r="AA354" s="231"/>
      <c r="AB354" s="231"/>
      <c r="AC354" s="231"/>
      <c r="AD354" s="231"/>
      <c r="AE354" s="231"/>
      <c r="AF354" s="231"/>
      <c r="AG354" s="231"/>
      <c r="AH354" s="231"/>
    </row>
    <row r="355" spans="1:34" s="203" customFormat="1">
      <c r="A355" s="652">
        <v>4</v>
      </c>
      <c r="B355" s="47" t="s">
        <v>54</v>
      </c>
      <c r="C355" s="116"/>
      <c r="D355" s="116"/>
      <c r="E355" s="49">
        <v>950</v>
      </c>
      <c r="F355" s="265">
        <v>1150</v>
      </c>
      <c r="G355" s="43"/>
      <c r="H355" s="126">
        <f>1077</f>
        <v>1077</v>
      </c>
      <c r="I355" s="86"/>
      <c r="J355" s="231"/>
      <c r="K355" s="231"/>
      <c r="L355" s="231"/>
      <c r="M355" s="231"/>
      <c r="N355" s="231"/>
      <c r="O355" s="231"/>
      <c r="P355" s="231"/>
      <c r="Q355" s="231"/>
      <c r="R355" s="231"/>
      <c r="S355" s="231"/>
      <c r="T355" s="231"/>
      <c r="U355" s="231"/>
      <c r="V355" s="231"/>
      <c r="W355" s="231"/>
      <c r="X355" s="231"/>
      <c r="Y355" s="231"/>
      <c r="Z355" s="231"/>
      <c r="AA355" s="231"/>
      <c r="AB355" s="231"/>
      <c r="AC355" s="231"/>
      <c r="AD355" s="231"/>
      <c r="AE355" s="231"/>
      <c r="AF355" s="231"/>
      <c r="AG355" s="231"/>
      <c r="AH355" s="231"/>
    </row>
    <row r="356" spans="1:34" s="203" customFormat="1">
      <c r="A356" s="652">
        <v>5</v>
      </c>
      <c r="B356" s="47" t="s">
        <v>55</v>
      </c>
      <c r="C356" s="116"/>
      <c r="D356" s="116"/>
      <c r="E356" s="49">
        <v>0</v>
      </c>
      <c r="F356" s="265">
        <v>0</v>
      </c>
      <c r="G356" s="43"/>
      <c r="H356" s="126">
        <v>0</v>
      </c>
      <c r="I356" s="86"/>
      <c r="J356" s="231"/>
      <c r="K356" s="231"/>
      <c r="L356" s="231"/>
      <c r="M356" s="231"/>
      <c r="N356" s="231"/>
      <c r="O356" s="231"/>
      <c r="P356" s="231"/>
      <c r="Q356" s="231"/>
      <c r="R356" s="231"/>
      <c r="S356" s="231"/>
      <c r="T356" s="231"/>
      <c r="U356" s="231"/>
      <c r="V356" s="231"/>
      <c r="W356" s="231"/>
      <c r="X356" s="231"/>
      <c r="Y356" s="231"/>
      <c r="Z356" s="231"/>
      <c r="AA356" s="231"/>
      <c r="AB356" s="231"/>
      <c r="AC356" s="231"/>
      <c r="AD356" s="231"/>
      <c r="AE356" s="231"/>
      <c r="AF356" s="231"/>
      <c r="AG356" s="231"/>
      <c r="AH356" s="231"/>
    </row>
    <row r="357" spans="1:34" s="203" customFormat="1">
      <c r="A357" s="652">
        <v>6</v>
      </c>
      <c r="B357" s="47" t="s">
        <v>56</v>
      </c>
      <c r="C357" s="116"/>
      <c r="D357" s="116"/>
      <c r="E357" s="49">
        <v>0</v>
      </c>
      <c r="F357" s="265">
        <v>0</v>
      </c>
      <c r="G357" s="43"/>
      <c r="H357" s="126">
        <v>0</v>
      </c>
      <c r="I357" s="86"/>
      <c r="J357" s="231"/>
      <c r="K357" s="231"/>
      <c r="L357" s="231"/>
      <c r="M357" s="231"/>
      <c r="N357" s="231"/>
      <c r="O357" s="231"/>
      <c r="P357" s="231"/>
      <c r="Q357" s="231"/>
      <c r="R357" s="231"/>
      <c r="S357" s="231"/>
      <c r="T357" s="231"/>
      <c r="U357" s="231"/>
      <c r="V357" s="231"/>
      <c r="W357" s="231"/>
      <c r="X357" s="231"/>
      <c r="Y357" s="231"/>
      <c r="Z357" s="231"/>
      <c r="AA357" s="231"/>
      <c r="AB357" s="231"/>
      <c r="AC357" s="231"/>
      <c r="AD357" s="231"/>
      <c r="AE357" s="231"/>
      <c r="AF357" s="231"/>
      <c r="AG357" s="231"/>
      <c r="AH357" s="231"/>
    </row>
    <row r="358" spans="1:34" s="203" customFormat="1">
      <c r="A358" s="652">
        <v>7</v>
      </c>
      <c r="B358" s="47" t="s">
        <v>57</v>
      </c>
      <c r="C358" s="116"/>
      <c r="D358" s="116"/>
      <c r="E358" s="49">
        <v>0</v>
      </c>
      <c r="F358" s="265">
        <v>0</v>
      </c>
      <c r="G358" s="43"/>
      <c r="H358" s="126">
        <v>0</v>
      </c>
      <c r="I358" s="86"/>
      <c r="J358" s="231"/>
      <c r="K358" s="231"/>
      <c r="L358" s="231"/>
      <c r="M358" s="231"/>
      <c r="N358" s="231"/>
      <c r="O358" s="231"/>
      <c r="P358" s="231"/>
      <c r="Q358" s="231"/>
      <c r="R358" s="231"/>
      <c r="S358" s="231"/>
      <c r="T358" s="231"/>
      <c r="U358" s="231"/>
      <c r="V358" s="231"/>
      <c r="W358" s="231"/>
      <c r="X358" s="231"/>
      <c r="Y358" s="231"/>
      <c r="Z358" s="231"/>
      <c r="AA358" s="231"/>
      <c r="AB358" s="231"/>
      <c r="AC358" s="231"/>
      <c r="AD358" s="231"/>
      <c r="AE358" s="231"/>
      <c r="AF358" s="231"/>
      <c r="AG358" s="231"/>
      <c r="AH358" s="231"/>
    </row>
    <row r="359" spans="1:34" s="203" customFormat="1">
      <c r="A359" s="652">
        <v>8</v>
      </c>
      <c r="B359" s="47" t="s">
        <v>58</v>
      </c>
      <c r="C359" s="116"/>
      <c r="D359" s="116"/>
      <c r="E359" s="49">
        <v>0</v>
      </c>
      <c r="F359" s="265">
        <v>0</v>
      </c>
      <c r="G359" s="43"/>
      <c r="H359" s="126">
        <v>0</v>
      </c>
      <c r="I359" s="86"/>
      <c r="J359" s="231"/>
      <c r="K359" s="231"/>
      <c r="L359" s="231"/>
      <c r="M359" s="231"/>
      <c r="N359" s="231"/>
      <c r="O359" s="231"/>
      <c r="P359" s="231"/>
      <c r="Q359" s="231"/>
      <c r="R359" s="231"/>
      <c r="S359" s="231"/>
      <c r="T359" s="231"/>
      <c r="U359" s="231"/>
      <c r="V359" s="231"/>
      <c r="W359" s="231"/>
      <c r="X359" s="231"/>
      <c r="Y359" s="231"/>
      <c r="Z359" s="231"/>
      <c r="AA359" s="231"/>
      <c r="AB359" s="231"/>
      <c r="AC359" s="231"/>
      <c r="AD359" s="231"/>
      <c r="AE359" s="231"/>
      <c r="AF359" s="231"/>
      <c r="AG359" s="231"/>
      <c r="AH359" s="231"/>
    </row>
    <row r="360" spans="1:34" s="203" customFormat="1">
      <c r="A360" s="652">
        <v>9</v>
      </c>
      <c r="B360" s="47" t="s">
        <v>59</v>
      </c>
      <c r="C360" s="116"/>
      <c r="D360" s="116"/>
      <c r="E360" s="49">
        <v>-893</v>
      </c>
      <c r="F360" s="265">
        <f>-5411+1637</f>
        <v>-3774</v>
      </c>
      <c r="G360" s="43"/>
      <c r="H360" s="126">
        <f>-6627+2648</f>
        <v>-3979</v>
      </c>
      <c r="I360" s="86"/>
      <c r="J360" s="231"/>
      <c r="K360" s="231"/>
      <c r="L360" s="231"/>
      <c r="M360" s="231"/>
      <c r="N360" s="231"/>
      <c r="O360" s="231"/>
      <c r="P360" s="231"/>
      <c r="Q360" s="231"/>
      <c r="R360" s="231"/>
      <c r="S360" s="231"/>
      <c r="T360" s="231"/>
      <c r="U360" s="231"/>
      <c r="V360" s="231"/>
      <c r="W360" s="231"/>
      <c r="X360" s="231"/>
      <c r="Y360" s="231"/>
      <c r="Z360" s="231"/>
      <c r="AA360" s="231"/>
      <c r="AB360" s="231"/>
      <c r="AC360" s="231"/>
      <c r="AD360" s="231"/>
      <c r="AE360" s="231"/>
      <c r="AF360" s="231"/>
      <c r="AG360" s="231"/>
      <c r="AH360" s="231"/>
    </row>
    <row r="361" spans="1:34" s="203" customFormat="1">
      <c r="A361" s="652">
        <v>10</v>
      </c>
      <c r="B361" s="47" t="s">
        <v>60</v>
      </c>
      <c r="C361" s="116"/>
      <c r="D361" s="116"/>
      <c r="E361" s="49">
        <v>0</v>
      </c>
      <c r="F361" s="265">
        <v>0</v>
      </c>
      <c r="G361" s="43"/>
      <c r="H361" s="126">
        <v>0</v>
      </c>
      <c r="I361" s="86"/>
      <c r="J361" s="231"/>
      <c r="K361" s="231"/>
      <c r="L361" s="231"/>
      <c r="M361" s="231"/>
      <c r="N361" s="231"/>
      <c r="O361" s="231"/>
      <c r="P361" s="231"/>
      <c r="Q361" s="231"/>
      <c r="R361" s="231"/>
      <c r="S361" s="231"/>
      <c r="T361" s="231"/>
      <c r="U361" s="231"/>
      <c r="V361" s="231"/>
      <c r="W361" s="231"/>
      <c r="X361" s="231"/>
      <c r="Y361" s="231"/>
      <c r="Z361" s="231"/>
      <c r="AA361" s="231"/>
      <c r="AB361" s="231"/>
      <c r="AC361" s="231"/>
      <c r="AD361" s="231"/>
      <c r="AE361" s="231"/>
      <c r="AF361" s="231"/>
      <c r="AG361" s="231"/>
      <c r="AH361" s="231"/>
    </row>
    <row r="362" spans="1:34" s="203" customFormat="1">
      <c r="A362" s="652">
        <v>11</v>
      </c>
      <c r="B362" s="47" t="s">
        <v>61</v>
      </c>
      <c r="C362" s="116"/>
      <c r="D362" s="116"/>
      <c r="E362" s="49">
        <v>0</v>
      </c>
      <c r="F362" s="265">
        <v>0</v>
      </c>
      <c r="G362" s="43"/>
      <c r="H362" s="126">
        <v>0</v>
      </c>
      <c r="I362" s="86"/>
      <c r="J362" s="231"/>
      <c r="K362" s="231"/>
      <c r="L362" s="231"/>
      <c r="M362" s="231"/>
      <c r="N362" s="231"/>
      <c r="O362" s="231"/>
      <c r="P362" s="231"/>
      <c r="Q362" s="231"/>
      <c r="R362" s="231"/>
      <c r="S362" s="231"/>
      <c r="T362" s="231"/>
      <c r="U362" s="231"/>
      <c r="V362" s="231"/>
      <c r="W362" s="231"/>
      <c r="X362" s="231"/>
      <c r="Y362" s="231"/>
      <c r="Z362" s="231"/>
      <c r="AA362" s="231"/>
      <c r="AB362" s="231"/>
      <c r="AC362" s="231"/>
      <c r="AD362" s="231"/>
      <c r="AE362" s="231"/>
      <c r="AF362" s="231"/>
      <c r="AG362" s="231"/>
      <c r="AH362" s="231"/>
    </row>
    <row r="363" spans="1:34" s="203" customFormat="1">
      <c r="A363" s="653">
        <v>12</v>
      </c>
      <c r="B363" s="54" t="s">
        <v>380</v>
      </c>
      <c r="C363" s="94"/>
      <c r="D363" s="94"/>
      <c r="E363" s="135">
        <v>57</v>
      </c>
      <c r="F363" s="61">
        <f>SUM(F353:F362)</f>
        <v>0</v>
      </c>
      <c r="G363" s="43"/>
      <c r="H363" s="61">
        <f>SUM(H353:H362)</f>
        <v>-16</v>
      </c>
      <c r="I363" s="86"/>
      <c r="J363" s="231"/>
      <c r="K363" s="231"/>
      <c r="L363" s="231"/>
      <c r="M363" s="231"/>
      <c r="N363" s="231"/>
      <c r="O363" s="231"/>
      <c r="P363" s="231"/>
      <c r="Q363" s="231"/>
      <c r="R363" s="231"/>
      <c r="S363" s="231"/>
      <c r="T363" s="231"/>
      <c r="U363" s="231"/>
      <c r="V363" s="231"/>
      <c r="W363" s="231"/>
      <c r="X363" s="231"/>
      <c r="Y363" s="231"/>
      <c r="Z363" s="231"/>
      <c r="AA363" s="231"/>
      <c r="AB363" s="231"/>
      <c r="AC363" s="231"/>
      <c r="AD363" s="231"/>
      <c r="AE363" s="231"/>
      <c r="AF363" s="231"/>
      <c r="AG363" s="231"/>
      <c r="AH363" s="231"/>
    </row>
    <row r="364" spans="1:34" s="203" customFormat="1">
      <c r="A364" s="199"/>
      <c r="B364" s="15"/>
      <c r="C364" s="15"/>
      <c r="D364" s="15"/>
      <c r="E364" s="15"/>
      <c r="F364" s="15"/>
      <c r="G364" s="15"/>
      <c r="H364" s="15"/>
      <c r="I364" s="86"/>
      <c r="J364" s="231"/>
      <c r="K364" s="231"/>
      <c r="L364" s="231"/>
      <c r="M364" s="231"/>
      <c r="N364" s="231"/>
      <c r="O364" s="231"/>
      <c r="P364" s="231"/>
      <c r="Q364" s="231"/>
      <c r="R364" s="231"/>
      <c r="S364" s="231"/>
      <c r="T364" s="231"/>
      <c r="U364" s="231"/>
      <c r="V364" s="231"/>
      <c r="W364" s="231"/>
      <c r="X364" s="231"/>
      <c r="Y364" s="231"/>
      <c r="Z364" s="231"/>
      <c r="AA364" s="231"/>
      <c r="AB364" s="231"/>
      <c r="AC364" s="231"/>
      <c r="AD364" s="231"/>
      <c r="AE364" s="231"/>
      <c r="AF364" s="231"/>
      <c r="AG364" s="231"/>
      <c r="AH364" s="231"/>
    </row>
    <row r="365" spans="1:34" s="203" customFormat="1">
      <c r="A365" s="199"/>
      <c r="B365" s="15"/>
      <c r="C365" s="15"/>
      <c r="D365" s="15"/>
      <c r="E365" s="15"/>
      <c r="F365" s="15"/>
      <c r="G365" s="15"/>
      <c r="H365" s="86"/>
      <c r="I365" s="86"/>
      <c r="J365" s="231"/>
      <c r="K365" s="231"/>
      <c r="L365" s="231"/>
      <c r="M365" s="231"/>
      <c r="N365" s="231"/>
      <c r="O365" s="231"/>
      <c r="P365" s="231"/>
      <c r="Q365" s="231"/>
      <c r="R365" s="231"/>
      <c r="S365" s="231"/>
      <c r="T365" s="231"/>
      <c r="U365" s="231"/>
      <c r="V365" s="231"/>
      <c r="W365" s="231"/>
      <c r="X365" s="231"/>
      <c r="Y365" s="231"/>
      <c r="Z365" s="231"/>
      <c r="AA365" s="231"/>
      <c r="AB365" s="231"/>
      <c r="AC365" s="231"/>
      <c r="AD365" s="231"/>
      <c r="AE365" s="231"/>
      <c r="AF365" s="231"/>
      <c r="AG365" s="231"/>
      <c r="AH365" s="231"/>
    </row>
    <row r="366" spans="1:34" s="203" customFormat="1">
      <c r="A366" s="199"/>
      <c r="B366" s="15"/>
      <c r="C366" s="15"/>
      <c r="D366" s="15"/>
      <c r="E366" s="15"/>
      <c r="F366" s="15"/>
      <c r="G366" s="15"/>
      <c r="H366" s="86"/>
      <c r="I366" s="86"/>
      <c r="J366" s="231"/>
      <c r="K366" s="231"/>
      <c r="L366" s="231"/>
      <c r="M366" s="231"/>
      <c r="N366" s="231"/>
      <c r="O366" s="231"/>
      <c r="P366" s="231"/>
      <c r="Q366" s="231"/>
      <c r="R366" s="231"/>
      <c r="S366" s="231"/>
      <c r="T366" s="231"/>
      <c r="U366" s="231"/>
      <c r="V366" s="231"/>
      <c r="W366" s="231"/>
      <c r="X366" s="231"/>
      <c r="Y366" s="231"/>
      <c r="Z366" s="231"/>
      <c r="AA366" s="231"/>
      <c r="AB366" s="231"/>
      <c r="AC366" s="231"/>
      <c r="AD366" s="231"/>
      <c r="AE366" s="231"/>
      <c r="AF366" s="231"/>
      <c r="AG366" s="231"/>
      <c r="AH366" s="231"/>
    </row>
    <row r="367" spans="1:34" s="8" customFormat="1"/>
    <row r="368" spans="1:34" s="8" customFormat="1"/>
    <row r="369" s="8" customFormat="1"/>
    <row r="370" s="8" customFormat="1"/>
    <row r="371" s="8" customFormat="1"/>
    <row r="372" s="8" customFormat="1"/>
    <row r="373" s="8" customFormat="1"/>
    <row r="374" s="8" customFormat="1"/>
    <row r="375" s="8" customFormat="1"/>
    <row r="376" s="8" customFormat="1"/>
    <row r="377" s="8" customFormat="1"/>
    <row r="378" s="8" customFormat="1"/>
    <row r="379" s="8" customFormat="1"/>
    <row r="380" s="8" customFormat="1"/>
    <row r="381" s="8" customFormat="1"/>
    <row r="382" s="8" customFormat="1"/>
    <row r="383" s="8" customFormat="1"/>
    <row r="384" s="8" customFormat="1"/>
    <row r="385" spans="1:9" s="8" customFormat="1"/>
    <row r="386" spans="1:9" s="8" customFormat="1"/>
    <row r="387" spans="1:9" s="8" customFormat="1"/>
    <row r="388" spans="1:9" s="8" customFormat="1"/>
    <row r="389" spans="1:9" s="8" customFormat="1"/>
    <row r="390" spans="1:9" s="8" customFormat="1"/>
    <row r="391" spans="1:9" s="8" customFormat="1"/>
    <row r="392" spans="1:9" s="8" customFormat="1"/>
    <row r="393" spans="1:9" s="8" customFormat="1"/>
    <row r="394" spans="1:9" s="8" customFormat="1"/>
    <row r="395" spans="1:9" s="8" customFormat="1"/>
    <row r="396" spans="1:9" s="8" customFormat="1"/>
    <row r="397" spans="1:9" s="8" customFormat="1"/>
    <row r="398" spans="1:9" s="8" customFormat="1"/>
    <row r="399" spans="1:9" s="8" customFormat="1"/>
    <row r="400" spans="1:9">
      <c r="A400" s="8"/>
      <c r="B400" s="8"/>
      <c r="C400" s="8"/>
      <c r="D400" s="8"/>
      <c r="E400" s="8"/>
      <c r="F400" s="8"/>
      <c r="G400" s="8"/>
      <c r="H400" s="8"/>
      <c r="I400" s="8"/>
    </row>
    <row r="401" spans="1:9">
      <c r="A401" s="8"/>
      <c r="B401" s="8"/>
      <c r="C401" s="8"/>
      <c r="D401" s="8"/>
      <c r="E401" s="8"/>
      <c r="F401" s="8"/>
      <c r="G401" s="8"/>
      <c r="H401" s="8"/>
      <c r="I401" s="8"/>
    </row>
    <row r="402" spans="1:9">
      <c r="A402" s="8"/>
      <c r="B402" s="8"/>
      <c r="C402" s="8"/>
      <c r="D402" s="8"/>
      <c r="E402" s="8"/>
      <c r="F402" s="8"/>
      <c r="G402" s="8"/>
      <c r="H402" s="8"/>
      <c r="I402" s="8"/>
    </row>
    <row r="403" spans="1:9">
      <c r="A403" s="8"/>
      <c r="B403" s="8"/>
      <c r="C403" s="8"/>
      <c r="D403" s="8"/>
      <c r="E403" s="8"/>
      <c r="F403" s="8"/>
      <c r="G403" s="8"/>
      <c r="H403" s="8"/>
      <c r="I403" s="8"/>
    </row>
    <row r="404" spans="1:9">
      <c r="A404" s="8"/>
      <c r="B404" s="8"/>
      <c r="C404" s="8"/>
      <c r="D404" s="8"/>
      <c r="E404" s="8"/>
      <c r="F404" s="8"/>
      <c r="G404" s="8"/>
      <c r="H404" s="8"/>
      <c r="I404" s="8"/>
    </row>
    <row r="405" spans="1:9">
      <c r="A405" s="8"/>
      <c r="B405" s="8"/>
      <c r="C405" s="8"/>
      <c r="D405" s="8"/>
      <c r="E405" s="8"/>
      <c r="F405" s="8"/>
      <c r="G405" s="8"/>
      <c r="H405" s="8"/>
      <c r="I405" s="8"/>
    </row>
    <row r="406" spans="1:9">
      <c r="A406" s="8"/>
      <c r="B406" s="8"/>
      <c r="C406" s="8"/>
      <c r="D406" s="8"/>
      <c r="E406" s="8"/>
      <c r="F406" s="8"/>
      <c r="G406" s="8"/>
      <c r="H406" s="8"/>
      <c r="I406" s="8"/>
    </row>
    <row r="407" spans="1:9">
      <c r="A407" s="8"/>
      <c r="B407" s="8"/>
      <c r="C407" s="8"/>
      <c r="D407" s="8"/>
      <c r="E407" s="8"/>
      <c r="F407" s="8"/>
      <c r="G407" s="8"/>
      <c r="H407" s="8"/>
      <c r="I407" s="8"/>
    </row>
    <row r="408" spans="1:9">
      <c r="A408" s="8"/>
      <c r="B408" s="8"/>
      <c r="C408" s="8"/>
      <c r="D408" s="8"/>
      <c r="E408" s="8"/>
      <c r="F408" s="8"/>
      <c r="G408" s="8"/>
      <c r="H408" s="8"/>
      <c r="I408" s="8"/>
    </row>
    <row r="409" spans="1:9">
      <c r="A409" s="8"/>
      <c r="B409" s="8"/>
      <c r="C409" s="8"/>
      <c r="D409" s="8"/>
      <c r="E409" s="8"/>
      <c r="F409" s="8"/>
      <c r="G409" s="8"/>
      <c r="H409" s="8"/>
      <c r="I409" s="8"/>
    </row>
    <row r="410" spans="1:9">
      <c r="A410" s="8"/>
      <c r="B410" s="8"/>
      <c r="C410" s="8"/>
      <c r="D410" s="8"/>
      <c r="E410" s="8"/>
      <c r="F410" s="8"/>
      <c r="G410" s="8"/>
      <c r="H410" s="8"/>
      <c r="I410" s="8"/>
    </row>
    <row r="411" spans="1:9">
      <c r="A411" s="8"/>
      <c r="B411" s="8"/>
      <c r="C411" s="8"/>
      <c r="D411" s="8"/>
      <c r="E411" s="8"/>
      <c r="F411" s="8"/>
      <c r="G411" s="8"/>
      <c r="H411" s="8"/>
      <c r="I411" s="8"/>
    </row>
    <row r="412" spans="1:9">
      <c r="A412" s="8"/>
      <c r="B412" s="8"/>
      <c r="C412" s="8"/>
      <c r="D412" s="8"/>
      <c r="E412" s="8"/>
      <c r="F412" s="8"/>
      <c r="G412" s="8"/>
      <c r="H412" s="8"/>
      <c r="I412" s="8"/>
    </row>
    <row r="413" spans="1:9">
      <c r="A413" s="8"/>
      <c r="B413" s="8"/>
      <c r="C413" s="8"/>
      <c r="D413" s="8"/>
      <c r="E413" s="8"/>
      <c r="F413" s="8"/>
      <c r="G413" s="8"/>
      <c r="H413" s="8"/>
      <c r="I413" s="8"/>
    </row>
    <row r="414" spans="1:9">
      <c r="A414" s="8"/>
      <c r="B414" s="8"/>
      <c r="C414" s="8"/>
      <c r="D414" s="8"/>
      <c r="E414" s="8"/>
      <c r="F414" s="8"/>
      <c r="G414" s="8"/>
      <c r="H414" s="8"/>
      <c r="I414" s="8"/>
    </row>
  </sheetData>
  <mergeCells count="59">
    <mergeCell ref="C19:F19"/>
    <mergeCell ref="B3:B4"/>
    <mergeCell ref="C3:D4"/>
    <mergeCell ref="A5:B5"/>
    <mergeCell ref="D6:H6"/>
    <mergeCell ref="A9:I9"/>
    <mergeCell ref="D10:F10"/>
    <mergeCell ref="C14:F14"/>
    <mergeCell ref="C15:F15"/>
    <mergeCell ref="C16:F16"/>
    <mergeCell ref="C17:F17"/>
    <mergeCell ref="C18:F18"/>
    <mergeCell ref="A23:D24"/>
    <mergeCell ref="E23:E24"/>
    <mergeCell ref="F23:F24"/>
    <mergeCell ref="H23:H24"/>
    <mergeCell ref="A25:A27"/>
    <mergeCell ref="B25:D27"/>
    <mergeCell ref="E25:E27"/>
    <mergeCell ref="F25:F27"/>
    <mergeCell ref="H25:H27"/>
    <mergeCell ref="A40:D41"/>
    <mergeCell ref="E40:E41"/>
    <mergeCell ref="F40:F41"/>
    <mergeCell ref="H40:H41"/>
    <mergeCell ref="E66:E70"/>
    <mergeCell ref="F66:F70"/>
    <mergeCell ref="G66:G70"/>
    <mergeCell ref="H66:H70"/>
    <mergeCell ref="I66:I70"/>
    <mergeCell ref="F91:F95"/>
    <mergeCell ref="H91:H95"/>
    <mergeCell ref="E193:E197"/>
    <mergeCell ref="F193:F197"/>
    <mergeCell ref="H193:H197"/>
    <mergeCell ref="E153:E157"/>
    <mergeCell ref="F153:F157"/>
    <mergeCell ref="H153:H157"/>
    <mergeCell ref="E91:E95"/>
    <mergeCell ref="E221:E225"/>
    <mergeCell ref="F221:F225"/>
    <mergeCell ref="H221:H225"/>
    <mergeCell ref="E234:E238"/>
    <mergeCell ref="F234:F238"/>
    <mergeCell ref="H234:H238"/>
    <mergeCell ref="E261:E265"/>
    <mergeCell ref="F261:F265"/>
    <mergeCell ref="H261:H265"/>
    <mergeCell ref="E280:E284"/>
    <mergeCell ref="F280:F284"/>
    <mergeCell ref="H280:H284"/>
    <mergeCell ref="E341:E345"/>
    <mergeCell ref="F341:F345"/>
    <mergeCell ref="H341:H345"/>
    <mergeCell ref="E305:E309"/>
    <mergeCell ref="F305:F309"/>
    <mergeCell ref="H305:H309"/>
    <mergeCell ref="C323:H323"/>
    <mergeCell ref="C330:H330"/>
  </mergeCells>
  <phoneticPr fontId="10" type="noConversion"/>
  <conditionalFormatting sqref="F71:F76 F286:F301 F311:F318 F80:F88 F106 F146:F149 F159:F162 F166:F168 F171:F172 F175:F177 F183:F190 F199:F200 F204:F206 F210:F213 F217:F218 F226:F230 F240:F241 F245:F246 F250:F253 F256 F267:F276 H250 F96:F97 F103:F104 F110:F114 F118:F124 F128:F134 F138:F142">
    <cfRule type="expression" dxfId="20" priority="289" stopIfTrue="1">
      <formula>ISBLANK(F71)</formula>
    </cfRule>
    <cfRule type="expression" dxfId="19" priority="290" stopIfTrue="1">
      <formula>IF(AND(OR(F71-E71&gt;500,F71-E71&lt;-500),OR(#REF!&gt;0.1,#REF!&lt;-0.1)),TRUE,FALSE)</formula>
    </cfRule>
  </conditionalFormatting>
  <dataValidations count="1">
    <dataValidation type="list" errorStyle="information" allowBlank="1" showInputMessage="1" showErrorMessage="1" errorTitle="POBE 2006" error="Please select from the drop-down menu..." prompt="Please select your Authority from the drop-down menu..." sqref="C3:D4">
      <formula1>#REF!</formula1>
    </dataValidation>
  </dataValidations>
  <hyperlinks>
    <hyperlink ref="F7" r:id="rId1" display="lgfstats@scotland.gsi.gov.uk"/>
    <hyperlink ref="D6" r:id="rId2"/>
    <hyperlink ref="D10" r:id="rId3" display="^lgfstats@gov.scot"/>
    <hyperlink ref="B14" location="'POBE 2017'!A28" display="PART 1 - Expenditure"/>
    <hyperlink ref="C19:F19" location="'POBE 2017'!A323" display="Sheet 10. - PUBLIC PRIVATE PARTNERSHIPS/PRIVATE FINANCE INITIATIVES"/>
    <hyperlink ref="B15" location="'POBE 2017'!A40" display="PART 2 - Income and Balances"/>
    <hyperlink ref="B16" location="'POBE 2017'!A66" display="Sheet 1. EDUCATION"/>
    <hyperlink ref="B17" location="'POBE 2017'!A91" display="Sheet 2. SOCIAL WORK"/>
    <hyperlink ref="B18" location="'POBE 2017'!A153" display="Sheet 3. ROADS AND TRANSPORT"/>
    <hyperlink ref="B19" location="'POBE 2017'!A193" display="Sheet 4. ENVIRONMENTAL SERVICES"/>
    <hyperlink ref="C14:F14" location="'POBE 2017'!A221" display="Sheet 5. PLANNING AND DEVELOPMENT SERVICES"/>
    <hyperlink ref="C15:F15" location="'POBE 2017'!A234" display="Sheet 6. CULTURAL AND RELATED SERVICES"/>
    <hyperlink ref="C16:F16" location="'POBE 2017'!A261" display="Sheet 7. HOUSING"/>
    <hyperlink ref="C17:F17" location="'POBE 2017'!A280" display="Sheet 8. CENTRAL SERVICES"/>
    <hyperlink ref="C18:F18" location="'POBE 2017'!A305" display="Sheet 9. OTHER EXPENDITURE"/>
  </hyperlinks>
  <pageMargins left="0.75" right="0.75" top="1" bottom="1" header="0.5" footer="0.5"/>
  <pageSetup paperSize="9" orientation="portrait" r:id="rId4"/>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I413"/>
  <sheetViews>
    <sheetView topLeftCell="A184" zoomScale="80" zoomScaleNormal="80" workbookViewId="0">
      <selection activeCell="G318" sqref="G318"/>
    </sheetView>
  </sheetViews>
  <sheetFormatPr defaultColWidth="9.140625" defaultRowHeight="12.75"/>
  <cols>
    <col min="1" max="1" width="10.5703125" style="1" customWidth="1"/>
    <col min="2" max="2" width="43" style="1" customWidth="1"/>
    <col min="3" max="3" width="24.5703125" style="1" customWidth="1"/>
    <col min="4" max="4" width="14.7109375" style="1" customWidth="1"/>
    <col min="5" max="5" width="21.5703125" style="1" customWidth="1"/>
    <col min="6" max="6" width="19.140625" style="1" customWidth="1"/>
    <col min="7" max="7" width="17.42578125" style="1" customWidth="1"/>
    <col min="8" max="8" width="19.28515625" style="1" customWidth="1"/>
    <col min="9" max="9" width="17.85546875" style="1" customWidth="1"/>
    <col min="10" max="14" width="9.140625" style="8" customWidth="1"/>
    <col min="15" max="16384" width="9.140625" style="8"/>
  </cols>
  <sheetData>
    <row r="1" spans="1:9" s="231" customFormat="1" ht="51" customHeight="1">
      <c r="A1" s="3" t="s">
        <v>410</v>
      </c>
      <c r="B1" s="4"/>
      <c r="C1" s="224"/>
      <c r="D1" s="224"/>
      <c r="E1" s="224"/>
      <c r="F1" s="224"/>
      <c r="G1" s="225"/>
      <c r="H1" s="226"/>
      <c r="I1" s="227"/>
    </row>
    <row r="2" spans="1:9" s="231" customFormat="1" ht="35.25">
      <c r="A2" s="9"/>
      <c r="B2" s="10"/>
      <c r="C2" s="232"/>
      <c r="D2" s="232"/>
      <c r="E2" s="232"/>
      <c r="F2" s="11"/>
      <c r="G2" s="11"/>
      <c r="H2" s="11"/>
      <c r="I2" s="11"/>
    </row>
    <row r="3" spans="1:9" s="231" customFormat="1" ht="15">
      <c r="A3" s="12"/>
      <c r="B3" s="882" t="s">
        <v>0</v>
      </c>
      <c r="C3" s="884" t="s">
        <v>39</v>
      </c>
      <c r="D3" s="885"/>
      <c r="E3" s="13"/>
      <c r="F3" s="14"/>
      <c r="G3" s="14"/>
      <c r="H3" s="15"/>
      <c r="I3" s="14"/>
    </row>
    <row r="4" spans="1:9" s="231" customFormat="1" ht="15">
      <c r="A4" s="17"/>
      <c r="B4" s="883"/>
      <c r="C4" s="886"/>
      <c r="D4" s="887"/>
      <c r="E4" s="13"/>
      <c r="F4" s="14"/>
      <c r="G4" s="14"/>
      <c r="H4" s="15"/>
      <c r="I4" s="14"/>
    </row>
    <row r="5" spans="1:9" s="231" customFormat="1" ht="15">
      <c r="A5" s="888"/>
      <c r="B5" s="889"/>
      <c r="C5" s="18"/>
      <c r="D5" s="206"/>
      <c r="E5" s="206"/>
      <c r="F5" s="14"/>
      <c r="G5" s="14"/>
      <c r="H5" s="14"/>
      <c r="I5" s="234"/>
    </row>
    <row r="6" spans="1:9" s="231" customFormat="1" ht="23.25" customHeight="1">
      <c r="A6" s="19" t="s">
        <v>1</v>
      </c>
      <c r="B6" s="207"/>
      <c r="C6" s="20"/>
      <c r="D6" s="890" t="s">
        <v>249</v>
      </c>
      <c r="E6" s="890"/>
      <c r="F6" s="890"/>
      <c r="G6" s="890"/>
      <c r="H6" s="890"/>
      <c r="I6" s="29"/>
    </row>
    <row r="7" spans="1:9" s="231" customFormat="1" ht="18.75" customHeight="1">
      <c r="A7" s="19" t="s">
        <v>419</v>
      </c>
      <c r="B7" s="207"/>
      <c r="C7" s="207"/>
      <c r="D7" s="207"/>
      <c r="E7" s="207"/>
      <c r="F7" s="362" t="s">
        <v>250</v>
      </c>
      <c r="G7" s="1"/>
      <c r="H7" s="21"/>
      <c r="I7" s="29"/>
    </row>
    <row r="8" spans="1:9" s="231" customFormat="1" ht="24" customHeight="1">
      <c r="A8" s="22" t="s">
        <v>408</v>
      </c>
      <c r="B8" s="207"/>
      <c r="C8" s="207"/>
      <c r="D8" s="207"/>
      <c r="E8" s="207"/>
      <c r="F8" s="207"/>
      <c r="G8" s="691"/>
      <c r="H8" s="21"/>
      <c r="I8" s="29"/>
    </row>
    <row r="9" spans="1:9" s="231" customFormat="1" ht="30.75" customHeight="1">
      <c r="A9" s="891" t="s">
        <v>420</v>
      </c>
      <c r="B9" s="892"/>
      <c r="C9" s="892"/>
      <c r="D9" s="892"/>
      <c r="E9" s="892"/>
      <c r="F9" s="892"/>
      <c r="G9" s="892"/>
      <c r="H9" s="892"/>
      <c r="I9" s="892"/>
    </row>
    <row r="10" spans="1:9" s="231" customFormat="1" ht="12.75" customHeight="1">
      <c r="A10" s="22" t="s">
        <v>409</v>
      </c>
      <c r="B10" s="19"/>
      <c r="C10" s="1"/>
      <c r="D10" s="880" t="s">
        <v>250</v>
      </c>
      <c r="E10" s="881"/>
      <c r="F10" s="881"/>
      <c r="G10" s="207"/>
      <c r="H10" s="207"/>
      <c r="I10" s="29"/>
    </row>
    <row r="11" spans="1:9" s="231" customFormat="1">
      <c r="A11" s="23"/>
      <c r="B11" s="207"/>
      <c r="C11" s="207"/>
      <c r="D11" s="207"/>
      <c r="E11" s="207"/>
      <c r="F11" s="207"/>
      <c r="G11" s="21"/>
      <c r="H11" s="21"/>
      <c r="I11" s="29"/>
    </row>
    <row r="12" spans="1:9" s="231" customFormat="1">
      <c r="A12" s="24"/>
      <c r="B12" s="25" t="s">
        <v>7</v>
      </c>
      <c r="C12" s="26"/>
      <c r="D12" s="356"/>
      <c r="E12" s="356"/>
      <c r="F12" s="357"/>
      <c r="G12" s="21"/>
      <c r="H12" s="21"/>
      <c r="I12" s="29"/>
    </row>
    <row r="13" spans="1:9" s="231" customFormat="1">
      <c r="A13" s="23"/>
      <c r="B13" s="27"/>
      <c r="C13" s="358"/>
      <c r="D13" s="15"/>
      <c r="E13" s="15"/>
      <c r="F13" s="359"/>
      <c r="G13" s="207"/>
      <c r="H13" s="21"/>
      <c r="I13" s="29"/>
    </row>
    <row r="14" spans="1:9" s="231" customFormat="1">
      <c r="A14" s="23"/>
      <c r="B14" s="363" t="s">
        <v>328</v>
      </c>
      <c r="C14" s="870" t="s">
        <v>10</v>
      </c>
      <c r="D14" s="870"/>
      <c r="E14" s="870"/>
      <c r="F14" s="871"/>
      <c r="G14" s="207"/>
      <c r="H14" s="21"/>
      <c r="I14" s="29"/>
    </row>
    <row r="15" spans="1:9" s="231" customFormat="1">
      <c r="A15" s="23"/>
      <c r="B15" s="363" t="s">
        <v>329</v>
      </c>
      <c r="C15" s="870" t="s">
        <v>12</v>
      </c>
      <c r="D15" s="870"/>
      <c r="E15" s="870"/>
      <c r="F15" s="871"/>
      <c r="G15" s="207"/>
      <c r="H15" s="21"/>
      <c r="I15" s="29"/>
    </row>
    <row r="16" spans="1:9" s="231" customFormat="1">
      <c r="A16" s="23"/>
      <c r="B16" s="360" t="s">
        <v>14</v>
      </c>
      <c r="C16" s="870" t="s">
        <v>15</v>
      </c>
      <c r="D16" s="870"/>
      <c r="E16" s="870"/>
      <c r="F16" s="871"/>
      <c r="G16" s="207"/>
      <c r="H16" s="21"/>
      <c r="I16" s="29"/>
    </row>
    <row r="17" spans="1:9" s="231" customFormat="1">
      <c r="A17" s="23"/>
      <c r="B17" s="360" t="s">
        <v>17</v>
      </c>
      <c r="C17" s="870" t="s">
        <v>18</v>
      </c>
      <c r="D17" s="870"/>
      <c r="E17" s="870"/>
      <c r="F17" s="871"/>
      <c r="G17" s="207"/>
      <c r="H17" s="21"/>
      <c r="I17" s="29"/>
    </row>
    <row r="18" spans="1:9" s="231" customFormat="1">
      <c r="A18" s="23"/>
      <c r="B18" s="360" t="s">
        <v>20</v>
      </c>
      <c r="C18" s="870" t="s">
        <v>21</v>
      </c>
      <c r="D18" s="870"/>
      <c r="E18" s="870"/>
      <c r="F18" s="871"/>
      <c r="G18" s="207"/>
      <c r="H18" s="21"/>
      <c r="I18" s="29"/>
    </row>
    <row r="19" spans="1:9" s="231" customFormat="1">
      <c r="A19" s="23"/>
      <c r="B19" s="361" t="s">
        <v>23</v>
      </c>
      <c r="C19" s="872" t="s">
        <v>24</v>
      </c>
      <c r="D19" s="872"/>
      <c r="E19" s="872"/>
      <c r="F19" s="873"/>
      <c r="G19" s="21"/>
      <c r="H19" s="21"/>
      <c r="I19" s="29"/>
    </row>
    <row r="20" spans="1:9" s="231" customFormat="1">
      <c r="A20" s="236"/>
      <c r="B20" s="206"/>
      <c r="C20" s="206"/>
      <c r="D20" s="206"/>
      <c r="E20" s="206"/>
      <c r="F20" s="206"/>
      <c r="G20" s="206"/>
      <c r="H20" s="206"/>
      <c r="I20" s="206"/>
    </row>
    <row r="21" spans="1:9" s="231" customFormat="1" ht="19.5">
      <c r="A21" s="30"/>
      <c r="B21" s="13"/>
      <c r="C21" s="13"/>
      <c r="D21" s="13"/>
      <c r="E21" s="13"/>
      <c r="F21" s="13"/>
      <c r="G21" s="13"/>
      <c r="H21" s="31" t="s">
        <v>27</v>
      </c>
      <c r="I21" s="237"/>
    </row>
    <row r="22" spans="1:9" s="231" customFormat="1" ht="18.75" customHeight="1">
      <c r="A22" s="32"/>
      <c r="B22" s="29"/>
      <c r="C22" s="29"/>
      <c r="D22" s="29"/>
      <c r="E22" s="29"/>
      <c r="F22" s="33">
        <v>1</v>
      </c>
      <c r="G22" s="34"/>
      <c r="H22" s="33">
        <v>2</v>
      </c>
      <c r="I22" s="34"/>
    </row>
    <row r="23" spans="1:9" s="231" customFormat="1" ht="21.95" customHeight="1">
      <c r="A23" s="874" t="s">
        <v>30</v>
      </c>
      <c r="B23" s="875"/>
      <c r="C23" s="875"/>
      <c r="D23" s="875"/>
      <c r="E23" s="878" t="s">
        <v>376</v>
      </c>
      <c r="F23" s="856" t="s">
        <v>407</v>
      </c>
      <c r="G23" s="36"/>
      <c r="H23" s="878" t="s">
        <v>406</v>
      </c>
      <c r="I23" s="36"/>
    </row>
    <row r="24" spans="1:9" s="231" customFormat="1" ht="21.95" customHeight="1">
      <c r="A24" s="876"/>
      <c r="B24" s="877"/>
      <c r="C24" s="877"/>
      <c r="D24" s="877"/>
      <c r="E24" s="879"/>
      <c r="F24" s="860"/>
      <c r="G24" s="23"/>
      <c r="H24" s="879"/>
      <c r="I24" s="36"/>
    </row>
    <row r="25" spans="1:9" s="231" customFormat="1" ht="21.95" customHeight="1">
      <c r="A25" s="898" t="s">
        <v>48</v>
      </c>
      <c r="B25" s="901" t="s">
        <v>49</v>
      </c>
      <c r="C25" s="901"/>
      <c r="D25" s="902"/>
      <c r="E25" s="907" t="s">
        <v>50</v>
      </c>
      <c r="F25" s="909" t="s">
        <v>51</v>
      </c>
      <c r="G25" s="34"/>
      <c r="H25" s="907" t="s">
        <v>50</v>
      </c>
      <c r="I25" s="36"/>
    </row>
    <row r="26" spans="1:9" s="231" customFormat="1" ht="21.95" customHeight="1">
      <c r="A26" s="899"/>
      <c r="B26" s="903"/>
      <c r="C26" s="903"/>
      <c r="D26" s="904"/>
      <c r="E26" s="908"/>
      <c r="F26" s="859"/>
      <c r="G26" s="34"/>
      <c r="H26" s="908"/>
      <c r="I26" s="36"/>
    </row>
    <row r="27" spans="1:9" s="231" customFormat="1" ht="21.95" customHeight="1">
      <c r="A27" s="900"/>
      <c r="B27" s="905"/>
      <c r="C27" s="905"/>
      <c r="D27" s="906"/>
      <c r="E27" s="879"/>
      <c r="F27" s="860"/>
      <c r="G27" s="34"/>
      <c r="H27" s="879"/>
      <c r="I27" s="36"/>
    </row>
    <row r="28" spans="1:9" s="231" customFormat="1">
      <c r="A28" s="38">
        <v>1</v>
      </c>
      <c r="B28" s="39" t="s">
        <v>52</v>
      </c>
      <c r="C28" s="39"/>
      <c r="D28" s="40"/>
      <c r="E28" s="41">
        <v>147087</v>
      </c>
      <c r="F28" s="42">
        <f>F77</f>
        <v>147303</v>
      </c>
      <c r="G28" s="43"/>
      <c r="H28" s="44">
        <f>H77</f>
        <v>158437</v>
      </c>
      <c r="I28" s="43"/>
    </row>
    <row r="29" spans="1:9" s="231" customFormat="1">
      <c r="A29" s="46">
        <v>2</v>
      </c>
      <c r="B29" s="47" t="s">
        <v>53</v>
      </c>
      <c r="C29" s="47"/>
      <c r="D29" s="48"/>
      <c r="E29" s="49">
        <v>78602</v>
      </c>
      <c r="F29" s="50">
        <f>F105</f>
        <v>81278</v>
      </c>
      <c r="G29" s="43"/>
      <c r="H29" s="51">
        <f>H105</f>
        <v>83142</v>
      </c>
      <c r="I29" s="43"/>
    </row>
    <row r="30" spans="1:9" s="231" customFormat="1">
      <c r="A30" s="46">
        <v>3</v>
      </c>
      <c r="B30" s="47" t="s">
        <v>54</v>
      </c>
      <c r="C30" s="47"/>
      <c r="D30" s="48"/>
      <c r="E30" s="49">
        <v>13623</v>
      </c>
      <c r="F30" s="50">
        <f>F180</f>
        <v>13311</v>
      </c>
      <c r="G30" s="43"/>
      <c r="H30" s="51">
        <f>H180</f>
        <v>13736</v>
      </c>
      <c r="I30" s="43"/>
    </row>
    <row r="31" spans="1:9" s="231" customFormat="1">
      <c r="A31" s="46">
        <v>4</v>
      </c>
      <c r="B31" s="47" t="s">
        <v>55</v>
      </c>
      <c r="C31" s="47"/>
      <c r="D31" s="48"/>
      <c r="E31" s="49">
        <v>20740</v>
      </c>
      <c r="F31" s="50">
        <f>F214</f>
        <v>20994</v>
      </c>
      <c r="G31" s="43"/>
      <c r="H31" s="51">
        <f>H214</f>
        <v>21307</v>
      </c>
      <c r="I31" s="43"/>
    </row>
    <row r="32" spans="1:9" s="231" customFormat="1">
      <c r="A32" s="46">
        <v>5</v>
      </c>
      <c r="B32" s="47" t="s">
        <v>56</v>
      </c>
      <c r="C32" s="47"/>
      <c r="D32" s="48"/>
      <c r="E32" s="49">
        <v>5465</v>
      </c>
      <c r="F32" s="50">
        <f>F231</f>
        <v>5102</v>
      </c>
      <c r="G32" s="43"/>
      <c r="H32" s="51">
        <f>H231</f>
        <v>5377</v>
      </c>
      <c r="I32" s="43"/>
    </row>
    <row r="33" spans="1:9" s="231" customFormat="1">
      <c r="A33" s="46">
        <v>6</v>
      </c>
      <c r="B33" s="47" t="s">
        <v>57</v>
      </c>
      <c r="C33" s="47"/>
      <c r="D33" s="48"/>
      <c r="E33" s="49">
        <v>16487</v>
      </c>
      <c r="F33" s="50">
        <f>F257</f>
        <v>16721</v>
      </c>
      <c r="G33" s="43"/>
      <c r="H33" s="51">
        <f>H257</f>
        <v>17806</v>
      </c>
      <c r="I33" s="43"/>
    </row>
    <row r="34" spans="1:9" s="231" customFormat="1">
      <c r="A34" s="46">
        <v>7</v>
      </c>
      <c r="B34" s="47" t="s">
        <v>58</v>
      </c>
      <c r="C34" s="47"/>
      <c r="D34" s="48"/>
      <c r="E34" s="49">
        <v>9110</v>
      </c>
      <c r="F34" s="50">
        <f>F277</f>
        <v>8960</v>
      </c>
      <c r="G34" s="43"/>
      <c r="H34" s="50">
        <f>H277</f>
        <v>8589</v>
      </c>
      <c r="I34" s="43"/>
    </row>
    <row r="35" spans="1:9" s="231" customFormat="1">
      <c r="A35" s="46">
        <v>8</v>
      </c>
      <c r="B35" s="47" t="s">
        <v>59</v>
      </c>
      <c r="C35" s="47"/>
      <c r="D35" s="48"/>
      <c r="E35" s="49">
        <v>8557</v>
      </c>
      <c r="F35" s="50">
        <f>F302</f>
        <v>9095</v>
      </c>
      <c r="G35" s="43"/>
      <c r="H35" s="50">
        <f>H302</f>
        <v>9179</v>
      </c>
      <c r="I35" s="21"/>
    </row>
    <row r="36" spans="1:9" s="231" customFormat="1">
      <c r="A36" s="46">
        <v>9</v>
      </c>
      <c r="B36" s="47" t="s">
        <v>60</v>
      </c>
      <c r="C36" s="47"/>
      <c r="D36" s="48"/>
      <c r="E36" s="49">
        <v>0</v>
      </c>
      <c r="F36" s="52"/>
      <c r="G36" s="43"/>
      <c r="H36" s="52"/>
      <c r="I36" s="21"/>
    </row>
    <row r="37" spans="1:9" s="231" customFormat="1">
      <c r="A37" s="53">
        <v>10</v>
      </c>
      <c r="B37" s="54" t="s">
        <v>61</v>
      </c>
      <c r="C37" s="54"/>
      <c r="D37" s="55"/>
      <c r="E37" s="56">
        <v>30416</v>
      </c>
      <c r="F37" s="57">
        <f>F320</f>
        <v>26350</v>
      </c>
      <c r="G37" s="43"/>
      <c r="H37" s="57">
        <f>H320</f>
        <v>27781</v>
      </c>
      <c r="I37" s="21"/>
    </row>
    <row r="38" spans="1:9" s="231" customFormat="1">
      <c r="A38" s="33">
        <v>11</v>
      </c>
      <c r="B38" s="58" t="s">
        <v>62</v>
      </c>
      <c r="C38" s="58"/>
      <c r="D38" s="59"/>
      <c r="E38" s="60">
        <v>330087</v>
      </c>
      <c r="F38" s="61">
        <f>SUM(F28:F37)</f>
        <v>329114</v>
      </c>
      <c r="G38" s="43"/>
      <c r="H38" s="61">
        <f>SUM(H28:H37)</f>
        <v>345354</v>
      </c>
      <c r="I38" s="68"/>
    </row>
    <row r="39" spans="1:9" s="231" customFormat="1" ht="12.75" customHeight="1">
      <c r="A39" s="63"/>
      <c r="B39" s="64"/>
      <c r="C39" s="64"/>
      <c r="D39" s="65"/>
      <c r="E39" s="66"/>
      <c r="F39" s="67"/>
      <c r="G39" s="21"/>
      <c r="H39" s="67"/>
      <c r="I39" s="68"/>
    </row>
    <row r="40" spans="1:9" s="231" customFormat="1" ht="12.75" customHeight="1">
      <c r="A40" s="893" t="s">
        <v>63</v>
      </c>
      <c r="B40" s="894"/>
      <c r="C40" s="894"/>
      <c r="D40" s="895"/>
      <c r="E40" s="878" t="s">
        <v>376</v>
      </c>
      <c r="F40" s="856" t="s">
        <v>407</v>
      </c>
      <c r="G40" s="36"/>
      <c r="H40" s="878" t="s">
        <v>406</v>
      </c>
      <c r="I40" s="43"/>
    </row>
    <row r="41" spans="1:9" s="231" customFormat="1" ht="27.75" customHeight="1">
      <c r="A41" s="876"/>
      <c r="B41" s="877"/>
      <c r="C41" s="877"/>
      <c r="D41" s="896"/>
      <c r="E41" s="879"/>
      <c r="F41" s="860"/>
      <c r="G41" s="23"/>
      <c r="H41" s="879"/>
      <c r="I41" s="43"/>
    </row>
    <row r="42" spans="1:9" s="231" customFormat="1">
      <c r="A42" s="692" t="s">
        <v>64</v>
      </c>
      <c r="B42" s="69" t="s">
        <v>65</v>
      </c>
      <c r="C42" s="69"/>
      <c r="D42" s="70"/>
      <c r="E42" s="71"/>
      <c r="F42" s="72" t="str">
        <f>IF(OR(F43&lt;0,F44&lt;0,F47&lt;0,F48&lt;0,H43&lt;0,H44&lt;0,H47&lt;0,H48&lt;0),"Funding should be recorded as positive figures",".")</f>
        <v>.</v>
      </c>
      <c r="G42" s="45"/>
      <c r="H42" s="73"/>
      <c r="I42" s="43"/>
    </row>
    <row r="43" spans="1:9" s="231" customFormat="1">
      <c r="A43" s="46">
        <v>1</v>
      </c>
      <c r="B43" s="47" t="s">
        <v>66</v>
      </c>
      <c r="C43" s="47"/>
      <c r="D43" s="48"/>
      <c r="E43" s="74">
        <v>190553</v>
      </c>
      <c r="F43" s="241">
        <v>191653.99999999994</v>
      </c>
      <c r="G43" s="45"/>
      <c r="H43" s="75">
        <v>187820</v>
      </c>
      <c r="I43" s="43"/>
    </row>
    <row r="44" spans="1:9" s="231" customFormat="1">
      <c r="A44" s="46">
        <v>2</v>
      </c>
      <c r="B44" s="47" t="s">
        <v>67</v>
      </c>
      <c r="C44" s="47"/>
      <c r="D44" s="48"/>
      <c r="E44" s="49">
        <v>51953</v>
      </c>
      <c r="F44" s="241">
        <v>51953</v>
      </c>
      <c r="G44" s="45"/>
      <c r="H44" s="75">
        <v>56590</v>
      </c>
      <c r="I44" s="43"/>
    </row>
    <row r="45" spans="1:9" s="231" customFormat="1">
      <c r="A45" s="46">
        <v>3</v>
      </c>
      <c r="B45" s="47" t="s">
        <v>68</v>
      </c>
      <c r="C45" s="47"/>
      <c r="D45" s="48"/>
      <c r="E45" s="49">
        <v>0</v>
      </c>
      <c r="F45" s="52">
        <v>0</v>
      </c>
      <c r="G45" s="45"/>
      <c r="H45" s="75">
        <v>0</v>
      </c>
      <c r="I45" s="43"/>
    </row>
    <row r="46" spans="1:9" s="231" customFormat="1">
      <c r="A46" s="46">
        <v>4</v>
      </c>
      <c r="B46" s="47" t="s">
        <v>70</v>
      </c>
      <c r="C46" s="47"/>
      <c r="D46" s="48"/>
      <c r="E46" s="49">
        <v>0</v>
      </c>
      <c r="F46" s="52">
        <v>0</v>
      </c>
      <c r="G46" s="45"/>
      <c r="H46" s="75">
        <v>0</v>
      </c>
      <c r="I46" s="43"/>
    </row>
    <row r="47" spans="1:9" s="231" customFormat="1">
      <c r="A47" s="46">
        <v>5</v>
      </c>
      <c r="B47" s="47" t="s">
        <v>69</v>
      </c>
      <c r="C47" s="47"/>
      <c r="D47" s="48"/>
      <c r="E47" s="49">
        <v>4441</v>
      </c>
      <c r="F47" s="52">
        <v>4491</v>
      </c>
      <c r="G47" s="45"/>
      <c r="H47" s="76">
        <v>10531</v>
      </c>
      <c r="I47" s="43"/>
    </row>
    <row r="48" spans="1:9" s="231" customFormat="1">
      <c r="A48" s="46">
        <v>6</v>
      </c>
      <c r="B48" s="90" t="s">
        <v>253</v>
      </c>
      <c r="C48" s="47"/>
      <c r="D48" s="195"/>
      <c r="E48" s="49">
        <v>78801</v>
      </c>
      <c r="F48" s="52">
        <f>85674-6200</f>
        <v>79474</v>
      </c>
      <c r="G48" s="45"/>
      <c r="H48" s="52">
        <f>89468-6200</f>
        <v>83268</v>
      </c>
      <c r="I48" s="43"/>
    </row>
    <row r="49" spans="1:9" s="231" customFormat="1">
      <c r="A49" s="77">
        <v>7</v>
      </c>
      <c r="B49" s="78" t="s">
        <v>71</v>
      </c>
      <c r="C49" s="58"/>
      <c r="D49" s="79"/>
      <c r="E49" s="80">
        <v>325748</v>
      </c>
      <c r="F49" s="81">
        <f>SUM(F43:F48)</f>
        <v>327571.99999999994</v>
      </c>
      <c r="G49" s="82"/>
      <c r="H49" s="62">
        <f>SUM(H43:H48)</f>
        <v>338209</v>
      </c>
      <c r="I49" s="242"/>
    </row>
    <row r="50" spans="1:9" s="231" customFormat="1">
      <c r="A50" s="83"/>
      <c r="B50" s="244"/>
      <c r="C50" s="244"/>
      <c r="D50" s="244"/>
      <c r="E50" s="85"/>
      <c r="F50" s="244"/>
      <c r="G50" s="86"/>
      <c r="H50" s="86"/>
      <c r="I50" s="21"/>
    </row>
    <row r="51" spans="1:9" s="231" customFormat="1">
      <c r="A51" s="692" t="s">
        <v>72</v>
      </c>
      <c r="B51" s="196" t="s">
        <v>254</v>
      </c>
      <c r="C51" s="69"/>
      <c r="D51" s="70"/>
      <c r="E51" s="87"/>
      <c r="F51" s="88"/>
      <c r="G51" s="45"/>
      <c r="H51" s="89"/>
      <c r="I51" s="43"/>
    </row>
    <row r="52" spans="1:9" s="231" customFormat="1">
      <c r="A52" s="46">
        <v>8</v>
      </c>
      <c r="B52" s="90" t="s">
        <v>73</v>
      </c>
      <c r="C52" s="47"/>
      <c r="D52" s="48"/>
      <c r="E52" s="74">
        <v>330087</v>
      </c>
      <c r="F52" s="50">
        <f>F38</f>
        <v>329114</v>
      </c>
      <c r="G52" s="45"/>
      <c r="H52" s="91">
        <f>H38</f>
        <v>345354</v>
      </c>
      <c r="I52" s="43"/>
    </row>
    <row r="53" spans="1:9" s="231" customFormat="1">
      <c r="A53" s="46">
        <v>9</v>
      </c>
      <c r="B53" s="90" t="s">
        <v>74</v>
      </c>
      <c r="C53" s="47"/>
      <c r="D53" s="48"/>
      <c r="E53" s="49">
        <v>325748</v>
      </c>
      <c r="F53" s="92">
        <f>F49</f>
        <v>327571.99999999994</v>
      </c>
      <c r="G53" s="45"/>
      <c r="H53" s="91">
        <f>H49</f>
        <v>338209</v>
      </c>
      <c r="I53" s="43"/>
    </row>
    <row r="54" spans="1:9" s="231" customFormat="1">
      <c r="A54" s="694">
        <v>10</v>
      </c>
      <c r="B54" s="93" t="s">
        <v>255</v>
      </c>
      <c r="C54" s="94"/>
      <c r="D54" s="55"/>
      <c r="E54" s="95">
        <v>-4339</v>
      </c>
      <c r="F54" s="96">
        <f>F53-F52</f>
        <v>-1542.0000000000582</v>
      </c>
      <c r="G54" s="45"/>
      <c r="H54" s="97">
        <f>H53-H52</f>
        <v>-7145</v>
      </c>
      <c r="I54" s="43"/>
    </row>
    <row r="55" spans="1:9" s="231" customFormat="1">
      <c r="A55" s="83"/>
      <c r="B55" s="244"/>
      <c r="C55" s="244"/>
      <c r="D55" s="244"/>
      <c r="E55" s="85"/>
      <c r="F55" s="244"/>
      <c r="G55" s="86"/>
      <c r="H55" s="86"/>
      <c r="I55" s="21"/>
    </row>
    <row r="56" spans="1:9" s="231" customFormat="1">
      <c r="A56" s="692" t="s">
        <v>75</v>
      </c>
      <c r="B56" s="69" t="s">
        <v>256</v>
      </c>
      <c r="C56" s="69"/>
      <c r="D56" s="70"/>
      <c r="E56" s="87"/>
      <c r="F56" s="88"/>
      <c r="G56" s="45"/>
      <c r="H56" s="89"/>
      <c r="I56" s="43"/>
    </row>
    <row r="57" spans="1:9" s="231" customFormat="1">
      <c r="A57" s="46">
        <v>11</v>
      </c>
      <c r="B57" s="47" t="s">
        <v>76</v>
      </c>
      <c r="C57" s="47"/>
      <c r="D57" s="48"/>
      <c r="E57" s="74">
        <v>47103</v>
      </c>
      <c r="F57" s="52">
        <v>51099</v>
      </c>
      <c r="G57" s="45"/>
      <c r="H57" s="91">
        <f>F61</f>
        <v>42827.999999999942</v>
      </c>
      <c r="I57" s="43"/>
    </row>
    <row r="58" spans="1:9" s="231" customFormat="1">
      <c r="A58" s="46">
        <v>12</v>
      </c>
      <c r="B58" s="90" t="s">
        <v>257</v>
      </c>
      <c r="C58" s="47"/>
      <c r="D58" s="48"/>
      <c r="E58" s="49">
        <v>-4339</v>
      </c>
      <c r="F58" s="92">
        <f>F54</f>
        <v>-1542.0000000000582</v>
      </c>
      <c r="G58" s="45"/>
      <c r="H58" s="98">
        <f>H54</f>
        <v>-7145</v>
      </c>
      <c r="I58" s="43"/>
    </row>
    <row r="59" spans="1:9" s="231" customFormat="1">
      <c r="A59" s="46">
        <v>13</v>
      </c>
      <c r="B59" s="47" t="s">
        <v>77</v>
      </c>
      <c r="C59" s="47"/>
      <c r="D59" s="48"/>
      <c r="E59" s="49">
        <v>-1100</v>
      </c>
      <c r="F59" s="52">
        <v>-1100</v>
      </c>
      <c r="G59" s="45"/>
      <c r="H59" s="99">
        <v>-320</v>
      </c>
      <c r="I59" s="43"/>
    </row>
    <row r="60" spans="1:9" s="231" customFormat="1">
      <c r="A60" s="46">
        <v>14</v>
      </c>
      <c r="B60" s="47" t="s">
        <v>78</v>
      </c>
      <c r="C60" s="47"/>
      <c r="D60" s="48"/>
      <c r="E60" s="49">
        <v>-1826</v>
      </c>
      <c r="F60" s="52">
        <v>-5629</v>
      </c>
      <c r="G60" s="45"/>
      <c r="H60" s="100">
        <v>-1826</v>
      </c>
      <c r="I60" s="43"/>
    </row>
    <row r="61" spans="1:9" s="231" customFormat="1">
      <c r="A61" s="53">
        <v>15</v>
      </c>
      <c r="B61" s="54" t="s">
        <v>79</v>
      </c>
      <c r="C61" s="54"/>
      <c r="D61" s="55"/>
      <c r="E61" s="56">
        <v>39838</v>
      </c>
      <c r="F61" s="96">
        <f>F57+F58+F59+F60</f>
        <v>42827.999999999942</v>
      </c>
      <c r="G61" s="45"/>
      <c r="H61" s="101">
        <f>H57+H58+H59+H60</f>
        <v>33536.999999999942</v>
      </c>
      <c r="I61" s="43"/>
    </row>
    <row r="62" spans="1:9" s="231" customFormat="1">
      <c r="A62" s="102"/>
      <c r="B62" s="207"/>
      <c r="C62" s="207"/>
      <c r="D62" s="207"/>
      <c r="E62" s="103"/>
      <c r="F62" s="21"/>
      <c r="G62" s="21"/>
      <c r="H62" s="21"/>
      <c r="I62" s="21"/>
    </row>
    <row r="63" spans="1:9" s="231" customFormat="1" ht="12.75" customHeight="1">
      <c r="A63" s="23"/>
      <c r="B63" s="207"/>
      <c r="C63" s="207"/>
      <c r="D63" s="207"/>
      <c r="E63" s="15"/>
      <c r="F63" s="207"/>
      <c r="G63" s="207"/>
      <c r="H63" s="21"/>
      <c r="I63" s="21"/>
    </row>
    <row r="64" spans="1:9" s="231" customFormat="1" ht="15">
      <c r="A64" s="104" t="s">
        <v>80</v>
      </c>
      <c r="B64" s="29"/>
      <c r="C64" s="29"/>
      <c r="D64" s="29"/>
      <c r="E64" s="15"/>
      <c r="F64" s="29"/>
      <c r="G64" s="29"/>
      <c r="H64" s="29"/>
      <c r="I64" s="29"/>
    </row>
    <row r="65" spans="1:9" s="231" customFormat="1">
      <c r="A65" s="32"/>
      <c r="B65" s="29"/>
      <c r="C65" s="29"/>
      <c r="D65" s="29"/>
      <c r="E65" s="105"/>
      <c r="F65" s="29"/>
      <c r="G65" s="29"/>
      <c r="H65" s="29"/>
      <c r="I65" s="131" t="s">
        <v>27</v>
      </c>
    </row>
    <row r="66" spans="1:9" s="231" customFormat="1">
      <c r="A66" s="106" t="s">
        <v>14</v>
      </c>
      <c r="B66" s="107"/>
      <c r="C66" s="107"/>
      <c r="D66" s="107"/>
      <c r="E66" s="856" t="s">
        <v>377</v>
      </c>
      <c r="F66" s="962" t="s">
        <v>402</v>
      </c>
      <c r="G66" s="867" t="s">
        <v>81</v>
      </c>
      <c r="H66" s="962" t="s">
        <v>403</v>
      </c>
      <c r="I66" s="867" t="s">
        <v>81</v>
      </c>
    </row>
    <row r="67" spans="1:9" s="231" customFormat="1" ht="21" customHeight="1">
      <c r="A67" s="108"/>
      <c r="B67" s="47"/>
      <c r="C67" s="47"/>
      <c r="D67" s="47"/>
      <c r="E67" s="859"/>
      <c r="F67" s="963"/>
      <c r="G67" s="868"/>
      <c r="H67" s="963"/>
      <c r="I67" s="868"/>
    </row>
    <row r="68" spans="1:9" s="231" customFormat="1">
      <c r="A68" s="109" t="s">
        <v>82</v>
      </c>
      <c r="B68" s="47"/>
      <c r="C68" s="47"/>
      <c r="D68" s="47"/>
      <c r="E68" s="859"/>
      <c r="F68" s="963"/>
      <c r="G68" s="868"/>
      <c r="H68" s="963"/>
      <c r="I68" s="868"/>
    </row>
    <row r="69" spans="1:9" s="231" customFormat="1">
      <c r="A69" s="109" t="s">
        <v>83</v>
      </c>
      <c r="B69" s="47"/>
      <c r="C69" s="47"/>
      <c r="D69" s="47"/>
      <c r="E69" s="859"/>
      <c r="F69" s="963"/>
      <c r="G69" s="868"/>
      <c r="H69" s="963"/>
      <c r="I69" s="868"/>
    </row>
    <row r="70" spans="1:9" s="231" customFormat="1">
      <c r="A70" s="110" t="s">
        <v>84</v>
      </c>
      <c r="B70" s="47"/>
      <c r="C70" s="47"/>
      <c r="D70" s="47"/>
      <c r="E70" s="860"/>
      <c r="F70" s="964"/>
      <c r="G70" s="869"/>
      <c r="H70" s="964"/>
      <c r="I70" s="869"/>
    </row>
    <row r="71" spans="1:9" s="231" customFormat="1">
      <c r="A71" s="111">
        <v>1</v>
      </c>
      <c r="B71" s="47" t="s">
        <v>85</v>
      </c>
      <c r="C71" s="47"/>
      <c r="D71" s="47"/>
      <c r="E71" s="41">
        <v>11926</v>
      </c>
      <c r="F71" s="247">
        <v>11811</v>
      </c>
      <c r="G71" s="112">
        <v>6948</v>
      </c>
      <c r="H71" s="248">
        <v>18851</v>
      </c>
      <c r="I71" s="112">
        <v>7390</v>
      </c>
    </row>
    <row r="72" spans="1:9" s="231" customFormat="1">
      <c r="A72" s="111">
        <v>2</v>
      </c>
      <c r="B72" s="47" t="s">
        <v>86</v>
      </c>
      <c r="C72" s="47"/>
      <c r="D72" s="47"/>
      <c r="E72" s="49">
        <v>57963</v>
      </c>
      <c r="F72" s="247">
        <v>58463</v>
      </c>
      <c r="G72" s="113">
        <v>40984</v>
      </c>
      <c r="H72" s="123">
        <f>59027+78</f>
        <v>59105</v>
      </c>
      <c r="I72" s="113">
        <v>44072</v>
      </c>
    </row>
    <row r="73" spans="1:9" s="231" customFormat="1">
      <c r="A73" s="111">
        <v>3</v>
      </c>
      <c r="B73" s="47" t="s">
        <v>87</v>
      </c>
      <c r="C73" s="47"/>
      <c r="D73" s="47"/>
      <c r="E73" s="114">
        <v>58763</v>
      </c>
      <c r="F73" s="247">
        <v>58060</v>
      </c>
      <c r="G73" s="113">
        <v>40341</v>
      </c>
      <c r="H73" s="123">
        <v>61323</v>
      </c>
      <c r="I73" s="113">
        <v>47348</v>
      </c>
    </row>
    <row r="74" spans="1:9" s="231" customFormat="1">
      <c r="A74" s="111">
        <v>4</v>
      </c>
      <c r="B74" s="47" t="s">
        <v>88</v>
      </c>
      <c r="C74" s="47"/>
      <c r="D74" s="47"/>
      <c r="E74" s="114">
        <v>16586</v>
      </c>
      <c r="F74" s="247">
        <v>17073</v>
      </c>
      <c r="G74" s="113">
        <v>3505</v>
      </c>
      <c r="H74" s="123">
        <v>17214</v>
      </c>
      <c r="I74" s="113">
        <v>3931</v>
      </c>
    </row>
    <row r="75" spans="1:9" s="231" customFormat="1">
      <c r="A75" s="111">
        <v>5</v>
      </c>
      <c r="B75" s="47" t="s">
        <v>89</v>
      </c>
      <c r="C75" s="47" t="s">
        <v>90</v>
      </c>
      <c r="D75" s="47"/>
      <c r="E75" s="114">
        <v>1849</v>
      </c>
      <c r="F75" s="247">
        <v>1896</v>
      </c>
      <c r="G75" s="113">
        <v>0</v>
      </c>
      <c r="H75" s="123">
        <v>1944</v>
      </c>
      <c r="I75" s="113">
        <v>0</v>
      </c>
    </row>
    <row r="76" spans="1:9" s="231" customFormat="1">
      <c r="A76" s="693"/>
      <c r="B76" s="695"/>
      <c r="C76" s="47" t="s">
        <v>91</v>
      </c>
      <c r="D76" s="47"/>
      <c r="E76" s="114">
        <v>0</v>
      </c>
      <c r="F76" s="247">
        <v>0</v>
      </c>
      <c r="G76" s="115">
        <v>0</v>
      </c>
      <c r="H76" s="249">
        <v>0</v>
      </c>
      <c r="I76" s="115">
        <v>0</v>
      </c>
    </row>
    <row r="77" spans="1:9" s="231" customFormat="1">
      <c r="A77" s="111">
        <v>6</v>
      </c>
      <c r="B77" s="116" t="s">
        <v>92</v>
      </c>
      <c r="C77" s="116"/>
      <c r="D77" s="47"/>
      <c r="E77" s="80">
        <v>147087</v>
      </c>
      <c r="F77" s="250">
        <f>SUM(F71:F76)</f>
        <v>147303</v>
      </c>
      <c r="G77" s="251">
        <f>SUM(G71:G76)</f>
        <v>91778</v>
      </c>
      <c r="H77" s="252">
        <f>SUM(H71:H76)</f>
        <v>158437</v>
      </c>
      <c r="I77" s="251">
        <f>SUM(I71:I76)</f>
        <v>102741</v>
      </c>
    </row>
    <row r="78" spans="1:9" s="231" customFormat="1">
      <c r="A78" s="693"/>
      <c r="B78" s="47"/>
      <c r="C78" s="47"/>
      <c r="D78" s="47"/>
      <c r="E78" s="117"/>
      <c r="F78" s="118"/>
      <c r="G78" s="118"/>
      <c r="H78" s="118"/>
      <c r="I78" s="118"/>
    </row>
    <row r="79" spans="1:9" s="231" customFormat="1">
      <c r="A79" s="119" t="s">
        <v>93</v>
      </c>
      <c r="B79" s="116"/>
      <c r="C79" s="116"/>
      <c r="D79" s="116"/>
      <c r="E79" s="117"/>
      <c r="F79" s="118"/>
      <c r="G79" s="118"/>
      <c r="H79" s="118"/>
      <c r="I79" s="118"/>
    </row>
    <row r="80" spans="1:9" s="231" customFormat="1">
      <c r="A80" s="120">
        <v>7</v>
      </c>
      <c r="B80" s="47" t="s">
        <v>94</v>
      </c>
      <c r="C80" s="47"/>
      <c r="D80" s="47"/>
      <c r="E80" s="41">
        <v>1511</v>
      </c>
      <c r="F80" s="253">
        <v>1627</v>
      </c>
      <c r="G80" s="112">
        <v>865</v>
      </c>
      <c r="H80" s="248">
        <v>1524</v>
      </c>
      <c r="I80" s="112">
        <v>659</v>
      </c>
    </row>
    <row r="81" spans="1:9" s="231" customFormat="1">
      <c r="A81" s="120">
        <v>8</v>
      </c>
      <c r="B81" s="47" t="s">
        <v>95</v>
      </c>
      <c r="C81" s="47"/>
      <c r="D81" s="47"/>
      <c r="E81" s="49">
        <v>32418</v>
      </c>
      <c r="F81" s="247">
        <v>33420</v>
      </c>
      <c r="G81" s="113">
        <v>31278</v>
      </c>
      <c r="H81" s="123">
        <v>33597</v>
      </c>
      <c r="I81" s="113">
        <v>31547</v>
      </c>
    </row>
    <row r="82" spans="1:9" s="231" customFormat="1">
      <c r="A82" s="120">
        <v>9</v>
      </c>
      <c r="B82" s="47" t="s">
        <v>96</v>
      </c>
      <c r="C82" s="47"/>
      <c r="D82" s="47"/>
      <c r="E82" s="49">
        <v>32292</v>
      </c>
      <c r="F82" s="247">
        <v>32478</v>
      </c>
      <c r="G82" s="113">
        <v>31191</v>
      </c>
      <c r="H82" s="123">
        <v>33333</v>
      </c>
      <c r="I82" s="113">
        <v>32925</v>
      </c>
    </row>
    <row r="83" spans="1:9" s="231" customFormat="1">
      <c r="A83" s="120">
        <v>10</v>
      </c>
      <c r="B83" s="90" t="s">
        <v>97</v>
      </c>
      <c r="C83" s="47"/>
      <c r="D83" s="47"/>
      <c r="E83" s="49">
        <v>14614</v>
      </c>
      <c r="F83" s="247">
        <v>15091</v>
      </c>
      <c r="G83" s="113">
        <v>3489</v>
      </c>
      <c r="H83" s="123">
        <v>15350</v>
      </c>
      <c r="I83" s="113">
        <v>3677</v>
      </c>
    </row>
    <row r="84" spans="1:9" s="231" customFormat="1">
      <c r="A84" s="120">
        <v>11</v>
      </c>
      <c r="B84" s="90" t="s">
        <v>98</v>
      </c>
      <c r="C84" s="47"/>
      <c r="D84" s="47"/>
      <c r="E84" s="49">
        <v>7196</v>
      </c>
      <c r="F84" s="247">
        <v>7766</v>
      </c>
      <c r="G84" s="113">
        <v>0</v>
      </c>
      <c r="H84" s="123">
        <v>7843</v>
      </c>
      <c r="I84" s="113">
        <v>0</v>
      </c>
    </row>
    <row r="85" spans="1:9" s="231" customFormat="1">
      <c r="A85" s="120">
        <v>12</v>
      </c>
      <c r="B85" s="47" t="s">
        <v>99</v>
      </c>
      <c r="C85" s="47"/>
      <c r="D85" s="47"/>
      <c r="E85" s="49">
        <v>3387</v>
      </c>
      <c r="F85" s="247">
        <v>3505</v>
      </c>
      <c r="G85" s="113">
        <v>0</v>
      </c>
      <c r="H85" s="123">
        <v>3627</v>
      </c>
      <c r="I85" s="113">
        <v>0</v>
      </c>
    </row>
    <row r="86" spans="1:9" s="231" customFormat="1">
      <c r="A86" s="120">
        <v>13</v>
      </c>
      <c r="B86" s="47" t="s">
        <v>100</v>
      </c>
      <c r="C86" s="47"/>
      <c r="D86" s="47"/>
      <c r="E86" s="49">
        <v>20717</v>
      </c>
      <c r="F86" s="247">
        <v>20479</v>
      </c>
      <c r="G86" s="113">
        <v>13361</v>
      </c>
      <c r="H86" s="123">
        <v>23062</v>
      </c>
      <c r="I86" s="113">
        <v>15846</v>
      </c>
    </row>
    <row r="87" spans="1:9" s="231" customFormat="1">
      <c r="A87" s="120">
        <v>14</v>
      </c>
      <c r="B87" s="47" t="s">
        <v>101</v>
      </c>
      <c r="C87" s="47"/>
      <c r="D87" s="47"/>
      <c r="E87" s="49">
        <v>0</v>
      </c>
      <c r="F87" s="247">
        <v>0</v>
      </c>
      <c r="G87" s="113">
        <v>0</v>
      </c>
      <c r="H87" s="123">
        <v>0</v>
      </c>
      <c r="I87" s="113">
        <v>0</v>
      </c>
    </row>
    <row r="88" spans="1:9" s="231" customFormat="1">
      <c r="A88" s="124">
        <v>15</v>
      </c>
      <c r="B88" s="125" t="s">
        <v>102</v>
      </c>
      <c r="C88" s="54"/>
      <c r="D88" s="54"/>
      <c r="E88" s="56">
        <v>0</v>
      </c>
      <c r="F88" s="254">
        <v>0</v>
      </c>
      <c r="G88" s="127">
        <v>0</v>
      </c>
      <c r="H88" s="255">
        <v>0</v>
      </c>
      <c r="I88" s="127">
        <v>0</v>
      </c>
    </row>
    <row r="89" spans="1:9" s="231" customFormat="1">
      <c r="A89" s="128"/>
      <c r="B89" s="129"/>
      <c r="C89" s="129"/>
      <c r="D89" s="129"/>
      <c r="E89" s="15"/>
      <c r="F89" s="130"/>
      <c r="G89" s="29"/>
      <c r="H89" s="207"/>
      <c r="I89" s="29"/>
    </row>
    <row r="90" spans="1:9" s="231" customFormat="1">
      <c r="A90" s="128"/>
      <c r="B90" s="129"/>
      <c r="C90" s="129"/>
      <c r="D90" s="129"/>
      <c r="E90" s="105"/>
      <c r="F90" s="130"/>
      <c r="G90" s="29"/>
      <c r="H90" s="131" t="s">
        <v>27</v>
      </c>
      <c r="I90" s="29"/>
    </row>
    <row r="91" spans="1:9" s="231" customFormat="1">
      <c r="A91" s="106" t="s">
        <v>17</v>
      </c>
      <c r="B91" s="107"/>
      <c r="C91" s="107"/>
      <c r="D91" s="107"/>
      <c r="E91" s="856" t="s">
        <v>421</v>
      </c>
      <c r="F91" s="856" t="s">
        <v>402</v>
      </c>
      <c r="G91" s="257"/>
      <c r="H91" s="856" t="s">
        <v>403</v>
      </c>
      <c r="I91" s="29"/>
    </row>
    <row r="92" spans="1:9" s="231" customFormat="1" ht="12.75" customHeight="1">
      <c r="A92" s="109"/>
      <c r="B92" s="132"/>
      <c r="C92" s="132"/>
      <c r="D92" s="132"/>
      <c r="E92" s="859"/>
      <c r="F92" s="859"/>
      <c r="G92" s="29"/>
      <c r="H92" s="859"/>
      <c r="I92" s="29"/>
    </row>
    <row r="93" spans="1:9" s="231" customFormat="1">
      <c r="A93" s="109" t="s">
        <v>103</v>
      </c>
      <c r="B93" s="132"/>
      <c r="C93" s="132"/>
      <c r="D93" s="132"/>
      <c r="E93" s="859"/>
      <c r="F93" s="859"/>
      <c r="G93" s="29"/>
      <c r="H93" s="859"/>
      <c r="I93" s="29"/>
    </row>
    <row r="94" spans="1:9" s="231" customFormat="1">
      <c r="A94" s="109" t="s">
        <v>83</v>
      </c>
      <c r="B94" s="132"/>
      <c r="C94" s="132"/>
      <c r="D94" s="132"/>
      <c r="E94" s="859"/>
      <c r="F94" s="859"/>
      <c r="G94" s="130"/>
      <c r="H94" s="859"/>
      <c r="I94" s="29"/>
    </row>
    <row r="95" spans="1:9" s="231" customFormat="1">
      <c r="A95" s="110" t="s">
        <v>84</v>
      </c>
      <c r="B95" s="132"/>
      <c r="C95" s="132"/>
      <c r="D95" s="132"/>
      <c r="E95" s="860"/>
      <c r="F95" s="860"/>
      <c r="G95" s="130"/>
      <c r="H95" s="860"/>
      <c r="I95" s="130"/>
    </row>
    <row r="96" spans="1:9" s="231" customFormat="1">
      <c r="A96" s="120">
        <v>1</v>
      </c>
      <c r="B96" s="47" t="s">
        <v>104</v>
      </c>
      <c r="C96" s="47"/>
      <c r="D96" s="47"/>
      <c r="E96" s="41">
        <v>553</v>
      </c>
      <c r="F96" s="52">
        <v>548</v>
      </c>
      <c r="G96" s="118"/>
      <c r="H96" s="133">
        <v>612</v>
      </c>
      <c r="I96" s="139"/>
    </row>
    <row r="97" spans="1:9" s="231" customFormat="1">
      <c r="A97" s="120">
        <v>2</v>
      </c>
      <c r="B97" s="47" t="s">
        <v>105</v>
      </c>
      <c r="C97" s="47"/>
      <c r="D97" s="47"/>
      <c r="E97" s="49">
        <v>0</v>
      </c>
      <c r="F97" s="52">
        <v>0</v>
      </c>
      <c r="G97" s="118"/>
      <c r="H97" s="122">
        <v>0</v>
      </c>
      <c r="I97" s="139"/>
    </row>
    <row r="98" spans="1:9" s="231" customFormat="1">
      <c r="A98" s="120">
        <v>3</v>
      </c>
      <c r="B98" s="47" t="s">
        <v>106</v>
      </c>
      <c r="C98" s="47"/>
      <c r="D98" s="47"/>
      <c r="E98" s="114">
        <v>20545</v>
      </c>
      <c r="F98" s="50">
        <f>F115</f>
        <v>20515</v>
      </c>
      <c r="G98" s="118"/>
      <c r="H98" s="50">
        <f>H115</f>
        <v>21181</v>
      </c>
      <c r="I98" s="139"/>
    </row>
    <row r="99" spans="1:9" s="231" customFormat="1">
      <c r="A99" s="120">
        <v>4</v>
      </c>
      <c r="B99" s="47" t="s">
        <v>107</v>
      </c>
      <c r="C99" s="47"/>
      <c r="D99" s="47"/>
      <c r="E99" s="114">
        <v>36608</v>
      </c>
      <c r="F99" s="50">
        <f>F125</f>
        <v>37565</v>
      </c>
      <c r="G99" s="118"/>
      <c r="H99" s="50">
        <f>H125</f>
        <v>38035</v>
      </c>
      <c r="I99" s="139"/>
    </row>
    <row r="100" spans="1:9" s="231" customFormat="1">
      <c r="A100" s="120">
        <v>5</v>
      </c>
      <c r="B100" s="47" t="s">
        <v>108</v>
      </c>
      <c r="C100" s="47"/>
      <c r="D100" s="47"/>
      <c r="E100" s="114">
        <v>3001</v>
      </c>
      <c r="F100" s="50">
        <f>F135</f>
        <v>3477</v>
      </c>
      <c r="G100" s="118"/>
      <c r="H100" s="50">
        <f>H135</f>
        <v>3150</v>
      </c>
      <c r="I100" s="139"/>
    </row>
    <row r="101" spans="1:9" s="231" customFormat="1">
      <c r="A101" s="120">
        <v>6</v>
      </c>
      <c r="B101" s="47" t="s">
        <v>109</v>
      </c>
      <c r="C101" s="47"/>
      <c r="D101" s="47"/>
      <c r="E101" s="114">
        <v>14017</v>
      </c>
      <c r="F101" s="50">
        <f>F143</f>
        <v>14764</v>
      </c>
      <c r="G101" s="118"/>
      <c r="H101" s="50">
        <f>H143</f>
        <v>15672</v>
      </c>
      <c r="I101" s="139"/>
    </row>
    <row r="102" spans="1:9" s="231" customFormat="1">
      <c r="A102" s="120">
        <v>7</v>
      </c>
      <c r="B102" s="47" t="s">
        <v>110</v>
      </c>
      <c r="C102" s="47"/>
      <c r="D102" s="47"/>
      <c r="E102" s="114">
        <v>1654</v>
      </c>
      <c r="F102" s="50">
        <f>F150</f>
        <v>2020</v>
      </c>
      <c r="G102" s="118"/>
      <c r="H102" s="50">
        <f>H150</f>
        <v>2012</v>
      </c>
      <c r="I102" s="139"/>
    </row>
    <row r="103" spans="1:9" s="231" customFormat="1">
      <c r="A103" s="120">
        <v>8</v>
      </c>
      <c r="B103" s="47" t="s">
        <v>111</v>
      </c>
      <c r="C103" s="47"/>
      <c r="D103" s="47"/>
      <c r="E103" s="114">
        <v>106</v>
      </c>
      <c r="F103" s="52">
        <v>172</v>
      </c>
      <c r="G103" s="118"/>
      <c r="H103" s="122">
        <v>187</v>
      </c>
      <c r="I103" s="139"/>
    </row>
    <row r="104" spans="1:9" s="231" customFormat="1">
      <c r="A104" s="120">
        <v>9</v>
      </c>
      <c r="B104" s="47" t="s">
        <v>112</v>
      </c>
      <c r="C104" s="47"/>
      <c r="D104" s="47"/>
      <c r="E104" s="114">
        <v>2118</v>
      </c>
      <c r="F104" s="52">
        <v>2217</v>
      </c>
      <c r="G104" s="118"/>
      <c r="H104" s="122">
        <f>1834+460-1</f>
        <v>2293</v>
      </c>
      <c r="I104" s="139"/>
    </row>
    <row r="105" spans="1:9" s="231" customFormat="1">
      <c r="A105" s="111" t="s">
        <v>113</v>
      </c>
      <c r="B105" s="116" t="s">
        <v>114</v>
      </c>
      <c r="C105" s="116"/>
      <c r="D105" s="47"/>
      <c r="E105" s="134">
        <v>78602</v>
      </c>
      <c r="F105" s="61">
        <f>SUM(F96:F104)</f>
        <v>81278</v>
      </c>
      <c r="G105" s="118"/>
      <c r="H105" s="61">
        <f>SUM(H96:H104)</f>
        <v>83142</v>
      </c>
      <c r="I105" s="139"/>
    </row>
    <row r="106" spans="1:9" s="231" customFormat="1">
      <c r="A106" s="120">
        <v>11</v>
      </c>
      <c r="B106" s="90" t="s">
        <v>115</v>
      </c>
      <c r="C106" s="47"/>
      <c r="D106" s="47"/>
      <c r="E106" s="135">
        <v>28</v>
      </c>
      <c r="F106" s="136">
        <v>20</v>
      </c>
      <c r="G106" s="118"/>
      <c r="H106" s="137">
        <v>20</v>
      </c>
      <c r="I106" s="139"/>
    </row>
    <row r="107" spans="1:9" s="231" customFormat="1">
      <c r="A107" s="111"/>
      <c r="B107" s="47"/>
      <c r="C107" s="47"/>
      <c r="D107" s="138"/>
      <c r="E107" s="117"/>
      <c r="F107" s="139"/>
      <c r="G107" s="139"/>
      <c r="H107" s="139"/>
      <c r="I107" s="139"/>
    </row>
    <row r="108" spans="1:9" s="231" customFormat="1">
      <c r="A108" s="119" t="s">
        <v>116</v>
      </c>
      <c r="B108" s="47"/>
      <c r="C108" s="47"/>
      <c r="D108" s="47"/>
      <c r="E108" s="117"/>
      <c r="F108" s="139"/>
      <c r="G108" s="139"/>
      <c r="H108" s="139"/>
      <c r="I108" s="139"/>
    </row>
    <row r="109" spans="1:9" s="231" customFormat="1">
      <c r="A109" s="119" t="s">
        <v>106</v>
      </c>
      <c r="B109" s="47"/>
      <c r="C109" s="47"/>
      <c r="D109" s="47"/>
      <c r="E109" s="140"/>
      <c r="F109" s="141"/>
      <c r="G109" s="139"/>
      <c r="H109" s="141"/>
      <c r="I109" s="139"/>
    </row>
    <row r="110" spans="1:9" s="231" customFormat="1">
      <c r="A110" s="120">
        <v>12</v>
      </c>
      <c r="B110" s="47" t="s">
        <v>117</v>
      </c>
      <c r="C110" s="47"/>
      <c r="D110" s="47"/>
      <c r="E110" s="49">
        <v>6135</v>
      </c>
      <c r="F110" s="52">
        <v>7382</v>
      </c>
      <c r="G110" s="118"/>
      <c r="H110" s="122">
        <v>7562</v>
      </c>
      <c r="I110" s="139"/>
    </row>
    <row r="111" spans="1:9" s="231" customFormat="1">
      <c r="A111" s="120">
        <v>13</v>
      </c>
      <c r="B111" s="47" t="s">
        <v>118</v>
      </c>
      <c r="C111" s="47"/>
      <c r="D111" s="47"/>
      <c r="E111" s="49">
        <v>6723</v>
      </c>
      <c r="F111" s="52">
        <v>6461</v>
      </c>
      <c r="G111" s="118"/>
      <c r="H111" s="122">
        <v>6556</v>
      </c>
      <c r="I111" s="139"/>
    </row>
    <row r="112" spans="1:9" s="231" customFormat="1">
      <c r="A112" s="120">
        <v>14</v>
      </c>
      <c r="B112" s="47" t="s">
        <v>119</v>
      </c>
      <c r="C112" s="47"/>
      <c r="D112" s="47"/>
      <c r="E112" s="49">
        <v>5630</v>
      </c>
      <c r="F112" s="52">
        <v>4703</v>
      </c>
      <c r="G112" s="118"/>
      <c r="H112" s="122">
        <v>4975</v>
      </c>
      <c r="I112" s="139"/>
    </row>
    <row r="113" spans="1:9" s="231" customFormat="1">
      <c r="A113" s="120">
        <v>15</v>
      </c>
      <c r="B113" s="47" t="s">
        <v>120</v>
      </c>
      <c r="C113" s="47"/>
      <c r="D113" s="47"/>
      <c r="E113" s="49">
        <v>513</v>
      </c>
      <c r="F113" s="52">
        <v>568</v>
      </c>
      <c r="G113" s="118"/>
      <c r="H113" s="122">
        <v>555</v>
      </c>
      <c r="I113" s="139"/>
    </row>
    <row r="114" spans="1:9" s="231" customFormat="1">
      <c r="A114" s="120">
        <v>16</v>
      </c>
      <c r="B114" s="47" t="s">
        <v>121</v>
      </c>
      <c r="C114" s="47"/>
      <c r="D114" s="47"/>
      <c r="E114" s="49">
        <v>1544</v>
      </c>
      <c r="F114" s="52">
        <v>1401</v>
      </c>
      <c r="G114" s="118"/>
      <c r="H114" s="100">
        <v>1533</v>
      </c>
      <c r="I114" s="139"/>
    </row>
    <row r="115" spans="1:9" s="231" customFormat="1">
      <c r="A115" s="120">
        <v>17</v>
      </c>
      <c r="B115" s="116" t="s">
        <v>122</v>
      </c>
      <c r="C115" s="116"/>
      <c r="D115" s="116"/>
      <c r="E115" s="80">
        <v>20545</v>
      </c>
      <c r="F115" s="142">
        <f>SUM(F110:F114)</f>
        <v>20515</v>
      </c>
      <c r="G115" s="118"/>
      <c r="H115" s="142">
        <f>SUM(H110:H114)</f>
        <v>21181</v>
      </c>
      <c r="I115" s="139"/>
    </row>
    <row r="116" spans="1:9" s="231" customFormat="1">
      <c r="A116" s="111"/>
      <c r="B116" s="116"/>
      <c r="C116" s="116"/>
      <c r="D116" s="116"/>
      <c r="E116" s="143"/>
      <c r="F116" s="118"/>
      <c r="G116" s="118"/>
      <c r="H116" s="118"/>
      <c r="I116" s="139"/>
    </row>
    <row r="117" spans="1:9" s="231" customFormat="1">
      <c r="A117" s="144" t="s">
        <v>107</v>
      </c>
      <c r="B117" s="116"/>
      <c r="C117" s="116"/>
      <c r="D117" s="116"/>
      <c r="E117" s="145"/>
      <c r="F117" s="146"/>
      <c r="G117" s="118"/>
      <c r="H117" s="146"/>
      <c r="I117" s="139"/>
    </row>
    <row r="118" spans="1:9" s="231" customFormat="1">
      <c r="A118" s="120">
        <v>18</v>
      </c>
      <c r="B118" s="47" t="s">
        <v>123</v>
      </c>
      <c r="C118" s="47"/>
      <c r="D118" s="47"/>
      <c r="E118" s="49">
        <v>4139</v>
      </c>
      <c r="F118" s="52">
        <v>4308</v>
      </c>
      <c r="G118" s="118"/>
      <c r="H118" s="122">
        <v>4177</v>
      </c>
      <c r="I118" s="139"/>
    </row>
    <row r="119" spans="1:9" s="231" customFormat="1">
      <c r="A119" s="120">
        <v>19</v>
      </c>
      <c r="B119" s="47" t="s">
        <v>124</v>
      </c>
      <c r="C119" s="47"/>
      <c r="D119" s="47"/>
      <c r="E119" s="49">
        <v>10722</v>
      </c>
      <c r="F119" s="52">
        <v>11060</v>
      </c>
      <c r="G119" s="118"/>
      <c r="H119" s="122">
        <v>11696</v>
      </c>
      <c r="I119" s="139"/>
    </row>
    <row r="120" spans="1:9" s="231" customFormat="1">
      <c r="A120" s="120">
        <v>20</v>
      </c>
      <c r="B120" s="47" t="s">
        <v>119</v>
      </c>
      <c r="C120" s="47"/>
      <c r="D120" s="47"/>
      <c r="E120" s="49">
        <v>15763</v>
      </c>
      <c r="F120" s="52">
        <f>16627-3</f>
        <v>16624</v>
      </c>
      <c r="G120" s="118"/>
      <c r="H120" s="122">
        <v>16265</v>
      </c>
      <c r="I120" s="139"/>
    </row>
    <row r="121" spans="1:9" s="231" customFormat="1">
      <c r="A121" s="120">
        <v>21</v>
      </c>
      <c r="B121" s="47" t="s">
        <v>120</v>
      </c>
      <c r="C121" s="47"/>
      <c r="D121" s="47"/>
      <c r="E121" s="49">
        <v>1119</v>
      </c>
      <c r="F121" s="52">
        <v>1073</v>
      </c>
      <c r="G121" s="118"/>
      <c r="H121" s="122">
        <v>1112</v>
      </c>
      <c r="I121" s="139"/>
    </row>
    <row r="122" spans="1:9" s="231" customFormat="1">
      <c r="A122" s="120">
        <v>22</v>
      </c>
      <c r="B122" s="47" t="s">
        <v>125</v>
      </c>
      <c r="C122" s="47"/>
      <c r="D122" s="47"/>
      <c r="E122" s="49">
        <v>1603</v>
      </c>
      <c r="F122" s="52">
        <v>1759</v>
      </c>
      <c r="G122" s="118"/>
      <c r="H122" s="122">
        <v>1958</v>
      </c>
      <c r="I122" s="139"/>
    </row>
    <row r="123" spans="1:9" s="231" customFormat="1">
      <c r="A123" s="120">
        <v>23</v>
      </c>
      <c r="B123" s="90" t="s">
        <v>126</v>
      </c>
      <c r="C123" s="47"/>
      <c r="D123" s="47"/>
      <c r="E123" s="49">
        <v>2635</v>
      </c>
      <c r="F123" s="52">
        <v>2226</v>
      </c>
      <c r="G123" s="118"/>
      <c r="H123" s="99">
        <v>2041</v>
      </c>
      <c r="I123" s="139"/>
    </row>
    <row r="124" spans="1:9" s="231" customFormat="1">
      <c r="A124" s="120">
        <v>24</v>
      </c>
      <c r="B124" s="47" t="s">
        <v>121</v>
      </c>
      <c r="C124" s="47"/>
      <c r="D124" s="47"/>
      <c r="E124" s="49">
        <v>627</v>
      </c>
      <c r="F124" s="52">
        <v>515</v>
      </c>
      <c r="G124" s="118"/>
      <c r="H124" s="100">
        <v>786</v>
      </c>
      <c r="I124" s="139"/>
    </row>
    <row r="125" spans="1:9" s="231" customFormat="1">
      <c r="A125" s="120">
        <v>25</v>
      </c>
      <c r="B125" s="147" t="s">
        <v>127</v>
      </c>
      <c r="C125" s="147"/>
      <c r="D125" s="147"/>
      <c r="E125" s="80">
        <v>36608</v>
      </c>
      <c r="F125" s="142">
        <f>SUM(F118:F124)</f>
        <v>37565</v>
      </c>
      <c r="G125" s="118"/>
      <c r="H125" s="142">
        <f>SUM(H118:H124)</f>
        <v>38035</v>
      </c>
      <c r="I125" s="139"/>
    </row>
    <row r="126" spans="1:9" s="231" customFormat="1">
      <c r="A126" s="111"/>
      <c r="B126" s="47"/>
      <c r="C126" s="47"/>
      <c r="D126" s="47"/>
      <c r="E126" s="117"/>
      <c r="F126" s="118"/>
      <c r="G126" s="118"/>
      <c r="H126" s="118"/>
      <c r="I126" s="139"/>
    </row>
    <row r="127" spans="1:9" s="231" customFormat="1">
      <c r="A127" s="119" t="s">
        <v>108</v>
      </c>
      <c r="B127" s="147"/>
      <c r="C127" s="147"/>
      <c r="D127" s="147"/>
      <c r="E127" s="140"/>
      <c r="F127" s="146"/>
      <c r="G127" s="118"/>
      <c r="H127" s="146"/>
      <c r="I127" s="139"/>
    </row>
    <row r="128" spans="1:9" s="231" customFormat="1">
      <c r="A128" s="120">
        <v>26</v>
      </c>
      <c r="B128" s="47" t="s">
        <v>123</v>
      </c>
      <c r="C128" s="47"/>
      <c r="D128" s="47"/>
      <c r="E128" s="74">
        <v>211</v>
      </c>
      <c r="F128" s="52">
        <v>209</v>
      </c>
      <c r="G128" s="118"/>
      <c r="H128" s="122">
        <v>208</v>
      </c>
      <c r="I128" s="139"/>
    </row>
    <row r="129" spans="1:9" s="231" customFormat="1">
      <c r="A129" s="120">
        <v>27</v>
      </c>
      <c r="B129" s="47" t="s">
        <v>124</v>
      </c>
      <c r="C129" s="47"/>
      <c r="D129" s="47"/>
      <c r="E129" s="49">
        <v>0</v>
      </c>
      <c r="F129" s="52">
        <v>0</v>
      </c>
      <c r="G129" s="118"/>
      <c r="H129" s="122">
        <v>0</v>
      </c>
      <c r="I129" s="139"/>
    </row>
    <row r="130" spans="1:9" s="231" customFormat="1">
      <c r="A130" s="120">
        <v>28</v>
      </c>
      <c r="B130" s="47" t="s">
        <v>119</v>
      </c>
      <c r="C130" s="47"/>
      <c r="D130" s="47"/>
      <c r="E130" s="49">
        <v>1374</v>
      </c>
      <c r="F130" s="52">
        <v>1721</v>
      </c>
      <c r="G130" s="118"/>
      <c r="H130" s="122">
        <v>1463</v>
      </c>
      <c r="I130" s="139"/>
    </row>
    <row r="131" spans="1:9" s="231" customFormat="1">
      <c r="A131" s="120">
        <v>29</v>
      </c>
      <c r="B131" s="47" t="s">
        <v>120</v>
      </c>
      <c r="C131" s="47"/>
      <c r="D131" s="47"/>
      <c r="E131" s="49">
        <v>86</v>
      </c>
      <c r="F131" s="52">
        <v>81</v>
      </c>
      <c r="G131" s="118"/>
      <c r="H131" s="122">
        <v>85</v>
      </c>
      <c r="I131" s="139"/>
    </row>
    <row r="132" spans="1:9" s="231" customFormat="1">
      <c r="A132" s="120">
        <v>30</v>
      </c>
      <c r="B132" s="47" t="s">
        <v>125</v>
      </c>
      <c r="C132" s="47"/>
      <c r="D132" s="47"/>
      <c r="E132" s="49">
        <v>0</v>
      </c>
      <c r="F132" s="52">
        <v>0</v>
      </c>
      <c r="G132" s="118"/>
      <c r="H132" s="122">
        <v>0</v>
      </c>
      <c r="I132" s="139"/>
    </row>
    <row r="133" spans="1:9" s="231" customFormat="1">
      <c r="A133" s="120">
        <v>31</v>
      </c>
      <c r="B133" s="90" t="s">
        <v>126</v>
      </c>
      <c r="C133" s="47"/>
      <c r="D133" s="47"/>
      <c r="E133" s="49">
        <v>1271</v>
      </c>
      <c r="F133" s="52">
        <v>1408</v>
      </c>
      <c r="G133" s="118"/>
      <c r="H133" s="122">
        <v>1351</v>
      </c>
      <c r="I133" s="139"/>
    </row>
    <row r="134" spans="1:9" s="231" customFormat="1">
      <c r="A134" s="120">
        <v>32</v>
      </c>
      <c r="B134" s="47" t="s">
        <v>121</v>
      </c>
      <c r="C134" s="47"/>
      <c r="D134" s="47"/>
      <c r="E134" s="49">
        <v>59</v>
      </c>
      <c r="F134" s="52">
        <v>58</v>
      </c>
      <c r="G134" s="118"/>
      <c r="H134" s="100">
        <v>43</v>
      </c>
      <c r="I134" s="139"/>
    </row>
    <row r="135" spans="1:9" s="231" customFormat="1">
      <c r="A135" s="120">
        <v>33</v>
      </c>
      <c r="B135" s="116" t="s">
        <v>128</v>
      </c>
      <c r="C135" s="116"/>
      <c r="D135" s="116"/>
      <c r="E135" s="80">
        <v>3001</v>
      </c>
      <c r="F135" s="142">
        <f>SUM(F128:F134)</f>
        <v>3477</v>
      </c>
      <c r="G135" s="118"/>
      <c r="H135" s="142">
        <f>SUM(H128:H134)</f>
        <v>3150</v>
      </c>
      <c r="I135" s="139"/>
    </row>
    <row r="136" spans="1:9" s="231" customFormat="1">
      <c r="A136" s="111"/>
      <c r="B136" s="47"/>
      <c r="C136" s="47"/>
      <c r="D136" s="138"/>
      <c r="E136" s="117"/>
      <c r="F136" s="118"/>
      <c r="G136" s="118"/>
      <c r="H136" s="118"/>
      <c r="I136" s="139"/>
    </row>
    <row r="137" spans="1:9" s="231" customFormat="1">
      <c r="A137" s="119" t="s">
        <v>109</v>
      </c>
      <c r="B137" s="116"/>
      <c r="C137" s="116"/>
      <c r="D137" s="116"/>
      <c r="E137" s="140"/>
      <c r="F137" s="146"/>
      <c r="G137" s="118"/>
      <c r="H137" s="146"/>
      <c r="I137" s="139"/>
    </row>
    <row r="138" spans="1:9" s="231" customFormat="1">
      <c r="A138" s="120">
        <v>34</v>
      </c>
      <c r="B138" s="47" t="s">
        <v>123</v>
      </c>
      <c r="C138" s="47"/>
      <c r="D138" s="47"/>
      <c r="E138" s="49">
        <v>117</v>
      </c>
      <c r="F138" s="52">
        <v>186</v>
      </c>
      <c r="G138" s="118"/>
      <c r="H138" s="122">
        <v>202</v>
      </c>
      <c r="I138" s="139"/>
    </row>
    <row r="139" spans="1:9" s="231" customFormat="1">
      <c r="A139" s="120">
        <v>35</v>
      </c>
      <c r="B139" s="47" t="s">
        <v>119</v>
      </c>
      <c r="C139" s="47"/>
      <c r="D139" s="47"/>
      <c r="E139" s="49">
        <v>1063</v>
      </c>
      <c r="F139" s="52">
        <v>1325</v>
      </c>
      <c r="G139" s="118"/>
      <c r="H139" s="122">
        <v>1287</v>
      </c>
      <c r="I139" s="139"/>
    </row>
    <row r="140" spans="1:9" s="231" customFormat="1">
      <c r="A140" s="120">
        <v>36</v>
      </c>
      <c r="B140" s="47" t="s">
        <v>120</v>
      </c>
      <c r="C140" s="47"/>
      <c r="D140" s="47"/>
      <c r="E140" s="49">
        <v>2148</v>
      </c>
      <c r="F140" s="52">
        <v>1943</v>
      </c>
      <c r="G140" s="118"/>
      <c r="H140" s="122">
        <v>2340</v>
      </c>
      <c r="I140" s="139"/>
    </row>
    <row r="141" spans="1:9" s="231" customFormat="1">
      <c r="A141" s="120">
        <v>37</v>
      </c>
      <c r="B141" s="90" t="s">
        <v>126</v>
      </c>
      <c r="C141" s="47"/>
      <c r="D141" s="47"/>
      <c r="E141" s="49">
        <v>1178</v>
      </c>
      <c r="F141" s="52">
        <v>1472</v>
      </c>
      <c r="G141" s="118"/>
      <c r="H141" s="99">
        <v>1543</v>
      </c>
      <c r="I141" s="139"/>
    </row>
    <row r="142" spans="1:9" s="231" customFormat="1">
      <c r="A142" s="120">
        <v>38</v>
      </c>
      <c r="B142" s="47" t="s">
        <v>121</v>
      </c>
      <c r="C142" s="47"/>
      <c r="D142" s="47"/>
      <c r="E142" s="49">
        <v>9511</v>
      </c>
      <c r="F142" s="52">
        <v>9838</v>
      </c>
      <c r="G142" s="118"/>
      <c r="H142" s="100">
        <v>10300</v>
      </c>
      <c r="I142" s="139"/>
    </row>
    <row r="143" spans="1:9" s="231" customFormat="1">
      <c r="A143" s="120">
        <v>39</v>
      </c>
      <c r="B143" s="116" t="s">
        <v>129</v>
      </c>
      <c r="C143" s="116"/>
      <c r="D143" s="116"/>
      <c r="E143" s="80">
        <v>14017</v>
      </c>
      <c r="F143" s="142">
        <f>SUM(F138:F142)</f>
        <v>14764</v>
      </c>
      <c r="G143" s="118"/>
      <c r="H143" s="142">
        <f>SUM(H138:H142)</f>
        <v>15672</v>
      </c>
      <c r="I143" s="139"/>
    </row>
    <row r="144" spans="1:9" s="231" customFormat="1">
      <c r="A144" s="111"/>
      <c r="B144" s="47"/>
      <c r="C144" s="47"/>
      <c r="D144" s="47"/>
      <c r="E144" s="117"/>
      <c r="F144" s="118"/>
      <c r="G144" s="118"/>
      <c r="H144" s="118"/>
      <c r="I144" s="139"/>
    </row>
    <row r="145" spans="1:9" s="231" customFormat="1">
      <c r="A145" s="119" t="s">
        <v>110</v>
      </c>
      <c r="B145" s="116"/>
      <c r="C145" s="116"/>
      <c r="D145" s="116"/>
      <c r="E145" s="140"/>
      <c r="F145" s="146"/>
      <c r="G145" s="118"/>
      <c r="H145" s="146"/>
      <c r="I145" s="139"/>
    </row>
    <row r="146" spans="1:9" s="231" customFormat="1">
      <c r="A146" s="120">
        <v>40</v>
      </c>
      <c r="B146" s="47" t="s">
        <v>123</v>
      </c>
      <c r="C146" s="47"/>
      <c r="D146" s="47"/>
      <c r="E146" s="49">
        <v>897</v>
      </c>
      <c r="F146" s="52">
        <v>920</v>
      </c>
      <c r="G146" s="118"/>
      <c r="H146" s="122">
        <v>936</v>
      </c>
      <c r="I146" s="139"/>
    </row>
    <row r="147" spans="1:9" s="231" customFormat="1">
      <c r="A147" s="120">
        <v>41</v>
      </c>
      <c r="B147" s="47" t="s">
        <v>119</v>
      </c>
      <c r="C147" s="47"/>
      <c r="D147" s="47"/>
      <c r="E147" s="49">
        <v>274</v>
      </c>
      <c r="F147" s="52">
        <v>351</v>
      </c>
      <c r="G147" s="118"/>
      <c r="H147" s="122">
        <v>261</v>
      </c>
      <c r="I147" s="139"/>
    </row>
    <row r="148" spans="1:9" s="231" customFormat="1">
      <c r="A148" s="120">
        <v>42</v>
      </c>
      <c r="B148" s="47" t="s">
        <v>120</v>
      </c>
      <c r="C148" s="47"/>
      <c r="D148" s="47"/>
      <c r="E148" s="49">
        <v>380</v>
      </c>
      <c r="F148" s="52">
        <v>335</v>
      </c>
      <c r="G148" s="118"/>
      <c r="H148" s="122">
        <v>399</v>
      </c>
      <c r="I148" s="139"/>
    </row>
    <row r="149" spans="1:9" s="231" customFormat="1">
      <c r="A149" s="120">
        <v>43</v>
      </c>
      <c r="B149" s="47" t="s">
        <v>121</v>
      </c>
      <c r="C149" s="47"/>
      <c r="D149" s="47"/>
      <c r="E149" s="49">
        <v>103</v>
      </c>
      <c r="F149" s="52">
        <v>414</v>
      </c>
      <c r="G149" s="118"/>
      <c r="H149" s="100">
        <v>416</v>
      </c>
      <c r="I149" s="139"/>
    </row>
    <row r="150" spans="1:9" s="231" customFormat="1">
      <c r="A150" s="124">
        <v>44</v>
      </c>
      <c r="B150" s="94" t="s">
        <v>130</v>
      </c>
      <c r="C150" s="94"/>
      <c r="D150" s="94"/>
      <c r="E150" s="80">
        <v>1654</v>
      </c>
      <c r="F150" s="142">
        <f>SUM(F146:F149)</f>
        <v>2020</v>
      </c>
      <c r="G150" s="259"/>
      <c r="H150" s="142">
        <f>SUM(H146:H149)</f>
        <v>2012</v>
      </c>
      <c r="I150" s="139"/>
    </row>
    <row r="151" spans="1:9" s="231" customFormat="1">
      <c r="A151" s="148"/>
      <c r="B151" s="129"/>
      <c r="C151" s="129"/>
      <c r="D151" s="149"/>
      <c r="E151" s="150"/>
      <c r="F151" s="29"/>
      <c r="G151" s="29"/>
      <c r="H151" s="207"/>
      <c r="I151" s="29"/>
    </row>
    <row r="152" spans="1:9" s="231" customFormat="1">
      <c r="A152" s="148"/>
      <c r="B152" s="129"/>
      <c r="C152" s="129"/>
      <c r="D152" s="151"/>
      <c r="E152" s="152"/>
      <c r="F152" s="29"/>
      <c r="G152" s="29"/>
      <c r="H152" s="131" t="s">
        <v>27</v>
      </c>
      <c r="I152" s="29"/>
    </row>
    <row r="153" spans="1:9" s="231" customFormat="1">
      <c r="A153" s="106" t="s">
        <v>20</v>
      </c>
      <c r="B153" s="107"/>
      <c r="C153" s="107"/>
      <c r="D153" s="107"/>
      <c r="E153" s="856" t="s">
        <v>377</v>
      </c>
      <c r="F153" s="856" t="s">
        <v>402</v>
      </c>
      <c r="G153" s="130"/>
      <c r="H153" s="856" t="s">
        <v>403</v>
      </c>
      <c r="I153" s="130"/>
    </row>
    <row r="154" spans="1:9" s="231" customFormat="1">
      <c r="A154" s="153"/>
      <c r="B154" s="132"/>
      <c r="C154" s="132"/>
      <c r="D154" s="132"/>
      <c r="E154" s="859"/>
      <c r="F154" s="859"/>
      <c r="G154" s="130"/>
      <c r="H154" s="859"/>
      <c r="I154" s="130"/>
    </row>
    <row r="155" spans="1:9" s="231" customFormat="1">
      <c r="A155" s="154" t="s">
        <v>131</v>
      </c>
      <c r="B155" s="116"/>
      <c r="C155" s="116"/>
      <c r="D155" s="116"/>
      <c r="E155" s="859"/>
      <c r="F155" s="859"/>
      <c r="G155" s="130"/>
      <c r="H155" s="859"/>
      <c r="I155" s="130"/>
    </row>
    <row r="156" spans="1:9" s="231" customFormat="1" ht="12.75" customHeight="1">
      <c r="A156" s="109" t="s">
        <v>83</v>
      </c>
      <c r="B156" s="47"/>
      <c r="C156" s="47"/>
      <c r="D156" s="47"/>
      <c r="E156" s="859"/>
      <c r="F156" s="859"/>
      <c r="G156" s="130"/>
      <c r="H156" s="859"/>
      <c r="I156" s="130"/>
    </row>
    <row r="157" spans="1:9" s="231" customFormat="1">
      <c r="A157" s="110" t="s">
        <v>84</v>
      </c>
      <c r="B157" s="132"/>
      <c r="C157" s="132"/>
      <c r="D157" s="132"/>
      <c r="E157" s="860"/>
      <c r="F157" s="860"/>
      <c r="G157" s="130"/>
      <c r="H157" s="860"/>
      <c r="I157" s="130"/>
    </row>
    <row r="158" spans="1:9" s="231" customFormat="1">
      <c r="A158" s="119" t="s">
        <v>132</v>
      </c>
      <c r="B158" s="47"/>
      <c r="C158" s="47"/>
      <c r="D158" s="47"/>
      <c r="E158" s="155"/>
      <c r="F158" s="146" t="s">
        <v>133</v>
      </c>
      <c r="G158" s="118"/>
      <c r="H158" s="146"/>
      <c r="I158" s="29"/>
    </row>
    <row r="159" spans="1:9" s="231" customFormat="1">
      <c r="A159" s="120">
        <v>1</v>
      </c>
      <c r="B159" s="47" t="s">
        <v>134</v>
      </c>
      <c r="C159" s="47"/>
      <c r="D159" s="47"/>
      <c r="E159" s="74">
        <v>0</v>
      </c>
      <c r="F159" s="52">
        <v>0</v>
      </c>
      <c r="G159" s="118"/>
      <c r="H159" s="122">
        <v>0</v>
      </c>
      <c r="I159" s="29"/>
    </row>
    <row r="160" spans="1:9" s="231" customFormat="1">
      <c r="A160" s="120">
        <v>2</v>
      </c>
      <c r="B160" s="47" t="s">
        <v>135</v>
      </c>
      <c r="C160" s="47"/>
      <c r="D160" s="47"/>
      <c r="E160" s="49">
        <v>4225</v>
      </c>
      <c r="F160" s="52">
        <v>4427</v>
      </c>
      <c r="G160" s="118"/>
      <c r="H160" s="122">
        <v>4500</v>
      </c>
      <c r="I160" s="29"/>
    </row>
    <row r="161" spans="1:9" s="231" customFormat="1">
      <c r="A161" s="120">
        <v>3</v>
      </c>
      <c r="B161" s="47" t="s">
        <v>136</v>
      </c>
      <c r="C161" s="47"/>
      <c r="D161" s="47"/>
      <c r="E161" s="114">
        <v>3041</v>
      </c>
      <c r="F161" s="52">
        <v>2962</v>
      </c>
      <c r="G161" s="118"/>
      <c r="H161" s="122">
        <v>2580</v>
      </c>
      <c r="I161" s="29"/>
    </row>
    <row r="162" spans="1:9" s="231" customFormat="1">
      <c r="A162" s="120">
        <v>4</v>
      </c>
      <c r="B162" s="47" t="s">
        <v>137</v>
      </c>
      <c r="C162" s="47"/>
      <c r="D162" s="47"/>
      <c r="E162" s="114">
        <v>1770</v>
      </c>
      <c r="F162" s="52">
        <v>1723</v>
      </c>
      <c r="G162" s="118"/>
      <c r="H162" s="100">
        <v>1863</v>
      </c>
      <c r="I162" s="29"/>
    </row>
    <row r="163" spans="1:9" s="231" customFormat="1">
      <c r="A163" s="120">
        <v>5</v>
      </c>
      <c r="B163" s="116" t="s">
        <v>138</v>
      </c>
      <c r="C163" s="116"/>
      <c r="D163" s="116"/>
      <c r="E163" s="80">
        <v>9036</v>
      </c>
      <c r="F163" s="142">
        <f>SUM(F159:F162)</f>
        <v>9112</v>
      </c>
      <c r="G163" s="118"/>
      <c r="H163" s="142">
        <f>SUM(H159:H162)</f>
        <v>8943</v>
      </c>
      <c r="I163" s="29"/>
    </row>
    <row r="164" spans="1:9" s="231" customFormat="1">
      <c r="A164" s="46"/>
      <c r="B164" s="132"/>
      <c r="C164" s="132"/>
      <c r="D164" s="132"/>
      <c r="E164" s="156"/>
      <c r="F164" s="139"/>
      <c r="G164" s="139"/>
      <c r="H164" s="139"/>
      <c r="I164" s="29"/>
    </row>
    <row r="165" spans="1:9" s="231" customFormat="1">
      <c r="A165" s="119" t="s">
        <v>139</v>
      </c>
      <c r="B165" s="47"/>
      <c r="C165" s="47"/>
      <c r="D165" s="47"/>
      <c r="E165" s="140"/>
      <c r="F165" s="146"/>
      <c r="G165" s="118"/>
      <c r="H165" s="146"/>
      <c r="I165" s="29"/>
    </row>
    <row r="166" spans="1:9" s="231" customFormat="1">
      <c r="A166" s="120">
        <v>6</v>
      </c>
      <c r="B166" s="47" t="s">
        <v>140</v>
      </c>
      <c r="C166" s="47"/>
      <c r="D166" s="47"/>
      <c r="E166" s="74">
        <v>355</v>
      </c>
      <c r="F166" s="52">
        <v>355</v>
      </c>
      <c r="G166" s="118"/>
      <c r="H166" s="122">
        <v>271</v>
      </c>
      <c r="I166" s="29"/>
    </row>
    <row r="167" spans="1:9" s="231" customFormat="1">
      <c r="A167" s="120">
        <v>7</v>
      </c>
      <c r="B167" s="47" t="s">
        <v>141</v>
      </c>
      <c r="C167" s="47"/>
      <c r="D167" s="47"/>
      <c r="E167" s="49">
        <v>2123</v>
      </c>
      <c r="F167" s="52">
        <v>1759</v>
      </c>
      <c r="G167" s="118"/>
      <c r="H167" s="122">
        <v>2286</v>
      </c>
      <c r="I167" s="29"/>
    </row>
    <row r="168" spans="1:9" s="231" customFormat="1">
      <c r="A168" s="120">
        <v>8</v>
      </c>
      <c r="B168" s="47" t="s">
        <v>121</v>
      </c>
      <c r="C168" s="47"/>
      <c r="D168" s="47"/>
      <c r="E168" s="49">
        <v>-216</v>
      </c>
      <c r="F168" s="52">
        <v>-227</v>
      </c>
      <c r="G168" s="118"/>
      <c r="H168" s="100">
        <v>-227</v>
      </c>
      <c r="I168" s="29"/>
    </row>
    <row r="169" spans="1:9" s="231" customFormat="1">
      <c r="A169" s="120">
        <v>9</v>
      </c>
      <c r="B169" s="116" t="s">
        <v>142</v>
      </c>
      <c r="C169" s="116"/>
      <c r="D169" s="116"/>
      <c r="E169" s="80">
        <v>2262</v>
      </c>
      <c r="F169" s="142">
        <f>SUM(F166:F168)</f>
        <v>1887</v>
      </c>
      <c r="G169" s="118"/>
      <c r="H169" s="142">
        <f>SUM(H166:H168)</f>
        <v>2330</v>
      </c>
      <c r="I169" s="29"/>
    </row>
    <row r="170" spans="1:9" s="231" customFormat="1">
      <c r="A170" s="46"/>
      <c r="B170" s="132"/>
      <c r="C170" s="132"/>
      <c r="D170" s="132"/>
      <c r="E170" s="156"/>
      <c r="F170" s="139"/>
      <c r="G170" s="139"/>
      <c r="H170" s="139"/>
      <c r="I170" s="29"/>
    </row>
    <row r="171" spans="1:9" s="231" customFormat="1">
      <c r="A171" s="120">
        <v>10</v>
      </c>
      <c r="B171" s="47" t="s">
        <v>143</v>
      </c>
      <c r="C171" s="47"/>
      <c r="D171" s="47"/>
      <c r="E171" s="41">
        <v>-565</v>
      </c>
      <c r="F171" s="121">
        <v>-775</v>
      </c>
      <c r="G171" s="118"/>
      <c r="H171" s="133">
        <v>-722</v>
      </c>
      <c r="I171" s="29"/>
    </row>
    <row r="172" spans="1:9" s="231" customFormat="1">
      <c r="A172" s="120">
        <v>11</v>
      </c>
      <c r="B172" s="47" t="s">
        <v>144</v>
      </c>
      <c r="C172" s="47"/>
      <c r="D172" s="47"/>
      <c r="E172" s="56">
        <v>0</v>
      </c>
      <c r="F172" s="126">
        <v>0</v>
      </c>
      <c r="G172" s="118"/>
      <c r="H172" s="100">
        <v>0</v>
      </c>
      <c r="I172" s="29"/>
    </row>
    <row r="173" spans="1:9" s="231" customFormat="1">
      <c r="A173" s="46"/>
      <c r="B173" s="132"/>
      <c r="C173" s="132"/>
      <c r="D173" s="132"/>
      <c r="E173" s="156"/>
      <c r="F173" s="139"/>
      <c r="G173" s="139"/>
      <c r="H173" s="139"/>
      <c r="I173" s="29"/>
    </row>
    <row r="174" spans="1:9" s="231" customFormat="1">
      <c r="A174" s="119" t="s">
        <v>145</v>
      </c>
      <c r="B174" s="47"/>
      <c r="C174" s="47"/>
      <c r="D174" s="47"/>
      <c r="E174" s="157"/>
      <c r="F174" s="146"/>
      <c r="G174" s="118"/>
      <c r="H174" s="146"/>
      <c r="I174" s="29"/>
    </row>
    <row r="175" spans="1:9" s="231" customFormat="1">
      <c r="A175" s="120">
        <v>12</v>
      </c>
      <c r="B175" s="47" t="s">
        <v>146</v>
      </c>
      <c r="C175" s="47"/>
      <c r="D175" s="47"/>
      <c r="E175" s="74">
        <v>11</v>
      </c>
      <c r="F175" s="52">
        <v>12</v>
      </c>
      <c r="G175" s="118"/>
      <c r="H175" s="122">
        <v>12</v>
      </c>
      <c r="I175" s="29"/>
    </row>
    <row r="176" spans="1:9" s="231" customFormat="1">
      <c r="A176" s="120">
        <v>13</v>
      </c>
      <c r="B176" s="47" t="s">
        <v>147</v>
      </c>
      <c r="C176" s="47"/>
      <c r="D176" s="47"/>
      <c r="E176" s="49">
        <v>2794</v>
      </c>
      <c r="F176" s="52">
        <v>2961</v>
      </c>
      <c r="G176" s="118"/>
      <c r="H176" s="122">
        <v>3085</v>
      </c>
      <c r="I176" s="29"/>
    </row>
    <row r="177" spans="1:9" s="231" customFormat="1">
      <c r="A177" s="120">
        <v>14</v>
      </c>
      <c r="B177" s="47" t="s">
        <v>148</v>
      </c>
      <c r="C177" s="47"/>
      <c r="D177" s="47"/>
      <c r="E177" s="56">
        <v>85</v>
      </c>
      <c r="F177" s="52">
        <v>114</v>
      </c>
      <c r="G177" s="118"/>
      <c r="H177" s="100">
        <v>88</v>
      </c>
      <c r="I177" s="29"/>
    </row>
    <row r="178" spans="1:9" s="231" customFormat="1">
      <c r="A178" s="120">
        <v>15</v>
      </c>
      <c r="B178" s="116" t="s">
        <v>149</v>
      </c>
      <c r="C178" s="116"/>
      <c r="D178" s="116"/>
      <c r="E178" s="80">
        <v>2890</v>
      </c>
      <c r="F178" s="142">
        <f>SUM(F175:F177)</f>
        <v>3087</v>
      </c>
      <c r="G178" s="118"/>
      <c r="H178" s="142">
        <f>SUM(H175:H177)</f>
        <v>3185</v>
      </c>
      <c r="I178" s="29"/>
    </row>
    <row r="179" spans="1:9" s="231" customFormat="1">
      <c r="A179" s="120">
        <v>16</v>
      </c>
      <c r="B179" s="116" t="s">
        <v>150</v>
      </c>
      <c r="C179" s="116"/>
      <c r="D179" s="116"/>
      <c r="E179" s="80">
        <v>2890</v>
      </c>
      <c r="F179" s="158">
        <f>F172+F178</f>
        <v>3087</v>
      </c>
      <c r="G179" s="118"/>
      <c r="H179" s="158">
        <f>H172+H178</f>
        <v>3185</v>
      </c>
      <c r="I179" s="29"/>
    </row>
    <row r="180" spans="1:9" s="231" customFormat="1">
      <c r="A180" s="120">
        <v>17</v>
      </c>
      <c r="B180" s="116" t="s">
        <v>151</v>
      </c>
      <c r="C180" s="116"/>
      <c r="D180" s="116"/>
      <c r="E180" s="159">
        <v>13623</v>
      </c>
      <c r="F180" s="61">
        <f>SUM(F163+F169+F171+F179)</f>
        <v>13311</v>
      </c>
      <c r="G180" s="118"/>
      <c r="H180" s="61">
        <f>SUM(H163+H169+H171+H179)</f>
        <v>13736</v>
      </c>
      <c r="I180" s="29"/>
    </row>
    <row r="181" spans="1:9" s="231" customFormat="1">
      <c r="A181" s="46"/>
      <c r="B181" s="132"/>
      <c r="C181" s="132"/>
      <c r="D181" s="132"/>
      <c r="E181" s="156"/>
      <c r="F181" s="139"/>
      <c r="G181" s="139"/>
      <c r="H181" s="139"/>
      <c r="I181" s="29"/>
    </row>
    <row r="182" spans="1:9" s="231" customFormat="1">
      <c r="A182" s="119" t="s">
        <v>152</v>
      </c>
      <c r="B182" s="47"/>
      <c r="C182" s="47"/>
      <c r="D182" s="116"/>
      <c r="E182" s="117"/>
      <c r="F182" s="118"/>
      <c r="G182" s="118"/>
      <c r="H182" s="118"/>
      <c r="I182" s="29"/>
    </row>
    <row r="183" spans="1:9" s="231" customFormat="1">
      <c r="A183" s="120">
        <v>18</v>
      </c>
      <c r="B183" s="47" t="s">
        <v>153</v>
      </c>
      <c r="C183" s="47"/>
      <c r="D183" s="47"/>
      <c r="E183" s="41">
        <v>1963</v>
      </c>
      <c r="F183" s="121">
        <v>1939</v>
      </c>
      <c r="G183" s="118"/>
      <c r="H183" s="133">
        <v>2125</v>
      </c>
      <c r="I183" s="29"/>
    </row>
    <row r="184" spans="1:9" s="231" customFormat="1">
      <c r="A184" s="120">
        <v>19</v>
      </c>
      <c r="B184" s="47" t="s">
        <v>154</v>
      </c>
      <c r="C184" s="47"/>
      <c r="D184" s="47"/>
      <c r="E184" s="49">
        <v>0</v>
      </c>
      <c r="F184" s="52">
        <v>0</v>
      </c>
      <c r="G184" s="118"/>
      <c r="H184" s="122">
        <v>0</v>
      </c>
      <c r="I184" s="29"/>
    </row>
    <row r="185" spans="1:9" s="231" customFormat="1">
      <c r="A185" s="120">
        <v>20</v>
      </c>
      <c r="B185" s="47" t="s">
        <v>155</v>
      </c>
      <c r="C185" s="47"/>
      <c r="D185" s="47"/>
      <c r="E185" s="49">
        <v>0</v>
      </c>
      <c r="F185" s="52">
        <v>0</v>
      </c>
      <c r="G185" s="118"/>
      <c r="H185" s="122">
        <v>0</v>
      </c>
      <c r="I185" s="29"/>
    </row>
    <row r="186" spans="1:9" s="231" customFormat="1">
      <c r="A186" s="120">
        <v>21</v>
      </c>
      <c r="B186" s="47" t="s">
        <v>156</v>
      </c>
      <c r="C186" s="47"/>
      <c r="D186" s="47"/>
      <c r="E186" s="49">
        <v>0</v>
      </c>
      <c r="F186" s="52">
        <v>0</v>
      </c>
      <c r="G186" s="118"/>
      <c r="H186" s="122">
        <v>0</v>
      </c>
      <c r="I186" s="29"/>
    </row>
    <row r="187" spans="1:9" s="231" customFormat="1">
      <c r="A187" s="120">
        <v>22</v>
      </c>
      <c r="B187" s="47" t="s">
        <v>157</v>
      </c>
      <c r="C187" s="47"/>
      <c r="D187" s="47"/>
      <c r="E187" s="49">
        <v>0</v>
      </c>
      <c r="F187" s="52">
        <v>0</v>
      </c>
      <c r="G187" s="118"/>
      <c r="H187" s="122">
        <v>0</v>
      </c>
      <c r="I187" s="29"/>
    </row>
    <row r="188" spans="1:9" s="231" customFormat="1">
      <c r="A188" s="120">
        <v>23</v>
      </c>
      <c r="B188" s="47" t="s">
        <v>158</v>
      </c>
      <c r="C188" s="47"/>
      <c r="D188" s="47"/>
      <c r="E188" s="49">
        <v>0</v>
      </c>
      <c r="F188" s="52">
        <v>0</v>
      </c>
      <c r="G188" s="118"/>
      <c r="H188" s="122">
        <v>0</v>
      </c>
      <c r="I188" s="29"/>
    </row>
    <row r="189" spans="1:9" s="231" customFormat="1">
      <c r="A189" s="120">
        <v>24</v>
      </c>
      <c r="B189" s="47" t="s">
        <v>159</v>
      </c>
      <c r="C189" s="47"/>
      <c r="D189" s="47"/>
      <c r="E189" s="49">
        <v>176</v>
      </c>
      <c r="F189" s="52">
        <v>174</v>
      </c>
      <c r="G189" s="118"/>
      <c r="H189" s="122">
        <v>178</v>
      </c>
      <c r="I189" s="29"/>
    </row>
    <row r="190" spans="1:9" s="231" customFormat="1">
      <c r="A190" s="124">
        <v>25</v>
      </c>
      <c r="B190" s="54" t="s">
        <v>160</v>
      </c>
      <c r="C190" s="54"/>
      <c r="D190" s="54"/>
      <c r="E190" s="56">
        <v>0</v>
      </c>
      <c r="F190" s="126">
        <v>0</v>
      </c>
      <c r="G190" s="118"/>
      <c r="H190" s="100">
        <v>0</v>
      </c>
      <c r="I190" s="24"/>
    </row>
    <row r="191" spans="1:9" s="231" customFormat="1">
      <c r="A191" s="161"/>
      <c r="B191" s="129"/>
      <c r="C191" s="129"/>
      <c r="D191" s="149"/>
      <c r="E191" s="162"/>
      <c r="F191" s="29"/>
      <c r="G191" s="29"/>
      <c r="H191" s="207"/>
      <c r="I191" s="29"/>
    </row>
    <row r="192" spans="1:9" s="231" customFormat="1">
      <c r="A192" s="161"/>
      <c r="B192" s="129"/>
      <c r="C192" s="129"/>
      <c r="D192" s="151"/>
      <c r="E192" s="163"/>
      <c r="F192" s="29"/>
      <c r="G192" s="29"/>
      <c r="H192" s="131" t="s">
        <v>27</v>
      </c>
      <c r="I192" s="29"/>
    </row>
    <row r="193" spans="1:9" s="231" customFormat="1" ht="12.75" customHeight="1">
      <c r="A193" s="106" t="s">
        <v>23</v>
      </c>
      <c r="B193" s="164"/>
      <c r="C193" s="164"/>
      <c r="D193" s="164"/>
      <c r="E193" s="856" t="s">
        <v>377</v>
      </c>
      <c r="F193" s="856" t="s">
        <v>402</v>
      </c>
      <c r="G193" s="130"/>
      <c r="H193" s="856" t="s">
        <v>403</v>
      </c>
      <c r="I193" s="130"/>
    </row>
    <row r="194" spans="1:9" s="231" customFormat="1" ht="23.25" customHeight="1">
      <c r="A194" s="165"/>
      <c r="B194" s="132"/>
      <c r="C194" s="132"/>
      <c r="D194" s="132"/>
      <c r="E194" s="859"/>
      <c r="F194" s="859"/>
      <c r="G194" s="130"/>
      <c r="H194" s="859"/>
      <c r="I194" s="130"/>
    </row>
    <row r="195" spans="1:9" s="231" customFormat="1">
      <c r="A195" s="154" t="s">
        <v>161</v>
      </c>
      <c r="B195" s="116"/>
      <c r="C195" s="116"/>
      <c r="D195" s="116"/>
      <c r="E195" s="859"/>
      <c r="F195" s="859"/>
      <c r="G195" s="130"/>
      <c r="H195" s="859"/>
      <c r="I195" s="130"/>
    </row>
    <row r="196" spans="1:9" s="231" customFormat="1">
      <c r="A196" s="109" t="s">
        <v>83</v>
      </c>
      <c r="B196" s="47"/>
      <c r="C196" s="47"/>
      <c r="D196" s="47"/>
      <c r="E196" s="859"/>
      <c r="F196" s="859"/>
      <c r="G196" s="130"/>
      <c r="H196" s="859"/>
      <c r="I196" s="130"/>
    </row>
    <row r="197" spans="1:9" s="231" customFormat="1">
      <c r="A197" s="110" t="s">
        <v>84</v>
      </c>
      <c r="B197" s="132"/>
      <c r="C197" s="132"/>
      <c r="D197" s="132"/>
      <c r="E197" s="860"/>
      <c r="F197" s="860"/>
      <c r="G197" s="130"/>
      <c r="H197" s="860"/>
      <c r="I197" s="130"/>
    </row>
    <row r="198" spans="1:9" s="231" customFormat="1">
      <c r="A198" s="153" t="s">
        <v>162</v>
      </c>
      <c r="B198" s="166"/>
      <c r="C198" s="166"/>
      <c r="D198" s="166"/>
      <c r="E198" s="167"/>
      <c r="F198" s="146"/>
      <c r="G198" s="118"/>
      <c r="H198" s="146"/>
      <c r="I198" s="29"/>
    </row>
    <row r="199" spans="1:9" s="231" customFormat="1">
      <c r="A199" s="120">
        <v>1</v>
      </c>
      <c r="B199" s="47" t="s">
        <v>163</v>
      </c>
      <c r="C199" s="47"/>
      <c r="D199" s="47"/>
      <c r="E199" s="74">
        <v>359</v>
      </c>
      <c r="F199" s="52">
        <v>402</v>
      </c>
      <c r="G199" s="118"/>
      <c r="H199" s="122">
        <v>401</v>
      </c>
      <c r="I199" s="29"/>
    </row>
    <row r="200" spans="1:9" s="231" customFormat="1">
      <c r="A200" s="120">
        <v>2</v>
      </c>
      <c r="B200" s="47" t="s">
        <v>164</v>
      </c>
      <c r="C200" s="47"/>
      <c r="D200" s="47"/>
      <c r="E200" s="56">
        <v>371</v>
      </c>
      <c r="F200" s="52">
        <v>382</v>
      </c>
      <c r="G200" s="118"/>
      <c r="H200" s="100">
        <v>318</v>
      </c>
      <c r="I200" s="29"/>
    </row>
    <row r="201" spans="1:9" s="231" customFormat="1">
      <c r="A201" s="120">
        <v>3</v>
      </c>
      <c r="B201" s="116" t="s">
        <v>165</v>
      </c>
      <c r="C201" s="116"/>
      <c r="D201" s="116"/>
      <c r="E201" s="80">
        <v>730</v>
      </c>
      <c r="F201" s="142">
        <f>SUM(F199:F200)</f>
        <v>784</v>
      </c>
      <c r="G201" s="118"/>
      <c r="H201" s="142">
        <f>SUM(H199:H200)</f>
        <v>719</v>
      </c>
      <c r="I201" s="29"/>
    </row>
    <row r="202" spans="1:9" s="231" customFormat="1">
      <c r="A202" s="46"/>
      <c r="B202" s="132"/>
      <c r="C202" s="132"/>
      <c r="D202" s="132"/>
      <c r="E202" s="156"/>
      <c r="F202" s="139"/>
      <c r="G202" s="139"/>
      <c r="H202" s="139"/>
      <c r="I202" s="29"/>
    </row>
    <row r="203" spans="1:9" s="231" customFormat="1">
      <c r="A203" s="153" t="s">
        <v>166</v>
      </c>
      <c r="B203" s="116"/>
      <c r="C203" s="116"/>
      <c r="D203" s="116"/>
      <c r="E203" s="140"/>
      <c r="F203" s="146"/>
      <c r="G203" s="118"/>
      <c r="H203" s="146"/>
      <c r="I203" s="29"/>
    </row>
    <row r="204" spans="1:9" s="231" customFormat="1">
      <c r="A204" s="120">
        <v>4</v>
      </c>
      <c r="B204" s="47" t="s">
        <v>167</v>
      </c>
      <c r="C204" s="47"/>
      <c r="D204" s="47"/>
      <c r="E204" s="74">
        <v>4523</v>
      </c>
      <c r="F204" s="52">
        <v>4560</v>
      </c>
      <c r="G204" s="118"/>
      <c r="H204" s="122">
        <v>4856</v>
      </c>
      <c r="I204" s="29"/>
    </row>
    <row r="205" spans="1:9" s="231" customFormat="1">
      <c r="A205" s="120">
        <v>5</v>
      </c>
      <c r="B205" s="47" t="s">
        <v>168</v>
      </c>
      <c r="C205" s="47"/>
      <c r="D205" s="47"/>
      <c r="E205" s="49">
        <v>8668</v>
      </c>
      <c r="F205" s="52">
        <v>8586</v>
      </c>
      <c r="G205" s="118"/>
      <c r="H205" s="122">
        <v>8745</v>
      </c>
      <c r="I205" s="29"/>
    </row>
    <row r="206" spans="1:9" s="231" customFormat="1">
      <c r="A206" s="120">
        <v>6</v>
      </c>
      <c r="B206" s="47" t="s">
        <v>169</v>
      </c>
      <c r="C206" s="47"/>
      <c r="D206" s="47"/>
      <c r="E206" s="49">
        <v>4296</v>
      </c>
      <c r="F206" s="52">
        <v>4539</v>
      </c>
      <c r="G206" s="118"/>
      <c r="H206" s="100">
        <v>4528</v>
      </c>
      <c r="I206" s="29"/>
    </row>
    <row r="207" spans="1:9" s="231" customFormat="1">
      <c r="A207" s="120">
        <v>7</v>
      </c>
      <c r="B207" s="116" t="s">
        <v>170</v>
      </c>
      <c r="C207" s="116"/>
      <c r="D207" s="116"/>
      <c r="E207" s="80">
        <v>17487</v>
      </c>
      <c r="F207" s="142">
        <f>SUM(F204:F206)</f>
        <v>17685</v>
      </c>
      <c r="G207" s="118"/>
      <c r="H207" s="142">
        <f>SUM(H204:H206)</f>
        <v>18129</v>
      </c>
      <c r="I207" s="29"/>
    </row>
    <row r="208" spans="1:9" s="231" customFormat="1">
      <c r="A208" s="46"/>
      <c r="B208" s="132"/>
      <c r="C208" s="132"/>
      <c r="D208" s="132"/>
      <c r="E208" s="156"/>
      <c r="F208" s="139"/>
      <c r="G208" s="139"/>
      <c r="H208" s="139"/>
      <c r="I208" s="29"/>
    </row>
    <row r="209" spans="1:9" s="231" customFormat="1">
      <c r="A209" s="153" t="s">
        <v>121</v>
      </c>
      <c r="B209" s="168"/>
      <c r="C209" s="168"/>
      <c r="D209" s="168"/>
      <c r="E209" s="140"/>
      <c r="F209" s="146"/>
      <c r="G209" s="118"/>
      <c r="H209" s="146"/>
      <c r="I209" s="29"/>
    </row>
    <row r="210" spans="1:9" s="231" customFormat="1">
      <c r="A210" s="120">
        <v>8</v>
      </c>
      <c r="B210" s="47" t="s">
        <v>171</v>
      </c>
      <c r="C210" s="47"/>
      <c r="D210" s="47"/>
      <c r="E210" s="74">
        <v>-615</v>
      </c>
      <c r="F210" s="52">
        <v>-595</v>
      </c>
      <c r="G210" s="118"/>
      <c r="H210" s="122">
        <v>-630</v>
      </c>
      <c r="I210" s="29"/>
    </row>
    <row r="211" spans="1:9" s="231" customFormat="1">
      <c r="A211" s="120">
        <v>9</v>
      </c>
      <c r="B211" s="47" t="s">
        <v>172</v>
      </c>
      <c r="C211" s="47"/>
      <c r="D211" s="47"/>
      <c r="E211" s="49">
        <v>0</v>
      </c>
      <c r="F211" s="52">
        <v>0</v>
      </c>
      <c r="G211" s="118"/>
      <c r="H211" s="122">
        <v>0</v>
      </c>
      <c r="I211" s="29"/>
    </row>
    <row r="212" spans="1:9" s="231" customFormat="1">
      <c r="A212" s="120">
        <v>10</v>
      </c>
      <c r="B212" s="47" t="s">
        <v>173</v>
      </c>
      <c r="C212" s="47"/>
      <c r="D212" s="47"/>
      <c r="E212" s="49">
        <v>1264</v>
      </c>
      <c r="F212" s="52">
        <v>1078</v>
      </c>
      <c r="G212" s="118"/>
      <c r="H212" s="122">
        <v>1231</v>
      </c>
      <c r="I212" s="29"/>
    </row>
    <row r="213" spans="1:9" s="231" customFormat="1">
      <c r="A213" s="120">
        <v>11</v>
      </c>
      <c r="B213" s="47" t="s">
        <v>174</v>
      </c>
      <c r="C213" s="47"/>
      <c r="D213" s="47"/>
      <c r="E213" s="49">
        <v>1874</v>
      </c>
      <c r="F213" s="52">
        <v>2042</v>
      </c>
      <c r="G213" s="118"/>
      <c r="H213" s="99">
        <v>1858</v>
      </c>
      <c r="I213" s="29"/>
    </row>
    <row r="214" spans="1:9" s="231" customFormat="1">
      <c r="A214" s="120">
        <v>12</v>
      </c>
      <c r="B214" s="116" t="s">
        <v>175</v>
      </c>
      <c r="C214" s="116"/>
      <c r="D214" s="116"/>
      <c r="E214" s="159">
        <v>20740</v>
      </c>
      <c r="F214" s="61">
        <f>F201+F207+SUM(F210:F213)</f>
        <v>20994</v>
      </c>
      <c r="G214" s="118"/>
      <c r="H214" s="61">
        <f>H201+H207+SUM(H210:H213)</f>
        <v>21307</v>
      </c>
      <c r="I214" s="29"/>
    </row>
    <row r="215" spans="1:9" s="231" customFormat="1">
      <c r="A215" s="111"/>
      <c r="B215" s="47"/>
      <c r="C215" s="47"/>
      <c r="D215" s="47"/>
      <c r="E215" s="117"/>
      <c r="F215" s="118"/>
      <c r="G215" s="118"/>
      <c r="H215" s="118"/>
      <c r="I215" s="29"/>
    </row>
    <row r="216" spans="1:9" s="231" customFormat="1">
      <c r="A216" s="119" t="s">
        <v>176</v>
      </c>
      <c r="B216" s="116"/>
      <c r="C216" s="116"/>
      <c r="D216" s="116"/>
      <c r="E216" s="117"/>
      <c r="F216" s="160"/>
      <c r="G216" s="118"/>
      <c r="H216" s="160"/>
      <c r="I216" s="29"/>
    </row>
    <row r="217" spans="1:9" s="231" customFormat="1">
      <c r="A217" s="120">
        <v>13</v>
      </c>
      <c r="B217" s="47" t="s">
        <v>177</v>
      </c>
      <c r="C217" s="47"/>
      <c r="D217" s="47"/>
      <c r="E217" s="41">
        <v>168</v>
      </c>
      <c r="F217" s="121">
        <v>174</v>
      </c>
      <c r="G217" s="118"/>
      <c r="H217" s="169">
        <v>183</v>
      </c>
      <c r="I217" s="29"/>
    </row>
    <row r="218" spans="1:9" s="231" customFormat="1">
      <c r="A218" s="124">
        <v>14</v>
      </c>
      <c r="B218" s="54" t="s">
        <v>178</v>
      </c>
      <c r="C218" s="54"/>
      <c r="D218" s="54"/>
      <c r="E218" s="56">
        <v>3341</v>
      </c>
      <c r="F218" s="126">
        <v>3492</v>
      </c>
      <c r="G218" s="118"/>
      <c r="H218" s="100">
        <v>3498</v>
      </c>
      <c r="I218" s="29"/>
    </row>
    <row r="219" spans="1:9" s="231" customFormat="1">
      <c r="A219" s="148"/>
      <c r="B219" s="29"/>
      <c r="C219" s="29"/>
      <c r="D219" s="170"/>
      <c r="E219" s="171"/>
      <c r="F219" s="29"/>
      <c r="G219" s="29"/>
      <c r="H219" s="207"/>
      <c r="I219" s="29"/>
    </row>
    <row r="220" spans="1:9" s="231" customFormat="1">
      <c r="A220" s="148"/>
      <c r="B220" s="29"/>
      <c r="C220" s="29"/>
      <c r="D220" s="172"/>
      <c r="E220" s="152"/>
      <c r="F220" s="29"/>
      <c r="G220" s="29"/>
      <c r="H220" s="131" t="s">
        <v>27</v>
      </c>
      <c r="I220" s="29"/>
    </row>
    <row r="221" spans="1:9" s="231" customFormat="1" ht="12.75" customHeight="1">
      <c r="A221" s="106" t="s">
        <v>10</v>
      </c>
      <c r="B221" s="164"/>
      <c r="C221" s="164"/>
      <c r="D221" s="164"/>
      <c r="E221" s="856" t="s">
        <v>377</v>
      </c>
      <c r="F221" s="856" t="s">
        <v>402</v>
      </c>
      <c r="G221" s="130"/>
      <c r="H221" s="856" t="s">
        <v>403</v>
      </c>
      <c r="I221" s="130"/>
    </row>
    <row r="222" spans="1:9" s="231" customFormat="1">
      <c r="A222" s="109"/>
      <c r="B222" s="132"/>
      <c r="C222" s="132"/>
      <c r="D222" s="132"/>
      <c r="E222" s="859"/>
      <c r="F222" s="859"/>
      <c r="G222" s="130"/>
      <c r="H222" s="859"/>
      <c r="I222" s="130"/>
    </row>
    <row r="223" spans="1:9" s="231" customFormat="1">
      <c r="A223" s="154" t="s">
        <v>179</v>
      </c>
      <c r="B223" s="116"/>
      <c r="C223" s="116"/>
      <c r="D223" s="116"/>
      <c r="E223" s="859"/>
      <c r="F223" s="859"/>
      <c r="G223" s="130"/>
      <c r="H223" s="859"/>
      <c r="I223" s="130"/>
    </row>
    <row r="224" spans="1:9" s="231" customFormat="1">
      <c r="A224" s="109" t="s">
        <v>83</v>
      </c>
      <c r="B224" s="47"/>
      <c r="C224" s="47"/>
      <c r="D224" s="47"/>
      <c r="E224" s="859"/>
      <c r="F224" s="859"/>
      <c r="G224" s="130"/>
      <c r="H224" s="859"/>
      <c r="I224" s="130"/>
    </row>
    <row r="225" spans="1:9" s="231" customFormat="1">
      <c r="A225" s="110" t="s">
        <v>84</v>
      </c>
      <c r="B225" s="132"/>
      <c r="C225" s="132"/>
      <c r="D225" s="132"/>
      <c r="E225" s="860"/>
      <c r="F225" s="860"/>
      <c r="G225" s="130"/>
      <c r="H225" s="860"/>
      <c r="I225" s="130"/>
    </row>
    <row r="226" spans="1:9" s="231" customFormat="1">
      <c r="A226" s="120">
        <v>1</v>
      </c>
      <c r="B226" s="47" t="s">
        <v>180</v>
      </c>
      <c r="C226" s="47"/>
      <c r="D226" s="47"/>
      <c r="E226" s="41">
        <v>-255</v>
      </c>
      <c r="F226" s="52">
        <v>-375</v>
      </c>
      <c r="G226" s="118"/>
      <c r="H226" s="133">
        <v>-334</v>
      </c>
      <c r="I226" s="29"/>
    </row>
    <row r="227" spans="1:9" s="231" customFormat="1">
      <c r="A227" s="120">
        <v>2</v>
      </c>
      <c r="B227" s="47" t="s">
        <v>181</v>
      </c>
      <c r="C227" s="47"/>
      <c r="D227" s="47"/>
      <c r="E227" s="49">
        <v>410</v>
      </c>
      <c r="F227" s="52">
        <v>237</v>
      </c>
      <c r="G227" s="118"/>
      <c r="H227" s="122">
        <v>286</v>
      </c>
      <c r="I227" s="29"/>
    </row>
    <row r="228" spans="1:9" s="231" customFormat="1">
      <c r="A228" s="120">
        <v>3</v>
      </c>
      <c r="B228" s="47" t="s">
        <v>182</v>
      </c>
      <c r="C228" s="47"/>
      <c r="D228" s="47"/>
      <c r="E228" s="114">
        <v>1541</v>
      </c>
      <c r="F228" s="52">
        <v>1658</v>
      </c>
      <c r="G228" s="118"/>
      <c r="H228" s="122">
        <v>1664</v>
      </c>
      <c r="I228" s="29"/>
    </row>
    <row r="229" spans="1:9" s="231" customFormat="1">
      <c r="A229" s="120">
        <v>4</v>
      </c>
      <c r="B229" s="47" t="s">
        <v>183</v>
      </c>
      <c r="C229" s="47"/>
      <c r="D229" s="47"/>
      <c r="E229" s="114">
        <v>67</v>
      </c>
      <c r="F229" s="52">
        <v>111</v>
      </c>
      <c r="G229" s="118"/>
      <c r="H229" s="122">
        <v>112</v>
      </c>
      <c r="I229" s="29"/>
    </row>
    <row r="230" spans="1:9" s="231" customFormat="1">
      <c r="A230" s="120">
        <v>5</v>
      </c>
      <c r="B230" s="47" t="s">
        <v>184</v>
      </c>
      <c r="C230" s="47"/>
      <c r="D230" s="47"/>
      <c r="E230" s="114">
        <v>3702</v>
      </c>
      <c r="F230" s="52">
        <v>3471</v>
      </c>
      <c r="G230" s="118"/>
      <c r="H230" s="99">
        <v>3649</v>
      </c>
      <c r="I230" s="29"/>
    </row>
    <row r="231" spans="1:9" s="231" customFormat="1">
      <c r="A231" s="124">
        <v>6</v>
      </c>
      <c r="B231" s="173" t="s">
        <v>185</v>
      </c>
      <c r="C231" s="173"/>
      <c r="D231" s="173"/>
      <c r="E231" s="159">
        <v>5465</v>
      </c>
      <c r="F231" s="61">
        <f>SUM(F226:F230)</f>
        <v>5102</v>
      </c>
      <c r="G231" s="118"/>
      <c r="H231" s="61">
        <f>SUM(H226:H230)</f>
        <v>5377</v>
      </c>
      <c r="I231" s="29"/>
    </row>
    <row r="232" spans="1:9" s="231" customFormat="1">
      <c r="A232" s="148"/>
      <c r="B232" s="29"/>
      <c r="C232" s="29"/>
      <c r="D232" s="170"/>
      <c r="E232" s="150"/>
      <c r="F232" s="29"/>
      <c r="G232" s="29"/>
      <c r="H232" s="207"/>
      <c r="I232" s="29"/>
    </row>
    <row r="233" spans="1:9" s="231" customFormat="1">
      <c r="A233" s="148"/>
      <c r="B233" s="29"/>
      <c r="C233" s="29"/>
      <c r="D233" s="172"/>
      <c r="E233" s="152"/>
      <c r="F233" s="29"/>
      <c r="G233" s="29"/>
      <c r="H233" s="131" t="s">
        <v>27</v>
      </c>
      <c r="I233" s="29"/>
    </row>
    <row r="234" spans="1:9" s="231" customFormat="1" ht="12.75" customHeight="1">
      <c r="A234" s="106" t="s">
        <v>12</v>
      </c>
      <c r="B234" s="164"/>
      <c r="C234" s="164"/>
      <c r="D234" s="164"/>
      <c r="E234" s="856" t="s">
        <v>377</v>
      </c>
      <c r="F234" s="856" t="s">
        <v>402</v>
      </c>
      <c r="G234" s="130"/>
      <c r="H234" s="856" t="s">
        <v>403</v>
      </c>
      <c r="I234" s="130"/>
    </row>
    <row r="235" spans="1:9" s="231" customFormat="1">
      <c r="A235" s="165"/>
      <c r="B235" s="47"/>
      <c r="C235" s="47"/>
      <c r="D235" s="47"/>
      <c r="E235" s="859"/>
      <c r="F235" s="859"/>
      <c r="G235" s="130"/>
      <c r="H235" s="859"/>
      <c r="I235" s="130"/>
    </row>
    <row r="236" spans="1:9" s="231" customFormat="1">
      <c r="A236" s="154" t="s">
        <v>186</v>
      </c>
      <c r="B236" s="174"/>
      <c r="C236" s="174"/>
      <c r="D236" s="174"/>
      <c r="E236" s="859"/>
      <c r="F236" s="859"/>
      <c r="G236" s="130"/>
      <c r="H236" s="859"/>
      <c r="I236" s="130"/>
    </row>
    <row r="237" spans="1:9" s="231" customFormat="1">
      <c r="A237" s="109" t="s">
        <v>83</v>
      </c>
      <c r="B237" s="47"/>
      <c r="C237" s="47"/>
      <c r="D237" s="47"/>
      <c r="E237" s="859"/>
      <c r="F237" s="859"/>
      <c r="G237" s="130"/>
      <c r="H237" s="859"/>
      <c r="I237" s="130"/>
    </row>
    <row r="238" spans="1:9" s="231" customFormat="1">
      <c r="A238" s="110" t="s">
        <v>84</v>
      </c>
      <c r="B238" s="174"/>
      <c r="C238" s="174"/>
      <c r="D238" s="174"/>
      <c r="E238" s="860"/>
      <c r="F238" s="860"/>
      <c r="G238" s="130"/>
      <c r="H238" s="860"/>
      <c r="I238" s="130"/>
    </row>
    <row r="239" spans="1:9" s="231" customFormat="1">
      <c r="A239" s="153" t="s">
        <v>187</v>
      </c>
      <c r="B239" s="116"/>
      <c r="C239" s="116"/>
      <c r="D239" s="116"/>
      <c r="E239" s="167"/>
      <c r="F239" s="146"/>
      <c r="G239" s="118"/>
      <c r="H239" s="146"/>
      <c r="I239" s="29"/>
    </row>
    <row r="240" spans="1:9" s="231" customFormat="1">
      <c r="A240" s="120">
        <v>1</v>
      </c>
      <c r="B240" s="47" t="s">
        <v>188</v>
      </c>
      <c r="C240" s="47"/>
      <c r="D240" s="47"/>
      <c r="E240" s="74">
        <v>1184</v>
      </c>
      <c r="F240" s="52">
        <v>1129</v>
      </c>
      <c r="G240" s="118"/>
      <c r="H240" s="122">
        <v>1175</v>
      </c>
      <c r="I240" s="29"/>
    </row>
    <row r="241" spans="1:9" s="231" customFormat="1">
      <c r="A241" s="693">
        <v>2</v>
      </c>
      <c r="B241" s="47" t="s">
        <v>189</v>
      </c>
      <c r="C241" s="47"/>
      <c r="D241" s="47"/>
      <c r="E241" s="114">
        <v>1630</v>
      </c>
      <c r="F241" s="52">
        <v>1650</v>
      </c>
      <c r="G241" s="118"/>
      <c r="H241" s="100">
        <v>2076</v>
      </c>
      <c r="I241" s="29"/>
    </row>
    <row r="242" spans="1:9" s="231" customFormat="1">
      <c r="A242" s="693">
        <v>3</v>
      </c>
      <c r="B242" s="168" t="s">
        <v>190</v>
      </c>
      <c r="C242" s="168"/>
      <c r="D242" s="168"/>
      <c r="E242" s="80">
        <v>2814</v>
      </c>
      <c r="F242" s="142">
        <f>SUM(F240:F241)</f>
        <v>2779</v>
      </c>
      <c r="G242" s="118"/>
      <c r="H242" s="142">
        <f>SUM(H240:H241)</f>
        <v>3251</v>
      </c>
      <c r="I242" s="29"/>
    </row>
    <row r="243" spans="1:9" s="231" customFormat="1">
      <c r="A243" s="693"/>
      <c r="B243" s="116"/>
      <c r="C243" s="116"/>
      <c r="D243" s="116"/>
      <c r="E243" s="117"/>
      <c r="F243" s="118"/>
      <c r="G243" s="118"/>
      <c r="H243" s="118"/>
      <c r="I243" s="29"/>
    </row>
    <row r="244" spans="1:9" s="231" customFormat="1">
      <c r="A244" s="108" t="s">
        <v>191</v>
      </c>
      <c r="B244" s="47"/>
      <c r="C244" s="47"/>
      <c r="D244" s="47"/>
      <c r="E244" s="140"/>
      <c r="F244" s="146"/>
      <c r="G244" s="118"/>
      <c r="H244" s="146"/>
      <c r="I244" s="29"/>
    </row>
    <row r="245" spans="1:9" s="231" customFormat="1">
      <c r="A245" s="693">
        <v>4</v>
      </c>
      <c r="B245" s="47" t="s">
        <v>192</v>
      </c>
      <c r="C245" s="47"/>
      <c r="D245" s="47"/>
      <c r="E245" s="74">
        <v>0</v>
      </c>
      <c r="F245" s="52">
        <v>0</v>
      </c>
      <c r="G245" s="118"/>
      <c r="H245" s="122">
        <v>0</v>
      </c>
      <c r="I245" s="29"/>
    </row>
    <row r="246" spans="1:9" s="231" customFormat="1">
      <c r="A246" s="693">
        <v>5</v>
      </c>
      <c r="B246" s="47" t="s">
        <v>193</v>
      </c>
      <c r="C246" s="47"/>
      <c r="D246" s="47"/>
      <c r="E246" s="49">
        <v>0</v>
      </c>
      <c r="F246" s="52">
        <v>0</v>
      </c>
      <c r="G246" s="118"/>
      <c r="H246" s="100">
        <v>0</v>
      </c>
      <c r="I246" s="29"/>
    </row>
    <row r="247" spans="1:9" s="231" customFormat="1">
      <c r="A247" s="693">
        <v>6</v>
      </c>
      <c r="B247" s="116" t="s">
        <v>194</v>
      </c>
      <c r="C247" s="116"/>
      <c r="D247" s="116"/>
      <c r="E247" s="80">
        <v>0</v>
      </c>
      <c r="F247" s="142">
        <f>SUM(F245:F246)</f>
        <v>0</v>
      </c>
      <c r="G247" s="118"/>
      <c r="H247" s="142">
        <f>SUM(H245:H246)</f>
        <v>0</v>
      </c>
      <c r="I247" s="29"/>
    </row>
    <row r="248" spans="1:9" s="231" customFormat="1">
      <c r="A248" s="693"/>
      <c r="B248" s="116"/>
      <c r="C248" s="116"/>
      <c r="D248" s="116"/>
      <c r="E248" s="117"/>
      <c r="F248" s="118"/>
      <c r="G248" s="118"/>
      <c r="H248" s="118"/>
      <c r="I248" s="29"/>
    </row>
    <row r="249" spans="1:9" s="231" customFormat="1">
      <c r="A249" s="108" t="s">
        <v>195</v>
      </c>
      <c r="B249" s="116"/>
      <c r="C249" s="116"/>
      <c r="D249" s="116"/>
      <c r="E249" s="140"/>
      <c r="F249" s="146"/>
      <c r="G249" s="118"/>
      <c r="H249" s="146"/>
      <c r="I249" s="29"/>
    </row>
    <row r="250" spans="1:9" s="231" customFormat="1">
      <c r="A250" s="693">
        <v>7</v>
      </c>
      <c r="B250" s="47" t="s">
        <v>196</v>
      </c>
      <c r="C250" s="47"/>
      <c r="D250" s="47"/>
      <c r="E250" s="74">
        <v>0</v>
      </c>
      <c r="F250" s="52">
        <v>0</v>
      </c>
      <c r="G250" s="118"/>
      <c r="H250" s="52">
        <v>0</v>
      </c>
      <c r="I250" s="29"/>
    </row>
    <row r="251" spans="1:9" s="231" customFormat="1">
      <c r="A251" s="693">
        <v>8</v>
      </c>
      <c r="B251" s="47" t="s">
        <v>197</v>
      </c>
      <c r="C251" s="47"/>
      <c r="D251" s="47"/>
      <c r="E251" s="49">
        <v>4970</v>
      </c>
      <c r="F251" s="52">
        <f>147+4899</f>
        <v>5046</v>
      </c>
      <c r="G251" s="118"/>
      <c r="H251" s="122">
        <f>149+5295</f>
        <v>5444</v>
      </c>
      <c r="I251" s="29"/>
    </row>
    <row r="252" spans="1:9" s="231" customFormat="1">
      <c r="A252" s="693">
        <v>9</v>
      </c>
      <c r="B252" s="47" t="s">
        <v>198</v>
      </c>
      <c r="C252" s="47"/>
      <c r="D252" s="47"/>
      <c r="E252" s="49">
        <v>5531</v>
      </c>
      <c r="F252" s="52">
        <v>5847</v>
      </c>
      <c r="G252" s="118"/>
      <c r="H252" s="122">
        <v>5937</v>
      </c>
      <c r="I252" s="29"/>
    </row>
    <row r="253" spans="1:9" s="231" customFormat="1">
      <c r="A253" s="693">
        <v>10</v>
      </c>
      <c r="B253" s="47" t="s">
        <v>199</v>
      </c>
      <c r="C253" s="47"/>
      <c r="D253" s="47"/>
      <c r="E253" s="49">
        <v>0</v>
      </c>
      <c r="F253" s="52">
        <v>0</v>
      </c>
      <c r="G253" s="118"/>
      <c r="H253" s="100">
        <v>0</v>
      </c>
      <c r="I253" s="29"/>
    </row>
    <row r="254" spans="1:9" s="231" customFormat="1">
      <c r="A254" s="693">
        <v>11</v>
      </c>
      <c r="B254" s="116" t="s">
        <v>200</v>
      </c>
      <c r="C254" s="116"/>
      <c r="D254" s="116"/>
      <c r="E254" s="80">
        <v>10501</v>
      </c>
      <c r="F254" s="142">
        <f>SUM(F250:F253)</f>
        <v>10893</v>
      </c>
      <c r="G254" s="118"/>
      <c r="H254" s="142">
        <f>SUM(H250:H253)</f>
        <v>11381</v>
      </c>
      <c r="I254" s="260"/>
    </row>
    <row r="255" spans="1:9" s="231" customFormat="1">
      <c r="A255" s="693"/>
      <c r="B255" s="116"/>
      <c r="C255" s="116"/>
      <c r="D255" s="116"/>
      <c r="E255" s="117"/>
      <c r="F255" s="118"/>
      <c r="G255" s="118"/>
      <c r="H255" s="118"/>
      <c r="I255" s="29"/>
    </row>
    <row r="256" spans="1:9" s="231" customFormat="1">
      <c r="A256" s="693">
        <v>12</v>
      </c>
      <c r="B256" s="47" t="s">
        <v>201</v>
      </c>
      <c r="C256" s="47"/>
      <c r="D256" s="47"/>
      <c r="E256" s="176">
        <v>3172</v>
      </c>
      <c r="F256" s="136">
        <v>3049</v>
      </c>
      <c r="G256" s="118"/>
      <c r="H256" s="177">
        <v>3174</v>
      </c>
      <c r="I256" s="260"/>
    </row>
    <row r="257" spans="1:9" s="231" customFormat="1">
      <c r="A257" s="124">
        <v>13</v>
      </c>
      <c r="B257" s="94" t="s">
        <v>202</v>
      </c>
      <c r="C257" s="94"/>
      <c r="D257" s="94"/>
      <c r="E257" s="159">
        <v>16487</v>
      </c>
      <c r="F257" s="61">
        <f>F242+F247+F254+F256</f>
        <v>16721</v>
      </c>
      <c r="G257" s="118"/>
      <c r="H257" s="61">
        <f>H242+H247+H254+H256</f>
        <v>17806</v>
      </c>
      <c r="I257" s="21"/>
    </row>
    <row r="258" spans="1:9" s="231" customFormat="1">
      <c r="A258" s="207"/>
      <c r="B258" s="207"/>
      <c r="C258" s="207"/>
      <c r="D258" s="208"/>
      <c r="E258" s="208"/>
      <c r="F258" s="207"/>
      <c r="G258" s="207"/>
      <c r="H258" s="207"/>
      <c r="I258" s="21"/>
    </row>
    <row r="259" spans="1:9" s="231" customFormat="1">
      <c r="A259" s="23"/>
      <c r="B259" s="207"/>
      <c r="C259" s="207"/>
      <c r="D259" s="207"/>
      <c r="E259" s="207"/>
      <c r="F259" s="207"/>
      <c r="G259" s="207"/>
      <c r="H259" s="21"/>
      <c r="I259" s="21"/>
    </row>
    <row r="260" spans="1:9" s="231" customFormat="1">
      <c r="A260" s="148"/>
      <c r="B260" s="29"/>
      <c r="C260" s="29"/>
      <c r="D260" s="172"/>
      <c r="E260" s="152"/>
      <c r="F260" s="29"/>
      <c r="G260" s="29"/>
      <c r="H260" s="131" t="s">
        <v>27</v>
      </c>
      <c r="I260" s="21"/>
    </row>
    <row r="261" spans="1:9" s="231" customFormat="1" ht="12.75" customHeight="1">
      <c r="A261" s="106" t="s">
        <v>15</v>
      </c>
      <c r="B261" s="164"/>
      <c r="C261" s="164"/>
      <c r="D261" s="164"/>
      <c r="E261" s="856" t="s">
        <v>377</v>
      </c>
      <c r="F261" s="856" t="s">
        <v>402</v>
      </c>
      <c r="G261" s="130"/>
      <c r="H261" s="856" t="s">
        <v>403</v>
      </c>
      <c r="I261" s="21"/>
    </row>
    <row r="262" spans="1:9" s="231" customFormat="1">
      <c r="A262" s="165"/>
      <c r="B262" s="47"/>
      <c r="C262" s="47"/>
      <c r="D262" s="47"/>
      <c r="E262" s="859"/>
      <c r="F262" s="859"/>
      <c r="G262" s="130"/>
      <c r="H262" s="859"/>
      <c r="I262" s="21"/>
    </row>
    <row r="263" spans="1:9" s="231" customFormat="1">
      <c r="A263" s="109"/>
      <c r="B263" s="174"/>
      <c r="C263" s="174"/>
      <c r="D263" s="174"/>
      <c r="E263" s="859"/>
      <c r="F263" s="859"/>
      <c r="G263" s="130"/>
      <c r="H263" s="859"/>
      <c r="I263" s="21"/>
    </row>
    <row r="264" spans="1:9" s="231" customFormat="1">
      <c r="A264" s="154" t="s">
        <v>203</v>
      </c>
      <c r="B264" s="47"/>
      <c r="C264" s="47"/>
      <c r="D264" s="47"/>
      <c r="E264" s="859"/>
      <c r="F264" s="859"/>
      <c r="G264" s="130"/>
      <c r="H264" s="859"/>
      <c r="I264" s="21"/>
    </row>
    <row r="265" spans="1:9" s="231" customFormat="1">
      <c r="A265" s="109" t="s">
        <v>83</v>
      </c>
      <c r="B265" s="174"/>
      <c r="C265" s="174"/>
      <c r="D265" s="174"/>
      <c r="E265" s="860"/>
      <c r="F265" s="860"/>
      <c r="G265" s="130"/>
      <c r="H265" s="860"/>
      <c r="I265" s="21"/>
    </row>
    <row r="266" spans="1:9" s="231" customFormat="1">
      <c r="A266" s="110" t="s">
        <v>84</v>
      </c>
      <c r="B266" s="116"/>
      <c r="C266" s="116"/>
      <c r="D266" s="116"/>
      <c r="E266" s="178"/>
      <c r="F266" s="146"/>
      <c r="G266" s="118"/>
      <c r="H266" s="146"/>
      <c r="I266" s="21"/>
    </row>
    <row r="267" spans="1:9" s="231" customFormat="1">
      <c r="A267" s="120">
        <v>1</v>
      </c>
      <c r="B267" s="47" t="s">
        <v>204</v>
      </c>
      <c r="C267" s="47"/>
      <c r="D267" s="47"/>
      <c r="E267" s="74">
        <v>0</v>
      </c>
      <c r="F267" s="52">
        <v>0</v>
      </c>
      <c r="G267" s="118"/>
      <c r="H267" s="122">
        <v>0</v>
      </c>
      <c r="I267" s="21"/>
    </row>
    <row r="268" spans="1:9" s="231" customFormat="1">
      <c r="A268" s="693">
        <v>2</v>
      </c>
      <c r="B268" s="166" t="s">
        <v>205</v>
      </c>
      <c r="C268" s="166"/>
      <c r="D268" s="47"/>
      <c r="E268" s="114">
        <v>227</v>
      </c>
      <c r="F268" s="52">
        <v>93</v>
      </c>
      <c r="G268" s="118"/>
      <c r="H268" s="122">
        <v>145</v>
      </c>
      <c r="I268" s="21"/>
    </row>
    <row r="269" spans="1:9" s="231" customFormat="1">
      <c r="A269" s="120">
        <v>3</v>
      </c>
      <c r="B269" s="47" t="s">
        <v>206</v>
      </c>
      <c r="C269" s="47"/>
      <c r="D269" s="168"/>
      <c r="E269" s="114">
        <v>21</v>
      </c>
      <c r="F269" s="52">
        <v>21</v>
      </c>
      <c r="G269" s="118"/>
      <c r="H269" s="122">
        <v>21</v>
      </c>
      <c r="I269" s="21"/>
    </row>
    <row r="270" spans="1:9" s="231" customFormat="1">
      <c r="A270" s="693">
        <v>4</v>
      </c>
      <c r="B270" s="47" t="s">
        <v>207</v>
      </c>
      <c r="C270" s="47"/>
      <c r="D270" s="116"/>
      <c r="E270" s="114">
        <v>0</v>
      </c>
      <c r="F270" s="52">
        <v>0</v>
      </c>
      <c r="G270" s="118"/>
      <c r="H270" s="122">
        <v>0</v>
      </c>
      <c r="I270" s="21"/>
    </row>
    <row r="271" spans="1:9" s="231" customFormat="1">
      <c r="A271" s="120">
        <v>5</v>
      </c>
      <c r="B271" s="47" t="s">
        <v>208</v>
      </c>
      <c r="C271" s="47"/>
      <c r="D271" s="47"/>
      <c r="E271" s="114">
        <v>236</v>
      </c>
      <c r="F271" s="52">
        <v>298</v>
      </c>
      <c r="G271" s="118"/>
      <c r="H271" s="122">
        <v>369</v>
      </c>
      <c r="I271" s="21"/>
    </row>
    <row r="272" spans="1:9" s="231" customFormat="1">
      <c r="A272" s="693">
        <v>6</v>
      </c>
      <c r="B272" s="47" t="s">
        <v>209</v>
      </c>
      <c r="C272" s="47"/>
      <c r="D272" s="47"/>
      <c r="E272" s="114">
        <v>86</v>
      </c>
      <c r="F272" s="52">
        <v>122</v>
      </c>
      <c r="G272" s="118"/>
      <c r="H272" s="122">
        <v>182</v>
      </c>
      <c r="I272" s="21"/>
    </row>
    <row r="273" spans="1:9" s="231" customFormat="1">
      <c r="A273" s="120">
        <v>7</v>
      </c>
      <c r="B273" s="47" t="s">
        <v>210</v>
      </c>
      <c r="C273" s="47"/>
      <c r="D273" s="47"/>
      <c r="E273" s="114">
        <v>1819</v>
      </c>
      <c r="F273" s="52">
        <v>2206</v>
      </c>
      <c r="G273" s="118"/>
      <c r="H273" s="122">
        <v>1731</v>
      </c>
      <c r="I273" s="21"/>
    </row>
    <row r="274" spans="1:9" s="231" customFormat="1">
      <c r="A274" s="693">
        <v>8</v>
      </c>
      <c r="B274" s="47" t="s">
        <v>211</v>
      </c>
      <c r="C274" s="47"/>
      <c r="D274" s="47"/>
      <c r="E274" s="114">
        <v>2700</v>
      </c>
      <c r="F274" s="52">
        <v>2279</v>
      </c>
      <c r="G274" s="118"/>
      <c r="H274" s="122">
        <v>2482</v>
      </c>
      <c r="I274" s="21"/>
    </row>
    <row r="275" spans="1:9" s="231" customFormat="1">
      <c r="A275" s="120">
        <v>9</v>
      </c>
      <c r="B275" s="47" t="s">
        <v>212</v>
      </c>
      <c r="C275" s="47"/>
      <c r="D275" s="47"/>
      <c r="E275" s="114">
        <v>1285</v>
      </c>
      <c r="F275" s="52">
        <v>1345</v>
      </c>
      <c r="G275" s="118"/>
      <c r="H275" s="122">
        <v>1375</v>
      </c>
      <c r="I275" s="21"/>
    </row>
    <row r="276" spans="1:9" s="231" customFormat="1">
      <c r="A276" s="693">
        <v>10</v>
      </c>
      <c r="B276" s="47" t="s">
        <v>213</v>
      </c>
      <c r="C276" s="47"/>
      <c r="D276" s="47"/>
      <c r="E276" s="114">
        <v>2736</v>
      </c>
      <c r="F276" s="52">
        <v>2596</v>
      </c>
      <c r="G276" s="118"/>
      <c r="H276" s="99">
        <v>2284</v>
      </c>
      <c r="I276" s="21"/>
    </row>
    <row r="277" spans="1:9" s="231" customFormat="1">
      <c r="A277" s="124">
        <v>11</v>
      </c>
      <c r="B277" s="94" t="s">
        <v>214</v>
      </c>
      <c r="C277" s="94"/>
      <c r="D277" s="94"/>
      <c r="E277" s="159">
        <v>9110</v>
      </c>
      <c r="F277" s="61">
        <f>SUM(F267:F276)</f>
        <v>8960</v>
      </c>
      <c r="G277" s="118"/>
      <c r="H277" s="61">
        <f>SUM(H267:H276)</f>
        <v>8589</v>
      </c>
      <c r="I277" s="21"/>
    </row>
    <row r="278" spans="1:9" s="231" customFormat="1">
      <c r="A278" s="207"/>
      <c r="B278" s="207"/>
      <c r="C278" s="207"/>
      <c r="D278" s="207"/>
      <c r="E278" s="207"/>
      <c r="F278" s="207"/>
      <c r="G278" s="207"/>
      <c r="H278" s="207"/>
      <c r="I278" s="21"/>
    </row>
    <row r="279" spans="1:9" s="231" customFormat="1">
      <c r="A279" s="207"/>
      <c r="B279" s="207"/>
      <c r="C279" s="207"/>
      <c r="D279" s="207"/>
      <c r="E279" s="207"/>
      <c r="F279" s="207"/>
      <c r="G279" s="207"/>
      <c r="H279" s="131" t="s">
        <v>27</v>
      </c>
      <c r="I279" s="21"/>
    </row>
    <row r="280" spans="1:9" s="231" customFormat="1" ht="12.75" customHeight="1">
      <c r="A280" s="106" t="s">
        <v>18</v>
      </c>
      <c r="B280" s="164"/>
      <c r="C280" s="164"/>
      <c r="D280" s="164"/>
      <c r="E280" s="856" t="s">
        <v>377</v>
      </c>
      <c r="F280" s="856" t="s">
        <v>402</v>
      </c>
      <c r="G280" s="130"/>
      <c r="H280" s="856" t="s">
        <v>403</v>
      </c>
      <c r="I280" s="21"/>
    </row>
    <row r="281" spans="1:9" s="231" customFormat="1">
      <c r="A281" s="165"/>
      <c r="B281" s="47"/>
      <c r="C281" s="47"/>
      <c r="D281" s="47"/>
      <c r="E281" s="859"/>
      <c r="F281" s="859"/>
      <c r="G281" s="130"/>
      <c r="H281" s="859"/>
      <c r="I281" s="21"/>
    </row>
    <row r="282" spans="1:9" s="231" customFormat="1" ht="21.75" customHeight="1">
      <c r="A282" s="109"/>
      <c r="B282" s="174"/>
      <c r="C282" s="174"/>
      <c r="D282" s="174"/>
      <c r="E282" s="859"/>
      <c r="F282" s="859"/>
      <c r="G282" s="130"/>
      <c r="H282" s="859"/>
      <c r="I282" s="21"/>
    </row>
    <row r="283" spans="1:9" s="231" customFormat="1">
      <c r="A283" s="154" t="s">
        <v>215</v>
      </c>
      <c r="B283" s="47"/>
      <c r="C283" s="47"/>
      <c r="D283" s="47"/>
      <c r="E283" s="859"/>
      <c r="F283" s="859"/>
      <c r="G283" s="130"/>
      <c r="H283" s="859"/>
      <c r="I283" s="21"/>
    </row>
    <row r="284" spans="1:9" s="231" customFormat="1">
      <c r="A284" s="109" t="s">
        <v>83</v>
      </c>
      <c r="B284" s="174"/>
      <c r="C284" s="174"/>
      <c r="D284" s="174"/>
      <c r="E284" s="860"/>
      <c r="F284" s="860"/>
      <c r="G284" s="130"/>
      <c r="H284" s="860"/>
      <c r="I284" s="21"/>
    </row>
    <row r="285" spans="1:9" s="231" customFormat="1">
      <c r="A285" s="110" t="s">
        <v>84</v>
      </c>
      <c r="B285" s="116"/>
      <c r="C285" s="116"/>
      <c r="D285" s="116"/>
      <c r="E285" s="178"/>
      <c r="F285" s="146"/>
      <c r="G285" s="118"/>
      <c r="H285" s="146"/>
      <c r="I285" s="21"/>
    </row>
    <row r="286" spans="1:9" s="231" customFormat="1">
      <c r="A286" s="120">
        <v>1</v>
      </c>
      <c r="B286" s="47" t="s">
        <v>216</v>
      </c>
      <c r="C286" s="47"/>
      <c r="D286" s="47"/>
      <c r="E286" s="74">
        <v>916</v>
      </c>
      <c r="F286" s="52">
        <v>1021</v>
      </c>
      <c r="G286" s="118"/>
      <c r="H286" s="122">
        <v>1082</v>
      </c>
      <c r="I286" s="21"/>
    </row>
    <row r="287" spans="1:9" s="231" customFormat="1">
      <c r="A287" s="693">
        <v>2</v>
      </c>
      <c r="B287" s="47" t="s">
        <v>217</v>
      </c>
      <c r="C287" s="47"/>
      <c r="D287" s="47"/>
      <c r="E287" s="114">
        <v>137</v>
      </c>
      <c r="F287" s="52">
        <v>153</v>
      </c>
      <c r="G287" s="118"/>
      <c r="H287" s="122">
        <v>162</v>
      </c>
      <c r="I287" s="21"/>
    </row>
    <row r="288" spans="1:9" s="231" customFormat="1">
      <c r="A288" s="120">
        <v>3</v>
      </c>
      <c r="B288" s="90" t="s">
        <v>218</v>
      </c>
      <c r="C288" s="166"/>
      <c r="D288" s="168"/>
      <c r="E288" s="114">
        <v>703</v>
      </c>
      <c r="F288" s="52">
        <v>637</v>
      </c>
      <c r="G288" s="118"/>
      <c r="H288" s="122">
        <v>779</v>
      </c>
      <c r="I288" s="21"/>
    </row>
    <row r="289" spans="1:9" s="231" customFormat="1">
      <c r="A289" s="693">
        <v>4</v>
      </c>
      <c r="B289" s="47" t="s">
        <v>219</v>
      </c>
      <c r="C289" s="47"/>
      <c r="D289" s="116"/>
      <c r="E289" s="114">
        <v>0</v>
      </c>
      <c r="F289" s="52">
        <v>0</v>
      </c>
      <c r="G289" s="118"/>
      <c r="H289" s="122">
        <v>0</v>
      </c>
      <c r="I289" s="21"/>
    </row>
    <row r="290" spans="1:9" s="231" customFormat="1">
      <c r="A290" s="693">
        <v>5</v>
      </c>
      <c r="B290" s="47" t="s">
        <v>220</v>
      </c>
      <c r="C290" s="47"/>
      <c r="D290" s="47"/>
      <c r="E290" s="114">
        <v>-182</v>
      </c>
      <c r="F290" s="52">
        <v>-232</v>
      </c>
      <c r="G290" s="118"/>
      <c r="H290" s="122">
        <v>-222</v>
      </c>
      <c r="I290" s="21"/>
    </row>
    <row r="291" spans="1:9" s="231" customFormat="1">
      <c r="A291" s="120">
        <v>6</v>
      </c>
      <c r="B291" s="47" t="s">
        <v>221</v>
      </c>
      <c r="C291" s="47"/>
      <c r="D291" s="47"/>
      <c r="E291" s="114">
        <v>45</v>
      </c>
      <c r="F291" s="52">
        <v>28</v>
      </c>
      <c r="G291" s="118"/>
      <c r="H291" s="122">
        <v>0</v>
      </c>
      <c r="I291" s="21"/>
    </row>
    <row r="292" spans="1:9" s="231" customFormat="1">
      <c r="A292" s="693">
        <v>7</v>
      </c>
      <c r="B292" s="47" t="s">
        <v>222</v>
      </c>
      <c r="C292" s="47"/>
      <c r="D292" s="116"/>
      <c r="E292" s="114">
        <v>265</v>
      </c>
      <c r="F292" s="52">
        <v>271</v>
      </c>
      <c r="G292" s="118"/>
      <c r="H292" s="122">
        <v>272</v>
      </c>
      <c r="I292" s="21"/>
    </row>
    <row r="293" spans="1:9" s="231" customFormat="1">
      <c r="A293" s="120">
        <v>8</v>
      </c>
      <c r="B293" s="47" t="s">
        <v>223</v>
      </c>
      <c r="C293" s="47"/>
      <c r="D293" s="116"/>
      <c r="E293" s="114">
        <v>801</v>
      </c>
      <c r="F293" s="52">
        <v>801</v>
      </c>
      <c r="G293" s="118"/>
      <c r="H293" s="122">
        <f>820+77</f>
        <v>897</v>
      </c>
      <c r="I293" s="21"/>
    </row>
    <row r="294" spans="1:9" s="231" customFormat="1">
      <c r="A294" s="693">
        <v>9</v>
      </c>
      <c r="B294" s="47" t="s">
        <v>224</v>
      </c>
      <c r="C294" s="47"/>
      <c r="D294" s="116"/>
      <c r="E294" s="114">
        <v>344</v>
      </c>
      <c r="F294" s="52">
        <v>344</v>
      </c>
      <c r="G294" s="118"/>
      <c r="H294" s="122">
        <v>351</v>
      </c>
      <c r="I294" s="21"/>
    </row>
    <row r="295" spans="1:9" s="231" customFormat="1">
      <c r="A295" s="120">
        <v>10</v>
      </c>
      <c r="B295" s="47" t="s">
        <v>225</v>
      </c>
      <c r="C295" s="47"/>
      <c r="D295" s="47"/>
      <c r="E295" s="114">
        <v>108</v>
      </c>
      <c r="F295" s="52">
        <v>71</v>
      </c>
      <c r="G295" s="118"/>
      <c r="H295" s="122">
        <v>72</v>
      </c>
      <c r="I295" s="21"/>
    </row>
    <row r="296" spans="1:9" s="231" customFormat="1">
      <c r="A296" s="693">
        <v>11</v>
      </c>
      <c r="B296" s="47" t="s">
        <v>226</v>
      </c>
      <c r="C296" s="47"/>
      <c r="D296" s="47"/>
      <c r="E296" s="114">
        <v>20</v>
      </c>
      <c r="F296" s="52">
        <v>0</v>
      </c>
      <c r="G296" s="118"/>
      <c r="H296" s="122">
        <v>0</v>
      </c>
      <c r="I296" s="21"/>
    </row>
    <row r="297" spans="1:9" s="231" customFormat="1">
      <c r="A297" s="120">
        <v>12</v>
      </c>
      <c r="B297" s="47" t="s">
        <v>227</v>
      </c>
      <c r="C297" s="47"/>
      <c r="D297" s="47"/>
      <c r="E297" s="114">
        <v>112</v>
      </c>
      <c r="F297" s="52">
        <v>136</v>
      </c>
      <c r="G297" s="118"/>
      <c r="H297" s="122">
        <v>129</v>
      </c>
      <c r="I297" s="21"/>
    </row>
    <row r="298" spans="1:9" s="231" customFormat="1">
      <c r="A298" s="693">
        <v>13</v>
      </c>
      <c r="B298" s="47" t="s">
        <v>228</v>
      </c>
      <c r="C298" s="47"/>
      <c r="D298" s="47"/>
      <c r="E298" s="114">
        <v>3320</v>
      </c>
      <c r="F298" s="52">
        <v>3870</v>
      </c>
      <c r="G298" s="118"/>
      <c r="H298" s="122">
        <f>3689</f>
        <v>3689</v>
      </c>
      <c r="I298" s="21"/>
    </row>
    <row r="299" spans="1:9" s="231" customFormat="1">
      <c r="A299" s="120">
        <v>14</v>
      </c>
      <c r="B299" s="47" t="s">
        <v>229</v>
      </c>
      <c r="C299" s="47"/>
      <c r="D299" s="116"/>
      <c r="E299" s="114">
        <v>0</v>
      </c>
      <c r="F299" s="52">
        <v>0</v>
      </c>
      <c r="G299" s="118"/>
      <c r="H299" s="122">
        <v>0</v>
      </c>
      <c r="I299" s="21"/>
    </row>
    <row r="300" spans="1:9" s="231" customFormat="1">
      <c r="A300" s="693">
        <v>15</v>
      </c>
      <c r="B300" s="47" t="s">
        <v>230</v>
      </c>
      <c r="C300" s="47"/>
      <c r="D300" s="116"/>
      <c r="E300" s="114">
        <v>1818</v>
      </c>
      <c r="F300" s="52">
        <v>1783</v>
      </c>
      <c r="G300" s="118"/>
      <c r="H300" s="122">
        <v>1818</v>
      </c>
      <c r="I300" s="21"/>
    </row>
    <row r="301" spans="1:9" s="231" customFormat="1">
      <c r="A301" s="120">
        <v>17</v>
      </c>
      <c r="B301" s="47" t="s">
        <v>231</v>
      </c>
      <c r="C301" s="47"/>
      <c r="D301" s="47"/>
      <c r="E301" s="114">
        <v>150</v>
      </c>
      <c r="F301" s="52">
        <v>212</v>
      </c>
      <c r="G301" s="118"/>
      <c r="H301" s="99">
        <v>150</v>
      </c>
      <c r="I301" s="21"/>
    </row>
    <row r="302" spans="1:9" s="231" customFormat="1">
      <c r="A302" s="694">
        <v>18</v>
      </c>
      <c r="B302" s="94" t="s">
        <v>232</v>
      </c>
      <c r="C302" s="94"/>
      <c r="D302" s="94"/>
      <c r="E302" s="159">
        <v>8557</v>
      </c>
      <c r="F302" s="61">
        <f>SUM(F286:F301)</f>
        <v>9095</v>
      </c>
      <c r="G302" s="118"/>
      <c r="H302" s="61">
        <f>SUM(H286:H301)</f>
        <v>9179</v>
      </c>
      <c r="I302" s="21"/>
    </row>
    <row r="303" spans="1:9" s="231" customFormat="1">
      <c r="A303" s="179"/>
      <c r="B303" s="180"/>
      <c r="C303" s="180"/>
      <c r="D303" s="181"/>
      <c r="E303" s="182"/>
      <c r="F303" s="183"/>
      <c r="G303" s="21"/>
      <c r="H303" s="183"/>
      <c r="I303" s="21"/>
    </row>
    <row r="304" spans="1:9" s="231" customFormat="1">
      <c r="A304" s="184"/>
      <c r="B304" s="207"/>
      <c r="C304" s="207"/>
      <c r="D304" s="209"/>
      <c r="E304" s="185"/>
      <c r="F304" s="207"/>
      <c r="G304" s="207"/>
      <c r="H304" s="131" t="s">
        <v>27</v>
      </c>
      <c r="I304" s="21"/>
    </row>
    <row r="305" spans="1:9" s="231" customFormat="1" ht="12.75" customHeight="1">
      <c r="A305" s="106" t="s">
        <v>21</v>
      </c>
      <c r="B305" s="164"/>
      <c r="C305" s="164"/>
      <c r="D305" s="164"/>
      <c r="E305" s="856" t="s">
        <v>377</v>
      </c>
      <c r="F305" s="856" t="s">
        <v>402</v>
      </c>
      <c r="G305" s="130"/>
      <c r="H305" s="856" t="s">
        <v>403</v>
      </c>
      <c r="I305" s="21"/>
    </row>
    <row r="306" spans="1:9" s="231" customFormat="1">
      <c r="A306" s="165"/>
      <c r="B306" s="47"/>
      <c r="C306" s="47"/>
      <c r="D306" s="47"/>
      <c r="E306" s="859"/>
      <c r="F306" s="859"/>
      <c r="G306" s="130"/>
      <c r="H306" s="859"/>
      <c r="I306" s="21"/>
    </row>
    <row r="307" spans="1:9" s="231" customFormat="1" ht="12.75" customHeight="1">
      <c r="A307" s="109"/>
      <c r="B307" s="174"/>
      <c r="C307" s="174"/>
      <c r="D307" s="174"/>
      <c r="E307" s="859"/>
      <c r="F307" s="859"/>
      <c r="G307" s="130"/>
      <c r="H307" s="859"/>
      <c r="I307" s="21"/>
    </row>
    <row r="308" spans="1:9" s="231" customFormat="1">
      <c r="A308" s="154" t="s">
        <v>233</v>
      </c>
      <c r="B308" s="47"/>
      <c r="C308" s="47"/>
      <c r="D308" s="47"/>
      <c r="E308" s="859"/>
      <c r="F308" s="859"/>
      <c r="G308" s="130"/>
      <c r="H308" s="859"/>
      <c r="I308" s="21"/>
    </row>
    <row r="309" spans="1:9" s="231" customFormat="1">
      <c r="A309" s="109" t="s">
        <v>83</v>
      </c>
      <c r="B309" s="174"/>
      <c r="C309" s="174"/>
      <c r="D309" s="174"/>
      <c r="E309" s="860"/>
      <c r="F309" s="860"/>
      <c r="G309" s="130"/>
      <c r="H309" s="860"/>
      <c r="I309" s="21"/>
    </row>
    <row r="310" spans="1:9" s="231" customFormat="1">
      <c r="A310" s="110" t="s">
        <v>84</v>
      </c>
      <c r="B310" s="116"/>
      <c r="C310" s="116"/>
      <c r="D310" s="116"/>
      <c r="E310" s="262"/>
      <c r="F310" s="146"/>
      <c r="G310" s="118"/>
      <c r="H310" s="146"/>
      <c r="I310" s="21"/>
    </row>
    <row r="311" spans="1:9" s="231" customFormat="1">
      <c r="A311" s="120">
        <v>1</v>
      </c>
      <c r="B311" s="47" t="s">
        <v>258</v>
      </c>
      <c r="C311" s="47"/>
      <c r="D311" s="186"/>
      <c r="E311" s="74">
        <v>-350</v>
      </c>
      <c r="F311" s="52">
        <v>-350</v>
      </c>
      <c r="G311" s="43"/>
      <c r="H311" s="52">
        <v>-350</v>
      </c>
      <c r="I311" s="21"/>
    </row>
    <row r="312" spans="1:9" s="231" customFormat="1">
      <c r="A312" s="120">
        <v>2</v>
      </c>
      <c r="B312" s="47" t="s">
        <v>234</v>
      </c>
      <c r="C312" s="47"/>
      <c r="D312" s="186"/>
      <c r="E312" s="114">
        <v>1059</v>
      </c>
      <c r="F312" s="52">
        <v>1048</v>
      </c>
      <c r="G312" s="43"/>
      <c r="H312" s="52">
        <v>1482</v>
      </c>
      <c r="I312" s="21"/>
    </row>
    <row r="313" spans="1:9" s="231" customFormat="1">
      <c r="A313" s="120">
        <v>3</v>
      </c>
      <c r="B313" s="47" t="s">
        <v>259</v>
      </c>
      <c r="C313" s="47"/>
      <c r="D313" s="186"/>
      <c r="E313" s="114">
        <v>-529</v>
      </c>
      <c r="F313" s="52">
        <v>-567</v>
      </c>
      <c r="G313" s="43"/>
      <c r="H313" s="52">
        <v>-498</v>
      </c>
      <c r="I313" s="21"/>
    </row>
    <row r="314" spans="1:9" s="231" customFormat="1">
      <c r="A314" s="120">
        <v>4</v>
      </c>
      <c r="B314" s="47" t="s">
        <v>235</v>
      </c>
      <c r="C314" s="47"/>
      <c r="D314" s="186"/>
      <c r="E314" s="114">
        <v>9256</v>
      </c>
      <c r="F314" s="52">
        <v>5655</v>
      </c>
      <c r="G314" s="43"/>
      <c r="H314" s="52">
        <v>2273</v>
      </c>
      <c r="I314" s="21"/>
    </row>
    <row r="315" spans="1:9" s="231" customFormat="1">
      <c r="A315" s="120">
        <v>5</v>
      </c>
      <c r="B315" s="47" t="s">
        <v>236</v>
      </c>
      <c r="C315" s="47"/>
      <c r="D315" s="186"/>
      <c r="E315" s="114">
        <v>4509</v>
      </c>
      <c r="F315" s="52">
        <v>4273</v>
      </c>
      <c r="G315" s="43"/>
      <c r="H315" s="52">
        <v>5057</v>
      </c>
      <c r="I315" s="21"/>
    </row>
    <row r="316" spans="1:9" s="231" customFormat="1">
      <c r="A316" s="120">
        <v>6</v>
      </c>
      <c r="B316" s="47" t="s">
        <v>237</v>
      </c>
      <c r="C316" s="47"/>
      <c r="D316" s="186"/>
      <c r="E316" s="114">
        <v>15879</v>
      </c>
      <c r="F316" s="52">
        <v>15702</v>
      </c>
      <c r="G316" s="43"/>
      <c r="H316" s="52">
        <v>19225</v>
      </c>
      <c r="I316" s="21"/>
    </row>
    <row r="317" spans="1:9" s="231" customFormat="1">
      <c r="A317" s="120">
        <v>7</v>
      </c>
      <c r="B317" s="47" t="s">
        <v>238</v>
      </c>
      <c r="C317" s="47"/>
      <c r="D317" s="186"/>
      <c r="E317" s="114">
        <v>462</v>
      </c>
      <c r="F317" s="52">
        <v>462</v>
      </c>
      <c r="G317" s="43"/>
      <c r="H317" s="52">
        <v>465</v>
      </c>
      <c r="I317" s="21"/>
    </row>
    <row r="318" spans="1:9" s="231" customFormat="1">
      <c r="A318" s="120">
        <v>8</v>
      </c>
      <c r="B318" s="47" t="s">
        <v>239</v>
      </c>
      <c r="C318" s="47"/>
      <c r="D318" s="186"/>
      <c r="E318" s="114">
        <v>130</v>
      </c>
      <c r="F318" s="52">
        <v>127</v>
      </c>
      <c r="G318" s="43"/>
      <c r="H318" s="52">
        <v>127</v>
      </c>
      <c r="I318" s="21"/>
    </row>
    <row r="319" spans="1:9" s="231" customFormat="1">
      <c r="A319" s="693">
        <v>9</v>
      </c>
      <c r="B319" s="90" t="s">
        <v>260</v>
      </c>
      <c r="C319" s="47"/>
      <c r="D319" s="47"/>
      <c r="E319" s="114">
        <v>0</v>
      </c>
      <c r="F319" s="188"/>
      <c r="G319" s="43"/>
      <c r="H319" s="189">
        <v>0</v>
      </c>
      <c r="I319" s="21"/>
    </row>
    <row r="320" spans="1:9" s="231" customFormat="1">
      <c r="A320" s="124">
        <v>10</v>
      </c>
      <c r="B320" s="94" t="s">
        <v>62</v>
      </c>
      <c r="C320" s="94"/>
      <c r="D320" s="94"/>
      <c r="E320" s="159">
        <v>30416</v>
      </c>
      <c r="F320" s="61">
        <f>F311+F312+F313+F314+F315+F316+F317+F318</f>
        <v>26350</v>
      </c>
      <c r="G320" s="43"/>
      <c r="H320" s="61">
        <f>H311+H312+H313+H314+H315+H316+H317+H318+H319</f>
        <v>27781</v>
      </c>
      <c r="I320" s="183"/>
    </row>
    <row r="321" spans="1:9" s="231" customFormat="1">
      <c r="A321" s="179"/>
      <c r="B321" s="180"/>
      <c r="C321" s="180"/>
      <c r="D321" s="180"/>
      <c r="E321" s="180"/>
      <c r="F321" s="183"/>
      <c r="G321" s="21"/>
      <c r="H321" s="183"/>
      <c r="I321" s="183"/>
    </row>
    <row r="322" spans="1:9" s="231" customFormat="1">
      <c r="A322" s="148"/>
      <c r="B322" s="207"/>
      <c r="C322" s="207"/>
      <c r="D322" s="29"/>
      <c r="E322" s="29"/>
      <c r="F322" s="29"/>
      <c r="G322" s="29"/>
      <c r="H322" s="31" t="s">
        <v>27</v>
      </c>
      <c r="I322" s="2"/>
    </row>
    <row r="323" spans="1:9" s="231" customFormat="1">
      <c r="A323" s="190" t="s">
        <v>240</v>
      </c>
      <c r="B323" s="263"/>
      <c r="C323" s="861" t="s">
        <v>405</v>
      </c>
      <c r="D323" s="862"/>
      <c r="E323" s="862"/>
      <c r="F323" s="862"/>
      <c r="G323" s="862"/>
      <c r="H323" s="863"/>
      <c r="I323" s="210"/>
    </row>
    <row r="324" spans="1:9" s="231" customFormat="1" ht="39" thickBot="1">
      <c r="A324" s="110" t="s">
        <v>84</v>
      </c>
      <c r="B324" s="116"/>
      <c r="C324" s="35" t="s">
        <v>52</v>
      </c>
      <c r="D324" s="35" t="s">
        <v>53</v>
      </c>
      <c r="E324" s="37" t="s">
        <v>54</v>
      </c>
      <c r="F324" s="37" t="s">
        <v>55</v>
      </c>
      <c r="G324" s="37" t="s">
        <v>241</v>
      </c>
      <c r="H324" s="35" t="s">
        <v>121</v>
      </c>
      <c r="I324" s="29"/>
    </row>
    <row r="325" spans="1:9" s="231" customFormat="1" ht="13.5" thickBot="1">
      <c r="A325" s="693">
        <v>1</v>
      </c>
      <c r="B325" s="116" t="s">
        <v>242</v>
      </c>
      <c r="C325" s="193">
        <f t="shared" ref="C325:H325" si="0">SUM(C326:C329)</f>
        <v>16291</v>
      </c>
      <c r="D325" s="193">
        <f t="shared" si="0"/>
        <v>0</v>
      </c>
      <c r="E325" s="193">
        <v>379</v>
      </c>
      <c r="F325" s="193">
        <f t="shared" si="0"/>
        <v>0</v>
      </c>
      <c r="G325" s="193">
        <f>SUM(G326:G329)</f>
        <v>0</v>
      </c>
      <c r="H325" s="193">
        <f t="shared" si="0"/>
        <v>2766</v>
      </c>
      <c r="I325" s="207"/>
    </row>
    <row r="326" spans="1:9" s="231" customFormat="1">
      <c r="A326" s="693">
        <v>2</v>
      </c>
      <c r="B326" s="47" t="s">
        <v>243</v>
      </c>
      <c r="C326" s="169">
        <v>5533</v>
      </c>
      <c r="D326" s="169"/>
      <c r="E326" s="169">
        <v>-177</v>
      </c>
      <c r="F326" s="169"/>
      <c r="G326" s="169"/>
      <c r="H326" s="169">
        <v>882</v>
      </c>
      <c r="I326" s="207"/>
    </row>
    <row r="327" spans="1:9" s="231" customFormat="1">
      <c r="A327" s="693">
        <v>3</v>
      </c>
      <c r="B327" s="47" t="s">
        <v>244</v>
      </c>
      <c r="C327" s="99">
        <f>4527+1760</f>
        <v>6287</v>
      </c>
      <c r="D327" s="99"/>
      <c r="E327" s="99">
        <v>274</v>
      </c>
      <c r="F327" s="99"/>
      <c r="G327" s="99"/>
      <c r="H327" s="99">
        <f>1060+56</f>
        <v>1116</v>
      </c>
      <c r="I327" s="207"/>
    </row>
    <row r="328" spans="1:9" s="231" customFormat="1">
      <c r="A328" s="693">
        <v>4</v>
      </c>
      <c r="B328" s="47" t="s">
        <v>245</v>
      </c>
      <c r="C328" s="99">
        <v>3505</v>
      </c>
      <c r="D328" s="99"/>
      <c r="E328" s="99">
        <v>282</v>
      </c>
      <c r="F328" s="99"/>
      <c r="G328" s="99"/>
      <c r="H328" s="99">
        <v>686</v>
      </c>
      <c r="I328" s="207"/>
    </row>
    <row r="329" spans="1:9" s="231" customFormat="1">
      <c r="A329" s="694">
        <v>5</v>
      </c>
      <c r="B329" s="54" t="s">
        <v>246</v>
      </c>
      <c r="C329" s="100">
        <v>966</v>
      </c>
      <c r="D329" s="100"/>
      <c r="E329" s="100">
        <v>0</v>
      </c>
      <c r="F329" s="100"/>
      <c r="G329" s="100"/>
      <c r="H329" s="100">
        <v>82</v>
      </c>
      <c r="I329" s="207"/>
    </row>
    <row r="330" spans="1:9" s="231" customFormat="1">
      <c r="A330" s="693"/>
      <c r="B330" s="47"/>
      <c r="C330" s="864" t="s">
        <v>404</v>
      </c>
      <c r="D330" s="865"/>
      <c r="E330" s="865"/>
      <c r="F330" s="865"/>
      <c r="G330" s="865"/>
      <c r="H330" s="866"/>
      <c r="I330" s="207"/>
    </row>
    <row r="331" spans="1:9" s="231" customFormat="1" ht="39" thickBot="1">
      <c r="A331" s="110" t="s">
        <v>84</v>
      </c>
      <c r="B331" s="116"/>
      <c r="C331" s="35" t="s">
        <v>52</v>
      </c>
      <c r="D331" s="35" t="s">
        <v>53</v>
      </c>
      <c r="E331" s="37" t="s">
        <v>54</v>
      </c>
      <c r="F331" s="37" t="s">
        <v>55</v>
      </c>
      <c r="G331" s="37" t="s">
        <v>241</v>
      </c>
      <c r="H331" s="35" t="s">
        <v>121</v>
      </c>
      <c r="I331" s="207"/>
    </row>
    <row r="332" spans="1:9" s="231" customFormat="1" ht="13.5" thickBot="1">
      <c r="A332" s="693">
        <v>1</v>
      </c>
      <c r="B332" s="116" t="s">
        <v>242</v>
      </c>
      <c r="C332" s="193">
        <f t="shared" ref="C332:H332" si="1">SUM(C333:C336)</f>
        <v>18856</v>
      </c>
      <c r="D332" s="193">
        <f t="shared" si="1"/>
        <v>0</v>
      </c>
      <c r="E332" s="193">
        <v>382</v>
      </c>
      <c r="F332" s="193">
        <f t="shared" si="1"/>
        <v>0</v>
      </c>
      <c r="G332" s="193">
        <f>SUM(G333:G336)</f>
        <v>0</v>
      </c>
      <c r="H332" s="193">
        <f t="shared" si="1"/>
        <v>2798</v>
      </c>
      <c r="I332" s="207"/>
    </row>
    <row r="333" spans="1:9" s="231" customFormat="1">
      <c r="A333" s="693">
        <v>2</v>
      </c>
      <c r="B333" s="47" t="s">
        <v>243</v>
      </c>
      <c r="C333" s="169">
        <f>5682+14</f>
        <v>5696</v>
      </c>
      <c r="D333" s="169"/>
      <c r="E333" s="169">
        <v>-174</v>
      </c>
      <c r="F333" s="169"/>
      <c r="G333" s="169"/>
      <c r="H333" s="169">
        <v>908</v>
      </c>
      <c r="I333" s="207"/>
    </row>
    <row r="334" spans="1:9" s="231" customFormat="1">
      <c r="A334" s="693">
        <v>3</v>
      </c>
      <c r="B334" s="47" t="s">
        <v>244</v>
      </c>
      <c r="C334" s="99">
        <f>4373+1935+1503</f>
        <v>7811</v>
      </c>
      <c r="D334" s="99"/>
      <c r="E334" s="99">
        <v>246</v>
      </c>
      <c r="F334" s="99"/>
      <c r="G334" s="99"/>
      <c r="H334" s="99">
        <f>954+56</f>
        <v>1010</v>
      </c>
      <c r="I334" s="207"/>
    </row>
    <row r="335" spans="1:9" s="231" customFormat="1">
      <c r="A335" s="693">
        <v>4</v>
      </c>
      <c r="B335" s="47" t="s">
        <v>245</v>
      </c>
      <c r="C335" s="99">
        <f>3378+584</f>
        <v>3962</v>
      </c>
      <c r="D335" s="99"/>
      <c r="E335" s="99">
        <v>310</v>
      </c>
      <c r="F335" s="99"/>
      <c r="G335" s="99"/>
      <c r="H335" s="99">
        <v>785</v>
      </c>
      <c r="I335" s="207"/>
    </row>
    <row r="336" spans="1:9" s="231" customFormat="1">
      <c r="A336" s="694">
        <v>5</v>
      </c>
      <c r="B336" s="54" t="s">
        <v>246</v>
      </c>
      <c r="C336" s="100">
        <f>1330+57</f>
        <v>1387</v>
      </c>
      <c r="D336" s="100"/>
      <c r="E336" s="100">
        <v>0</v>
      </c>
      <c r="F336" s="100"/>
      <c r="G336" s="100"/>
      <c r="H336" s="100">
        <v>95</v>
      </c>
      <c r="I336" s="207"/>
    </row>
    <row r="337" spans="1:9" s="231" customFormat="1">
      <c r="A337" s="23"/>
      <c r="B337" s="207"/>
      <c r="C337" s="207"/>
      <c r="D337" s="207"/>
      <c r="E337" s="207"/>
      <c r="F337" s="207"/>
      <c r="G337" s="207"/>
      <c r="H337" s="21"/>
      <c r="I337" s="21"/>
    </row>
    <row r="338" spans="1:9" s="231" customFormat="1" ht="12.75" customHeight="1">
      <c r="A338" s="23"/>
      <c r="B338" s="207"/>
      <c r="C338" s="207"/>
      <c r="D338" s="207"/>
      <c r="E338" s="207"/>
      <c r="F338" s="207"/>
      <c r="G338" s="207"/>
      <c r="H338" s="21"/>
      <c r="I338" s="21"/>
    </row>
    <row r="339" spans="1:9" s="231" customFormat="1">
      <c r="A339" s="23"/>
      <c r="B339" s="207"/>
      <c r="C339" s="207"/>
      <c r="D339" s="207"/>
      <c r="E339" s="207"/>
      <c r="F339" s="207"/>
      <c r="G339" s="207"/>
      <c r="H339" s="21"/>
      <c r="I339" s="21"/>
    </row>
    <row r="340" spans="1:9" s="231" customFormat="1">
      <c r="A340" s="23"/>
      <c r="B340" s="207"/>
      <c r="C340" s="207"/>
      <c r="D340" s="207"/>
      <c r="E340" s="207"/>
      <c r="F340" s="207"/>
      <c r="G340" s="207"/>
      <c r="H340" s="131" t="s">
        <v>27</v>
      </c>
      <c r="I340" s="21"/>
    </row>
    <row r="341" spans="1:9" s="231" customFormat="1">
      <c r="A341" s="197"/>
      <c r="B341" s="69"/>
      <c r="C341" s="69"/>
      <c r="D341" s="69"/>
      <c r="E341" s="856" t="s">
        <v>377</v>
      </c>
      <c r="F341" s="853" t="s">
        <v>402</v>
      </c>
      <c r="G341" s="207"/>
      <c r="H341" s="856" t="s">
        <v>403</v>
      </c>
      <c r="I341" s="21"/>
    </row>
    <row r="342" spans="1:9" s="231" customFormat="1">
      <c r="A342" s="144" t="s">
        <v>261</v>
      </c>
      <c r="B342" s="116"/>
      <c r="C342" s="116"/>
      <c r="D342" s="116"/>
      <c r="E342" s="859"/>
      <c r="F342" s="854"/>
      <c r="G342" s="207"/>
      <c r="H342" s="857"/>
      <c r="I342" s="21"/>
    </row>
    <row r="343" spans="1:9" s="231" customFormat="1">
      <c r="A343" s="119"/>
      <c r="B343" s="116"/>
      <c r="C343" s="116"/>
      <c r="D343" s="116"/>
      <c r="E343" s="859"/>
      <c r="F343" s="854"/>
      <c r="G343" s="207"/>
      <c r="H343" s="857"/>
      <c r="I343" s="21"/>
    </row>
    <row r="344" spans="1:9" s="231" customFormat="1">
      <c r="A344" s="198" t="s">
        <v>262</v>
      </c>
      <c r="B344" s="116"/>
      <c r="C344" s="116"/>
      <c r="D344" s="116"/>
      <c r="E344" s="859"/>
      <c r="F344" s="854"/>
      <c r="G344" s="207"/>
      <c r="H344" s="857"/>
      <c r="I344" s="21"/>
    </row>
    <row r="345" spans="1:9" s="231" customFormat="1">
      <c r="A345" s="198" t="s">
        <v>330</v>
      </c>
      <c r="B345" s="116"/>
      <c r="C345" s="116"/>
      <c r="D345" s="116"/>
      <c r="E345" s="860"/>
      <c r="F345" s="855"/>
      <c r="G345" s="207"/>
      <c r="H345" s="858"/>
      <c r="I345" s="21"/>
    </row>
    <row r="346" spans="1:9" s="231" customFormat="1">
      <c r="A346" s="119"/>
      <c r="B346" s="47"/>
      <c r="C346" s="116"/>
      <c r="D346" s="116"/>
      <c r="E346" s="178"/>
      <c r="F346" s="146"/>
      <c r="G346" s="23"/>
      <c r="H346" s="264"/>
      <c r="I346" s="21"/>
    </row>
    <row r="347" spans="1:9" s="231" customFormat="1">
      <c r="A347" s="693">
        <v>1</v>
      </c>
      <c r="B347" s="47" t="s">
        <v>263</v>
      </c>
      <c r="C347" s="116"/>
      <c r="D347" s="116"/>
      <c r="E347" s="354">
        <v>6499</v>
      </c>
      <c r="F347" s="265">
        <v>6200</v>
      </c>
      <c r="G347" s="43"/>
      <c r="H347" s="126">
        <v>6200</v>
      </c>
      <c r="I347" s="86"/>
    </row>
    <row r="348" spans="1:9" s="231" customFormat="1">
      <c r="A348" s="693"/>
      <c r="B348" s="47"/>
      <c r="C348" s="116"/>
      <c r="D348" s="116"/>
      <c r="E348" s="355"/>
      <c r="F348" s="188"/>
      <c r="G348" s="43"/>
      <c r="H348" s="188"/>
      <c r="I348" s="86"/>
    </row>
    <row r="349" spans="1:9" s="231" customFormat="1">
      <c r="A349" s="108" t="s">
        <v>378</v>
      </c>
      <c r="B349" s="47"/>
      <c r="C349" s="116"/>
      <c r="D349" s="116"/>
      <c r="E349" s="355"/>
      <c r="F349" s="188"/>
      <c r="G349" s="43"/>
      <c r="H349" s="188"/>
      <c r="I349" s="86"/>
    </row>
    <row r="350" spans="1:9" s="231" customFormat="1">
      <c r="A350" s="693"/>
      <c r="B350" s="47"/>
      <c r="C350" s="116"/>
      <c r="D350" s="116"/>
      <c r="E350" s="355"/>
      <c r="F350" s="188"/>
      <c r="G350" s="43"/>
      <c r="H350" s="188"/>
      <c r="I350" s="86"/>
    </row>
    <row r="351" spans="1:9" s="231" customFormat="1">
      <c r="A351" s="198" t="s">
        <v>379</v>
      </c>
      <c r="B351" s="47"/>
      <c r="C351" s="116"/>
      <c r="D351" s="116"/>
      <c r="E351" s="355"/>
      <c r="F351" s="188"/>
      <c r="G351" s="43"/>
      <c r="H351" s="188"/>
      <c r="I351" s="86"/>
    </row>
    <row r="352" spans="1:9" s="231" customFormat="1">
      <c r="A352" s="693"/>
      <c r="B352" s="47"/>
      <c r="C352" s="116"/>
      <c r="D352" s="116"/>
      <c r="E352" s="355"/>
      <c r="F352" s="188"/>
      <c r="G352" s="43"/>
      <c r="H352" s="188"/>
      <c r="I352" s="86"/>
    </row>
    <row r="353" spans="1:9" s="231" customFormat="1">
      <c r="A353" s="693">
        <v>2</v>
      </c>
      <c r="B353" s="47" t="s">
        <v>52</v>
      </c>
      <c r="C353" s="116"/>
      <c r="D353" s="116"/>
      <c r="E353" s="74">
        <v>0</v>
      </c>
      <c r="F353" s="265"/>
      <c r="G353" s="43"/>
      <c r="H353" s="126"/>
      <c r="I353" s="86"/>
    </row>
    <row r="354" spans="1:9" s="231" customFormat="1">
      <c r="A354" s="693">
        <v>3</v>
      </c>
      <c r="B354" s="47" t="s">
        <v>53</v>
      </c>
      <c r="C354" s="116"/>
      <c r="D354" s="116"/>
      <c r="E354" s="49">
        <v>0</v>
      </c>
      <c r="F354" s="265"/>
      <c r="G354" s="43"/>
      <c r="H354" s="126"/>
      <c r="I354" s="86"/>
    </row>
    <row r="355" spans="1:9" s="231" customFormat="1">
      <c r="A355" s="693">
        <v>4</v>
      </c>
      <c r="B355" s="47" t="s">
        <v>54</v>
      </c>
      <c r="C355" s="116"/>
      <c r="D355" s="116"/>
      <c r="E355" s="49">
        <v>25</v>
      </c>
      <c r="F355" s="265">
        <v>18</v>
      </c>
      <c r="G355" s="43"/>
      <c r="H355" s="126">
        <v>84</v>
      </c>
      <c r="I355" s="86"/>
    </row>
    <row r="356" spans="1:9" s="231" customFormat="1">
      <c r="A356" s="693">
        <v>5</v>
      </c>
      <c r="B356" s="47" t="s">
        <v>55</v>
      </c>
      <c r="C356" s="116"/>
      <c r="D356" s="116"/>
      <c r="E356" s="49">
        <v>0</v>
      </c>
      <c r="F356" s="265">
        <v>20</v>
      </c>
      <c r="G356" s="43"/>
      <c r="H356" s="126">
        <v>0</v>
      </c>
      <c r="I356" s="86"/>
    </row>
    <row r="357" spans="1:9" s="231" customFormat="1">
      <c r="A357" s="693">
        <v>6</v>
      </c>
      <c r="B357" s="47" t="s">
        <v>56</v>
      </c>
      <c r="C357" s="116"/>
      <c r="D357" s="116"/>
      <c r="E357" s="49">
        <v>0</v>
      </c>
      <c r="F357" s="265"/>
      <c r="G357" s="43"/>
      <c r="H357" s="126"/>
      <c r="I357" s="86"/>
    </row>
    <row r="358" spans="1:9" s="231" customFormat="1">
      <c r="A358" s="693">
        <v>7</v>
      </c>
      <c r="B358" s="47" t="s">
        <v>57</v>
      </c>
      <c r="C358" s="116"/>
      <c r="D358" s="116"/>
      <c r="E358" s="49">
        <v>0</v>
      </c>
      <c r="F358" s="265"/>
      <c r="G358" s="43"/>
      <c r="H358" s="126"/>
      <c r="I358" s="86"/>
    </row>
    <row r="359" spans="1:9" s="231" customFormat="1">
      <c r="A359" s="693">
        <v>8</v>
      </c>
      <c r="B359" s="47" t="s">
        <v>58</v>
      </c>
      <c r="C359" s="116"/>
      <c r="D359" s="116"/>
      <c r="E359" s="49">
        <v>0</v>
      </c>
      <c r="F359" s="265"/>
      <c r="G359" s="43"/>
      <c r="H359" s="126"/>
      <c r="I359" s="86"/>
    </row>
    <row r="360" spans="1:9" s="231" customFormat="1">
      <c r="A360" s="693">
        <v>9</v>
      </c>
      <c r="B360" s="47" t="s">
        <v>59</v>
      </c>
      <c r="C360" s="116"/>
      <c r="D360" s="116"/>
      <c r="E360" s="49">
        <v>0</v>
      </c>
      <c r="F360" s="265"/>
      <c r="G360" s="43"/>
      <c r="H360" s="126"/>
      <c r="I360" s="86"/>
    </row>
    <row r="361" spans="1:9" s="231" customFormat="1">
      <c r="A361" s="693">
        <v>10</v>
      </c>
      <c r="B361" s="47" t="s">
        <v>60</v>
      </c>
      <c r="C361" s="116"/>
      <c r="D361" s="116"/>
      <c r="E361" s="49">
        <v>0</v>
      </c>
      <c r="F361" s="265"/>
      <c r="G361" s="43"/>
      <c r="H361" s="126"/>
      <c r="I361" s="86"/>
    </row>
    <row r="362" spans="1:9" s="231" customFormat="1">
      <c r="A362" s="693">
        <v>11</v>
      </c>
      <c r="B362" s="47" t="s">
        <v>61</v>
      </c>
      <c r="C362" s="116"/>
      <c r="D362" s="116"/>
      <c r="E362" s="49">
        <v>0</v>
      </c>
      <c r="F362" s="265"/>
      <c r="G362" s="43"/>
      <c r="H362" s="126"/>
      <c r="I362" s="86"/>
    </row>
    <row r="363" spans="1:9" s="231" customFormat="1">
      <c r="A363" s="694">
        <v>12</v>
      </c>
      <c r="B363" s="54" t="s">
        <v>380</v>
      </c>
      <c r="C363" s="94"/>
      <c r="D363" s="94"/>
      <c r="E363" s="135">
        <v>25</v>
      </c>
      <c r="F363" s="61">
        <f>SUM(F353:F362)</f>
        <v>38</v>
      </c>
      <c r="G363" s="43"/>
      <c r="H363" s="61">
        <f>SUM(H353:H362)</f>
        <v>84</v>
      </c>
      <c r="I363" s="86"/>
    </row>
    <row r="364" spans="1:9" s="231" customFormat="1">
      <c r="A364" s="199"/>
      <c r="B364" s="15"/>
      <c r="C364" s="15"/>
      <c r="D364" s="15"/>
      <c r="E364" s="15"/>
      <c r="F364" s="15"/>
      <c r="G364" s="15"/>
      <c r="H364" s="15"/>
      <c r="I364" s="86"/>
    </row>
    <row r="365" spans="1:9" s="231" customFormat="1">
      <c r="A365" s="199"/>
      <c r="B365" s="15"/>
      <c r="C365" s="15"/>
      <c r="D365" s="15"/>
      <c r="E365" s="15"/>
      <c r="F365" s="15"/>
      <c r="G365" s="15"/>
      <c r="H365" s="86"/>
      <c r="I365" s="86"/>
    </row>
    <row r="366" spans="1:9" s="231" customFormat="1">
      <c r="A366" s="199"/>
      <c r="B366" s="15"/>
      <c r="C366" s="15"/>
      <c r="D366" s="15"/>
      <c r="E366" s="15"/>
      <c r="F366" s="15"/>
      <c r="G366" s="15"/>
      <c r="H366" s="86"/>
      <c r="I366" s="86"/>
    </row>
    <row r="367" spans="1:9">
      <c r="A367" s="8"/>
      <c r="B367" s="8"/>
      <c r="C367" s="8"/>
      <c r="D367" s="8"/>
      <c r="E367" s="8"/>
      <c r="F367" s="8"/>
      <c r="G367" s="8"/>
      <c r="H367" s="8"/>
      <c r="I367" s="8"/>
    </row>
    <row r="368" spans="1:9">
      <c r="A368" s="8"/>
      <c r="B368" s="8"/>
      <c r="C368" s="8"/>
      <c r="D368" s="8"/>
      <c r="E368" s="8"/>
      <c r="F368" s="8"/>
      <c r="G368" s="8"/>
      <c r="H368" s="8"/>
      <c r="I368" s="8"/>
    </row>
    <row r="369" spans="1:9">
      <c r="A369" s="8"/>
      <c r="B369" s="8"/>
      <c r="C369" s="8"/>
      <c r="D369" s="8"/>
      <c r="E369" s="8"/>
      <c r="F369" s="8"/>
      <c r="G369" s="8"/>
      <c r="H369" s="8"/>
      <c r="I369" s="8"/>
    </row>
    <row r="370" spans="1:9">
      <c r="A370" s="8"/>
      <c r="B370" s="8"/>
      <c r="C370" s="8"/>
      <c r="D370" s="8"/>
      <c r="E370" s="8"/>
      <c r="F370" s="8"/>
      <c r="G370" s="8"/>
      <c r="H370" s="8"/>
      <c r="I370" s="8"/>
    </row>
    <row r="371" spans="1:9">
      <c r="A371" s="8"/>
      <c r="B371" s="8"/>
      <c r="C371" s="8"/>
      <c r="D371" s="8"/>
      <c r="E371" s="8"/>
      <c r="F371" s="8"/>
      <c r="G371" s="8"/>
      <c r="H371" s="8"/>
      <c r="I371" s="8"/>
    </row>
    <row r="372" spans="1:9">
      <c r="A372" s="8"/>
      <c r="B372" s="8"/>
      <c r="C372" s="8"/>
      <c r="D372" s="8"/>
      <c r="E372" s="8"/>
      <c r="F372" s="8"/>
      <c r="G372" s="8"/>
      <c r="H372" s="8"/>
      <c r="I372" s="8"/>
    </row>
    <row r="373" spans="1:9">
      <c r="A373" s="8"/>
      <c r="B373" s="8"/>
      <c r="C373" s="8"/>
      <c r="D373" s="8"/>
      <c r="E373" s="8"/>
      <c r="F373" s="8"/>
      <c r="G373" s="8"/>
      <c r="H373" s="8"/>
      <c r="I373" s="8"/>
    </row>
    <row r="374" spans="1:9">
      <c r="A374" s="8"/>
      <c r="B374" s="8"/>
      <c r="C374" s="8"/>
      <c r="D374" s="8"/>
      <c r="E374" s="8"/>
      <c r="F374" s="8"/>
      <c r="G374" s="8"/>
      <c r="H374" s="8"/>
      <c r="I374" s="8"/>
    </row>
    <row r="375" spans="1:9">
      <c r="A375" s="8"/>
      <c r="B375" s="8"/>
      <c r="C375" s="8"/>
      <c r="D375" s="8"/>
      <c r="E375" s="8"/>
      <c r="F375" s="8"/>
      <c r="G375" s="8"/>
      <c r="H375" s="8"/>
      <c r="I375" s="8"/>
    </row>
    <row r="376" spans="1:9">
      <c r="A376" s="8"/>
      <c r="B376" s="8"/>
      <c r="C376" s="8"/>
      <c r="D376" s="8"/>
      <c r="E376" s="8"/>
      <c r="F376" s="8"/>
      <c r="G376" s="8"/>
      <c r="H376" s="8"/>
      <c r="I376" s="8"/>
    </row>
    <row r="377" spans="1:9">
      <c r="A377" s="8"/>
      <c r="B377" s="8"/>
      <c r="C377" s="8"/>
      <c r="D377" s="8"/>
      <c r="E377" s="8"/>
      <c r="F377" s="8"/>
      <c r="G377" s="8"/>
      <c r="H377" s="8"/>
      <c r="I377" s="8"/>
    </row>
    <row r="378" spans="1:9">
      <c r="A378" s="8"/>
      <c r="B378" s="8"/>
      <c r="C378" s="8"/>
      <c r="D378" s="8"/>
      <c r="E378" s="8"/>
      <c r="F378" s="8"/>
      <c r="G378" s="8"/>
      <c r="H378" s="8"/>
      <c r="I378" s="8"/>
    </row>
    <row r="379" spans="1:9">
      <c r="A379" s="8"/>
      <c r="B379" s="8"/>
      <c r="C379" s="8"/>
      <c r="D379" s="8"/>
      <c r="E379" s="8"/>
      <c r="F379" s="8"/>
      <c r="G379" s="8"/>
      <c r="H379" s="8"/>
      <c r="I379" s="8"/>
    </row>
    <row r="380" spans="1:9">
      <c r="A380" s="8"/>
      <c r="B380" s="8"/>
      <c r="C380" s="8"/>
      <c r="D380" s="8"/>
      <c r="E380" s="8"/>
      <c r="F380" s="8"/>
      <c r="G380" s="8"/>
      <c r="H380" s="8"/>
      <c r="I380" s="8"/>
    </row>
    <row r="381" spans="1:9">
      <c r="A381" s="8"/>
      <c r="B381" s="8"/>
      <c r="C381" s="8"/>
      <c r="D381" s="8"/>
      <c r="E381" s="8"/>
      <c r="F381" s="8"/>
      <c r="G381" s="8"/>
      <c r="H381" s="8"/>
      <c r="I381" s="8"/>
    </row>
    <row r="382" spans="1:9">
      <c r="A382" s="8"/>
      <c r="B382" s="8"/>
      <c r="C382" s="8"/>
      <c r="D382" s="8"/>
      <c r="E382" s="8"/>
      <c r="F382" s="8"/>
      <c r="G382" s="8"/>
      <c r="H382" s="8"/>
      <c r="I382" s="8"/>
    </row>
    <row r="383" spans="1:9">
      <c r="A383" s="8"/>
      <c r="B383" s="8"/>
      <c r="C383" s="8"/>
      <c r="D383" s="8"/>
      <c r="E383" s="8"/>
      <c r="F383" s="8"/>
      <c r="G383" s="8"/>
      <c r="H383" s="8"/>
      <c r="I383" s="8"/>
    </row>
    <row r="384" spans="1:9">
      <c r="A384" s="8"/>
      <c r="B384" s="8"/>
      <c r="C384" s="8"/>
      <c r="D384" s="8"/>
      <c r="E384" s="8"/>
      <c r="F384" s="8"/>
      <c r="G384" s="8"/>
      <c r="H384" s="8"/>
      <c r="I384" s="8"/>
    </row>
    <row r="385" spans="1:9">
      <c r="A385" s="8"/>
      <c r="B385" s="8"/>
      <c r="C385" s="8"/>
      <c r="D385" s="8"/>
      <c r="E385" s="8"/>
      <c r="F385" s="8"/>
      <c r="G385" s="8"/>
      <c r="H385" s="8"/>
      <c r="I385" s="8"/>
    </row>
    <row r="386" spans="1:9">
      <c r="A386" s="8"/>
      <c r="B386" s="8"/>
      <c r="C386" s="8"/>
      <c r="D386" s="8"/>
      <c r="E386" s="8"/>
      <c r="F386" s="8"/>
      <c r="G386" s="8"/>
      <c r="H386" s="8"/>
      <c r="I386" s="8"/>
    </row>
    <row r="387" spans="1:9">
      <c r="A387" s="8"/>
      <c r="B387" s="8"/>
      <c r="C387" s="8"/>
      <c r="D387" s="8"/>
      <c r="E387" s="8"/>
      <c r="F387" s="8"/>
      <c r="G387" s="8"/>
      <c r="H387" s="8"/>
      <c r="I387" s="8"/>
    </row>
    <row r="388" spans="1:9">
      <c r="A388" s="8"/>
      <c r="B388" s="8"/>
      <c r="C388" s="8"/>
      <c r="D388" s="8"/>
      <c r="E388" s="8"/>
      <c r="F388" s="8"/>
      <c r="G388" s="8"/>
      <c r="H388" s="8"/>
      <c r="I388" s="8"/>
    </row>
    <row r="389" spans="1:9">
      <c r="A389" s="8"/>
      <c r="B389" s="8"/>
      <c r="C389" s="8"/>
      <c r="D389" s="8"/>
      <c r="E389" s="8"/>
      <c r="F389" s="8"/>
      <c r="G389" s="8"/>
      <c r="H389" s="8"/>
      <c r="I389" s="8"/>
    </row>
    <row r="390" spans="1:9">
      <c r="A390" s="8"/>
      <c r="B390" s="8"/>
      <c r="C390" s="8"/>
      <c r="D390" s="8"/>
      <c r="E390" s="8"/>
      <c r="F390" s="8"/>
      <c r="G390" s="8"/>
      <c r="H390" s="8"/>
      <c r="I390" s="8"/>
    </row>
    <row r="391" spans="1:9">
      <c r="A391" s="8"/>
      <c r="B391" s="8"/>
      <c r="C391" s="8"/>
      <c r="D391" s="8"/>
      <c r="E391" s="8"/>
      <c r="F391" s="8"/>
      <c r="G391" s="8"/>
      <c r="H391" s="8"/>
      <c r="I391" s="8"/>
    </row>
    <row r="392" spans="1:9">
      <c r="A392" s="8"/>
      <c r="B392" s="8"/>
      <c r="C392" s="8"/>
      <c r="D392" s="8"/>
      <c r="E392" s="8"/>
      <c r="F392" s="8"/>
      <c r="G392" s="8"/>
      <c r="H392" s="8"/>
      <c r="I392" s="8"/>
    </row>
    <row r="393" spans="1:9">
      <c r="A393" s="8"/>
      <c r="B393" s="8"/>
      <c r="C393" s="8"/>
      <c r="D393" s="8"/>
      <c r="E393" s="8"/>
      <c r="F393" s="8"/>
      <c r="G393" s="8"/>
      <c r="H393" s="8"/>
      <c r="I393" s="8"/>
    </row>
    <row r="394" spans="1:9">
      <c r="A394" s="8"/>
      <c r="B394" s="8"/>
      <c r="C394" s="8"/>
      <c r="D394" s="8"/>
      <c r="E394" s="8"/>
      <c r="F394" s="8"/>
      <c r="G394" s="8"/>
      <c r="H394" s="8"/>
      <c r="I394" s="8"/>
    </row>
    <row r="395" spans="1:9">
      <c r="A395" s="8"/>
      <c r="B395" s="8"/>
      <c r="C395" s="8"/>
      <c r="D395" s="8"/>
      <c r="E395" s="8"/>
      <c r="F395" s="8"/>
      <c r="G395" s="8"/>
      <c r="H395" s="8"/>
      <c r="I395" s="8"/>
    </row>
    <row r="396" spans="1:9">
      <c r="A396" s="8"/>
      <c r="B396" s="8"/>
      <c r="C396" s="8"/>
      <c r="D396" s="8"/>
      <c r="E396" s="8"/>
      <c r="F396" s="8"/>
      <c r="G396" s="8"/>
      <c r="H396" s="8"/>
      <c r="I396" s="8"/>
    </row>
    <row r="397" spans="1:9">
      <c r="A397" s="8"/>
      <c r="B397" s="8"/>
      <c r="C397" s="8"/>
      <c r="D397" s="8"/>
      <c r="E397" s="8"/>
      <c r="F397" s="8"/>
      <c r="G397" s="8"/>
      <c r="H397" s="8"/>
      <c r="I397" s="8"/>
    </row>
    <row r="398" spans="1:9">
      <c r="A398" s="8"/>
      <c r="B398" s="8"/>
      <c r="C398" s="8"/>
      <c r="D398" s="8"/>
      <c r="E398" s="8"/>
      <c r="F398" s="8"/>
      <c r="G398" s="8"/>
      <c r="H398" s="8"/>
      <c r="I398" s="8"/>
    </row>
    <row r="399" spans="1:9">
      <c r="A399" s="8"/>
      <c r="B399" s="8"/>
      <c r="C399" s="8"/>
      <c r="D399" s="8"/>
      <c r="E399" s="8"/>
      <c r="F399" s="8"/>
      <c r="G399" s="8"/>
      <c r="H399" s="8"/>
      <c r="I399" s="8"/>
    </row>
    <row r="400" spans="1:9">
      <c r="A400" s="8"/>
      <c r="B400" s="8"/>
      <c r="C400" s="8"/>
      <c r="D400" s="8"/>
      <c r="E400" s="8"/>
      <c r="F400" s="8"/>
      <c r="G400" s="8"/>
      <c r="H400" s="8"/>
      <c r="I400" s="8"/>
    </row>
    <row r="401" spans="1:9">
      <c r="A401" s="8"/>
      <c r="B401" s="8"/>
      <c r="C401" s="8"/>
      <c r="D401" s="8"/>
      <c r="E401" s="8"/>
      <c r="F401" s="8"/>
      <c r="G401" s="8"/>
      <c r="H401" s="8"/>
      <c r="I401" s="8"/>
    </row>
    <row r="402" spans="1:9">
      <c r="A402" s="8"/>
      <c r="B402" s="8"/>
      <c r="C402" s="8"/>
      <c r="D402" s="8"/>
      <c r="E402" s="8"/>
      <c r="F402" s="8"/>
      <c r="G402" s="8"/>
      <c r="H402" s="8"/>
      <c r="I402" s="8"/>
    </row>
    <row r="403" spans="1:9">
      <c r="A403" s="8"/>
      <c r="B403" s="8"/>
      <c r="C403" s="8"/>
      <c r="D403" s="8"/>
      <c r="E403" s="8"/>
      <c r="F403" s="8"/>
      <c r="G403" s="8"/>
      <c r="H403" s="8"/>
      <c r="I403" s="8"/>
    </row>
    <row r="404" spans="1:9">
      <c r="A404" s="8"/>
      <c r="B404" s="8"/>
      <c r="C404" s="8"/>
      <c r="D404" s="8"/>
      <c r="E404" s="8"/>
      <c r="F404" s="8"/>
      <c r="G404" s="8"/>
      <c r="H404" s="8"/>
      <c r="I404" s="8"/>
    </row>
    <row r="405" spans="1:9">
      <c r="A405" s="8"/>
      <c r="B405" s="8"/>
      <c r="C405" s="8"/>
      <c r="D405" s="8"/>
      <c r="E405" s="8"/>
      <c r="F405" s="8"/>
      <c r="G405" s="8"/>
      <c r="H405" s="8"/>
      <c r="I405" s="8"/>
    </row>
    <row r="406" spans="1:9">
      <c r="A406" s="8"/>
      <c r="B406" s="8"/>
      <c r="C406" s="8"/>
      <c r="D406" s="8"/>
      <c r="E406" s="8"/>
      <c r="F406" s="8"/>
      <c r="G406" s="8"/>
      <c r="H406" s="8"/>
      <c r="I406" s="8"/>
    </row>
    <row r="407" spans="1:9">
      <c r="A407" s="8"/>
      <c r="B407" s="8"/>
      <c r="C407" s="8"/>
      <c r="D407" s="8"/>
      <c r="E407" s="8"/>
      <c r="F407" s="8"/>
      <c r="G407" s="8"/>
      <c r="H407" s="8"/>
      <c r="I407" s="8"/>
    </row>
    <row r="408" spans="1:9">
      <c r="A408" s="8"/>
      <c r="B408" s="8"/>
      <c r="C408" s="8"/>
      <c r="D408" s="8"/>
      <c r="E408" s="8"/>
      <c r="F408" s="8"/>
      <c r="G408" s="8"/>
      <c r="H408" s="8"/>
      <c r="I408" s="8"/>
    </row>
    <row r="409" spans="1:9">
      <c r="A409" s="8"/>
      <c r="B409" s="8"/>
      <c r="C409" s="8"/>
      <c r="D409" s="8"/>
      <c r="E409" s="8"/>
      <c r="F409" s="8"/>
      <c r="G409" s="8"/>
      <c r="H409" s="8"/>
      <c r="I409" s="8"/>
    </row>
    <row r="410" spans="1:9">
      <c r="A410" s="8"/>
      <c r="B410" s="8"/>
      <c r="C410" s="8"/>
      <c r="D410" s="8"/>
      <c r="E410" s="8"/>
      <c r="F410" s="8"/>
      <c r="G410" s="8"/>
      <c r="H410" s="8"/>
      <c r="I410" s="8"/>
    </row>
    <row r="411" spans="1:9">
      <c r="A411" s="8"/>
      <c r="B411" s="8"/>
      <c r="C411" s="8"/>
      <c r="D411" s="8"/>
      <c r="E411" s="8"/>
      <c r="F411" s="8"/>
      <c r="G411" s="8"/>
      <c r="H411" s="8"/>
      <c r="I411" s="8"/>
    </row>
    <row r="412" spans="1:9">
      <c r="A412" s="8"/>
      <c r="B412" s="8"/>
      <c r="C412" s="8"/>
      <c r="D412" s="8"/>
      <c r="E412" s="8"/>
      <c r="F412" s="8"/>
      <c r="G412" s="8"/>
      <c r="H412" s="8"/>
      <c r="I412" s="8"/>
    </row>
    <row r="413" spans="1:9">
      <c r="A413" s="8"/>
      <c r="B413" s="8"/>
      <c r="C413" s="8"/>
      <c r="D413" s="8"/>
      <c r="E413" s="8"/>
      <c r="F413" s="8"/>
      <c r="G413" s="8"/>
      <c r="H413" s="8"/>
      <c r="I413" s="8"/>
    </row>
  </sheetData>
  <mergeCells count="59">
    <mergeCell ref="C19:F19"/>
    <mergeCell ref="B3:B4"/>
    <mergeCell ref="C3:D4"/>
    <mergeCell ref="A5:B5"/>
    <mergeCell ref="D6:H6"/>
    <mergeCell ref="A9:I9"/>
    <mergeCell ref="D10:F10"/>
    <mergeCell ref="C14:F14"/>
    <mergeCell ref="C15:F15"/>
    <mergeCell ref="C16:F16"/>
    <mergeCell ref="C17:F17"/>
    <mergeCell ref="C18:F18"/>
    <mergeCell ref="A23:D24"/>
    <mergeCell ref="E23:E24"/>
    <mergeCell ref="F23:F24"/>
    <mergeCell ref="H23:H24"/>
    <mergeCell ref="A25:A27"/>
    <mergeCell ref="B25:D27"/>
    <mergeCell ref="E25:E27"/>
    <mergeCell ref="F25:F27"/>
    <mergeCell ref="H25:H27"/>
    <mergeCell ref="A40:D41"/>
    <mergeCell ref="E40:E41"/>
    <mergeCell ref="F40:F41"/>
    <mergeCell ref="H40:H41"/>
    <mergeCell ref="E66:E70"/>
    <mergeCell ref="F66:F70"/>
    <mergeCell ref="G66:G70"/>
    <mergeCell ref="H66:H70"/>
    <mergeCell ref="I66:I70"/>
    <mergeCell ref="F91:F95"/>
    <mergeCell ref="H91:H95"/>
    <mergeCell ref="E193:E197"/>
    <mergeCell ref="F193:F197"/>
    <mergeCell ref="H193:H197"/>
    <mergeCell ref="E153:E157"/>
    <mergeCell ref="F153:F157"/>
    <mergeCell ref="H153:H157"/>
    <mergeCell ref="E91:E95"/>
    <mergeCell ref="E221:E225"/>
    <mergeCell ref="F221:F225"/>
    <mergeCell ref="H221:H225"/>
    <mergeCell ref="E234:E238"/>
    <mergeCell ref="F234:F238"/>
    <mergeCell ref="H234:H238"/>
    <mergeCell ref="E261:E265"/>
    <mergeCell ref="F261:F265"/>
    <mergeCell ref="H261:H265"/>
    <mergeCell ref="E280:E284"/>
    <mergeCell ref="F280:F284"/>
    <mergeCell ref="H280:H284"/>
    <mergeCell ref="E341:E345"/>
    <mergeCell ref="F341:F345"/>
    <mergeCell ref="H341:H345"/>
    <mergeCell ref="E305:E309"/>
    <mergeCell ref="F305:F309"/>
    <mergeCell ref="H305:H309"/>
    <mergeCell ref="C323:H323"/>
    <mergeCell ref="C330:H330"/>
  </mergeCells>
  <phoneticPr fontId="10" type="noConversion"/>
  <conditionalFormatting sqref="F71:F76 F286:F301 F311:F318 F80:F88 F96:F97 F103:F104 F106 F118:F124 F128:F134 F138:F142 F146:F149 F159:F162 F166:F168 F171:F172 F175:F177 F183:F190 F199:F200 F204:F206 F210:F213 F217:F218 F226:F230 F245:F246 F250:F253 F267:F276 H250 F110:F114 F240:F241 F256">
    <cfRule type="expression" dxfId="18" priority="291" stopIfTrue="1">
      <formula>ISBLANK(F71)</formula>
    </cfRule>
    <cfRule type="expression" dxfId="17" priority="292" stopIfTrue="1">
      <formula>IF(AND(OR(F71-E71&gt;500,F71-E71&lt;-500),OR(#REF!&gt;0.1,#REF!&lt;-0.1)),TRUE,FALSE)</formula>
    </cfRule>
  </conditionalFormatting>
  <dataValidations count="1">
    <dataValidation type="list" errorStyle="information" allowBlank="1" showInputMessage="1" showErrorMessage="1" errorTitle="POBE 2006" error="Please select from the drop-down menu..." prompt="Please select your Authority from the drop-down menu..." sqref="C3:D4">
      <formula1>#REF!</formula1>
    </dataValidation>
  </dataValidations>
  <hyperlinks>
    <hyperlink ref="F7" r:id="rId1" display="lgfstats@scotland.gsi.gov.uk"/>
    <hyperlink ref="D6" r:id="rId2"/>
    <hyperlink ref="D10" r:id="rId3" display="^lgfstats@gov.scot"/>
    <hyperlink ref="B14" location="'POBE 2017'!A28" display="PART 1 - Expenditure"/>
    <hyperlink ref="C19:F19" location="'POBE 2017'!A323" display="Sheet 10. - PUBLIC PRIVATE PARTNERSHIPS/PRIVATE FINANCE INITIATIVES"/>
    <hyperlink ref="B15" location="'POBE 2017'!A40" display="PART 2 - Income and Balances"/>
    <hyperlink ref="B16" location="'POBE 2017'!A66" display="Sheet 1. EDUCATION"/>
    <hyperlink ref="B17" location="'POBE 2017'!A91" display="Sheet 2. SOCIAL WORK"/>
    <hyperlink ref="B18" location="'POBE 2017'!A153" display="Sheet 3. ROADS AND TRANSPORT"/>
    <hyperlink ref="B19" location="'POBE 2017'!A193" display="Sheet 4. ENVIRONMENTAL SERVICES"/>
    <hyperlink ref="C14:F14" location="'POBE 2017'!A221" display="Sheet 5. PLANNING AND DEVELOPMENT SERVICES"/>
    <hyperlink ref="C15:F15" location="'POBE 2017'!A234" display="Sheet 6. CULTURAL AND RELATED SERVICES"/>
    <hyperlink ref="C16:F16" location="'POBE 2017'!A261" display="Sheet 7. HOUSING"/>
    <hyperlink ref="C17:F17" location="'POBE 2017'!A280" display="Sheet 8. CENTRAL SERVICES"/>
    <hyperlink ref="C18:F18" location="'POBE 2017'!A305" display="Sheet 9. OTHER EXPENDITURE"/>
  </hyperlinks>
  <pageMargins left="0.75" right="0.75" top="1" bottom="1" header="0.5" footer="0.5"/>
  <pageSetup paperSize="9" orientation="portrait" r:id="rId4"/>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I414"/>
  <sheetViews>
    <sheetView zoomScale="80" zoomScaleNormal="80" workbookViewId="0">
      <selection activeCell="I1" sqref="I1"/>
    </sheetView>
  </sheetViews>
  <sheetFormatPr defaultColWidth="9.140625" defaultRowHeight="12.75"/>
  <cols>
    <col min="1" max="1" width="10.5703125" style="1" customWidth="1"/>
    <col min="2" max="2" width="43" style="1" customWidth="1"/>
    <col min="3" max="3" width="24.5703125" style="1" customWidth="1"/>
    <col min="4" max="4" width="14.7109375" style="1" customWidth="1"/>
    <col min="5" max="5" width="21.5703125" style="1" customWidth="1"/>
    <col min="6" max="6" width="19.140625" style="1" customWidth="1"/>
    <col min="7" max="7" width="17.42578125" style="1" customWidth="1"/>
    <col min="8" max="8" width="19.28515625" style="1" customWidth="1"/>
    <col min="9" max="9" width="17.85546875" style="1" customWidth="1"/>
    <col min="10" max="14" width="9.140625" style="8" customWidth="1"/>
    <col min="15" max="16384" width="9.140625" style="8"/>
  </cols>
  <sheetData>
    <row r="1" spans="1:9" s="231" customFormat="1" ht="51" customHeight="1">
      <c r="A1" s="3" t="s">
        <v>410</v>
      </c>
      <c r="B1" s="4"/>
      <c r="C1" s="224"/>
      <c r="D1" s="224"/>
      <c r="E1" s="224"/>
      <c r="F1" s="224"/>
      <c r="G1" s="225"/>
      <c r="H1" s="226"/>
      <c r="I1" s="227"/>
    </row>
    <row r="2" spans="1:9" s="231" customFormat="1" ht="35.25">
      <c r="A2" s="9"/>
      <c r="B2" s="10"/>
      <c r="C2" s="232"/>
      <c r="D2" s="232"/>
      <c r="E2" s="232"/>
      <c r="F2" s="11"/>
      <c r="G2" s="11"/>
      <c r="H2" s="11"/>
      <c r="I2" s="11"/>
    </row>
    <row r="3" spans="1:9" s="231" customFormat="1" ht="15">
      <c r="A3" s="12"/>
      <c r="B3" s="882" t="s">
        <v>0</v>
      </c>
      <c r="C3" s="884" t="s">
        <v>40</v>
      </c>
      <c r="D3" s="885"/>
      <c r="E3" s="13"/>
      <c r="F3" s="14"/>
      <c r="G3" s="14"/>
      <c r="H3" s="15"/>
      <c r="I3" s="14"/>
    </row>
    <row r="4" spans="1:9" s="231" customFormat="1" ht="15">
      <c r="A4" s="17"/>
      <c r="B4" s="883"/>
      <c r="C4" s="886"/>
      <c r="D4" s="887"/>
      <c r="E4" s="13"/>
      <c r="F4" s="14"/>
      <c r="G4" s="14"/>
      <c r="H4" s="15"/>
      <c r="I4" s="14"/>
    </row>
    <row r="5" spans="1:9" s="231" customFormat="1" ht="15">
      <c r="A5" s="888"/>
      <c r="B5" s="889"/>
      <c r="C5" s="18"/>
      <c r="D5" s="206"/>
      <c r="E5" s="206"/>
      <c r="F5" s="14"/>
      <c r="G5" s="14"/>
      <c r="H5" s="14"/>
      <c r="I5" s="234"/>
    </row>
    <row r="6" spans="1:9" s="231" customFormat="1" ht="23.25" customHeight="1">
      <c r="A6" s="19" t="s">
        <v>1</v>
      </c>
      <c r="B6" s="207"/>
      <c r="C6" s="20"/>
      <c r="D6" s="890" t="s">
        <v>249</v>
      </c>
      <c r="E6" s="890"/>
      <c r="F6" s="890"/>
      <c r="G6" s="890"/>
      <c r="H6" s="890"/>
      <c r="I6" s="29"/>
    </row>
    <row r="7" spans="1:9" s="231" customFormat="1" ht="18.75" customHeight="1">
      <c r="A7" s="19" t="s">
        <v>419</v>
      </c>
      <c r="B7" s="207"/>
      <c r="C7" s="207"/>
      <c r="D7" s="207"/>
      <c r="E7" s="207"/>
      <c r="F7" s="362" t="s">
        <v>250</v>
      </c>
      <c r="G7" s="1"/>
      <c r="H7" s="21"/>
      <c r="I7" s="29"/>
    </row>
    <row r="8" spans="1:9" s="231" customFormat="1" ht="24" customHeight="1">
      <c r="A8" s="22" t="s">
        <v>408</v>
      </c>
      <c r="B8" s="207"/>
      <c r="C8" s="207"/>
      <c r="D8" s="207"/>
      <c r="E8" s="207"/>
      <c r="F8" s="207"/>
      <c r="G8" s="833"/>
      <c r="H8" s="21"/>
      <c r="I8" s="29"/>
    </row>
    <row r="9" spans="1:9" s="231" customFormat="1" ht="30.75" customHeight="1">
      <c r="A9" s="891" t="s">
        <v>420</v>
      </c>
      <c r="B9" s="892"/>
      <c r="C9" s="892"/>
      <c r="D9" s="892"/>
      <c r="E9" s="892"/>
      <c r="F9" s="892"/>
      <c r="G9" s="892"/>
      <c r="H9" s="892"/>
      <c r="I9" s="892"/>
    </row>
    <row r="10" spans="1:9" s="231" customFormat="1" ht="12.75" customHeight="1">
      <c r="A10" s="22" t="s">
        <v>409</v>
      </c>
      <c r="B10" s="19"/>
      <c r="C10" s="1"/>
      <c r="D10" s="880" t="s">
        <v>250</v>
      </c>
      <c r="E10" s="881"/>
      <c r="F10" s="881"/>
      <c r="G10" s="207"/>
      <c r="H10" s="207"/>
      <c r="I10" s="29"/>
    </row>
    <row r="11" spans="1:9" s="231" customFormat="1">
      <c r="A11" s="23"/>
      <c r="B11" s="207"/>
      <c r="C11" s="207"/>
      <c r="D11" s="207"/>
      <c r="E11" s="207"/>
      <c r="F11" s="207"/>
      <c r="G11" s="21"/>
      <c r="H11" s="21"/>
      <c r="I11" s="29"/>
    </row>
    <row r="12" spans="1:9" s="231" customFormat="1">
      <c r="A12" s="24"/>
      <c r="B12" s="25" t="s">
        <v>7</v>
      </c>
      <c r="C12" s="26"/>
      <c r="D12" s="356"/>
      <c r="E12" s="356"/>
      <c r="F12" s="357"/>
      <c r="G12" s="21"/>
      <c r="H12" s="21"/>
      <c r="I12" s="29"/>
    </row>
    <row r="13" spans="1:9" s="231" customFormat="1">
      <c r="A13" s="23"/>
      <c r="B13" s="27"/>
      <c r="C13" s="358"/>
      <c r="D13" s="15"/>
      <c r="E13" s="15"/>
      <c r="F13" s="359"/>
      <c r="G13" s="207"/>
      <c r="H13" s="21"/>
      <c r="I13" s="29"/>
    </row>
    <row r="14" spans="1:9" s="231" customFormat="1">
      <c r="A14" s="23"/>
      <c r="B14" s="363" t="s">
        <v>328</v>
      </c>
      <c r="C14" s="870" t="s">
        <v>10</v>
      </c>
      <c r="D14" s="870"/>
      <c r="E14" s="870"/>
      <c r="F14" s="871"/>
      <c r="G14" s="207"/>
      <c r="H14" s="21"/>
      <c r="I14" s="29"/>
    </row>
    <row r="15" spans="1:9" s="231" customFormat="1">
      <c r="A15" s="23"/>
      <c r="B15" s="363" t="s">
        <v>329</v>
      </c>
      <c r="C15" s="870" t="s">
        <v>12</v>
      </c>
      <c r="D15" s="870"/>
      <c r="E15" s="870"/>
      <c r="F15" s="871"/>
      <c r="G15" s="207"/>
      <c r="H15" s="21"/>
      <c r="I15" s="29"/>
    </row>
    <row r="16" spans="1:9" s="231" customFormat="1">
      <c r="A16" s="23"/>
      <c r="B16" s="360" t="s">
        <v>14</v>
      </c>
      <c r="C16" s="870" t="s">
        <v>15</v>
      </c>
      <c r="D16" s="870"/>
      <c r="E16" s="870"/>
      <c r="F16" s="871"/>
      <c r="G16" s="207"/>
      <c r="H16" s="21"/>
      <c r="I16" s="29"/>
    </row>
    <row r="17" spans="1:9" s="231" customFormat="1">
      <c r="A17" s="23"/>
      <c r="B17" s="360" t="s">
        <v>17</v>
      </c>
      <c r="C17" s="870" t="s">
        <v>18</v>
      </c>
      <c r="D17" s="870"/>
      <c r="E17" s="870"/>
      <c r="F17" s="871"/>
      <c r="G17" s="207"/>
      <c r="H17" s="21"/>
      <c r="I17" s="29"/>
    </row>
    <row r="18" spans="1:9" s="231" customFormat="1">
      <c r="A18" s="23"/>
      <c r="B18" s="360" t="s">
        <v>20</v>
      </c>
      <c r="C18" s="870" t="s">
        <v>21</v>
      </c>
      <c r="D18" s="870"/>
      <c r="E18" s="870"/>
      <c r="F18" s="871"/>
      <c r="G18" s="207"/>
      <c r="H18" s="21"/>
      <c r="I18" s="29"/>
    </row>
    <row r="19" spans="1:9" s="231" customFormat="1">
      <c r="A19" s="23"/>
      <c r="B19" s="361" t="s">
        <v>23</v>
      </c>
      <c r="C19" s="872" t="s">
        <v>24</v>
      </c>
      <c r="D19" s="872"/>
      <c r="E19" s="872"/>
      <c r="F19" s="873"/>
      <c r="G19" s="21"/>
      <c r="H19" s="21"/>
      <c r="I19" s="29"/>
    </row>
    <row r="20" spans="1:9" s="231" customFormat="1">
      <c r="A20" s="236"/>
      <c r="B20" s="206"/>
      <c r="C20" s="206"/>
      <c r="D20" s="206"/>
      <c r="E20" s="206"/>
      <c r="F20" s="206"/>
      <c r="G20" s="206"/>
      <c r="H20" s="206"/>
      <c r="I20" s="206"/>
    </row>
    <row r="21" spans="1:9" s="231" customFormat="1" ht="19.5">
      <c r="A21" s="30"/>
      <c r="B21" s="13"/>
      <c r="C21" s="13"/>
      <c r="D21" s="13"/>
      <c r="E21" s="13"/>
      <c r="F21" s="13"/>
      <c r="G21" s="13"/>
      <c r="H21" s="31" t="s">
        <v>27</v>
      </c>
      <c r="I21" s="237"/>
    </row>
    <row r="22" spans="1:9" s="231" customFormat="1" ht="18.75" customHeight="1">
      <c r="A22" s="32"/>
      <c r="B22" s="29"/>
      <c r="C22" s="29"/>
      <c r="D22" s="29"/>
      <c r="E22" s="29"/>
      <c r="F22" s="33">
        <v>1</v>
      </c>
      <c r="G22" s="34"/>
      <c r="H22" s="33">
        <v>2</v>
      </c>
      <c r="I22" s="34"/>
    </row>
    <row r="23" spans="1:9" s="231" customFormat="1" ht="21.95" customHeight="1">
      <c r="A23" s="874" t="s">
        <v>30</v>
      </c>
      <c r="B23" s="875"/>
      <c r="C23" s="875"/>
      <c r="D23" s="875"/>
      <c r="E23" s="878" t="s">
        <v>376</v>
      </c>
      <c r="F23" s="856" t="s">
        <v>407</v>
      </c>
      <c r="G23" s="36"/>
      <c r="H23" s="878" t="s">
        <v>406</v>
      </c>
      <c r="I23" s="36"/>
    </row>
    <row r="24" spans="1:9" s="231" customFormat="1" ht="21.95" customHeight="1">
      <c r="A24" s="876"/>
      <c r="B24" s="877"/>
      <c r="C24" s="877"/>
      <c r="D24" s="877"/>
      <c r="E24" s="879"/>
      <c r="F24" s="860"/>
      <c r="G24" s="23"/>
      <c r="H24" s="879"/>
      <c r="I24" s="36"/>
    </row>
    <row r="25" spans="1:9" s="231" customFormat="1" ht="21.95" customHeight="1">
      <c r="A25" s="898" t="s">
        <v>48</v>
      </c>
      <c r="B25" s="901" t="s">
        <v>49</v>
      </c>
      <c r="C25" s="901"/>
      <c r="D25" s="902"/>
      <c r="E25" s="907" t="s">
        <v>50</v>
      </c>
      <c r="F25" s="909" t="s">
        <v>51</v>
      </c>
      <c r="G25" s="34"/>
      <c r="H25" s="907" t="s">
        <v>50</v>
      </c>
      <c r="I25" s="36"/>
    </row>
    <row r="26" spans="1:9" s="231" customFormat="1" ht="21.95" customHeight="1">
      <c r="A26" s="899"/>
      <c r="B26" s="903"/>
      <c r="C26" s="903"/>
      <c r="D26" s="904"/>
      <c r="E26" s="908"/>
      <c r="F26" s="859"/>
      <c r="G26" s="34"/>
      <c r="H26" s="908"/>
      <c r="I26" s="36"/>
    </row>
    <row r="27" spans="1:9" s="231" customFormat="1" ht="21.95" customHeight="1">
      <c r="A27" s="900"/>
      <c r="B27" s="905"/>
      <c r="C27" s="905"/>
      <c r="D27" s="906"/>
      <c r="E27" s="879"/>
      <c r="F27" s="860"/>
      <c r="G27" s="34"/>
      <c r="H27" s="879"/>
      <c r="I27" s="36"/>
    </row>
    <row r="28" spans="1:9" s="231" customFormat="1">
      <c r="A28" s="38">
        <v>1</v>
      </c>
      <c r="B28" s="39" t="s">
        <v>52</v>
      </c>
      <c r="C28" s="39"/>
      <c r="D28" s="40"/>
      <c r="E28" s="41">
        <v>155229</v>
      </c>
      <c r="F28" s="42">
        <f>F77</f>
        <v>155330</v>
      </c>
      <c r="G28" s="43"/>
      <c r="H28" s="44">
        <f>H77</f>
        <v>174140</v>
      </c>
      <c r="I28" s="43"/>
    </row>
    <row r="29" spans="1:9" s="231" customFormat="1">
      <c r="A29" s="46">
        <v>2</v>
      </c>
      <c r="B29" s="47" t="s">
        <v>53</v>
      </c>
      <c r="C29" s="47"/>
      <c r="D29" s="48"/>
      <c r="E29" s="49">
        <v>102398</v>
      </c>
      <c r="F29" s="50">
        <f>F105</f>
        <v>101008</v>
      </c>
      <c r="G29" s="43"/>
      <c r="H29" s="51">
        <f>H105</f>
        <v>102622</v>
      </c>
      <c r="I29" s="43"/>
    </row>
    <row r="30" spans="1:9" s="231" customFormat="1">
      <c r="A30" s="46">
        <v>3</v>
      </c>
      <c r="B30" s="47" t="s">
        <v>54</v>
      </c>
      <c r="C30" s="47"/>
      <c r="D30" s="48"/>
      <c r="E30" s="49">
        <v>12437</v>
      </c>
      <c r="F30" s="50">
        <f>F180</f>
        <v>10671</v>
      </c>
      <c r="G30" s="43"/>
      <c r="H30" s="51">
        <f>H180</f>
        <v>10936</v>
      </c>
      <c r="I30" s="43"/>
    </row>
    <row r="31" spans="1:9" s="231" customFormat="1">
      <c r="A31" s="46">
        <v>4</v>
      </c>
      <c r="B31" s="47" t="s">
        <v>55</v>
      </c>
      <c r="C31" s="47"/>
      <c r="D31" s="48"/>
      <c r="E31" s="49">
        <v>19958</v>
      </c>
      <c r="F31" s="50">
        <f>F214</f>
        <v>22613</v>
      </c>
      <c r="G31" s="43"/>
      <c r="H31" s="51">
        <f>H214</f>
        <v>25232</v>
      </c>
      <c r="I31" s="43"/>
    </row>
    <row r="32" spans="1:9" s="231" customFormat="1">
      <c r="A32" s="46">
        <v>5</v>
      </c>
      <c r="B32" s="47" t="s">
        <v>56</v>
      </c>
      <c r="C32" s="47"/>
      <c r="D32" s="48"/>
      <c r="E32" s="49">
        <v>10424</v>
      </c>
      <c r="F32" s="50">
        <f>F231</f>
        <v>10286</v>
      </c>
      <c r="G32" s="43"/>
      <c r="H32" s="51">
        <f>H231</f>
        <v>10380</v>
      </c>
      <c r="I32" s="43"/>
    </row>
    <row r="33" spans="1:9" s="231" customFormat="1">
      <c r="A33" s="46">
        <v>6</v>
      </c>
      <c r="B33" s="47" t="s">
        <v>57</v>
      </c>
      <c r="C33" s="47"/>
      <c r="D33" s="48"/>
      <c r="E33" s="49">
        <v>23682</v>
      </c>
      <c r="F33" s="50">
        <f>F257</f>
        <v>21353</v>
      </c>
      <c r="G33" s="43"/>
      <c r="H33" s="51">
        <f>H257</f>
        <v>23017</v>
      </c>
      <c r="I33" s="43"/>
    </row>
    <row r="34" spans="1:9" s="231" customFormat="1">
      <c r="A34" s="46">
        <v>7</v>
      </c>
      <c r="B34" s="47" t="s">
        <v>58</v>
      </c>
      <c r="C34" s="47"/>
      <c r="D34" s="48"/>
      <c r="E34" s="49">
        <v>4554</v>
      </c>
      <c r="F34" s="50">
        <f>F277</f>
        <v>4013</v>
      </c>
      <c r="G34" s="43"/>
      <c r="H34" s="50">
        <f>H277</f>
        <v>5877</v>
      </c>
      <c r="I34" s="43"/>
    </row>
    <row r="35" spans="1:9" s="231" customFormat="1">
      <c r="A35" s="46">
        <v>8</v>
      </c>
      <c r="B35" s="47" t="s">
        <v>59</v>
      </c>
      <c r="C35" s="47"/>
      <c r="D35" s="48"/>
      <c r="E35" s="49">
        <v>27071</v>
      </c>
      <c r="F35" s="50">
        <f>F302</f>
        <v>25975</v>
      </c>
      <c r="G35" s="43"/>
      <c r="H35" s="50">
        <f>H302</f>
        <v>28568</v>
      </c>
      <c r="I35" s="21"/>
    </row>
    <row r="36" spans="1:9" s="231" customFormat="1">
      <c r="A36" s="46">
        <v>9</v>
      </c>
      <c r="B36" s="47" t="s">
        <v>60</v>
      </c>
      <c r="C36" s="47"/>
      <c r="D36" s="48"/>
      <c r="E36" s="49">
        <v>0</v>
      </c>
      <c r="F36" s="52"/>
      <c r="G36" s="43"/>
      <c r="H36" s="52"/>
      <c r="I36" s="21"/>
    </row>
    <row r="37" spans="1:9" s="231" customFormat="1">
      <c r="A37" s="53">
        <v>10</v>
      </c>
      <c r="B37" s="54" t="s">
        <v>61</v>
      </c>
      <c r="C37" s="54"/>
      <c r="D37" s="55"/>
      <c r="E37" s="56">
        <v>21812</v>
      </c>
      <c r="F37" s="57">
        <f>F320</f>
        <v>19474</v>
      </c>
      <c r="G37" s="43"/>
      <c r="H37" s="57">
        <f>H320</f>
        <v>18088</v>
      </c>
      <c r="I37" s="21"/>
    </row>
    <row r="38" spans="1:9" s="231" customFormat="1">
      <c r="A38" s="33">
        <v>11</v>
      </c>
      <c r="B38" s="58" t="s">
        <v>62</v>
      </c>
      <c r="C38" s="58"/>
      <c r="D38" s="59"/>
      <c r="E38" s="60">
        <v>377565</v>
      </c>
      <c r="F38" s="61">
        <f>SUM(F28:F37)</f>
        <v>370723</v>
      </c>
      <c r="G38" s="43"/>
      <c r="H38" s="61">
        <f>SUM(H28:H37)</f>
        <v>398860</v>
      </c>
      <c r="I38" s="68"/>
    </row>
    <row r="39" spans="1:9" s="231" customFormat="1" ht="12.75" customHeight="1">
      <c r="A39" s="63"/>
      <c r="B39" s="64"/>
      <c r="C39" s="64"/>
      <c r="D39" s="65"/>
      <c r="E39" s="66"/>
      <c r="F39" s="67"/>
      <c r="G39" s="21"/>
      <c r="H39" s="67"/>
      <c r="I39" s="68"/>
    </row>
    <row r="40" spans="1:9" s="231" customFormat="1" ht="12.75" customHeight="1">
      <c r="A40" s="893" t="s">
        <v>63</v>
      </c>
      <c r="B40" s="894"/>
      <c r="C40" s="894"/>
      <c r="D40" s="895"/>
      <c r="E40" s="878" t="s">
        <v>376</v>
      </c>
      <c r="F40" s="856" t="s">
        <v>407</v>
      </c>
      <c r="G40" s="36"/>
      <c r="H40" s="878" t="s">
        <v>406</v>
      </c>
      <c r="I40" s="43"/>
    </row>
    <row r="41" spans="1:9" s="231" customFormat="1" ht="27.75" customHeight="1">
      <c r="A41" s="876"/>
      <c r="B41" s="877"/>
      <c r="C41" s="877"/>
      <c r="D41" s="896"/>
      <c r="E41" s="879"/>
      <c r="F41" s="860"/>
      <c r="G41" s="23"/>
      <c r="H41" s="879"/>
      <c r="I41" s="43"/>
    </row>
    <row r="42" spans="1:9" s="231" customFormat="1">
      <c r="A42" s="829" t="s">
        <v>64</v>
      </c>
      <c r="B42" s="69" t="s">
        <v>65</v>
      </c>
      <c r="C42" s="69"/>
      <c r="D42" s="70"/>
      <c r="E42" s="71"/>
      <c r="F42" s="72" t="str">
        <f>IF(OR(F43&lt;0,F44&lt;0,F47&lt;0,F48&lt;0,H43&lt;0,H44&lt;0,H47&lt;0,H48&lt;0),"Funding should be recorded as positive figures",".")</f>
        <v>.</v>
      </c>
      <c r="G42" s="45"/>
      <c r="H42" s="73"/>
      <c r="I42" s="43"/>
    </row>
    <row r="43" spans="1:9" s="231" customFormat="1">
      <c r="A43" s="46">
        <v>1</v>
      </c>
      <c r="B43" s="47" t="s">
        <v>66</v>
      </c>
      <c r="C43" s="47"/>
      <c r="D43" s="48"/>
      <c r="E43" s="74">
        <v>179283</v>
      </c>
      <c r="F43" s="241">
        <v>183015.00000000003</v>
      </c>
      <c r="G43" s="45"/>
      <c r="H43" s="75">
        <v>198913</v>
      </c>
      <c r="I43" s="43"/>
    </row>
    <row r="44" spans="1:9" s="231" customFormat="1">
      <c r="A44" s="46">
        <v>2</v>
      </c>
      <c r="B44" s="47" t="s">
        <v>67</v>
      </c>
      <c r="C44" s="47"/>
      <c r="D44" s="48"/>
      <c r="E44" s="49">
        <v>120105</v>
      </c>
      <c r="F44" s="241">
        <v>120105</v>
      </c>
      <c r="G44" s="45"/>
      <c r="H44" s="75">
        <v>104417</v>
      </c>
      <c r="I44" s="43"/>
    </row>
    <row r="45" spans="1:9" s="231" customFormat="1">
      <c r="A45" s="46">
        <v>3</v>
      </c>
      <c r="B45" s="47" t="s">
        <v>68</v>
      </c>
      <c r="C45" s="47"/>
      <c r="D45" s="48"/>
      <c r="E45" s="49">
        <v>0</v>
      </c>
      <c r="F45" s="52"/>
      <c r="G45" s="45"/>
      <c r="H45" s="75"/>
      <c r="I45" s="43"/>
    </row>
    <row r="46" spans="1:9" s="231" customFormat="1">
      <c r="A46" s="46">
        <v>4</v>
      </c>
      <c r="B46" s="47" t="s">
        <v>70</v>
      </c>
      <c r="C46" s="47"/>
      <c r="D46" s="48"/>
      <c r="E46" s="49">
        <v>0</v>
      </c>
      <c r="F46" s="52"/>
      <c r="G46" s="45"/>
      <c r="H46" s="75"/>
      <c r="I46" s="43"/>
    </row>
    <row r="47" spans="1:9" s="231" customFormat="1">
      <c r="A47" s="46">
        <v>5</v>
      </c>
      <c r="B47" s="47" t="s">
        <v>69</v>
      </c>
      <c r="C47" s="47"/>
      <c r="D47" s="48"/>
      <c r="E47" s="49">
        <v>4294</v>
      </c>
      <c r="F47" s="52">
        <v>10099</v>
      </c>
      <c r="G47" s="45"/>
      <c r="H47" s="76">
        <v>18398</v>
      </c>
      <c r="I47" s="43"/>
    </row>
    <row r="48" spans="1:9" s="231" customFormat="1">
      <c r="A48" s="46">
        <v>6</v>
      </c>
      <c r="B48" s="90" t="s">
        <v>253</v>
      </c>
      <c r="C48" s="47"/>
      <c r="D48" s="195"/>
      <c r="E48" s="49">
        <v>72751</v>
      </c>
      <c r="F48" s="52">
        <f>86316-12156</f>
        <v>74160</v>
      </c>
      <c r="G48" s="45"/>
      <c r="H48" s="52">
        <v>77132</v>
      </c>
      <c r="I48" s="43"/>
    </row>
    <row r="49" spans="1:9" s="231" customFormat="1">
      <c r="A49" s="77">
        <v>7</v>
      </c>
      <c r="B49" s="78" t="s">
        <v>71</v>
      </c>
      <c r="C49" s="58"/>
      <c r="D49" s="79"/>
      <c r="E49" s="80">
        <v>376433</v>
      </c>
      <c r="F49" s="81">
        <f>SUM(F43:F48)</f>
        <v>387379</v>
      </c>
      <c r="G49" s="82"/>
      <c r="H49" s="62">
        <f>SUM(H43:H48)</f>
        <v>398860</v>
      </c>
      <c r="I49" s="242"/>
    </row>
    <row r="50" spans="1:9" s="231" customFormat="1">
      <c r="A50" s="83"/>
      <c r="B50" s="244"/>
      <c r="C50" s="244"/>
      <c r="D50" s="244"/>
      <c r="E50" s="85"/>
      <c r="F50" s="244"/>
      <c r="G50" s="86"/>
      <c r="H50" s="86"/>
      <c r="I50" s="21"/>
    </row>
    <row r="51" spans="1:9" s="231" customFormat="1">
      <c r="A51" s="829" t="s">
        <v>72</v>
      </c>
      <c r="B51" s="196" t="s">
        <v>254</v>
      </c>
      <c r="C51" s="69"/>
      <c r="D51" s="70"/>
      <c r="E51" s="87"/>
      <c r="F51" s="88"/>
      <c r="G51" s="45"/>
      <c r="H51" s="89"/>
      <c r="I51" s="43"/>
    </row>
    <row r="52" spans="1:9" s="231" customFormat="1">
      <c r="A52" s="46">
        <v>8</v>
      </c>
      <c r="B52" s="90" t="s">
        <v>73</v>
      </c>
      <c r="C52" s="47"/>
      <c r="D52" s="48"/>
      <c r="E52" s="74">
        <v>377565</v>
      </c>
      <c r="F52" s="50">
        <f>F38</f>
        <v>370723</v>
      </c>
      <c r="G52" s="45"/>
      <c r="H52" s="91">
        <f>H38</f>
        <v>398860</v>
      </c>
      <c r="I52" s="43"/>
    </row>
    <row r="53" spans="1:9" s="231" customFormat="1">
      <c r="A53" s="46">
        <v>9</v>
      </c>
      <c r="B53" s="90" t="s">
        <v>74</v>
      </c>
      <c r="C53" s="47"/>
      <c r="D53" s="48"/>
      <c r="E53" s="49">
        <v>376433</v>
      </c>
      <c r="F53" s="92">
        <f>F49</f>
        <v>387379</v>
      </c>
      <c r="G53" s="45"/>
      <c r="H53" s="91">
        <f>H49</f>
        <v>398860</v>
      </c>
      <c r="I53" s="43"/>
    </row>
    <row r="54" spans="1:9" s="231" customFormat="1">
      <c r="A54" s="831">
        <v>10</v>
      </c>
      <c r="B54" s="93" t="s">
        <v>255</v>
      </c>
      <c r="C54" s="94"/>
      <c r="D54" s="55"/>
      <c r="E54" s="95">
        <v>-1132</v>
      </c>
      <c r="F54" s="96">
        <f>F53-F52</f>
        <v>16656</v>
      </c>
      <c r="G54" s="45"/>
      <c r="H54" s="97">
        <f>H53-H52</f>
        <v>0</v>
      </c>
      <c r="I54" s="43"/>
    </row>
    <row r="55" spans="1:9" s="231" customFormat="1">
      <c r="A55" s="83"/>
      <c r="B55" s="244"/>
      <c r="C55" s="244"/>
      <c r="D55" s="244"/>
      <c r="E55" s="85"/>
      <c r="F55" s="244"/>
      <c r="G55" s="86"/>
      <c r="H55" s="86"/>
      <c r="I55" s="21"/>
    </row>
    <row r="56" spans="1:9" s="231" customFormat="1">
      <c r="A56" s="829" t="s">
        <v>75</v>
      </c>
      <c r="B56" s="69" t="s">
        <v>256</v>
      </c>
      <c r="C56" s="69"/>
      <c r="D56" s="70"/>
      <c r="E56" s="87"/>
      <c r="F56" s="88"/>
      <c r="G56" s="45"/>
      <c r="H56" s="89"/>
      <c r="I56" s="43"/>
    </row>
    <row r="57" spans="1:9" s="231" customFormat="1">
      <c r="A57" s="46">
        <v>11</v>
      </c>
      <c r="B57" s="47" t="s">
        <v>76</v>
      </c>
      <c r="C57" s="47"/>
      <c r="D57" s="48"/>
      <c r="E57" s="74">
        <v>43859</v>
      </c>
      <c r="F57" s="52">
        <v>45208</v>
      </c>
      <c r="G57" s="45"/>
      <c r="H57" s="91">
        <f>F61</f>
        <v>61864</v>
      </c>
      <c r="I57" s="43"/>
    </row>
    <row r="58" spans="1:9" s="231" customFormat="1">
      <c r="A58" s="46">
        <v>12</v>
      </c>
      <c r="B58" s="90" t="s">
        <v>257</v>
      </c>
      <c r="C58" s="47"/>
      <c r="D58" s="48"/>
      <c r="E58" s="49">
        <v>-1132</v>
      </c>
      <c r="F58" s="92">
        <f>F54</f>
        <v>16656</v>
      </c>
      <c r="G58" s="45"/>
      <c r="H58" s="98">
        <f>H54</f>
        <v>0</v>
      </c>
      <c r="I58" s="43"/>
    </row>
    <row r="59" spans="1:9" s="231" customFormat="1">
      <c r="A59" s="46">
        <v>13</v>
      </c>
      <c r="B59" s="47" t="s">
        <v>77</v>
      </c>
      <c r="C59" s="47"/>
      <c r="D59" s="48"/>
      <c r="E59" s="49">
        <v>0</v>
      </c>
      <c r="F59" s="52"/>
      <c r="G59" s="45"/>
      <c r="H59" s="99"/>
      <c r="I59" s="43"/>
    </row>
    <row r="60" spans="1:9" s="231" customFormat="1">
      <c r="A60" s="46">
        <v>14</v>
      </c>
      <c r="B60" s="47" t="s">
        <v>78</v>
      </c>
      <c r="C60" s="47"/>
      <c r="D60" s="48"/>
      <c r="E60" s="49">
        <v>0</v>
      </c>
      <c r="F60" s="52"/>
      <c r="G60" s="45"/>
      <c r="H60" s="100"/>
      <c r="I60" s="43"/>
    </row>
    <row r="61" spans="1:9" s="231" customFormat="1">
      <c r="A61" s="53">
        <v>15</v>
      </c>
      <c r="B61" s="54" t="s">
        <v>79</v>
      </c>
      <c r="C61" s="54"/>
      <c r="D61" s="55"/>
      <c r="E61" s="56">
        <v>42727</v>
      </c>
      <c r="F61" s="96">
        <f>F57+F58+F59+F60</f>
        <v>61864</v>
      </c>
      <c r="G61" s="45"/>
      <c r="H61" s="101">
        <f>H57+H58+H59+H60</f>
        <v>61864</v>
      </c>
      <c r="I61" s="43"/>
    </row>
    <row r="62" spans="1:9" s="231" customFormat="1">
      <c r="A62" s="102"/>
      <c r="B62" s="207"/>
      <c r="C62" s="207"/>
      <c r="D62" s="207"/>
      <c r="E62" s="103"/>
      <c r="F62" s="21"/>
      <c r="G62" s="21"/>
      <c r="H62" s="21"/>
      <c r="I62" s="21"/>
    </row>
    <row r="63" spans="1:9" s="231" customFormat="1" ht="12.75" customHeight="1">
      <c r="A63" s="23"/>
      <c r="B63" s="207"/>
      <c r="C63" s="207"/>
      <c r="D63" s="207"/>
      <c r="E63" s="15"/>
      <c r="F63" s="207"/>
      <c r="G63" s="207"/>
      <c r="H63" s="21"/>
      <c r="I63" s="21"/>
    </row>
    <row r="64" spans="1:9" s="231" customFormat="1" ht="15">
      <c r="A64" s="104" t="s">
        <v>80</v>
      </c>
      <c r="B64" s="29"/>
      <c r="C64" s="29"/>
      <c r="D64" s="29"/>
      <c r="E64" s="15"/>
      <c r="F64" s="29"/>
      <c r="G64" s="29"/>
      <c r="H64" s="29"/>
      <c r="I64" s="29"/>
    </row>
    <row r="65" spans="1:9" s="231" customFormat="1">
      <c r="A65" s="32"/>
      <c r="B65" s="29"/>
      <c r="C65" s="29"/>
      <c r="D65" s="29"/>
      <c r="E65" s="105"/>
      <c r="F65" s="29"/>
      <c r="G65" s="29"/>
      <c r="H65" s="29"/>
      <c r="I65" s="131" t="s">
        <v>27</v>
      </c>
    </row>
    <row r="66" spans="1:9" s="231" customFormat="1">
      <c r="A66" s="106" t="s">
        <v>14</v>
      </c>
      <c r="B66" s="107"/>
      <c r="C66" s="107"/>
      <c r="D66" s="107"/>
      <c r="E66" s="856" t="s">
        <v>377</v>
      </c>
      <c r="F66" s="962" t="s">
        <v>402</v>
      </c>
      <c r="G66" s="867" t="s">
        <v>81</v>
      </c>
      <c r="H66" s="962" t="s">
        <v>403</v>
      </c>
      <c r="I66" s="867" t="s">
        <v>81</v>
      </c>
    </row>
    <row r="67" spans="1:9" s="231" customFormat="1" ht="21" customHeight="1">
      <c r="A67" s="108"/>
      <c r="B67" s="47"/>
      <c r="C67" s="47"/>
      <c r="D67" s="47"/>
      <c r="E67" s="859"/>
      <c r="F67" s="963"/>
      <c r="G67" s="868"/>
      <c r="H67" s="963"/>
      <c r="I67" s="868"/>
    </row>
    <row r="68" spans="1:9" s="231" customFormat="1">
      <c r="A68" s="109" t="s">
        <v>82</v>
      </c>
      <c r="B68" s="47"/>
      <c r="C68" s="47"/>
      <c r="D68" s="47"/>
      <c r="E68" s="859"/>
      <c r="F68" s="963"/>
      <c r="G68" s="868"/>
      <c r="H68" s="963"/>
      <c r="I68" s="868"/>
    </row>
    <row r="69" spans="1:9" s="231" customFormat="1">
      <c r="A69" s="109" t="s">
        <v>83</v>
      </c>
      <c r="B69" s="47"/>
      <c r="C69" s="47"/>
      <c r="D69" s="47"/>
      <c r="E69" s="859"/>
      <c r="F69" s="963"/>
      <c r="G69" s="868"/>
      <c r="H69" s="963"/>
      <c r="I69" s="868"/>
    </row>
    <row r="70" spans="1:9" s="231" customFormat="1">
      <c r="A70" s="110" t="s">
        <v>84</v>
      </c>
      <c r="B70" s="47"/>
      <c r="C70" s="47"/>
      <c r="D70" s="47"/>
      <c r="E70" s="860"/>
      <c r="F70" s="964"/>
      <c r="G70" s="869"/>
      <c r="H70" s="964"/>
      <c r="I70" s="869"/>
    </row>
    <row r="71" spans="1:9" s="231" customFormat="1">
      <c r="A71" s="111">
        <v>1</v>
      </c>
      <c r="B71" s="47" t="s">
        <v>85</v>
      </c>
      <c r="C71" s="47"/>
      <c r="D71" s="47"/>
      <c r="E71" s="41">
        <v>11493</v>
      </c>
      <c r="F71" s="247">
        <v>15264</v>
      </c>
      <c r="G71" s="112">
        <v>316</v>
      </c>
      <c r="H71" s="248">
        <v>25907</v>
      </c>
      <c r="I71" s="112">
        <v>316</v>
      </c>
    </row>
    <row r="72" spans="1:9" s="231" customFormat="1">
      <c r="A72" s="111">
        <v>2</v>
      </c>
      <c r="B72" s="47" t="s">
        <v>86</v>
      </c>
      <c r="C72" s="47"/>
      <c r="D72" s="47"/>
      <c r="E72" s="49">
        <v>55688</v>
      </c>
      <c r="F72" s="247">
        <f>56763-4720</f>
        <v>52043</v>
      </c>
      <c r="G72" s="113">
        <v>7263</v>
      </c>
      <c r="H72" s="123">
        <f>60941-4734</f>
        <v>56207</v>
      </c>
      <c r="I72" s="113">
        <v>7223</v>
      </c>
    </row>
    <row r="73" spans="1:9" s="231" customFormat="1">
      <c r="A73" s="111">
        <v>3</v>
      </c>
      <c r="B73" s="47" t="s">
        <v>87</v>
      </c>
      <c r="C73" s="47"/>
      <c r="D73" s="47"/>
      <c r="E73" s="114">
        <v>70910</v>
      </c>
      <c r="F73" s="247">
        <f>72653-7202</f>
        <v>65451</v>
      </c>
      <c r="G73" s="113">
        <v>44302</v>
      </c>
      <c r="H73" s="123">
        <f>79005-7222</f>
        <v>71783</v>
      </c>
      <c r="I73" s="113">
        <v>46538</v>
      </c>
    </row>
    <row r="74" spans="1:9" s="231" customFormat="1">
      <c r="A74" s="111">
        <v>4</v>
      </c>
      <c r="B74" s="47" t="s">
        <v>88</v>
      </c>
      <c r="C74" s="47"/>
      <c r="D74" s="47"/>
      <c r="E74" s="114">
        <v>13428</v>
      </c>
      <c r="F74" s="247">
        <v>18023</v>
      </c>
      <c r="G74" s="113">
        <v>5530</v>
      </c>
      <c r="H74" s="123">
        <v>17470</v>
      </c>
      <c r="I74" s="113">
        <v>5826</v>
      </c>
    </row>
    <row r="75" spans="1:9" s="231" customFormat="1">
      <c r="A75" s="111">
        <v>5</v>
      </c>
      <c r="B75" s="47" t="s">
        <v>89</v>
      </c>
      <c r="C75" s="47" t="s">
        <v>90</v>
      </c>
      <c r="D75" s="47"/>
      <c r="E75" s="114">
        <v>2261</v>
      </c>
      <c r="F75" s="247">
        <v>1837</v>
      </c>
      <c r="G75" s="113">
        <v>0</v>
      </c>
      <c r="H75" s="123">
        <v>2773</v>
      </c>
      <c r="I75" s="113"/>
    </row>
    <row r="76" spans="1:9" s="231" customFormat="1">
      <c r="A76" s="830"/>
      <c r="B76" s="832"/>
      <c r="C76" s="47" t="s">
        <v>91</v>
      </c>
      <c r="D76" s="47"/>
      <c r="E76" s="114">
        <v>1449</v>
      </c>
      <c r="F76" s="247">
        <v>2712</v>
      </c>
      <c r="G76" s="115">
        <v>0</v>
      </c>
      <c r="H76" s="249">
        <v>0</v>
      </c>
      <c r="I76" s="115"/>
    </row>
    <row r="77" spans="1:9" s="231" customFormat="1">
      <c r="A77" s="111">
        <v>6</v>
      </c>
      <c r="B77" s="116" t="s">
        <v>92</v>
      </c>
      <c r="C77" s="116"/>
      <c r="D77" s="47"/>
      <c r="E77" s="80">
        <v>155229</v>
      </c>
      <c r="F77" s="250">
        <f>SUM(F71:F76)</f>
        <v>155330</v>
      </c>
      <c r="G77" s="251">
        <f>SUM(G71:G76)</f>
        <v>57411</v>
      </c>
      <c r="H77" s="252">
        <f>SUM(H71:H76)</f>
        <v>174140</v>
      </c>
      <c r="I77" s="251">
        <f>SUM(I71:I76)</f>
        <v>59903</v>
      </c>
    </row>
    <row r="78" spans="1:9" s="231" customFormat="1">
      <c r="A78" s="830"/>
      <c r="B78" s="47"/>
      <c r="C78" s="47"/>
      <c r="D78" s="47"/>
      <c r="E78" s="117"/>
      <c r="F78" s="118"/>
      <c r="G78" s="118"/>
      <c r="H78" s="118"/>
      <c r="I78" s="118"/>
    </row>
    <row r="79" spans="1:9" s="231" customFormat="1">
      <c r="A79" s="119" t="s">
        <v>93</v>
      </c>
      <c r="B79" s="116"/>
      <c r="C79" s="116"/>
      <c r="D79" s="116"/>
      <c r="E79" s="117"/>
      <c r="F79" s="118"/>
      <c r="G79" s="118"/>
      <c r="H79" s="118"/>
      <c r="I79" s="118"/>
    </row>
    <row r="80" spans="1:9" s="231" customFormat="1">
      <c r="A80" s="120">
        <v>7</v>
      </c>
      <c r="B80" s="47" t="s">
        <v>94</v>
      </c>
      <c r="C80" s="47"/>
      <c r="D80" s="47"/>
      <c r="E80" s="41">
        <v>805</v>
      </c>
      <c r="F80" s="253">
        <v>833</v>
      </c>
      <c r="G80" s="112">
        <v>0</v>
      </c>
      <c r="H80" s="248">
        <v>887</v>
      </c>
      <c r="I80" s="112">
        <v>0</v>
      </c>
    </row>
    <row r="81" spans="1:9" s="231" customFormat="1">
      <c r="A81" s="120">
        <v>8</v>
      </c>
      <c r="B81" s="47" t="s">
        <v>95</v>
      </c>
      <c r="C81" s="47"/>
      <c r="D81" s="47"/>
      <c r="E81" s="49">
        <v>38014</v>
      </c>
      <c r="F81" s="247">
        <v>37251</v>
      </c>
      <c r="G81" s="113">
        <v>941</v>
      </c>
      <c r="H81" s="123">
        <v>37926</v>
      </c>
      <c r="I81" s="113">
        <v>781</v>
      </c>
    </row>
    <row r="82" spans="1:9" s="231" customFormat="1">
      <c r="A82" s="120">
        <v>9</v>
      </c>
      <c r="B82" s="47" t="s">
        <v>96</v>
      </c>
      <c r="C82" s="47"/>
      <c r="D82" s="47"/>
      <c r="E82" s="49">
        <v>40531</v>
      </c>
      <c r="F82" s="247">
        <v>39029</v>
      </c>
      <c r="G82" s="113">
        <v>39025</v>
      </c>
      <c r="H82" s="123">
        <v>38689</v>
      </c>
      <c r="I82" s="113">
        <v>35436</v>
      </c>
    </row>
    <row r="83" spans="1:9" s="231" customFormat="1">
      <c r="A83" s="120">
        <v>10</v>
      </c>
      <c r="B83" s="90" t="s">
        <v>97</v>
      </c>
      <c r="C83" s="47"/>
      <c r="D83" s="47"/>
      <c r="E83" s="49">
        <v>11860</v>
      </c>
      <c r="F83" s="247">
        <v>16529</v>
      </c>
      <c r="G83" s="113">
        <v>4476</v>
      </c>
      <c r="H83" s="123">
        <v>14581</v>
      </c>
      <c r="I83" s="113">
        <v>4556</v>
      </c>
    </row>
    <row r="84" spans="1:9" s="231" customFormat="1">
      <c r="A84" s="120">
        <v>11</v>
      </c>
      <c r="B84" s="90" t="s">
        <v>98</v>
      </c>
      <c r="C84" s="47"/>
      <c r="D84" s="47"/>
      <c r="E84" s="49">
        <v>4048</v>
      </c>
      <c r="F84" s="247">
        <v>4163</v>
      </c>
      <c r="G84" s="113">
        <v>88</v>
      </c>
      <c r="H84" s="123">
        <v>4048</v>
      </c>
      <c r="I84" s="113">
        <v>83</v>
      </c>
    </row>
    <row r="85" spans="1:9" s="231" customFormat="1">
      <c r="A85" s="120">
        <v>12</v>
      </c>
      <c r="B85" s="47" t="s">
        <v>99</v>
      </c>
      <c r="C85" s="47"/>
      <c r="D85" s="47"/>
      <c r="E85" s="49">
        <v>0</v>
      </c>
      <c r="F85" s="247"/>
      <c r="G85" s="113"/>
      <c r="H85" s="123"/>
      <c r="I85" s="113"/>
    </row>
    <row r="86" spans="1:9" s="231" customFormat="1">
      <c r="A86" s="120">
        <v>13</v>
      </c>
      <c r="B86" s="47" t="s">
        <v>100</v>
      </c>
      <c r="C86" s="47"/>
      <c r="D86" s="47"/>
      <c r="E86" s="49">
        <v>17371</v>
      </c>
      <c r="F86" s="247">
        <v>16002</v>
      </c>
      <c r="G86" s="113">
        <v>5058</v>
      </c>
      <c r="H86" s="123">
        <v>14587</v>
      </c>
      <c r="I86" s="113">
        <v>4616</v>
      </c>
    </row>
    <row r="87" spans="1:9" s="231" customFormat="1">
      <c r="A87" s="120">
        <v>14</v>
      </c>
      <c r="B87" s="47" t="s">
        <v>101</v>
      </c>
      <c r="C87" s="47"/>
      <c r="D87" s="47"/>
      <c r="E87" s="49">
        <v>0</v>
      </c>
      <c r="F87" s="247">
        <v>0</v>
      </c>
      <c r="G87" s="113">
        <v>0</v>
      </c>
      <c r="H87" s="123">
        <v>0</v>
      </c>
      <c r="I87" s="113">
        <v>0</v>
      </c>
    </row>
    <row r="88" spans="1:9" s="231" customFormat="1">
      <c r="A88" s="124">
        <v>15</v>
      </c>
      <c r="B88" s="125" t="s">
        <v>102</v>
      </c>
      <c r="C88" s="54"/>
      <c r="D88" s="54"/>
      <c r="E88" s="56">
        <v>0</v>
      </c>
      <c r="F88" s="254">
        <v>0</v>
      </c>
      <c r="G88" s="127">
        <v>0</v>
      </c>
      <c r="H88" s="255">
        <v>0</v>
      </c>
      <c r="I88" s="127">
        <v>0</v>
      </c>
    </row>
    <row r="89" spans="1:9" s="231" customFormat="1">
      <c r="A89" s="128"/>
      <c r="B89" s="129"/>
      <c r="C89" s="129"/>
      <c r="D89" s="129"/>
      <c r="E89" s="15"/>
      <c r="F89" s="130"/>
      <c r="G89" s="29"/>
      <c r="H89" s="207"/>
      <c r="I89" s="29"/>
    </row>
    <row r="90" spans="1:9" s="231" customFormat="1">
      <c r="A90" s="128"/>
      <c r="B90" s="129"/>
      <c r="C90" s="129"/>
      <c r="D90" s="129"/>
      <c r="E90" s="105"/>
      <c r="F90" s="130"/>
      <c r="G90" s="29"/>
      <c r="H90" s="131" t="s">
        <v>27</v>
      </c>
      <c r="I90" s="29"/>
    </row>
    <row r="91" spans="1:9" s="231" customFormat="1">
      <c r="A91" s="106" t="s">
        <v>17</v>
      </c>
      <c r="B91" s="107"/>
      <c r="C91" s="107"/>
      <c r="D91" s="107"/>
      <c r="E91" s="856" t="s">
        <v>421</v>
      </c>
      <c r="F91" s="856" t="s">
        <v>402</v>
      </c>
      <c r="G91" s="257"/>
      <c r="H91" s="856" t="s">
        <v>403</v>
      </c>
      <c r="I91" s="29"/>
    </row>
    <row r="92" spans="1:9" s="231" customFormat="1" ht="12.75" customHeight="1">
      <c r="A92" s="109"/>
      <c r="B92" s="132"/>
      <c r="C92" s="132"/>
      <c r="D92" s="132"/>
      <c r="E92" s="859"/>
      <c r="F92" s="859"/>
      <c r="G92" s="29"/>
      <c r="H92" s="859"/>
      <c r="I92" s="29"/>
    </row>
    <row r="93" spans="1:9" s="231" customFormat="1">
      <c r="A93" s="109" t="s">
        <v>103</v>
      </c>
      <c r="B93" s="132"/>
      <c r="C93" s="132"/>
      <c r="D93" s="132"/>
      <c r="E93" s="859"/>
      <c r="F93" s="859"/>
      <c r="G93" s="29"/>
      <c r="H93" s="859"/>
      <c r="I93" s="29"/>
    </row>
    <row r="94" spans="1:9" s="231" customFormat="1">
      <c r="A94" s="109" t="s">
        <v>83</v>
      </c>
      <c r="B94" s="132"/>
      <c r="C94" s="132"/>
      <c r="D94" s="132"/>
      <c r="E94" s="859"/>
      <c r="F94" s="859"/>
      <c r="G94" s="130"/>
      <c r="H94" s="859"/>
      <c r="I94" s="29"/>
    </row>
    <row r="95" spans="1:9" s="231" customFormat="1">
      <c r="A95" s="110" t="s">
        <v>84</v>
      </c>
      <c r="B95" s="132"/>
      <c r="C95" s="132"/>
      <c r="D95" s="132"/>
      <c r="E95" s="860"/>
      <c r="F95" s="860"/>
      <c r="G95" s="130"/>
      <c r="H95" s="860"/>
      <c r="I95" s="130"/>
    </row>
    <row r="96" spans="1:9" s="231" customFormat="1">
      <c r="A96" s="120">
        <v>1</v>
      </c>
      <c r="B96" s="47" t="s">
        <v>104</v>
      </c>
      <c r="C96" s="47"/>
      <c r="D96" s="47"/>
      <c r="E96" s="41">
        <v>0</v>
      </c>
      <c r="F96" s="52">
        <v>56</v>
      </c>
      <c r="G96" s="118"/>
      <c r="H96" s="133">
        <v>48</v>
      </c>
      <c r="I96" s="139"/>
    </row>
    <row r="97" spans="1:9" s="231" customFormat="1">
      <c r="A97" s="120">
        <v>2</v>
      </c>
      <c r="B97" s="47" t="s">
        <v>105</v>
      </c>
      <c r="C97" s="47"/>
      <c r="D97" s="47"/>
      <c r="E97" s="49">
        <v>0</v>
      </c>
      <c r="F97" s="52">
        <v>56</v>
      </c>
      <c r="G97" s="118"/>
      <c r="H97" s="122">
        <v>0</v>
      </c>
      <c r="I97" s="139"/>
    </row>
    <row r="98" spans="1:9" s="231" customFormat="1">
      <c r="A98" s="120">
        <v>3</v>
      </c>
      <c r="B98" s="47" t="s">
        <v>106</v>
      </c>
      <c r="C98" s="47"/>
      <c r="D98" s="47"/>
      <c r="E98" s="114">
        <v>43128</v>
      </c>
      <c r="F98" s="50">
        <f>F115</f>
        <v>43383</v>
      </c>
      <c r="G98" s="118"/>
      <c r="H98" s="50">
        <f>H115</f>
        <v>34825</v>
      </c>
      <c r="I98" s="139"/>
    </row>
    <row r="99" spans="1:9" s="231" customFormat="1">
      <c r="A99" s="120">
        <v>4</v>
      </c>
      <c r="B99" s="47" t="s">
        <v>107</v>
      </c>
      <c r="C99" s="47"/>
      <c r="D99" s="47"/>
      <c r="E99" s="114">
        <v>38014</v>
      </c>
      <c r="F99" s="50">
        <f>F125</f>
        <v>37070</v>
      </c>
      <c r="G99" s="118"/>
      <c r="H99" s="50">
        <f>H125</f>
        <v>43651</v>
      </c>
      <c r="I99" s="139"/>
    </row>
    <row r="100" spans="1:9" s="231" customFormat="1">
      <c r="A100" s="120">
        <v>5</v>
      </c>
      <c r="B100" s="47" t="s">
        <v>108</v>
      </c>
      <c r="C100" s="47"/>
      <c r="D100" s="47"/>
      <c r="E100" s="114">
        <v>5888</v>
      </c>
      <c r="F100" s="50">
        <f>F135</f>
        <v>6339</v>
      </c>
      <c r="G100" s="118"/>
      <c r="H100" s="50">
        <f>H135</f>
        <v>6414</v>
      </c>
      <c r="I100" s="139"/>
    </row>
    <row r="101" spans="1:9" s="231" customFormat="1">
      <c r="A101" s="120">
        <v>6</v>
      </c>
      <c r="B101" s="47" t="s">
        <v>109</v>
      </c>
      <c r="C101" s="47"/>
      <c r="D101" s="47"/>
      <c r="E101" s="114">
        <v>12511</v>
      </c>
      <c r="F101" s="50">
        <f>F143</f>
        <v>11184</v>
      </c>
      <c r="G101" s="118"/>
      <c r="H101" s="50">
        <f>H143</f>
        <v>12237</v>
      </c>
      <c r="I101" s="139"/>
    </row>
    <row r="102" spans="1:9" s="231" customFormat="1">
      <c r="A102" s="120">
        <v>7</v>
      </c>
      <c r="B102" s="47" t="s">
        <v>110</v>
      </c>
      <c r="C102" s="47"/>
      <c r="D102" s="47"/>
      <c r="E102" s="114">
        <v>1832</v>
      </c>
      <c r="F102" s="50">
        <f>F150</f>
        <v>1880</v>
      </c>
      <c r="G102" s="118"/>
      <c r="H102" s="50">
        <f>H150</f>
        <v>1936</v>
      </c>
      <c r="I102" s="139"/>
    </row>
    <row r="103" spans="1:9" s="231" customFormat="1">
      <c r="A103" s="120">
        <v>8</v>
      </c>
      <c r="B103" s="47" t="s">
        <v>111</v>
      </c>
      <c r="C103" s="47"/>
      <c r="D103" s="47"/>
      <c r="E103" s="114">
        <v>650</v>
      </c>
      <c r="F103" s="52">
        <v>712</v>
      </c>
      <c r="G103" s="118"/>
      <c r="H103" s="122">
        <v>797</v>
      </c>
      <c r="I103" s="139"/>
    </row>
    <row r="104" spans="1:9" s="231" customFormat="1">
      <c r="A104" s="120">
        <v>9</v>
      </c>
      <c r="B104" s="47" t="s">
        <v>112</v>
      </c>
      <c r="C104" s="47"/>
      <c r="D104" s="47"/>
      <c r="E104" s="114">
        <v>375</v>
      </c>
      <c r="F104" s="52">
        <v>328</v>
      </c>
      <c r="G104" s="118"/>
      <c r="H104" s="122">
        <v>2714</v>
      </c>
      <c r="I104" s="139"/>
    </row>
    <row r="105" spans="1:9" s="231" customFormat="1">
      <c r="A105" s="111" t="s">
        <v>113</v>
      </c>
      <c r="B105" s="116" t="s">
        <v>114</v>
      </c>
      <c r="C105" s="116"/>
      <c r="D105" s="47"/>
      <c r="E105" s="134">
        <v>102398</v>
      </c>
      <c r="F105" s="61">
        <f>SUM(F96:F104)</f>
        <v>101008</v>
      </c>
      <c r="G105" s="118"/>
      <c r="H105" s="61">
        <f>SUM(H96:H104)</f>
        <v>102622</v>
      </c>
      <c r="I105" s="139"/>
    </row>
    <row r="106" spans="1:9" s="231" customFormat="1">
      <c r="A106" s="120">
        <v>11</v>
      </c>
      <c r="B106" s="90" t="s">
        <v>115</v>
      </c>
      <c r="C106" s="47"/>
      <c r="D106" s="47"/>
      <c r="E106" s="135">
        <v>0</v>
      </c>
      <c r="F106" s="136"/>
      <c r="G106" s="118"/>
      <c r="H106" s="137"/>
      <c r="I106" s="139"/>
    </row>
    <row r="107" spans="1:9" s="231" customFormat="1">
      <c r="A107" s="111"/>
      <c r="B107" s="47"/>
      <c r="C107" s="47"/>
      <c r="D107" s="138"/>
      <c r="E107" s="117"/>
      <c r="F107" s="139"/>
      <c r="G107" s="139"/>
      <c r="H107" s="139"/>
      <c r="I107" s="139"/>
    </row>
    <row r="108" spans="1:9" s="231" customFormat="1">
      <c r="A108" s="119" t="s">
        <v>116</v>
      </c>
      <c r="B108" s="47"/>
      <c r="C108" s="47"/>
      <c r="D108" s="47"/>
      <c r="E108" s="117"/>
      <c r="F108" s="139"/>
      <c r="G108" s="139"/>
      <c r="H108" s="139"/>
      <c r="I108" s="139"/>
    </row>
    <row r="109" spans="1:9" s="231" customFormat="1">
      <c r="A109" s="119" t="s">
        <v>106</v>
      </c>
      <c r="B109" s="47"/>
      <c r="C109" s="47"/>
      <c r="D109" s="47"/>
      <c r="E109" s="140"/>
      <c r="F109" s="141"/>
      <c r="G109" s="139"/>
      <c r="H109" s="141"/>
      <c r="I109" s="139"/>
    </row>
    <row r="110" spans="1:9" s="231" customFormat="1">
      <c r="A110" s="120">
        <v>12</v>
      </c>
      <c r="B110" s="47" t="s">
        <v>117</v>
      </c>
      <c r="C110" s="47"/>
      <c r="D110" s="47"/>
      <c r="E110" s="49">
        <v>6845</v>
      </c>
      <c r="F110" s="52">
        <v>5818</v>
      </c>
      <c r="G110" s="118"/>
      <c r="H110" s="122">
        <v>5773</v>
      </c>
      <c r="I110" s="139"/>
    </row>
    <row r="111" spans="1:9" s="231" customFormat="1">
      <c r="A111" s="120">
        <v>13</v>
      </c>
      <c r="B111" s="47" t="s">
        <v>118</v>
      </c>
      <c r="C111" s="47"/>
      <c r="D111" s="47"/>
      <c r="E111" s="49">
        <v>13084</v>
      </c>
      <c r="F111" s="52">
        <v>11347</v>
      </c>
      <c r="G111" s="118"/>
      <c r="H111" s="122">
        <v>12154</v>
      </c>
      <c r="I111" s="139"/>
    </row>
    <row r="112" spans="1:9" s="231" customFormat="1">
      <c r="A112" s="120">
        <v>14</v>
      </c>
      <c r="B112" s="47" t="s">
        <v>119</v>
      </c>
      <c r="C112" s="47"/>
      <c r="D112" s="47"/>
      <c r="E112" s="49">
        <v>8215</v>
      </c>
      <c r="F112" s="52">
        <v>9157</v>
      </c>
      <c r="G112" s="118"/>
      <c r="H112" s="122">
        <v>8331</v>
      </c>
      <c r="I112" s="139"/>
    </row>
    <row r="113" spans="1:9" s="231" customFormat="1">
      <c r="A113" s="120">
        <v>15</v>
      </c>
      <c r="B113" s="47" t="s">
        <v>120</v>
      </c>
      <c r="C113" s="47"/>
      <c r="D113" s="47"/>
      <c r="E113" s="49">
        <v>5797</v>
      </c>
      <c r="F113" s="52">
        <v>5181</v>
      </c>
      <c r="G113" s="118"/>
      <c r="H113" s="122">
        <v>5281</v>
      </c>
      <c r="I113" s="139"/>
    </row>
    <row r="114" spans="1:9" s="231" customFormat="1">
      <c r="A114" s="120">
        <v>16</v>
      </c>
      <c r="B114" s="47" t="s">
        <v>121</v>
      </c>
      <c r="C114" s="47"/>
      <c r="D114" s="47"/>
      <c r="E114" s="49">
        <v>9187</v>
      </c>
      <c r="F114" s="52">
        <v>11880</v>
      </c>
      <c r="G114" s="118"/>
      <c r="H114" s="100">
        <v>3286</v>
      </c>
      <c r="I114" s="139"/>
    </row>
    <row r="115" spans="1:9" s="231" customFormat="1">
      <c r="A115" s="120">
        <v>17</v>
      </c>
      <c r="B115" s="116" t="s">
        <v>122</v>
      </c>
      <c r="C115" s="116"/>
      <c r="D115" s="116"/>
      <c r="E115" s="80">
        <v>43128</v>
      </c>
      <c r="F115" s="142">
        <f>SUM(F110:F114)</f>
        <v>43383</v>
      </c>
      <c r="G115" s="118"/>
      <c r="H115" s="142">
        <f>SUM(H110:H114)</f>
        <v>34825</v>
      </c>
      <c r="I115" s="139"/>
    </row>
    <row r="116" spans="1:9" s="231" customFormat="1">
      <c r="A116" s="111"/>
      <c r="B116" s="116"/>
      <c r="C116" s="116"/>
      <c r="D116" s="116"/>
      <c r="E116" s="143"/>
      <c r="F116" s="118"/>
      <c r="G116" s="118"/>
      <c r="H116" s="118"/>
      <c r="I116" s="139"/>
    </row>
    <row r="117" spans="1:9" s="231" customFormat="1">
      <c r="A117" s="144" t="s">
        <v>107</v>
      </c>
      <c r="B117" s="116"/>
      <c r="C117" s="116"/>
      <c r="D117" s="116"/>
      <c r="E117" s="145"/>
      <c r="F117" s="146"/>
      <c r="G117" s="118"/>
      <c r="H117" s="146"/>
      <c r="I117" s="139"/>
    </row>
    <row r="118" spans="1:9" s="231" customFormat="1">
      <c r="A118" s="120">
        <v>18</v>
      </c>
      <c r="B118" s="47" t="s">
        <v>123</v>
      </c>
      <c r="C118" s="47"/>
      <c r="D118" s="47"/>
      <c r="E118" s="49">
        <v>3367</v>
      </c>
      <c r="F118" s="52">
        <v>3626</v>
      </c>
      <c r="G118" s="118"/>
      <c r="H118" s="122">
        <v>4441</v>
      </c>
      <c r="I118" s="139"/>
    </row>
    <row r="119" spans="1:9" s="231" customFormat="1">
      <c r="A119" s="120">
        <v>19</v>
      </c>
      <c r="B119" s="47" t="s">
        <v>124</v>
      </c>
      <c r="C119" s="47"/>
      <c r="D119" s="47"/>
      <c r="E119" s="49">
        <v>12772</v>
      </c>
      <c r="F119" s="52">
        <v>10030</v>
      </c>
      <c r="G119" s="118"/>
      <c r="H119" s="122">
        <v>11884</v>
      </c>
      <c r="I119" s="139"/>
    </row>
    <row r="120" spans="1:9" s="231" customFormat="1">
      <c r="A120" s="120">
        <v>20</v>
      </c>
      <c r="B120" s="47" t="s">
        <v>119</v>
      </c>
      <c r="C120" s="47"/>
      <c r="D120" s="47"/>
      <c r="E120" s="49">
        <v>19325</v>
      </c>
      <c r="F120" s="52">
        <v>18456</v>
      </c>
      <c r="G120" s="118"/>
      <c r="H120" s="122">
        <v>21483</v>
      </c>
      <c r="I120" s="139"/>
    </row>
    <row r="121" spans="1:9" s="231" customFormat="1">
      <c r="A121" s="120">
        <v>21</v>
      </c>
      <c r="B121" s="47" t="s">
        <v>120</v>
      </c>
      <c r="C121" s="47"/>
      <c r="D121" s="47"/>
      <c r="E121" s="49">
        <v>-311</v>
      </c>
      <c r="F121" s="52">
        <v>1483</v>
      </c>
      <c r="G121" s="118"/>
      <c r="H121" s="122">
        <v>1932</v>
      </c>
      <c r="I121" s="139"/>
    </row>
    <row r="122" spans="1:9" s="231" customFormat="1">
      <c r="A122" s="120">
        <v>22</v>
      </c>
      <c r="B122" s="47" t="s">
        <v>125</v>
      </c>
      <c r="C122" s="47"/>
      <c r="D122" s="47"/>
      <c r="E122" s="49">
        <v>726</v>
      </c>
      <c r="F122" s="52">
        <v>819</v>
      </c>
      <c r="G122" s="118"/>
      <c r="H122" s="122">
        <v>987</v>
      </c>
      <c r="I122" s="139"/>
    </row>
    <row r="123" spans="1:9" s="231" customFormat="1">
      <c r="A123" s="120">
        <v>23</v>
      </c>
      <c r="B123" s="90" t="s">
        <v>126</v>
      </c>
      <c r="C123" s="47"/>
      <c r="D123" s="47"/>
      <c r="E123" s="49">
        <v>1877</v>
      </c>
      <c r="F123" s="52">
        <v>1499</v>
      </c>
      <c r="G123" s="118"/>
      <c r="H123" s="99">
        <v>1596</v>
      </c>
      <c r="I123" s="139"/>
    </row>
    <row r="124" spans="1:9" s="231" customFormat="1">
      <c r="A124" s="120">
        <v>24</v>
      </c>
      <c r="B124" s="47" t="s">
        <v>121</v>
      </c>
      <c r="C124" s="47"/>
      <c r="D124" s="47"/>
      <c r="E124" s="49">
        <v>258</v>
      </c>
      <c r="F124" s="52">
        <v>1157</v>
      </c>
      <c r="G124" s="118"/>
      <c r="H124" s="100">
        <v>1328</v>
      </c>
      <c r="I124" s="139"/>
    </row>
    <row r="125" spans="1:9" s="231" customFormat="1">
      <c r="A125" s="120">
        <v>25</v>
      </c>
      <c r="B125" s="147" t="s">
        <v>127</v>
      </c>
      <c r="C125" s="147"/>
      <c r="D125" s="147"/>
      <c r="E125" s="80">
        <v>38014</v>
      </c>
      <c r="F125" s="142">
        <f>SUM(F118:F124)</f>
        <v>37070</v>
      </c>
      <c r="G125" s="118"/>
      <c r="H125" s="142">
        <f>SUM(H118:H124)</f>
        <v>43651</v>
      </c>
      <c r="I125" s="139"/>
    </row>
    <row r="126" spans="1:9" s="231" customFormat="1">
      <c r="A126" s="111"/>
      <c r="B126" s="47"/>
      <c r="C126" s="47"/>
      <c r="D126" s="47"/>
      <c r="E126" s="117"/>
      <c r="F126" s="118"/>
      <c r="G126" s="118"/>
      <c r="H126" s="118"/>
      <c r="I126" s="139"/>
    </row>
    <row r="127" spans="1:9" s="231" customFormat="1">
      <c r="A127" s="119" t="s">
        <v>108</v>
      </c>
      <c r="B127" s="147"/>
      <c r="C127" s="147"/>
      <c r="D127" s="147"/>
      <c r="E127" s="140"/>
      <c r="F127" s="146"/>
      <c r="G127" s="118"/>
      <c r="H127" s="146"/>
      <c r="I127" s="139"/>
    </row>
    <row r="128" spans="1:9" s="231" customFormat="1">
      <c r="A128" s="120">
        <v>26</v>
      </c>
      <c r="B128" s="47" t="s">
        <v>123</v>
      </c>
      <c r="C128" s="47"/>
      <c r="D128" s="47"/>
      <c r="E128" s="74">
        <v>563</v>
      </c>
      <c r="F128" s="52">
        <v>435</v>
      </c>
      <c r="G128" s="118"/>
      <c r="H128" s="122">
        <v>537</v>
      </c>
      <c r="I128" s="139"/>
    </row>
    <row r="129" spans="1:9" s="231" customFormat="1">
      <c r="A129" s="120">
        <v>27</v>
      </c>
      <c r="B129" s="47" t="s">
        <v>124</v>
      </c>
      <c r="C129" s="47"/>
      <c r="D129" s="47"/>
      <c r="E129" s="49">
        <v>3315</v>
      </c>
      <c r="F129" s="52">
        <v>3399</v>
      </c>
      <c r="G129" s="118"/>
      <c r="H129" s="122">
        <v>3610</v>
      </c>
      <c r="I129" s="139"/>
    </row>
    <row r="130" spans="1:9" s="231" customFormat="1">
      <c r="A130" s="120">
        <v>28</v>
      </c>
      <c r="B130" s="47" t="s">
        <v>119</v>
      </c>
      <c r="C130" s="47"/>
      <c r="D130" s="47"/>
      <c r="E130" s="49">
        <v>1234</v>
      </c>
      <c r="F130" s="52">
        <v>1548</v>
      </c>
      <c r="G130" s="118"/>
      <c r="H130" s="122">
        <v>1066</v>
      </c>
      <c r="I130" s="139"/>
    </row>
    <row r="131" spans="1:9" s="231" customFormat="1">
      <c r="A131" s="120">
        <v>29</v>
      </c>
      <c r="B131" s="47" t="s">
        <v>120</v>
      </c>
      <c r="C131" s="47"/>
      <c r="D131" s="47"/>
      <c r="E131" s="49">
        <v>351</v>
      </c>
      <c r="F131" s="52">
        <v>299</v>
      </c>
      <c r="G131" s="118"/>
      <c r="H131" s="122">
        <v>356</v>
      </c>
      <c r="I131" s="139"/>
    </row>
    <row r="132" spans="1:9" s="231" customFormat="1">
      <c r="A132" s="120">
        <v>30</v>
      </c>
      <c r="B132" s="47" t="s">
        <v>125</v>
      </c>
      <c r="C132" s="47"/>
      <c r="D132" s="47"/>
      <c r="E132" s="49">
        <v>281</v>
      </c>
      <c r="F132" s="52">
        <v>269</v>
      </c>
      <c r="G132" s="118"/>
      <c r="H132" s="122">
        <v>321</v>
      </c>
      <c r="I132" s="139"/>
    </row>
    <row r="133" spans="1:9" s="231" customFormat="1">
      <c r="A133" s="120">
        <v>31</v>
      </c>
      <c r="B133" s="90" t="s">
        <v>126</v>
      </c>
      <c r="C133" s="47"/>
      <c r="D133" s="47"/>
      <c r="E133" s="49">
        <v>-178</v>
      </c>
      <c r="F133" s="52">
        <v>222</v>
      </c>
      <c r="G133" s="118"/>
      <c r="H133" s="122">
        <v>334</v>
      </c>
      <c r="I133" s="139"/>
    </row>
    <row r="134" spans="1:9" s="231" customFormat="1">
      <c r="A134" s="120">
        <v>32</v>
      </c>
      <c r="B134" s="47" t="s">
        <v>121</v>
      </c>
      <c r="C134" s="47"/>
      <c r="D134" s="47"/>
      <c r="E134" s="49">
        <v>322</v>
      </c>
      <c r="F134" s="52">
        <v>167</v>
      </c>
      <c r="G134" s="118"/>
      <c r="H134" s="100">
        <v>190</v>
      </c>
      <c r="I134" s="139"/>
    </row>
    <row r="135" spans="1:9" s="231" customFormat="1">
      <c r="A135" s="120">
        <v>33</v>
      </c>
      <c r="B135" s="116" t="s">
        <v>128</v>
      </c>
      <c r="C135" s="116"/>
      <c r="D135" s="116"/>
      <c r="E135" s="80">
        <v>5888</v>
      </c>
      <c r="F135" s="142">
        <f>SUM(F128:F134)</f>
        <v>6339</v>
      </c>
      <c r="G135" s="118"/>
      <c r="H135" s="142">
        <f>SUM(H128:H134)</f>
        <v>6414</v>
      </c>
      <c r="I135" s="139"/>
    </row>
    <row r="136" spans="1:9" s="231" customFormat="1">
      <c r="A136" s="111"/>
      <c r="B136" s="47"/>
      <c r="C136" s="47"/>
      <c r="D136" s="138"/>
      <c r="E136" s="117"/>
      <c r="F136" s="118"/>
      <c r="G136" s="118"/>
      <c r="H136" s="118"/>
      <c r="I136" s="139"/>
    </row>
    <row r="137" spans="1:9" s="231" customFormat="1">
      <c r="A137" s="119" t="s">
        <v>109</v>
      </c>
      <c r="B137" s="116"/>
      <c r="C137" s="116"/>
      <c r="D137" s="116"/>
      <c r="E137" s="140"/>
      <c r="F137" s="146"/>
      <c r="G137" s="118"/>
      <c r="H137" s="146"/>
      <c r="I137" s="139"/>
    </row>
    <row r="138" spans="1:9" s="231" customFormat="1">
      <c r="A138" s="120">
        <v>34</v>
      </c>
      <c r="B138" s="47" t="s">
        <v>123</v>
      </c>
      <c r="C138" s="47"/>
      <c r="D138" s="47"/>
      <c r="E138" s="49">
        <v>1029</v>
      </c>
      <c r="F138" s="52">
        <v>949</v>
      </c>
      <c r="G138" s="118"/>
      <c r="H138" s="122">
        <v>1082</v>
      </c>
      <c r="I138" s="139"/>
    </row>
    <row r="139" spans="1:9" s="231" customFormat="1">
      <c r="A139" s="120">
        <v>35</v>
      </c>
      <c r="B139" s="47" t="s">
        <v>119</v>
      </c>
      <c r="C139" s="47"/>
      <c r="D139" s="47"/>
      <c r="E139" s="49">
        <v>1685</v>
      </c>
      <c r="F139" s="52">
        <v>1985</v>
      </c>
      <c r="G139" s="118"/>
      <c r="H139" s="122">
        <v>1887</v>
      </c>
      <c r="I139" s="139"/>
    </row>
    <row r="140" spans="1:9" s="231" customFormat="1">
      <c r="A140" s="120">
        <v>36</v>
      </c>
      <c r="B140" s="47" t="s">
        <v>120</v>
      </c>
      <c r="C140" s="47"/>
      <c r="D140" s="47"/>
      <c r="E140" s="49">
        <v>3104</v>
      </c>
      <c r="F140" s="52">
        <v>3166</v>
      </c>
      <c r="G140" s="118"/>
      <c r="H140" s="122">
        <v>3509</v>
      </c>
      <c r="I140" s="139"/>
    </row>
    <row r="141" spans="1:9" s="231" customFormat="1">
      <c r="A141" s="120">
        <v>37</v>
      </c>
      <c r="B141" s="90" t="s">
        <v>126</v>
      </c>
      <c r="C141" s="47"/>
      <c r="D141" s="47"/>
      <c r="E141" s="49">
        <v>-31</v>
      </c>
      <c r="F141" s="52">
        <v>137</v>
      </c>
      <c r="G141" s="118"/>
      <c r="H141" s="99">
        <v>160</v>
      </c>
      <c r="I141" s="139"/>
    </row>
    <row r="142" spans="1:9" s="231" customFormat="1">
      <c r="A142" s="120">
        <v>38</v>
      </c>
      <c r="B142" s="47" t="s">
        <v>121</v>
      </c>
      <c r="C142" s="47"/>
      <c r="D142" s="47"/>
      <c r="E142" s="49">
        <v>6724</v>
      </c>
      <c r="F142" s="52">
        <v>4947</v>
      </c>
      <c r="G142" s="118"/>
      <c r="H142" s="100">
        <v>5599</v>
      </c>
      <c r="I142" s="139"/>
    </row>
    <row r="143" spans="1:9" s="231" customFormat="1">
      <c r="A143" s="120">
        <v>39</v>
      </c>
      <c r="B143" s="116" t="s">
        <v>129</v>
      </c>
      <c r="C143" s="116"/>
      <c r="D143" s="116"/>
      <c r="E143" s="80">
        <v>12511</v>
      </c>
      <c r="F143" s="142">
        <f>SUM(F138:F142)</f>
        <v>11184</v>
      </c>
      <c r="G143" s="118"/>
      <c r="H143" s="142">
        <f>SUM(H138:H142)</f>
        <v>12237</v>
      </c>
      <c r="I143" s="139"/>
    </row>
    <row r="144" spans="1:9" s="231" customFormat="1">
      <c r="A144" s="111"/>
      <c r="B144" s="47"/>
      <c r="C144" s="47"/>
      <c r="D144" s="47"/>
      <c r="E144" s="117"/>
      <c r="F144" s="118"/>
      <c r="G144" s="118"/>
      <c r="H144" s="118"/>
      <c r="I144" s="139"/>
    </row>
    <row r="145" spans="1:9" s="231" customFormat="1">
      <c r="A145" s="119" t="s">
        <v>110</v>
      </c>
      <c r="B145" s="116"/>
      <c r="C145" s="116"/>
      <c r="D145" s="116"/>
      <c r="E145" s="140"/>
      <c r="F145" s="146"/>
      <c r="G145" s="118"/>
      <c r="H145" s="146"/>
      <c r="I145" s="139"/>
    </row>
    <row r="146" spans="1:9" s="231" customFormat="1">
      <c r="A146" s="120">
        <v>40</v>
      </c>
      <c r="B146" s="47" t="s">
        <v>123</v>
      </c>
      <c r="C146" s="47"/>
      <c r="D146" s="47"/>
      <c r="E146" s="49">
        <v>29</v>
      </c>
      <c r="F146" s="52">
        <v>19</v>
      </c>
      <c r="G146" s="118"/>
      <c r="H146" s="122">
        <v>20</v>
      </c>
      <c r="I146" s="139"/>
    </row>
    <row r="147" spans="1:9" s="231" customFormat="1">
      <c r="A147" s="120">
        <v>41</v>
      </c>
      <c r="B147" s="47" t="s">
        <v>119</v>
      </c>
      <c r="C147" s="47"/>
      <c r="D147" s="47"/>
      <c r="E147" s="49">
        <v>-277</v>
      </c>
      <c r="F147" s="52">
        <v>-382</v>
      </c>
      <c r="G147" s="118"/>
      <c r="H147" s="122">
        <v>-365</v>
      </c>
      <c r="I147" s="139"/>
    </row>
    <row r="148" spans="1:9" s="231" customFormat="1">
      <c r="A148" s="120">
        <v>42</v>
      </c>
      <c r="B148" s="47" t="s">
        <v>120</v>
      </c>
      <c r="C148" s="47"/>
      <c r="D148" s="47"/>
      <c r="E148" s="49">
        <v>0</v>
      </c>
      <c r="F148" s="52">
        <v>20</v>
      </c>
      <c r="G148" s="118"/>
      <c r="H148" s="122">
        <v>0</v>
      </c>
      <c r="I148" s="139"/>
    </row>
    <row r="149" spans="1:9" s="231" customFormat="1">
      <c r="A149" s="120">
        <v>43</v>
      </c>
      <c r="B149" s="47" t="s">
        <v>121</v>
      </c>
      <c r="C149" s="47"/>
      <c r="D149" s="47"/>
      <c r="E149" s="49">
        <v>2080</v>
      </c>
      <c r="F149" s="52">
        <v>2223</v>
      </c>
      <c r="G149" s="118"/>
      <c r="H149" s="100">
        <v>2281</v>
      </c>
      <c r="I149" s="139"/>
    </row>
    <row r="150" spans="1:9" s="231" customFormat="1">
      <c r="A150" s="124">
        <v>44</v>
      </c>
      <c r="B150" s="94" t="s">
        <v>130</v>
      </c>
      <c r="C150" s="94"/>
      <c r="D150" s="94"/>
      <c r="E150" s="80">
        <v>1832</v>
      </c>
      <c r="F150" s="142">
        <f>SUM(F146:F149)</f>
        <v>1880</v>
      </c>
      <c r="G150" s="259"/>
      <c r="H150" s="142">
        <f>SUM(H146:H149)</f>
        <v>1936</v>
      </c>
      <c r="I150" s="139"/>
    </row>
    <row r="151" spans="1:9" s="231" customFormat="1">
      <c r="A151" s="148"/>
      <c r="B151" s="129"/>
      <c r="C151" s="129"/>
      <c r="D151" s="149"/>
      <c r="E151" s="150"/>
      <c r="F151" s="29"/>
      <c r="G151" s="29"/>
      <c r="H151" s="207"/>
      <c r="I151" s="29"/>
    </row>
    <row r="152" spans="1:9" s="231" customFormat="1">
      <c r="A152" s="148"/>
      <c r="B152" s="129"/>
      <c r="C152" s="129"/>
      <c r="D152" s="151"/>
      <c r="E152" s="152"/>
      <c r="F152" s="29"/>
      <c r="G152" s="29"/>
      <c r="H152" s="131" t="s">
        <v>27</v>
      </c>
      <c r="I152" s="29"/>
    </row>
    <row r="153" spans="1:9" s="231" customFormat="1">
      <c r="A153" s="106" t="s">
        <v>20</v>
      </c>
      <c r="B153" s="107"/>
      <c r="C153" s="107"/>
      <c r="D153" s="107"/>
      <c r="E153" s="856" t="s">
        <v>377</v>
      </c>
      <c r="F153" s="856" t="s">
        <v>402</v>
      </c>
      <c r="G153" s="130"/>
      <c r="H153" s="856" t="s">
        <v>403</v>
      </c>
      <c r="I153" s="130"/>
    </row>
    <row r="154" spans="1:9" s="231" customFormat="1">
      <c r="A154" s="153"/>
      <c r="B154" s="132"/>
      <c r="C154" s="132"/>
      <c r="D154" s="132"/>
      <c r="E154" s="859"/>
      <c r="F154" s="859"/>
      <c r="G154" s="130"/>
      <c r="H154" s="859"/>
      <c r="I154" s="130"/>
    </row>
    <row r="155" spans="1:9" s="231" customFormat="1">
      <c r="A155" s="154" t="s">
        <v>131</v>
      </c>
      <c r="B155" s="116"/>
      <c r="C155" s="116"/>
      <c r="D155" s="116"/>
      <c r="E155" s="859"/>
      <c r="F155" s="859"/>
      <c r="G155" s="130"/>
      <c r="H155" s="859"/>
      <c r="I155" s="130"/>
    </row>
    <row r="156" spans="1:9" s="231" customFormat="1" ht="12.75" customHeight="1">
      <c r="A156" s="109" t="s">
        <v>83</v>
      </c>
      <c r="B156" s="47"/>
      <c r="C156" s="47"/>
      <c r="D156" s="47"/>
      <c r="E156" s="859"/>
      <c r="F156" s="859"/>
      <c r="G156" s="130"/>
      <c r="H156" s="859"/>
      <c r="I156" s="130"/>
    </row>
    <row r="157" spans="1:9" s="231" customFormat="1">
      <c r="A157" s="110" t="s">
        <v>84</v>
      </c>
      <c r="B157" s="132"/>
      <c r="C157" s="132"/>
      <c r="D157" s="132"/>
      <c r="E157" s="860"/>
      <c r="F157" s="860"/>
      <c r="G157" s="130"/>
      <c r="H157" s="860"/>
      <c r="I157" s="130"/>
    </row>
    <row r="158" spans="1:9" s="231" customFormat="1">
      <c r="A158" s="119" t="s">
        <v>132</v>
      </c>
      <c r="B158" s="47"/>
      <c r="C158" s="47"/>
      <c r="D158" s="47"/>
      <c r="E158" s="155"/>
      <c r="F158" s="146" t="s">
        <v>133</v>
      </c>
      <c r="G158" s="118"/>
      <c r="H158" s="146"/>
      <c r="I158" s="29"/>
    </row>
    <row r="159" spans="1:9" s="231" customFormat="1">
      <c r="A159" s="120">
        <v>1</v>
      </c>
      <c r="B159" s="47" t="s">
        <v>134</v>
      </c>
      <c r="C159" s="47"/>
      <c r="D159" s="47"/>
      <c r="E159" s="74">
        <v>0</v>
      </c>
      <c r="F159" s="52">
        <v>0</v>
      </c>
      <c r="G159" s="118"/>
      <c r="H159" s="122"/>
      <c r="I159" s="29"/>
    </row>
    <row r="160" spans="1:9" s="231" customFormat="1">
      <c r="A160" s="120">
        <v>2</v>
      </c>
      <c r="B160" s="47" t="s">
        <v>135</v>
      </c>
      <c r="C160" s="47"/>
      <c r="D160" s="47"/>
      <c r="E160" s="49">
        <v>1136</v>
      </c>
      <c r="F160" s="52">
        <v>1118</v>
      </c>
      <c r="G160" s="118"/>
      <c r="H160" s="122">
        <v>1118</v>
      </c>
      <c r="I160" s="29"/>
    </row>
    <row r="161" spans="1:9" s="231" customFormat="1">
      <c r="A161" s="120">
        <v>3</v>
      </c>
      <c r="B161" s="47" t="s">
        <v>136</v>
      </c>
      <c r="C161" s="47"/>
      <c r="D161" s="47"/>
      <c r="E161" s="114">
        <v>4638</v>
      </c>
      <c r="F161" s="52">
        <v>4755</v>
      </c>
      <c r="G161" s="118"/>
      <c r="H161" s="122">
        <v>4969</v>
      </c>
      <c r="I161" s="29"/>
    </row>
    <row r="162" spans="1:9" s="231" customFormat="1">
      <c r="A162" s="120">
        <v>4</v>
      </c>
      <c r="B162" s="47" t="s">
        <v>137</v>
      </c>
      <c r="C162" s="47"/>
      <c r="D162" s="47"/>
      <c r="E162" s="114">
        <v>2020</v>
      </c>
      <c r="F162" s="52">
        <v>1505</v>
      </c>
      <c r="G162" s="118"/>
      <c r="H162" s="100">
        <v>1447</v>
      </c>
      <c r="I162" s="29"/>
    </row>
    <row r="163" spans="1:9" s="231" customFormat="1">
      <c r="A163" s="120">
        <v>5</v>
      </c>
      <c r="B163" s="116" t="s">
        <v>138</v>
      </c>
      <c r="C163" s="116"/>
      <c r="D163" s="116"/>
      <c r="E163" s="80">
        <v>7794</v>
      </c>
      <c r="F163" s="142">
        <f>SUM(F159:F162)</f>
        <v>7378</v>
      </c>
      <c r="G163" s="118"/>
      <c r="H163" s="142">
        <f>SUM(H159:H162)</f>
        <v>7534</v>
      </c>
      <c r="I163" s="29"/>
    </row>
    <row r="164" spans="1:9" s="231" customFormat="1">
      <c r="A164" s="46"/>
      <c r="B164" s="132"/>
      <c r="C164" s="132"/>
      <c r="D164" s="132"/>
      <c r="E164" s="156"/>
      <c r="F164" s="139"/>
      <c r="G164" s="139"/>
      <c r="H164" s="139"/>
      <c r="I164" s="29"/>
    </row>
    <row r="165" spans="1:9" s="231" customFormat="1">
      <c r="A165" s="119" t="s">
        <v>139</v>
      </c>
      <c r="B165" s="47"/>
      <c r="C165" s="47"/>
      <c r="D165" s="47"/>
      <c r="E165" s="140"/>
      <c r="F165" s="146"/>
      <c r="G165" s="118"/>
      <c r="H165" s="146"/>
      <c r="I165" s="29"/>
    </row>
    <row r="166" spans="1:9" s="231" customFormat="1">
      <c r="A166" s="120">
        <v>6</v>
      </c>
      <c r="B166" s="47" t="s">
        <v>140</v>
      </c>
      <c r="C166" s="47"/>
      <c r="D166" s="47"/>
      <c r="E166" s="74">
        <v>778</v>
      </c>
      <c r="F166" s="52">
        <v>734</v>
      </c>
      <c r="G166" s="118"/>
      <c r="H166" s="122">
        <v>793</v>
      </c>
      <c r="I166" s="29"/>
    </row>
    <row r="167" spans="1:9" s="231" customFormat="1">
      <c r="A167" s="120">
        <v>7</v>
      </c>
      <c r="B167" s="47" t="s">
        <v>141</v>
      </c>
      <c r="C167" s="47"/>
      <c r="D167" s="47"/>
      <c r="E167" s="49">
        <v>244</v>
      </c>
      <c r="F167" s="52">
        <v>241</v>
      </c>
      <c r="G167" s="118"/>
      <c r="H167" s="122">
        <v>240</v>
      </c>
      <c r="I167" s="29"/>
    </row>
    <row r="168" spans="1:9" s="231" customFormat="1">
      <c r="A168" s="120">
        <v>8</v>
      </c>
      <c r="B168" s="47" t="s">
        <v>121</v>
      </c>
      <c r="C168" s="47"/>
      <c r="D168" s="47"/>
      <c r="E168" s="49">
        <v>1274</v>
      </c>
      <c r="F168" s="52">
        <v>0</v>
      </c>
      <c r="G168" s="118"/>
      <c r="H168" s="100">
        <v>0</v>
      </c>
      <c r="I168" s="29"/>
    </row>
    <row r="169" spans="1:9" s="231" customFormat="1">
      <c r="A169" s="120">
        <v>9</v>
      </c>
      <c r="B169" s="116" t="s">
        <v>142</v>
      </c>
      <c r="C169" s="116"/>
      <c r="D169" s="116"/>
      <c r="E169" s="80">
        <v>2296</v>
      </c>
      <c r="F169" s="142">
        <f>SUM(F166:F168)</f>
        <v>975</v>
      </c>
      <c r="G169" s="118"/>
      <c r="H169" s="142">
        <f>SUM(H166:H168)</f>
        <v>1033</v>
      </c>
      <c r="I169" s="29"/>
    </row>
    <row r="170" spans="1:9" s="231" customFormat="1">
      <c r="A170" s="46"/>
      <c r="B170" s="132"/>
      <c r="C170" s="132"/>
      <c r="D170" s="132"/>
      <c r="E170" s="156"/>
      <c r="F170" s="139"/>
      <c r="G170" s="139"/>
      <c r="H170" s="139"/>
      <c r="I170" s="29"/>
    </row>
    <row r="171" spans="1:9" s="231" customFormat="1">
      <c r="A171" s="120">
        <v>10</v>
      </c>
      <c r="B171" s="47" t="s">
        <v>143</v>
      </c>
      <c r="C171" s="47"/>
      <c r="D171" s="47"/>
      <c r="E171" s="41">
        <v>0</v>
      </c>
      <c r="F171" s="121">
        <v>-909</v>
      </c>
      <c r="G171" s="118"/>
      <c r="H171" s="133">
        <v>-798</v>
      </c>
      <c r="I171" s="29"/>
    </row>
    <row r="172" spans="1:9" s="231" customFormat="1">
      <c r="A172" s="120">
        <v>11</v>
      </c>
      <c r="B172" s="47" t="s">
        <v>144</v>
      </c>
      <c r="C172" s="47"/>
      <c r="D172" s="47"/>
      <c r="E172" s="56">
        <v>-973</v>
      </c>
      <c r="F172" s="126">
        <v>0</v>
      </c>
      <c r="G172" s="118"/>
      <c r="H172" s="100">
        <v>0</v>
      </c>
      <c r="I172" s="29"/>
    </row>
    <row r="173" spans="1:9" s="231" customFormat="1">
      <c r="A173" s="46"/>
      <c r="B173" s="132"/>
      <c r="C173" s="132"/>
      <c r="D173" s="132"/>
      <c r="E173" s="156"/>
      <c r="F173" s="139"/>
      <c r="G173" s="139"/>
      <c r="H173" s="139"/>
      <c r="I173" s="29"/>
    </row>
    <row r="174" spans="1:9" s="231" customFormat="1">
      <c r="A174" s="119" t="s">
        <v>145</v>
      </c>
      <c r="B174" s="47"/>
      <c r="C174" s="47"/>
      <c r="D174" s="47"/>
      <c r="E174" s="157"/>
      <c r="F174" s="146"/>
      <c r="G174" s="118"/>
      <c r="H174" s="146"/>
      <c r="I174" s="29"/>
    </row>
    <row r="175" spans="1:9" s="231" customFormat="1">
      <c r="A175" s="120">
        <v>12</v>
      </c>
      <c r="B175" s="47" t="s">
        <v>146</v>
      </c>
      <c r="C175" s="47"/>
      <c r="D175" s="47"/>
      <c r="E175" s="74">
        <v>332</v>
      </c>
      <c r="F175" s="52">
        <v>333</v>
      </c>
      <c r="G175" s="118"/>
      <c r="H175" s="122">
        <v>327</v>
      </c>
      <c r="I175" s="29"/>
    </row>
    <row r="176" spans="1:9" s="231" customFormat="1">
      <c r="A176" s="120">
        <v>13</v>
      </c>
      <c r="B176" s="47" t="s">
        <v>147</v>
      </c>
      <c r="C176" s="47"/>
      <c r="D176" s="47"/>
      <c r="E176" s="49">
        <v>2847</v>
      </c>
      <c r="F176" s="52">
        <v>2753</v>
      </c>
      <c r="G176" s="118"/>
      <c r="H176" s="122">
        <v>2702</v>
      </c>
      <c r="I176" s="29"/>
    </row>
    <row r="177" spans="1:9" s="231" customFormat="1">
      <c r="A177" s="120">
        <v>14</v>
      </c>
      <c r="B177" s="47" t="s">
        <v>148</v>
      </c>
      <c r="C177" s="47"/>
      <c r="D177" s="47"/>
      <c r="E177" s="56">
        <v>141</v>
      </c>
      <c r="F177" s="52">
        <v>141</v>
      </c>
      <c r="G177" s="118"/>
      <c r="H177" s="100">
        <v>138</v>
      </c>
      <c r="I177" s="29"/>
    </row>
    <row r="178" spans="1:9" s="231" customFormat="1">
      <c r="A178" s="120">
        <v>15</v>
      </c>
      <c r="B178" s="116" t="s">
        <v>149</v>
      </c>
      <c r="C178" s="116"/>
      <c r="D178" s="116"/>
      <c r="E178" s="80">
        <v>3320</v>
      </c>
      <c r="F178" s="142">
        <f>SUM(F175:F177)</f>
        <v>3227</v>
      </c>
      <c r="G178" s="118"/>
      <c r="H178" s="142">
        <f>SUM(H175:H177)</f>
        <v>3167</v>
      </c>
      <c r="I178" s="29"/>
    </row>
    <row r="179" spans="1:9" s="231" customFormat="1">
      <c r="A179" s="120">
        <v>16</v>
      </c>
      <c r="B179" s="116" t="s">
        <v>150</v>
      </c>
      <c r="C179" s="116"/>
      <c r="D179" s="116"/>
      <c r="E179" s="80">
        <v>2347</v>
      </c>
      <c r="F179" s="158">
        <f>F172+F178</f>
        <v>3227</v>
      </c>
      <c r="G179" s="118"/>
      <c r="H179" s="158">
        <f>H172+H178</f>
        <v>3167</v>
      </c>
      <c r="I179" s="29"/>
    </row>
    <row r="180" spans="1:9" s="231" customFormat="1">
      <c r="A180" s="120">
        <v>17</v>
      </c>
      <c r="B180" s="116" t="s">
        <v>151</v>
      </c>
      <c r="C180" s="116"/>
      <c r="D180" s="116"/>
      <c r="E180" s="159">
        <v>12437</v>
      </c>
      <c r="F180" s="61">
        <f>SUM(F163+F169+F171+F179)</f>
        <v>10671</v>
      </c>
      <c r="G180" s="118"/>
      <c r="H180" s="61">
        <f>SUM(H163+H169+H171+H179)</f>
        <v>10936</v>
      </c>
      <c r="I180" s="29"/>
    </row>
    <row r="181" spans="1:9" s="231" customFormat="1">
      <c r="A181" s="46"/>
      <c r="B181" s="132"/>
      <c r="C181" s="132"/>
      <c r="D181" s="132"/>
      <c r="E181" s="156"/>
      <c r="F181" s="139"/>
      <c r="G181" s="139"/>
      <c r="H181" s="139"/>
      <c r="I181" s="29"/>
    </row>
    <row r="182" spans="1:9" s="231" customFormat="1">
      <c r="A182" s="119" t="s">
        <v>152</v>
      </c>
      <c r="B182" s="47"/>
      <c r="C182" s="47"/>
      <c r="D182" s="116"/>
      <c r="E182" s="117"/>
      <c r="F182" s="118"/>
      <c r="G182" s="118"/>
      <c r="H182" s="118"/>
      <c r="I182" s="29"/>
    </row>
    <row r="183" spans="1:9" s="231" customFormat="1">
      <c r="A183" s="120">
        <v>18</v>
      </c>
      <c r="B183" s="47" t="s">
        <v>153</v>
      </c>
      <c r="C183" s="47"/>
      <c r="D183" s="47"/>
      <c r="E183" s="41">
        <v>0</v>
      </c>
      <c r="F183" s="121">
        <v>868.19999999999993</v>
      </c>
      <c r="G183" s="118"/>
      <c r="H183" s="133">
        <v>905.87842351369409</v>
      </c>
      <c r="I183" s="29"/>
    </row>
    <row r="184" spans="1:9" s="231" customFormat="1">
      <c r="A184" s="120">
        <v>19</v>
      </c>
      <c r="B184" s="47" t="s">
        <v>154</v>
      </c>
      <c r="C184" s="47"/>
      <c r="D184" s="47"/>
      <c r="E184" s="49">
        <v>0</v>
      </c>
      <c r="F184" s="52">
        <v>117</v>
      </c>
      <c r="G184" s="118"/>
      <c r="H184" s="122">
        <v>110.9819639278557</v>
      </c>
      <c r="I184" s="29"/>
    </row>
    <row r="185" spans="1:9" s="231" customFormat="1">
      <c r="A185" s="120">
        <v>20</v>
      </c>
      <c r="B185" s="47" t="s">
        <v>155</v>
      </c>
      <c r="C185" s="47"/>
      <c r="D185" s="47"/>
      <c r="E185" s="49">
        <v>0</v>
      </c>
      <c r="F185" s="52">
        <v>0</v>
      </c>
      <c r="G185" s="118"/>
      <c r="H185" s="122">
        <v>0</v>
      </c>
      <c r="I185" s="29"/>
    </row>
    <row r="186" spans="1:9" s="231" customFormat="1">
      <c r="A186" s="120">
        <v>21</v>
      </c>
      <c r="B186" s="47" t="s">
        <v>156</v>
      </c>
      <c r="C186" s="47"/>
      <c r="D186" s="47"/>
      <c r="E186" s="49">
        <v>0</v>
      </c>
      <c r="F186" s="52">
        <v>16</v>
      </c>
      <c r="G186" s="118"/>
      <c r="H186" s="122">
        <v>15.177020708082834</v>
      </c>
      <c r="I186" s="29"/>
    </row>
    <row r="187" spans="1:9" s="231" customFormat="1">
      <c r="A187" s="120">
        <v>22</v>
      </c>
      <c r="B187" s="47" t="s">
        <v>157</v>
      </c>
      <c r="C187" s="47"/>
      <c r="D187" s="47"/>
      <c r="E187" s="49">
        <v>0</v>
      </c>
      <c r="F187" s="52">
        <v>792</v>
      </c>
      <c r="G187" s="118"/>
      <c r="H187" s="122">
        <v>751.26252505010018</v>
      </c>
      <c r="I187" s="29"/>
    </row>
    <row r="188" spans="1:9" s="231" customFormat="1">
      <c r="A188" s="120">
        <v>23</v>
      </c>
      <c r="B188" s="47" t="s">
        <v>158</v>
      </c>
      <c r="C188" s="47"/>
      <c r="D188" s="47"/>
      <c r="E188" s="49">
        <v>0</v>
      </c>
      <c r="F188" s="52">
        <v>0</v>
      </c>
      <c r="G188" s="118"/>
      <c r="H188" s="122">
        <v>0</v>
      </c>
      <c r="I188" s="29"/>
    </row>
    <row r="189" spans="1:9" s="231" customFormat="1">
      <c r="A189" s="120">
        <v>24</v>
      </c>
      <c r="B189" s="47" t="s">
        <v>159</v>
      </c>
      <c r="C189" s="47"/>
      <c r="D189" s="47"/>
      <c r="E189" s="49">
        <v>0</v>
      </c>
      <c r="F189" s="52">
        <v>0</v>
      </c>
      <c r="G189" s="118"/>
      <c r="H189" s="122">
        <v>0</v>
      </c>
      <c r="I189" s="29"/>
    </row>
    <row r="190" spans="1:9" s="231" customFormat="1">
      <c r="A190" s="124">
        <v>25</v>
      </c>
      <c r="B190" s="54" t="s">
        <v>160</v>
      </c>
      <c r="C190" s="54"/>
      <c r="D190" s="54"/>
      <c r="E190" s="56">
        <v>0</v>
      </c>
      <c r="F190" s="126">
        <v>1114</v>
      </c>
      <c r="G190" s="118"/>
      <c r="H190" s="100">
        <v>1056.7000668002672</v>
      </c>
      <c r="I190" s="24"/>
    </row>
    <row r="191" spans="1:9" s="231" customFormat="1">
      <c r="A191" s="161"/>
      <c r="B191" s="129"/>
      <c r="C191" s="129"/>
      <c r="D191" s="149"/>
      <c r="E191" s="162"/>
      <c r="F191" s="29"/>
      <c r="G191" s="29"/>
      <c r="H191" s="207"/>
      <c r="I191" s="29"/>
    </row>
    <row r="192" spans="1:9" s="231" customFormat="1">
      <c r="A192" s="161"/>
      <c r="B192" s="129"/>
      <c r="C192" s="129"/>
      <c r="D192" s="151"/>
      <c r="E192" s="163"/>
      <c r="F192" s="29"/>
      <c r="G192" s="29"/>
      <c r="H192" s="131" t="s">
        <v>27</v>
      </c>
      <c r="I192" s="29"/>
    </row>
    <row r="193" spans="1:9" s="231" customFormat="1" ht="12.75" customHeight="1">
      <c r="A193" s="106" t="s">
        <v>23</v>
      </c>
      <c r="B193" s="164"/>
      <c r="C193" s="164"/>
      <c r="D193" s="164"/>
      <c r="E193" s="856" t="s">
        <v>377</v>
      </c>
      <c r="F193" s="856" t="s">
        <v>402</v>
      </c>
      <c r="G193" s="130"/>
      <c r="H193" s="856" t="s">
        <v>403</v>
      </c>
      <c r="I193" s="130"/>
    </row>
    <row r="194" spans="1:9" s="231" customFormat="1" ht="23.25" customHeight="1">
      <c r="A194" s="165"/>
      <c r="B194" s="132"/>
      <c r="C194" s="132"/>
      <c r="D194" s="132"/>
      <c r="E194" s="859"/>
      <c r="F194" s="859"/>
      <c r="G194" s="130"/>
      <c r="H194" s="859"/>
      <c r="I194" s="130"/>
    </row>
    <row r="195" spans="1:9" s="231" customFormat="1">
      <c r="A195" s="154" t="s">
        <v>161</v>
      </c>
      <c r="B195" s="116"/>
      <c r="C195" s="116"/>
      <c r="D195" s="116"/>
      <c r="E195" s="859"/>
      <c r="F195" s="859"/>
      <c r="G195" s="130"/>
      <c r="H195" s="859"/>
      <c r="I195" s="130"/>
    </row>
    <row r="196" spans="1:9" s="231" customFormat="1">
      <c r="A196" s="109" t="s">
        <v>83</v>
      </c>
      <c r="B196" s="47"/>
      <c r="C196" s="47"/>
      <c r="D196" s="47"/>
      <c r="E196" s="859"/>
      <c r="F196" s="859"/>
      <c r="G196" s="130"/>
      <c r="H196" s="859"/>
      <c r="I196" s="130"/>
    </row>
    <row r="197" spans="1:9" s="231" customFormat="1">
      <c r="A197" s="110" t="s">
        <v>84</v>
      </c>
      <c r="B197" s="132"/>
      <c r="C197" s="132"/>
      <c r="D197" s="132"/>
      <c r="E197" s="860"/>
      <c r="F197" s="860"/>
      <c r="G197" s="130"/>
      <c r="H197" s="860"/>
      <c r="I197" s="130"/>
    </row>
    <row r="198" spans="1:9" s="231" customFormat="1">
      <c r="A198" s="153" t="s">
        <v>162</v>
      </c>
      <c r="B198" s="166"/>
      <c r="C198" s="166"/>
      <c r="D198" s="166"/>
      <c r="E198" s="167"/>
      <c r="F198" s="146"/>
      <c r="G198" s="118"/>
      <c r="H198" s="146"/>
      <c r="I198" s="29"/>
    </row>
    <row r="199" spans="1:9" s="231" customFormat="1">
      <c r="A199" s="120">
        <v>1</v>
      </c>
      <c r="B199" s="47" t="s">
        <v>163</v>
      </c>
      <c r="C199" s="47"/>
      <c r="D199" s="47"/>
      <c r="E199" s="74">
        <v>1032</v>
      </c>
      <c r="F199" s="52">
        <v>0</v>
      </c>
      <c r="G199" s="118"/>
      <c r="H199" s="122">
        <v>0</v>
      </c>
      <c r="I199" s="29"/>
    </row>
    <row r="200" spans="1:9" s="231" customFormat="1">
      <c r="A200" s="120">
        <v>2</v>
      </c>
      <c r="B200" s="47" t="s">
        <v>164</v>
      </c>
      <c r="C200" s="47"/>
      <c r="D200" s="47"/>
      <c r="E200" s="56">
        <v>94</v>
      </c>
      <c r="F200" s="52">
        <v>448</v>
      </c>
      <c r="G200" s="118"/>
      <c r="H200" s="100">
        <v>777</v>
      </c>
      <c r="I200" s="29"/>
    </row>
    <row r="201" spans="1:9" s="231" customFormat="1">
      <c r="A201" s="120">
        <v>3</v>
      </c>
      <c r="B201" s="116" t="s">
        <v>165</v>
      </c>
      <c r="C201" s="116"/>
      <c r="D201" s="116"/>
      <c r="E201" s="80">
        <v>1126</v>
      </c>
      <c r="F201" s="142">
        <f>SUM(F199:F200)</f>
        <v>448</v>
      </c>
      <c r="G201" s="118"/>
      <c r="H201" s="142">
        <f>SUM(H199:H200)</f>
        <v>777</v>
      </c>
      <c r="I201" s="29"/>
    </row>
    <row r="202" spans="1:9" s="231" customFormat="1">
      <c r="A202" s="46"/>
      <c r="B202" s="132"/>
      <c r="C202" s="132"/>
      <c r="D202" s="132"/>
      <c r="E202" s="156"/>
      <c r="F202" s="139"/>
      <c r="G202" s="139"/>
      <c r="H202" s="139"/>
      <c r="I202" s="29"/>
    </row>
    <row r="203" spans="1:9" s="231" customFormat="1">
      <c r="A203" s="153" t="s">
        <v>166</v>
      </c>
      <c r="B203" s="116"/>
      <c r="C203" s="116"/>
      <c r="D203" s="116"/>
      <c r="E203" s="140"/>
      <c r="F203" s="146"/>
      <c r="G203" s="118"/>
      <c r="H203" s="146"/>
      <c r="I203" s="29"/>
    </row>
    <row r="204" spans="1:9" s="231" customFormat="1">
      <c r="A204" s="120">
        <v>4</v>
      </c>
      <c r="B204" s="47" t="s">
        <v>167</v>
      </c>
      <c r="C204" s="47"/>
      <c r="D204" s="47"/>
      <c r="E204" s="74">
        <v>4844</v>
      </c>
      <c r="F204" s="52">
        <v>4706</v>
      </c>
      <c r="G204" s="118"/>
      <c r="H204" s="122">
        <f>6478+450</f>
        <v>6928</v>
      </c>
      <c r="I204" s="29"/>
    </row>
    <row r="205" spans="1:9" s="231" customFormat="1">
      <c r="A205" s="120">
        <v>5</v>
      </c>
      <c r="B205" s="47" t="s">
        <v>168</v>
      </c>
      <c r="C205" s="47"/>
      <c r="D205" s="47"/>
      <c r="E205" s="49">
        <v>8841</v>
      </c>
      <c r="F205" s="52">
        <v>9738</v>
      </c>
      <c r="G205" s="118"/>
      <c r="H205" s="122">
        <f>9100</f>
        <v>9100</v>
      </c>
      <c r="I205" s="29"/>
    </row>
    <row r="206" spans="1:9" s="231" customFormat="1">
      <c r="A206" s="120">
        <v>6</v>
      </c>
      <c r="B206" s="47" t="s">
        <v>169</v>
      </c>
      <c r="C206" s="47"/>
      <c r="D206" s="47"/>
      <c r="E206" s="49">
        <v>172</v>
      </c>
      <c r="F206" s="52">
        <v>2810</v>
      </c>
      <c r="G206" s="118"/>
      <c r="H206" s="100">
        <v>3519</v>
      </c>
      <c r="I206" s="29"/>
    </row>
    <row r="207" spans="1:9" s="231" customFormat="1">
      <c r="A207" s="120">
        <v>7</v>
      </c>
      <c r="B207" s="116" t="s">
        <v>170</v>
      </c>
      <c r="C207" s="116"/>
      <c r="D207" s="116"/>
      <c r="E207" s="80">
        <v>13857</v>
      </c>
      <c r="F207" s="142">
        <f>SUM(F204:F206)</f>
        <v>17254</v>
      </c>
      <c r="G207" s="118"/>
      <c r="H207" s="142">
        <f>SUM(H204:H206)</f>
        <v>19547</v>
      </c>
      <c r="I207" s="29"/>
    </row>
    <row r="208" spans="1:9" s="231" customFormat="1">
      <c r="A208" s="46"/>
      <c r="B208" s="132"/>
      <c r="C208" s="132"/>
      <c r="D208" s="132"/>
      <c r="E208" s="156"/>
      <c r="F208" s="139"/>
      <c r="G208" s="139"/>
      <c r="H208" s="139"/>
      <c r="I208" s="29"/>
    </row>
    <row r="209" spans="1:9" s="231" customFormat="1">
      <c r="A209" s="153" t="s">
        <v>121</v>
      </c>
      <c r="B209" s="168"/>
      <c r="C209" s="168"/>
      <c r="D209" s="168"/>
      <c r="E209" s="140"/>
      <c r="F209" s="146"/>
      <c r="G209" s="118"/>
      <c r="H209" s="146"/>
      <c r="I209" s="29"/>
    </row>
    <row r="210" spans="1:9" s="231" customFormat="1">
      <c r="A210" s="120">
        <v>8</v>
      </c>
      <c r="B210" s="47" t="s">
        <v>171</v>
      </c>
      <c r="C210" s="47"/>
      <c r="D210" s="47"/>
      <c r="E210" s="74">
        <v>177</v>
      </c>
      <c r="F210" s="52">
        <v>153</v>
      </c>
      <c r="G210" s="118"/>
      <c r="H210" s="122">
        <v>120</v>
      </c>
      <c r="I210" s="29"/>
    </row>
    <row r="211" spans="1:9" s="231" customFormat="1">
      <c r="A211" s="120">
        <v>9</v>
      </c>
      <c r="B211" s="47" t="s">
        <v>172</v>
      </c>
      <c r="C211" s="47"/>
      <c r="D211" s="47"/>
      <c r="E211" s="49">
        <v>0</v>
      </c>
      <c r="F211" s="52">
        <v>0</v>
      </c>
      <c r="G211" s="118"/>
      <c r="H211" s="122">
        <v>0</v>
      </c>
      <c r="I211" s="29"/>
    </row>
    <row r="212" spans="1:9" s="231" customFormat="1">
      <c r="A212" s="120">
        <v>10</v>
      </c>
      <c r="B212" s="47" t="s">
        <v>173</v>
      </c>
      <c r="C212" s="47"/>
      <c r="D212" s="47"/>
      <c r="E212" s="49">
        <v>391</v>
      </c>
      <c r="F212" s="52">
        <v>381</v>
      </c>
      <c r="G212" s="118"/>
      <c r="H212" s="122">
        <v>394</v>
      </c>
      <c r="I212" s="29"/>
    </row>
    <row r="213" spans="1:9" s="231" customFormat="1">
      <c r="A213" s="120">
        <v>11</v>
      </c>
      <c r="B213" s="47" t="s">
        <v>174</v>
      </c>
      <c r="C213" s="47"/>
      <c r="D213" s="47"/>
      <c r="E213" s="49">
        <v>4407</v>
      </c>
      <c r="F213" s="52">
        <v>4377</v>
      </c>
      <c r="G213" s="118"/>
      <c r="H213" s="99">
        <v>4394</v>
      </c>
      <c r="I213" s="29"/>
    </row>
    <row r="214" spans="1:9" s="231" customFormat="1">
      <c r="A214" s="120">
        <v>12</v>
      </c>
      <c r="B214" s="116" t="s">
        <v>175</v>
      </c>
      <c r="C214" s="116"/>
      <c r="D214" s="116"/>
      <c r="E214" s="159">
        <v>19958</v>
      </c>
      <c r="F214" s="61">
        <f>F201+F207+SUM(F210:F213)</f>
        <v>22613</v>
      </c>
      <c r="G214" s="118"/>
      <c r="H214" s="61">
        <f>H201+H207+SUM(H210:H213)</f>
        <v>25232</v>
      </c>
      <c r="I214" s="29"/>
    </row>
    <row r="215" spans="1:9" s="231" customFormat="1">
      <c r="A215" s="111"/>
      <c r="B215" s="47"/>
      <c r="C215" s="47"/>
      <c r="D215" s="47"/>
      <c r="E215" s="117"/>
      <c r="F215" s="118"/>
      <c r="G215" s="118"/>
      <c r="H215" s="118"/>
      <c r="I215" s="29"/>
    </row>
    <row r="216" spans="1:9" s="231" customFormat="1">
      <c r="A216" s="119" t="s">
        <v>176</v>
      </c>
      <c r="B216" s="116"/>
      <c r="C216" s="116"/>
      <c r="D216" s="116"/>
      <c r="E216" s="117"/>
      <c r="F216" s="160"/>
      <c r="G216" s="118"/>
      <c r="H216" s="160"/>
      <c r="I216" s="29"/>
    </row>
    <row r="217" spans="1:9" s="231" customFormat="1">
      <c r="A217" s="120">
        <v>13</v>
      </c>
      <c r="B217" s="47" t="s">
        <v>177</v>
      </c>
      <c r="C217" s="47"/>
      <c r="D217" s="47"/>
      <c r="E217" s="41">
        <v>7</v>
      </c>
      <c r="F217" s="121">
        <v>0</v>
      </c>
      <c r="G217" s="118"/>
      <c r="H217" s="169">
        <v>0</v>
      </c>
      <c r="I217" s="29"/>
    </row>
    <row r="218" spans="1:9" s="231" customFormat="1">
      <c r="A218" s="124">
        <v>14</v>
      </c>
      <c r="B218" s="54" t="s">
        <v>178</v>
      </c>
      <c r="C218" s="54"/>
      <c r="D218" s="54"/>
      <c r="E218" s="56">
        <v>2865</v>
      </c>
      <c r="F218" s="126">
        <v>2803</v>
      </c>
      <c r="G218" s="118"/>
      <c r="H218" s="100">
        <v>2804</v>
      </c>
      <c r="I218" s="29"/>
    </row>
    <row r="219" spans="1:9" s="231" customFormat="1">
      <c r="A219" s="148"/>
      <c r="B219" s="29"/>
      <c r="C219" s="29"/>
      <c r="D219" s="170"/>
      <c r="E219" s="171"/>
      <c r="F219" s="29"/>
      <c r="G219" s="29"/>
      <c r="H219" s="207"/>
      <c r="I219" s="29"/>
    </row>
    <row r="220" spans="1:9" s="231" customFormat="1">
      <c r="A220" s="148"/>
      <c r="B220" s="29"/>
      <c r="C220" s="29"/>
      <c r="D220" s="172"/>
      <c r="E220" s="152"/>
      <c r="F220" s="29"/>
      <c r="G220" s="29"/>
      <c r="H220" s="131" t="s">
        <v>27</v>
      </c>
      <c r="I220" s="29"/>
    </row>
    <row r="221" spans="1:9" s="231" customFormat="1" ht="12.75" customHeight="1">
      <c r="A221" s="106" t="s">
        <v>10</v>
      </c>
      <c r="B221" s="164"/>
      <c r="C221" s="164"/>
      <c r="D221" s="164"/>
      <c r="E221" s="856" t="s">
        <v>377</v>
      </c>
      <c r="F221" s="856" t="s">
        <v>402</v>
      </c>
      <c r="G221" s="130"/>
      <c r="H221" s="856" t="s">
        <v>403</v>
      </c>
      <c r="I221" s="130"/>
    </row>
    <row r="222" spans="1:9" s="231" customFormat="1">
      <c r="A222" s="109"/>
      <c r="B222" s="132"/>
      <c r="C222" s="132"/>
      <c r="D222" s="132"/>
      <c r="E222" s="859"/>
      <c r="F222" s="859"/>
      <c r="G222" s="130"/>
      <c r="H222" s="859"/>
      <c r="I222" s="130"/>
    </row>
    <row r="223" spans="1:9" s="231" customFormat="1">
      <c r="A223" s="154" t="s">
        <v>179</v>
      </c>
      <c r="B223" s="116"/>
      <c r="C223" s="116"/>
      <c r="D223" s="116"/>
      <c r="E223" s="859"/>
      <c r="F223" s="859"/>
      <c r="G223" s="130"/>
      <c r="H223" s="859"/>
      <c r="I223" s="130"/>
    </row>
    <row r="224" spans="1:9" s="231" customFormat="1">
      <c r="A224" s="109" t="s">
        <v>83</v>
      </c>
      <c r="B224" s="47"/>
      <c r="C224" s="47"/>
      <c r="D224" s="47"/>
      <c r="E224" s="859"/>
      <c r="F224" s="859"/>
      <c r="G224" s="130"/>
      <c r="H224" s="859"/>
      <c r="I224" s="130"/>
    </row>
    <row r="225" spans="1:9" s="231" customFormat="1">
      <c r="A225" s="110" t="s">
        <v>84</v>
      </c>
      <c r="B225" s="132"/>
      <c r="C225" s="132"/>
      <c r="D225" s="132"/>
      <c r="E225" s="860"/>
      <c r="F225" s="860"/>
      <c r="G225" s="130"/>
      <c r="H225" s="860"/>
      <c r="I225" s="130"/>
    </row>
    <row r="226" spans="1:9" s="231" customFormat="1">
      <c r="A226" s="120">
        <v>1</v>
      </c>
      <c r="B226" s="47" t="s">
        <v>180</v>
      </c>
      <c r="C226" s="47"/>
      <c r="D226" s="47"/>
      <c r="E226" s="41">
        <v>-234</v>
      </c>
      <c r="F226" s="52">
        <v>-52</v>
      </c>
      <c r="G226" s="118"/>
      <c r="H226" s="133">
        <v>-182</v>
      </c>
      <c r="I226" s="29"/>
    </row>
    <row r="227" spans="1:9" s="231" customFormat="1">
      <c r="A227" s="120">
        <v>2</v>
      </c>
      <c r="B227" s="47" t="s">
        <v>181</v>
      </c>
      <c r="C227" s="47"/>
      <c r="D227" s="47"/>
      <c r="E227" s="49">
        <v>0</v>
      </c>
      <c r="F227" s="52">
        <v>-133</v>
      </c>
      <c r="G227" s="118"/>
      <c r="H227" s="122">
        <v>-7</v>
      </c>
      <c r="I227" s="29"/>
    </row>
    <row r="228" spans="1:9" s="231" customFormat="1">
      <c r="A228" s="120">
        <v>3</v>
      </c>
      <c r="B228" s="47" t="s">
        <v>182</v>
      </c>
      <c r="C228" s="47"/>
      <c r="D228" s="47"/>
      <c r="E228" s="114">
        <v>736</v>
      </c>
      <c r="F228" s="52">
        <v>598</v>
      </c>
      <c r="G228" s="118"/>
      <c r="H228" s="122">
        <v>1587</v>
      </c>
      <c r="I228" s="29"/>
    </row>
    <row r="229" spans="1:9" s="231" customFormat="1">
      <c r="A229" s="120">
        <v>4</v>
      </c>
      <c r="B229" s="47" t="s">
        <v>183</v>
      </c>
      <c r="C229" s="47"/>
      <c r="D229" s="47"/>
      <c r="E229" s="114">
        <v>1397</v>
      </c>
      <c r="F229" s="52">
        <v>1161</v>
      </c>
      <c r="G229" s="118"/>
      <c r="H229" s="122">
        <v>2388</v>
      </c>
      <c r="I229" s="29"/>
    </row>
    <row r="230" spans="1:9" s="231" customFormat="1">
      <c r="A230" s="120">
        <v>5</v>
      </c>
      <c r="B230" s="47" t="s">
        <v>184</v>
      </c>
      <c r="C230" s="47"/>
      <c r="D230" s="47"/>
      <c r="E230" s="114">
        <v>8525</v>
      </c>
      <c r="F230" s="52">
        <v>8712</v>
      </c>
      <c r="G230" s="118"/>
      <c r="H230" s="99">
        <v>6594</v>
      </c>
      <c r="I230" s="29"/>
    </row>
    <row r="231" spans="1:9" s="231" customFormat="1">
      <c r="A231" s="124">
        <v>6</v>
      </c>
      <c r="B231" s="173" t="s">
        <v>185</v>
      </c>
      <c r="C231" s="173"/>
      <c r="D231" s="173"/>
      <c r="E231" s="159">
        <v>10424</v>
      </c>
      <c r="F231" s="61">
        <f>SUM(F226:F230)</f>
        <v>10286</v>
      </c>
      <c r="G231" s="118"/>
      <c r="H231" s="61">
        <f>SUM(H226:H230)</f>
        <v>10380</v>
      </c>
      <c r="I231" s="29"/>
    </row>
    <row r="232" spans="1:9" s="231" customFormat="1">
      <c r="A232" s="148"/>
      <c r="B232" s="29"/>
      <c r="C232" s="29"/>
      <c r="D232" s="170"/>
      <c r="E232" s="150"/>
      <c r="F232" s="29"/>
      <c r="G232" s="29"/>
      <c r="H232" s="207"/>
      <c r="I232" s="29"/>
    </row>
    <row r="233" spans="1:9" s="231" customFormat="1">
      <c r="A233" s="148"/>
      <c r="B233" s="29"/>
      <c r="C233" s="29"/>
      <c r="D233" s="172"/>
      <c r="E233" s="152"/>
      <c r="F233" s="29"/>
      <c r="G233" s="29"/>
      <c r="H233" s="131" t="s">
        <v>27</v>
      </c>
      <c r="I233" s="29"/>
    </row>
    <row r="234" spans="1:9" s="231" customFormat="1" ht="12.75" customHeight="1">
      <c r="A234" s="106" t="s">
        <v>12</v>
      </c>
      <c r="B234" s="164"/>
      <c r="C234" s="164"/>
      <c r="D234" s="164"/>
      <c r="E234" s="856" t="s">
        <v>377</v>
      </c>
      <c r="F234" s="856" t="s">
        <v>402</v>
      </c>
      <c r="G234" s="130"/>
      <c r="H234" s="856" t="s">
        <v>403</v>
      </c>
      <c r="I234" s="130"/>
    </row>
    <row r="235" spans="1:9" s="231" customFormat="1">
      <c r="A235" s="165"/>
      <c r="B235" s="47"/>
      <c r="C235" s="47"/>
      <c r="D235" s="47"/>
      <c r="E235" s="859"/>
      <c r="F235" s="859"/>
      <c r="G235" s="130"/>
      <c r="H235" s="859"/>
      <c r="I235" s="130"/>
    </row>
    <row r="236" spans="1:9" s="231" customFormat="1">
      <c r="A236" s="154" t="s">
        <v>186</v>
      </c>
      <c r="B236" s="174"/>
      <c r="C236" s="174"/>
      <c r="D236" s="174"/>
      <c r="E236" s="859"/>
      <c r="F236" s="859"/>
      <c r="G236" s="130"/>
      <c r="H236" s="859"/>
      <c r="I236" s="130"/>
    </row>
    <row r="237" spans="1:9" s="231" customFormat="1">
      <c r="A237" s="109" t="s">
        <v>83</v>
      </c>
      <c r="B237" s="47"/>
      <c r="C237" s="47"/>
      <c r="D237" s="47"/>
      <c r="E237" s="859"/>
      <c r="F237" s="859"/>
      <c r="G237" s="130"/>
      <c r="H237" s="859"/>
      <c r="I237" s="130"/>
    </row>
    <row r="238" spans="1:9" s="231" customFormat="1">
      <c r="A238" s="110" t="s">
        <v>84</v>
      </c>
      <c r="B238" s="174"/>
      <c r="C238" s="174"/>
      <c r="D238" s="174"/>
      <c r="E238" s="860"/>
      <c r="F238" s="860"/>
      <c r="G238" s="130"/>
      <c r="H238" s="860"/>
      <c r="I238" s="130"/>
    </row>
    <row r="239" spans="1:9" s="231" customFormat="1">
      <c r="A239" s="153" t="s">
        <v>187</v>
      </c>
      <c r="B239" s="116"/>
      <c r="C239" s="116"/>
      <c r="D239" s="116"/>
      <c r="E239" s="167"/>
      <c r="F239" s="146"/>
      <c r="G239" s="118"/>
      <c r="H239" s="146"/>
      <c r="I239" s="29"/>
    </row>
    <row r="240" spans="1:9" s="231" customFormat="1">
      <c r="A240" s="120">
        <v>1</v>
      </c>
      <c r="B240" s="47" t="s">
        <v>188</v>
      </c>
      <c r="C240" s="47"/>
      <c r="D240" s="47"/>
      <c r="E240" s="74">
        <v>1014</v>
      </c>
      <c r="F240" s="52">
        <v>993</v>
      </c>
      <c r="G240" s="118"/>
      <c r="H240" s="122">
        <v>1196</v>
      </c>
      <c r="I240" s="29"/>
    </row>
    <row r="241" spans="1:9" s="231" customFormat="1">
      <c r="A241" s="830">
        <v>2</v>
      </c>
      <c r="B241" s="47" t="s">
        <v>189</v>
      </c>
      <c r="C241" s="47"/>
      <c r="D241" s="47"/>
      <c r="E241" s="114">
        <v>2477</v>
      </c>
      <c r="F241" s="52">
        <v>4404</v>
      </c>
      <c r="G241" s="118"/>
      <c r="H241" s="100">
        <v>4839</v>
      </c>
      <c r="I241" s="29"/>
    </row>
    <row r="242" spans="1:9" s="231" customFormat="1">
      <c r="A242" s="830">
        <v>3</v>
      </c>
      <c r="B242" s="168" t="s">
        <v>190</v>
      </c>
      <c r="C242" s="168"/>
      <c r="D242" s="168"/>
      <c r="E242" s="80">
        <v>3491</v>
      </c>
      <c r="F242" s="142">
        <f>SUM(F240:F241)</f>
        <v>5397</v>
      </c>
      <c r="G242" s="118"/>
      <c r="H242" s="142">
        <f>SUM(H240:H241)</f>
        <v>6035</v>
      </c>
      <c r="I242" s="29"/>
    </row>
    <row r="243" spans="1:9" s="231" customFormat="1">
      <c r="A243" s="830"/>
      <c r="B243" s="116"/>
      <c r="C243" s="116"/>
      <c r="D243" s="116"/>
      <c r="E243" s="117"/>
      <c r="F243" s="118"/>
      <c r="G243" s="118"/>
      <c r="H243" s="118"/>
      <c r="I243" s="29"/>
    </row>
    <row r="244" spans="1:9" s="231" customFormat="1">
      <c r="A244" s="108" t="s">
        <v>191</v>
      </c>
      <c r="B244" s="47"/>
      <c r="C244" s="47"/>
      <c r="D244" s="47"/>
      <c r="E244" s="140"/>
      <c r="F244" s="146"/>
      <c r="G244" s="118"/>
      <c r="H244" s="146"/>
      <c r="I244" s="29"/>
    </row>
    <row r="245" spans="1:9" s="231" customFormat="1">
      <c r="A245" s="830">
        <v>4</v>
      </c>
      <c r="B245" s="47" t="s">
        <v>192</v>
      </c>
      <c r="C245" s="47"/>
      <c r="D245" s="47"/>
      <c r="E245" s="74">
        <v>3479</v>
      </c>
      <c r="F245" s="52">
        <v>1540</v>
      </c>
      <c r="G245" s="118"/>
      <c r="H245" s="122">
        <v>1632</v>
      </c>
      <c r="I245" s="29"/>
    </row>
    <row r="246" spans="1:9" s="231" customFormat="1">
      <c r="A246" s="830">
        <v>5</v>
      </c>
      <c r="B246" s="47" t="s">
        <v>193</v>
      </c>
      <c r="C246" s="47"/>
      <c r="D246" s="47"/>
      <c r="E246" s="49">
        <v>187</v>
      </c>
      <c r="F246" s="52">
        <v>28</v>
      </c>
      <c r="G246" s="118"/>
      <c r="H246" s="100">
        <v>214</v>
      </c>
      <c r="I246" s="29"/>
    </row>
    <row r="247" spans="1:9" s="231" customFormat="1">
      <c r="A247" s="830">
        <v>6</v>
      </c>
      <c r="B247" s="116" t="s">
        <v>194</v>
      </c>
      <c r="C247" s="116"/>
      <c r="D247" s="116"/>
      <c r="E247" s="80">
        <v>3666</v>
      </c>
      <c r="F247" s="142">
        <f>SUM(F245:F246)</f>
        <v>1568</v>
      </c>
      <c r="G247" s="118"/>
      <c r="H247" s="142">
        <f>SUM(H245:H246)</f>
        <v>1846</v>
      </c>
      <c r="I247" s="29"/>
    </row>
    <row r="248" spans="1:9" s="231" customFormat="1">
      <c r="A248" s="830"/>
      <c r="B248" s="116"/>
      <c r="C248" s="116"/>
      <c r="D248" s="116"/>
      <c r="E248" s="117"/>
      <c r="F248" s="118"/>
      <c r="G248" s="118"/>
      <c r="H248" s="118"/>
      <c r="I248" s="29"/>
    </row>
    <row r="249" spans="1:9" s="231" customFormat="1">
      <c r="A249" s="108" t="s">
        <v>195</v>
      </c>
      <c r="B249" s="116"/>
      <c r="C249" s="116"/>
      <c r="D249" s="116"/>
      <c r="E249" s="140"/>
      <c r="F249" s="146"/>
      <c r="G249" s="118"/>
      <c r="H249" s="146"/>
      <c r="I249" s="29"/>
    </row>
    <row r="250" spans="1:9" s="231" customFormat="1">
      <c r="A250" s="830">
        <v>7</v>
      </c>
      <c r="B250" s="47" t="s">
        <v>196</v>
      </c>
      <c r="C250" s="47"/>
      <c r="D250" s="47"/>
      <c r="E250" s="74">
        <v>553</v>
      </c>
      <c r="F250" s="52">
        <v>384</v>
      </c>
      <c r="G250" s="118"/>
      <c r="H250" s="52">
        <v>1001</v>
      </c>
      <c r="I250" s="29"/>
    </row>
    <row r="251" spans="1:9" s="231" customFormat="1">
      <c r="A251" s="830">
        <v>8</v>
      </c>
      <c r="B251" s="47" t="s">
        <v>197</v>
      </c>
      <c r="C251" s="47"/>
      <c r="D251" s="47"/>
      <c r="E251" s="49">
        <v>4238</v>
      </c>
      <c r="F251" s="52">
        <v>4451</v>
      </c>
      <c r="G251" s="118"/>
      <c r="H251" s="122">
        <v>5005</v>
      </c>
      <c r="I251" s="29"/>
    </row>
    <row r="252" spans="1:9" s="231" customFormat="1">
      <c r="A252" s="830">
        <v>9</v>
      </c>
      <c r="B252" s="47" t="s">
        <v>198</v>
      </c>
      <c r="C252" s="47"/>
      <c r="D252" s="47"/>
      <c r="E252" s="49">
        <v>8215</v>
      </c>
      <c r="F252" s="52">
        <v>5792</v>
      </c>
      <c r="G252" s="118"/>
      <c r="H252" s="122">
        <v>4696</v>
      </c>
      <c r="I252" s="29"/>
    </row>
    <row r="253" spans="1:9" s="231" customFormat="1">
      <c r="A253" s="830">
        <v>10</v>
      </c>
      <c r="B253" s="47" t="s">
        <v>199</v>
      </c>
      <c r="C253" s="47"/>
      <c r="D253" s="47"/>
      <c r="E253" s="49">
        <v>945</v>
      </c>
      <c r="F253" s="52">
        <v>1247</v>
      </c>
      <c r="G253" s="118"/>
      <c r="H253" s="100">
        <v>1365</v>
      </c>
      <c r="I253" s="29"/>
    </row>
    <row r="254" spans="1:9" s="231" customFormat="1">
      <c r="A254" s="830">
        <v>11</v>
      </c>
      <c r="B254" s="116" t="s">
        <v>200</v>
      </c>
      <c r="C254" s="116"/>
      <c r="D254" s="116"/>
      <c r="E254" s="80">
        <v>13951</v>
      </c>
      <c r="F254" s="142">
        <f>SUM(F250:F253)</f>
        <v>11874</v>
      </c>
      <c r="G254" s="118"/>
      <c r="H254" s="142">
        <f>SUM(H250:H253)</f>
        <v>12067</v>
      </c>
      <c r="I254" s="260"/>
    </row>
    <row r="255" spans="1:9" s="231" customFormat="1">
      <c r="A255" s="830"/>
      <c r="B255" s="116"/>
      <c r="C255" s="116"/>
      <c r="D255" s="116"/>
      <c r="E255" s="117"/>
      <c r="F255" s="118"/>
      <c r="G255" s="118"/>
      <c r="H255" s="118"/>
      <c r="I255" s="29"/>
    </row>
    <row r="256" spans="1:9" s="231" customFormat="1">
      <c r="A256" s="830">
        <v>12</v>
      </c>
      <c r="B256" s="47" t="s">
        <v>201</v>
      </c>
      <c r="C256" s="47"/>
      <c r="D256" s="47"/>
      <c r="E256" s="176">
        <v>2574</v>
      </c>
      <c r="F256" s="136">
        <v>2514</v>
      </c>
      <c r="G256" s="118"/>
      <c r="H256" s="177">
        <v>3069</v>
      </c>
      <c r="I256" s="260"/>
    </row>
    <row r="257" spans="1:9" s="231" customFormat="1">
      <c r="A257" s="124">
        <v>13</v>
      </c>
      <c r="B257" s="94" t="s">
        <v>202</v>
      </c>
      <c r="C257" s="94"/>
      <c r="D257" s="94"/>
      <c r="E257" s="159">
        <v>23682</v>
      </c>
      <c r="F257" s="61">
        <f>F242+F247+F254+F256</f>
        <v>21353</v>
      </c>
      <c r="G257" s="118"/>
      <c r="H257" s="61">
        <f>H242+H247+H254+H256</f>
        <v>23017</v>
      </c>
      <c r="I257" s="21"/>
    </row>
    <row r="258" spans="1:9" s="231" customFormat="1">
      <c r="A258" s="207"/>
      <c r="B258" s="207"/>
      <c r="C258" s="207"/>
      <c r="D258" s="208"/>
      <c r="E258" s="208"/>
      <c r="F258" s="207"/>
      <c r="G258" s="207"/>
      <c r="H258" s="207"/>
      <c r="I258" s="21"/>
    </row>
    <row r="259" spans="1:9" s="231" customFormat="1">
      <c r="A259" s="23"/>
      <c r="B259" s="207"/>
      <c r="C259" s="207"/>
      <c r="D259" s="207"/>
      <c r="E259" s="207"/>
      <c r="F259" s="207"/>
      <c r="G259" s="207"/>
      <c r="H259" s="21"/>
      <c r="I259" s="21"/>
    </row>
    <row r="260" spans="1:9" s="231" customFormat="1">
      <c r="A260" s="148"/>
      <c r="B260" s="29"/>
      <c r="C260" s="29"/>
      <c r="D260" s="172"/>
      <c r="E260" s="152"/>
      <c r="F260" s="29"/>
      <c r="G260" s="29"/>
      <c r="H260" s="131" t="s">
        <v>27</v>
      </c>
      <c r="I260" s="21"/>
    </row>
    <row r="261" spans="1:9" s="231" customFormat="1" ht="12.75" customHeight="1">
      <c r="A261" s="106" t="s">
        <v>15</v>
      </c>
      <c r="B261" s="164"/>
      <c r="C261" s="164"/>
      <c r="D261" s="164"/>
      <c r="E261" s="856" t="s">
        <v>377</v>
      </c>
      <c r="F261" s="856" t="s">
        <v>402</v>
      </c>
      <c r="G261" s="130"/>
      <c r="H261" s="856" t="s">
        <v>403</v>
      </c>
      <c r="I261" s="21"/>
    </row>
    <row r="262" spans="1:9" s="231" customFormat="1">
      <c r="A262" s="165"/>
      <c r="B262" s="47"/>
      <c r="C262" s="47"/>
      <c r="D262" s="47"/>
      <c r="E262" s="859"/>
      <c r="F262" s="859"/>
      <c r="G262" s="130"/>
      <c r="H262" s="859"/>
      <c r="I262" s="21"/>
    </row>
    <row r="263" spans="1:9" s="231" customFormat="1">
      <c r="A263" s="109"/>
      <c r="B263" s="174"/>
      <c r="C263" s="174"/>
      <c r="D263" s="174"/>
      <c r="E263" s="859"/>
      <c r="F263" s="859"/>
      <c r="G263" s="130"/>
      <c r="H263" s="859"/>
      <c r="I263" s="21"/>
    </row>
    <row r="264" spans="1:9" s="231" customFormat="1">
      <c r="A264" s="154" t="s">
        <v>203</v>
      </c>
      <c r="B264" s="47"/>
      <c r="C264" s="47"/>
      <c r="D264" s="47"/>
      <c r="E264" s="859"/>
      <c r="F264" s="859"/>
      <c r="G264" s="130"/>
      <c r="H264" s="859"/>
      <c r="I264" s="21"/>
    </row>
    <row r="265" spans="1:9" s="231" customFormat="1">
      <c r="A265" s="109" t="s">
        <v>83</v>
      </c>
      <c r="B265" s="174"/>
      <c r="C265" s="174"/>
      <c r="D265" s="174"/>
      <c r="E265" s="860"/>
      <c r="F265" s="860"/>
      <c r="G265" s="130"/>
      <c r="H265" s="860"/>
      <c r="I265" s="21"/>
    </row>
    <row r="266" spans="1:9" s="231" customFormat="1">
      <c r="A266" s="110" t="s">
        <v>84</v>
      </c>
      <c r="B266" s="116"/>
      <c r="C266" s="116"/>
      <c r="D266" s="116"/>
      <c r="E266" s="178"/>
      <c r="F266" s="146"/>
      <c r="G266" s="118"/>
      <c r="H266" s="146"/>
      <c r="I266" s="21"/>
    </row>
    <row r="267" spans="1:9" s="231" customFormat="1">
      <c r="A267" s="120">
        <v>1</v>
      </c>
      <c r="B267" s="47" t="s">
        <v>204</v>
      </c>
      <c r="C267" s="47"/>
      <c r="D267" s="47"/>
      <c r="E267" s="74">
        <v>1</v>
      </c>
      <c r="F267" s="52">
        <v>-23</v>
      </c>
      <c r="G267" s="118"/>
      <c r="H267" s="122">
        <v>-23</v>
      </c>
      <c r="I267" s="21"/>
    </row>
    <row r="268" spans="1:9" s="231" customFormat="1">
      <c r="A268" s="830">
        <v>2</v>
      </c>
      <c r="B268" s="166" t="s">
        <v>205</v>
      </c>
      <c r="C268" s="166"/>
      <c r="D268" s="47"/>
      <c r="E268" s="114">
        <v>352</v>
      </c>
      <c r="F268" s="52">
        <v>433</v>
      </c>
      <c r="G268" s="118"/>
      <c r="H268" s="122">
        <v>527</v>
      </c>
      <c r="I268" s="21"/>
    </row>
    <row r="269" spans="1:9" s="231" customFormat="1">
      <c r="A269" s="120">
        <v>3</v>
      </c>
      <c r="B269" s="47" t="s">
        <v>206</v>
      </c>
      <c r="C269" s="47"/>
      <c r="D269" s="168"/>
      <c r="E269" s="114">
        <v>126</v>
      </c>
      <c r="F269" s="52">
        <v>15</v>
      </c>
      <c r="G269" s="118"/>
      <c r="H269" s="122">
        <v>76</v>
      </c>
      <c r="I269" s="21"/>
    </row>
    <row r="270" spans="1:9" s="231" customFormat="1">
      <c r="A270" s="830">
        <v>4</v>
      </c>
      <c r="B270" s="47" t="s">
        <v>207</v>
      </c>
      <c r="C270" s="47"/>
      <c r="D270" s="116"/>
      <c r="E270" s="114">
        <v>0</v>
      </c>
      <c r="F270" s="52">
        <v>0</v>
      </c>
      <c r="G270" s="118"/>
      <c r="H270" s="122">
        <v>0</v>
      </c>
      <c r="I270" s="21"/>
    </row>
    <row r="271" spans="1:9" s="231" customFormat="1">
      <c r="A271" s="120">
        <v>5</v>
      </c>
      <c r="B271" s="47" t="s">
        <v>208</v>
      </c>
      <c r="C271" s="47"/>
      <c r="D271" s="47"/>
      <c r="E271" s="114">
        <v>513</v>
      </c>
      <c r="F271" s="52">
        <v>453</v>
      </c>
      <c r="G271" s="118"/>
      <c r="H271" s="122">
        <v>696</v>
      </c>
      <c r="I271" s="21"/>
    </row>
    <row r="272" spans="1:9" s="231" customFormat="1">
      <c r="A272" s="830">
        <v>6</v>
      </c>
      <c r="B272" s="47" t="s">
        <v>209</v>
      </c>
      <c r="C272" s="47"/>
      <c r="D272" s="47"/>
      <c r="E272" s="114">
        <v>-305</v>
      </c>
      <c r="F272" s="52">
        <v>-305</v>
      </c>
      <c r="G272" s="118"/>
      <c r="H272" s="122">
        <v>-309</v>
      </c>
      <c r="I272" s="21"/>
    </row>
    <row r="273" spans="1:9" s="231" customFormat="1">
      <c r="A273" s="120">
        <v>7</v>
      </c>
      <c r="B273" s="47" t="s">
        <v>210</v>
      </c>
      <c r="C273" s="47"/>
      <c r="D273" s="47"/>
      <c r="E273" s="114">
        <v>2274</v>
      </c>
      <c r="F273" s="52">
        <v>2171</v>
      </c>
      <c r="G273" s="118"/>
      <c r="H273" s="122">
        <v>2882</v>
      </c>
      <c r="I273" s="21"/>
    </row>
    <row r="274" spans="1:9" s="231" customFormat="1">
      <c r="A274" s="830">
        <v>8</v>
      </c>
      <c r="B274" s="47" t="s">
        <v>211</v>
      </c>
      <c r="C274" s="47"/>
      <c r="D274" s="47"/>
      <c r="E274" s="114">
        <v>1589</v>
      </c>
      <c r="F274" s="52">
        <v>1358</v>
      </c>
      <c r="G274" s="118"/>
      <c r="H274" s="122">
        <v>2117</v>
      </c>
      <c r="I274" s="21"/>
    </row>
    <row r="275" spans="1:9" s="231" customFormat="1">
      <c r="A275" s="120">
        <v>9</v>
      </c>
      <c r="B275" s="47" t="s">
        <v>212</v>
      </c>
      <c r="C275" s="47"/>
      <c r="D275" s="47"/>
      <c r="E275" s="114">
        <v>154</v>
      </c>
      <c r="F275" s="52">
        <v>156</v>
      </c>
      <c r="G275" s="118"/>
      <c r="H275" s="122">
        <v>157</v>
      </c>
      <c r="I275" s="21"/>
    </row>
    <row r="276" spans="1:9" s="231" customFormat="1">
      <c r="A276" s="830">
        <v>10</v>
      </c>
      <c r="B276" s="47" t="s">
        <v>213</v>
      </c>
      <c r="C276" s="47"/>
      <c r="D276" s="47"/>
      <c r="E276" s="114">
        <v>-150</v>
      </c>
      <c r="F276" s="52">
        <v>-245</v>
      </c>
      <c r="G276" s="118"/>
      <c r="H276" s="99">
        <v>-246</v>
      </c>
      <c r="I276" s="21"/>
    </row>
    <row r="277" spans="1:9" s="231" customFormat="1">
      <c r="A277" s="124">
        <v>11</v>
      </c>
      <c r="B277" s="94" t="s">
        <v>214</v>
      </c>
      <c r="C277" s="94"/>
      <c r="D277" s="94"/>
      <c r="E277" s="159">
        <v>4554</v>
      </c>
      <c r="F277" s="61">
        <f>SUM(F267:F276)</f>
        <v>4013</v>
      </c>
      <c r="G277" s="118"/>
      <c r="H277" s="61">
        <f>SUM(H267:H276)</f>
        <v>5877</v>
      </c>
      <c r="I277" s="21"/>
    </row>
    <row r="278" spans="1:9" s="231" customFormat="1">
      <c r="A278" s="207"/>
      <c r="B278" s="207"/>
      <c r="C278" s="207"/>
      <c r="D278" s="207"/>
      <c r="E278" s="207"/>
      <c r="F278" s="207"/>
      <c r="G278" s="207"/>
      <c r="H278" s="207"/>
      <c r="I278" s="21"/>
    </row>
    <row r="279" spans="1:9" s="231" customFormat="1">
      <c r="A279" s="207"/>
      <c r="B279" s="207"/>
      <c r="C279" s="207"/>
      <c r="D279" s="207"/>
      <c r="E279" s="207"/>
      <c r="F279" s="207"/>
      <c r="G279" s="207"/>
      <c r="H279" s="131" t="s">
        <v>27</v>
      </c>
      <c r="I279" s="21"/>
    </row>
    <row r="280" spans="1:9" s="231" customFormat="1" ht="12.75" customHeight="1">
      <c r="A280" s="106" t="s">
        <v>18</v>
      </c>
      <c r="B280" s="164"/>
      <c r="C280" s="164"/>
      <c r="D280" s="164"/>
      <c r="E280" s="856" t="s">
        <v>377</v>
      </c>
      <c r="F280" s="856" t="s">
        <v>402</v>
      </c>
      <c r="G280" s="130"/>
      <c r="H280" s="856" t="s">
        <v>403</v>
      </c>
      <c r="I280" s="21"/>
    </row>
    <row r="281" spans="1:9" s="231" customFormat="1">
      <c r="A281" s="165"/>
      <c r="B281" s="47"/>
      <c r="C281" s="47"/>
      <c r="D281" s="47"/>
      <c r="E281" s="859"/>
      <c r="F281" s="859"/>
      <c r="G281" s="130"/>
      <c r="H281" s="859"/>
      <c r="I281" s="21"/>
    </row>
    <row r="282" spans="1:9" s="231" customFormat="1" ht="21.75" customHeight="1">
      <c r="A282" s="109"/>
      <c r="B282" s="174"/>
      <c r="C282" s="174"/>
      <c r="D282" s="174"/>
      <c r="E282" s="859"/>
      <c r="F282" s="859"/>
      <c r="G282" s="130"/>
      <c r="H282" s="859"/>
      <c r="I282" s="21"/>
    </row>
    <row r="283" spans="1:9" s="231" customFormat="1">
      <c r="A283" s="154" t="s">
        <v>215</v>
      </c>
      <c r="B283" s="47"/>
      <c r="C283" s="47"/>
      <c r="D283" s="47"/>
      <c r="E283" s="859"/>
      <c r="F283" s="859"/>
      <c r="G283" s="130"/>
      <c r="H283" s="859"/>
      <c r="I283" s="21"/>
    </row>
    <row r="284" spans="1:9" s="231" customFormat="1">
      <c r="A284" s="109" t="s">
        <v>83</v>
      </c>
      <c r="B284" s="174"/>
      <c r="C284" s="174"/>
      <c r="D284" s="174"/>
      <c r="E284" s="860"/>
      <c r="F284" s="860"/>
      <c r="G284" s="130"/>
      <c r="H284" s="860"/>
      <c r="I284" s="21"/>
    </row>
    <row r="285" spans="1:9" s="231" customFormat="1">
      <c r="A285" s="110" t="s">
        <v>84</v>
      </c>
      <c r="B285" s="116"/>
      <c r="C285" s="116"/>
      <c r="D285" s="116"/>
      <c r="E285" s="178"/>
      <c r="F285" s="146"/>
      <c r="G285" s="118"/>
      <c r="H285" s="146"/>
      <c r="I285" s="21"/>
    </row>
    <row r="286" spans="1:9" s="231" customFormat="1">
      <c r="A286" s="120">
        <v>1</v>
      </c>
      <c r="B286" s="47" t="s">
        <v>216</v>
      </c>
      <c r="C286" s="47"/>
      <c r="D286" s="47"/>
      <c r="E286" s="74">
        <v>845</v>
      </c>
      <c r="F286" s="52">
        <v>668</v>
      </c>
      <c r="G286" s="118"/>
      <c r="H286" s="122">
        <v>936</v>
      </c>
      <c r="I286" s="21"/>
    </row>
    <row r="287" spans="1:9" s="231" customFormat="1">
      <c r="A287" s="830">
        <v>2</v>
      </c>
      <c r="B287" s="47" t="s">
        <v>217</v>
      </c>
      <c r="C287" s="47"/>
      <c r="D287" s="47"/>
      <c r="E287" s="114">
        <v>767</v>
      </c>
      <c r="F287" s="52">
        <v>604</v>
      </c>
      <c r="G287" s="118"/>
      <c r="H287" s="122">
        <v>890</v>
      </c>
      <c r="I287" s="21"/>
    </row>
    <row r="288" spans="1:9" s="231" customFormat="1">
      <c r="A288" s="120">
        <v>3</v>
      </c>
      <c r="B288" s="90" t="s">
        <v>218</v>
      </c>
      <c r="C288" s="166"/>
      <c r="D288" s="168"/>
      <c r="E288" s="114">
        <v>2880</v>
      </c>
      <c r="F288" s="52">
        <v>3389</v>
      </c>
      <c r="G288" s="118"/>
      <c r="H288" s="122">
        <v>4381</v>
      </c>
      <c r="I288" s="21"/>
    </row>
    <row r="289" spans="1:9" s="231" customFormat="1">
      <c r="A289" s="830">
        <v>4</v>
      </c>
      <c r="B289" s="47" t="s">
        <v>219</v>
      </c>
      <c r="C289" s="47"/>
      <c r="D289" s="116"/>
      <c r="E289" s="114">
        <v>118</v>
      </c>
      <c r="F289" s="52">
        <v>115</v>
      </c>
      <c r="G289" s="118"/>
      <c r="H289" s="122">
        <v>119</v>
      </c>
      <c r="I289" s="21"/>
    </row>
    <row r="290" spans="1:9" s="231" customFormat="1">
      <c r="A290" s="830">
        <v>5</v>
      </c>
      <c r="B290" s="47" t="s">
        <v>220</v>
      </c>
      <c r="C290" s="47"/>
      <c r="D290" s="47"/>
      <c r="E290" s="114">
        <v>26</v>
      </c>
      <c r="F290" s="52">
        <v>32</v>
      </c>
      <c r="G290" s="118"/>
      <c r="H290" s="122">
        <v>31</v>
      </c>
      <c r="I290" s="21"/>
    </row>
    <row r="291" spans="1:9" s="231" customFormat="1">
      <c r="A291" s="120">
        <v>6</v>
      </c>
      <c r="B291" s="47" t="s">
        <v>221</v>
      </c>
      <c r="C291" s="47"/>
      <c r="D291" s="47"/>
      <c r="E291" s="114">
        <v>0</v>
      </c>
      <c r="F291" s="52">
        <v>0</v>
      </c>
      <c r="G291" s="118"/>
      <c r="H291" s="122">
        <v>0</v>
      </c>
      <c r="I291" s="21"/>
    </row>
    <row r="292" spans="1:9" s="231" customFormat="1">
      <c r="A292" s="830">
        <v>7</v>
      </c>
      <c r="B292" s="47" t="s">
        <v>222</v>
      </c>
      <c r="C292" s="47"/>
      <c r="D292" s="116"/>
      <c r="E292" s="114">
        <v>410</v>
      </c>
      <c r="F292" s="52">
        <v>418</v>
      </c>
      <c r="G292" s="118"/>
      <c r="H292" s="122">
        <v>434</v>
      </c>
      <c r="I292" s="21"/>
    </row>
    <row r="293" spans="1:9" s="231" customFormat="1">
      <c r="A293" s="120">
        <v>8</v>
      </c>
      <c r="B293" s="47" t="s">
        <v>223</v>
      </c>
      <c r="C293" s="47"/>
      <c r="D293" s="116"/>
      <c r="E293" s="114">
        <v>712</v>
      </c>
      <c r="F293" s="52">
        <v>726</v>
      </c>
      <c r="G293" s="118"/>
      <c r="H293" s="122">
        <v>754</v>
      </c>
      <c r="I293" s="21"/>
    </row>
    <row r="294" spans="1:9" s="231" customFormat="1">
      <c r="A294" s="830">
        <v>9</v>
      </c>
      <c r="B294" s="47" t="s">
        <v>224</v>
      </c>
      <c r="C294" s="47"/>
      <c r="D294" s="116"/>
      <c r="E294" s="114">
        <v>131</v>
      </c>
      <c r="F294" s="52">
        <v>134</v>
      </c>
      <c r="G294" s="118"/>
      <c r="H294" s="122">
        <v>139</v>
      </c>
      <c r="I294" s="21"/>
    </row>
    <row r="295" spans="1:9" s="231" customFormat="1">
      <c r="A295" s="120">
        <v>10</v>
      </c>
      <c r="B295" s="47" t="s">
        <v>225</v>
      </c>
      <c r="C295" s="47"/>
      <c r="D295" s="47"/>
      <c r="E295" s="114">
        <v>91</v>
      </c>
      <c r="F295" s="52">
        <v>105</v>
      </c>
      <c r="G295" s="118"/>
      <c r="H295" s="122">
        <v>123</v>
      </c>
      <c r="I295" s="21"/>
    </row>
    <row r="296" spans="1:9" s="231" customFormat="1">
      <c r="A296" s="830">
        <v>11</v>
      </c>
      <c r="B296" s="47" t="s">
        <v>226</v>
      </c>
      <c r="C296" s="47"/>
      <c r="D296" s="47"/>
      <c r="E296" s="114">
        <v>0</v>
      </c>
      <c r="F296" s="52">
        <v>0</v>
      </c>
      <c r="G296" s="118"/>
      <c r="H296" s="122">
        <v>0</v>
      </c>
      <c r="I296" s="21"/>
    </row>
    <row r="297" spans="1:9" s="231" customFormat="1">
      <c r="A297" s="120">
        <v>12</v>
      </c>
      <c r="B297" s="47" t="s">
        <v>227</v>
      </c>
      <c r="C297" s="47"/>
      <c r="D297" s="47"/>
      <c r="E297" s="114">
        <v>21</v>
      </c>
      <c r="F297" s="52">
        <v>25</v>
      </c>
      <c r="G297" s="118"/>
      <c r="H297" s="122">
        <v>26</v>
      </c>
      <c r="I297" s="21"/>
    </row>
    <row r="298" spans="1:9" s="231" customFormat="1">
      <c r="A298" s="830">
        <v>13</v>
      </c>
      <c r="B298" s="47" t="s">
        <v>228</v>
      </c>
      <c r="C298" s="47"/>
      <c r="D298" s="47"/>
      <c r="E298" s="114">
        <v>6356</v>
      </c>
      <c r="F298" s="52">
        <v>6356</v>
      </c>
      <c r="G298" s="118"/>
      <c r="H298" s="122">
        <v>6526</v>
      </c>
      <c r="I298" s="21"/>
    </row>
    <row r="299" spans="1:9" s="231" customFormat="1">
      <c r="A299" s="120">
        <v>14</v>
      </c>
      <c r="B299" s="47" t="s">
        <v>229</v>
      </c>
      <c r="C299" s="47"/>
      <c r="D299" s="116"/>
      <c r="E299" s="114">
        <v>0</v>
      </c>
      <c r="F299" s="52">
        <v>0</v>
      </c>
      <c r="G299" s="118"/>
      <c r="H299" s="122">
        <v>0</v>
      </c>
      <c r="I299" s="21"/>
    </row>
    <row r="300" spans="1:9" s="231" customFormat="1">
      <c r="A300" s="830">
        <v>15</v>
      </c>
      <c r="B300" s="47" t="s">
        <v>230</v>
      </c>
      <c r="C300" s="47"/>
      <c r="D300" s="116"/>
      <c r="E300" s="114">
        <v>4855</v>
      </c>
      <c r="F300" s="52">
        <v>4600</v>
      </c>
      <c r="G300" s="118"/>
      <c r="H300" s="122">
        <v>4990</v>
      </c>
      <c r="I300" s="21"/>
    </row>
    <row r="301" spans="1:9" s="231" customFormat="1">
      <c r="A301" s="120">
        <v>17</v>
      </c>
      <c r="B301" s="47" t="s">
        <v>231</v>
      </c>
      <c r="C301" s="47"/>
      <c r="D301" s="47"/>
      <c r="E301" s="114">
        <v>9859</v>
      </c>
      <c r="F301" s="52">
        <f>31233-1253-12156-9021</f>
        <v>8803</v>
      </c>
      <c r="G301" s="118"/>
      <c r="H301" s="99">
        <f>11387-1326+2-450-394</f>
        <v>9219</v>
      </c>
      <c r="I301" s="21"/>
    </row>
    <row r="302" spans="1:9" s="231" customFormat="1">
      <c r="A302" s="831">
        <v>18</v>
      </c>
      <c r="B302" s="94" t="s">
        <v>232</v>
      </c>
      <c r="C302" s="94"/>
      <c r="D302" s="94"/>
      <c r="E302" s="159">
        <v>27071</v>
      </c>
      <c r="F302" s="61">
        <f>SUM(F286:F301)</f>
        <v>25975</v>
      </c>
      <c r="G302" s="118"/>
      <c r="H302" s="61">
        <f>SUM(H286:H301)</f>
        <v>28568</v>
      </c>
      <c r="I302" s="21"/>
    </row>
    <row r="303" spans="1:9" s="231" customFormat="1">
      <c r="A303" s="179"/>
      <c r="B303" s="180"/>
      <c r="C303" s="180"/>
      <c r="D303" s="181"/>
      <c r="E303" s="182"/>
      <c r="F303" s="183"/>
      <c r="G303" s="21"/>
      <c r="H303" s="183"/>
      <c r="I303" s="21"/>
    </row>
    <row r="304" spans="1:9" s="231" customFormat="1">
      <c r="A304" s="184"/>
      <c r="B304" s="207"/>
      <c r="C304" s="207"/>
      <c r="D304" s="209"/>
      <c r="E304" s="185"/>
      <c r="F304" s="207"/>
      <c r="G304" s="207"/>
      <c r="H304" s="131" t="s">
        <v>27</v>
      </c>
      <c r="I304" s="21"/>
    </row>
    <row r="305" spans="1:9" s="231" customFormat="1" ht="12.75" customHeight="1">
      <c r="A305" s="106" t="s">
        <v>21</v>
      </c>
      <c r="B305" s="164"/>
      <c r="C305" s="164"/>
      <c r="D305" s="164"/>
      <c r="E305" s="856" t="s">
        <v>377</v>
      </c>
      <c r="F305" s="856" t="s">
        <v>402</v>
      </c>
      <c r="G305" s="130"/>
      <c r="H305" s="856" t="s">
        <v>403</v>
      </c>
      <c r="I305" s="21"/>
    </row>
    <row r="306" spans="1:9" s="231" customFormat="1">
      <c r="A306" s="165"/>
      <c r="B306" s="47"/>
      <c r="C306" s="47"/>
      <c r="D306" s="47"/>
      <c r="E306" s="859"/>
      <c r="F306" s="859"/>
      <c r="G306" s="130"/>
      <c r="H306" s="859"/>
      <c r="I306" s="21"/>
    </row>
    <row r="307" spans="1:9" s="231" customFormat="1" ht="12.75" customHeight="1">
      <c r="A307" s="109"/>
      <c r="B307" s="174"/>
      <c r="C307" s="174"/>
      <c r="D307" s="174"/>
      <c r="E307" s="859"/>
      <c r="F307" s="859"/>
      <c r="G307" s="130"/>
      <c r="H307" s="859"/>
      <c r="I307" s="21"/>
    </row>
    <row r="308" spans="1:9" s="231" customFormat="1">
      <c r="A308" s="154" t="s">
        <v>233</v>
      </c>
      <c r="B308" s="47"/>
      <c r="C308" s="47"/>
      <c r="D308" s="47"/>
      <c r="E308" s="859"/>
      <c r="F308" s="859"/>
      <c r="G308" s="130"/>
      <c r="H308" s="859"/>
      <c r="I308" s="21"/>
    </row>
    <row r="309" spans="1:9" s="231" customFormat="1">
      <c r="A309" s="109" t="s">
        <v>83</v>
      </c>
      <c r="B309" s="174"/>
      <c r="C309" s="174"/>
      <c r="D309" s="174"/>
      <c r="E309" s="860"/>
      <c r="F309" s="860"/>
      <c r="G309" s="130"/>
      <c r="H309" s="860"/>
      <c r="I309" s="21"/>
    </row>
    <row r="310" spans="1:9" s="231" customFormat="1">
      <c r="A310" s="110" t="s">
        <v>84</v>
      </c>
      <c r="B310" s="116"/>
      <c r="C310" s="116"/>
      <c r="D310" s="116"/>
      <c r="E310" s="262"/>
      <c r="F310" s="146"/>
      <c r="G310" s="118"/>
      <c r="H310" s="146"/>
      <c r="I310" s="21"/>
    </row>
    <row r="311" spans="1:9" s="231" customFormat="1">
      <c r="A311" s="120">
        <v>1</v>
      </c>
      <c r="B311" s="47" t="s">
        <v>258</v>
      </c>
      <c r="C311" s="47"/>
      <c r="D311" s="186"/>
      <c r="E311" s="74">
        <v>-1187</v>
      </c>
      <c r="F311" s="52">
        <v>-25</v>
      </c>
      <c r="G311" s="43"/>
      <c r="H311" s="52">
        <v>-25</v>
      </c>
      <c r="I311" s="21"/>
    </row>
    <row r="312" spans="1:9" s="231" customFormat="1">
      <c r="A312" s="120">
        <v>2</v>
      </c>
      <c r="B312" s="47" t="s">
        <v>234</v>
      </c>
      <c r="C312" s="47"/>
      <c r="D312" s="186"/>
      <c r="E312" s="114">
        <v>3500</v>
      </c>
      <c r="F312" s="52">
        <v>0</v>
      </c>
      <c r="G312" s="43"/>
      <c r="H312" s="52">
        <v>0</v>
      </c>
      <c r="I312" s="21"/>
    </row>
    <row r="313" spans="1:9" s="231" customFormat="1">
      <c r="A313" s="120">
        <v>3</v>
      </c>
      <c r="B313" s="47" t="s">
        <v>259</v>
      </c>
      <c r="C313" s="47"/>
      <c r="D313" s="186"/>
      <c r="E313" s="114">
        <v>-700</v>
      </c>
      <c r="F313" s="52">
        <v>-700</v>
      </c>
      <c r="G313" s="43"/>
      <c r="H313" s="52">
        <v>-800</v>
      </c>
      <c r="I313" s="21"/>
    </row>
    <row r="314" spans="1:9" s="231" customFormat="1">
      <c r="A314" s="120">
        <v>4</v>
      </c>
      <c r="B314" s="47" t="s">
        <v>235</v>
      </c>
      <c r="C314" s="47"/>
      <c r="D314" s="186"/>
      <c r="E314" s="114">
        <v>5500</v>
      </c>
      <c r="F314" s="52">
        <f>5500</f>
        <v>5500</v>
      </c>
      <c r="G314" s="43"/>
      <c r="H314" s="52">
        <f>5500</f>
        <v>5500</v>
      </c>
      <c r="I314" s="21"/>
    </row>
    <row r="315" spans="1:9" s="231" customFormat="1">
      <c r="A315" s="120">
        <v>5</v>
      </c>
      <c r="B315" s="47" t="s">
        <v>236</v>
      </c>
      <c r="C315" s="47"/>
      <c r="D315" s="186"/>
      <c r="E315" s="114">
        <v>2904</v>
      </c>
      <c r="F315" s="52">
        <v>2904</v>
      </c>
      <c r="G315" s="187"/>
      <c r="H315" s="52">
        <v>2836</v>
      </c>
      <c r="I315" s="21"/>
    </row>
    <row r="316" spans="1:9" s="231" customFormat="1">
      <c r="A316" s="120">
        <v>6</v>
      </c>
      <c r="B316" s="47" t="s">
        <v>237</v>
      </c>
      <c r="C316" s="47"/>
      <c r="D316" s="186"/>
      <c r="E316" s="114">
        <v>11795</v>
      </c>
      <c r="F316" s="52">
        <f>2685+9018</f>
        <v>11703</v>
      </c>
      <c r="G316" s="43"/>
      <c r="H316" s="52">
        <f>1365+9120</f>
        <v>10485</v>
      </c>
      <c r="I316" s="21"/>
    </row>
    <row r="317" spans="1:9" s="231" customFormat="1">
      <c r="A317" s="120">
        <v>7</v>
      </c>
      <c r="B317" s="47" t="s">
        <v>238</v>
      </c>
      <c r="C317" s="47"/>
      <c r="D317" s="186"/>
      <c r="E317" s="114">
        <v>0</v>
      </c>
      <c r="F317" s="52"/>
      <c r="G317" s="43"/>
      <c r="H317" s="52"/>
      <c r="I317" s="21"/>
    </row>
    <row r="318" spans="1:9" s="231" customFormat="1">
      <c r="A318" s="120">
        <v>8</v>
      </c>
      <c r="B318" s="47" t="s">
        <v>239</v>
      </c>
      <c r="C318" s="47"/>
      <c r="D318" s="186"/>
      <c r="E318" s="114">
        <v>0</v>
      </c>
      <c r="F318" s="52">
        <v>92</v>
      </c>
      <c r="G318" s="43"/>
      <c r="H318" s="52">
        <v>92</v>
      </c>
      <c r="I318" s="21"/>
    </row>
    <row r="319" spans="1:9" s="231" customFormat="1">
      <c r="A319" s="830">
        <v>9</v>
      </c>
      <c r="B319" s="90" t="s">
        <v>260</v>
      </c>
      <c r="C319" s="47"/>
      <c r="D319" s="47"/>
      <c r="E319" s="114">
        <v>0</v>
      </c>
      <c r="F319" s="188"/>
      <c r="G319" s="43"/>
      <c r="H319" s="189"/>
      <c r="I319" s="21"/>
    </row>
    <row r="320" spans="1:9" s="231" customFormat="1">
      <c r="A320" s="124">
        <v>10</v>
      </c>
      <c r="B320" s="94" t="s">
        <v>62</v>
      </c>
      <c r="C320" s="94"/>
      <c r="D320" s="94"/>
      <c r="E320" s="159">
        <v>21812</v>
      </c>
      <c r="F320" s="61">
        <f>F311+F312+F313+F314+F315+F316+F317+F318</f>
        <v>19474</v>
      </c>
      <c r="G320" s="118"/>
      <c r="H320" s="61">
        <f>H311+H312+H313+H314+H315+H316+H317+H318+H319</f>
        <v>18088</v>
      </c>
      <c r="I320" s="183"/>
    </row>
    <row r="321" spans="1:9" s="231" customFormat="1">
      <c r="A321" s="179"/>
      <c r="B321" s="180"/>
      <c r="C321" s="180"/>
      <c r="D321" s="180"/>
      <c r="E321" s="180"/>
      <c r="F321" s="183"/>
      <c r="G321" s="21"/>
      <c r="H321" s="183"/>
      <c r="I321" s="183"/>
    </row>
    <row r="322" spans="1:9" s="231" customFormat="1">
      <c r="A322" s="148"/>
      <c r="B322" s="207"/>
      <c r="C322" s="207"/>
      <c r="D322" s="29"/>
      <c r="E322" s="29"/>
      <c r="F322" s="29"/>
      <c r="G322" s="29"/>
      <c r="H322" s="31" t="s">
        <v>27</v>
      </c>
      <c r="I322" s="2"/>
    </row>
    <row r="323" spans="1:9" s="231" customFormat="1">
      <c r="A323" s="190" t="s">
        <v>240</v>
      </c>
      <c r="B323" s="263"/>
      <c r="C323" s="861" t="s">
        <v>405</v>
      </c>
      <c r="D323" s="862"/>
      <c r="E323" s="862"/>
      <c r="F323" s="862"/>
      <c r="G323" s="862"/>
      <c r="H323" s="863"/>
      <c r="I323" s="210"/>
    </row>
    <row r="324" spans="1:9" s="231" customFormat="1" ht="39" thickBot="1">
      <c r="A324" s="110" t="s">
        <v>84</v>
      </c>
      <c r="B324" s="116"/>
      <c r="C324" s="35" t="s">
        <v>52</v>
      </c>
      <c r="D324" s="35" t="s">
        <v>53</v>
      </c>
      <c r="E324" s="37" t="s">
        <v>54</v>
      </c>
      <c r="F324" s="37" t="s">
        <v>55</v>
      </c>
      <c r="G324" s="37" t="s">
        <v>241</v>
      </c>
      <c r="H324" s="35" t="s">
        <v>121</v>
      </c>
      <c r="I324" s="29"/>
    </row>
    <row r="325" spans="1:9" s="231" customFormat="1" ht="13.5" thickBot="1">
      <c r="A325" s="830">
        <v>1</v>
      </c>
      <c r="B325" s="116" t="s">
        <v>242</v>
      </c>
      <c r="C325" s="193">
        <f t="shared" ref="C325:H325" si="0">SUM(C326:C329)</f>
        <v>16542</v>
      </c>
      <c r="D325" s="193">
        <f t="shared" si="0"/>
        <v>0</v>
      </c>
      <c r="E325" s="193">
        <v>0</v>
      </c>
      <c r="F325" s="193">
        <f t="shared" si="0"/>
        <v>0</v>
      </c>
      <c r="G325" s="193">
        <f>SUM(G326:G329)</f>
        <v>0</v>
      </c>
      <c r="H325" s="193">
        <f t="shared" si="0"/>
        <v>0</v>
      </c>
      <c r="I325" s="207"/>
    </row>
    <row r="326" spans="1:9" s="231" customFormat="1">
      <c r="A326" s="830">
        <v>2</v>
      </c>
      <c r="B326" s="47" t="s">
        <v>243</v>
      </c>
      <c r="C326" s="169">
        <v>4620</v>
      </c>
      <c r="D326" s="169">
        <v>0</v>
      </c>
      <c r="E326" s="169">
        <v>0</v>
      </c>
      <c r="F326" s="169">
        <v>0</v>
      </c>
      <c r="G326" s="169">
        <v>0</v>
      </c>
      <c r="H326" s="169">
        <v>0</v>
      </c>
      <c r="I326" s="207"/>
    </row>
    <row r="327" spans="1:9" s="231" customFormat="1">
      <c r="A327" s="830">
        <v>3</v>
      </c>
      <c r="B327" s="47" t="s">
        <v>244</v>
      </c>
      <c r="C327" s="99">
        <v>2904</v>
      </c>
      <c r="D327" s="99">
        <v>0</v>
      </c>
      <c r="E327" s="99">
        <v>0</v>
      </c>
      <c r="F327" s="99">
        <v>0</v>
      </c>
      <c r="G327" s="99">
        <v>0</v>
      </c>
      <c r="H327" s="99">
        <v>0</v>
      </c>
      <c r="I327" s="207"/>
    </row>
    <row r="328" spans="1:9" s="231" customFormat="1">
      <c r="A328" s="830">
        <v>4</v>
      </c>
      <c r="B328" s="47" t="s">
        <v>245</v>
      </c>
      <c r="C328" s="99">
        <v>9018</v>
      </c>
      <c r="D328" s="99">
        <v>0</v>
      </c>
      <c r="E328" s="99">
        <v>0</v>
      </c>
      <c r="F328" s="99">
        <v>0</v>
      </c>
      <c r="G328" s="99">
        <v>0</v>
      </c>
      <c r="H328" s="99">
        <v>0</v>
      </c>
      <c r="I328" s="207"/>
    </row>
    <row r="329" spans="1:9" s="231" customFormat="1">
      <c r="A329" s="831">
        <v>5</v>
      </c>
      <c r="B329" s="54" t="s">
        <v>246</v>
      </c>
      <c r="C329" s="100">
        <v>0</v>
      </c>
      <c r="D329" s="100">
        <v>0</v>
      </c>
      <c r="E329" s="100">
        <v>0</v>
      </c>
      <c r="F329" s="100">
        <v>0</v>
      </c>
      <c r="G329" s="100">
        <v>0</v>
      </c>
      <c r="H329" s="100">
        <v>0</v>
      </c>
      <c r="I329" s="207"/>
    </row>
    <row r="330" spans="1:9" s="231" customFormat="1">
      <c r="A330" s="830"/>
      <c r="B330" s="47"/>
      <c r="C330" s="864" t="s">
        <v>404</v>
      </c>
      <c r="D330" s="865"/>
      <c r="E330" s="865"/>
      <c r="F330" s="865"/>
      <c r="G330" s="865"/>
      <c r="H330" s="866"/>
      <c r="I330" s="207"/>
    </row>
    <row r="331" spans="1:9" s="231" customFormat="1" ht="39" thickBot="1">
      <c r="A331" s="110" t="s">
        <v>84</v>
      </c>
      <c r="B331" s="116"/>
      <c r="C331" s="35" t="s">
        <v>52</v>
      </c>
      <c r="D331" s="35" t="s">
        <v>53</v>
      </c>
      <c r="E331" s="37" t="s">
        <v>54</v>
      </c>
      <c r="F331" s="37" t="s">
        <v>55</v>
      </c>
      <c r="G331" s="37" t="s">
        <v>241</v>
      </c>
      <c r="H331" s="35" t="s">
        <v>121</v>
      </c>
      <c r="I331" s="207"/>
    </row>
    <row r="332" spans="1:9" s="231" customFormat="1" ht="13.5" thickBot="1">
      <c r="A332" s="830">
        <v>1</v>
      </c>
      <c r="B332" s="116" t="s">
        <v>242</v>
      </c>
      <c r="C332" s="193">
        <f t="shared" ref="C332:H332" si="1">SUM(C333:C336)</f>
        <v>17497</v>
      </c>
      <c r="D332" s="193">
        <f t="shared" si="1"/>
        <v>0</v>
      </c>
      <c r="E332" s="193">
        <v>0</v>
      </c>
      <c r="F332" s="193">
        <f t="shared" si="1"/>
        <v>0</v>
      </c>
      <c r="G332" s="193">
        <f>SUM(G333:G336)</f>
        <v>0</v>
      </c>
      <c r="H332" s="193">
        <f t="shared" si="1"/>
        <v>0</v>
      </c>
      <c r="I332" s="207"/>
    </row>
    <row r="333" spans="1:9" s="231" customFormat="1">
      <c r="A333" s="830">
        <v>2</v>
      </c>
      <c r="B333" s="47" t="s">
        <v>243</v>
      </c>
      <c r="C333" s="169">
        <v>5541</v>
      </c>
      <c r="D333" s="169">
        <v>0</v>
      </c>
      <c r="E333" s="169">
        <v>0</v>
      </c>
      <c r="F333" s="169">
        <v>0</v>
      </c>
      <c r="G333" s="169">
        <v>0</v>
      </c>
      <c r="H333" s="169">
        <v>0</v>
      </c>
      <c r="I333" s="207"/>
    </row>
    <row r="334" spans="1:9" s="231" customFormat="1">
      <c r="A334" s="830">
        <v>3</v>
      </c>
      <c r="B334" s="47" t="s">
        <v>244</v>
      </c>
      <c r="C334" s="99">
        <v>2836</v>
      </c>
      <c r="D334" s="99">
        <v>0</v>
      </c>
      <c r="E334" s="99">
        <v>0</v>
      </c>
      <c r="F334" s="99">
        <v>0</v>
      </c>
      <c r="G334" s="99">
        <v>0</v>
      </c>
      <c r="H334" s="99">
        <v>0</v>
      </c>
      <c r="I334" s="207"/>
    </row>
    <row r="335" spans="1:9" s="231" customFormat="1">
      <c r="A335" s="830">
        <v>4</v>
      </c>
      <c r="B335" s="47" t="s">
        <v>245</v>
      </c>
      <c r="C335" s="99">
        <v>9120</v>
      </c>
      <c r="D335" s="99">
        <v>0</v>
      </c>
      <c r="E335" s="99">
        <v>0</v>
      </c>
      <c r="F335" s="99">
        <v>0</v>
      </c>
      <c r="G335" s="99">
        <v>0</v>
      </c>
      <c r="H335" s="99">
        <v>0</v>
      </c>
      <c r="I335" s="207"/>
    </row>
    <row r="336" spans="1:9" s="231" customFormat="1">
      <c r="A336" s="831">
        <v>5</v>
      </c>
      <c r="B336" s="54" t="s">
        <v>246</v>
      </c>
      <c r="C336" s="100">
        <v>0</v>
      </c>
      <c r="D336" s="100">
        <v>0</v>
      </c>
      <c r="E336" s="100">
        <v>0</v>
      </c>
      <c r="F336" s="100">
        <v>0</v>
      </c>
      <c r="G336" s="100">
        <v>0</v>
      </c>
      <c r="H336" s="100">
        <v>0</v>
      </c>
      <c r="I336" s="207"/>
    </row>
    <row r="337" spans="1:9" s="231" customFormat="1">
      <c r="A337" s="23"/>
      <c r="B337" s="207"/>
      <c r="C337" s="207"/>
      <c r="D337" s="207"/>
      <c r="E337" s="207"/>
      <c r="F337" s="207"/>
      <c r="G337" s="207"/>
      <c r="H337" s="21"/>
      <c r="I337" s="21"/>
    </row>
    <row r="338" spans="1:9" s="231" customFormat="1" ht="12.75" customHeight="1">
      <c r="A338" s="23"/>
      <c r="B338" s="207"/>
      <c r="C338" s="207"/>
      <c r="D338" s="207"/>
      <c r="E338" s="207"/>
      <c r="F338" s="207"/>
      <c r="G338" s="207"/>
      <c r="H338" s="21"/>
      <c r="I338" s="21"/>
    </row>
    <row r="339" spans="1:9" s="231" customFormat="1">
      <c r="A339" s="23"/>
      <c r="B339" s="207"/>
      <c r="C339" s="207"/>
      <c r="D339" s="207"/>
      <c r="E339" s="207"/>
      <c r="F339" s="207"/>
      <c r="G339" s="207"/>
      <c r="H339" s="21"/>
      <c r="I339" s="21"/>
    </row>
    <row r="340" spans="1:9" s="231" customFormat="1">
      <c r="A340" s="23"/>
      <c r="B340" s="207"/>
      <c r="C340" s="207"/>
      <c r="D340" s="207"/>
      <c r="E340" s="207"/>
      <c r="F340" s="207"/>
      <c r="G340" s="207"/>
      <c r="H340" s="131" t="s">
        <v>27</v>
      </c>
      <c r="I340" s="21"/>
    </row>
    <row r="341" spans="1:9" s="231" customFormat="1">
      <c r="A341" s="197"/>
      <c r="B341" s="69"/>
      <c r="C341" s="69"/>
      <c r="D341" s="69"/>
      <c r="E341" s="856" t="s">
        <v>377</v>
      </c>
      <c r="F341" s="853" t="s">
        <v>402</v>
      </c>
      <c r="G341" s="207"/>
      <c r="H341" s="856" t="s">
        <v>403</v>
      </c>
      <c r="I341" s="21"/>
    </row>
    <row r="342" spans="1:9" s="231" customFormat="1">
      <c r="A342" s="144" t="s">
        <v>261</v>
      </c>
      <c r="B342" s="116"/>
      <c r="C342" s="116"/>
      <c r="D342" s="116"/>
      <c r="E342" s="859"/>
      <c r="F342" s="854"/>
      <c r="G342" s="207"/>
      <c r="H342" s="857"/>
      <c r="I342" s="21"/>
    </row>
    <row r="343" spans="1:9" s="231" customFormat="1">
      <c r="A343" s="119"/>
      <c r="B343" s="116"/>
      <c r="C343" s="116"/>
      <c r="D343" s="116"/>
      <c r="E343" s="859"/>
      <c r="F343" s="854"/>
      <c r="G343" s="207"/>
      <c r="H343" s="857"/>
      <c r="I343" s="21"/>
    </row>
    <row r="344" spans="1:9" s="231" customFormat="1">
      <c r="A344" s="198" t="s">
        <v>262</v>
      </c>
      <c r="B344" s="116"/>
      <c r="C344" s="116"/>
      <c r="D344" s="116"/>
      <c r="E344" s="859"/>
      <c r="F344" s="854"/>
      <c r="G344" s="207"/>
      <c r="H344" s="857"/>
      <c r="I344" s="21"/>
    </row>
    <row r="345" spans="1:9" s="231" customFormat="1">
      <c r="A345" s="198" t="s">
        <v>330</v>
      </c>
      <c r="B345" s="116"/>
      <c r="C345" s="116"/>
      <c r="D345" s="116"/>
      <c r="E345" s="860"/>
      <c r="F345" s="855"/>
      <c r="G345" s="207"/>
      <c r="H345" s="858"/>
      <c r="I345" s="21"/>
    </row>
    <row r="346" spans="1:9" s="231" customFormat="1">
      <c r="A346" s="119"/>
      <c r="B346" s="47"/>
      <c r="C346" s="116"/>
      <c r="D346" s="116"/>
      <c r="E346" s="178"/>
      <c r="F346" s="146"/>
      <c r="G346" s="23"/>
      <c r="H346" s="264"/>
      <c r="I346" s="21"/>
    </row>
    <row r="347" spans="1:9" s="231" customFormat="1">
      <c r="A347" s="830">
        <v>1</v>
      </c>
      <c r="B347" s="47" t="s">
        <v>263</v>
      </c>
      <c r="C347" s="116"/>
      <c r="D347" s="116"/>
      <c r="E347" s="354">
        <v>13315</v>
      </c>
      <c r="F347" s="265">
        <v>12156</v>
      </c>
      <c r="G347" s="43"/>
      <c r="H347" s="126">
        <v>13315</v>
      </c>
      <c r="I347" s="86"/>
    </row>
    <row r="348" spans="1:9" s="231" customFormat="1">
      <c r="A348" s="830"/>
      <c r="B348" s="47"/>
      <c r="C348" s="116"/>
      <c r="D348" s="116"/>
      <c r="E348" s="355"/>
      <c r="F348" s="188"/>
      <c r="G348" s="43"/>
      <c r="H348" s="188"/>
      <c r="I348" s="86"/>
    </row>
    <row r="349" spans="1:9" s="231" customFormat="1">
      <c r="A349" s="108" t="s">
        <v>378</v>
      </c>
      <c r="B349" s="47"/>
      <c r="C349" s="116"/>
      <c r="D349" s="116"/>
      <c r="E349" s="355"/>
      <c r="F349" s="188"/>
      <c r="G349" s="43"/>
      <c r="H349" s="188"/>
      <c r="I349" s="86"/>
    </row>
    <row r="350" spans="1:9" s="231" customFormat="1">
      <c r="A350" s="830"/>
      <c r="B350" s="47"/>
      <c r="C350" s="116"/>
      <c r="D350" s="116"/>
      <c r="E350" s="355"/>
      <c r="F350" s="188"/>
      <c r="G350" s="43"/>
      <c r="H350" s="188"/>
      <c r="I350" s="86"/>
    </row>
    <row r="351" spans="1:9" s="231" customFormat="1">
      <c r="A351" s="198" t="s">
        <v>379</v>
      </c>
      <c r="B351" s="47"/>
      <c r="C351" s="116"/>
      <c r="D351" s="116"/>
      <c r="E351" s="355"/>
      <c r="F351" s="188"/>
      <c r="G351" s="43"/>
      <c r="H351" s="188"/>
      <c r="I351" s="86"/>
    </row>
    <row r="352" spans="1:9" s="231" customFormat="1">
      <c r="A352" s="830"/>
      <c r="B352" s="47"/>
      <c r="C352" s="116"/>
      <c r="D352" s="116"/>
      <c r="E352" s="355"/>
      <c r="F352" s="188"/>
      <c r="G352" s="43"/>
      <c r="H352" s="188"/>
      <c r="I352" s="86"/>
    </row>
    <row r="353" spans="1:9" s="231" customFormat="1">
      <c r="A353" s="830">
        <v>2</v>
      </c>
      <c r="B353" s="47" t="s">
        <v>52</v>
      </c>
      <c r="C353" s="116"/>
      <c r="D353" s="116"/>
      <c r="E353" s="74">
        <v>0</v>
      </c>
      <c r="F353" s="265"/>
      <c r="G353" s="43"/>
      <c r="H353" s="126"/>
      <c r="I353" s="86"/>
    </row>
    <row r="354" spans="1:9" s="231" customFormat="1">
      <c r="A354" s="830">
        <v>3</v>
      </c>
      <c r="B354" s="47" t="s">
        <v>53</v>
      </c>
      <c r="C354" s="116"/>
      <c r="D354" s="116"/>
      <c r="E354" s="49">
        <v>0</v>
      </c>
      <c r="F354" s="265"/>
      <c r="G354" s="43"/>
      <c r="H354" s="126"/>
      <c r="I354" s="86"/>
    </row>
    <row r="355" spans="1:9" s="231" customFormat="1">
      <c r="A355" s="830">
        <v>4</v>
      </c>
      <c r="B355" s="47" t="s">
        <v>54</v>
      </c>
      <c r="C355" s="116"/>
      <c r="D355" s="116"/>
      <c r="E355" s="49">
        <v>0</v>
      </c>
      <c r="F355" s="265"/>
      <c r="G355" s="43"/>
      <c r="H355" s="126"/>
      <c r="I355" s="86"/>
    </row>
    <row r="356" spans="1:9" s="231" customFormat="1">
      <c r="A356" s="830">
        <v>5</v>
      </c>
      <c r="B356" s="47" t="s">
        <v>55</v>
      </c>
      <c r="C356" s="116"/>
      <c r="D356" s="116"/>
      <c r="E356" s="49">
        <v>0</v>
      </c>
      <c r="F356" s="265"/>
      <c r="G356" s="43"/>
      <c r="H356" s="126"/>
      <c r="I356" s="86"/>
    </row>
    <row r="357" spans="1:9" s="231" customFormat="1">
      <c r="A357" s="830">
        <v>6</v>
      </c>
      <c r="B357" s="47" t="s">
        <v>56</v>
      </c>
      <c r="C357" s="116"/>
      <c r="D357" s="116"/>
      <c r="E357" s="49">
        <v>0</v>
      </c>
      <c r="F357" s="265"/>
      <c r="G357" s="43"/>
      <c r="H357" s="126"/>
      <c r="I357" s="86"/>
    </row>
    <row r="358" spans="1:9" s="231" customFormat="1">
      <c r="A358" s="830">
        <v>7</v>
      </c>
      <c r="B358" s="47" t="s">
        <v>57</v>
      </c>
      <c r="C358" s="116"/>
      <c r="D358" s="116"/>
      <c r="E358" s="49">
        <v>0</v>
      </c>
      <c r="F358" s="265"/>
      <c r="G358" s="43"/>
      <c r="H358" s="126"/>
      <c r="I358" s="86"/>
    </row>
    <row r="359" spans="1:9" s="231" customFormat="1">
      <c r="A359" s="830">
        <v>8</v>
      </c>
      <c r="B359" s="47" t="s">
        <v>58</v>
      </c>
      <c r="C359" s="116"/>
      <c r="D359" s="116"/>
      <c r="E359" s="49">
        <v>0</v>
      </c>
      <c r="F359" s="265"/>
      <c r="G359" s="43"/>
      <c r="H359" s="126"/>
      <c r="I359" s="86"/>
    </row>
    <row r="360" spans="1:9" s="231" customFormat="1">
      <c r="A360" s="830">
        <v>9</v>
      </c>
      <c r="B360" s="47" t="s">
        <v>59</v>
      </c>
      <c r="C360" s="116"/>
      <c r="D360" s="116"/>
      <c r="E360" s="49">
        <v>0</v>
      </c>
      <c r="F360" s="265"/>
      <c r="G360" s="43"/>
      <c r="H360" s="126"/>
      <c r="I360" s="86"/>
    </row>
    <row r="361" spans="1:9" s="231" customFormat="1">
      <c r="A361" s="830">
        <v>10</v>
      </c>
      <c r="B361" s="47" t="s">
        <v>60</v>
      </c>
      <c r="C361" s="116"/>
      <c r="D361" s="116"/>
      <c r="E361" s="49">
        <v>0</v>
      </c>
      <c r="F361" s="265"/>
      <c r="G361" s="43"/>
      <c r="H361" s="126"/>
      <c r="I361" s="86"/>
    </row>
    <row r="362" spans="1:9" s="231" customFormat="1">
      <c r="A362" s="830">
        <v>11</v>
      </c>
      <c r="B362" s="47" t="s">
        <v>61</v>
      </c>
      <c r="C362" s="116"/>
      <c r="D362" s="116"/>
      <c r="E362" s="49">
        <v>0</v>
      </c>
      <c r="F362" s="265"/>
      <c r="G362" s="43"/>
      <c r="H362" s="126"/>
      <c r="I362" s="86"/>
    </row>
    <row r="363" spans="1:9" s="231" customFormat="1">
      <c r="A363" s="831">
        <v>12</v>
      </c>
      <c r="B363" s="54" t="s">
        <v>380</v>
      </c>
      <c r="C363" s="94"/>
      <c r="D363" s="94"/>
      <c r="E363" s="135">
        <v>0</v>
      </c>
      <c r="F363" s="61">
        <f>SUM(F353:F362)</f>
        <v>0</v>
      </c>
      <c r="G363" s="43"/>
      <c r="H363" s="61">
        <f>SUM(H353:H362)</f>
        <v>0</v>
      </c>
      <c r="I363" s="86"/>
    </row>
    <row r="364" spans="1:9" s="231" customFormat="1">
      <c r="A364" s="199"/>
      <c r="B364" s="15"/>
      <c r="C364" s="15"/>
      <c r="D364" s="15"/>
      <c r="E364" s="15"/>
      <c r="F364" s="15"/>
      <c r="G364" s="15"/>
      <c r="H364" s="15"/>
      <c r="I364" s="86"/>
    </row>
    <row r="365" spans="1:9" s="231" customFormat="1">
      <c r="A365" s="199"/>
      <c r="B365" s="15"/>
      <c r="C365" s="15"/>
      <c r="D365" s="15"/>
      <c r="E365" s="15"/>
      <c r="F365" s="15"/>
      <c r="G365" s="15"/>
      <c r="H365" s="86"/>
      <c r="I365" s="86"/>
    </row>
    <row r="366" spans="1:9" s="231" customFormat="1">
      <c r="A366" s="199"/>
      <c r="B366" s="15"/>
      <c r="C366" s="15"/>
      <c r="D366" s="15"/>
      <c r="E366" s="15"/>
      <c r="F366" s="15"/>
      <c r="G366" s="15"/>
      <c r="H366" s="86"/>
      <c r="I366" s="86"/>
    </row>
    <row r="367" spans="1:9">
      <c r="A367" s="8"/>
      <c r="B367" s="8"/>
      <c r="C367" s="8"/>
      <c r="D367" s="8"/>
      <c r="E367" s="8"/>
      <c r="F367" s="8"/>
      <c r="G367" s="8"/>
      <c r="H367" s="8"/>
      <c r="I367" s="8"/>
    </row>
    <row r="368" spans="1:9">
      <c r="A368" s="8"/>
      <c r="B368" s="8"/>
      <c r="C368" s="8"/>
      <c r="D368" s="8"/>
      <c r="E368" s="8"/>
      <c r="F368" s="8"/>
      <c r="G368" s="8"/>
      <c r="H368" s="8"/>
      <c r="I368" s="8"/>
    </row>
    <row r="369" spans="1:9">
      <c r="A369" s="8"/>
      <c r="B369" s="8"/>
      <c r="C369" s="8"/>
      <c r="D369" s="8"/>
      <c r="E369" s="8"/>
      <c r="F369" s="8"/>
      <c r="G369" s="8"/>
      <c r="H369" s="8"/>
      <c r="I369" s="8"/>
    </row>
    <row r="370" spans="1:9">
      <c r="A370" s="8"/>
      <c r="B370" s="8"/>
      <c r="C370" s="8"/>
      <c r="D370" s="8"/>
      <c r="E370" s="8"/>
      <c r="F370" s="8"/>
      <c r="G370" s="8"/>
      <c r="H370" s="8"/>
      <c r="I370" s="8"/>
    </row>
    <row r="371" spans="1:9">
      <c r="A371" s="8"/>
      <c r="B371" s="8"/>
      <c r="C371" s="8"/>
      <c r="D371" s="8"/>
      <c r="E371" s="8"/>
      <c r="F371" s="8"/>
      <c r="G371" s="8"/>
      <c r="H371" s="8"/>
      <c r="I371" s="8"/>
    </row>
    <row r="372" spans="1:9">
      <c r="A372" s="8"/>
      <c r="B372" s="8"/>
      <c r="C372" s="8"/>
      <c r="D372" s="8"/>
      <c r="E372" s="8"/>
      <c r="F372" s="8"/>
      <c r="G372" s="8"/>
      <c r="H372" s="8"/>
      <c r="I372" s="8"/>
    </row>
    <row r="373" spans="1:9">
      <c r="A373" s="8"/>
      <c r="B373" s="8"/>
      <c r="C373" s="8"/>
      <c r="D373" s="8"/>
      <c r="E373" s="8"/>
      <c r="F373" s="8"/>
      <c r="G373" s="8"/>
      <c r="H373" s="8"/>
      <c r="I373" s="8"/>
    </row>
    <row r="374" spans="1:9">
      <c r="A374" s="8"/>
      <c r="B374" s="8"/>
      <c r="C374" s="8"/>
      <c r="D374" s="8"/>
      <c r="E374" s="8"/>
      <c r="F374" s="8"/>
      <c r="G374" s="8"/>
      <c r="H374" s="8"/>
      <c r="I374" s="8"/>
    </row>
    <row r="375" spans="1:9">
      <c r="A375" s="8"/>
      <c r="B375" s="8"/>
      <c r="C375" s="8"/>
      <c r="D375" s="8"/>
      <c r="E375" s="8"/>
      <c r="F375" s="8"/>
      <c r="G375" s="8"/>
      <c r="H375" s="8"/>
      <c r="I375" s="8"/>
    </row>
    <row r="376" spans="1:9">
      <c r="A376" s="8"/>
      <c r="B376" s="8"/>
      <c r="C376" s="8"/>
      <c r="D376" s="8"/>
      <c r="E376" s="8"/>
      <c r="F376" s="8"/>
      <c r="G376" s="8"/>
      <c r="H376" s="8"/>
      <c r="I376" s="8"/>
    </row>
    <row r="377" spans="1:9">
      <c r="A377" s="8"/>
      <c r="B377" s="8"/>
      <c r="C377" s="8"/>
      <c r="D377" s="8"/>
      <c r="E377" s="8"/>
      <c r="F377" s="8"/>
      <c r="G377" s="8"/>
      <c r="H377" s="8"/>
      <c r="I377" s="8"/>
    </row>
    <row r="378" spans="1:9">
      <c r="A378" s="8"/>
      <c r="B378" s="8"/>
      <c r="C378" s="8"/>
      <c r="D378" s="8"/>
      <c r="E378" s="8"/>
      <c r="F378" s="8"/>
      <c r="G378" s="8"/>
      <c r="H378" s="8"/>
      <c r="I378" s="8"/>
    </row>
    <row r="379" spans="1:9">
      <c r="A379" s="8"/>
      <c r="B379" s="8"/>
      <c r="C379" s="8"/>
      <c r="D379" s="8"/>
      <c r="E379" s="8"/>
      <c r="F379" s="8"/>
      <c r="G379" s="8"/>
      <c r="H379" s="8"/>
      <c r="I379" s="8"/>
    </row>
    <row r="380" spans="1:9">
      <c r="A380" s="8"/>
      <c r="B380" s="8"/>
      <c r="C380" s="8"/>
      <c r="D380" s="8"/>
      <c r="E380" s="8"/>
      <c r="F380" s="8"/>
      <c r="G380" s="8"/>
      <c r="H380" s="8"/>
      <c r="I380" s="8"/>
    </row>
    <row r="381" spans="1:9">
      <c r="A381" s="8"/>
      <c r="B381" s="8"/>
      <c r="C381" s="8"/>
      <c r="D381" s="8"/>
      <c r="E381" s="8"/>
      <c r="F381" s="8"/>
      <c r="G381" s="8"/>
      <c r="H381" s="8"/>
      <c r="I381" s="8"/>
    </row>
    <row r="382" spans="1:9">
      <c r="A382" s="8"/>
      <c r="B382" s="8"/>
      <c r="C382" s="8"/>
      <c r="D382" s="8"/>
      <c r="E382" s="8"/>
      <c r="F382" s="8"/>
      <c r="G382" s="8"/>
      <c r="H382" s="8"/>
      <c r="I382" s="8"/>
    </row>
    <row r="383" spans="1:9">
      <c r="A383" s="8"/>
      <c r="B383" s="8"/>
      <c r="C383" s="8"/>
      <c r="D383" s="8"/>
      <c r="E383" s="8"/>
      <c r="F383" s="8"/>
      <c r="G383" s="8"/>
      <c r="H383" s="8"/>
      <c r="I383" s="8"/>
    </row>
    <row r="384" spans="1:9">
      <c r="A384" s="8"/>
      <c r="B384" s="8"/>
      <c r="C384" s="8"/>
      <c r="D384" s="8"/>
      <c r="E384" s="8"/>
      <c r="F384" s="8"/>
      <c r="G384" s="8"/>
      <c r="H384" s="8"/>
      <c r="I384" s="8"/>
    </row>
    <row r="385" spans="1:9">
      <c r="A385" s="8"/>
      <c r="B385" s="8"/>
      <c r="C385" s="8"/>
      <c r="D385" s="8"/>
      <c r="E385" s="8"/>
      <c r="F385" s="8"/>
      <c r="G385" s="8"/>
      <c r="H385" s="8"/>
      <c r="I385" s="8"/>
    </row>
    <row r="386" spans="1:9">
      <c r="A386" s="8"/>
      <c r="B386" s="8"/>
      <c r="C386" s="8"/>
      <c r="D386" s="8"/>
      <c r="E386" s="8"/>
      <c r="F386" s="8"/>
      <c r="G386" s="8"/>
      <c r="H386" s="8"/>
      <c r="I386" s="8"/>
    </row>
    <row r="387" spans="1:9">
      <c r="A387" s="8"/>
      <c r="B387" s="8"/>
      <c r="C387" s="8"/>
      <c r="D387" s="8"/>
      <c r="E387" s="8"/>
      <c r="F387" s="8"/>
      <c r="G387" s="8"/>
      <c r="H387" s="8"/>
      <c r="I387" s="8"/>
    </row>
    <row r="388" spans="1:9">
      <c r="A388" s="8"/>
      <c r="B388" s="8"/>
      <c r="C388" s="8"/>
      <c r="D388" s="8"/>
      <c r="E388" s="8"/>
      <c r="F388" s="8"/>
      <c r="G388" s="8"/>
      <c r="H388" s="8"/>
      <c r="I388" s="8"/>
    </row>
    <row r="389" spans="1:9">
      <c r="A389" s="8"/>
      <c r="B389" s="8"/>
      <c r="C389" s="8"/>
      <c r="D389" s="8"/>
      <c r="E389" s="8"/>
      <c r="F389" s="8"/>
      <c r="G389" s="8"/>
      <c r="H389" s="8"/>
      <c r="I389" s="8"/>
    </row>
    <row r="390" spans="1:9">
      <c r="A390" s="8"/>
      <c r="B390" s="8"/>
      <c r="C390" s="8"/>
      <c r="D390" s="8"/>
      <c r="E390" s="8"/>
      <c r="F390" s="8"/>
      <c r="G390" s="8"/>
      <c r="H390" s="8"/>
      <c r="I390" s="8"/>
    </row>
    <row r="391" spans="1:9">
      <c r="A391" s="8"/>
      <c r="B391" s="8"/>
      <c r="C391" s="8"/>
      <c r="D391" s="8"/>
      <c r="E391" s="8"/>
      <c r="F391" s="8"/>
      <c r="G391" s="8"/>
      <c r="H391" s="8"/>
      <c r="I391" s="8"/>
    </row>
    <row r="392" spans="1:9">
      <c r="A392" s="8"/>
      <c r="B392" s="8"/>
      <c r="C392" s="8"/>
      <c r="D392" s="8"/>
      <c r="E392" s="8"/>
      <c r="F392" s="8"/>
      <c r="G392" s="8"/>
      <c r="H392" s="8"/>
      <c r="I392" s="8"/>
    </row>
    <row r="393" spans="1:9">
      <c r="A393" s="8"/>
      <c r="B393" s="8"/>
      <c r="C393" s="8"/>
      <c r="D393" s="8"/>
      <c r="E393" s="8"/>
      <c r="F393" s="8"/>
      <c r="G393" s="8"/>
      <c r="H393" s="8"/>
      <c r="I393" s="8"/>
    </row>
    <row r="394" spans="1:9">
      <c r="A394" s="8"/>
      <c r="B394" s="8"/>
      <c r="C394" s="8"/>
      <c r="D394" s="8"/>
      <c r="E394" s="8"/>
      <c r="F394" s="8"/>
      <c r="G394" s="8"/>
      <c r="H394" s="8"/>
      <c r="I394" s="8"/>
    </row>
    <row r="395" spans="1:9">
      <c r="A395" s="8"/>
      <c r="B395" s="8"/>
      <c r="C395" s="8"/>
      <c r="D395" s="8"/>
      <c r="E395" s="8"/>
      <c r="F395" s="8"/>
      <c r="G395" s="8"/>
      <c r="H395" s="8"/>
      <c r="I395" s="8"/>
    </row>
    <row r="396" spans="1:9">
      <c r="A396" s="8"/>
      <c r="B396" s="8"/>
      <c r="C396" s="8"/>
      <c r="D396" s="8"/>
      <c r="E396" s="8"/>
      <c r="F396" s="8"/>
      <c r="G396" s="8"/>
      <c r="H396" s="8"/>
      <c r="I396" s="8"/>
    </row>
    <row r="397" spans="1:9">
      <c r="A397" s="8"/>
      <c r="B397" s="8"/>
      <c r="C397" s="8"/>
      <c r="D397" s="8"/>
      <c r="E397" s="8"/>
      <c r="F397" s="8"/>
      <c r="G397" s="8"/>
      <c r="H397" s="8"/>
      <c r="I397" s="8"/>
    </row>
    <row r="398" spans="1:9">
      <c r="A398" s="8"/>
      <c r="B398" s="8"/>
      <c r="C398" s="8"/>
      <c r="D398" s="8"/>
      <c r="E398" s="8"/>
      <c r="F398" s="8"/>
      <c r="G398" s="8"/>
      <c r="H398" s="8"/>
      <c r="I398" s="8"/>
    </row>
    <row r="399" spans="1:9">
      <c r="A399" s="8"/>
      <c r="B399" s="8"/>
      <c r="C399" s="8"/>
      <c r="D399" s="8"/>
      <c r="E399" s="8"/>
      <c r="F399" s="8"/>
      <c r="G399" s="8"/>
      <c r="H399" s="8"/>
      <c r="I399" s="8"/>
    </row>
    <row r="400" spans="1:9">
      <c r="A400" s="8"/>
      <c r="B400" s="8"/>
      <c r="C400" s="8"/>
      <c r="D400" s="8"/>
      <c r="E400" s="8"/>
      <c r="F400" s="8"/>
      <c r="G400" s="8"/>
      <c r="H400" s="8"/>
      <c r="I400" s="8"/>
    </row>
    <row r="401" spans="1:9">
      <c r="A401" s="8"/>
      <c r="B401" s="8"/>
      <c r="C401" s="8"/>
      <c r="D401" s="8"/>
      <c r="E401" s="8"/>
      <c r="F401" s="8"/>
      <c r="G401" s="8"/>
      <c r="H401" s="8"/>
      <c r="I401" s="8"/>
    </row>
    <row r="402" spans="1:9">
      <c r="A402" s="8"/>
      <c r="B402" s="8"/>
      <c r="C402" s="8"/>
      <c r="D402" s="8"/>
      <c r="E402" s="8"/>
      <c r="F402" s="8"/>
      <c r="G402" s="8"/>
      <c r="H402" s="8"/>
      <c r="I402" s="8"/>
    </row>
    <row r="403" spans="1:9">
      <c r="A403" s="8"/>
      <c r="B403" s="8"/>
      <c r="C403" s="8"/>
      <c r="D403" s="8"/>
      <c r="E403" s="8"/>
      <c r="F403" s="8"/>
      <c r="G403" s="8"/>
      <c r="H403" s="8"/>
      <c r="I403" s="8"/>
    </row>
    <row r="404" spans="1:9">
      <c r="A404" s="8"/>
      <c r="B404" s="8"/>
      <c r="C404" s="8"/>
      <c r="D404" s="8"/>
      <c r="E404" s="8"/>
      <c r="F404" s="8"/>
      <c r="G404" s="8"/>
      <c r="H404" s="8"/>
      <c r="I404" s="8"/>
    </row>
    <row r="405" spans="1:9">
      <c r="A405" s="8"/>
      <c r="B405" s="8"/>
      <c r="C405" s="8"/>
      <c r="D405" s="8"/>
      <c r="E405" s="8"/>
      <c r="F405" s="8"/>
      <c r="G405" s="8"/>
      <c r="H405" s="8"/>
      <c r="I405" s="8"/>
    </row>
    <row r="406" spans="1:9">
      <c r="A406" s="8"/>
      <c r="B406" s="8"/>
      <c r="C406" s="8"/>
      <c r="D406" s="8"/>
      <c r="E406" s="8"/>
      <c r="F406" s="8"/>
      <c r="G406" s="8"/>
      <c r="H406" s="8"/>
      <c r="I406" s="8"/>
    </row>
    <row r="407" spans="1:9">
      <c r="A407" s="8"/>
      <c r="B407" s="8"/>
      <c r="C407" s="8"/>
      <c r="D407" s="8"/>
      <c r="E407" s="8"/>
      <c r="F407" s="8"/>
      <c r="G407" s="8"/>
      <c r="H407" s="8"/>
      <c r="I407" s="8"/>
    </row>
    <row r="408" spans="1:9">
      <c r="A408" s="8"/>
      <c r="B408" s="8"/>
      <c r="C408" s="8"/>
      <c r="D408" s="8"/>
      <c r="E408" s="8"/>
      <c r="F408" s="8"/>
      <c r="G408" s="8"/>
      <c r="H408" s="8"/>
      <c r="I408" s="8"/>
    </row>
    <row r="409" spans="1:9">
      <c r="A409" s="8"/>
      <c r="B409" s="8"/>
      <c r="C409" s="8"/>
      <c r="D409" s="8"/>
      <c r="E409" s="8"/>
      <c r="F409" s="8"/>
      <c r="G409" s="8"/>
      <c r="H409" s="8"/>
      <c r="I409" s="8"/>
    </row>
    <row r="410" spans="1:9">
      <c r="A410" s="8"/>
      <c r="B410" s="8"/>
      <c r="C410" s="8"/>
      <c r="D410" s="8"/>
      <c r="E410" s="8"/>
      <c r="F410" s="8"/>
      <c r="G410" s="8"/>
      <c r="H410" s="8"/>
      <c r="I410" s="8"/>
    </row>
    <row r="411" spans="1:9">
      <c r="A411" s="8"/>
      <c r="B411" s="8"/>
      <c r="C411" s="8"/>
      <c r="D411" s="8"/>
      <c r="E411" s="8"/>
      <c r="F411" s="8"/>
      <c r="G411" s="8"/>
      <c r="H411" s="8"/>
      <c r="I411" s="8"/>
    </row>
    <row r="412" spans="1:9">
      <c r="A412" s="8"/>
      <c r="B412" s="8"/>
      <c r="C412" s="8"/>
      <c r="D412" s="8"/>
      <c r="E412" s="8"/>
      <c r="F412" s="8"/>
      <c r="G412" s="8"/>
      <c r="H412" s="8"/>
      <c r="I412" s="8"/>
    </row>
    <row r="413" spans="1:9">
      <c r="A413" s="8"/>
      <c r="B413" s="8"/>
      <c r="C413" s="8"/>
      <c r="D413" s="8"/>
      <c r="E413" s="8"/>
      <c r="F413" s="8"/>
      <c r="G413" s="8"/>
      <c r="H413" s="8"/>
      <c r="I413" s="8"/>
    </row>
    <row r="414" spans="1:9">
      <c r="A414" s="8"/>
      <c r="B414" s="8"/>
      <c r="C414" s="8"/>
      <c r="D414" s="8"/>
      <c r="E414" s="8"/>
      <c r="F414" s="8"/>
      <c r="G414" s="8"/>
      <c r="H414" s="8"/>
      <c r="I414" s="8"/>
    </row>
  </sheetData>
  <mergeCells count="59">
    <mergeCell ref="C19:F19"/>
    <mergeCell ref="B3:B4"/>
    <mergeCell ref="C3:D4"/>
    <mergeCell ref="A5:B5"/>
    <mergeCell ref="D6:H6"/>
    <mergeCell ref="A9:I9"/>
    <mergeCell ref="D10:F10"/>
    <mergeCell ref="C14:F14"/>
    <mergeCell ref="C15:F15"/>
    <mergeCell ref="C16:F16"/>
    <mergeCell ref="C17:F17"/>
    <mergeCell ref="C18:F18"/>
    <mergeCell ref="A23:D24"/>
    <mergeCell ref="E23:E24"/>
    <mergeCell ref="F23:F24"/>
    <mergeCell ref="H23:H24"/>
    <mergeCell ref="A25:A27"/>
    <mergeCell ref="B25:D27"/>
    <mergeCell ref="E25:E27"/>
    <mergeCell ref="F25:F27"/>
    <mergeCell ref="H25:H27"/>
    <mergeCell ref="A40:D41"/>
    <mergeCell ref="E40:E41"/>
    <mergeCell ref="F40:F41"/>
    <mergeCell ref="H40:H41"/>
    <mergeCell ref="E66:E70"/>
    <mergeCell ref="F66:F70"/>
    <mergeCell ref="G66:G70"/>
    <mergeCell ref="H66:H70"/>
    <mergeCell ref="I66:I70"/>
    <mergeCell ref="F91:F95"/>
    <mergeCell ref="H91:H95"/>
    <mergeCell ref="E193:E197"/>
    <mergeCell ref="F193:F197"/>
    <mergeCell ref="H193:H197"/>
    <mergeCell ref="E153:E157"/>
    <mergeCell ref="F153:F157"/>
    <mergeCell ref="H153:H157"/>
    <mergeCell ref="E91:E95"/>
    <mergeCell ref="E221:E225"/>
    <mergeCell ref="F221:F225"/>
    <mergeCell ref="H221:H225"/>
    <mergeCell ref="E234:E238"/>
    <mergeCell ref="F234:F238"/>
    <mergeCell ref="H234:H238"/>
    <mergeCell ref="E261:E265"/>
    <mergeCell ref="F261:F265"/>
    <mergeCell ref="H261:H265"/>
    <mergeCell ref="E280:E284"/>
    <mergeCell ref="F280:F284"/>
    <mergeCell ref="H280:H284"/>
    <mergeCell ref="E341:E345"/>
    <mergeCell ref="F341:F345"/>
    <mergeCell ref="H341:H345"/>
    <mergeCell ref="E305:E309"/>
    <mergeCell ref="F305:F309"/>
    <mergeCell ref="H305:H309"/>
    <mergeCell ref="C323:H323"/>
    <mergeCell ref="C330:H330"/>
  </mergeCells>
  <phoneticPr fontId="10" type="noConversion"/>
  <conditionalFormatting sqref="F71:F76 F286:F301 F311:F318 F96:F97 F103:F104 F106 F110:F114 F118:F124 F128:F134 F138:F142 F146:F149 F159:F162 F166:F168 F171:F172 F175:F177 F183:F190 F199:F200 F204:F206 F210:F213 F217:F218 F226:F230 F240:F241 F245:F246 F250:F253 F256 F267:F276 H250 F80:F88">
    <cfRule type="expression" dxfId="16" priority="293" stopIfTrue="1">
      <formula>ISBLANK(F71)</formula>
    </cfRule>
    <cfRule type="expression" dxfId="15" priority="294" stopIfTrue="1">
      <formula>IF(AND(OR(F71-E71&gt;500,F71-E71&lt;-500),OR(#REF!&gt;0.1,#REF!&lt;-0.1)),TRUE,FALSE)</formula>
    </cfRule>
  </conditionalFormatting>
  <dataValidations count="1">
    <dataValidation type="list" errorStyle="information" allowBlank="1" showInputMessage="1" showErrorMessage="1" errorTitle="POBE 2006" error="Please select from the drop-down menu..." prompt="Please select your Authority from the drop-down menu..." sqref="C3:D4">
      <formula1>#REF!</formula1>
    </dataValidation>
  </dataValidations>
  <hyperlinks>
    <hyperlink ref="F7" r:id="rId1" display="lgfstats@scotland.gsi.gov.uk"/>
    <hyperlink ref="D6" r:id="rId2"/>
    <hyperlink ref="D10" r:id="rId3" display="^lgfstats@gov.scot"/>
    <hyperlink ref="B14" location="'POBE 2017'!A28" display="PART 1 - Expenditure"/>
    <hyperlink ref="C19:F19" location="'POBE 2017'!A323" display="Sheet 10. - PUBLIC PRIVATE PARTNERSHIPS/PRIVATE FINANCE INITIATIVES"/>
    <hyperlink ref="B15" location="'POBE 2017'!A40" display="PART 2 - Income and Balances"/>
    <hyperlink ref="B16" location="'POBE 2017'!A66" display="Sheet 1. EDUCATION"/>
    <hyperlink ref="B17" location="'POBE 2017'!A91" display="Sheet 2. SOCIAL WORK"/>
    <hyperlink ref="B18" location="'POBE 2017'!A153" display="Sheet 3. ROADS AND TRANSPORT"/>
    <hyperlink ref="B19" location="'POBE 2017'!A193" display="Sheet 4. ENVIRONMENTAL SERVICES"/>
    <hyperlink ref="C14:F14" location="'POBE 2017'!A221" display="Sheet 5. PLANNING AND DEVELOPMENT SERVICES"/>
    <hyperlink ref="C15:F15" location="'POBE 2017'!A234" display="Sheet 6. CULTURAL AND RELATED SERVICES"/>
    <hyperlink ref="C16:F16" location="'POBE 2017'!A261" display="Sheet 7. HOUSING"/>
    <hyperlink ref="C17:F17" location="'POBE 2017'!A280" display="Sheet 8. CENTRAL SERVICES"/>
    <hyperlink ref="C18:F18" location="'POBE 2017'!A305" display="Sheet 9. OTHER EXPENDITURE"/>
  </hyperlinks>
  <pageMargins left="0.75" right="0.75" top="1" bottom="1" header="0.5" footer="0.5"/>
  <pageSetup paperSize="9" orientation="portrait" r:id="rId4"/>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1:AI413"/>
  <sheetViews>
    <sheetView zoomScale="82" zoomScaleNormal="82" workbookViewId="0">
      <selection activeCell="I1" sqref="I1"/>
    </sheetView>
  </sheetViews>
  <sheetFormatPr defaultColWidth="9.140625" defaultRowHeight="12.75"/>
  <cols>
    <col min="1" max="1" width="10.5703125" style="1" customWidth="1"/>
    <col min="2" max="2" width="43" style="1" customWidth="1"/>
    <col min="3" max="3" width="24.5703125" style="1" customWidth="1"/>
    <col min="4" max="4" width="14.7109375" style="1" customWidth="1"/>
    <col min="5" max="5" width="21.5703125" style="1" customWidth="1"/>
    <col min="6" max="6" width="19.140625" style="1" customWidth="1"/>
    <col min="7" max="7" width="17.42578125" style="1" customWidth="1"/>
    <col min="8" max="8" width="19.28515625" style="1" customWidth="1"/>
    <col min="9" max="9" width="17.85546875" style="1" customWidth="1"/>
    <col min="10" max="17" width="9.140625" style="8" customWidth="1"/>
    <col min="18" max="28" width="9.140625" style="8"/>
    <col min="29" max="29" width="0" style="8" hidden="1" customWidth="1"/>
    <col min="30" max="35" width="9.140625" style="8"/>
    <col min="36" max="16384" width="9.140625" style="1"/>
  </cols>
  <sheetData>
    <row r="1" spans="1:35" s="203" customFormat="1" ht="51" customHeight="1">
      <c r="A1" s="3" t="s">
        <v>410</v>
      </c>
      <c r="B1" s="4"/>
      <c r="C1" s="224"/>
      <c r="D1" s="224"/>
      <c r="E1" s="224"/>
      <c r="F1" s="224"/>
      <c r="G1" s="225"/>
      <c r="H1" s="226"/>
      <c r="I1" s="227"/>
      <c r="J1" s="231"/>
      <c r="K1" s="231"/>
      <c r="L1" s="231"/>
      <c r="M1" s="231"/>
      <c r="N1" s="231"/>
      <c r="O1" s="231"/>
      <c r="P1" s="231"/>
      <c r="Q1" s="231"/>
      <c r="R1" s="231"/>
      <c r="S1" s="231"/>
      <c r="T1" s="231"/>
      <c r="U1" s="231"/>
      <c r="V1" s="231"/>
      <c r="W1" s="231"/>
      <c r="X1" s="231"/>
      <c r="Y1" s="231"/>
      <c r="Z1" s="231"/>
      <c r="AA1" s="231"/>
      <c r="AB1" s="231"/>
      <c r="AC1" s="231"/>
      <c r="AD1" s="231"/>
      <c r="AE1" s="231"/>
      <c r="AF1" s="231"/>
      <c r="AG1" s="231"/>
      <c r="AH1" s="231"/>
      <c r="AI1" s="231"/>
    </row>
    <row r="2" spans="1:35" s="203" customFormat="1" ht="35.25">
      <c r="A2" s="9"/>
      <c r="B2" s="10"/>
      <c r="C2" s="232"/>
      <c r="D2" s="232"/>
      <c r="E2" s="232"/>
      <c r="F2" s="11"/>
      <c r="G2" s="11"/>
      <c r="H2" s="11"/>
      <c r="I2" s="11"/>
      <c r="J2" s="231"/>
      <c r="K2" s="231"/>
      <c r="L2" s="231"/>
      <c r="M2" s="231"/>
      <c r="N2" s="231"/>
      <c r="O2" s="231"/>
      <c r="P2" s="231"/>
      <c r="Q2" s="231"/>
      <c r="R2" s="231"/>
      <c r="S2" s="231"/>
      <c r="T2" s="231"/>
      <c r="U2" s="231"/>
      <c r="V2" s="231"/>
      <c r="W2" s="231"/>
      <c r="X2" s="231"/>
      <c r="Y2" s="231"/>
      <c r="Z2" s="231"/>
      <c r="AA2" s="231"/>
      <c r="AB2" s="231"/>
      <c r="AC2" s="231"/>
      <c r="AD2" s="231"/>
      <c r="AE2" s="231"/>
      <c r="AF2" s="231"/>
      <c r="AG2" s="231"/>
      <c r="AH2" s="231"/>
      <c r="AI2" s="231"/>
    </row>
    <row r="3" spans="1:35" s="203" customFormat="1" ht="15">
      <c r="A3" s="12"/>
      <c r="B3" s="882" t="s">
        <v>0</v>
      </c>
      <c r="C3" s="884" t="s">
        <v>41</v>
      </c>
      <c r="D3" s="885"/>
      <c r="E3" s="13"/>
      <c r="F3" s="14"/>
      <c r="G3" s="14"/>
      <c r="H3" s="15"/>
      <c r="I3" s="14"/>
      <c r="J3" s="231"/>
      <c r="K3" s="231"/>
      <c r="L3" s="231"/>
      <c r="M3" s="231"/>
      <c r="N3" s="231"/>
      <c r="O3" s="231"/>
      <c r="P3" s="231"/>
      <c r="Q3" s="231"/>
      <c r="R3" s="231"/>
      <c r="S3" s="231"/>
      <c r="T3" s="231"/>
      <c r="U3" s="231"/>
      <c r="V3" s="231"/>
      <c r="W3" s="231"/>
      <c r="X3" s="231"/>
      <c r="Y3" s="231"/>
      <c r="Z3" s="231"/>
      <c r="AA3" s="231"/>
      <c r="AB3" s="231"/>
      <c r="AC3" s="231"/>
      <c r="AD3" s="231"/>
      <c r="AE3" s="231"/>
      <c r="AF3" s="231"/>
      <c r="AG3" s="231"/>
      <c r="AH3" s="231"/>
      <c r="AI3" s="231"/>
    </row>
    <row r="4" spans="1:35" s="203" customFormat="1" ht="15">
      <c r="A4" s="17"/>
      <c r="B4" s="883"/>
      <c r="C4" s="886"/>
      <c r="D4" s="887"/>
      <c r="E4" s="13"/>
      <c r="F4" s="14"/>
      <c r="G4" s="14"/>
      <c r="H4" s="15"/>
      <c r="I4" s="14"/>
      <c r="J4" s="231"/>
      <c r="K4" s="231"/>
      <c r="L4" s="231"/>
      <c r="M4" s="231"/>
      <c r="N4" s="231"/>
      <c r="O4" s="231"/>
      <c r="P4" s="231"/>
      <c r="Q4" s="231"/>
      <c r="R4" s="231"/>
      <c r="S4" s="231"/>
      <c r="T4" s="231"/>
      <c r="U4" s="231"/>
      <c r="V4" s="231"/>
      <c r="W4" s="231"/>
      <c r="X4" s="231"/>
      <c r="Y4" s="231"/>
      <c r="Z4" s="231"/>
      <c r="AA4" s="231"/>
      <c r="AB4" s="231"/>
      <c r="AC4" s="231"/>
      <c r="AD4" s="231"/>
      <c r="AE4" s="231"/>
      <c r="AF4" s="231"/>
      <c r="AG4" s="231"/>
      <c r="AH4" s="231"/>
      <c r="AI4" s="231"/>
    </row>
    <row r="5" spans="1:35" s="203" customFormat="1" ht="15">
      <c r="A5" s="888"/>
      <c r="B5" s="889"/>
      <c r="C5" s="18"/>
      <c r="D5" s="206"/>
      <c r="E5" s="206"/>
      <c r="F5" s="14"/>
      <c r="G5" s="14"/>
      <c r="H5" s="14"/>
      <c r="I5" s="234"/>
      <c r="J5" s="231"/>
      <c r="K5" s="231"/>
      <c r="L5" s="231"/>
      <c r="M5" s="231"/>
      <c r="N5" s="231"/>
      <c r="O5" s="231"/>
      <c r="P5" s="231"/>
      <c r="Q5" s="231"/>
      <c r="R5" s="231"/>
      <c r="S5" s="231"/>
      <c r="T5" s="231"/>
      <c r="U5" s="231"/>
      <c r="V5" s="231"/>
      <c r="W5" s="231"/>
      <c r="X5" s="231"/>
      <c r="Y5" s="231"/>
      <c r="Z5" s="231"/>
      <c r="AA5" s="231"/>
      <c r="AB5" s="231"/>
      <c r="AC5" s="231"/>
      <c r="AD5" s="231"/>
      <c r="AE5" s="231"/>
      <c r="AF5" s="231"/>
      <c r="AG5" s="231"/>
      <c r="AH5" s="231"/>
      <c r="AI5" s="231"/>
    </row>
    <row r="6" spans="1:35" s="203" customFormat="1" ht="23.25" customHeight="1">
      <c r="A6" s="19" t="s">
        <v>1</v>
      </c>
      <c r="B6" s="207"/>
      <c r="C6" s="20"/>
      <c r="D6" s="890" t="s">
        <v>249</v>
      </c>
      <c r="E6" s="890"/>
      <c r="F6" s="890"/>
      <c r="G6" s="890"/>
      <c r="H6" s="890"/>
      <c r="I6" s="29"/>
      <c r="J6" s="231"/>
      <c r="K6" s="231"/>
      <c r="L6" s="231"/>
      <c r="M6" s="231"/>
      <c r="N6" s="231"/>
      <c r="O6" s="231"/>
      <c r="P6" s="231"/>
      <c r="Q6" s="231"/>
      <c r="R6" s="231"/>
      <c r="S6" s="231"/>
      <c r="T6" s="231"/>
      <c r="U6" s="231"/>
      <c r="V6" s="231"/>
      <c r="W6" s="231"/>
      <c r="X6" s="231"/>
      <c r="Y6" s="231"/>
      <c r="Z6" s="231"/>
      <c r="AA6" s="231"/>
      <c r="AB6" s="231"/>
      <c r="AC6" s="231"/>
      <c r="AD6" s="231"/>
      <c r="AE6" s="231"/>
      <c r="AF6" s="231"/>
      <c r="AG6" s="231"/>
      <c r="AH6" s="231"/>
      <c r="AI6" s="231"/>
    </row>
    <row r="7" spans="1:35" s="203" customFormat="1" ht="18.75" customHeight="1">
      <c r="A7" s="19" t="s">
        <v>419</v>
      </c>
      <c r="B7" s="207"/>
      <c r="C7" s="207"/>
      <c r="D7" s="207"/>
      <c r="E7" s="207"/>
      <c r="F7" s="362" t="s">
        <v>250</v>
      </c>
      <c r="G7" s="1"/>
      <c r="H7" s="21"/>
      <c r="I7" s="29"/>
      <c r="J7" s="231"/>
      <c r="K7" s="231"/>
      <c r="L7" s="231"/>
      <c r="M7" s="231"/>
      <c r="N7" s="231"/>
      <c r="O7" s="231"/>
      <c r="P7" s="231"/>
      <c r="Q7" s="231"/>
      <c r="R7" s="231"/>
      <c r="S7" s="231"/>
      <c r="T7" s="231"/>
      <c r="U7" s="231"/>
      <c r="V7" s="231"/>
      <c r="W7" s="231"/>
      <c r="X7" s="231"/>
      <c r="Y7" s="231"/>
      <c r="Z7" s="231"/>
      <c r="AA7" s="231"/>
      <c r="AB7" s="231"/>
      <c r="AC7" s="231"/>
      <c r="AD7" s="231"/>
      <c r="AE7" s="231"/>
      <c r="AF7" s="231"/>
      <c r="AG7" s="231"/>
      <c r="AH7" s="231"/>
      <c r="AI7" s="231"/>
    </row>
    <row r="8" spans="1:35" s="203" customFormat="1" ht="24" customHeight="1">
      <c r="A8" s="22" t="s">
        <v>408</v>
      </c>
      <c r="B8" s="207"/>
      <c r="C8" s="207"/>
      <c r="D8" s="207"/>
      <c r="E8" s="207"/>
      <c r="F8" s="207"/>
      <c r="G8" s="668"/>
      <c r="H8" s="21"/>
      <c r="I8" s="29"/>
      <c r="J8" s="231"/>
      <c r="K8" s="231"/>
      <c r="L8" s="231"/>
      <c r="M8" s="231"/>
      <c r="N8" s="231"/>
      <c r="O8" s="231"/>
      <c r="P8" s="231"/>
      <c r="Q8" s="231"/>
      <c r="R8" s="231"/>
      <c r="S8" s="231"/>
      <c r="T8" s="231"/>
      <c r="U8" s="231"/>
      <c r="V8" s="231"/>
      <c r="W8" s="231"/>
      <c r="X8" s="231"/>
      <c r="Y8" s="231"/>
      <c r="Z8" s="231"/>
      <c r="AA8" s="231"/>
      <c r="AB8" s="231"/>
      <c r="AC8" s="231"/>
      <c r="AD8" s="231"/>
      <c r="AE8" s="231"/>
      <c r="AF8" s="231"/>
      <c r="AG8" s="231"/>
      <c r="AH8" s="231"/>
      <c r="AI8" s="231"/>
    </row>
    <row r="9" spans="1:35" s="203" customFormat="1" ht="30.75" customHeight="1">
      <c r="A9" s="891" t="s">
        <v>420</v>
      </c>
      <c r="B9" s="892"/>
      <c r="C9" s="892"/>
      <c r="D9" s="892"/>
      <c r="E9" s="892"/>
      <c r="F9" s="892"/>
      <c r="G9" s="892"/>
      <c r="H9" s="892"/>
      <c r="I9" s="892"/>
      <c r="J9" s="231"/>
      <c r="K9" s="231"/>
      <c r="L9" s="231"/>
      <c r="M9" s="231"/>
      <c r="N9" s="231"/>
      <c r="O9" s="231"/>
      <c r="P9" s="231"/>
      <c r="Q9" s="231"/>
      <c r="R9" s="231"/>
      <c r="S9" s="231"/>
      <c r="T9" s="231"/>
      <c r="U9" s="231"/>
      <c r="V9" s="231"/>
      <c r="W9" s="231"/>
      <c r="X9" s="231"/>
      <c r="Y9" s="231"/>
      <c r="Z9" s="231"/>
      <c r="AA9" s="231"/>
      <c r="AB9" s="231"/>
      <c r="AC9" s="231"/>
      <c r="AD9" s="231"/>
      <c r="AE9" s="231"/>
      <c r="AF9" s="231"/>
      <c r="AG9" s="231"/>
      <c r="AH9" s="231"/>
      <c r="AI9" s="231"/>
    </row>
    <row r="10" spans="1:35" s="203" customFormat="1" ht="12.75" customHeight="1">
      <c r="A10" s="22" t="s">
        <v>409</v>
      </c>
      <c r="B10" s="19"/>
      <c r="C10" s="1"/>
      <c r="D10" s="880" t="s">
        <v>250</v>
      </c>
      <c r="E10" s="881"/>
      <c r="F10" s="881"/>
      <c r="G10" s="207"/>
      <c r="H10" s="207"/>
      <c r="I10" s="29"/>
      <c r="J10" s="231"/>
      <c r="K10" s="231"/>
      <c r="L10" s="231"/>
      <c r="M10" s="231"/>
      <c r="N10" s="231"/>
      <c r="O10" s="231"/>
      <c r="P10" s="231"/>
      <c r="Q10" s="231"/>
      <c r="R10" s="231"/>
      <c r="S10" s="231"/>
      <c r="T10" s="231"/>
      <c r="U10" s="231"/>
      <c r="V10" s="231"/>
      <c r="W10" s="231"/>
      <c r="X10" s="231"/>
      <c r="Y10" s="231"/>
      <c r="Z10" s="231"/>
      <c r="AA10" s="231"/>
      <c r="AB10" s="231"/>
      <c r="AC10" s="231"/>
      <c r="AD10" s="231"/>
      <c r="AE10" s="231"/>
      <c r="AF10" s="231"/>
      <c r="AG10" s="231"/>
      <c r="AH10" s="231"/>
      <c r="AI10" s="231"/>
    </row>
    <row r="11" spans="1:35" s="203" customFormat="1">
      <c r="A11" s="23"/>
      <c r="B11" s="207"/>
      <c r="C11" s="207"/>
      <c r="D11" s="207"/>
      <c r="E11" s="207"/>
      <c r="F11" s="207"/>
      <c r="G11" s="21"/>
      <c r="H11" s="21"/>
      <c r="I11" s="29"/>
      <c r="J11" s="231"/>
      <c r="K11" s="231"/>
      <c r="L11" s="231"/>
      <c r="M11" s="231"/>
      <c r="N11" s="231"/>
      <c r="O11" s="231"/>
      <c r="P11" s="231"/>
      <c r="Q11" s="231"/>
      <c r="R11" s="231"/>
      <c r="S11" s="231"/>
      <c r="T11" s="231"/>
      <c r="U11" s="231"/>
      <c r="V11" s="231"/>
      <c r="W11" s="231"/>
      <c r="X11" s="231"/>
      <c r="Y11" s="231"/>
      <c r="Z11" s="231"/>
      <c r="AA11" s="231"/>
      <c r="AB11" s="231"/>
      <c r="AC11" s="231"/>
      <c r="AD11" s="231"/>
      <c r="AE11" s="231"/>
      <c r="AF11" s="231"/>
      <c r="AG11" s="231"/>
      <c r="AH11" s="231"/>
      <c r="AI11" s="231"/>
    </row>
    <row r="12" spans="1:35" s="203" customFormat="1">
      <c r="A12" s="24"/>
      <c r="B12" s="25" t="s">
        <v>7</v>
      </c>
      <c r="C12" s="26"/>
      <c r="D12" s="356"/>
      <c r="E12" s="356"/>
      <c r="F12" s="357"/>
      <c r="G12" s="21"/>
      <c r="H12" s="21"/>
      <c r="I12" s="29"/>
      <c r="J12" s="231"/>
      <c r="K12" s="231"/>
      <c r="L12" s="231"/>
      <c r="M12" s="231"/>
      <c r="N12" s="231"/>
      <c r="O12" s="231"/>
      <c r="P12" s="231"/>
      <c r="Q12" s="231"/>
      <c r="R12" s="231"/>
      <c r="S12" s="231"/>
      <c r="T12" s="231"/>
      <c r="U12" s="231"/>
      <c r="V12" s="231"/>
      <c r="W12" s="231"/>
      <c r="X12" s="231"/>
      <c r="Y12" s="231"/>
      <c r="Z12" s="231"/>
      <c r="AA12" s="231"/>
      <c r="AB12" s="231"/>
      <c r="AC12" s="231"/>
      <c r="AD12" s="231"/>
      <c r="AE12" s="231"/>
      <c r="AF12" s="231"/>
      <c r="AG12" s="231"/>
      <c r="AH12" s="231"/>
      <c r="AI12" s="231"/>
    </row>
    <row r="13" spans="1:35" s="203" customFormat="1">
      <c r="A13" s="23"/>
      <c r="B13" s="27"/>
      <c r="C13" s="358"/>
      <c r="D13" s="15"/>
      <c r="E13" s="15"/>
      <c r="F13" s="359"/>
      <c r="G13" s="207"/>
      <c r="H13" s="21"/>
      <c r="I13" s="29"/>
      <c r="J13" s="231"/>
      <c r="K13" s="231"/>
      <c r="L13" s="231"/>
      <c r="M13" s="231"/>
      <c r="N13" s="231"/>
      <c r="O13" s="231"/>
      <c r="P13" s="231"/>
      <c r="Q13" s="231"/>
      <c r="R13" s="231"/>
      <c r="S13" s="231"/>
      <c r="T13" s="231"/>
      <c r="U13" s="231"/>
      <c r="V13" s="231"/>
      <c r="W13" s="231"/>
      <c r="X13" s="231"/>
      <c r="Y13" s="231"/>
      <c r="Z13" s="231"/>
      <c r="AA13" s="231"/>
      <c r="AB13" s="231"/>
      <c r="AC13" s="231"/>
      <c r="AD13" s="231"/>
      <c r="AE13" s="231"/>
      <c r="AF13" s="231"/>
      <c r="AG13" s="231"/>
      <c r="AH13" s="231"/>
      <c r="AI13" s="231"/>
    </row>
    <row r="14" spans="1:35" s="203" customFormat="1">
      <c r="A14" s="23"/>
      <c r="B14" s="363" t="s">
        <v>328</v>
      </c>
      <c r="C14" s="870" t="s">
        <v>10</v>
      </c>
      <c r="D14" s="870"/>
      <c r="E14" s="870"/>
      <c r="F14" s="871"/>
      <c r="G14" s="207"/>
      <c r="H14" s="21"/>
      <c r="I14" s="29"/>
      <c r="J14" s="231"/>
      <c r="K14" s="231"/>
      <c r="L14" s="231"/>
      <c r="M14" s="231"/>
      <c r="N14" s="231"/>
      <c r="O14" s="231"/>
      <c r="P14" s="231"/>
      <c r="Q14" s="231"/>
      <c r="R14" s="231"/>
      <c r="S14" s="231"/>
      <c r="T14" s="231"/>
      <c r="U14" s="231"/>
      <c r="V14" s="231"/>
      <c r="W14" s="231"/>
      <c r="X14" s="231"/>
      <c r="Y14" s="231"/>
      <c r="Z14" s="231"/>
      <c r="AA14" s="231"/>
      <c r="AB14" s="231"/>
      <c r="AC14" s="231"/>
      <c r="AD14" s="231"/>
      <c r="AE14" s="231"/>
      <c r="AF14" s="231"/>
      <c r="AG14" s="231"/>
      <c r="AH14" s="231"/>
      <c r="AI14" s="231"/>
    </row>
    <row r="15" spans="1:35" s="203" customFormat="1">
      <c r="A15" s="23"/>
      <c r="B15" s="363" t="s">
        <v>329</v>
      </c>
      <c r="C15" s="870" t="s">
        <v>12</v>
      </c>
      <c r="D15" s="870"/>
      <c r="E15" s="870"/>
      <c r="F15" s="871"/>
      <c r="G15" s="207"/>
      <c r="H15" s="21"/>
      <c r="I15" s="29"/>
      <c r="J15" s="231"/>
      <c r="K15" s="231"/>
      <c r="L15" s="231"/>
      <c r="M15" s="231"/>
      <c r="N15" s="231"/>
      <c r="O15" s="231"/>
      <c r="P15" s="231"/>
      <c r="Q15" s="231"/>
      <c r="R15" s="231"/>
      <c r="S15" s="231"/>
      <c r="T15" s="231"/>
      <c r="U15" s="231"/>
      <c r="V15" s="231"/>
      <c r="W15" s="231"/>
      <c r="X15" s="231"/>
      <c r="Y15" s="231"/>
      <c r="Z15" s="231"/>
      <c r="AA15" s="231"/>
      <c r="AB15" s="231"/>
      <c r="AC15" s="231"/>
      <c r="AD15" s="231"/>
      <c r="AE15" s="231"/>
      <c r="AF15" s="231"/>
      <c r="AG15" s="231"/>
      <c r="AH15" s="231"/>
      <c r="AI15" s="231"/>
    </row>
    <row r="16" spans="1:35" s="203" customFormat="1">
      <c r="A16" s="23"/>
      <c r="B16" s="360" t="s">
        <v>14</v>
      </c>
      <c r="C16" s="870" t="s">
        <v>15</v>
      </c>
      <c r="D16" s="870"/>
      <c r="E16" s="870"/>
      <c r="F16" s="871"/>
      <c r="G16" s="207"/>
      <c r="H16" s="21"/>
      <c r="I16" s="29"/>
      <c r="J16" s="231"/>
      <c r="K16" s="231"/>
      <c r="L16" s="231"/>
      <c r="M16" s="231"/>
      <c r="N16" s="231"/>
      <c r="O16" s="231"/>
      <c r="P16" s="231"/>
      <c r="Q16" s="231"/>
      <c r="R16" s="231"/>
      <c r="S16" s="231"/>
      <c r="T16" s="231"/>
      <c r="U16" s="231"/>
      <c r="V16" s="231"/>
      <c r="W16" s="231"/>
      <c r="X16" s="231"/>
      <c r="Y16" s="231"/>
      <c r="Z16" s="231"/>
      <c r="AA16" s="231"/>
      <c r="AB16" s="231"/>
      <c r="AC16" s="231"/>
      <c r="AD16" s="231"/>
      <c r="AE16" s="231"/>
      <c r="AF16" s="231"/>
      <c r="AG16" s="231"/>
      <c r="AH16" s="231"/>
      <c r="AI16" s="231"/>
    </row>
    <row r="17" spans="1:35" s="203" customFormat="1">
      <c r="A17" s="23"/>
      <c r="B17" s="360" t="s">
        <v>17</v>
      </c>
      <c r="C17" s="870" t="s">
        <v>18</v>
      </c>
      <c r="D17" s="870"/>
      <c r="E17" s="870"/>
      <c r="F17" s="871"/>
      <c r="G17" s="207"/>
      <c r="H17" s="21"/>
      <c r="I17" s="29"/>
      <c r="J17" s="231"/>
      <c r="K17" s="231"/>
      <c r="L17" s="231"/>
      <c r="M17" s="231"/>
      <c r="N17" s="231"/>
      <c r="O17" s="231"/>
      <c r="P17" s="231"/>
      <c r="Q17" s="231"/>
      <c r="R17" s="231"/>
      <c r="S17" s="231"/>
      <c r="T17" s="231"/>
      <c r="U17" s="231"/>
      <c r="V17" s="231"/>
      <c r="W17" s="231"/>
      <c r="X17" s="231"/>
      <c r="Y17" s="231"/>
      <c r="Z17" s="231"/>
      <c r="AA17" s="231"/>
      <c r="AB17" s="231"/>
      <c r="AC17" s="231"/>
      <c r="AD17" s="231"/>
      <c r="AE17" s="231"/>
      <c r="AF17" s="231"/>
      <c r="AG17" s="231"/>
      <c r="AH17" s="231"/>
      <c r="AI17" s="231"/>
    </row>
    <row r="18" spans="1:35" s="203" customFormat="1">
      <c r="A18" s="23"/>
      <c r="B18" s="360" t="s">
        <v>20</v>
      </c>
      <c r="C18" s="870" t="s">
        <v>21</v>
      </c>
      <c r="D18" s="870"/>
      <c r="E18" s="870"/>
      <c r="F18" s="871"/>
      <c r="G18" s="207"/>
      <c r="H18" s="21"/>
      <c r="I18" s="29"/>
      <c r="J18" s="231"/>
      <c r="K18" s="231"/>
      <c r="L18" s="231"/>
      <c r="M18" s="231"/>
      <c r="N18" s="231"/>
      <c r="O18" s="231"/>
      <c r="P18" s="231"/>
      <c r="Q18" s="231"/>
      <c r="R18" s="231"/>
      <c r="S18" s="231"/>
      <c r="T18" s="231"/>
      <c r="U18" s="231"/>
      <c r="V18" s="231"/>
      <c r="W18" s="231"/>
      <c r="X18" s="231"/>
      <c r="Y18" s="231"/>
      <c r="Z18" s="231"/>
      <c r="AA18" s="231"/>
      <c r="AB18" s="231"/>
      <c r="AC18" s="231"/>
      <c r="AD18" s="231"/>
      <c r="AE18" s="231"/>
      <c r="AF18" s="231"/>
      <c r="AG18" s="231"/>
      <c r="AH18" s="231"/>
      <c r="AI18" s="231"/>
    </row>
    <row r="19" spans="1:35" s="203" customFormat="1">
      <c r="A19" s="23"/>
      <c r="B19" s="361" t="s">
        <v>23</v>
      </c>
      <c r="C19" s="872" t="s">
        <v>24</v>
      </c>
      <c r="D19" s="872"/>
      <c r="E19" s="872"/>
      <c r="F19" s="873"/>
      <c r="G19" s="21"/>
      <c r="H19" s="21"/>
      <c r="I19" s="29"/>
      <c r="J19" s="231"/>
      <c r="K19" s="231"/>
      <c r="L19" s="231"/>
      <c r="M19" s="231"/>
      <c r="N19" s="231"/>
      <c r="O19" s="231"/>
      <c r="P19" s="231"/>
      <c r="Q19" s="231"/>
      <c r="R19" s="231"/>
      <c r="S19" s="231"/>
      <c r="T19" s="231"/>
      <c r="U19" s="231"/>
      <c r="V19" s="231"/>
      <c r="W19" s="231"/>
      <c r="X19" s="231"/>
      <c r="Y19" s="231"/>
      <c r="Z19" s="231"/>
      <c r="AA19" s="231"/>
      <c r="AB19" s="231"/>
      <c r="AC19" s="231"/>
      <c r="AD19" s="231"/>
      <c r="AE19" s="231"/>
      <c r="AF19" s="231"/>
      <c r="AG19" s="231"/>
      <c r="AH19" s="231"/>
      <c r="AI19" s="231"/>
    </row>
    <row r="20" spans="1:35" s="203" customFormat="1">
      <c r="A20" s="236"/>
      <c r="B20" s="206"/>
      <c r="C20" s="206"/>
      <c r="D20" s="206"/>
      <c r="E20" s="206"/>
      <c r="F20" s="206"/>
      <c r="G20" s="206"/>
      <c r="H20" s="206"/>
      <c r="I20" s="206"/>
      <c r="J20" s="231"/>
      <c r="K20" s="231"/>
      <c r="L20" s="231"/>
      <c r="M20" s="231"/>
      <c r="N20" s="231"/>
      <c r="O20" s="231"/>
      <c r="P20" s="231"/>
      <c r="Q20" s="231"/>
      <c r="R20" s="231"/>
      <c r="S20" s="231"/>
      <c r="T20" s="231"/>
      <c r="U20" s="231"/>
      <c r="V20" s="231"/>
      <c r="W20" s="231"/>
      <c r="X20" s="231"/>
      <c r="Y20" s="231"/>
      <c r="Z20" s="231"/>
      <c r="AA20" s="231"/>
      <c r="AB20" s="231"/>
      <c r="AC20" s="231"/>
      <c r="AD20" s="231"/>
      <c r="AE20" s="231"/>
      <c r="AF20" s="231"/>
      <c r="AG20" s="231"/>
      <c r="AH20" s="231"/>
      <c r="AI20" s="231"/>
    </row>
    <row r="21" spans="1:35" s="203" customFormat="1" ht="19.5">
      <c r="A21" s="30"/>
      <c r="B21" s="13"/>
      <c r="C21" s="13"/>
      <c r="D21" s="13"/>
      <c r="E21" s="13"/>
      <c r="F21" s="13"/>
      <c r="G21" s="13"/>
      <c r="H21" s="31" t="s">
        <v>27</v>
      </c>
      <c r="I21" s="237"/>
      <c r="J21" s="231"/>
      <c r="K21" s="231"/>
      <c r="L21" s="231"/>
      <c r="M21" s="231"/>
      <c r="N21" s="231"/>
      <c r="O21" s="231"/>
      <c r="P21" s="231"/>
      <c r="Q21" s="231"/>
      <c r="R21" s="231"/>
      <c r="S21" s="231"/>
      <c r="T21" s="231"/>
      <c r="U21" s="231"/>
      <c r="V21" s="231"/>
      <c r="W21" s="231"/>
      <c r="X21" s="231"/>
      <c r="Y21" s="231"/>
      <c r="Z21" s="231"/>
      <c r="AA21" s="231"/>
      <c r="AB21" s="231"/>
      <c r="AC21" s="231"/>
      <c r="AD21" s="231"/>
      <c r="AE21" s="231"/>
      <c r="AF21" s="231"/>
      <c r="AG21" s="231"/>
      <c r="AH21" s="231"/>
      <c r="AI21" s="231"/>
    </row>
    <row r="22" spans="1:35" s="203" customFormat="1" ht="18.75" customHeight="1">
      <c r="A22" s="32"/>
      <c r="B22" s="29"/>
      <c r="C22" s="29"/>
      <c r="D22" s="29"/>
      <c r="E22" s="29"/>
      <c r="F22" s="33">
        <v>1</v>
      </c>
      <c r="G22" s="34"/>
      <c r="H22" s="33">
        <v>2</v>
      </c>
      <c r="I22" s="34"/>
      <c r="J22" s="231"/>
      <c r="K22" s="231"/>
      <c r="L22" s="231"/>
      <c r="M22" s="231"/>
      <c r="N22" s="231"/>
      <c r="O22" s="231"/>
      <c r="P22" s="231"/>
      <c r="Q22" s="231"/>
      <c r="R22" s="231"/>
      <c r="S22" s="231"/>
      <c r="T22" s="231"/>
      <c r="U22" s="231"/>
      <c r="V22" s="231"/>
      <c r="W22" s="231"/>
      <c r="X22" s="231"/>
      <c r="Y22" s="231"/>
      <c r="Z22" s="231"/>
      <c r="AA22" s="231"/>
      <c r="AB22" s="231"/>
      <c r="AC22" s="231"/>
      <c r="AD22" s="231"/>
      <c r="AE22" s="231"/>
      <c r="AF22" s="231"/>
      <c r="AG22" s="231"/>
      <c r="AH22" s="231"/>
      <c r="AI22" s="231"/>
    </row>
    <row r="23" spans="1:35" s="203" customFormat="1" ht="21.95" customHeight="1">
      <c r="A23" s="874" t="s">
        <v>30</v>
      </c>
      <c r="B23" s="875"/>
      <c r="C23" s="875"/>
      <c r="D23" s="875"/>
      <c r="E23" s="878" t="s">
        <v>376</v>
      </c>
      <c r="F23" s="856" t="s">
        <v>407</v>
      </c>
      <c r="G23" s="36"/>
      <c r="H23" s="878" t="s">
        <v>406</v>
      </c>
      <c r="I23" s="36"/>
      <c r="J23" s="231"/>
      <c r="K23" s="231"/>
      <c r="L23" s="231"/>
      <c r="M23" s="231"/>
      <c r="N23" s="231"/>
      <c r="O23" s="231"/>
      <c r="P23" s="231"/>
      <c r="Q23" s="231"/>
      <c r="R23" s="231"/>
      <c r="S23" s="231"/>
      <c r="T23" s="231"/>
      <c r="U23" s="231"/>
      <c r="V23" s="231"/>
      <c r="W23" s="231"/>
      <c r="X23" s="231"/>
      <c r="Y23" s="231"/>
      <c r="Z23" s="231"/>
      <c r="AA23" s="231"/>
      <c r="AB23" s="231"/>
      <c r="AC23" s="231"/>
      <c r="AD23" s="231"/>
      <c r="AE23" s="231"/>
      <c r="AF23" s="231"/>
      <c r="AG23" s="231"/>
      <c r="AH23" s="231"/>
      <c r="AI23" s="231"/>
    </row>
    <row r="24" spans="1:35" s="203" customFormat="1" ht="21.95" customHeight="1">
      <c r="A24" s="876"/>
      <c r="B24" s="877"/>
      <c r="C24" s="877"/>
      <c r="D24" s="877"/>
      <c r="E24" s="879"/>
      <c r="F24" s="860"/>
      <c r="G24" s="23"/>
      <c r="H24" s="879"/>
      <c r="I24" s="36"/>
      <c r="J24" s="231"/>
      <c r="K24" s="231"/>
      <c r="L24" s="231"/>
      <c r="M24" s="231"/>
      <c r="N24" s="231"/>
      <c r="O24" s="231"/>
      <c r="P24" s="231"/>
      <c r="Q24" s="231"/>
      <c r="R24" s="231"/>
      <c r="S24" s="231"/>
      <c r="T24" s="231"/>
      <c r="U24" s="231"/>
      <c r="V24" s="231"/>
      <c r="W24" s="231"/>
      <c r="X24" s="231"/>
      <c r="Y24" s="231"/>
      <c r="Z24" s="231"/>
      <c r="AA24" s="231"/>
      <c r="AB24" s="231"/>
      <c r="AC24" s="231"/>
      <c r="AD24" s="231"/>
      <c r="AE24" s="231"/>
      <c r="AF24" s="231"/>
      <c r="AG24" s="231"/>
      <c r="AH24" s="231"/>
      <c r="AI24" s="231"/>
    </row>
    <row r="25" spans="1:35" s="203" customFormat="1" ht="21.95" customHeight="1">
      <c r="A25" s="898" t="s">
        <v>48</v>
      </c>
      <c r="B25" s="901" t="s">
        <v>49</v>
      </c>
      <c r="C25" s="901"/>
      <c r="D25" s="902"/>
      <c r="E25" s="907" t="s">
        <v>50</v>
      </c>
      <c r="F25" s="909" t="s">
        <v>51</v>
      </c>
      <c r="G25" s="34"/>
      <c r="H25" s="907" t="s">
        <v>50</v>
      </c>
      <c r="I25" s="36"/>
      <c r="J25" s="231"/>
      <c r="K25" s="231"/>
      <c r="L25" s="231"/>
      <c r="M25" s="231"/>
      <c r="N25" s="231"/>
      <c r="O25" s="231"/>
      <c r="P25" s="231"/>
      <c r="Q25" s="231"/>
      <c r="R25" s="231"/>
      <c r="S25" s="231"/>
      <c r="T25" s="231"/>
      <c r="U25" s="231"/>
      <c r="V25" s="231"/>
      <c r="W25" s="231"/>
      <c r="X25" s="231"/>
      <c r="Y25" s="231"/>
      <c r="Z25" s="231"/>
      <c r="AA25" s="231"/>
      <c r="AB25" s="231"/>
      <c r="AC25" s="231"/>
      <c r="AD25" s="231"/>
      <c r="AE25" s="231"/>
      <c r="AF25" s="231"/>
      <c r="AG25" s="231"/>
      <c r="AH25" s="231"/>
      <c r="AI25" s="231"/>
    </row>
    <row r="26" spans="1:35" s="203" customFormat="1" ht="21.95" customHeight="1">
      <c r="A26" s="899"/>
      <c r="B26" s="903"/>
      <c r="C26" s="903"/>
      <c r="D26" s="904"/>
      <c r="E26" s="908"/>
      <c r="F26" s="859"/>
      <c r="G26" s="34"/>
      <c r="H26" s="908"/>
      <c r="I26" s="36"/>
      <c r="J26" s="231"/>
      <c r="K26" s="231"/>
      <c r="L26" s="231"/>
      <c r="M26" s="231"/>
      <c r="N26" s="231"/>
      <c r="O26" s="231"/>
      <c r="P26" s="231"/>
      <c r="Q26" s="231"/>
      <c r="R26" s="231"/>
      <c r="S26" s="231"/>
      <c r="T26" s="231"/>
      <c r="U26" s="231"/>
      <c r="V26" s="231"/>
      <c r="W26" s="231"/>
      <c r="X26" s="231"/>
      <c r="Y26" s="231"/>
      <c r="Z26" s="231"/>
      <c r="AA26" s="231"/>
      <c r="AB26" s="231"/>
      <c r="AC26" s="231"/>
      <c r="AD26" s="231"/>
      <c r="AE26" s="231"/>
      <c r="AF26" s="231"/>
      <c r="AG26" s="231"/>
      <c r="AH26" s="231"/>
      <c r="AI26" s="231"/>
    </row>
    <row r="27" spans="1:35" s="203" customFormat="1" ht="21.95" customHeight="1">
      <c r="A27" s="900"/>
      <c r="B27" s="905"/>
      <c r="C27" s="905"/>
      <c r="D27" s="906"/>
      <c r="E27" s="879"/>
      <c r="F27" s="860"/>
      <c r="G27" s="34"/>
      <c r="H27" s="879"/>
      <c r="I27" s="36"/>
      <c r="J27" s="231"/>
      <c r="K27" s="231"/>
      <c r="L27" s="231"/>
      <c r="M27" s="231"/>
      <c r="N27" s="231"/>
      <c r="O27" s="231"/>
      <c r="P27" s="231"/>
      <c r="Q27" s="231"/>
      <c r="R27" s="231"/>
      <c r="S27" s="231"/>
      <c r="T27" s="231"/>
      <c r="U27" s="231"/>
      <c r="V27" s="231"/>
      <c r="W27" s="231"/>
      <c r="X27" s="231"/>
      <c r="Y27" s="231"/>
      <c r="Z27" s="231"/>
      <c r="AA27" s="231"/>
      <c r="AB27" s="231"/>
      <c r="AC27" s="231"/>
      <c r="AD27" s="231"/>
      <c r="AE27" s="231"/>
      <c r="AF27" s="231"/>
      <c r="AG27" s="231"/>
      <c r="AH27" s="231"/>
      <c r="AI27" s="231"/>
    </row>
    <row r="28" spans="1:35" s="203" customFormat="1">
      <c r="A28" s="38">
        <v>1</v>
      </c>
      <c r="B28" s="39" t="s">
        <v>52</v>
      </c>
      <c r="C28" s="39"/>
      <c r="D28" s="40"/>
      <c r="E28" s="41">
        <v>113081</v>
      </c>
      <c r="F28" s="42">
        <f>F77</f>
        <v>113210</v>
      </c>
      <c r="G28" s="43"/>
      <c r="H28" s="44">
        <f>H77</f>
        <v>122248</v>
      </c>
      <c r="I28" s="43"/>
      <c r="J28" s="231"/>
      <c r="K28" s="231"/>
      <c r="L28" s="231"/>
      <c r="M28" s="231"/>
      <c r="N28" s="231"/>
      <c r="O28" s="231"/>
      <c r="P28" s="231"/>
      <c r="Q28" s="231"/>
      <c r="R28" s="231"/>
      <c r="S28" s="231"/>
      <c r="T28" s="231"/>
      <c r="U28" s="231"/>
      <c r="V28" s="231"/>
      <c r="W28" s="231"/>
      <c r="X28" s="231"/>
      <c r="Y28" s="231"/>
      <c r="Z28" s="231"/>
      <c r="AA28" s="231"/>
      <c r="AB28" s="231"/>
      <c r="AC28" s="231"/>
      <c r="AD28" s="231"/>
      <c r="AE28" s="231"/>
      <c r="AF28" s="231"/>
      <c r="AG28" s="231"/>
      <c r="AH28" s="231"/>
      <c r="AI28" s="231"/>
    </row>
    <row r="29" spans="1:35" s="203" customFormat="1">
      <c r="A29" s="46">
        <v>2</v>
      </c>
      <c r="B29" s="47" t="s">
        <v>53</v>
      </c>
      <c r="C29" s="47"/>
      <c r="D29" s="48"/>
      <c r="E29" s="49">
        <v>70906</v>
      </c>
      <c r="F29" s="50">
        <f>F105</f>
        <v>74754</v>
      </c>
      <c r="G29" s="43"/>
      <c r="H29" s="51">
        <f>H105</f>
        <v>72516</v>
      </c>
      <c r="I29" s="43"/>
      <c r="J29" s="231"/>
      <c r="K29" s="231"/>
      <c r="L29" s="231"/>
      <c r="M29" s="231"/>
      <c r="N29" s="231"/>
      <c r="O29" s="231"/>
      <c r="P29" s="231"/>
      <c r="Q29" s="231"/>
      <c r="R29" s="231"/>
      <c r="S29" s="231"/>
      <c r="T29" s="231"/>
      <c r="U29" s="231"/>
      <c r="V29" s="231"/>
      <c r="W29" s="231"/>
      <c r="X29" s="231"/>
      <c r="Y29" s="231"/>
      <c r="Z29" s="231"/>
      <c r="AA29" s="231"/>
      <c r="AB29" s="231"/>
      <c r="AC29" s="231"/>
      <c r="AD29" s="231"/>
      <c r="AE29" s="231"/>
      <c r="AF29" s="231"/>
      <c r="AG29" s="231"/>
      <c r="AH29" s="231"/>
      <c r="AI29" s="231"/>
    </row>
    <row r="30" spans="1:35" s="203" customFormat="1">
      <c r="A30" s="46">
        <v>3</v>
      </c>
      <c r="B30" s="47" t="s">
        <v>54</v>
      </c>
      <c r="C30" s="47"/>
      <c r="D30" s="48"/>
      <c r="E30" s="49">
        <v>14481</v>
      </c>
      <c r="F30" s="50">
        <f>F180</f>
        <v>14676</v>
      </c>
      <c r="G30" s="43"/>
      <c r="H30" s="51">
        <f>H180</f>
        <v>13549</v>
      </c>
      <c r="I30" s="43"/>
      <c r="J30" s="231"/>
      <c r="K30" s="231"/>
      <c r="L30" s="231"/>
      <c r="M30" s="231"/>
      <c r="N30" s="231"/>
      <c r="O30" s="231"/>
      <c r="P30" s="231"/>
      <c r="Q30" s="231"/>
      <c r="R30" s="231"/>
      <c r="S30" s="231"/>
      <c r="T30" s="231"/>
      <c r="U30" s="231"/>
      <c r="V30" s="231"/>
      <c r="W30" s="231"/>
      <c r="X30" s="231"/>
      <c r="Y30" s="231"/>
      <c r="Z30" s="231"/>
      <c r="AA30" s="231"/>
      <c r="AB30" s="231"/>
      <c r="AC30" s="231"/>
      <c r="AD30" s="231"/>
      <c r="AE30" s="231"/>
      <c r="AF30" s="231"/>
      <c r="AG30" s="231"/>
      <c r="AH30" s="231"/>
      <c r="AI30" s="231"/>
    </row>
    <row r="31" spans="1:35" s="203" customFormat="1">
      <c r="A31" s="46">
        <v>4</v>
      </c>
      <c r="B31" s="47" t="s">
        <v>55</v>
      </c>
      <c r="C31" s="47"/>
      <c r="D31" s="48"/>
      <c r="E31" s="49">
        <v>15294</v>
      </c>
      <c r="F31" s="50">
        <f>F214</f>
        <v>15412</v>
      </c>
      <c r="G31" s="43"/>
      <c r="H31" s="51">
        <f>H214</f>
        <v>14406</v>
      </c>
      <c r="I31" s="43"/>
      <c r="J31" s="231"/>
      <c r="K31" s="231"/>
      <c r="L31" s="231"/>
      <c r="M31" s="231"/>
      <c r="N31" s="231"/>
      <c r="O31" s="231"/>
      <c r="P31" s="231"/>
      <c r="Q31" s="231"/>
      <c r="R31" s="231"/>
      <c r="S31" s="231"/>
      <c r="T31" s="231"/>
      <c r="U31" s="231"/>
      <c r="V31" s="231"/>
      <c r="W31" s="231"/>
      <c r="X31" s="231"/>
      <c r="Y31" s="231"/>
      <c r="Z31" s="231"/>
      <c r="AA31" s="231"/>
      <c r="AB31" s="231"/>
      <c r="AC31" s="231"/>
      <c r="AD31" s="231"/>
      <c r="AE31" s="231"/>
      <c r="AF31" s="231"/>
      <c r="AG31" s="231"/>
      <c r="AH31" s="231"/>
      <c r="AI31" s="231"/>
    </row>
    <row r="32" spans="1:35" s="203" customFormat="1">
      <c r="A32" s="46">
        <v>5</v>
      </c>
      <c r="B32" s="47" t="s">
        <v>56</v>
      </c>
      <c r="C32" s="47"/>
      <c r="D32" s="48"/>
      <c r="E32" s="49">
        <v>1054</v>
      </c>
      <c r="F32" s="50">
        <f>F231</f>
        <v>1411</v>
      </c>
      <c r="G32" s="43"/>
      <c r="H32" s="51">
        <f>H231</f>
        <v>1139</v>
      </c>
      <c r="I32" s="43"/>
      <c r="J32" s="231"/>
      <c r="K32" s="231"/>
      <c r="L32" s="231"/>
      <c r="M32" s="231"/>
      <c r="N32" s="231"/>
      <c r="O32" s="231"/>
      <c r="P32" s="231"/>
      <c r="Q32" s="231"/>
      <c r="R32" s="231"/>
      <c r="S32" s="231"/>
      <c r="T32" s="231"/>
      <c r="U32" s="231"/>
      <c r="V32" s="231"/>
      <c r="W32" s="231"/>
      <c r="X32" s="231"/>
      <c r="Y32" s="231"/>
      <c r="Z32" s="231"/>
      <c r="AA32" s="231"/>
      <c r="AB32" s="231"/>
      <c r="AC32" s="231"/>
      <c r="AD32" s="231"/>
      <c r="AE32" s="231"/>
      <c r="AF32" s="231"/>
      <c r="AG32" s="231"/>
      <c r="AH32" s="231"/>
      <c r="AI32" s="231"/>
    </row>
    <row r="33" spans="1:35" s="203" customFormat="1">
      <c r="A33" s="46">
        <v>6</v>
      </c>
      <c r="B33" s="47" t="s">
        <v>57</v>
      </c>
      <c r="C33" s="47"/>
      <c r="D33" s="48"/>
      <c r="E33" s="49">
        <v>11431</v>
      </c>
      <c r="F33" s="50">
        <f>F257</f>
        <v>11925</v>
      </c>
      <c r="G33" s="43"/>
      <c r="H33" s="51">
        <f>H257</f>
        <v>11302</v>
      </c>
      <c r="I33" s="43"/>
      <c r="J33" s="231"/>
      <c r="K33" s="231"/>
      <c r="L33" s="231"/>
      <c r="M33" s="231"/>
      <c r="N33" s="231"/>
      <c r="O33" s="231"/>
      <c r="P33" s="231"/>
      <c r="Q33" s="231"/>
      <c r="R33" s="231"/>
      <c r="S33" s="231"/>
      <c r="T33" s="231"/>
      <c r="U33" s="231"/>
      <c r="V33" s="231"/>
      <c r="W33" s="231"/>
      <c r="X33" s="231"/>
      <c r="Y33" s="231"/>
      <c r="Z33" s="231"/>
      <c r="AA33" s="231"/>
      <c r="AB33" s="231"/>
      <c r="AC33" s="231"/>
      <c r="AD33" s="231"/>
      <c r="AE33" s="231"/>
      <c r="AF33" s="231"/>
      <c r="AG33" s="231"/>
      <c r="AH33" s="231"/>
      <c r="AI33" s="231"/>
    </row>
    <row r="34" spans="1:35" s="203" customFormat="1">
      <c r="A34" s="46">
        <v>7</v>
      </c>
      <c r="B34" s="47" t="s">
        <v>58</v>
      </c>
      <c r="C34" s="47"/>
      <c r="D34" s="48"/>
      <c r="E34" s="49">
        <v>4365</v>
      </c>
      <c r="F34" s="50">
        <f>F277</f>
        <v>4700</v>
      </c>
      <c r="G34" s="43"/>
      <c r="H34" s="50">
        <f>H277</f>
        <v>4167</v>
      </c>
      <c r="I34" s="43"/>
      <c r="J34" s="231"/>
      <c r="K34" s="231"/>
      <c r="L34" s="231"/>
      <c r="M34" s="231"/>
      <c r="N34" s="231"/>
      <c r="O34" s="231"/>
      <c r="P34" s="231"/>
      <c r="Q34" s="231"/>
      <c r="R34" s="231"/>
      <c r="S34" s="231"/>
      <c r="T34" s="231"/>
      <c r="U34" s="231"/>
      <c r="V34" s="231"/>
      <c r="W34" s="231"/>
      <c r="X34" s="231"/>
      <c r="Y34" s="231"/>
      <c r="Z34" s="231"/>
      <c r="AA34" s="231"/>
      <c r="AB34" s="231"/>
      <c r="AC34" s="231"/>
      <c r="AD34" s="231"/>
      <c r="AE34" s="231"/>
      <c r="AF34" s="231"/>
      <c r="AG34" s="231"/>
      <c r="AH34" s="231"/>
      <c r="AI34" s="231"/>
    </row>
    <row r="35" spans="1:35" s="203" customFormat="1">
      <c r="A35" s="46">
        <v>8</v>
      </c>
      <c r="B35" s="47" t="s">
        <v>59</v>
      </c>
      <c r="C35" s="47"/>
      <c r="D35" s="48"/>
      <c r="E35" s="49">
        <v>5508</v>
      </c>
      <c r="F35" s="50">
        <f>F302</f>
        <v>6634</v>
      </c>
      <c r="G35" s="43"/>
      <c r="H35" s="50">
        <f>H302</f>
        <v>6433</v>
      </c>
      <c r="I35" s="21"/>
      <c r="J35" s="231"/>
      <c r="K35" s="231"/>
      <c r="L35" s="231"/>
      <c r="M35" s="231"/>
      <c r="N35" s="231"/>
      <c r="O35" s="231"/>
      <c r="P35" s="231"/>
      <c r="Q35" s="231"/>
      <c r="R35" s="231"/>
      <c r="S35" s="231"/>
      <c r="T35" s="231"/>
      <c r="U35" s="231"/>
      <c r="V35" s="231"/>
      <c r="W35" s="231"/>
      <c r="X35" s="231"/>
      <c r="Y35" s="231"/>
      <c r="Z35" s="231"/>
      <c r="AA35" s="231"/>
      <c r="AB35" s="231"/>
      <c r="AC35" s="231"/>
      <c r="AD35" s="231"/>
      <c r="AE35" s="231"/>
      <c r="AF35" s="231"/>
      <c r="AG35" s="231"/>
      <c r="AH35" s="231"/>
      <c r="AI35" s="231"/>
    </row>
    <row r="36" spans="1:35" s="203" customFormat="1">
      <c r="A36" s="46">
        <v>9</v>
      </c>
      <c r="B36" s="47" t="s">
        <v>60</v>
      </c>
      <c r="C36" s="47"/>
      <c r="D36" s="48"/>
      <c r="E36" s="49">
        <v>0</v>
      </c>
      <c r="F36" s="52"/>
      <c r="G36" s="43"/>
      <c r="H36" s="52"/>
      <c r="I36" s="21"/>
      <c r="J36" s="231"/>
      <c r="K36" s="231"/>
      <c r="L36" s="231"/>
      <c r="M36" s="231"/>
      <c r="N36" s="231"/>
      <c r="O36" s="231"/>
      <c r="P36" s="231"/>
      <c r="Q36" s="231"/>
      <c r="R36" s="231"/>
      <c r="S36" s="231"/>
      <c r="T36" s="231"/>
      <c r="U36" s="231"/>
      <c r="V36" s="231"/>
      <c r="W36" s="231"/>
      <c r="X36" s="231"/>
      <c r="Y36" s="231"/>
      <c r="Z36" s="231"/>
      <c r="AA36" s="231"/>
      <c r="AB36" s="231"/>
      <c r="AC36" s="231"/>
      <c r="AD36" s="231"/>
      <c r="AE36" s="231"/>
      <c r="AF36" s="231"/>
      <c r="AG36" s="231"/>
      <c r="AH36" s="231"/>
      <c r="AI36" s="231"/>
    </row>
    <row r="37" spans="1:35" s="203" customFormat="1">
      <c r="A37" s="53">
        <v>10</v>
      </c>
      <c r="B37" s="54" t="s">
        <v>61</v>
      </c>
      <c r="C37" s="54"/>
      <c r="D37" s="55"/>
      <c r="E37" s="56">
        <v>23953</v>
      </c>
      <c r="F37" s="57">
        <f>F320</f>
        <v>23980</v>
      </c>
      <c r="G37" s="43"/>
      <c r="H37" s="57">
        <f>H320</f>
        <v>25374</v>
      </c>
      <c r="I37" s="21"/>
      <c r="J37" s="231"/>
      <c r="K37" s="231"/>
      <c r="L37" s="231"/>
      <c r="M37" s="231"/>
      <c r="N37" s="231"/>
      <c r="O37" s="231"/>
      <c r="P37" s="231"/>
      <c r="Q37" s="231"/>
      <c r="R37" s="231"/>
      <c r="S37" s="231"/>
      <c r="T37" s="231"/>
      <c r="U37" s="231"/>
      <c r="V37" s="231"/>
      <c r="W37" s="231"/>
      <c r="X37" s="231"/>
      <c r="Y37" s="231"/>
      <c r="Z37" s="231"/>
      <c r="AA37" s="231"/>
      <c r="AB37" s="231"/>
      <c r="AC37" s="231"/>
      <c r="AD37" s="231"/>
      <c r="AE37" s="231"/>
      <c r="AF37" s="231"/>
      <c r="AG37" s="231"/>
      <c r="AH37" s="231"/>
      <c r="AI37" s="231"/>
    </row>
    <row r="38" spans="1:35" s="203" customFormat="1">
      <c r="A38" s="33">
        <v>11</v>
      </c>
      <c r="B38" s="58" t="s">
        <v>62</v>
      </c>
      <c r="C38" s="58"/>
      <c r="D38" s="59"/>
      <c r="E38" s="60">
        <v>260073</v>
      </c>
      <c r="F38" s="61">
        <f>SUM(F28:F37)</f>
        <v>266702</v>
      </c>
      <c r="G38" s="43"/>
      <c r="H38" s="61">
        <f>SUM(H28:H37)</f>
        <v>271134</v>
      </c>
      <c r="I38" s="68"/>
      <c r="J38" s="231"/>
      <c r="K38" s="231"/>
      <c r="L38" s="231"/>
      <c r="M38" s="231"/>
      <c r="N38" s="231"/>
      <c r="O38" s="231"/>
      <c r="P38" s="231"/>
      <c r="Q38" s="231"/>
      <c r="R38" s="231"/>
      <c r="S38" s="231"/>
      <c r="T38" s="231"/>
      <c r="U38" s="231"/>
      <c r="V38" s="231"/>
      <c r="W38" s="231"/>
      <c r="X38" s="231"/>
      <c r="Y38" s="231"/>
      <c r="Z38" s="231"/>
      <c r="AA38" s="231"/>
      <c r="AB38" s="231"/>
      <c r="AC38" s="231"/>
      <c r="AD38" s="231"/>
      <c r="AE38" s="231"/>
      <c r="AF38" s="231"/>
      <c r="AG38" s="231"/>
      <c r="AH38" s="231"/>
      <c r="AI38" s="231"/>
    </row>
    <row r="39" spans="1:35" s="203" customFormat="1" ht="12.75" customHeight="1">
      <c r="A39" s="63"/>
      <c r="B39" s="64"/>
      <c r="C39" s="64"/>
      <c r="D39" s="65"/>
      <c r="E39" s="66"/>
      <c r="F39" s="67"/>
      <c r="G39" s="21"/>
      <c r="H39" s="67"/>
      <c r="I39" s="68"/>
      <c r="J39" s="231"/>
      <c r="K39" s="231"/>
      <c r="L39" s="231"/>
      <c r="M39" s="231"/>
      <c r="N39" s="231"/>
      <c r="O39" s="231"/>
      <c r="P39" s="231"/>
      <c r="Q39" s="231"/>
      <c r="R39" s="231"/>
      <c r="S39" s="231"/>
      <c r="T39" s="231"/>
      <c r="U39" s="231"/>
      <c r="V39" s="231"/>
      <c r="W39" s="231"/>
      <c r="X39" s="231"/>
      <c r="Y39" s="231"/>
      <c r="Z39" s="231"/>
      <c r="AA39" s="231"/>
      <c r="AB39" s="231"/>
      <c r="AC39" s="231"/>
      <c r="AD39" s="231"/>
      <c r="AE39" s="231"/>
      <c r="AF39" s="231"/>
      <c r="AG39" s="231"/>
      <c r="AH39" s="231"/>
      <c r="AI39" s="231"/>
    </row>
    <row r="40" spans="1:35" s="203" customFormat="1" ht="12.75" customHeight="1">
      <c r="A40" s="893" t="s">
        <v>63</v>
      </c>
      <c r="B40" s="894"/>
      <c r="C40" s="894"/>
      <c r="D40" s="895"/>
      <c r="E40" s="878" t="s">
        <v>376</v>
      </c>
      <c r="F40" s="856" t="s">
        <v>407</v>
      </c>
      <c r="G40" s="36"/>
      <c r="H40" s="878" t="s">
        <v>406</v>
      </c>
      <c r="I40" s="43"/>
      <c r="J40" s="231"/>
      <c r="K40" s="231"/>
      <c r="L40" s="231"/>
      <c r="M40" s="231"/>
      <c r="N40" s="231"/>
      <c r="O40" s="231"/>
      <c r="P40" s="231"/>
      <c r="Q40" s="231"/>
      <c r="R40" s="231"/>
      <c r="S40" s="231"/>
      <c r="T40" s="231"/>
      <c r="U40" s="231"/>
      <c r="V40" s="231"/>
      <c r="W40" s="231"/>
      <c r="X40" s="231"/>
      <c r="Y40" s="231"/>
      <c r="Z40" s="231"/>
      <c r="AA40" s="231"/>
      <c r="AB40" s="231"/>
      <c r="AC40" s="231"/>
      <c r="AD40" s="231"/>
      <c r="AE40" s="231"/>
      <c r="AF40" s="231"/>
      <c r="AG40" s="231"/>
      <c r="AH40" s="231"/>
      <c r="AI40" s="231"/>
    </row>
    <row r="41" spans="1:35" s="203" customFormat="1" ht="27.75" customHeight="1">
      <c r="A41" s="876"/>
      <c r="B41" s="877"/>
      <c r="C41" s="877"/>
      <c r="D41" s="896"/>
      <c r="E41" s="879"/>
      <c r="F41" s="860"/>
      <c r="G41" s="23"/>
      <c r="H41" s="879"/>
      <c r="I41" s="43"/>
      <c r="J41" s="231"/>
      <c r="K41" s="231"/>
      <c r="L41" s="231"/>
      <c r="M41" s="231"/>
      <c r="N41" s="231"/>
      <c r="O41" s="231"/>
      <c r="P41" s="231"/>
      <c r="Q41" s="231"/>
      <c r="R41" s="231"/>
      <c r="S41" s="231"/>
      <c r="T41" s="231"/>
      <c r="U41" s="231"/>
      <c r="V41" s="231"/>
      <c r="W41" s="231"/>
      <c r="X41" s="231"/>
      <c r="Y41" s="231"/>
      <c r="Z41" s="231"/>
      <c r="AA41" s="231"/>
      <c r="AB41" s="231"/>
      <c r="AC41" s="231"/>
      <c r="AD41" s="231"/>
      <c r="AE41" s="231"/>
      <c r="AF41" s="231"/>
      <c r="AG41" s="231"/>
      <c r="AH41" s="231"/>
      <c r="AI41" s="231"/>
    </row>
    <row r="42" spans="1:35" s="203" customFormat="1">
      <c r="A42" s="669" t="s">
        <v>64</v>
      </c>
      <c r="B42" s="69" t="s">
        <v>65</v>
      </c>
      <c r="C42" s="69"/>
      <c r="D42" s="70"/>
      <c r="E42" s="71"/>
      <c r="F42" s="72" t="str">
        <f>IF(OR(F43&lt;0,F44&lt;0,F47&lt;0,F48&lt;0,H43&lt;0,H44&lt;0,H47&lt;0,H48&lt;0),"Funding should be recorded as positive figures",".")</f>
        <v>.</v>
      </c>
      <c r="G42" s="45"/>
      <c r="H42" s="73"/>
      <c r="I42" s="43"/>
      <c r="J42" s="231"/>
      <c r="K42" s="231"/>
      <c r="L42" s="231"/>
      <c r="M42" s="231"/>
      <c r="N42" s="231"/>
      <c r="O42" s="231"/>
      <c r="P42" s="231"/>
      <c r="Q42" s="231"/>
      <c r="R42" s="231"/>
      <c r="S42" s="231"/>
      <c r="T42" s="231"/>
      <c r="U42" s="231"/>
      <c r="V42" s="231"/>
      <c r="W42" s="231"/>
      <c r="X42" s="231"/>
      <c r="Y42" s="231"/>
      <c r="Z42" s="231"/>
      <c r="AA42" s="231"/>
      <c r="AB42" s="231"/>
      <c r="AC42" s="231"/>
      <c r="AD42" s="231"/>
      <c r="AE42" s="231"/>
      <c r="AF42" s="231"/>
      <c r="AG42" s="231"/>
      <c r="AH42" s="231"/>
      <c r="AI42" s="231"/>
    </row>
    <row r="43" spans="1:35" s="203" customFormat="1">
      <c r="A43" s="46">
        <v>1</v>
      </c>
      <c r="B43" s="47" t="s">
        <v>66</v>
      </c>
      <c r="C43" s="47"/>
      <c r="D43" s="48"/>
      <c r="E43" s="74">
        <v>167539</v>
      </c>
      <c r="F43" s="241">
        <v>169350.00000000003</v>
      </c>
      <c r="G43" s="45"/>
      <c r="H43" s="75">
        <v>167589</v>
      </c>
      <c r="I43" s="43"/>
      <c r="J43" s="231"/>
      <c r="K43" s="231"/>
      <c r="L43" s="231"/>
      <c r="M43" s="231"/>
      <c r="N43" s="231"/>
      <c r="O43" s="231"/>
      <c r="P43" s="231"/>
      <c r="Q43" s="231"/>
      <c r="R43" s="231"/>
      <c r="S43" s="231"/>
      <c r="T43" s="231"/>
      <c r="U43" s="231"/>
      <c r="V43" s="231"/>
      <c r="W43" s="231"/>
      <c r="X43" s="231"/>
      <c r="Y43" s="231"/>
      <c r="Z43" s="231"/>
      <c r="AA43" s="231"/>
      <c r="AB43" s="231"/>
      <c r="AC43" s="231"/>
      <c r="AD43" s="231"/>
      <c r="AE43" s="231"/>
      <c r="AF43" s="231"/>
      <c r="AG43" s="231"/>
      <c r="AH43" s="231"/>
      <c r="AI43" s="231"/>
    </row>
    <row r="44" spans="1:35" s="203" customFormat="1">
      <c r="A44" s="46">
        <v>2</v>
      </c>
      <c r="B44" s="47" t="s">
        <v>67</v>
      </c>
      <c r="C44" s="47"/>
      <c r="D44" s="48"/>
      <c r="E44" s="49">
        <v>32790</v>
      </c>
      <c r="F44" s="241">
        <v>32790</v>
      </c>
      <c r="G44" s="45"/>
      <c r="H44" s="75">
        <v>36624</v>
      </c>
      <c r="I44" s="43"/>
      <c r="J44" s="231"/>
      <c r="K44" s="231"/>
      <c r="L44" s="231"/>
      <c r="M44" s="231"/>
      <c r="N44" s="231"/>
      <c r="O44" s="231"/>
      <c r="P44" s="231"/>
      <c r="Q44" s="231"/>
      <c r="R44" s="231"/>
      <c r="S44" s="231"/>
      <c r="T44" s="231"/>
      <c r="U44" s="231"/>
      <c r="V44" s="231"/>
      <c r="W44" s="231"/>
      <c r="X44" s="231"/>
      <c r="Y44" s="231"/>
      <c r="Z44" s="231"/>
      <c r="AA44" s="231"/>
      <c r="AB44" s="231"/>
      <c r="AC44" s="231"/>
      <c r="AD44" s="231"/>
      <c r="AE44" s="231"/>
      <c r="AF44" s="231"/>
      <c r="AG44" s="231"/>
      <c r="AH44" s="231"/>
      <c r="AI44" s="231"/>
    </row>
    <row r="45" spans="1:35" s="203" customFormat="1">
      <c r="A45" s="46">
        <v>3</v>
      </c>
      <c r="B45" s="47" t="s">
        <v>68</v>
      </c>
      <c r="C45" s="47"/>
      <c r="D45" s="48"/>
      <c r="E45" s="49">
        <v>0</v>
      </c>
      <c r="F45" s="52"/>
      <c r="G45" s="45"/>
      <c r="H45" s="75"/>
      <c r="I45" s="43"/>
      <c r="J45" s="231"/>
      <c r="K45" s="231"/>
      <c r="L45" s="231"/>
      <c r="M45" s="231"/>
      <c r="N45" s="231"/>
      <c r="O45" s="231"/>
      <c r="P45" s="231"/>
      <c r="Q45" s="231"/>
      <c r="R45" s="231"/>
      <c r="S45" s="231"/>
      <c r="T45" s="231"/>
      <c r="U45" s="231"/>
      <c r="V45" s="231"/>
      <c r="W45" s="231"/>
      <c r="X45" s="231"/>
      <c r="Y45" s="231"/>
      <c r="Z45" s="231"/>
      <c r="AA45" s="231"/>
      <c r="AB45" s="231"/>
      <c r="AC45" s="231"/>
      <c r="AD45" s="231"/>
      <c r="AE45" s="231"/>
      <c r="AF45" s="231"/>
      <c r="AG45" s="231"/>
      <c r="AH45" s="231"/>
      <c r="AI45" s="231"/>
    </row>
    <row r="46" spans="1:35" s="203" customFormat="1">
      <c r="A46" s="46">
        <v>4</v>
      </c>
      <c r="B46" s="47" t="s">
        <v>70</v>
      </c>
      <c r="C46" s="47"/>
      <c r="D46" s="48"/>
      <c r="E46" s="49">
        <v>0</v>
      </c>
      <c r="F46" s="52"/>
      <c r="G46" s="45"/>
      <c r="H46" s="75"/>
      <c r="I46" s="43"/>
      <c r="J46" s="231"/>
      <c r="K46" s="231"/>
      <c r="L46" s="231"/>
      <c r="M46" s="231"/>
      <c r="N46" s="231"/>
      <c r="O46" s="231"/>
      <c r="P46" s="231"/>
      <c r="Q46" s="231"/>
      <c r="R46" s="231"/>
      <c r="S46" s="231"/>
      <c r="T46" s="231"/>
      <c r="U46" s="231"/>
      <c r="V46" s="231"/>
      <c r="W46" s="231"/>
      <c r="X46" s="231"/>
      <c r="Y46" s="231"/>
      <c r="Z46" s="231"/>
      <c r="AA46" s="231"/>
      <c r="AB46" s="231"/>
      <c r="AC46" s="231"/>
      <c r="AD46" s="231"/>
      <c r="AE46" s="231"/>
      <c r="AF46" s="231"/>
      <c r="AG46" s="231"/>
      <c r="AH46" s="231"/>
      <c r="AI46" s="231"/>
    </row>
    <row r="47" spans="1:35" s="203" customFormat="1">
      <c r="A47" s="46">
        <v>5</v>
      </c>
      <c r="B47" s="47" t="s">
        <v>69</v>
      </c>
      <c r="C47" s="47"/>
      <c r="D47" s="48"/>
      <c r="E47" s="49">
        <v>3804</v>
      </c>
      <c r="F47" s="52">
        <v>3804</v>
      </c>
      <c r="G47" s="45"/>
      <c r="H47" s="76">
        <v>9330</v>
      </c>
      <c r="I47" s="43"/>
      <c r="J47" s="231"/>
      <c r="K47" s="231"/>
      <c r="L47" s="231"/>
      <c r="M47" s="231"/>
      <c r="N47" s="231"/>
      <c r="O47" s="231"/>
      <c r="P47" s="231"/>
      <c r="Q47" s="231"/>
      <c r="R47" s="231"/>
      <c r="S47" s="231"/>
      <c r="T47" s="231"/>
      <c r="U47" s="231"/>
      <c r="V47" s="231"/>
      <c r="W47" s="231"/>
      <c r="X47" s="231"/>
      <c r="Y47" s="231"/>
      <c r="Z47" s="231"/>
      <c r="AA47" s="231"/>
      <c r="AB47" s="231"/>
      <c r="AC47" s="231"/>
      <c r="AD47" s="231"/>
      <c r="AE47" s="231"/>
      <c r="AF47" s="231"/>
      <c r="AG47" s="231"/>
      <c r="AH47" s="231"/>
      <c r="AI47" s="231"/>
    </row>
    <row r="48" spans="1:35" s="203" customFormat="1">
      <c r="A48" s="46">
        <v>6</v>
      </c>
      <c r="B48" s="90" t="s">
        <v>253</v>
      </c>
      <c r="C48" s="47"/>
      <c r="D48" s="195"/>
      <c r="E48" s="49">
        <v>53835</v>
      </c>
      <c r="F48" s="52">
        <v>54495</v>
      </c>
      <c r="G48" s="45"/>
      <c r="H48" s="52">
        <v>57591</v>
      </c>
      <c r="I48" s="43"/>
      <c r="J48" s="231"/>
      <c r="K48" s="231"/>
      <c r="L48" s="231"/>
      <c r="M48" s="231"/>
      <c r="N48" s="231"/>
      <c r="O48" s="231"/>
      <c r="P48" s="231"/>
      <c r="Q48" s="231"/>
      <c r="R48" s="231"/>
      <c r="S48" s="231"/>
      <c r="T48" s="231"/>
      <c r="U48" s="231"/>
      <c r="V48" s="231"/>
      <c r="W48" s="231"/>
      <c r="X48" s="231"/>
      <c r="Y48" s="231"/>
      <c r="Z48" s="231"/>
      <c r="AA48" s="231"/>
      <c r="AB48" s="231"/>
      <c r="AC48" s="231"/>
      <c r="AD48" s="231"/>
      <c r="AE48" s="231"/>
      <c r="AF48" s="231"/>
      <c r="AG48" s="231"/>
      <c r="AH48" s="231"/>
      <c r="AI48" s="231"/>
    </row>
    <row r="49" spans="1:35" s="203" customFormat="1">
      <c r="A49" s="77">
        <v>7</v>
      </c>
      <c r="B49" s="78" t="s">
        <v>71</v>
      </c>
      <c r="C49" s="58"/>
      <c r="D49" s="79"/>
      <c r="E49" s="80">
        <v>257968</v>
      </c>
      <c r="F49" s="81">
        <f>SUM(F43:F48)</f>
        <v>260439.00000000003</v>
      </c>
      <c r="G49" s="82"/>
      <c r="H49" s="62">
        <f>SUM(H43:H48)</f>
        <v>271134</v>
      </c>
      <c r="I49" s="242"/>
      <c r="J49" s="231"/>
      <c r="K49" s="231"/>
      <c r="L49" s="231"/>
      <c r="M49" s="231"/>
      <c r="N49" s="231"/>
      <c r="O49" s="231"/>
      <c r="P49" s="231"/>
      <c r="Q49" s="231"/>
      <c r="R49" s="231"/>
      <c r="S49" s="231"/>
      <c r="T49" s="231"/>
      <c r="U49" s="231"/>
      <c r="V49" s="231"/>
      <c r="W49" s="231"/>
      <c r="X49" s="231"/>
      <c r="Y49" s="231"/>
      <c r="Z49" s="231"/>
      <c r="AA49" s="231"/>
      <c r="AB49" s="231"/>
      <c r="AC49" s="231"/>
      <c r="AD49" s="231"/>
      <c r="AE49" s="231"/>
      <c r="AF49" s="231"/>
      <c r="AG49" s="231"/>
      <c r="AH49" s="231"/>
      <c r="AI49" s="231"/>
    </row>
    <row r="50" spans="1:35" s="203" customFormat="1">
      <c r="A50" s="83"/>
      <c r="B50" s="244"/>
      <c r="C50" s="244"/>
      <c r="D50" s="244"/>
      <c r="E50" s="85"/>
      <c r="F50" s="244"/>
      <c r="G50" s="86"/>
      <c r="H50" s="86"/>
      <c r="I50" s="21"/>
      <c r="J50" s="231"/>
      <c r="K50" s="231"/>
      <c r="L50" s="231"/>
      <c r="M50" s="231"/>
      <c r="N50" s="231"/>
      <c r="O50" s="231"/>
      <c r="P50" s="231"/>
      <c r="Q50" s="231"/>
      <c r="R50" s="231"/>
      <c r="S50" s="231"/>
      <c r="T50" s="231"/>
      <c r="U50" s="231"/>
      <c r="V50" s="231"/>
      <c r="W50" s="231"/>
      <c r="X50" s="231"/>
      <c r="Y50" s="231"/>
      <c r="Z50" s="231"/>
      <c r="AA50" s="231"/>
      <c r="AB50" s="231"/>
      <c r="AC50" s="231"/>
      <c r="AD50" s="231"/>
      <c r="AE50" s="231"/>
      <c r="AF50" s="231"/>
      <c r="AG50" s="231"/>
      <c r="AH50" s="231"/>
      <c r="AI50" s="231"/>
    </row>
    <row r="51" spans="1:35" s="203" customFormat="1">
      <c r="A51" s="669" t="s">
        <v>72</v>
      </c>
      <c r="B51" s="196" t="s">
        <v>254</v>
      </c>
      <c r="C51" s="69"/>
      <c r="D51" s="70"/>
      <c r="E51" s="87"/>
      <c r="F51" s="88"/>
      <c r="G51" s="45"/>
      <c r="H51" s="89"/>
      <c r="I51" s="43"/>
      <c r="J51" s="231"/>
      <c r="K51" s="231"/>
      <c r="L51" s="231"/>
      <c r="M51" s="231"/>
      <c r="N51" s="231"/>
      <c r="O51" s="231"/>
      <c r="P51" s="231"/>
      <c r="Q51" s="231"/>
      <c r="R51" s="231"/>
      <c r="S51" s="231"/>
      <c r="T51" s="231"/>
      <c r="U51" s="231"/>
      <c r="V51" s="231"/>
      <c r="W51" s="231"/>
      <c r="X51" s="231"/>
      <c r="Y51" s="231"/>
      <c r="Z51" s="231"/>
      <c r="AA51" s="231"/>
      <c r="AB51" s="231"/>
      <c r="AC51" s="231"/>
      <c r="AD51" s="231"/>
      <c r="AE51" s="231"/>
      <c r="AF51" s="231"/>
      <c r="AG51" s="231"/>
      <c r="AH51" s="231"/>
      <c r="AI51" s="231"/>
    </row>
    <row r="52" spans="1:35" s="203" customFormat="1">
      <c r="A52" s="46">
        <v>8</v>
      </c>
      <c r="B52" s="90" t="s">
        <v>73</v>
      </c>
      <c r="C52" s="47"/>
      <c r="D52" s="48"/>
      <c r="E52" s="74">
        <v>260073</v>
      </c>
      <c r="F52" s="50">
        <f>F38</f>
        <v>266702</v>
      </c>
      <c r="G52" s="45"/>
      <c r="H52" s="91">
        <f>H38</f>
        <v>271134</v>
      </c>
      <c r="I52" s="43"/>
      <c r="J52" s="231"/>
      <c r="K52" s="231"/>
      <c r="L52" s="231"/>
      <c r="M52" s="231"/>
      <c r="N52" s="231"/>
      <c r="O52" s="231"/>
      <c r="P52" s="231"/>
      <c r="Q52" s="231"/>
      <c r="R52" s="231"/>
      <c r="S52" s="231"/>
      <c r="T52" s="231"/>
      <c r="U52" s="231"/>
      <c r="V52" s="231"/>
      <c r="W52" s="231"/>
      <c r="X52" s="231"/>
      <c r="Y52" s="231"/>
      <c r="Z52" s="231"/>
      <c r="AA52" s="231"/>
      <c r="AB52" s="231"/>
      <c r="AC52" s="231"/>
      <c r="AD52" s="231"/>
      <c r="AE52" s="231"/>
      <c r="AF52" s="231"/>
      <c r="AG52" s="231"/>
      <c r="AH52" s="231"/>
      <c r="AI52" s="231"/>
    </row>
    <row r="53" spans="1:35" s="203" customFormat="1">
      <c r="A53" s="46">
        <v>9</v>
      </c>
      <c r="B53" s="90" t="s">
        <v>74</v>
      </c>
      <c r="C53" s="47"/>
      <c r="D53" s="48"/>
      <c r="E53" s="49">
        <v>257968</v>
      </c>
      <c r="F53" s="92">
        <f>F49</f>
        <v>260439.00000000003</v>
      </c>
      <c r="G53" s="45"/>
      <c r="H53" s="91">
        <f>H49</f>
        <v>271134</v>
      </c>
      <c r="I53" s="43"/>
      <c r="J53" s="231"/>
      <c r="K53" s="231"/>
      <c r="L53" s="231"/>
      <c r="M53" s="231"/>
      <c r="N53" s="231"/>
      <c r="O53" s="231"/>
      <c r="P53" s="231"/>
      <c r="Q53" s="231"/>
      <c r="R53" s="231"/>
      <c r="S53" s="231"/>
      <c r="T53" s="231"/>
      <c r="U53" s="231"/>
      <c r="V53" s="231"/>
      <c r="W53" s="231"/>
      <c r="X53" s="231"/>
      <c r="Y53" s="231"/>
      <c r="Z53" s="231"/>
      <c r="AA53" s="231"/>
      <c r="AB53" s="231"/>
      <c r="AC53" s="231"/>
      <c r="AD53" s="231"/>
      <c r="AE53" s="231"/>
      <c r="AF53" s="231"/>
      <c r="AG53" s="231"/>
      <c r="AH53" s="231"/>
      <c r="AI53" s="231"/>
    </row>
    <row r="54" spans="1:35" s="203" customFormat="1">
      <c r="A54" s="671">
        <v>10</v>
      </c>
      <c r="B54" s="93" t="s">
        <v>255</v>
      </c>
      <c r="C54" s="94"/>
      <c r="D54" s="55"/>
      <c r="E54" s="95">
        <v>-2105</v>
      </c>
      <c r="F54" s="96">
        <f>F53-F52</f>
        <v>-6262.9999999999709</v>
      </c>
      <c r="G54" s="45"/>
      <c r="H54" s="97">
        <f>H53-H52</f>
        <v>0</v>
      </c>
      <c r="I54" s="43"/>
      <c r="J54" s="231"/>
      <c r="K54" s="231"/>
      <c r="L54" s="231"/>
      <c r="M54" s="231"/>
      <c r="N54" s="231"/>
      <c r="O54" s="231"/>
      <c r="P54" s="231"/>
      <c r="Q54" s="231"/>
      <c r="R54" s="231"/>
      <c r="S54" s="231"/>
      <c r="T54" s="231"/>
      <c r="U54" s="231"/>
      <c r="V54" s="231"/>
      <c r="W54" s="231"/>
      <c r="X54" s="231"/>
      <c r="Y54" s="231"/>
      <c r="Z54" s="231"/>
      <c r="AA54" s="231"/>
      <c r="AB54" s="231"/>
      <c r="AC54" s="231"/>
      <c r="AD54" s="231"/>
      <c r="AE54" s="231"/>
      <c r="AF54" s="231"/>
      <c r="AG54" s="231"/>
      <c r="AH54" s="231"/>
      <c r="AI54" s="231"/>
    </row>
    <row r="55" spans="1:35" s="203" customFormat="1">
      <c r="A55" s="83"/>
      <c r="B55" s="244"/>
      <c r="C55" s="244"/>
      <c r="D55" s="244"/>
      <c r="E55" s="85"/>
      <c r="F55" s="244"/>
      <c r="G55" s="86"/>
      <c r="H55" s="86"/>
      <c r="I55" s="21"/>
      <c r="J55" s="231"/>
      <c r="K55" s="231"/>
      <c r="L55" s="231"/>
      <c r="M55" s="231"/>
      <c r="N55" s="231"/>
      <c r="O55" s="231"/>
      <c r="P55" s="231"/>
      <c r="Q55" s="231"/>
      <c r="R55" s="231"/>
      <c r="S55" s="231"/>
      <c r="T55" s="231"/>
      <c r="U55" s="231"/>
      <c r="V55" s="231"/>
      <c r="W55" s="231"/>
      <c r="X55" s="231"/>
      <c r="Y55" s="231"/>
      <c r="Z55" s="231"/>
      <c r="AA55" s="231"/>
      <c r="AB55" s="231"/>
      <c r="AC55" s="231"/>
      <c r="AD55" s="231"/>
      <c r="AE55" s="231"/>
      <c r="AF55" s="231"/>
      <c r="AG55" s="231"/>
      <c r="AH55" s="231"/>
      <c r="AI55" s="231"/>
    </row>
    <row r="56" spans="1:35" s="203" customFormat="1">
      <c r="A56" s="669" t="s">
        <v>75</v>
      </c>
      <c r="B56" s="69" t="s">
        <v>256</v>
      </c>
      <c r="C56" s="69"/>
      <c r="D56" s="70"/>
      <c r="E56" s="87"/>
      <c r="F56" s="88"/>
      <c r="G56" s="45"/>
      <c r="H56" s="89"/>
      <c r="I56" s="43"/>
      <c r="J56" s="231"/>
      <c r="K56" s="231"/>
      <c r="L56" s="231"/>
      <c r="M56" s="231"/>
      <c r="N56" s="231"/>
      <c r="O56" s="231"/>
      <c r="P56" s="231"/>
      <c r="Q56" s="231"/>
      <c r="R56" s="231"/>
      <c r="S56" s="231"/>
      <c r="T56" s="231"/>
      <c r="U56" s="231"/>
      <c r="V56" s="231"/>
      <c r="W56" s="231"/>
      <c r="X56" s="231"/>
      <c r="Y56" s="231"/>
      <c r="Z56" s="231"/>
      <c r="AA56" s="231"/>
      <c r="AB56" s="231"/>
      <c r="AC56" s="231"/>
      <c r="AD56" s="231"/>
      <c r="AE56" s="231"/>
      <c r="AF56" s="231"/>
      <c r="AG56" s="231"/>
      <c r="AH56" s="231"/>
      <c r="AI56" s="231"/>
    </row>
    <row r="57" spans="1:35" s="203" customFormat="1">
      <c r="A57" s="46">
        <v>11</v>
      </c>
      <c r="B57" s="47" t="s">
        <v>76</v>
      </c>
      <c r="C57" s="47"/>
      <c r="D57" s="48"/>
      <c r="E57" s="74">
        <v>16535</v>
      </c>
      <c r="F57" s="52">
        <v>19726</v>
      </c>
      <c r="G57" s="45"/>
      <c r="H57" s="91">
        <f>F61</f>
        <v>13463.000000000029</v>
      </c>
      <c r="I57" s="43"/>
      <c r="J57" s="231"/>
      <c r="K57" s="231"/>
      <c r="L57" s="231"/>
      <c r="M57" s="231"/>
      <c r="N57" s="231"/>
      <c r="O57" s="231"/>
      <c r="P57" s="231"/>
      <c r="Q57" s="231"/>
      <c r="R57" s="231"/>
      <c r="S57" s="231"/>
      <c r="T57" s="231"/>
      <c r="U57" s="231"/>
      <c r="V57" s="231"/>
      <c r="W57" s="231"/>
      <c r="X57" s="231"/>
      <c r="Y57" s="231"/>
      <c r="Z57" s="231"/>
      <c r="AA57" s="231"/>
      <c r="AB57" s="231"/>
      <c r="AC57" s="231"/>
      <c r="AD57" s="231"/>
      <c r="AE57" s="231"/>
      <c r="AF57" s="231"/>
      <c r="AG57" s="231"/>
      <c r="AH57" s="231"/>
      <c r="AI57" s="231"/>
    </row>
    <row r="58" spans="1:35" s="203" customFormat="1">
      <c r="A58" s="46">
        <v>12</v>
      </c>
      <c r="B58" s="90" t="s">
        <v>257</v>
      </c>
      <c r="C58" s="47"/>
      <c r="D58" s="48"/>
      <c r="E58" s="49">
        <v>-2105</v>
      </c>
      <c r="F58" s="92">
        <f>F54</f>
        <v>-6262.9999999999709</v>
      </c>
      <c r="G58" s="45"/>
      <c r="H58" s="98">
        <f>H54</f>
        <v>0</v>
      </c>
      <c r="I58" s="43"/>
      <c r="J58" s="231"/>
      <c r="K58" s="231"/>
      <c r="L58" s="231"/>
      <c r="M58" s="231"/>
      <c r="N58" s="231"/>
      <c r="O58" s="231"/>
      <c r="P58" s="231"/>
      <c r="Q58" s="231"/>
      <c r="R58" s="231"/>
      <c r="S58" s="231"/>
      <c r="T58" s="231"/>
      <c r="U58" s="231"/>
      <c r="V58" s="231"/>
      <c r="W58" s="231"/>
      <c r="X58" s="231"/>
      <c r="Y58" s="231"/>
      <c r="Z58" s="231"/>
      <c r="AA58" s="231"/>
      <c r="AB58" s="231"/>
      <c r="AC58" s="231"/>
      <c r="AD58" s="231"/>
      <c r="AE58" s="231"/>
      <c r="AF58" s="231"/>
      <c r="AG58" s="231"/>
      <c r="AH58" s="231"/>
      <c r="AI58" s="231"/>
    </row>
    <row r="59" spans="1:35" s="203" customFormat="1">
      <c r="A59" s="46">
        <v>13</v>
      </c>
      <c r="B59" s="47" t="s">
        <v>77</v>
      </c>
      <c r="C59" s="47"/>
      <c r="D59" s="48"/>
      <c r="E59" s="49">
        <v>0</v>
      </c>
      <c r="F59" s="52"/>
      <c r="G59" s="45"/>
      <c r="H59" s="99"/>
      <c r="I59" s="43"/>
      <c r="J59" s="231"/>
      <c r="K59" s="231"/>
      <c r="L59" s="231"/>
      <c r="M59" s="231"/>
      <c r="N59" s="231"/>
      <c r="O59" s="231"/>
      <c r="P59" s="231"/>
      <c r="Q59" s="231"/>
      <c r="R59" s="231"/>
      <c r="S59" s="231"/>
      <c r="T59" s="231"/>
      <c r="U59" s="231"/>
      <c r="V59" s="231"/>
      <c r="W59" s="231"/>
      <c r="X59" s="231"/>
      <c r="Y59" s="231"/>
      <c r="Z59" s="231"/>
      <c r="AA59" s="231"/>
      <c r="AB59" s="231"/>
      <c r="AC59" s="231"/>
      <c r="AD59" s="231"/>
      <c r="AE59" s="231"/>
      <c r="AF59" s="231"/>
      <c r="AG59" s="231"/>
      <c r="AH59" s="231"/>
      <c r="AI59" s="231"/>
    </row>
    <row r="60" spans="1:35" s="203" customFormat="1">
      <c r="A60" s="46">
        <v>14</v>
      </c>
      <c r="B60" s="47" t="s">
        <v>78</v>
      </c>
      <c r="C60" s="47"/>
      <c r="D60" s="48"/>
      <c r="E60" s="49">
        <v>0</v>
      </c>
      <c r="F60" s="52"/>
      <c r="G60" s="45"/>
      <c r="H60" s="100"/>
      <c r="I60" s="43"/>
      <c r="J60" s="231"/>
      <c r="K60" s="231"/>
      <c r="L60" s="231"/>
      <c r="M60" s="231"/>
      <c r="N60" s="231"/>
      <c r="O60" s="231"/>
      <c r="P60" s="231"/>
      <c r="Q60" s="231"/>
      <c r="R60" s="231"/>
      <c r="S60" s="231"/>
      <c r="T60" s="231"/>
      <c r="U60" s="231"/>
      <c r="V60" s="231"/>
      <c r="W60" s="231"/>
      <c r="X60" s="231"/>
      <c r="Y60" s="231"/>
      <c r="Z60" s="231"/>
      <c r="AA60" s="231"/>
      <c r="AB60" s="231"/>
      <c r="AC60" s="231"/>
      <c r="AD60" s="231"/>
      <c r="AE60" s="231"/>
      <c r="AF60" s="231"/>
      <c r="AG60" s="231"/>
      <c r="AH60" s="231"/>
      <c r="AI60" s="231"/>
    </row>
    <row r="61" spans="1:35" s="203" customFormat="1">
      <c r="A61" s="53">
        <v>15</v>
      </c>
      <c r="B61" s="54" t="s">
        <v>79</v>
      </c>
      <c r="C61" s="54"/>
      <c r="D61" s="55"/>
      <c r="E61" s="56">
        <v>14430</v>
      </c>
      <c r="F61" s="96">
        <f>F57+F58+F59+F60</f>
        <v>13463.000000000029</v>
      </c>
      <c r="G61" s="45"/>
      <c r="H61" s="101">
        <f>H57+H58+H59+H60</f>
        <v>13463.000000000029</v>
      </c>
      <c r="I61" s="43"/>
      <c r="J61" s="231"/>
      <c r="K61" s="231"/>
      <c r="L61" s="231"/>
      <c r="M61" s="231"/>
      <c r="N61" s="231"/>
      <c r="O61" s="231"/>
      <c r="P61" s="231"/>
      <c r="Q61" s="231"/>
      <c r="R61" s="231"/>
      <c r="S61" s="231"/>
      <c r="T61" s="231"/>
      <c r="U61" s="231"/>
      <c r="V61" s="231"/>
      <c r="W61" s="231"/>
      <c r="X61" s="231"/>
      <c r="Y61" s="231"/>
      <c r="Z61" s="231"/>
      <c r="AA61" s="231"/>
      <c r="AB61" s="231"/>
      <c r="AC61" s="231"/>
      <c r="AD61" s="231"/>
      <c r="AE61" s="231"/>
      <c r="AF61" s="231"/>
      <c r="AG61" s="231"/>
      <c r="AH61" s="231"/>
      <c r="AI61" s="231"/>
    </row>
    <row r="62" spans="1:35" s="203" customFormat="1">
      <c r="A62" s="102"/>
      <c r="B62" s="207"/>
      <c r="C62" s="207"/>
      <c r="D62" s="207"/>
      <c r="E62" s="103"/>
      <c r="F62" s="21"/>
      <c r="G62" s="21"/>
      <c r="H62" s="21"/>
      <c r="I62" s="21"/>
      <c r="J62" s="231"/>
      <c r="K62" s="231"/>
      <c r="L62" s="231"/>
      <c r="M62" s="231"/>
      <c r="N62" s="231"/>
      <c r="O62" s="231"/>
      <c r="P62" s="231"/>
      <c r="Q62" s="231"/>
      <c r="R62" s="231"/>
      <c r="S62" s="231"/>
      <c r="T62" s="231"/>
      <c r="U62" s="231"/>
      <c r="V62" s="231"/>
      <c r="W62" s="231"/>
      <c r="X62" s="231"/>
      <c r="Y62" s="231"/>
      <c r="Z62" s="231"/>
      <c r="AA62" s="231"/>
      <c r="AB62" s="231"/>
      <c r="AC62" s="231"/>
      <c r="AD62" s="231"/>
      <c r="AE62" s="231"/>
      <c r="AF62" s="231"/>
      <c r="AG62" s="231"/>
      <c r="AH62" s="231"/>
      <c r="AI62" s="231"/>
    </row>
    <row r="63" spans="1:35" s="203" customFormat="1" ht="12.75" customHeight="1">
      <c r="A63" s="23"/>
      <c r="B63" s="207"/>
      <c r="C63" s="207"/>
      <c r="D63" s="207"/>
      <c r="E63" s="15"/>
      <c r="F63" s="207"/>
      <c r="G63" s="207"/>
      <c r="H63" s="21"/>
      <c r="I63" s="21"/>
      <c r="J63" s="231"/>
      <c r="K63" s="231"/>
      <c r="L63" s="231"/>
      <c r="M63" s="231"/>
      <c r="N63" s="231"/>
      <c r="O63" s="231"/>
      <c r="P63" s="231"/>
      <c r="Q63" s="231"/>
      <c r="R63" s="231"/>
      <c r="S63" s="231"/>
      <c r="T63" s="231"/>
      <c r="U63" s="231"/>
      <c r="V63" s="231"/>
      <c r="W63" s="231"/>
      <c r="X63" s="231"/>
      <c r="Y63" s="231"/>
      <c r="Z63" s="231"/>
      <c r="AA63" s="231"/>
      <c r="AB63" s="231"/>
      <c r="AC63" s="231"/>
      <c r="AD63" s="231"/>
      <c r="AE63" s="231"/>
      <c r="AF63" s="231"/>
      <c r="AG63" s="231"/>
      <c r="AH63" s="231"/>
      <c r="AI63" s="231"/>
    </row>
    <row r="64" spans="1:35" s="203" customFormat="1" ht="15">
      <c r="A64" s="104" t="s">
        <v>80</v>
      </c>
      <c r="B64" s="29"/>
      <c r="C64" s="29"/>
      <c r="D64" s="29"/>
      <c r="E64" s="15"/>
      <c r="F64" s="29"/>
      <c r="G64" s="29"/>
      <c r="H64" s="29"/>
      <c r="I64" s="29"/>
      <c r="J64" s="231"/>
      <c r="K64" s="231"/>
      <c r="L64" s="231"/>
      <c r="M64" s="231"/>
      <c r="N64" s="231"/>
      <c r="O64" s="231"/>
      <c r="P64" s="231"/>
      <c r="Q64" s="231"/>
      <c r="R64" s="231"/>
      <c r="S64" s="231"/>
      <c r="T64" s="231"/>
      <c r="U64" s="231"/>
      <c r="V64" s="231"/>
      <c r="W64" s="231"/>
      <c r="X64" s="231"/>
      <c r="Y64" s="231"/>
      <c r="Z64" s="231"/>
      <c r="AA64" s="231"/>
      <c r="AB64" s="231"/>
      <c r="AC64" s="231"/>
      <c r="AD64" s="231"/>
      <c r="AE64" s="231"/>
      <c r="AF64" s="231"/>
      <c r="AG64" s="231"/>
      <c r="AH64" s="231"/>
      <c r="AI64" s="231"/>
    </row>
    <row r="65" spans="1:35" s="203" customFormat="1">
      <c r="A65" s="32"/>
      <c r="B65" s="29"/>
      <c r="C65" s="29"/>
      <c r="D65" s="29"/>
      <c r="E65" s="105"/>
      <c r="F65" s="29"/>
      <c r="G65" s="29"/>
      <c r="H65" s="29"/>
      <c r="I65" s="131" t="s">
        <v>27</v>
      </c>
      <c r="J65" s="231"/>
      <c r="K65" s="231"/>
      <c r="L65" s="231"/>
      <c r="M65" s="231"/>
      <c r="N65" s="231"/>
      <c r="O65" s="231"/>
      <c r="P65" s="231"/>
      <c r="Q65" s="231"/>
      <c r="R65" s="231"/>
      <c r="S65" s="231"/>
      <c r="T65" s="231"/>
      <c r="U65" s="231"/>
      <c r="V65" s="231"/>
      <c r="W65" s="231"/>
      <c r="X65" s="231"/>
      <c r="Y65" s="231"/>
      <c r="Z65" s="231"/>
      <c r="AA65" s="231"/>
      <c r="AB65" s="231"/>
      <c r="AC65" s="231"/>
      <c r="AD65" s="231"/>
      <c r="AE65" s="231"/>
      <c r="AF65" s="231"/>
      <c r="AG65" s="231"/>
      <c r="AH65" s="231"/>
      <c r="AI65" s="231"/>
    </row>
    <row r="66" spans="1:35" s="203" customFormat="1">
      <c r="A66" s="106" t="s">
        <v>14</v>
      </c>
      <c r="B66" s="107"/>
      <c r="C66" s="107"/>
      <c r="D66" s="107"/>
      <c r="E66" s="856" t="s">
        <v>377</v>
      </c>
      <c r="F66" s="962" t="s">
        <v>402</v>
      </c>
      <c r="G66" s="867" t="s">
        <v>81</v>
      </c>
      <c r="H66" s="962" t="s">
        <v>403</v>
      </c>
      <c r="I66" s="867" t="s">
        <v>81</v>
      </c>
      <c r="J66" s="231"/>
      <c r="K66" s="231"/>
      <c r="L66" s="231"/>
      <c r="M66" s="231"/>
      <c r="N66" s="231"/>
      <c r="O66" s="231"/>
      <c r="P66" s="231"/>
      <c r="Q66" s="231"/>
      <c r="R66" s="231"/>
      <c r="S66" s="231"/>
      <c r="T66" s="231"/>
      <c r="U66" s="231"/>
      <c r="V66" s="231"/>
      <c r="W66" s="231"/>
      <c r="X66" s="231"/>
      <c r="Y66" s="231"/>
      <c r="Z66" s="231"/>
      <c r="AA66" s="231"/>
      <c r="AB66" s="231"/>
      <c r="AC66" s="231"/>
      <c r="AD66" s="231"/>
      <c r="AE66" s="231"/>
      <c r="AF66" s="231"/>
      <c r="AG66" s="231"/>
      <c r="AH66" s="231"/>
      <c r="AI66" s="231"/>
    </row>
    <row r="67" spans="1:35" s="203" customFormat="1" ht="21" customHeight="1">
      <c r="A67" s="108"/>
      <c r="B67" s="47"/>
      <c r="C67" s="47"/>
      <c r="D67" s="47"/>
      <c r="E67" s="859"/>
      <c r="F67" s="963"/>
      <c r="G67" s="868"/>
      <c r="H67" s="963"/>
      <c r="I67" s="868"/>
      <c r="J67" s="231"/>
      <c r="K67" s="231"/>
      <c r="L67" s="231"/>
      <c r="M67" s="231"/>
      <c r="N67" s="231"/>
      <c r="O67" s="231"/>
      <c r="P67" s="231"/>
      <c r="Q67" s="231"/>
      <c r="R67" s="231"/>
      <c r="S67" s="231"/>
      <c r="T67" s="231"/>
      <c r="U67" s="231"/>
      <c r="V67" s="231"/>
      <c r="W67" s="231"/>
      <c r="X67" s="231"/>
      <c r="Y67" s="231"/>
      <c r="Z67" s="231"/>
      <c r="AA67" s="231"/>
      <c r="AB67" s="231"/>
      <c r="AC67" s="231"/>
      <c r="AD67" s="231"/>
      <c r="AE67" s="231"/>
      <c r="AF67" s="231"/>
      <c r="AG67" s="231"/>
      <c r="AH67" s="231"/>
      <c r="AI67" s="231"/>
    </row>
    <row r="68" spans="1:35" s="203" customFormat="1">
      <c r="A68" s="109" t="s">
        <v>82</v>
      </c>
      <c r="B68" s="47"/>
      <c r="C68" s="47"/>
      <c r="D68" s="47"/>
      <c r="E68" s="859"/>
      <c r="F68" s="963"/>
      <c r="G68" s="868"/>
      <c r="H68" s="963"/>
      <c r="I68" s="868"/>
      <c r="J68" s="231"/>
      <c r="K68" s="231"/>
      <c r="L68" s="231"/>
      <c r="M68" s="231"/>
      <c r="N68" s="231"/>
      <c r="O68" s="231"/>
      <c r="P68" s="231"/>
      <c r="Q68" s="231"/>
      <c r="R68" s="231"/>
      <c r="S68" s="231"/>
      <c r="T68" s="231"/>
      <c r="U68" s="231"/>
      <c r="V68" s="231"/>
      <c r="W68" s="231"/>
      <c r="X68" s="231"/>
      <c r="Y68" s="231"/>
      <c r="Z68" s="231"/>
      <c r="AA68" s="231"/>
      <c r="AB68" s="231"/>
      <c r="AC68" s="231"/>
      <c r="AD68" s="231"/>
      <c r="AE68" s="231"/>
      <c r="AF68" s="231"/>
      <c r="AG68" s="231"/>
      <c r="AH68" s="231"/>
      <c r="AI68" s="231"/>
    </row>
    <row r="69" spans="1:35" s="203" customFormat="1">
      <c r="A69" s="109" t="s">
        <v>83</v>
      </c>
      <c r="B69" s="47"/>
      <c r="C69" s="47"/>
      <c r="D69" s="47"/>
      <c r="E69" s="859"/>
      <c r="F69" s="963"/>
      <c r="G69" s="868"/>
      <c r="H69" s="963"/>
      <c r="I69" s="868"/>
      <c r="J69" s="231"/>
      <c r="K69" s="231"/>
      <c r="L69" s="231"/>
      <c r="M69" s="231"/>
      <c r="N69" s="231"/>
      <c r="O69" s="231"/>
      <c r="P69" s="231"/>
      <c r="Q69" s="231"/>
      <c r="R69" s="231"/>
      <c r="S69" s="231"/>
      <c r="T69" s="231"/>
      <c r="U69" s="231"/>
      <c r="V69" s="231"/>
      <c r="W69" s="231"/>
      <c r="X69" s="231"/>
      <c r="Y69" s="231"/>
      <c r="Z69" s="231"/>
      <c r="AA69" s="231"/>
      <c r="AB69" s="231"/>
      <c r="AC69" s="231"/>
      <c r="AD69" s="231"/>
      <c r="AE69" s="231"/>
      <c r="AF69" s="231"/>
      <c r="AG69" s="231"/>
      <c r="AH69" s="231"/>
      <c r="AI69" s="231"/>
    </row>
    <row r="70" spans="1:35" s="203" customFormat="1">
      <c r="A70" s="110" t="s">
        <v>84</v>
      </c>
      <c r="B70" s="47"/>
      <c r="C70" s="47"/>
      <c r="D70" s="47"/>
      <c r="E70" s="860"/>
      <c r="F70" s="964"/>
      <c r="G70" s="869"/>
      <c r="H70" s="964"/>
      <c r="I70" s="869"/>
      <c r="J70" s="231"/>
      <c r="K70" s="231"/>
      <c r="L70" s="231"/>
      <c r="M70" s="231"/>
      <c r="N70" s="231"/>
      <c r="O70" s="231"/>
      <c r="P70" s="231"/>
      <c r="Q70" s="231"/>
      <c r="R70" s="231"/>
      <c r="S70" s="231"/>
      <c r="T70" s="231"/>
      <c r="U70" s="231"/>
      <c r="V70" s="231"/>
      <c r="W70" s="231"/>
      <c r="X70" s="231"/>
      <c r="Y70" s="231"/>
      <c r="Z70" s="231"/>
      <c r="AA70" s="231"/>
      <c r="AB70" s="231"/>
      <c r="AC70" s="231"/>
      <c r="AD70" s="231"/>
      <c r="AE70" s="231"/>
      <c r="AF70" s="231"/>
      <c r="AG70" s="231"/>
      <c r="AH70" s="231"/>
      <c r="AI70" s="231"/>
    </row>
    <row r="71" spans="1:35" s="203" customFormat="1">
      <c r="A71" s="111">
        <v>1</v>
      </c>
      <c r="B71" s="47" t="s">
        <v>85</v>
      </c>
      <c r="C71" s="47"/>
      <c r="D71" s="47"/>
      <c r="E71" s="41">
        <v>8245</v>
      </c>
      <c r="F71" s="247">
        <v>7850</v>
      </c>
      <c r="G71" s="112"/>
      <c r="H71" s="248">
        <v>14222</v>
      </c>
      <c r="I71" s="112"/>
      <c r="J71" s="231"/>
      <c r="K71" s="231"/>
      <c r="L71" s="231"/>
      <c r="M71" s="231"/>
      <c r="N71" s="231"/>
      <c r="O71" s="231"/>
      <c r="P71" s="231"/>
      <c r="Q71" s="231"/>
      <c r="R71" s="231"/>
      <c r="S71" s="231"/>
      <c r="T71" s="231"/>
      <c r="U71" s="231"/>
      <c r="V71" s="231"/>
      <c r="W71" s="231"/>
      <c r="X71" s="231"/>
      <c r="Y71" s="231"/>
      <c r="Z71" s="231"/>
      <c r="AA71" s="231"/>
      <c r="AB71" s="231"/>
      <c r="AC71" s="231"/>
      <c r="AD71" s="231"/>
      <c r="AE71" s="231"/>
      <c r="AF71" s="231"/>
      <c r="AG71" s="231"/>
      <c r="AH71" s="231"/>
      <c r="AI71" s="231"/>
    </row>
    <row r="72" spans="1:35" s="203" customFormat="1">
      <c r="A72" s="111">
        <v>2</v>
      </c>
      <c r="B72" s="47" t="s">
        <v>86</v>
      </c>
      <c r="C72" s="47"/>
      <c r="D72" s="47"/>
      <c r="E72" s="49">
        <v>42933</v>
      </c>
      <c r="F72" s="247">
        <v>44261</v>
      </c>
      <c r="G72" s="113">
        <v>32406</v>
      </c>
      <c r="H72" s="123">
        <v>45988</v>
      </c>
      <c r="I72" s="113">
        <v>32241</v>
      </c>
      <c r="J72" s="231"/>
      <c r="K72" s="231"/>
      <c r="L72" s="231"/>
      <c r="M72" s="231"/>
      <c r="N72" s="231"/>
      <c r="O72" s="231"/>
      <c r="P72" s="231"/>
      <c r="Q72" s="231"/>
      <c r="R72" s="231"/>
      <c r="S72" s="231"/>
      <c r="T72" s="231"/>
      <c r="U72" s="231"/>
      <c r="V72" s="231"/>
      <c r="W72" s="231"/>
      <c r="X72" s="231"/>
      <c r="Y72" s="231"/>
      <c r="Z72" s="231"/>
      <c r="AA72" s="231"/>
      <c r="AB72" s="231"/>
      <c r="AC72" s="231"/>
      <c r="AD72" s="231"/>
      <c r="AE72" s="231"/>
      <c r="AF72" s="231"/>
      <c r="AG72" s="231"/>
      <c r="AH72" s="231"/>
      <c r="AI72" s="231"/>
    </row>
    <row r="73" spans="1:35" s="203" customFormat="1">
      <c r="A73" s="111">
        <v>3</v>
      </c>
      <c r="B73" s="47" t="s">
        <v>87</v>
      </c>
      <c r="C73" s="47"/>
      <c r="D73" s="47"/>
      <c r="E73" s="114">
        <v>46154</v>
      </c>
      <c r="F73" s="247">
        <v>45686</v>
      </c>
      <c r="G73" s="113">
        <v>41391</v>
      </c>
      <c r="H73" s="123">
        <v>46415</v>
      </c>
      <c r="I73" s="113">
        <v>41318</v>
      </c>
      <c r="J73" s="231"/>
      <c r="K73" s="231"/>
      <c r="L73" s="231"/>
      <c r="M73" s="231"/>
      <c r="N73" s="231"/>
      <c r="O73" s="231"/>
      <c r="P73" s="231"/>
      <c r="Q73" s="231"/>
      <c r="R73" s="231"/>
      <c r="S73" s="231"/>
      <c r="T73" s="231"/>
      <c r="U73" s="231"/>
      <c r="V73" s="231"/>
      <c r="W73" s="231"/>
      <c r="X73" s="231"/>
      <c r="Y73" s="231"/>
      <c r="Z73" s="231"/>
      <c r="AA73" s="231"/>
      <c r="AB73" s="231"/>
      <c r="AC73" s="231"/>
      <c r="AD73" s="231"/>
      <c r="AE73" s="231"/>
      <c r="AF73" s="231"/>
      <c r="AG73" s="231"/>
      <c r="AH73" s="231"/>
      <c r="AI73" s="231"/>
    </row>
    <row r="74" spans="1:35" s="203" customFormat="1">
      <c r="A74" s="111">
        <v>4</v>
      </c>
      <c r="B74" s="47" t="s">
        <v>88</v>
      </c>
      <c r="C74" s="47"/>
      <c r="D74" s="47"/>
      <c r="E74" s="114">
        <v>14197</v>
      </c>
      <c r="F74" s="247">
        <v>13904</v>
      </c>
      <c r="G74" s="113">
        <v>10725</v>
      </c>
      <c r="H74" s="123">
        <v>14284</v>
      </c>
      <c r="I74" s="113">
        <v>11371</v>
      </c>
      <c r="J74" s="231"/>
      <c r="K74" s="231"/>
      <c r="L74" s="231"/>
      <c r="M74" s="231"/>
      <c r="N74" s="231"/>
      <c r="O74" s="231"/>
      <c r="P74" s="231"/>
      <c r="Q74" s="231"/>
      <c r="R74" s="231"/>
      <c r="S74" s="231"/>
      <c r="T74" s="231"/>
      <c r="U74" s="231"/>
      <c r="V74" s="231"/>
      <c r="W74" s="231"/>
      <c r="X74" s="231"/>
      <c r="Y74" s="231"/>
      <c r="Z74" s="231"/>
      <c r="AA74" s="231"/>
      <c r="AB74" s="231"/>
      <c r="AC74" s="231"/>
      <c r="AD74" s="231"/>
      <c r="AE74" s="231"/>
      <c r="AF74" s="231"/>
      <c r="AG74" s="231"/>
      <c r="AH74" s="231"/>
      <c r="AI74" s="231"/>
    </row>
    <row r="75" spans="1:35" s="203" customFormat="1">
      <c r="A75" s="111">
        <v>5</v>
      </c>
      <c r="B75" s="47" t="s">
        <v>89</v>
      </c>
      <c r="C75" s="47" t="s">
        <v>90</v>
      </c>
      <c r="D75" s="47"/>
      <c r="E75" s="114">
        <v>1329</v>
      </c>
      <c r="F75" s="247">
        <v>1365</v>
      </c>
      <c r="G75" s="113"/>
      <c r="H75" s="123">
        <v>1169</v>
      </c>
      <c r="I75" s="113"/>
      <c r="J75" s="231"/>
      <c r="K75" s="231"/>
      <c r="L75" s="231"/>
      <c r="M75" s="231"/>
      <c r="N75" s="231"/>
      <c r="O75" s="231"/>
      <c r="P75" s="231"/>
      <c r="Q75" s="231"/>
      <c r="R75" s="231"/>
      <c r="S75" s="231"/>
      <c r="T75" s="231"/>
      <c r="U75" s="231"/>
      <c r="V75" s="231"/>
      <c r="W75" s="231"/>
      <c r="X75" s="231"/>
      <c r="Y75" s="231"/>
      <c r="Z75" s="231"/>
      <c r="AA75" s="231"/>
      <c r="AB75" s="231"/>
      <c r="AC75" s="231"/>
      <c r="AD75" s="231"/>
      <c r="AE75" s="231"/>
      <c r="AF75" s="231"/>
      <c r="AG75" s="231"/>
      <c r="AH75" s="231"/>
      <c r="AI75" s="231"/>
    </row>
    <row r="76" spans="1:35" s="203" customFormat="1">
      <c r="A76" s="670"/>
      <c r="B76" s="672"/>
      <c r="C76" s="47" t="s">
        <v>91</v>
      </c>
      <c r="D76" s="47"/>
      <c r="E76" s="114">
        <v>223</v>
      </c>
      <c r="F76" s="247">
        <v>144</v>
      </c>
      <c r="G76" s="115"/>
      <c r="H76" s="249">
        <v>170</v>
      </c>
      <c r="I76" s="115"/>
      <c r="J76" s="231"/>
      <c r="K76" s="231"/>
      <c r="L76" s="231"/>
      <c r="M76" s="231"/>
      <c r="N76" s="231"/>
      <c r="O76" s="231"/>
      <c r="P76" s="231"/>
      <c r="Q76" s="231"/>
      <c r="R76" s="231"/>
      <c r="S76" s="231"/>
      <c r="T76" s="231"/>
      <c r="U76" s="231"/>
      <c r="V76" s="231"/>
      <c r="W76" s="231"/>
      <c r="X76" s="231"/>
      <c r="Y76" s="231"/>
      <c r="Z76" s="231"/>
      <c r="AA76" s="231"/>
      <c r="AB76" s="231"/>
      <c r="AC76" s="231"/>
      <c r="AD76" s="231"/>
      <c r="AE76" s="231"/>
      <c r="AF76" s="231"/>
      <c r="AG76" s="231"/>
      <c r="AH76" s="231"/>
      <c r="AI76" s="231"/>
    </row>
    <row r="77" spans="1:35" s="203" customFormat="1">
      <c r="A77" s="111">
        <v>6</v>
      </c>
      <c r="B77" s="116" t="s">
        <v>92</v>
      </c>
      <c r="C77" s="116"/>
      <c r="D77" s="47"/>
      <c r="E77" s="80">
        <v>113081</v>
      </c>
      <c r="F77" s="250">
        <f>SUM(F71:F76)</f>
        <v>113210</v>
      </c>
      <c r="G77" s="251">
        <f>SUM(G71:G76)</f>
        <v>84522</v>
      </c>
      <c r="H77" s="252">
        <f>SUM(H71:H76)</f>
        <v>122248</v>
      </c>
      <c r="I77" s="251">
        <f>SUM(I71:I76)</f>
        <v>84930</v>
      </c>
      <c r="J77" s="231"/>
      <c r="K77" s="231"/>
      <c r="L77" s="231"/>
      <c r="M77" s="231"/>
      <c r="N77" s="231"/>
      <c r="O77" s="231"/>
      <c r="P77" s="231"/>
      <c r="Q77" s="231"/>
      <c r="R77" s="231"/>
      <c r="S77" s="231"/>
      <c r="T77" s="231"/>
      <c r="U77" s="231"/>
      <c r="V77" s="231"/>
      <c r="W77" s="231"/>
      <c r="X77" s="231"/>
      <c r="Y77" s="231"/>
      <c r="Z77" s="231"/>
      <c r="AA77" s="231"/>
      <c r="AB77" s="231"/>
      <c r="AC77" s="231"/>
      <c r="AD77" s="231"/>
      <c r="AE77" s="231"/>
      <c r="AF77" s="231"/>
      <c r="AG77" s="231"/>
      <c r="AH77" s="231"/>
      <c r="AI77" s="231"/>
    </row>
    <row r="78" spans="1:35" s="203" customFormat="1">
      <c r="A78" s="670"/>
      <c r="B78" s="47"/>
      <c r="C78" s="47"/>
      <c r="D78" s="47"/>
      <c r="E78" s="117"/>
      <c r="F78" s="118"/>
      <c r="G78" s="118"/>
      <c r="H78" s="118"/>
      <c r="I78" s="118"/>
      <c r="J78" s="231"/>
      <c r="K78" s="231"/>
      <c r="L78" s="231"/>
      <c r="M78" s="231"/>
      <c r="N78" s="231"/>
      <c r="O78" s="231"/>
      <c r="P78" s="231"/>
      <c r="Q78" s="231"/>
      <c r="R78" s="231"/>
      <c r="S78" s="231"/>
      <c r="T78" s="231"/>
      <c r="U78" s="231"/>
      <c r="V78" s="231"/>
      <c r="W78" s="231"/>
      <c r="X78" s="231"/>
      <c r="Y78" s="231"/>
      <c r="Z78" s="231"/>
      <c r="AA78" s="231"/>
      <c r="AB78" s="231"/>
      <c r="AC78" s="231"/>
      <c r="AD78" s="231"/>
      <c r="AE78" s="231"/>
      <c r="AF78" s="231"/>
      <c r="AG78" s="231"/>
      <c r="AH78" s="231"/>
      <c r="AI78" s="231"/>
    </row>
    <row r="79" spans="1:35" s="203" customFormat="1">
      <c r="A79" s="119" t="s">
        <v>93</v>
      </c>
      <c r="B79" s="116"/>
      <c r="C79" s="116"/>
      <c r="D79" s="116"/>
      <c r="E79" s="117"/>
      <c r="F79" s="118"/>
      <c r="G79" s="118"/>
      <c r="H79" s="118"/>
      <c r="I79" s="118"/>
      <c r="J79" s="231"/>
      <c r="K79" s="231"/>
      <c r="L79" s="231"/>
      <c r="M79" s="231"/>
      <c r="N79" s="231"/>
      <c r="O79" s="231"/>
      <c r="P79" s="231"/>
      <c r="Q79" s="231"/>
      <c r="R79" s="231"/>
      <c r="S79" s="231"/>
      <c r="T79" s="231"/>
      <c r="U79" s="231"/>
      <c r="V79" s="231"/>
      <c r="W79" s="231"/>
      <c r="X79" s="231"/>
      <c r="Y79" s="231"/>
      <c r="Z79" s="231"/>
      <c r="AA79" s="231"/>
      <c r="AB79" s="231"/>
      <c r="AC79" s="231"/>
      <c r="AD79" s="231"/>
      <c r="AE79" s="231"/>
      <c r="AF79" s="231"/>
      <c r="AG79" s="231"/>
      <c r="AH79" s="231"/>
      <c r="AI79" s="231"/>
    </row>
    <row r="80" spans="1:35" s="203" customFormat="1">
      <c r="A80" s="120">
        <v>7</v>
      </c>
      <c r="B80" s="47" t="s">
        <v>94</v>
      </c>
      <c r="C80" s="47"/>
      <c r="D80" s="47"/>
      <c r="E80" s="41">
        <v>2003</v>
      </c>
      <c r="F80" s="253">
        <v>905</v>
      </c>
      <c r="G80" s="112"/>
      <c r="H80" s="248">
        <v>893</v>
      </c>
      <c r="I80" s="112"/>
      <c r="J80" s="231"/>
      <c r="K80" s="231"/>
      <c r="L80" s="231"/>
      <c r="M80" s="231"/>
      <c r="N80" s="231"/>
      <c r="O80" s="231"/>
      <c r="P80" s="231"/>
      <c r="Q80" s="231"/>
      <c r="R80" s="231"/>
      <c r="S80" s="231"/>
      <c r="T80" s="231"/>
      <c r="U80" s="231"/>
      <c r="V80" s="231"/>
      <c r="W80" s="231"/>
      <c r="X80" s="231"/>
      <c r="Y80" s="231"/>
      <c r="Z80" s="231"/>
      <c r="AA80" s="231"/>
      <c r="AB80" s="231"/>
      <c r="AC80" s="231"/>
      <c r="AD80" s="231"/>
      <c r="AE80" s="231"/>
      <c r="AF80" s="231"/>
      <c r="AG80" s="231"/>
      <c r="AH80" s="231"/>
      <c r="AI80" s="231"/>
    </row>
    <row r="81" spans="1:35" s="203" customFormat="1">
      <c r="A81" s="120">
        <v>8</v>
      </c>
      <c r="B81" s="47" t="s">
        <v>95</v>
      </c>
      <c r="C81" s="47"/>
      <c r="D81" s="47"/>
      <c r="E81" s="49">
        <v>24423</v>
      </c>
      <c r="F81" s="247">
        <v>24444</v>
      </c>
      <c r="G81" s="113"/>
      <c r="H81" s="123">
        <v>26675</v>
      </c>
      <c r="I81" s="113"/>
      <c r="J81" s="231"/>
      <c r="K81" s="231"/>
      <c r="L81" s="231"/>
      <c r="M81" s="231"/>
      <c r="N81" s="231"/>
      <c r="O81" s="231"/>
      <c r="P81" s="231"/>
      <c r="Q81" s="231"/>
      <c r="R81" s="231"/>
      <c r="S81" s="231"/>
      <c r="T81" s="231"/>
      <c r="U81" s="231"/>
      <c r="V81" s="231"/>
      <c r="W81" s="231"/>
      <c r="X81" s="231"/>
      <c r="Y81" s="231"/>
      <c r="Z81" s="231"/>
      <c r="AA81" s="231"/>
      <c r="AB81" s="231"/>
      <c r="AC81" s="231"/>
      <c r="AD81" s="231"/>
      <c r="AE81" s="231"/>
      <c r="AF81" s="231"/>
      <c r="AG81" s="231"/>
      <c r="AH81" s="231"/>
      <c r="AI81" s="231"/>
    </row>
    <row r="82" spans="1:35" s="203" customFormat="1">
      <c r="A82" s="120">
        <v>9</v>
      </c>
      <c r="B82" s="47" t="s">
        <v>96</v>
      </c>
      <c r="C82" s="47"/>
      <c r="D82" s="47"/>
      <c r="E82" s="49">
        <v>25961</v>
      </c>
      <c r="F82" s="247">
        <v>26091</v>
      </c>
      <c r="G82" s="113"/>
      <c r="H82" s="123">
        <v>27826</v>
      </c>
      <c r="I82" s="113"/>
      <c r="J82" s="231"/>
      <c r="K82" s="231"/>
      <c r="L82" s="231"/>
      <c r="M82" s="231"/>
      <c r="N82" s="231"/>
      <c r="O82" s="231"/>
      <c r="P82" s="231"/>
      <c r="Q82" s="231"/>
      <c r="R82" s="231"/>
      <c r="S82" s="231"/>
      <c r="T82" s="231"/>
      <c r="U82" s="231"/>
      <c r="V82" s="231"/>
      <c r="W82" s="231"/>
      <c r="X82" s="231"/>
      <c r="Y82" s="231"/>
      <c r="Z82" s="231"/>
      <c r="AA82" s="231"/>
      <c r="AB82" s="231"/>
      <c r="AC82" s="231"/>
      <c r="AD82" s="231"/>
      <c r="AE82" s="231"/>
      <c r="AF82" s="231"/>
      <c r="AG82" s="231"/>
      <c r="AH82" s="231"/>
      <c r="AI82" s="231"/>
    </row>
    <row r="83" spans="1:35" s="203" customFormat="1">
      <c r="A83" s="120">
        <v>10</v>
      </c>
      <c r="B83" s="90" t="s">
        <v>97</v>
      </c>
      <c r="C83" s="47"/>
      <c r="D83" s="47"/>
      <c r="E83" s="49">
        <v>14198</v>
      </c>
      <c r="F83" s="247">
        <v>13904</v>
      </c>
      <c r="G83" s="113"/>
      <c r="H83" s="123">
        <v>14284</v>
      </c>
      <c r="I83" s="113"/>
      <c r="J83" s="231"/>
      <c r="K83" s="231"/>
      <c r="L83" s="231"/>
      <c r="M83" s="231"/>
      <c r="N83" s="231"/>
      <c r="O83" s="231"/>
      <c r="P83" s="231"/>
      <c r="Q83" s="231"/>
      <c r="R83" s="231"/>
      <c r="S83" s="231"/>
      <c r="T83" s="231"/>
      <c r="U83" s="231"/>
      <c r="V83" s="231"/>
      <c r="W83" s="231"/>
      <c r="X83" s="231"/>
      <c r="Y83" s="231"/>
      <c r="Z83" s="231"/>
      <c r="AA83" s="231"/>
      <c r="AB83" s="231"/>
      <c r="AC83" s="231"/>
      <c r="AD83" s="231"/>
      <c r="AE83" s="231"/>
      <c r="AF83" s="231"/>
      <c r="AG83" s="231"/>
      <c r="AH83" s="231"/>
      <c r="AI83" s="231"/>
    </row>
    <row r="84" spans="1:35" s="203" customFormat="1">
      <c r="A84" s="120">
        <v>11</v>
      </c>
      <c r="B84" s="90" t="s">
        <v>98</v>
      </c>
      <c r="C84" s="47"/>
      <c r="D84" s="47"/>
      <c r="E84" s="49">
        <v>3627</v>
      </c>
      <c r="F84" s="247">
        <v>3755</v>
      </c>
      <c r="G84" s="113"/>
      <c r="H84" s="123">
        <v>3627</v>
      </c>
      <c r="I84" s="113"/>
      <c r="J84" s="231"/>
      <c r="K84" s="231"/>
      <c r="L84" s="231"/>
      <c r="M84" s="231"/>
      <c r="N84" s="231"/>
      <c r="O84" s="231"/>
      <c r="P84" s="231"/>
      <c r="Q84" s="231"/>
      <c r="R84" s="231"/>
      <c r="S84" s="231"/>
      <c r="T84" s="231"/>
      <c r="U84" s="231"/>
      <c r="V84" s="231"/>
      <c r="W84" s="231"/>
      <c r="X84" s="231"/>
      <c r="Y84" s="231"/>
      <c r="Z84" s="231"/>
      <c r="AA84" s="231"/>
      <c r="AB84" s="231"/>
      <c r="AC84" s="231"/>
      <c r="AD84" s="231"/>
      <c r="AE84" s="231"/>
      <c r="AF84" s="231"/>
      <c r="AG84" s="231"/>
      <c r="AH84" s="231"/>
      <c r="AI84" s="231"/>
    </row>
    <row r="85" spans="1:35" s="203" customFormat="1">
      <c r="A85" s="120">
        <v>12</v>
      </c>
      <c r="B85" s="47" t="s">
        <v>99</v>
      </c>
      <c r="C85" s="47"/>
      <c r="D85" s="47"/>
      <c r="E85" s="49">
        <v>1782</v>
      </c>
      <c r="F85" s="247">
        <v>1655</v>
      </c>
      <c r="G85" s="113"/>
      <c r="H85" s="123">
        <v>1782</v>
      </c>
      <c r="I85" s="113"/>
      <c r="J85" s="231"/>
      <c r="K85" s="231"/>
      <c r="L85" s="231"/>
      <c r="M85" s="231"/>
      <c r="N85" s="231"/>
      <c r="O85" s="231"/>
      <c r="P85" s="231"/>
      <c r="Q85" s="231"/>
      <c r="R85" s="231"/>
      <c r="S85" s="231"/>
      <c r="T85" s="231"/>
      <c r="U85" s="231"/>
      <c r="V85" s="231"/>
      <c r="W85" s="231"/>
      <c r="X85" s="231"/>
      <c r="Y85" s="231"/>
      <c r="Z85" s="231"/>
      <c r="AA85" s="231"/>
      <c r="AB85" s="231"/>
      <c r="AC85" s="231"/>
      <c r="AD85" s="231"/>
      <c r="AE85" s="231"/>
      <c r="AF85" s="231"/>
      <c r="AG85" s="231"/>
      <c r="AH85" s="231"/>
      <c r="AI85" s="231"/>
    </row>
    <row r="86" spans="1:35" s="203" customFormat="1">
      <c r="A86" s="120">
        <v>13</v>
      </c>
      <c r="B86" s="47" t="s">
        <v>100</v>
      </c>
      <c r="C86" s="47"/>
      <c r="D86" s="47"/>
      <c r="E86" s="49">
        <v>11381</v>
      </c>
      <c r="F86" s="247">
        <v>13196</v>
      </c>
      <c r="G86" s="113"/>
      <c r="H86" s="123">
        <v>15847</v>
      </c>
      <c r="I86" s="113"/>
      <c r="J86" s="231"/>
      <c r="K86" s="231"/>
      <c r="L86" s="231"/>
      <c r="M86" s="231"/>
      <c r="N86" s="231"/>
      <c r="O86" s="231"/>
      <c r="P86" s="231"/>
      <c r="Q86" s="231"/>
      <c r="R86" s="231"/>
      <c r="S86" s="231"/>
      <c r="T86" s="231"/>
      <c r="U86" s="231"/>
      <c r="V86" s="231"/>
      <c r="W86" s="231"/>
      <c r="X86" s="231"/>
      <c r="Y86" s="231"/>
      <c r="Z86" s="231"/>
      <c r="AA86" s="231"/>
      <c r="AB86" s="231"/>
      <c r="AC86" s="231"/>
      <c r="AD86" s="231"/>
      <c r="AE86" s="231"/>
      <c r="AF86" s="231"/>
      <c r="AG86" s="231"/>
      <c r="AH86" s="231"/>
      <c r="AI86" s="231"/>
    </row>
    <row r="87" spans="1:35" s="203" customFormat="1">
      <c r="A87" s="120">
        <v>14</v>
      </c>
      <c r="B87" s="47" t="s">
        <v>101</v>
      </c>
      <c r="C87" s="47"/>
      <c r="D87" s="47"/>
      <c r="E87" s="49">
        <v>0</v>
      </c>
      <c r="F87" s="247">
        <v>0</v>
      </c>
      <c r="G87" s="113"/>
      <c r="H87" s="123">
        <v>0</v>
      </c>
      <c r="I87" s="113"/>
      <c r="J87" s="231"/>
      <c r="K87" s="231"/>
      <c r="L87" s="231"/>
      <c r="M87" s="231"/>
      <c r="N87" s="231"/>
      <c r="O87" s="231"/>
      <c r="P87" s="231"/>
      <c r="Q87" s="231"/>
      <c r="R87" s="231"/>
      <c r="S87" s="231"/>
      <c r="T87" s="231"/>
      <c r="U87" s="231"/>
      <c r="V87" s="231"/>
      <c r="W87" s="231"/>
      <c r="X87" s="231"/>
      <c r="Y87" s="231"/>
      <c r="Z87" s="231"/>
      <c r="AA87" s="231"/>
      <c r="AB87" s="231"/>
      <c r="AC87" s="231"/>
      <c r="AD87" s="231"/>
      <c r="AE87" s="231"/>
      <c r="AF87" s="231"/>
      <c r="AG87" s="231"/>
      <c r="AH87" s="231"/>
      <c r="AI87" s="231"/>
    </row>
    <row r="88" spans="1:35" s="203" customFormat="1">
      <c r="A88" s="124">
        <v>15</v>
      </c>
      <c r="B88" s="125" t="s">
        <v>102</v>
      </c>
      <c r="C88" s="54"/>
      <c r="D88" s="54"/>
      <c r="E88" s="56">
        <v>0</v>
      </c>
      <c r="F88" s="254">
        <v>0</v>
      </c>
      <c r="G88" s="127"/>
      <c r="H88" s="255">
        <v>0</v>
      </c>
      <c r="I88" s="127"/>
      <c r="J88" s="231"/>
      <c r="K88" s="231"/>
      <c r="L88" s="231"/>
      <c r="M88" s="231"/>
      <c r="N88" s="231"/>
      <c r="O88" s="231"/>
      <c r="P88" s="231"/>
      <c r="Q88" s="231"/>
      <c r="R88" s="231"/>
      <c r="S88" s="231"/>
      <c r="T88" s="231"/>
      <c r="U88" s="231"/>
      <c r="V88" s="231"/>
      <c r="W88" s="231"/>
      <c r="X88" s="231"/>
      <c r="Y88" s="231"/>
      <c r="Z88" s="231"/>
      <c r="AA88" s="231"/>
      <c r="AB88" s="231"/>
      <c r="AC88" s="231"/>
      <c r="AD88" s="231"/>
      <c r="AE88" s="231"/>
      <c r="AF88" s="231"/>
      <c r="AG88" s="231"/>
      <c r="AH88" s="231"/>
      <c r="AI88" s="231"/>
    </row>
    <row r="89" spans="1:35" s="203" customFormat="1">
      <c r="A89" s="128"/>
      <c r="B89" s="129"/>
      <c r="C89" s="129"/>
      <c r="D89" s="129"/>
      <c r="E89" s="15"/>
      <c r="F89" s="130"/>
      <c r="G89" s="29"/>
      <c r="H89" s="207"/>
      <c r="I89" s="29"/>
      <c r="J89" s="231"/>
      <c r="K89" s="231"/>
      <c r="L89" s="231"/>
      <c r="M89" s="231"/>
      <c r="N89" s="231"/>
      <c r="O89" s="231"/>
      <c r="P89" s="231"/>
      <c r="Q89" s="231"/>
      <c r="R89" s="231"/>
      <c r="S89" s="231"/>
      <c r="T89" s="231"/>
      <c r="U89" s="231"/>
      <c r="V89" s="231"/>
      <c r="W89" s="231"/>
      <c r="X89" s="231"/>
      <c r="Y89" s="231"/>
      <c r="Z89" s="231"/>
      <c r="AA89" s="231"/>
      <c r="AB89" s="231"/>
      <c r="AC89" s="231"/>
      <c r="AD89" s="231"/>
      <c r="AE89" s="231"/>
      <c r="AF89" s="231"/>
      <c r="AG89" s="231"/>
      <c r="AH89" s="231"/>
      <c r="AI89" s="231"/>
    </row>
    <row r="90" spans="1:35" s="203" customFormat="1">
      <c r="A90" s="128"/>
      <c r="B90" s="129"/>
      <c r="C90" s="129"/>
      <c r="D90" s="129"/>
      <c r="E90" s="105"/>
      <c r="F90" s="130"/>
      <c r="G90" s="29"/>
      <c r="H90" s="131" t="s">
        <v>27</v>
      </c>
      <c r="I90" s="29"/>
      <c r="J90" s="231"/>
      <c r="K90" s="231"/>
      <c r="L90" s="231"/>
      <c r="M90" s="231"/>
      <c r="N90" s="231"/>
      <c r="O90" s="231"/>
      <c r="P90" s="231"/>
      <c r="Q90" s="231"/>
      <c r="R90" s="231"/>
      <c r="S90" s="231"/>
      <c r="T90" s="231"/>
      <c r="U90" s="231"/>
      <c r="V90" s="231"/>
      <c r="W90" s="231"/>
      <c r="X90" s="231"/>
      <c r="Y90" s="231"/>
      <c r="Z90" s="231"/>
      <c r="AA90" s="231"/>
      <c r="AB90" s="231"/>
      <c r="AC90" s="231"/>
      <c r="AD90" s="231"/>
      <c r="AE90" s="231"/>
      <c r="AF90" s="231"/>
      <c r="AG90" s="231"/>
      <c r="AH90" s="231"/>
      <c r="AI90" s="231"/>
    </row>
    <row r="91" spans="1:35" s="203" customFormat="1">
      <c r="A91" s="106" t="s">
        <v>17</v>
      </c>
      <c r="B91" s="107"/>
      <c r="C91" s="107"/>
      <c r="D91" s="107"/>
      <c r="E91" s="856" t="s">
        <v>421</v>
      </c>
      <c r="F91" s="856" t="s">
        <v>402</v>
      </c>
      <c r="G91" s="257"/>
      <c r="H91" s="856" t="s">
        <v>403</v>
      </c>
      <c r="I91" s="29"/>
      <c r="J91" s="231"/>
      <c r="K91" s="231"/>
      <c r="L91" s="231"/>
      <c r="M91" s="231"/>
      <c r="N91" s="231"/>
      <c r="O91" s="231"/>
      <c r="P91" s="231"/>
      <c r="Q91" s="231"/>
      <c r="R91" s="231"/>
      <c r="S91" s="231"/>
      <c r="T91" s="231"/>
      <c r="U91" s="231"/>
      <c r="V91" s="231"/>
      <c r="W91" s="231"/>
      <c r="X91" s="231"/>
      <c r="Y91" s="231"/>
      <c r="Z91" s="231"/>
      <c r="AA91" s="231"/>
      <c r="AB91" s="231"/>
      <c r="AC91" s="231"/>
      <c r="AD91" s="231"/>
      <c r="AE91" s="231"/>
      <c r="AF91" s="231"/>
      <c r="AG91" s="231"/>
      <c r="AH91" s="231"/>
      <c r="AI91" s="231"/>
    </row>
    <row r="92" spans="1:35" s="203" customFormat="1" ht="12.75" customHeight="1">
      <c r="A92" s="109"/>
      <c r="B92" s="132"/>
      <c r="C92" s="132"/>
      <c r="D92" s="132"/>
      <c r="E92" s="859"/>
      <c r="F92" s="859"/>
      <c r="G92" s="29"/>
      <c r="H92" s="859"/>
      <c r="I92" s="29"/>
      <c r="J92" s="231"/>
      <c r="K92" s="231"/>
      <c r="L92" s="231"/>
      <c r="M92" s="231"/>
      <c r="N92" s="231"/>
      <c r="O92" s="231"/>
      <c r="P92" s="231"/>
      <c r="Q92" s="231"/>
      <c r="R92" s="231"/>
      <c r="S92" s="231"/>
      <c r="T92" s="231"/>
      <c r="U92" s="231"/>
      <c r="V92" s="231"/>
      <c r="W92" s="231"/>
      <c r="X92" s="231"/>
      <c r="Y92" s="231"/>
      <c r="Z92" s="231"/>
      <c r="AA92" s="231"/>
      <c r="AB92" s="231"/>
      <c r="AC92" s="231"/>
      <c r="AD92" s="231"/>
      <c r="AE92" s="231"/>
      <c r="AF92" s="231"/>
      <c r="AG92" s="231"/>
      <c r="AH92" s="231"/>
      <c r="AI92" s="231"/>
    </row>
    <row r="93" spans="1:35" s="203" customFormat="1">
      <c r="A93" s="109" t="s">
        <v>103</v>
      </c>
      <c r="B93" s="132"/>
      <c r="C93" s="132"/>
      <c r="D93" s="132"/>
      <c r="E93" s="859"/>
      <c r="F93" s="859"/>
      <c r="G93" s="29"/>
      <c r="H93" s="859"/>
      <c r="I93" s="29"/>
      <c r="J93" s="231"/>
      <c r="K93" s="231"/>
      <c r="L93" s="231"/>
      <c r="M93" s="231"/>
      <c r="N93" s="231"/>
      <c r="O93" s="231"/>
      <c r="P93" s="231"/>
      <c r="Q93" s="231"/>
      <c r="R93" s="231"/>
      <c r="S93" s="231"/>
      <c r="T93" s="231"/>
      <c r="U93" s="231"/>
      <c r="V93" s="231"/>
      <c r="W93" s="231"/>
      <c r="X93" s="231"/>
      <c r="Y93" s="231"/>
      <c r="Z93" s="231"/>
      <c r="AA93" s="231"/>
      <c r="AB93" s="231"/>
      <c r="AC93" s="231"/>
      <c r="AD93" s="231"/>
      <c r="AE93" s="231"/>
      <c r="AF93" s="231"/>
      <c r="AG93" s="231"/>
      <c r="AH93" s="231"/>
      <c r="AI93" s="231"/>
    </row>
    <row r="94" spans="1:35" s="203" customFormat="1">
      <c r="A94" s="109" t="s">
        <v>83</v>
      </c>
      <c r="B94" s="132"/>
      <c r="C94" s="132"/>
      <c r="D94" s="132"/>
      <c r="E94" s="859"/>
      <c r="F94" s="859"/>
      <c r="G94" s="130"/>
      <c r="H94" s="859"/>
      <c r="I94" s="29"/>
      <c r="J94" s="231"/>
      <c r="K94" s="231"/>
      <c r="L94" s="231"/>
      <c r="M94" s="231"/>
      <c r="N94" s="231"/>
      <c r="O94" s="231"/>
      <c r="P94" s="231"/>
      <c r="Q94" s="231"/>
      <c r="R94" s="231"/>
      <c r="S94" s="231"/>
      <c r="T94" s="231"/>
      <c r="U94" s="231"/>
      <c r="V94" s="231"/>
      <c r="W94" s="231"/>
      <c r="X94" s="231"/>
      <c r="Y94" s="231"/>
      <c r="Z94" s="231"/>
      <c r="AA94" s="231"/>
      <c r="AB94" s="231"/>
      <c r="AC94" s="231"/>
      <c r="AD94" s="231"/>
      <c r="AE94" s="231"/>
      <c r="AF94" s="231"/>
      <c r="AG94" s="231"/>
      <c r="AH94" s="231"/>
      <c r="AI94" s="231"/>
    </row>
    <row r="95" spans="1:35" s="203" customFormat="1">
      <c r="A95" s="110" t="s">
        <v>84</v>
      </c>
      <c r="B95" s="132"/>
      <c r="C95" s="132"/>
      <c r="D95" s="132"/>
      <c r="E95" s="860"/>
      <c r="F95" s="860"/>
      <c r="G95" s="130"/>
      <c r="H95" s="860"/>
      <c r="I95" s="130"/>
      <c r="J95" s="231"/>
      <c r="K95" s="231"/>
      <c r="L95" s="231"/>
      <c r="M95" s="231"/>
      <c r="N95" s="231"/>
      <c r="O95" s="231"/>
      <c r="P95" s="231"/>
      <c r="Q95" s="231"/>
      <c r="R95" s="231"/>
      <c r="S95" s="231"/>
      <c r="T95" s="231"/>
      <c r="U95" s="231"/>
      <c r="V95" s="231"/>
      <c r="W95" s="231"/>
      <c r="X95" s="231"/>
      <c r="Y95" s="231"/>
      <c r="Z95" s="231"/>
      <c r="AA95" s="231"/>
      <c r="AB95" s="231"/>
      <c r="AC95" s="231"/>
      <c r="AD95" s="231"/>
      <c r="AE95" s="231"/>
      <c r="AF95" s="231"/>
      <c r="AG95" s="231"/>
      <c r="AH95" s="231"/>
      <c r="AI95" s="231"/>
    </row>
    <row r="96" spans="1:35" s="203" customFormat="1">
      <c r="A96" s="120">
        <v>1</v>
      </c>
      <c r="B96" s="47" t="s">
        <v>104</v>
      </c>
      <c r="C96" s="47"/>
      <c r="D96" s="47"/>
      <c r="E96" s="41">
        <v>725</v>
      </c>
      <c r="F96" s="52">
        <v>679</v>
      </c>
      <c r="G96" s="118"/>
      <c r="H96" s="133">
        <v>802</v>
      </c>
      <c r="I96" s="139"/>
      <c r="J96" s="231"/>
      <c r="K96" s="231"/>
      <c r="L96" s="231"/>
      <c r="M96" s="231"/>
      <c r="N96" s="231"/>
      <c r="O96" s="231"/>
      <c r="P96" s="231"/>
      <c r="Q96" s="231"/>
      <c r="R96" s="231"/>
      <c r="S96" s="231"/>
      <c r="T96" s="231"/>
      <c r="U96" s="231"/>
      <c r="V96" s="231"/>
      <c r="W96" s="231"/>
      <c r="X96" s="231"/>
      <c r="Y96" s="231"/>
      <c r="Z96" s="231"/>
      <c r="AA96" s="231"/>
      <c r="AB96" s="231"/>
      <c r="AC96" s="231"/>
      <c r="AD96" s="231"/>
      <c r="AE96" s="231"/>
      <c r="AF96" s="231"/>
      <c r="AG96" s="231"/>
      <c r="AH96" s="231"/>
      <c r="AI96" s="231"/>
    </row>
    <row r="97" spans="1:35" s="203" customFormat="1">
      <c r="A97" s="120">
        <v>2</v>
      </c>
      <c r="B97" s="47" t="s">
        <v>105</v>
      </c>
      <c r="C97" s="47"/>
      <c r="D97" s="47"/>
      <c r="E97" s="49">
        <v>14</v>
      </c>
      <c r="F97" s="52">
        <v>16</v>
      </c>
      <c r="G97" s="118"/>
      <c r="H97" s="122">
        <v>16</v>
      </c>
      <c r="I97" s="139"/>
      <c r="J97" s="231"/>
      <c r="K97" s="231"/>
      <c r="L97" s="231"/>
      <c r="M97" s="231"/>
      <c r="N97" s="231"/>
      <c r="O97" s="231"/>
      <c r="P97" s="231"/>
      <c r="Q97" s="231"/>
      <c r="R97" s="231"/>
      <c r="S97" s="231"/>
      <c r="T97" s="231"/>
      <c r="U97" s="231"/>
      <c r="V97" s="231"/>
      <c r="W97" s="231"/>
      <c r="X97" s="231"/>
      <c r="Y97" s="231"/>
      <c r="Z97" s="231"/>
      <c r="AA97" s="231"/>
      <c r="AB97" s="231"/>
      <c r="AC97" s="231"/>
      <c r="AD97" s="231"/>
      <c r="AE97" s="231"/>
      <c r="AF97" s="231"/>
      <c r="AG97" s="231"/>
      <c r="AH97" s="231"/>
      <c r="AI97" s="231"/>
    </row>
    <row r="98" spans="1:35" s="203" customFormat="1">
      <c r="A98" s="120">
        <v>3</v>
      </c>
      <c r="B98" s="47" t="s">
        <v>106</v>
      </c>
      <c r="C98" s="47"/>
      <c r="D98" s="47"/>
      <c r="E98" s="114">
        <v>16417</v>
      </c>
      <c r="F98" s="50">
        <f>F115</f>
        <v>15571</v>
      </c>
      <c r="G98" s="118"/>
      <c r="H98" s="50">
        <f>H115</f>
        <v>14921</v>
      </c>
      <c r="I98" s="139"/>
      <c r="J98" s="231"/>
      <c r="K98" s="231"/>
      <c r="L98" s="231"/>
      <c r="M98" s="231"/>
      <c r="N98" s="231"/>
      <c r="O98" s="231"/>
      <c r="P98" s="231"/>
      <c r="Q98" s="231"/>
      <c r="R98" s="231"/>
      <c r="S98" s="231"/>
      <c r="T98" s="231"/>
      <c r="U98" s="231"/>
      <c r="V98" s="231"/>
      <c r="W98" s="231"/>
      <c r="X98" s="231"/>
      <c r="Y98" s="231"/>
      <c r="Z98" s="231"/>
      <c r="AA98" s="231"/>
      <c r="AB98" s="231"/>
      <c r="AC98" s="231"/>
      <c r="AD98" s="231"/>
      <c r="AE98" s="231"/>
      <c r="AF98" s="231"/>
      <c r="AG98" s="231"/>
      <c r="AH98" s="231"/>
      <c r="AI98" s="231"/>
    </row>
    <row r="99" spans="1:35" s="203" customFormat="1">
      <c r="A99" s="120">
        <v>4</v>
      </c>
      <c r="B99" s="47" t="s">
        <v>107</v>
      </c>
      <c r="C99" s="47"/>
      <c r="D99" s="47"/>
      <c r="E99" s="114">
        <v>25449</v>
      </c>
      <c r="F99" s="50">
        <f>F125</f>
        <v>27529</v>
      </c>
      <c r="G99" s="118"/>
      <c r="H99" s="50">
        <f>H125</f>
        <v>28113</v>
      </c>
      <c r="I99" s="139"/>
      <c r="J99" s="231"/>
      <c r="K99" s="231"/>
      <c r="L99" s="231"/>
      <c r="M99" s="231"/>
      <c r="N99" s="231"/>
      <c r="O99" s="231"/>
      <c r="P99" s="231"/>
      <c r="Q99" s="231"/>
      <c r="R99" s="231"/>
      <c r="S99" s="231"/>
      <c r="T99" s="231"/>
      <c r="U99" s="231"/>
      <c r="V99" s="231"/>
      <c r="W99" s="231"/>
      <c r="X99" s="231"/>
      <c r="Y99" s="231"/>
      <c r="Z99" s="231"/>
      <c r="AA99" s="231"/>
      <c r="AB99" s="231"/>
      <c r="AC99" s="231"/>
      <c r="AD99" s="231"/>
      <c r="AE99" s="231"/>
      <c r="AF99" s="231"/>
      <c r="AG99" s="231"/>
      <c r="AH99" s="231"/>
      <c r="AI99" s="231"/>
    </row>
    <row r="100" spans="1:35" s="203" customFormat="1">
      <c r="A100" s="120">
        <v>5</v>
      </c>
      <c r="B100" s="47" t="s">
        <v>108</v>
      </c>
      <c r="C100" s="47"/>
      <c r="D100" s="47"/>
      <c r="E100" s="114">
        <v>4584</v>
      </c>
      <c r="F100" s="50">
        <f>F135</f>
        <v>4846</v>
      </c>
      <c r="G100" s="118"/>
      <c r="H100" s="50">
        <f>H135</f>
        <v>4308</v>
      </c>
      <c r="I100" s="139"/>
      <c r="J100" s="231"/>
      <c r="K100" s="231"/>
      <c r="L100" s="231"/>
      <c r="M100" s="231"/>
      <c r="N100" s="231"/>
      <c r="O100" s="231"/>
      <c r="P100" s="231"/>
      <c r="Q100" s="231"/>
      <c r="R100" s="231"/>
      <c r="S100" s="231"/>
      <c r="T100" s="231"/>
      <c r="U100" s="231"/>
      <c r="V100" s="231"/>
      <c r="W100" s="231"/>
      <c r="X100" s="231"/>
      <c r="Y100" s="231"/>
      <c r="Z100" s="231"/>
      <c r="AA100" s="231"/>
      <c r="AB100" s="231"/>
      <c r="AC100" s="231"/>
      <c r="AD100" s="231"/>
      <c r="AE100" s="231"/>
      <c r="AF100" s="231"/>
      <c r="AG100" s="231"/>
      <c r="AH100" s="231"/>
      <c r="AI100" s="231"/>
    </row>
    <row r="101" spans="1:35" s="203" customFormat="1">
      <c r="A101" s="120">
        <v>6</v>
      </c>
      <c r="B101" s="47" t="s">
        <v>109</v>
      </c>
      <c r="C101" s="47"/>
      <c r="D101" s="47"/>
      <c r="E101" s="114">
        <v>19394</v>
      </c>
      <c r="F101" s="50">
        <f>F143</f>
        <v>20815</v>
      </c>
      <c r="G101" s="118"/>
      <c r="H101" s="50">
        <f>H143</f>
        <v>19366</v>
      </c>
      <c r="I101" s="139"/>
      <c r="J101" s="231"/>
      <c r="K101" s="231"/>
      <c r="L101" s="231"/>
      <c r="M101" s="231"/>
      <c r="N101" s="231"/>
      <c r="O101" s="231"/>
      <c r="P101" s="231"/>
      <c r="Q101" s="231"/>
      <c r="R101" s="231"/>
      <c r="S101" s="231"/>
      <c r="T101" s="231"/>
      <c r="U101" s="231"/>
      <c r="V101" s="231"/>
      <c r="W101" s="231"/>
      <c r="X101" s="231"/>
      <c r="Y101" s="231"/>
      <c r="Z101" s="231"/>
      <c r="AA101" s="231"/>
      <c r="AB101" s="231"/>
      <c r="AC101" s="231"/>
      <c r="AD101" s="231"/>
      <c r="AE101" s="231"/>
      <c r="AF101" s="231"/>
      <c r="AG101" s="231"/>
      <c r="AH101" s="231"/>
      <c r="AI101" s="231"/>
    </row>
    <row r="102" spans="1:35" s="203" customFormat="1">
      <c r="A102" s="120">
        <v>7</v>
      </c>
      <c r="B102" s="47" t="s">
        <v>110</v>
      </c>
      <c r="C102" s="47"/>
      <c r="D102" s="47"/>
      <c r="E102" s="114">
        <v>2407</v>
      </c>
      <c r="F102" s="50">
        <f>F150</f>
        <v>2658</v>
      </c>
      <c r="G102" s="118"/>
      <c r="H102" s="50">
        <f>H150</f>
        <v>2507</v>
      </c>
      <c r="I102" s="139"/>
      <c r="J102" s="231"/>
      <c r="K102" s="231"/>
      <c r="L102" s="231"/>
      <c r="M102" s="231"/>
      <c r="N102" s="231"/>
      <c r="O102" s="231"/>
      <c r="P102" s="231"/>
      <c r="Q102" s="231"/>
      <c r="R102" s="231"/>
      <c r="S102" s="231"/>
      <c r="T102" s="231"/>
      <c r="U102" s="231"/>
      <c r="V102" s="231"/>
      <c r="W102" s="231"/>
      <c r="X102" s="231"/>
      <c r="Y102" s="231"/>
      <c r="Z102" s="231"/>
      <c r="AA102" s="231"/>
      <c r="AB102" s="231"/>
      <c r="AC102" s="231"/>
      <c r="AD102" s="231"/>
      <c r="AE102" s="231"/>
      <c r="AF102" s="231"/>
      <c r="AG102" s="231"/>
      <c r="AH102" s="231"/>
      <c r="AI102" s="231"/>
    </row>
    <row r="103" spans="1:35" s="203" customFormat="1">
      <c r="A103" s="120">
        <v>8</v>
      </c>
      <c r="B103" s="47" t="s">
        <v>111</v>
      </c>
      <c r="C103" s="47"/>
      <c r="D103" s="47"/>
      <c r="E103" s="114">
        <v>622</v>
      </c>
      <c r="F103" s="52">
        <v>1275</v>
      </c>
      <c r="G103" s="118"/>
      <c r="H103" s="122">
        <v>1178</v>
      </c>
      <c r="I103" s="139"/>
      <c r="J103" s="231"/>
      <c r="K103" s="231"/>
      <c r="L103" s="231"/>
      <c r="M103" s="231"/>
      <c r="N103" s="231"/>
      <c r="O103" s="231"/>
      <c r="P103" s="231"/>
      <c r="Q103" s="231"/>
      <c r="R103" s="231"/>
      <c r="S103" s="231"/>
      <c r="T103" s="231"/>
      <c r="U103" s="231"/>
      <c r="V103" s="231"/>
      <c r="W103" s="231"/>
      <c r="X103" s="231"/>
      <c r="Y103" s="231"/>
      <c r="Z103" s="231"/>
      <c r="AA103" s="231"/>
      <c r="AB103" s="231"/>
      <c r="AC103" s="231"/>
      <c r="AD103" s="231"/>
      <c r="AE103" s="231"/>
      <c r="AF103" s="231"/>
      <c r="AG103" s="231"/>
      <c r="AH103" s="231"/>
      <c r="AI103" s="231"/>
    </row>
    <row r="104" spans="1:35" s="203" customFormat="1">
      <c r="A104" s="120">
        <v>9</v>
      </c>
      <c r="B104" s="47" t="s">
        <v>112</v>
      </c>
      <c r="C104" s="47"/>
      <c r="D104" s="47"/>
      <c r="E104" s="114">
        <v>1294</v>
      </c>
      <c r="F104" s="52">
        <v>1365</v>
      </c>
      <c r="G104" s="118"/>
      <c r="H104" s="122">
        <v>1305</v>
      </c>
      <c r="I104" s="139"/>
      <c r="J104" s="231"/>
      <c r="K104" s="231"/>
      <c r="L104" s="231"/>
      <c r="M104" s="231"/>
      <c r="N104" s="231"/>
      <c r="O104" s="231"/>
      <c r="P104" s="231"/>
      <c r="Q104" s="231"/>
      <c r="R104" s="231"/>
      <c r="S104" s="231"/>
      <c r="T104" s="231"/>
      <c r="U104" s="231"/>
      <c r="V104" s="231"/>
      <c r="W104" s="231"/>
      <c r="X104" s="231"/>
      <c r="Y104" s="231"/>
      <c r="Z104" s="231"/>
      <c r="AA104" s="231"/>
      <c r="AB104" s="231"/>
      <c r="AC104" s="231"/>
      <c r="AD104" s="231"/>
      <c r="AE104" s="231"/>
      <c r="AF104" s="231"/>
      <c r="AG104" s="231"/>
      <c r="AH104" s="231"/>
      <c r="AI104" s="231"/>
    </row>
    <row r="105" spans="1:35" s="203" customFormat="1">
      <c r="A105" s="111" t="s">
        <v>113</v>
      </c>
      <c r="B105" s="116" t="s">
        <v>114</v>
      </c>
      <c r="C105" s="116"/>
      <c r="D105" s="47"/>
      <c r="E105" s="134">
        <v>70906</v>
      </c>
      <c r="F105" s="61">
        <f>SUM(F96:F104)</f>
        <v>74754</v>
      </c>
      <c r="G105" s="118"/>
      <c r="H105" s="61">
        <f>SUM(H96:H104)</f>
        <v>72516</v>
      </c>
      <c r="I105" s="139"/>
      <c r="J105" s="231"/>
      <c r="K105" s="231"/>
      <c r="L105" s="231"/>
      <c r="M105" s="231"/>
      <c r="N105" s="231"/>
      <c r="O105" s="231"/>
      <c r="P105" s="231"/>
      <c r="Q105" s="231"/>
      <c r="R105" s="231"/>
      <c r="S105" s="231"/>
      <c r="T105" s="231"/>
      <c r="U105" s="231"/>
      <c r="V105" s="231"/>
      <c r="W105" s="231"/>
      <c r="X105" s="231"/>
      <c r="Y105" s="231"/>
      <c r="Z105" s="231"/>
      <c r="AA105" s="231"/>
      <c r="AB105" s="231"/>
      <c r="AC105" s="231"/>
      <c r="AD105" s="231"/>
      <c r="AE105" s="231"/>
      <c r="AF105" s="231"/>
      <c r="AG105" s="231"/>
      <c r="AH105" s="231"/>
      <c r="AI105" s="231"/>
    </row>
    <row r="106" spans="1:35" s="203" customFormat="1">
      <c r="A106" s="120">
        <v>11</v>
      </c>
      <c r="B106" s="90" t="s">
        <v>115</v>
      </c>
      <c r="C106" s="47"/>
      <c r="D106" s="47"/>
      <c r="E106" s="135">
        <v>0</v>
      </c>
      <c r="F106" s="136"/>
      <c r="G106" s="118"/>
      <c r="H106" s="137"/>
      <c r="I106" s="139"/>
      <c r="J106" s="231"/>
      <c r="K106" s="231"/>
      <c r="L106" s="231"/>
      <c r="M106" s="231"/>
      <c r="N106" s="231"/>
      <c r="O106" s="231"/>
      <c r="P106" s="231"/>
      <c r="Q106" s="231"/>
      <c r="R106" s="231"/>
      <c r="S106" s="231"/>
      <c r="T106" s="231"/>
      <c r="U106" s="231"/>
      <c r="V106" s="231"/>
      <c r="W106" s="231"/>
      <c r="X106" s="231"/>
      <c r="Y106" s="231"/>
      <c r="Z106" s="231"/>
      <c r="AA106" s="231"/>
      <c r="AB106" s="231"/>
      <c r="AC106" s="231"/>
      <c r="AD106" s="231"/>
      <c r="AE106" s="231"/>
      <c r="AF106" s="231"/>
      <c r="AG106" s="231"/>
      <c r="AH106" s="231"/>
      <c r="AI106" s="231"/>
    </row>
    <row r="107" spans="1:35" s="203" customFormat="1">
      <c r="A107" s="111"/>
      <c r="B107" s="47"/>
      <c r="C107" s="47"/>
      <c r="D107" s="138"/>
      <c r="E107" s="117"/>
      <c r="F107" s="139"/>
      <c r="G107" s="139"/>
      <c r="H107" s="139"/>
      <c r="I107" s="139"/>
      <c r="J107" s="231"/>
      <c r="K107" s="231"/>
      <c r="L107" s="231"/>
      <c r="M107" s="231"/>
      <c r="N107" s="231"/>
      <c r="O107" s="231"/>
      <c r="P107" s="231"/>
      <c r="Q107" s="231"/>
      <c r="R107" s="231"/>
      <c r="S107" s="231"/>
      <c r="T107" s="231"/>
      <c r="U107" s="231"/>
      <c r="V107" s="231"/>
      <c r="W107" s="231"/>
      <c r="X107" s="231"/>
      <c r="Y107" s="231"/>
      <c r="Z107" s="231"/>
      <c r="AA107" s="231"/>
      <c r="AB107" s="231"/>
      <c r="AC107" s="231"/>
      <c r="AD107" s="231"/>
      <c r="AE107" s="231"/>
      <c r="AF107" s="231"/>
      <c r="AG107" s="231"/>
      <c r="AH107" s="231"/>
      <c r="AI107" s="231"/>
    </row>
    <row r="108" spans="1:35" s="203" customFormat="1">
      <c r="A108" s="119" t="s">
        <v>116</v>
      </c>
      <c r="B108" s="47"/>
      <c r="C108" s="47"/>
      <c r="D108" s="47"/>
      <c r="E108" s="117"/>
      <c r="F108" s="139"/>
      <c r="G108" s="139"/>
      <c r="H108" s="139"/>
      <c r="I108" s="139"/>
      <c r="J108" s="231"/>
      <c r="K108" s="231"/>
      <c r="L108" s="231"/>
      <c r="M108" s="231"/>
      <c r="N108" s="231"/>
      <c r="O108" s="231"/>
      <c r="P108" s="231"/>
      <c r="Q108" s="231"/>
      <c r="R108" s="231"/>
      <c r="S108" s="231"/>
      <c r="T108" s="231"/>
      <c r="U108" s="231"/>
      <c r="V108" s="231"/>
      <c r="W108" s="231"/>
      <c r="X108" s="231"/>
      <c r="Y108" s="231"/>
      <c r="Z108" s="231"/>
      <c r="AA108" s="231"/>
      <c r="AB108" s="231"/>
      <c r="AC108" s="231"/>
      <c r="AD108" s="231"/>
      <c r="AE108" s="231"/>
      <c r="AF108" s="231"/>
      <c r="AG108" s="231"/>
      <c r="AH108" s="231"/>
      <c r="AI108" s="231"/>
    </row>
    <row r="109" spans="1:35" s="203" customFormat="1">
      <c r="A109" s="119" t="s">
        <v>106</v>
      </c>
      <c r="B109" s="47"/>
      <c r="C109" s="47"/>
      <c r="D109" s="47"/>
      <c r="E109" s="140"/>
      <c r="F109" s="141"/>
      <c r="G109" s="139"/>
      <c r="H109" s="141"/>
      <c r="I109" s="139"/>
      <c r="J109" s="231"/>
      <c r="K109" s="231"/>
      <c r="L109" s="231"/>
      <c r="M109" s="231"/>
      <c r="N109" s="231"/>
      <c r="O109" s="231"/>
      <c r="P109" s="231"/>
      <c r="Q109" s="231"/>
      <c r="R109" s="231"/>
      <c r="S109" s="231"/>
      <c r="T109" s="231"/>
      <c r="U109" s="231"/>
      <c r="V109" s="231"/>
      <c r="W109" s="231"/>
      <c r="X109" s="231"/>
      <c r="Y109" s="231"/>
      <c r="Z109" s="231"/>
      <c r="AA109" s="231"/>
      <c r="AB109" s="231"/>
      <c r="AC109" s="231"/>
      <c r="AD109" s="231"/>
      <c r="AE109" s="231"/>
      <c r="AF109" s="231"/>
      <c r="AG109" s="231"/>
      <c r="AH109" s="231"/>
      <c r="AI109" s="231"/>
    </row>
    <row r="110" spans="1:35" s="203" customFormat="1">
      <c r="A110" s="120">
        <v>12</v>
      </c>
      <c r="B110" s="47" t="s">
        <v>117</v>
      </c>
      <c r="C110" s="47"/>
      <c r="D110" s="47"/>
      <c r="E110" s="49">
        <v>7318</v>
      </c>
      <c r="F110" s="52">
        <v>6922</v>
      </c>
      <c r="G110" s="118"/>
      <c r="H110" s="122">
        <v>6435</v>
      </c>
      <c r="I110" s="139"/>
      <c r="J110" s="231"/>
      <c r="K110" s="231"/>
      <c r="L110" s="231"/>
      <c r="M110" s="231"/>
      <c r="N110" s="231"/>
      <c r="O110" s="231"/>
      <c r="P110" s="231"/>
      <c r="Q110" s="231"/>
      <c r="R110" s="231"/>
      <c r="S110" s="231"/>
      <c r="T110" s="231"/>
      <c r="U110" s="231"/>
      <c r="V110" s="231"/>
      <c r="W110" s="231"/>
      <c r="X110" s="231"/>
      <c r="Y110" s="231"/>
      <c r="Z110" s="231"/>
      <c r="AA110" s="231"/>
      <c r="AB110" s="231"/>
      <c r="AC110" s="231"/>
      <c r="AD110" s="231"/>
      <c r="AE110" s="231"/>
      <c r="AF110" s="231"/>
      <c r="AG110" s="231"/>
      <c r="AH110" s="231"/>
      <c r="AI110" s="231"/>
    </row>
    <row r="111" spans="1:35" s="203" customFormat="1">
      <c r="A111" s="120">
        <v>13</v>
      </c>
      <c r="B111" s="47" t="s">
        <v>118</v>
      </c>
      <c r="C111" s="47"/>
      <c r="D111" s="47"/>
      <c r="E111" s="49">
        <v>2845</v>
      </c>
      <c r="F111" s="52">
        <v>2881</v>
      </c>
      <c r="G111" s="118"/>
      <c r="H111" s="122">
        <v>2988</v>
      </c>
      <c r="I111" s="139"/>
      <c r="J111" s="231"/>
      <c r="K111" s="231"/>
      <c r="L111" s="231"/>
      <c r="M111" s="231"/>
      <c r="N111" s="231"/>
      <c r="O111" s="231"/>
      <c r="P111" s="231"/>
      <c r="Q111" s="231"/>
      <c r="R111" s="231"/>
      <c r="S111" s="231"/>
      <c r="T111" s="231"/>
      <c r="U111" s="231"/>
      <c r="V111" s="231"/>
      <c r="W111" s="231"/>
      <c r="X111" s="231"/>
      <c r="Y111" s="231"/>
      <c r="Z111" s="231"/>
      <c r="AA111" s="231"/>
      <c r="AB111" s="231"/>
      <c r="AC111" s="231"/>
      <c r="AD111" s="231"/>
      <c r="AE111" s="231"/>
      <c r="AF111" s="231"/>
      <c r="AG111" s="231"/>
      <c r="AH111" s="231"/>
      <c r="AI111" s="231"/>
    </row>
    <row r="112" spans="1:35" s="203" customFormat="1">
      <c r="A112" s="120">
        <v>14</v>
      </c>
      <c r="B112" s="47" t="s">
        <v>119</v>
      </c>
      <c r="C112" s="47"/>
      <c r="D112" s="47"/>
      <c r="E112" s="49">
        <v>5539</v>
      </c>
      <c r="F112" s="52">
        <v>5558</v>
      </c>
      <c r="G112" s="118"/>
      <c r="H112" s="122">
        <v>5290</v>
      </c>
      <c r="I112" s="139"/>
      <c r="J112" s="231"/>
      <c r="K112" s="231"/>
      <c r="L112" s="231"/>
      <c r="M112" s="231"/>
      <c r="N112" s="231"/>
      <c r="O112" s="231"/>
      <c r="P112" s="231"/>
      <c r="Q112" s="231"/>
      <c r="R112" s="231"/>
      <c r="S112" s="231"/>
      <c r="T112" s="231"/>
      <c r="U112" s="231"/>
      <c r="V112" s="231"/>
      <c r="W112" s="231"/>
      <c r="X112" s="231"/>
      <c r="Y112" s="231"/>
      <c r="Z112" s="231"/>
      <c r="AA112" s="231"/>
      <c r="AB112" s="231"/>
      <c r="AC112" s="231"/>
      <c r="AD112" s="231"/>
      <c r="AE112" s="231"/>
      <c r="AF112" s="231"/>
      <c r="AG112" s="231"/>
      <c r="AH112" s="231"/>
      <c r="AI112" s="231"/>
    </row>
    <row r="113" spans="1:35" s="203" customFormat="1">
      <c r="A113" s="120">
        <v>15</v>
      </c>
      <c r="B113" s="47" t="s">
        <v>120</v>
      </c>
      <c r="C113" s="47"/>
      <c r="D113" s="47"/>
      <c r="E113" s="49">
        <v>0</v>
      </c>
      <c r="F113" s="52">
        <v>0</v>
      </c>
      <c r="G113" s="118"/>
      <c r="H113" s="122">
        <v>0</v>
      </c>
      <c r="I113" s="139"/>
      <c r="J113" s="231"/>
      <c r="K113" s="231"/>
      <c r="L113" s="231"/>
      <c r="M113" s="231"/>
      <c r="N113" s="231"/>
      <c r="O113" s="231"/>
      <c r="P113" s="231"/>
      <c r="Q113" s="231"/>
      <c r="R113" s="231"/>
      <c r="S113" s="231"/>
      <c r="T113" s="231"/>
      <c r="U113" s="231"/>
      <c r="V113" s="231"/>
      <c r="W113" s="231"/>
      <c r="X113" s="231"/>
      <c r="Y113" s="231"/>
      <c r="Z113" s="231"/>
      <c r="AA113" s="231"/>
      <c r="AB113" s="231"/>
      <c r="AC113" s="231"/>
      <c r="AD113" s="231"/>
      <c r="AE113" s="231"/>
      <c r="AF113" s="231"/>
      <c r="AG113" s="231"/>
      <c r="AH113" s="231"/>
      <c r="AI113" s="231"/>
    </row>
    <row r="114" spans="1:35" s="203" customFormat="1">
      <c r="A114" s="120">
        <v>16</v>
      </c>
      <c r="B114" s="47" t="s">
        <v>121</v>
      </c>
      <c r="C114" s="47"/>
      <c r="D114" s="47"/>
      <c r="E114" s="49">
        <v>715</v>
      </c>
      <c r="F114" s="52">
        <v>210</v>
      </c>
      <c r="G114" s="118"/>
      <c r="H114" s="100">
        <v>208</v>
      </c>
      <c r="I114" s="139"/>
      <c r="J114" s="231"/>
      <c r="K114" s="231"/>
      <c r="L114" s="231"/>
      <c r="M114" s="231"/>
      <c r="N114" s="231"/>
      <c r="O114" s="231"/>
      <c r="P114" s="231"/>
      <c r="Q114" s="231"/>
      <c r="R114" s="231"/>
      <c r="S114" s="231"/>
      <c r="T114" s="231"/>
      <c r="U114" s="231"/>
      <c r="V114" s="231"/>
      <c r="W114" s="231"/>
      <c r="X114" s="231"/>
      <c r="Y114" s="231"/>
      <c r="Z114" s="231"/>
      <c r="AA114" s="231"/>
      <c r="AB114" s="231"/>
      <c r="AC114" s="231"/>
      <c r="AD114" s="231"/>
      <c r="AE114" s="231"/>
      <c r="AF114" s="231"/>
      <c r="AG114" s="231"/>
      <c r="AH114" s="231"/>
      <c r="AI114" s="231"/>
    </row>
    <row r="115" spans="1:35" s="203" customFormat="1">
      <c r="A115" s="120">
        <v>17</v>
      </c>
      <c r="B115" s="116" t="s">
        <v>122</v>
      </c>
      <c r="C115" s="116"/>
      <c r="D115" s="116"/>
      <c r="E115" s="80">
        <v>16417</v>
      </c>
      <c r="F115" s="142">
        <f>SUM(F110:F114)</f>
        <v>15571</v>
      </c>
      <c r="G115" s="118"/>
      <c r="H115" s="142">
        <f>SUM(H110:H114)</f>
        <v>14921</v>
      </c>
      <c r="I115" s="139"/>
      <c r="J115" s="231"/>
      <c r="K115" s="231"/>
      <c r="L115" s="231"/>
      <c r="M115" s="231"/>
      <c r="N115" s="231"/>
      <c r="O115" s="231"/>
      <c r="P115" s="231"/>
      <c r="Q115" s="231"/>
      <c r="R115" s="231"/>
      <c r="S115" s="231"/>
      <c r="T115" s="231"/>
      <c r="U115" s="231"/>
      <c r="V115" s="231"/>
      <c r="W115" s="231"/>
      <c r="X115" s="231"/>
      <c r="Y115" s="231"/>
      <c r="Z115" s="231"/>
      <c r="AA115" s="231"/>
      <c r="AB115" s="231"/>
      <c r="AC115" s="231"/>
      <c r="AD115" s="231"/>
      <c r="AE115" s="231"/>
      <c r="AF115" s="231"/>
      <c r="AG115" s="231"/>
      <c r="AH115" s="231"/>
      <c r="AI115" s="231"/>
    </row>
    <row r="116" spans="1:35" s="203" customFormat="1">
      <c r="A116" s="111"/>
      <c r="B116" s="116"/>
      <c r="C116" s="116"/>
      <c r="D116" s="116"/>
      <c r="E116" s="143"/>
      <c r="F116" s="118"/>
      <c r="G116" s="118"/>
      <c r="H116" s="118"/>
      <c r="I116" s="139"/>
      <c r="J116" s="231"/>
      <c r="K116" s="231"/>
      <c r="L116" s="231"/>
      <c r="M116" s="231"/>
      <c r="N116" s="231"/>
      <c r="O116" s="231"/>
      <c r="P116" s="231"/>
      <c r="Q116" s="231"/>
      <c r="R116" s="231"/>
      <c r="S116" s="231"/>
      <c r="T116" s="231"/>
      <c r="U116" s="231"/>
      <c r="V116" s="231"/>
      <c r="W116" s="231"/>
      <c r="X116" s="231"/>
      <c r="Y116" s="231"/>
      <c r="Z116" s="231"/>
      <c r="AA116" s="231"/>
      <c r="AB116" s="231"/>
      <c r="AC116" s="231"/>
      <c r="AD116" s="231"/>
      <c r="AE116" s="231"/>
      <c r="AF116" s="231"/>
      <c r="AG116" s="231"/>
      <c r="AH116" s="231"/>
      <c r="AI116" s="231"/>
    </row>
    <row r="117" spans="1:35" s="203" customFormat="1">
      <c r="A117" s="144" t="s">
        <v>107</v>
      </c>
      <c r="B117" s="116"/>
      <c r="C117" s="116"/>
      <c r="D117" s="116"/>
      <c r="E117" s="145"/>
      <c r="F117" s="146"/>
      <c r="G117" s="118"/>
      <c r="H117" s="146"/>
      <c r="I117" s="139"/>
      <c r="J117" s="231"/>
      <c r="K117" s="231"/>
      <c r="L117" s="231"/>
      <c r="M117" s="231"/>
      <c r="N117" s="231"/>
      <c r="O117" s="231"/>
      <c r="P117" s="231"/>
      <c r="Q117" s="231"/>
      <c r="R117" s="231"/>
      <c r="S117" s="231"/>
      <c r="T117" s="231"/>
      <c r="U117" s="231"/>
      <c r="V117" s="231"/>
      <c r="W117" s="231"/>
      <c r="X117" s="231"/>
      <c r="Y117" s="231"/>
      <c r="Z117" s="231"/>
      <c r="AA117" s="231"/>
      <c r="AB117" s="231"/>
      <c r="AC117" s="231"/>
      <c r="AD117" s="231"/>
      <c r="AE117" s="231"/>
      <c r="AF117" s="231"/>
      <c r="AG117" s="231"/>
      <c r="AH117" s="231"/>
      <c r="AI117" s="231"/>
    </row>
    <row r="118" spans="1:35" s="203" customFormat="1">
      <c r="A118" s="120">
        <v>18</v>
      </c>
      <c r="B118" s="47" t="s">
        <v>123</v>
      </c>
      <c r="C118" s="47"/>
      <c r="D118" s="47"/>
      <c r="E118" s="49">
        <v>6137</v>
      </c>
      <c r="F118" s="52">
        <v>3975</v>
      </c>
      <c r="G118" s="118"/>
      <c r="H118" s="122">
        <v>3877</v>
      </c>
      <c r="I118" s="139"/>
      <c r="J118" s="231"/>
      <c r="K118" s="231"/>
      <c r="L118" s="231"/>
      <c r="M118" s="231"/>
      <c r="N118" s="231"/>
      <c r="O118" s="231"/>
      <c r="P118" s="231"/>
      <c r="Q118" s="231"/>
      <c r="R118" s="231"/>
      <c r="S118" s="231"/>
      <c r="T118" s="231"/>
      <c r="U118" s="231"/>
      <c r="V118" s="231"/>
      <c r="W118" s="231"/>
      <c r="X118" s="231"/>
      <c r="Y118" s="231"/>
      <c r="Z118" s="231"/>
      <c r="AA118" s="231"/>
      <c r="AB118" s="231"/>
      <c r="AC118" s="231"/>
      <c r="AD118" s="231"/>
      <c r="AE118" s="231"/>
      <c r="AF118" s="231"/>
      <c r="AG118" s="231"/>
      <c r="AH118" s="231"/>
      <c r="AI118" s="231"/>
    </row>
    <row r="119" spans="1:35" s="203" customFormat="1">
      <c r="A119" s="120">
        <v>19</v>
      </c>
      <c r="B119" s="47" t="s">
        <v>124</v>
      </c>
      <c r="C119" s="47"/>
      <c r="D119" s="47"/>
      <c r="E119" s="49">
        <v>8872</v>
      </c>
      <c r="F119" s="52">
        <v>8697</v>
      </c>
      <c r="G119" s="118"/>
      <c r="H119" s="122">
        <v>7937</v>
      </c>
      <c r="I119" s="139"/>
      <c r="J119" s="231"/>
      <c r="K119" s="231"/>
      <c r="L119" s="231"/>
      <c r="M119" s="231"/>
      <c r="N119" s="231"/>
      <c r="O119" s="231"/>
      <c r="P119" s="231"/>
      <c r="Q119" s="231"/>
      <c r="R119" s="231"/>
      <c r="S119" s="231"/>
      <c r="T119" s="231"/>
      <c r="U119" s="231"/>
      <c r="V119" s="231"/>
      <c r="W119" s="231"/>
      <c r="X119" s="231"/>
      <c r="Y119" s="231"/>
      <c r="Z119" s="231"/>
      <c r="AA119" s="231"/>
      <c r="AB119" s="231"/>
      <c r="AC119" s="231"/>
      <c r="AD119" s="231"/>
      <c r="AE119" s="231"/>
      <c r="AF119" s="231"/>
      <c r="AG119" s="231"/>
      <c r="AH119" s="231"/>
      <c r="AI119" s="231"/>
    </row>
    <row r="120" spans="1:35" s="203" customFormat="1">
      <c r="A120" s="120">
        <v>20</v>
      </c>
      <c r="B120" s="47" t="s">
        <v>119</v>
      </c>
      <c r="C120" s="47"/>
      <c r="D120" s="47"/>
      <c r="E120" s="49">
        <v>15644</v>
      </c>
      <c r="F120" s="52">
        <v>14685</v>
      </c>
      <c r="G120" s="118"/>
      <c r="H120" s="122">
        <v>14970</v>
      </c>
      <c r="I120" s="139"/>
      <c r="J120" s="231"/>
      <c r="K120" s="231"/>
      <c r="L120" s="231"/>
      <c r="M120" s="231"/>
      <c r="N120" s="231"/>
      <c r="O120" s="231"/>
      <c r="P120" s="231"/>
      <c r="Q120" s="231"/>
      <c r="R120" s="231"/>
      <c r="S120" s="231"/>
      <c r="T120" s="231"/>
      <c r="U120" s="231"/>
      <c r="V120" s="231"/>
      <c r="W120" s="231"/>
      <c r="X120" s="231"/>
      <c r="Y120" s="231"/>
      <c r="Z120" s="231"/>
      <c r="AA120" s="231"/>
      <c r="AB120" s="231"/>
      <c r="AC120" s="231"/>
      <c r="AD120" s="231"/>
      <c r="AE120" s="231"/>
      <c r="AF120" s="231"/>
      <c r="AG120" s="231"/>
      <c r="AH120" s="231"/>
      <c r="AI120" s="231"/>
    </row>
    <row r="121" spans="1:35" s="203" customFormat="1">
      <c r="A121" s="120">
        <v>21</v>
      </c>
      <c r="B121" s="47" t="s">
        <v>120</v>
      </c>
      <c r="C121" s="47"/>
      <c r="D121" s="47"/>
      <c r="E121" s="49">
        <v>1021</v>
      </c>
      <c r="F121" s="52">
        <v>894</v>
      </c>
      <c r="G121" s="118"/>
      <c r="H121" s="122">
        <v>795</v>
      </c>
      <c r="I121" s="139"/>
      <c r="J121" s="231"/>
      <c r="K121" s="231"/>
      <c r="L121" s="231"/>
      <c r="M121" s="231"/>
      <c r="N121" s="231"/>
      <c r="O121" s="231"/>
      <c r="P121" s="231"/>
      <c r="Q121" s="231"/>
      <c r="R121" s="231"/>
      <c r="S121" s="231"/>
      <c r="T121" s="231"/>
      <c r="U121" s="231"/>
      <c r="V121" s="231"/>
      <c r="W121" s="231"/>
      <c r="X121" s="231"/>
      <c r="Y121" s="231"/>
      <c r="Z121" s="231"/>
      <c r="AA121" s="231"/>
      <c r="AB121" s="231"/>
      <c r="AC121" s="231"/>
      <c r="AD121" s="231"/>
      <c r="AE121" s="231"/>
      <c r="AF121" s="231"/>
      <c r="AG121" s="231"/>
      <c r="AH121" s="231"/>
      <c r="AI121" s="231"/>
    </row>
    <row r="122" spans="1:35" s="203" customFormat="1">
      <c r="A122" s="120">
        <v>22</v>
      </c>
      <c r="B122" s="47" t="s">
        <v>125</v>
      </c>
      <c r="C122" s="47"/>
      <c r="D122" s="47"/>
      <c r="E122" s="49">
        <v>175</v>
      </c>
      <c r="F122" s="52">
        <v>152</v>
      </c>
      <c r="G122" s="118"/>
      <c r="H122" s="122">
        <v>97</v>
      </c>
      <c r="I122" s="139"/>
      <c r="J122" s="231"/>
      <c r="K122" s="231"/>
      <c r="L122" s="231"/>
      <c r="M122" s="231"/>
      <c r="N122" s="231"/>
      <c r="O122" s="231"/>
      <c r="P122" s="231"/>
      <c r="Q122" s="231"/>
      <c r="R122" s="231"/>
      <c r="S122" s="231"/>
      <c r="T122" s="231"/>
      <c r="U122" s="231"/>
      <c r="V122" s="231"/>
      <c r="W122" s="231"/>
      <c r="X122" s="231"/>
      <c r="Y122" s="231"/>
      <c r="Z122" s="231"/>
      <c r="AA122" s="231"/>
      <c r="AB122" s="231"/>
      <c r="AC122" s="231"/>
      <c r="AD122" s="231"/>
      <c r="AE122" s="231"/>
      <c r="AF122" s="231"/>
      <c r="AG122" s="231"/>
      <c r="AH122" s="231"/>
      <c r="AI122" s="231"/>
    </row>
    <row r="123" spans="1:35" s="203" customFormat="1">
      <c r="A123" s="120">
        <v>23</v>
      </c>
      <c r="B123" s="90" t="s">
        <v>126</v>
      </c>
      <c r="C123" s="47"/>
      <c r="D123" s="47"/>
      <c r="E123" s="49">
        <v>1346</v>
      </c>
      <c r="F123" s="52">
        <v>1879</v>
      </c>
      <c r="G123" s="118"/>
      <c r="H123" s="99">
        <v>1563</v>
      </c>
      <c r="I123" s="139"/>
      <c r="J123" s="231"/>
      <c r="K123" s="231"/>
      <c r="L123" s="231"/>
      <c r="M123" s="231"/>
      <c r="N123" s="231"/>
      <c r="O123" s="231"/>
      <c r="P123" s="231"/>
      <c r="Q123" s="231"/>
      <c r="R123" s="231"/>
      <c r="S123" s="231"/>
      <c r="T123" s="231"/>
      <c r="U123" s="231"/>
      <c r="V123" s="231"/>
      <c r="W123" s="231"/>
      <c r="X123" s="231"/>
      <c r="Y123" s="231"/>
      <c r="Z123" s="231"/>
      <c r="AA123" s="231"/>
      <c r="AB123" s="231"/>
      <c r="AC123" s="231"/>
      <c r="AD123" s="231"/>
      <c r="AE123" s="231"/>
      <c r="AF123" s="231"/>
      <c r="AG123" s="231"/>
      <c r="AH123" s="231"/>
      <c r="AI123" s="231"/>
    </row>
    <row r="124" spans="1:35" s="203" customFormat="1">
      <c r="A124" s="120">
        <v>24</v>
      </c>
      <c r="B124" s="47" t="s">
        <v>121</v>
      </c>
      <c r="C124" s="47"/>
      <c r="D124" s="47"/>
      <c r="E124" s="49">
        <v>-7746</v>
      </c>
      <c r="F124" s="52">
        <v>-2753</v>
      </c>
      <c r="G124" s="118"/>
      <c r="H124" s="100">
        <v>-1126</v>
      </c>
      <c r="I124" s="139"/>
      <c r="J124" s="231"/>
      <c r="K124" s="231"/>
      <c r="L124" s="231"/>
      <c r="M124" s="231"/>
      <c r="N124" s="231"/>
      <c r="O124" s="231"/>
      <c r="P124" s="231"/>
      <c r="Q124" s="231"/>
      <c r="R124" s="231"/>
      <c r="S124" s="231"/>
      <c r="T124" s="231"/>
      <c r="U124" s="231"/>
      <c r="V124" s="231"/>
      <c r="W124" s="231"/>
      <c r="X124" s="231"/>
      <c r="Y124" s="231"/>
      <c r="Z124" s="231"/>
      <c r="AA124" s="231"/>
      <c r="AB124" s="231"/>
      <c r="AC124" s="231"/>
      <c r="AD124" s="231"/>
      <c r="AE124" s="231"/>
      <c r="AF124" s="231"/>
      <c r="AG124" s="231"/>
      <c r="AH124" s="231"/>
      <c r="AI124" s="231"/>
    </row>
    <row r="125" spans="1:35" s="203" customFormat="1">
      <c r="A125" s="120">
        <v>25</v>
      </c>
      <c r="B125" s="147" t="s">
        <v>127</v>
      </c>
      <c r="C125" s="147"/>
      <c r="D125" s="147"/>
      <c r="E125" s="80">
        <v>25449</v>
      </c>
      <c r="F125" s="142">
        <f>SUM(F118:F124)</f>
        <v>27529</v>
      </c>
      <c r="G125" s="118"/>
      <c r="H125" s="142">
        <f>SUM(H118:H124)</f>
        <v>28113</v>
      </c>
      <c r="I125" s="139"/>
      <c r="J125" s="231"/>
      <c r="K125" s="231"/>
      <c r="L125" s="231"/>
      <c r="M125" s="231"/>
      <c r="N125" s="231"/>
      <c r="O125" s="231"/>
      <c r="P125" s="231"/>
      <c r="Q125" s="231"/>
      <c r="R125" s="231"/>
      <c r="S125" s="231"/>
      <c r="T125" s="231"/>
      <c r="U125" s="231"/>
      <c r="V125" s="231"/>
      <c r="W125" s="231"/>
      <c r="X125" s="231"/>
      <c r="Y125" s="231"/>
      <c r="Z125" s="231"/>
      <c r="AA125" s="231"/>
      <c r="AB125" s="231"/>
      <c r="AC125" s="231"/>
      <c r="AD125" s="231"/>
      <c r="AE125" s="231"/>
      <c r="AF125" s="231"/>
      <c r="AG125" s="231"/>
      <c r="AH125" s="231"/>
      <c r="AI125" s="231"/>
    </row>
    <row r="126" spans="1:35" s="203" customFormat="1">
      <c r="A126" s="111"/>
      <c r="B126" s="47"/>
      <c r="C126" s="47"/>
      <c r="D126" s="47"/>
      <c r="E126" s="117"/>
      <c r="F126" s="118"/>
      <c r="G126" s="118"/>
      <c r="H126" s="118"/>
      <c r="I126" s="139"/>
      <c r="J126" s="231"/>
      <c r="K126" s="231"/>
      <c r="L126" s="231"/>
      <c r="M126" s="231"/>
      <c r="N126" s="231"/>
      <c r="O126" s="231"/>
      <c r="P126" s="231"/>
      <c r="Q126" s="231"/>
      <c r="R126" s="231"/>
      <c r="S126" s="231"/>
      <c r="T126" s="231"/>
      <c r="U126" s="231"/>
      <c r="V126" s="231"/>
      <c r="W126" s="231"/>
      <c r="X126" s="231"/>
      <c r="Y126" s="231"/>
      <c r="Z126" s="231"/>
      <c r="AA126" s="231"/>
      <c r="AB126" s="231"/>
      <c r="AC126" s="231"/>
      <c r="AD126" s="231"/>
      <c r="AE126" s="231"/>
      <c r="AF126" s="231"/>
      <c r="AG126" s="231"/>
      <c r="AH126" s="231"/>
      <c r="AI126" s="231"/>
    </row>
    <row r="127" spans="1:35" s="203" customFormat="1">
      <c r="A127" s="119" t="s">
        <v>108</v>
      </c>
      <c r="B127" s="147"/>
      <c r="C127" s="147"/>
      <c r="D127" s="147"/>
      <c r="E127" s="140"/>
      <c r="F127" s="146"/>
      <c r="G127" s="118"/>
      <c r="H127" s="146"/>
      <c r="I127" s="139"/>
      <c r="J127" s="231"/>
      <c r="K127" s="231"/>
      <c r="L127" s="231"/>
      <c r="M127" s="231"/>
      <c r="N127" s="231"/>
      <c r="O127" s="231"/>
      <c r="P127" s="231"/>
      <c r="Q127" s="231"/>
      <c r="R127" s="231"/>
      <c r="S127" s="231"/>
      <c r="T127" s="231"/>
      <c r="U127" s="231"/>
      <c r="V127" s="231"/>
      <c r="W127" s="231"/>
      <c r="X127" s="231"/>
      <c r="Y127" s="231"/>
      <c r="Z127" s="231"/>
      <c r="AA127" s="231"/>
      <c r="AB127" s="231"/>
      <c r="AC127" s="231"/>
      <c r="AD127" s="231"/>
      <c r="AE127" s="231"/>
      <c r="AF127" s="231"/>
      <c r="AG127" s="231"/>
      <c r="AH127" s="231"/>
      <c r="AI127" s="231"/>
    </row>
    <row r="128" spans="1:35" s="203" customFormat="1">
      <c r="A128" s="120">
        <v>26</v>
      </c>
      <c r="B128" s="47" t="s">
        <v>123</v>
      </c>
      <c r="C128" s="47"/>
      <c r="D128" s="47"/>
      <c r="E128" s="74">
        <v>1088</v>
      </c>
      <c r="F128" s="52">
        <v>637</v>
      </c>
      <c r="G128" s="118"/>
      <c r="H128" s="122">
        <v>658</v>
      </c>
      <c r="I128" s="139"/>
      <c r="J128" s="231"/>
      <c r="K128" s="231"/>
      <c r="L128" s="231"/>
      <c r="M128" s="231"/>
      <c r="N128" s="231"/>
      <c r="O128" s="231"/>
      <c r="P128" s="231"/>
      <c r="Q128" s="231"/>
      <c r="R128" s="231"/>
      <c r="S128" s="231"/>
      <c r="T128" s="231"/>
      <c r="U128" s="231"/>
      <c r="V128" s="231"/>
      <c r="W128" s="231"/>
      <c r="X128" s="231"/>
      <c r="Y128" s="231"/>
      <c r="Z128" s="231"/>
      <c r="AA128" s="231"/>
      <c r="AB128" s="231"/>
      <c r="AC128" s="231"/>
      <c r="AD128" s="231"/>
      <c r="AE128" s="231"/>
      <c r="AF128" s="231"/>
      <c r="AG128" s="231"/>
      <c r="AH128" s="231"/>
      <c r="AI128" s="231"/>
    </row>
    <row r="129" spans="1:35" s="203" customFormat="1">
      <c r="A129" s="120">
        <v>27</v>
      </c>
      <c r="B129" s="47" t="s">
        <v>124</v>
      </c>
      <c r="C129" s="47"/>
      <c r="D129" s="47"/>
      <c r="E129" s="49">
        <v>1246</v>
      </c>
      <c r="F129" s="52">
        <v>1474</v>
      </c>
      <c r="G129" s="118"/>
      <c r="H129" s="122">
        <v>1281</v>
      </c>
      <c r="I129" s="139"/>
      <c r="J129" s="231"/>
      <c r="K129" s="231"/>
      <c r="L129" s="231"/>
      <c r="M129" s="231"/>
      <c r="N129" s="231"/>
      <c r="O129" s="231"/>
      <c r="P129" s="231"/>
      <c r="Q129" s="231"/>
      <c r="R129" s="231"/>
      <c r="S129" s="231"/>
      <c r="T129" s="231"/>
      <c r="U129" s="231"/>
      <c r="V129" s="231"/>
      <c r="W129" s="231"/>
      <c r="X129" s="231"/>
      <c r="Y129" s="231"/>
      <c r="Z129" s="231"/>
      <c r="AA129" s="231"/>
      <c r="AB129" s="231"/>
      <c r="AC129" s="231"/>
      <c r="AD129" s="231"/>
      <c r="AE129" s="231"/>
      <c r="AF129" s="231"/>
      <c r="AG129" s="231"/>
      <c r="AH129" s="231"/>
      <c r="AI129" s="231"/>
    </row>
    <row r="130" spans="1:35" s="203" customFormat="1">
      <c r="A130" s="120">
        <v>28</v>
      </c>
      <c r="B130" s="47" t="s">
        <v>119</v>
      </c>
      <c r="C130" s="47"/>
      <c r="D130" s="47"/>
      <c r="E130" s="49">
        <v>552</v>
      </c>
      <c r="F130" s="52">
        <v>615</v>
      </c>
      <c r="G130" s="118"/>
      <c r="H130" s="122">
        <v>477</v>
      </c>
      <c r="I130" s="139"/>
      <c r="J130" s="231"/>
      <c r="K130" s="231"/>
      <c r="L130" s="231"/>
      <c r="M130" s="231"/>
      <c r="N130" s="231"/>
      <c r="O130" s="231"/>
      <c r="P130" s="231"/>
      <c r="Q130" s="231"/>
      <c r="R130" s="231"/>
      <c r="S130" s="231"/>
      <c r="T130" s="231"/>
      <c r="U130" s="231"/>
      <c r="V130" s="231"/>
      <c r="W130" s="231"/>
      <c r="X130" s="231"/>
      <c r="Y130" s="231"/>
      <c r="Z130" s="231"/>
      <c r="AA130" s="231"/>
      <c r="AB130" s="231"/>
      <c r="AC130" s="231"/>
      <c r="AD130" s="231"/>
      <c r="AE130" s="231"/>
      <c r="AF130" s="231"/>
      <c r="AG130" s="231"/>
      <c r="AH130" s="231"/>
      <c r="AI130" s="231"/>
    </row>
    <row r="131" spans="1:35" s="203" customFormat="1">
      <c r="A131" s="120">
        <v>29</v>
      </c>
      <c r="B131" s="47" t="s">
        <v>120</v>
      </c>
      <c r="C131" s="47"/>
      <c r="D131" s="47"/>
      <c r="E131" s="49">
        <v>10</v>
      </c>
      <c r="F131" s="52">
        <v>3</v>
      </c>
      <c r="G131" s="118"/>
      <c r="H131" s="122">
        <v>8</v>
      </c>
      <c r="I131" s="139"/>
      <c r="J131" s="231"/>
      <c r="K131" s="231"/>
      <c r="L131" s="231"/>
      <c r="M131" s="231"/>
      <c r="N131" s="231"/>
      <c r="O131" s="231"/>
      <c r="P131" s="231"/>
      <c r="Q131" s="231"/>
      <c r="R131" s="231"/>
      <c r="S131" s="231"/>
      <c r="T131" s="231"/>
      <c r="U131" s="231"/>
      <c r="V131" s="231"/>
      <c r="W131" s="231"/>
      <c r="X131" s="231"/>
      <c r="Y131" s="231"/>
      <c r="Z131" s="231"/>
      <c r="AA131" s="231"/>
      <c r="AB131" s="231"/>
      <c r="AC131" s="231"/>
      <c r="AD131" s="231"/>
      <c r="AE131" s="231"/>
      <c r="AF131" s="231"/>
      <c r="AG131" s="231"/>
      <c r="AH131" s="231"/>
      <c r="AI131" s="231"/>
    </row>
    <row r="132" spans="1:35" s="203" customFormat="1">
      <c r="A132" s="120">
        <v>30</v>
      </c>
      <c r="B132" s="47" t="s">
        <v>125</v>
      </c>
      <c r="C132" s="47"/>
      <c r="D132" s="47"/>
      <c r="E132" s="49">
        <v>73</v>
      </c>
      <c r="F132" s="52">
        <v>57</v>
      </c>
      <c r="G132" s="118"/>
      <c r="H132" s="122">
        <v>63</v>
      </c>
      <c r="I132" s="139"/>
      <c r="J132" s="231"/>
      <c r="K132" s="231"/>
      <c r="L132" s="231"/>
      <c r="M132" s="231"/>
      <c r="N132" s="231"/>
      <c r="O132" s="231"/>
      <c r="P132" s="231"/>
      <c r="Q132" s="231"/>
      <c r="R132" s="231"/>
      <c r="S132" s="231"/>
      <c r="T132" s="231"/>
      <c r="U132" s="231"/>
      <c r="V132" s="231"/>
      <c r="W132" s="231"/>
      <c r="X132" s="231"/>
      <c r="Y132" s="231"/>
      <c r="Z132" s="231"/>
      <c r="AA132" s="231"/>
      <c r="AB132" s="231"/>
      <c r="AC132" s="231"/>
      <c r="AD132" s="231"/>
      <c r="AE132" s="231"/>
      <c r="AF132" s="231"/>
      <c r="AG132" s="231"/>
      <c r="AH132" s="231"/>
      <c r="AI132" s="231"/>
    </row>
    <row r="133" spans="1:35" s="203" customFormat="1">
      <c r="A133" s="120">
        <v>31</v>
      </c>
      <c r="B133" s="90" t="s">
        <v>126</v>
      </c>
      <c r="C133" s="47"/>
      <c r="D133" s="47"/>
      <c r="E133" s="49">
        <v>1777</v>
      </c>
      <c r="F133" s="52">
        <v>1559</v>
      </c>
      <c r="G133" s="118"/>
      <c r="H133" s="122">
        <v>1551</v>
      </c>
      <c r="I133" s="139"/>
      <c r="J133" s="231"/>
      <c r="K133" s="231"/>
      <c r="L133" s="231"/>
      <c r="M133" s="231"/>
      <c r="N133" s="231"/>
      <c r="O133" s="231"/>
      <c r="P133" s="231"/>
      <c r="Q133" s="231"/>
      <c r="R133" s="231"/>
      <c r="S133" s="231"/>
      <c r="T133" s="231"/>
      <c r="U133" s="231"/>
      <c r="V133" s="231"/>
      <c r="W133" s="231"/>
      <c r="X133" s="231"/>
      <c r="Y133" s="231"/>
      <c r="Z133" s="231"/>
      <c r="AA133" s="231"/>
      <c r="AB133" s="231"/>
      <c r="AC133" s="231"/>
      <c r="AD133" s="231"/>
      <c r="AE133" s="231"/>
      <c r="AF133" s="231"/>
      <c r="AG133" s="231"/>
      <c r="AH133" s="231"/>
      <c r="AI133" s="231"/>
    </row>
    <row r="134" spans="1:35" s="203" customFormat="1">
      <c r="A134" s="120">
        <v>32</v>
      </c>
      <c r="B134" s="47" t="s">
        <v>121</v>
      </c>
      <c r="C134" s="47"/>
      <c r="D134" s="47"/>
      <c r="E134" s="49">
        <v>-162</v>
      </c>
      <c r="F134" s="52">
        <v>501</v>
      </c>
      <c r="G134" s="118"/>
      <c r="H134" s="100">
        <v>270</v>
      </c>
      <c r="I134" s="139"/>
      <c r="J134" s="231"/>
      <c r="K134" s="231"/>
      <c r="L134" s="231"/>
      <c r="M134" s="231"/>
      <c r="N134" s="231"/>
      <c r="O134" s="231"/>
      <c r="P134" s="231"/>
      <c r="Q134" s="231"/>
      <c r="R134" s="231"/>
      <c r="S134" s="231"/>
      <c r="T134" s="231"/>
      <c r="U134" s="231"/>
      <c r="V134" s="231"/>
      <c r="W134" s="231"/>
      <c r="X134" s="231"/>
      <c r="Y134" s="231"/>
      <c r="Z134" s="231"/>
      <c r="AA134" s="231"/>
      <c r="AB134" s="231"/>
      <c r="AC134" s="231"/>
      <c r="AD134" s="231"/>
      <c r="AE134" s="231"/>
      <c r="AF134" s="231"/>
      <c r="AG134" s="231"/>
      <c r="AH134" s="231"/>
      <c r="AI134" s="231"/>
    </row>
    <row r="135" spans="1:35" s="203" customFormat="1">
      <c r="A135" s="120">
        <v>33</v>
      </c>
      <c r="B135" s="116" t="s">
        <v>128</v>
      </c>
      <c r="C135" s="116"/>
      <c r="D135" s="116"/>
      <c r="E135" s="80">
        <v>4584</v>
      </c>
      <c r="F135" s="142">
        <f>SUM(F128:F134)</f>
        <v>4846</v>
      </c>
      <c r="G135" s="118"/>
      <c r="H135" s="142">
        <f>SUM(H128:H134)</f>
        <v>4308</v>
      </c>
      <c r="I135" s="139"/>
      <c r="J135" s="231"/>
      <c r="K135" s="231"/>
      <c r="L135" s="231"/>
      <c r="M135" s="231"/>
      <c r="N135" s="231"/>
      <c r="O135" s="231"/>
      <c r="P135" s="231"/>
      <c r="Q135" s="231"/>
      <c r="R135" s="231"/>
      <c r="S135" s="231"/>
      <c r="T135" s="231"/>
      <c r="U135" s="231"/>
      <c r="V135" s="231"/>
      <c r="W135" s="231"/>
      <c r="X135" s="231"/>
      <c r="Y135" s="231"/>
      <c r="Z135" s="231"/>
      <c r="AA135" s="231"/>
      <c r="AB135" s="231"/>
      <c r="AC135" s="231"/>
      <c r="AD135" s="231"/>
      <c r="AE135" s="231"/>
      <c r="AF135" s="231"/>
      <c r="AG135" s="231"/>
      <c r="AH135" s="231"/>
      <c r="AI135" s="231"/>
    </row>
    <row r="136" spans="1:35" s="203" customFormat="1">
      <c r="A136" s="111"/>
      <c r="B136" s="47"/>
      <c r="C136" s="47"/>
      <c r="D136" s="138"/>
      <c r="E136" s="117"/>
      <c r="F136" s="118"/>
      <c r="G136" s="118"/>
      <c r="H136" s="118"/>
      <c r="I136" s="139"/>
      <c r="J136" s="231"/>
      <c r="K136" s="231"/>
      <c r="L136" s="231"/>
      <c r="M136" s="231"/>
      <c r="N136" s="231"/>
      <c r="O136" s="231"/>
      <c r="P136" s="231"/>
      <c r="Q136" s="231"/>
      <c r="R136" s="231"/>
      <c r="S136" s="231"/>
      <c r="T136" s="231"/>
      <c r="U136" s="231"/>
      <c r="V136" s="231"/>
      <c r="W136" s="231"/>
      <c r="X136" s="231"/>
      <c r="Y136" s="231"/>
      <c r="Z136" s="231"/>
      <c r="AA136" s="231"/>
      <c r="AB136" s="231"/>
      <c r="AC136" s="231"/>
      <c r="AD136" s="231"/>
      <c r="AE136" s="231"/>
      <c r="AF136" s="231"/>
      <c r="AG136" s="231"/>
      <c r="AH136" s="231"/>
      <c r="AI136" s="231"/>
    </row>
    <row r="137" spans="1:35" s="203" customFormat="1">
      <c r="A137" s="119" t="s">
        <v>109</v>
      </c>
      <c r="B137" s="116"/>
      <c r="C137" s="116"/>
      <c r="D137" s="116"/>
      <c r="E137" s="140"/>
      <c r="F137" s="146"/>
      <c r="G137" s="118"/>
      <c r="H137" s="146"/>
      <c r="I137" s="139"/>
      <c r="J137" s="231"/>
      <c r="K137" s="231"/>
      <c r="L137" s="231"/>
      <c r="M137" s="231"/>
      <c r="N137" s="231"/>
      <c r="O137" s="231"/>
      <c r="P137" s="231"/>
      <c r="Q137" s="231"/>
      <c r="R137" s="231"/>
      <c r="S137" s="231"/>
      <c r="T137" s="231"/>
      <c r="U137" s="231"/>
      <c r="V137" s="231"/>
      <c r="W137" s="231"/>
      <c r="X137" s="231"/>
      <c r="Y137" s="231"/>
      <c r="Z137" s="231"/>
      <c r="AA137" s="231"/>
      <c r="AB137" s="231"/>
      <c r="AC137" s="231"/>
      <c r="AD137" s="231"/>
      <c r="AE137" s="231"/>
      <c r="AF137" s="231"/>
      <c r="AG137" s="231"/>
      <c r="AH137" s="231"/>
      <c r="AI137" s="231"/>
    </row>
    <row r="138" spans="1:35" s="203" customFormat="1">
      <c r="A138" s="120">
        <v>34</v>
      </c>
      <c r="B138" s="47" t="s">
        <v>123</v>
      </c>
      <c r="C138" s="47"/>
      <c r="D138" s="47"/>
      <c r="E138" s="49">
        <v>2405</v>
      </c>
      <c r="F138" s="52">
        <v>1777</v>
      </c>
      <c r="G138" s="118"/>
      <c r="H138" s="122">
        <v>1772</v>
      </c>
      <c r="I138" s="139"/>
      <c r="J138" s="231"/>
      <c r="K138" s="231"/>
      <c r="L138" s="231"/>
      <c r="M138" s="231"/>
      <c r="N138" s="231"/>
      <c r="O138" s="231"/>
      <c r="P138" s="231"/>
      <c r="Q138" s="231"/>
      <c r="R138" s="231"/>
      <c r="S138" s="231"/>
      <c r="T138" s="231"/>
      <c r="U138" s="231"/>
      <c r="V138" s="231"/>
      <c r="W138" s="231"/>
      <c r="X138" s="231"/>
      <c r="Y138" s="231"/>
      <c r="Z138" s="231"/>
      <c r="AA138" s="231"/>
      <c r="AB138" s="231"/>
      <c r="AC138" s="231"/>
      <c r="AD138" s="231"/>
      <c r="AE138" s="231"/>
      <c r="AF138" s="231"/>
      <c r="AG138" s="231"/>
      <c r="AH138" s="231"/>
      <c r="AI138" s="231"/>
    </row>
    <row r="139" spans="1:35" s="203" customFormat="1">
      <c r="A139" s="120">
        <v>35</v>
      </c>
      <c r="B139" s="47" t="s">
        <v>119</v>
      </c>
      <c r="C139" s="47"/>
      <c r="D139" s="47"/>
      <c r="E139" s="49">
        <v>1638</v>
      </c>
      <c r="F139" s="52">
        <v>1508</v>
      </c>
      <c r="G139" s="118"/>
      <c r="H139" s="122">
        <v>1482</v>
      </c>
      <c r="I139" s="139"/>
      <c r="J139" s="231"/>
      <c r="K139" s="231"/>
      <c r="L139" s="231"/>
      <c r="M139" s="231"/>
      <c r="N139" s="231"/>
      <c r="O139" s="231"/>
      <c r="P139" s="231"/>
      <c r="Q139" s="231"/>
      <c r="R139" s="231"/>
      <c r="S139" s="231"/>
      <c r="T139" s="231"/>
      <c r="U139" s="231"/>
      <c r="V139" s="231"/>
      <c r="W139" s="231"/>
      <c r="X139" s="231"/>
      <c r="Y139" s="231"/>
      <c r="Z139" s="231"/>
      <c r="AA139" s="231"/>
      <c r="AB139" s="231"/>
      <c r="AC139" s="231"/>
      <c r="AD139" s="231"/>
      <c r="AE139" s="231"/>
      <c r="AF139" s="231"/>
      <c r="AG139" s="231"/>
      <c r="AH139" s="231"/>
      <c r="AI139" s="231"/>
    </row>
    <row r="140" spans="1:35" s="203" customFormat="1">
      <c r="A140" s="120">
        <v>36</v>
      </c>
      <c r="B140" s="47" t="s">
        <v>120</v>
      </c>
      <c r="C140" s="47"/>
      <c r="D140" s="47"/>
      <c r="E140" s="49">
        <v>1671</v>
      </c>
      <c r="F140" s="52">
        <v>1737</v>
      </c>
      <c r="G140" s="118"/>
      <c r="H140" s="122">
        <v>1612</v>
      </c>
      <c r="I140" s="139"/>
      <c r="J140" s="231"/>
      <c r="K140" s="231"/>
      <c r="L140" s="231"/>
      <c r="M140" s="231"/>
      <c r="N140" s="231"/>
      <c r="O140" s="231"/>
      <c r="P140" s="231"/>
      <c r="Q140" s="231"/>
      <c r="R140" s="231"/>
      <c r="S140" s="231"/>
      <c r="T140" s="231"/>
      <c r="U140" s="231"/>
      <c r="V140" s="231"/>
      <c r="W140" s="231"/>
      <c r="X140" s="231"/>
      <c r="Y140" s="231"/>
      <c r="Z140" s="231"/>
      <c r="AA140" s="231"/>
      <c r="AB140" s="231"/>
      <c r="AC140" s="231"/>
      <c r="AD140" s="231"/>
      <c r="AE140" s="231"/>
      <c r="AF140" s="231"/>
      <c r="AG140" s="231"/>
      <c r="AH140" s="231"/>
      <c r="AI140" s="231"/>
    </row>
    <row r="141" spans="1:35" s="203" customFormat="1">
      <c r="A141" s="120">
        <v>37</v>
      </c>
      <c r="B141" s="90" t="s">
        <v>126</v>
      </c>
      <c r="C141" s="47"/>
      <c r="D141" s="47"/>
      <c r="E141" s="49">
        <v>1115</v>
      </c>
      <c r="F141" s="52">
        <v>1351</v>
      </c>
      <c r="G141" s="118"/>
      <c r="H141" s="99">
        <v>1049</v>
      </c>
      <c r="I141" s="139"/>
      <c r="J141" s="231"/>
      <c r="K141" s="231"/>
      <c r="L141" s="231"/>
      <c r="M141" s="231"/>
      <c r="N141" s="231"/>
      <c r="O141" s="231"/>
      <c r="P141" s="231"/>
      <c r="Q141" s="231"/>
      <c r="R141" s="231"/>
      <c r="S141" s="231"/>
      <c r="T141" s="231"/>
      <c r="U141" s="231"/>
      <c r="V141" s="231"/>
      <c r="W141" s="231"/>
      <c r="X141" s="231"/>
      <c r="Y141" s="231"/>
      <c r="Z141" s="231"/>
      <c r="AA141" s="231"/>
      <c r="AB141" s="231"/>
      <c r="AC141" s="231"/>
      <c r="AD141" s="231"/>
      <c r="AE141" s="231"/>
      <c r="AF141" s="231"/>
      <c r="AG141" s="231"/>
      <c r="AH141" s="231"/>
      <c r="AI141" s="231"/>
    </row>
    <row r="142" spans="1:35" s="203" customFormat="1">
      <c r="A142" s="120">
        <v>38</v>
      </c>
      <c r="B142" s="47" t="s">
        <v>121</v>
      </c>
      <c r="C142" s="47"/>
      <c r="D142" s="47"/>
      <c r="E142" s="49">
        <v>12565</v>
      </c>
      <c r="F142" s="52">
        <v>14442</v>
      </c>
      <c r="G142" s="118"/>
      <c r="H142" s="100">
        <v>13451</v>
      </c>
      <c r="I142" s="139"/>
      <c r="J142" s="231"/>
      <c r="K142" s="231"/>
      <c r="L142" s="231"/>
      <c r="M142" s="231"/>
      <c r="N142" s="231"/>
      <c r="O142" s="231"/>
      <c r="P142" s="231"/>
      <c r="Q142" s="231"/>
      <c r="R142" s="231"/>
      <c r="S142" s="231"/>
      <c r="T142" s="231"/>
      <c r="U142" s="231"/>
      <c r="V142" s="231"/>
      <c r="W142" s="231"/>
      <c r="X142" s="231"/>
      <c r="Y142" s="231"/>
      <c r="Z142" s="231"/>
      <c r="AA142" s="231"/>
      <c r="AB142" s="231"/>
      <c r="AC142" s="231"/>
      <c r="AD142" s="231"/>
      <c r="AE142" s="231"/>
      <c r="AF142" s="231"/>
      <c r="AG142" s="231"/>
      <c r="AH142" s="231"/>
      <c r="AI142" s="231"/>
    </row>
    <row r="143" spans="1:35" s="203" customFormat="1">
      <c r="A143" s="120">
        <v>39</v>
      </c>
      <c r="B143" s="116" t="s">
        <v>129</v>
      </c>
      <c r="C143" s="116"/>
      <c r="D143" s="116"/>
      <c r="E143" s="80">
        <v>19394</v>
      </c>
      <c r="F143" s="142">
        <f>SUM(F138:F142)</f>
        <v>20815</v>
      </c>
      <c r="G143" s="118"/>
      <c r="H143" s="142">
        <f>SUM(H138:H142)</f>
        <v>19366</v>
      </c>
      <c r="I143" s="139"/>
      <c r="J143" s="231"/>
      <c r="K143" s="231"/>
      <c r="L143" s="231"/>
      <c r="M143" s="231"/>
      <c r="N143" s="231"/>
      <c r="O143" s="231"/>
      <c r="P143" s="231"/>
      <c r="Q143" s="231"/>
      <c r="R143" s="231"/>
      <c r="S143" s="231"/>
      <c r="T143" s="231"/>
      <c r="U143" s="231"/>
      <c r="V143" s="231"/>
      <c r="W143" s="231"/>
      <c r="X143" s="231"/>
      <c r="Y143" s="231"/>
      <c r="Z143" s="231"/>
      <c r="AA143" s="231"/>
      <c r="AB143" s="231"/>
      <c r="AC143" s="231"/>
      <c r="AD143" s="231"/>
      <c r="AE143" s="231"/>
      <c r="AF143" s="231"/>
      <c r="AG143" s="231"/>
      <c r="AH143" s="231"/>
      <c r="AI143" s="231"/>
    </row>
    <row r="144" spans="1:35" s="203" customFormat="1">
      <c r="A144" s="111"/>
      <c r="B144" s="47"/>
      <c r="C144" s="47"/>
      <c r="D144" s="47"/>
      <c r="E144" s="117"/>
      <c r="F144" s="118"/>
      <c r="G144" s="118"/>
      <c r="H144" s="118"/>
      <c r="I144" s="139"/>
      <c r="J144" s="231"/>
      <c r="K144" s="231"/>
      <c r="L144" s="231"/>
      <c r="M144" s="231"/>
      <c r="N144" s="231"/>
      <c r="O144" s="231"/>
      <c r="P144" s="231"/>
      <c r="Q144" s="231"/>
      <c r="R144" s="231"/>
      <c r="S144" s="231"/>
      <c r="T144" s="231"/>
      <c r="U144" s="231"/>
      <c r="V144" s="231"/>
      <c r="W144" s="231"/>
      <c r="X144" s="231"/>
      <c r="Y144" s="231"/>
      <c r="Z144" s="231"/>
      <c r="AA144" s="231"/>
      <c r="AB144" s="231"/>
      <c r="AC144" s="231"/>
      <c r="AD144" s="231"/>
      <c r="AE144" s="231"/>
      <c r="AF144" s="231"/>
      <c r="AG144" s="231"/>
      <c r="AH144" s="231"/>
      <c r="AI144" s="231"/>
    </row>
    <row r="145" spans="1:35" s="203" customFormat="1">
      <c r="A145" s="119" t="s">
        <v>110</v>
      </c>
      <c r="B145" s="116"/>
      <c r="C145" s="116"/>
      <c r="D145" s="116"/>
      <c r="E145" s="140"/>
      <c r="F145" s="146"/>
      <c r="G145" s="118"/>
      <c r="H145" s="146"/>
      <c r="I145" s="139"/>
      <c r="J145" s="231"/>
      <c r="K145" s="231"/>
      <c r="L145" s="231"/>
      <c r="M145" s="231"/>
      <c r="N145" s="231"/>
      <c r="O145" s="231"/>
      <c r="P145" s="231"/>
      <c r="Q145" s="231"/>
      <c r="R145" s="231"/>
      <c r="S145" s="231"/>
      <c r="T145" s="231"/>
      <c r="U145" s="231"/>
      <c r="V145" s="231"/>
      <c r="W145" s="231"/>
      <c r="X145" s="231"/>
      <c r="Y145" s="231"/>
      <c r="Z145" s="231"/>
      <c r="AA145" s="231"/>
      <c r="AB145" s="231"/>
      <c r="AC145" s="231"/>
      <c r="AD145" s="231"/>
      <c r="AE145" s="231"/>
      <c r="AF145" s="231"/>
      <c r="AG145" s="231"/>
      <c r="AH145" s="231"/>
      <c r="AI145" s="231"/>
    </row>
    <row r="146" spans="1:35" s="203" customFormat="1">
      <c r="A146" s="120">
        <v>40</v>
      </c>
      <c r="B146" s="47" t="s">
        <v>123</v>
      </c>
      <c r="C146" s="47"/>
      <c r="D146" s="47"/>
      <c r="E146" s="49">
        <v>1333</v>
      </c>
      <c r="F146" s="52">
        <v>1693</v>
      </c>
      <c r="G146" s="118"/>
      <c r="H146" s="122">
        <v>1139</v>
      </c>
      <c r="I146" s="139"/>
      <c r="J146" s="231"/>
      <c r="K146" s="231"/>
      <c r="L146" s="231"/>
      <c r="M146" s="231"/>
      <c r="N146" s="231"/>
      <c r="O146" s="231"/>
      <c r="P146" s="231"/>
      <c r="Q146" s="231"/>
      <c r="R146" s="231"/>
      <c r="S146" s="231"/>
      <c r="T146" s="231"/>
      <c r="U146" s="231"/>
      <c r="V146" s="231"/>
      <c r="W146" s="231"/>
      <c r="X146" s="231"/>
      <c r="Y146" s="231"/>
      <c r="Z146" s="231"/>
      <c r="AA146" s="231"/>
      <c r="AB146" s="231"/>
      <c r="AC146" s="231"/>
      <c r="AD146" s="231"/>
      <c r="AE146" s="231"/>
      <c r="AF146" s="231"/>
      <c r="AG146" s="231"/>
      <c r="AH146" s="231"/>
      <c r="AI146" s="231"/>
    </row>
    <row r="147" spans="1:35" s="203" customFormat="1">
      <c r="A147" s="120">
        <v>41</v>
      </c>
      <c r="B147" s="47" t="s">
        <v>119</v>
      </c>
      <c r="C147" s="47"/>
      <c r="D147" s="47"/>
      <c r="E147" s="49">
        <v>0</v>
      </c>
      <c r="F147" s="52">
        <v>0</v>
      </c>
      <c r="G147" s="118"/>
      <c r="H147" s="122">
        <v>53</v>
      </c>
      <c r="I147" s="139"/>
      <c r="J147" s="231"/>
      <c r="K147" s="231"/>
      <c r="L147" s="231"/>
      <c r="M147" s="231"/>
      <c r="N147" s="231"/>
      <c r="O147" s="231"/>
      <c r="P147" s="231"/>
      <c r="Q147" s="231"/>
      <c r="R147" s="231"/>
      <c r="S147" s="231"/>
      <c r="T147" s="231"/>
      <c r="U147" s="231"/>
      <c r="V147" s="231"/>
      <c r="W147" s="231"/>
      <c r="X147" s="231"/>
      <c r="Y147" s="231"/>
      <c r="Z147" s="231"/>
      <c r="AA147" s="231"/>
      <c r="AB147" s="231"/>
      <c r="AC147" s="231"/>
      <c r="AD147" s="231"/>
      <c r="AE147" s="231"/>
      <c r="AF147" s="231"/>
      <c r="AG147" s="231"/>
      <c r="AH147" s="231"/>
      <c r="AI147" s="231"/>
    </row>
    <row r="148" spans="1:35" s="203" customFormat="1">
      <c r="A148" s="120">
        <v>42</v>
      </c>
      <c r="B148" s="47" t="s">
        <v>120</v>
      </c>
      <c r="C148" s="47"/>
      <c r="D148" s="47"/>
      <c r="E148" s="49">
        <v>40</v>
      </c>
      <c r="F148" s="52">
        <v>42</v>
      </c>
      <c r="G148" s="118"/>
      <c r="H148" s="122">
        <v>36</v>
      </c>
      <c r="I148" s="139"/>
      <c r="J148" s="231"/>
      <c r="K148" s="231"/>
      <c r="L148" s="231"/>
      <c r="M148" s="231"/>
      <c r="N148" s="231"/>
      <c r="O148" s="231"/>
      <c r="P148" s="231"/>
      <c r="Q148" s="231"/>
      <c r="R148" s="231"/>
      <c r="S148" s="231"/>
      <c r="T148" s="231"/>
      <c r="U148" s="231"/>
      <c r="V148" s="231"/>
      <c r="W148" s="231"/>
      <c r="X148" s="231"/>
      <c r="Y148" s="231"/>
      <c r="Z148" s="231"/>
      <c r="AA148" s="231"/>
      <c r="AB148" s="231"/>
      <c r="AC148" s="231"/>
      <c r="AD148" s="231"/>
      <c r="AE148" s="231"/>
      <c r="AF148" s="231"/>
      <c r="AG148" s="231"/>
      <c r="AH148" s="231"/>
      <c r="AI148" s="231"/>
    </row>
    <row r="149" spans="1:35" s="203" customFormat="1">
      <c r="A149" s="120">
        <v>43</v>
      </c>
      <c r="B149" s="47" t="s">
        <v>121</v>
      </c>
      <c r="C149" s="47"/>
      <c r="D149" s="47"/>
      <c r="E149" s="49">
        <v>1034</v>
      </c>
      <c r="F149" s="52">
        <v>923</v>
      </c>
      <c r="G149" s="118"/>
      <c r="H149" s="100">
        <v>1279</v>
      </c>
      <c r="I149" s="139"/>
      <c r="J149" s="231"/>
      <c r="K149" s="231"/>
      <c r="L149" s="231"/>
      <c r="M149" s="231"/>
      <c r="N149" s="231"/>
      <c r="O149" s="231"/>
      <c r="P149" s="231"/>
      <c r="Q149" s="231"/>
      <c r="R149" s="231"/>
      <c r="S149" s="231"/>
      <c r="T149" s="231"/>
      <c r="U149" s="231"/>
      <c r="V149" s="231"/>
      <c r="W149" s="231"/>
      <c r="X149" s="231"/>
      <c r="Y149" s="231"/>
      <c r="Z149" s="231"/>
      <c r="AA149" s="231"/>
      <c r="AB149" s="231"/>
      <c r="AC149" s="231"/>
      <c r="AD149" s="231"/>
      <c r="AE149" s="231"/>
      <c r="AF149" s="231"/>
      <c r="AG149" s="231"/>
      <c r="AH149" s="231"/>
      <c r="AI149" s="231"/>
    </row>
    <row r="150" spans="1:35" s="203" customFormat="1">
      <c r="A150" s="124">
        <v>44</v>
      </c>
      <c r="B150" s="94" t="s">
        <v>130</v>
      </c>
      <c r="C150" s="94"/>
      <c r="D150" s="94"/>
      <c r="E150" s="80">
        <v>2407</v>
      </c>
      <c r="F150" s="142">
        <f>SUM(F146:F149)</f>
        <v>2658</v>
      </c>
      <c r="G150" s="259"/>
      <c r="H150" s="142">
        <f>SUM(H146:H149)</f>
        <v>2507</v>
      </c>
      <c r="I150" s="139"/>
      <c r="J150" s="231"/>
      <c r="K150" s="231"/>
      <c r="L150" s="231"/>
      <c r="M150" s="231"/>
      <c r="N150" s="231"/>
      <c r="O150" s="231"/>
      <c r="P150" s="231"/>
      <c r="Q150" s="231"/>
      <c r="R150" s="231"/>
      <c r="S150" s="231"/>
      <c r="T150" s="231"/>
      <c r="U150" s="231"/>
      <c r="V150" s="231"/>
      <c r="W150" s="231"/>
      <c r="X150" s="231"/>
      <c r="Y150" s="231"/>
      <c r="Z150" s="231"/>
      <c r="AA150" s="231"/>
      <c r="AB150" s="231"/>
      <c r="AC150" s="231"/>
      <c r="AD150" s="231"/>
      <c r="AE150" s="231"/>
      <c r="AF150" s="231"/>
      <c r="AG150" s="231"/>
      <c r="AH150" s="231"/>
      <c r="AI150" s="231"/>
    </row>
    <row r="151" spans="1:35" s="203" customFormat="1">
      <c r="A151" s="148"/>
      <c r="B151" s="129"/>
      <c r="C151" s="129"/>
      <c r="D151" s="149"/>
      <c r="E151" s="150"/>
      <c r="F151" s="29"/>
      <c r="G151" s="29"/>
      <c r="H151" s="207"/>
      <c r="I151" s="29"/>
      <c r="J151" s="231"/>
      <c r="K151" s="231"/>
      <c r="L151" s="231"/>
      <c r="M151" s="231"/>
      <c r="N151" s="231"/>
      <c r="O151" s="231"/>
      <c r="P151" s="231"/>
      <c r="Q151" s="231"/>
      <c r="R151" s="231"/>
      <c r="S151" s="231"/>
      <c r="T151" s="231"/>
      <c r="U151" s="231"/>
      <c r="V151" s="231"/>
      <c r="W151" s="231"/>
      <c r="X151" s="231"/>
      <c r="Y151" s="231"/>
      <c r="Z151" s="231"/>
      <c r="AA151" s="231"/>
      <c r="AB151" s="231"/>
      <c r="AC151" s="231"/>
      <c r="AD151" s="231"/>
      <c r="AE151" s="231"/>
      <c r="AF151" s="231"/>
      <c r="AG151" s="231"/>
      <c r="AH151" s="231"/>
      <c r="AI151" s="231"/>
    </row>
    <row r="152" spans="1:35" s="203" customFormat="1">
      <c r="A152" s="148"/>
      <c r="B152" s="129"/>
      <c r="C152" s="129"/>
      <c r="D152" s="151"/>
      <c r="E152" s="152"/>
      <c r="F152" s="29"/>
      <c r="G152" s="29"/>
      <c r="H152" s="131" t="s">
        <v>27</v>
      </c>
      <c r="I152" s="29"/>
      <c r="J152" s="231"/>
      <c r="K152" s="231"/>
      <c r="L152" s="231"/>
      <c r="M152" s="231"/>
      <c r="N152" s="231"/>
      <c r="O152" s="231"/>
      <c r="P152" s="231"/>
      <c r="Q152" s="231"/>
      <c r="R152" s="231"/>
      <c r="S152" s="231"/>
      <c r="T152" s="231"/>
      <c r="U152" s="231"/>
      <c r="V152" s="231"/>
      <c r="W152" s="231"/>
      <c r="X152" s="231"/>
      <c r="Y152" s="231"/>
      <c r="Z152" s="231"/>
      <c r="AA152" s="231"/>
      <c r="AB152" s="231"/>
      <c r="AC152" s="231"/>
      <c r="AD152" s="231"/>
      <c r="AE152" s="231"/>
      <c r="AF152" s="231"/>
      <c r="AG152" s="231"/>
      <c r="AH152" s="231"/>
      <c r="AI152" s="231"/>
    </row>
    <row r="153" spans="1:35" s="203" customFormat="1">
      <c r="A153" s="106" t="s">
        <v>20</v>
      </c>
      <c r="B153" s="107"/>
      <c r="C153" s="107"/>
      <c r="D153" s="107"/>
      <c r="E153" s="856" t="s">
        <v>377</v>
      </c>
      <c r="F153" s="856" t="s">
        <v>402</v>
      </c>
      <c r="G153" s="130"/>
      <c r="H153" s="856" t="s">
        <v>403</v>
      </c>
      <c r="I153" s="130"/>
      <c r="J153" s="231"/>
      <c r="K153" s="231"/>
      <c r="L153" s="231"/>
      <c r="M153" s="231"/>
      <c r="N153" s="231"/>
      <c r="O153" s="231"/>
      <c r="P153" s="231"/>
      <c r="Q153" s="231"/>
      <c r="R153" s="231"/>
      <c r="S153" s="231"/>
      <c r="T153" s="231"/>
      <c r="U153" s="231"/>
      <c r="V153" s="231"/>
      <c r="W153" s="231"/>
      <c r="X153" s="231"/>
      <c r="Y153" s="231"/>
      <c r="Z153" s="231"/>
      <c r="AA153" s="231"/>
      <c r="AB153" s="231"/>
      <c r="AC153" s="231"/>
      <c r="AD153" s="231"/>
      <c r="AE153" s="231"/>
      <c r="AF153" s="231"/>
      <c r="AG153" s="231"/>
      <c r="AH153" s="231"/>
      <c r="AI153" s="231"/>
    </row>
    <row r="154" spans="1:35" s="203" customFormat="1">
      <c r="A154" s="153"/>
      <c r="B154" s="132"/>
      <c r="C154" s="132"/>
      <c r="D154" s="132"/>
      <c r="E154" s="859"/>
      <c r="F154" s="859"/>
      <c r="G154" s="130"/>
      <c r="H154" s="859"/>
      <c r="I154" s="130"/>
      <c r="J154" s="231"/>
      <c r="K154" s="231"/>
      <c r="L154" s="231"/>
      <c r="M154" s="231"/>
      <c r="N154" s="231"/>
      <c r="O154" s="231"/>
      <c r="P154" s="231"/>
      <c r="Q154" s="231"/>
      <c r="R154" s="231"/>
      <c r="S154" s="231"/>
      <c r="T154" s="231"/>
      <c r="U154" s="231"/>
      <c r="V154" s="231"/>
      <c r="W154" s="231"/>
      <c r="X154" s="231"/>
      <c r="Y154" s="231"/>
      <c r="Z154" s="231"/>
      <c r="AA154" s="231"/>
      <c r="AB154" s="231"/>
      <c r="AC154" s="231"/>
      <c r="AD154" s="231"/>
      <c r="AE154" s="231"/>
      <c r="AF154" s="231"/>
      <c r="AG154" s="231"/>
      <c r="AH154" s="231"/>
      <c r="AI154" s="231"/>
    </row>
    <row r="155" spans="1:35" s="203" customFormat="1">
      <c r="A155" s="154" t="s">
        <v>131</v>
      </c>
      <c r="B155" s="116"/>
      <c r="C155" s="116"/>
      <c r="D155" s="116"/>
      <c r="E155" s="859"/>
      <c r="F155" s="859"/>
      <c r="G155" s="130"/>
      <c r="H155" s="859"/>
      <c r="I155" s="130"/>
      <c r="J155" s="231"/>
      <c r="K155" s="231"/>
      <c r="L155" s="231"/>
      <c r="M155" s="231"/>
      <c r="N155" s="231"/>
      <c r="O155" s="231"/>
      <c r="P155" s="231"/>
      <c r="Q155" s="231"/>
      <c r="R155" s="231"/>
      <c r="S155" s="231"/>
      <c r="T155" s="231"/>
      <c r="U155" s="231"/>
      <c r="V155" s="231"/>
      <c r="W155" s="231"/>
      <c r="X155" s="231"/>
      <c r="Y155" s="231"/>
      <c r="Z155" s="231"/>
      <c r="AA155" s="231"/>
      <c r="AB155" s="231"/>
      <c r="AC155" s="231"/>
      <c r="AD155" s="231"/>
      <c r="AE155" s="231"/>
      <c r="AF155" s="231"/>
      <c r="AG155" s="231"/>
      <c r="AH155" s="231"/>
      <c r="AI155" s="231"/>
    </row>
    <row r="156" spans="1:35" s="203" customFormat="1" ht="12.75" customHeight="1">
      <c r="A156" s="109" t="s">
        <v>83</v>
      </c>
      <c r="B156" s="47"/>
      <c r="C156" s="47"/>
      <c r="D156" s="47"/>
      <c r="E156" s="859"/>
      <c r="F156" s="859"/>
      <c r="G156" s="130"/>
      <c r="H156" s="859"/>
      <c r="I156" s="130"/>
      <c r="J156" s="231"/>
      <c r="K156" s="231"/>
      <c r="L156" s="231"/>
      <c r="M156" s="231"/>
      <c r="N156" s="231"/>
      <c r="O156" s="231"/>
      <c r="P156" s="231"/>
      <c r="Q156" s="231"/>
      <c r="R156" s="231"/>
      <c r="S156" s="231"/>
      <c r="T156" s="231"/>
      <c r="U156" s="231"/>
      <c r="V156" s="231"/>
      <c r="W156" s="231"/>
      <c r="X156" s="231"/>
      <c r="Y156" s="231"/>
      <c r="Z156" s="231"/>
      <c r="AA156" s="231"/>
      <c r="AB156" s="231"/>
      <c r="AC156" s="231"/>
      <c r="AD156" s="231"/>
      <c r="AE156" s="231"/>
      <c r="AF156" s="231"/>
      <c r="AG156" s="231"/>
      <c r="AH156" s="231"/>
      <c r="AI156" s="231"/>
    </row>
    <row r="157" spans="1:35" s="203" customFormat="1">
      <c r="A157" s="110" t="s">
        <v>84</v>
      </c>
      <c r="B157" s="132"/>
      <c r="C157" s="132"/>
      <c r="D157" s="132"/>
      <c r="E157" s="860"/>
      <c r="F157" s="860"/>
      <c r="G157" s="130"/>
      <c r="H157" s="860"/>
      <c r="I157" s="130"/>
      <c r="J157" s="231"/>
      <c r="K157" s="231"/>
      <c r="L157" s="231"/>
      <c r="M157" s="231"/>
      <c r="N157" s="231"/>
      <c r="O157" s="231"/>
      <c r="P157" s="231"/>
      <c r="Q157" s="231"/>
      <c r="R157" s="231"/>
      <c r="S157" s="231"/>
      <c r="T157" s="231"/>
      <c r="U157" s="231"/>
      <c r="V157" s="231"/>
      <c r="W157" s="231"/>
      <c r="X157" s="231"/>
      <c r="Y157" s="231"/>
      <c r="Z157" s="231"/>
      <c r="AA157" s="231"/>
      <c r="AB157" s="231"/>
      <c r="AC157" s="231"/>
      <c r="AD157" s="231"/>
      <c r="AE157" s="231"/>
      <c r="AF157" s="231"/>
      <c r="AG157" s="231"/>
      <c r="AH157" s="231"/>
      <c r="AI157" s="231"/>
    </row>
    <row r="158" spans="1:35" s="203" customFormat="1">
      <c r="A158" s="119" t="s">
        <v>132</v>
      </c>
      <c r="B158" s="47"/>
      <c r="C158" s="47"/>
      <c r="D158" s="47"/>
      <c r="E158" s="155"/>
      <c r="F158" s="146" t="s">
        <v>133</v>
      </c>
      <c r="G158" s="118"/>
      <c r="H158" s="146"/>
      <c r="I158" s="29"/>
      <c r="J158" s="231"/>
      <c r="K158" s="231"/>
      <c r="L158" s="231"/>
      <c r="M158" s="231"/>
      <c r="N158" s="231"/>
      <c r="O158" s="231"/>
      <c r="P158" s="231"/>
      <c r="Q158" s="231"/>
      <c r="R158" s="231"/>
      <c r="S158" s="231"/>
      <c r="T158" s="231"/>
      <c r="U158" s="231"/>
      <c r="V158" s="231"/>
      <c r="W158" s="231"/>
      <c r="X158" s="231"/>
      <c r="Y158" s="231"/>
      <c r="Z158" s="231"/>
      <c r="AA158" s="231"/>
      <c r="AB158" s="231"/>
      <c r="AC158" s="231"/>
      <c r="AD158" s="231"/>
      <c r="AE158" s="231"/>
      <c r="AF158" s="231"/>
      <c r="AG158" s="231"/>
      <c r="AH158" s="231"/>
      <c r="AI158" s="231"/>
    </row>
    <row r="159" spans="1:35" s="203" customFormat="1">
      <c r="A159" s="120">
        <v>1</v>
      </c>
      <c r="B159" s="47" t="s">
        <v>134</v>
      </c>
      <c r="C159" s="47"/>
      <c r="D159" s="47"/>
      <c r="E159" s="74">
        <v>398</v>
      </c>
      <c r="F159" s="52">
        <v>397</v>
      </c>
      <c r="G159" s="118"/>
      <c r="H159" s="122">
        <v>366</v>
      </c>
      <c r="I159" s="29"/>
      <c r="J159" s="231"/>
      <c r="K159" s="231"/>
      <c r="L159" s="231"/>
      <c r="M159" s="231"/>
      <c r="N159" s="231"/>
      <c r="O159" s="231"/>
      <c r="P159" s="231"/>
      <c r="Q159" s="231"/>
      <c r="R159" s="231"/>
      <c r="S159" s="231"/>
      <c r="T159" s="231"/>
      <c r="U159" s="231"/>
      <c r="V159" s="231"/>
      <c r="W159" s="231"/>
      <c r="X159" s="231"/>
      <c r="Y159" s="231"/>
      <c r="Z159" s="231"/>
      <c r="AA159" s="231"/>
      <c r="AB159" s="231"/>
      <c r="AC159" s="231"/>
      <c r="AD159" s="231"/>
      <c r="AE159" s="231"/>
      <c r="AF159" s="231"/>
      <c r="AG159" s="231"/>
      <c r="AH159" s="231"/>
      <c r="AI159" s="231"/>
    </row>
    <row r="160" spans="1:35" s="203" customFormat="1">
      <c r="A160" s="120">
        <v>2</v>
      </c>
      <c r="B160" s="47" t="s">
        <v>135</v>
      </c>
      <c r="C160" s="47"/>
      <c r="D160" s="47"/>
      <c r="E160" s="49">
        <v>4365</v>
      </c>
      <c r="F160" s="52">
        <v>4711</v>
      </c>
      <c r="G160" s="118"/>
      <c r="H160" s="122">
        <v>4226</v>
      </c>
      <c r="I160" s="29"/>
      <c r="J160" s="231"/>
      <c r="K160" s="231"/>
      <c r="L160" s="231"/>
      <c r="M160" s="231"/>
      <c r="N160" s="231"/>
      <c r="O160" s="231"/>
      <c r="P160" s="231"/>
      <c r="Q160" s="231"/>
      <c r="R160" s="231"/>
      <c r="S160" s="231"/>
      <c r="T160" s="231"/>
      <c r="U160" s="231"/>
      <c r="V160" s="231"/>
      <c r="W160" s="231"/>
      <c r="X160" s="231"/>
      <c r="Y160" s="231"/>
      <c r="Z160" s="231"/>
      <c r="AA160" s="231"/>
      <c r="AB160" s="231"/>
      <c r="AC160" s="231"/>
      <c r="AD160" s="231"/>
      <c r="AE160" s="231"/>
      <c r="AF160" s="231"/>
      <c r="AG160" s="231"/>
      <c r="AH160" s="231"/>
      <c r="AI160" s="231"/>
    </row>
    <row r="161" spans="1:35" s="203" customFormat="1">
      <c r="A161" s="120">
        <v>3</v>
      </c>
      <c r="B161" s="47" t="s">
        <v>136</v>
      </c>
      <c r="C161" s="47"/>
      <c r="D161" s="47"/>
      <c r="E161" s="114">
        <v>4842</v>
      </c>
      <c r="F161" s="52">
        <v>4952</v>
      </c>
      <c r="G161" s="118"/>
      <c r="H161" s="122">
        <v>4559</v>
      </c>
      <c r="I161" s="29"/>
      <c r="J161" s="231"/>
      <c r="K161" s="231"/>
      <c r="L161" s="231"/>
      <c r="M161" s="231"/>
      <c r="N161" s="231"/>
      <c r="O161" s="231"/>
      <c r="P161" s="231"/>
      <c r="Q161" s="231"/>
      <c r="R161" s="231"/>
      <c r="S161" s="231"/>
      <c r="T161" s="231"/>
      <c r="U161" s="231"/>
      <c r="V161" s="231"/>
      <c r="W161" s="231"/>
      <c r="X161" s="231"/>
      <c r="Y161" s="231"/>
      <c r="Z161" s="231"/>
      <c r="AA161" s="231"/>
      <c r="AB161" s="231"/>
      <c r="AC161" s="231"/>
      <c r="AD161" s="231"/>
      <c r="AE161" s="231"/>
      <c r="AF161" s="231"/>
      <c r="AG161" s="231"/>
      <c r="AH161" s="231"/>
      <c r="AI161" s="231"/>
    </row>
    <row r="162" spans="1:35" s="203" customFormat="1">
      <c r="A162" s="120">
        <v>4</v>
      </c>
      <c r="B162" s="47" t="s">
        <v>137</v>
      </c>
      <c r="C162" s="47"/>
      <c r="D162" s="47"/>
      <c r="E162" s="114">
        <v>1183</v>
      </c>
      <c r="F162" s="52">
        <v>1144</v>
      </c>
      <c r="G162" s="118"/>
      <c r="H162" s="100">
        <v>1095</v>
      </c>
      <c r="I162" s="29"/>
      <c r="J162" s="231"/>
      <c r="K162" s="231"/>
      <c r="L162" s="231"/>
      <c r="M162" s="231"/>
      <c r="N162" s="231"/>
      <c r="O162" s="231"/>
      <c r="P162" s="231"/>
      <c r="Q162" s="231"/>
      <c r="R162" s="231"/>
      <c r="S162" s="231"/>
      <c r="T162" s="231"/>
      <c r="U162" s="231"/>
      <c r="V162" s="231"/>
      <c r="W162" s="231"/>
      <c r="X162" s="231"/>
      <c r="Y162" s="231"/>
      <c r="Z162" s="231"/>
      <c r="AA162" s="231"/>
      <c r="AB162" s="231"/>
      <c r="AC162" s="231"/>
      <c r="AD162" s="231"/>
      <c r="AE162" s="231"/>
      <c r="AF162" s="231"/>
      <c r="AG162" s="231"/>
      <c r="AH162" s="231"/>
      <c r="AI162" s="231"/>
    </row>
    <row r="163" spans="1:35" s="203" customFormat="1">
      <c r="A163" s="120">
        <v>5</v>
      </c>
      <c r="B163" s="116" t="s">
        <v>138</v>
      </c>
      <c r="C163" s="116"/>
      <c r="D163" s="116"/>
      <c r="E163" s="80">
        <v>10788</v>
      </c>
      <c r="F163" s="142">
        <f>SUM(F159:F162)</f>
        <v>11204</v>
      </c>
      <c r="G163" s="118"/>
      <c r="H163" s="142">
        <f>SUM(H159:H162)</f>
        <v>10246</v>
      </c>
      <c r="I163" s="29"/>
      <c r="J163" s="231"/>
      <c r="K163" s="231"/>
      <c r="L163" s="231"/>
      <c r="M163" s="231"/>
      <c r="N163" s="231"/>
      <c r="O163" s="231"/>
      <c r="P163" s="231"/>
      <c r="Q163" s="231"/>
      <c r="R163" s="231"/>
      <c r="S163" s="231"/>
      <c r="T163" s="231"/>
      <c r="U163" s="231"/>
      <c r="V163" s="231"/>
      <c r="W163" s="231"/>
      <c r="X163" s="231"/>
      <c r="Y163" s="231"/>
      <c r="Z163" s="231"/>
      <c r="AA163" s="231"/>
      <c r="AB163" s="231"/>
      <c r="AC163" s="231"/>
      <c r="AD163" s="231"/>
      <c r="AE163" s="231"/>
      <c r="AF163" s="231"/>
      <c r="AG163" s="231"/>
      <c r="AH163" s="231"/>
      <c r="AI163" s="231"/>
    </row>
    <row r="164" spans="1:35" s="203" customFormat="1">
      <c r="A164" s="46"/>
      <c r="B164" s="132"/>
      <c r="C164" s="132"/>
      <c r="D164" s="132"/>
      <c r="E164" s="156"/>
      <c r="F164" s="139"/>
      <c r="G164" s="139"/>
      <c r="H164" s="139"/>
      <c r="I164" s="29"/>
      <c r="J164" s="231"/>
      <c r="K164" s="231"/>
      <c r="L164" s="231"/>
      <c r="M164" s="231"/>
      <c r="N164" s="231"/>
      <c r="O164" s="231"/>
      <c r="P164" s="231"/>
      <c r="Q164" s="231"/>
      <c r="R164" s="231"/>
      <c r="S164" s="231"/>
      <c r="T164" s="231"/>
      <c r="U164" s="231"/>
      <c r="V164" s="231"/>
      <c r="W164" s="231"/>
      <c r="X164" s="231"/>
      <c r="Y164" s="231"/>
      <c r="Z164" s="231"/>
      <c r="AA164" s="231"/>
      <c r="AB164" s="231"/>
      <c r="AC164" s="231"/>
      <c r="AD164" s="231"/>
      <c r="AE164" s="231"/>
      <c r="AF164" s="231"/>
      <c r="AG164" s="231"/>
      <c r="AH164" s="231"/>
      <c r="AI164" s="231"/>
    </row>
    <row r="165" spans="1:35" s="203" customFormat="1">
      <c r="A165" s="119" t="s">
        <v>139</v>
      </c>
      <c r="B165" s="47"/>
      <c r="C165" s="47"/>
      <c r="D165" s="47"/>
      <c r="E165" s="140"/>
      <c r="F165" s="146"/>
      <c r="G165" s="118"/>
      <c r="H165" s="146"/>
      <c r="I165" s="29"/>
      <c r="J165" s="231"/>
      <c r="K165" s="231"/>
      <c r="L165" s="231"/>
      <c r="M165" s="231"/>
      <c r="N165" s="231"/>
      <c r="O165" s="231"/>
      <c r="P165" s="231"/>
      <c r="Q165" s="231"/>
      <c r="R165" s="231"/>
      <c r="S165" s="231"/>
      <c r="T165" s="231"/>
      <c r="U165" s="231"/>
      <c r="V165" s="231"/>
      <c r="W165" s="231"/>
      <c r="X165" s="231"/>
      <c r="Y165" s="231"/>
      <c r="Z165" s="231"/>
      <c r="AA165" s="231"/>
      <c r="AB165" s="231"/>
      <c r="AC165" s="231"/>
      <c r="AD165" s="231"/>
      <c r="AE165" s="231"/>
      <c r="AF165" s="231"/>
      <c r="AG165" s="231"/>
      <c r="AH165" s="231"/>
      <c r="AI165" s="231"/>
    </row>
    <row r="166" spans="1:35" s="203" customFormat="1">
      <c r="A166" s="120">
        <v>6</v>
      </c>
      <c r="B166" s="47" t="s">
        <v>140</v>
      </c>
      <c r="C166" s="47"/>
      <c r="D166" s="47"/>
      <c r="E166" s="74">
        <v>156</v>
      </c>
      <c r="F166" s="52">
        <v>143</v>
      </c>
      <c r="G166" s="118"/>
      <c r="H166" s="122">
        <v>148</v>
      </c>
      <c r="I166" s="29"/>
      <c r="J166" s="231"/>
      <c r="K166" s="231"/>
      <c r="L166" s="231"/>
      <c r="M166" s="231"/>
      <c r="N166" s="231"/>
      <c r="O166" s="231"/>
      <c r="P166" s="231"/>
      <c r="Q166" s="231"/>
      <c r="R166" s="231"/>
      <c r="S166" s="231"/>
      <c r="T166" s="231"/>
      <c r="U166" s="231"/>
      <c r="V166" s="231"/>
      <c r="W166" s="231"/>
      <c r="X166" s="231"/>
      <c r="Y166" s="231"/>
      <c r="Z166" s="231"/>
      <c r="AA166" s="231"/>
      <c r="AB166" s="231"/>
      <c r="AC166" s="231"/>
      <c r="AD166" s="231"/>
      <c r="AE166" s="231"/>
      <c r="AF166" s="231"/>
      <c r="AG166" s="231"/>
      <c r="AH166" s="231"/>
      <c r="AI166" s="231"/>
    </row>
    <row r="167" spans="1:35" s="203" customFormat="1">
      <c r="A167" s="120">
        <v>7</v>
      </c>
      <c r="B167" s="47" t="s">
        <v>141</v>
      </c>
      <c r="C167" s="47"/>
      <c r="D167" s="47"/>
      <c r="E167" s="49">
        <v>141</v>
      </c>
      <c r="F167" s="52">
        <v>188</v>
      </c>
      <c r="G167" s="118"/>
      <c r="H167" s="122">
        <v>194</v>
      </c>
      <c r="I167" s="29"/>
      <c r="J167" s="231"/>
      <c r="K167" s="231"/>
      <c r="L167" s="231"/>
      <c r="M167" s="231"/>
      <c r="N167" s="231"/>
      <c r="O167" s="231"/>
      <c r="P167" s="231"/>
      <c r="Q167" s="231"/>
      <c r="R167" s="231"/>
      <c r="S167" s="231"/>
      <c r="T167" s="231"/>
      <c r="U167" s="231"/>
      <c r="V167" s="231"/>
      <c r="W167" s="231"/>
      <c r="X167" s="231"/>
      <c r="Y167" s="231"/>
      <c r="Z167" s="231"/>
      <c r="AA167" s="231"/>
      <c r="AB167" s="231"/>
      <c r="AC167" s="231"/>
      <c r="AD167" s="231"/>
      <c r="AE167" s="231"/>
      <c r="AF167" s="231"/>
      <c r="AG167" s="231"/>
      <c r="AH167" s="231"/>
      <c r="AI167" s="231"/>
    </row>
    <row r="168" spans="1:35" s="203" customFormat="1">
      <c r="A168" s="120">
        <v>8</v>
      </c>
      <c r="B168" s="47" t="s">
        <v>121</v>
      </c>
      <c r="C168" s="47"/>
      <c r="D168" s="47"/>
      <c r="E168" s="49">
        <v>521</v>
      </c>
      <c r="F168" s="52">
        <v>305</v>
      </c>
      <c r="G168" s="118"/>
      <c r="H168" s="100">
        <v>295</v>
      </c>
      <c r="I168" s="29"/>
      <c r="J168" s="231"/>
      <c r="K168" s="231"/>
      <c r="L168" s="231"/>
      <c r="M168" s="231"/>
      <c r="N168" s="231"/>
      <c r="O168" s="231"/>
      <c r="P168" s="231"/>
      <c r="Q168" s="231"/>
      <c r="R168" s="231"/>
      <c r="S168" s="231"/>
      <c r="T168" s="231"/>
      <c r="U168" s="231"/>
      <c r="V168" s="231"/>
      <c r="W168" s="231"/>
      <c r="X168" s="231"/>
      <c r="Y168" s="231"/>
      <c r="Z168" s="231"/>
      <c r="AA168" s="231"/>
      <c r="AB168" s="231"/>
      <c r="AC168" s="231"/>
      <c r="AD168" s="231"/>
      <c r="AE168" s="231"/>
      <c r="AF168" s="231"/>
      <c r="AG168" s="231"/>
      <c r="AH168" s="231"/>
      <c r="AI168" s="231"/>
    </row>
    <row r="169" spans="1:35" s="203" customFormat="1">
      <c r="A169" s="120">
        <v>9</v>
      </c>
      <c r="B169" s="116" t="s">
        <v>142</v>
      </c>
      <c r="C169" s="116"/>
      <c r="D169" s="116"/>
      <c r="E169" s="80">
        <v>818</v>
      </c>
      <c r="F169" s="142">
        <f>SUM(F166:F168)</f>
        <v>636</v>
      </c>
      <c r="G169" s="118"/>
      <c r="H169" s="142">
        <f>SUM(H166:H168)</f>
        <v>637</v>
      </c>
      <c r="I169" s="29"/>
      <c r="J169" s="231"/>
      <c r="K169" s="231"/>
      <c r="L169" s="231"/>
      <c r="M169" s="231"/>
      <c r="N169" s="231"/>
      <c r="O169" s="231"/>
      <c r="P169" s="231"/>
      <c r="Q169" s="231"/>
      <c r="R169" s="231"/>
      <c r="S169" s="231"/>
      <c r="T169" s="231"/>
      <c r="U169" s="231"/>
      <c r="V169" s="231"/>
      <c r="W169" s="231"/>
      <c r="X169" s="231"/>
      <c r="Y169" s="231"/>
      <c r="Z169" s="231"/>
      <c r="AA169" s="231"/>
      <c r="AB169" s="231"/>
      <c r="AC169" s="231"/>
      <c r="AD169" s="231"/>
      <c r="AE169" s="231"/>
      <c r="AF169" s="231"/>
      <c r="AG169" s="231"/>
      <c r="AH169" s="231"/>
      <c r="AI169" s="231"/>
    </row>
    <row r="170" spans="1:35" s="203" customFormat="1">
      <c r="A170" s="46"/>
      <c r="B170" s="132"/>
      <c r="C170" s="132"/>
      <c r="D170" s="132"/>
      <c r="E170" s="156"/>
      <c r="F170" s="139"/>
      <c r="G170" s="139"/>
      <c r="H170" s="139"/>
      <c r="I170" s="29"/>
      <c r="J170" s="231"/>
      <c r="K170" s="231"/>
      <c r="L170" s="231"/>
      <c r="M170" s="231"/>
      <c r="N170" s="231"/>
      <c r="O170" s="231"/>
      <c r="P170" s="231"/>
      <c r="Q170" s="231"/>
      <c r="R170" s="231"/>
      <c r="S170" s="231"/>
      <c r="T170" s="231"/>
      <c r="U170" s="231"/>
      <c r="V170" s="231"/>
      <c r="W170" s="231"/>
      <c r="X170" s="231"/>
      <c r="Y170" s="231"/>
      <c r="Z170" s="231"/>
      <c r="AA170" s="231"/>
      <c r="AB170" s="231"/>
      <c r="AC170" s="231"/>
      <c r="AD170" s="231"/>
      <c r="AE170" s="231"/>
      <c r="AF170" s="231"/>
      <c r="AG170" s="231"/>
      <c r="AH170" s="231"/>
      <c r="AI170" s="231"/>
    </row>
    <row r="171" spans="1:35" s="203" customFormat="1">
      <c r="A171" s="120">
        <v>10</v>
      </c>
      <c r="B171" s="47" t="s">
        <v>143</v>
      </c>
      <c r="C171" s="47"/>
      <c r="D171" s="47"/>
      <c r="E171" s="41">
        <v>203</v>
      </c>
      <c r="F171" s="121">
        <v>252</v>
      </c>
      <c r="G171" s="118"/>
      <c r="H171" s="133">
        <v>206</v>
      </c>
      <c r="I171" s="29"/>
      <c r="J171" s="231"/>
      <c r="K171" s="231"/>
      <c r="L171" s="231"/>
      <c r="M171" s="231"/>
      <c r="N171" s="231"/>
      <c r="O171" s="231"/>
      <c r="P171" s="231"/>
      <c r="Q171" s="231"/>
      <c r="R171" s="231"/>
      <c r="S171" s="231"/>
      <c r="T171" s="231"/>
      <c r="U171" s="231"/>
      <c r="V171" s="231"/>
      <c r="W171" s="231"/>
      <c r="X171" s="231"/>
      <c r="Y171" s="231"/>
      <c r="Z171" s="231"/>
      <c r="AA171" s="231"/>
      <c r="AB171" s="231"/>
      <c r="AC171" s="231"/>
      <c r="AD171" s="231"/>
      <c r="AE171" s="231"/>
      <c r="AF171" s="231"/>
      <c r="AG171" s="231"/>
      <c r="AH171" s="231"/>
      <c r="AI171" s="231"/>
    </row>
    <row r="172" spans="1:35" s="203" customFormat="1">
      <c r="A172" s="120">
        <v>11</v>
      </c>
      <c r="B172" s="47" t="s">
        <v>144</v>
      </c>
      <c r="C172" s="47"/>
      <c r="D172" s="47"/>
      <c r="E172" s="56">
        <v>28</v>
      </c>
      <c r="F172" s="126">
        <v>24</v>
      </c>
      <c r="G172" s="118"/>
      <c r="H172" s="100">
        <v>25</v>
      </c>
      <c r="I172" s="29"/>
      <c r="J172" s="231"/>
      <c r="K172" s="231"/>
      <c r="L172" s="231"/>
      <c r="M172" s="231"/>
      <c r="N172" s="231"/>
      <c r="O172" s="231"/>
      <c r="P172" s="231"/>
      <c r="Q172" s="231"/>
      <c r="R172" s="231"/>
      <c r="S172" s="231"/>
      <c r="T172" s="231"/>
      <c r="U172" s="231"/>
      <c r="V172" s="231"/>
      <c r="W172" s="231"/>
      <c r="X172" s="231"/>
      <c r="Y172" s="231"/>
      <c r="Z172" s="231"/>
      <c r="AA172" s="231"/>
      <c r="AB172" s="231"/>
      <c r="AC172" s="231"/>
      <c r="AD172" s="231"/>
      <c r="AE172" s="231"/>
      <c r="AF172" s="231"/>
      <c r="AG172" s="231"/>
      <c r="AH172" s="231"/>
      <c r="AI172" s="231"/>
    </row>
    <row r="173" spans="1:35" s="203" customFormat="1">
      <c r="A173" s="46"/>
      <c r="B173" s="132"/>
      <c r="C173" s="132"/>
      <c r="D173" s="132"/>
      <c r="E173" s="156"/>
      <c r="F173" s="139"/>
      <c r="G173" s="139"/>
      <c r="H173" s="139"/>
      <c r="I173" s="29"/>
      <c r="J173" s="231"/>
      <c r="K173" s="231"/>
      <c r="L173" s="231"/>
      <c r="M173" s="231"/>
      <c r="N173" s="231"/>
      <c r="O173" s="231"/>
      <c r="P173" s="231"/>
      <c r="Q173" s="231"/>
      <c r="R173" s="231"/>
      <c r="S173" s="231"/>
      <c r="T173" s="231"/>
      <c r="U173" s="231"/>
      <c r="V173" s="231"/>
      <c r="W173" s="231"/>
      <c r="X173" s="231"/>
      <c r="Y173" s="231"/>
      <c r="Z173" s="231"/>
      <c r="AA173" s="231"/>
      <c r="AB173" s="231"/>
      <c r="AC173" s="231"/>
      <c r="AD173" s="231"/>
      <c r="AE173" s="231"/>
      <c r="AF173" s="231"/>
      <c r="AG173" s="231"/>
      <c r="AH173" s="231"/>
      <c r="AI173" s="231"/>
    </row>
    <row r="174" spans="1:35" s="203" customFormat="1">
      <c r="A174" s="119" t="s">
        <v>145</v>
      </c>
      <c r="B174" s="47"/>
      <c r="C174" s="47"/>
      <c r="D174" s="47"/>
      <c r="E174" s="157"/>
      <c r="F174" s="146"/>
      <c r="G174" s="118"/>
      <c r="H174" s="146"/>
      <c r="I174" s="29"/>
      <c r="J174" s="231"/>
      <c r="K174" s="231"/>
      <c r="L174" s="231"/>
      <c r="M174" s="231"/>
      <c r="N174" s="231"/>
      <c r="O174" s="231"/>
      <c r="P174" s="231"/>
      <c r="Q174" s="231"/>
      <c r="R174" s="231"/>
      <c r="S174" s="231"/>
      <c r="T174" s="231"/>
      <c r="U174" s="231"/>
      <c r="V174" s="231"/>
      <c r="W174" s="231"/>
      <c r="X174" s="231"/>
      <c r="Y174" s="231"/>
      <c r="Z174" s="231"/>
      <c r="AA174" s="231"/>
      <c r="AB174" s="231"/>
      <c r="AC174" s="231"/>
      <c r="AD174" s="231"/>
      <c r="AE174" s="231"/>
      <c r="AF174" s="231"/>
      <c r="AG174" s="231"/>
      <c r="AH174" s="231"/>
      <c r="AI174" s="231"/>
    </row>
    <row r="175" spans="1:35" s="203" customFormat="1">
      <c r="A175" s="120">
        <v>12</v>
      </c>
      <c r="B175" s="47" t="s">
        <v>146</v>
      </c>
      <c r="C175" s="47"/>
      <c r="D175" s="47"/>
      <c r="E175" s="74">
        <v>18</v>
      </c>
      <c r="F175" s="52">
        <v>14</v>
      </c>
      <c r="G175" s="118"/>
      <c r="H175" s="122">
        <v>14</v>
      </c>
      <c r="I175" s="29"/>
      <c r="J175" s="231"/>
      <c r="K175" s="231"/>
      <c r="L175" s="231"/>
      <c r="M175" s="231"/>
      <c r="N175" s="231"/>
      <c r="O175" s="231"/>
      <c r="P175" s="231"/>
      <c r="Q175" s="231"/>
      <c r="R175" s="231"/>
      <c r="S175" s="231"/>
      <c r="T175" s="231"/>
      <c r="U175" s="231"/>
      <c r="V175" s="231"/>
      <c r="W175" s="231"/>
      <c r="X175" s="231"/>
      <c r="Y175" s="231"/>
      <c r="Z175" s="231"/>
      <c r="AA175" s="231"/>
      <c r="AB175" s="231"/>
      <c r="AC175" s="231"/>
      <c r="AD175" s="231"/>
      <c r="AE175" s="231"/>
      <c r="AF175" s="231"/>
      <c r="AG175" s="231"/>
      <c r="AH175" s="231"/>
      <c r="AI175" s="231"/>
    </row>
    <row r="176" spans="1:35" s="203" customFormat="1">
      <c r="A176" s="120">
        <v>13</v>
      </c>
      <c r="B176" s="47" t="s">
        <v>147</v>
      </c>
      <c r="C176" s="47"/>
      <c r="D176" s="47"/>
      <c r="E176" s="49">
        <v>1948</v>
      </c>
      <c r="F176" s="52">
        <v>2017</v>
      </c>
      <c r="G176" s="118"/>
      <c r="H176" s="122">
        <v>1819</v>
      </c>
      <c r="I176" s="29"/>
      <c r="J176" s="231"/>
      <c r="K176" s="231"/>
      <c r="L176" s="231"/>
      <c r="M176" s="231"/>
      <c r="N176" s="231"/>
      <c r="O176" s="231"/>
      <c r="P176" s="231"/>
      <c r="Q176" s="231"/>
      <c r="R176" s="231"/>
      <c r="S176" s="231"/>
      <c r="T176" s="231"/>
      <c r="U176" s="231"/>
      <c r="V176" s="231"/>
      <c r="W176" s="231"/>
      <c r="X176" s="231"/>
      <c r="Y176" s="231"/>
      <c r="Z176" s="231"/>
      <c r="AA176" s="231"/>
      <c r="AB176" s="231"/>
      <c r="AC176" s="231"/>
      <c r="AD176" s="231"/>
      <c r="AE176" s="231"/>
      <c r="AF176" s="231"/>
      <c r="AG176" s="231"/>
      <c r="AH176" s="231"/>
      <c r="AI176" s="231"/>
    </row>
    <row r="177" spans="1:35" s="203" customFormat="1">
      <c r="A177" s="120">
        <v>14</v>
      </c>
      <c r="B177" s="47" t="s">
        <v>148</v>
      </c>
      <c r="C177" s="47"/>
      <c r="D177" s="47"/>
      <c r="E177" s="56">
        <v>678</v>
      </c>
      <c r="F177" s="52">
        <v>529</v>
      </c>
      <c r="G177" s="118"/>
      <c r="H177" s="100">
        <v>602</v>
      </c>
      <c r="I177" s="29"/>
      <c r="J177" s="231"/>
      <c r="K177" s="231"/>
      <c r="L177" s="231"/>
      <c r="M177" s="231"/>
      <c r="N177" s="231"/>
      <c r="O177" s="231"/>
      <c r="P177" s="231"/>
      <c r="Q177" s="231"/>
      <c r="R177" s="231"/>
      <c r="S177" s="231"/>
      <c r="T177" s="231"/>
      <c r="U177" s="231"/>
      <c r="V177" s="231"/>
      <c r="W177" s="231"/>
      <c r="X177" s="231"/>
      <c r="Y177" s="231"/>
      <c r="Z177" s="231"/>
      <c r="AA177" s="231"/>
      <c r="AB177" s="231"/>
      <c r="AC177" s="231"/>
      <c r="AD177" s="231"/>
      <c r="AE177" s="231"/>
      <c r="AF177" s="231"/>
      <c r="AG177" s="231"/>
      <c r="AH177" s="231"/>
      <c r="AI177" s="231"/>
    </row>
    <row r="178" spans="1:35" s="203" customFormat="1">
      <c r="A178" s="120">
        <v>15</v>
      </c>
      <c r="B178" s="116" t="s">
        <v>149</v>
      </c>
      <c r="C178" s="116"/>
      <c r="D178" s="116"/>
      <c r="E178" s="80">
        <v>2644</v>
      </c>
      <c r="F178" s="142">
        <f>SUM(F175:F177)</f>
        <v>2560</v>
      </c>
      <c r="G178" s="118"/>
      <c r="H178" s="142">
        <f>SUM(H175:H177)</f>
        <v>2435</v>
      </c>
      <c r="I178" s="29"/>
      <c r="J178" s="231"/>
      <c r="K178" s="231"/>
      <c r="L178" s="231"/>
      <c r="M178" s="231"/>
      <c r="N178" s="231"/>
      <c r="O178" s="231"/>
      <c r="P178" s="231"/>
      <c r="Q178" s="231"/>
      <c r="R178" s="231"/>
      <c r="S178" s="231"/>
      <c r="T178" s="231"/>
      <c r="U178" s="231"/>
      <c r="V178" s="231"/>
      <c r="W178" s="231"/>
      <c r="X178" s="231"/>
      <c r="Y178" s="231"/>
      <c r="Z178" s="231"/>
      <c r="AA178" s="231"/>
      <c r="AB178" s="231"/>
      <c r="AC178" s="231"/>
      <c r="AD178" s="231"/>
      <c r="AE178" s="231"/>
      <c r="AF178" s="231"/>
      <c r="AG178" s="231"/>
      <c r="AH178" s="231"/>
      <c r="AI178" s="231"/>
    </row>
    <row r="179" spans="1:35" s="203" customFormat="1">
      <c r="A179" s="120">
        <v>16</v>
      </c>
      <c r="B179" s="116" t="s">
        <v>150</v>
      </c>
      <c r="C179" s="116"/>
      <c r="D179" s="116"/>
      <c r="E179" s="80">
        <v>2672</v>
      </c>
      <c r="F179" s="158">
        <f>F172+F178</f>
        <v>2584</v>
      </c>
      <c r="G179" s="118"/>
      <c r="H179" s="158">
        <f>H172+H178</f>
        <v>2460</v>
      </c>
      <c r="I179" s="29"/>
      <c r="J179" s="231"/>
      <c r="K179" s="231"/>
      <c r="L179" s="231"/>
      <c r="M179" s="231"/>
      <c r="N179" s="231"/>
      <c r="O179" s="231"/>
      <c r="P179" s="231"/>
      <c r="Q179" s="231"/>
      <c r="R179" s="231"/>
      <c r="S179" s="231"/>
      <c r="T179" s="231"/>
      <c r="U179" s="231"/>
      <c r="V179" s="231"/>
      <c r="W179" s="231"/>
      <c r="X179" s="231"/>
      <c r="Y179" s="231"/>
      <c r="Z179" s="231"/>
      <c r="AA179" s="231"/>
      <c r="AB179" s="231"/>
      <c r="AC179" s="231"/>
      <c r="AD179" s="231"/>
      <c r="AE179" s="231"/>
      <c r="AF179" s="231"/>
      <c r="AG179" s="231"/>
      <c r="AH179" s="231"/>
      <c r="AI179" s="231"/>
    </row>
    <row r="180" spans="1:35" s="203" customFormat="1">
      <c r="A180" s="120">
        <v>17</v>
      </c>
      <c r="B180" s="116" t="s">
        <v>151</v>
      </c>
      <c r="C180" s="116"/>
      <c r="D180" s="116"/>
      <c r="E180" s="159">
        <v>14481</v>
      </c>
      <c r="F180" s="61">
        <f>SUM(F163+F169+F171+F179)</f>
        <v>14676</v>
      </c>
      <c r="G180" s="118"/>
      <c r="H180" s="61">
        <f>SUM(H163+H169+H171+H179)</f>
        <v>13549</v>
      </c>
      <c r="I180" s="29"/>
      <c r="J180" s="231"/>
      <c r="K180" s="231"/>
      <c r="L180" s="231"/>
      <c r="M180" s="231"/>
      <c r="N180" s="231"/>
      <c r="O180" s="231"/>
      <c r="P180" s="231"/>
      <c r="Q180" s="231"/>
      <c r="R180" s="231"/>
      <c r="S180" s="231"/>
      <c r="T180" s="231"/>
      <c r="U180" s="231"/>
      <c r="V180" s="231"/>
      <c r="W180" s="231"/>
      <c r="X180" s="231"/>
      <c r="Y180" s="231"/>
      <c r="Z180" s="231"/>
      <c r="AA180" s="231"/>
      <c r="AB180" s="231"/>
      <c r="AC180" s="231"/>
      <c r="AD180" s="231"/>
      <c r="AE180" s="231"/>
      <c r="AF180" s="231"/>
      <c r="AG180" s="231"/>
      <c r="AH180" s="231"/>
      <c r="AI180" s="231"/>
    </row>
    <row r="181" spans="1:35" s="203" customFormat="1">
      <c r="A181" s="46"/>
      <c r="B181" s="132"/>
      <c r="C181" s="132"/>
      <c r="D181" s="132"/>
      <c r="E181" s="156"/>
      <c r="F181" s="139"/>
      <c r="G181" s="139"/>
      <c r="H181" s="139"/>
      <c r="I181" s="29"/>
      <c r="J181" s="231"/>
      <c r="K181" s="231"/>
      <c r="L181" s="231"/>
      <c r="M181" s="231"/>
      <c r="N181" s="231"/>
      <c r="O181" s="231"/>
      <c r="P181" s="231"/>
      <c r="Q181" s="231"/>
      <c r="R181" s="231"/>
      <c r="S181" s="231"/>
      <c r="T181" s="231"/>
      <c r="U181" s="231"/>
      <c r="V181" s="231"/>
      <c r="W181" s="231"/>
      <c r="X181" s="231"/>
      <c r="Y181" s="231"/>
      <c r="Z181" s="231"/>
      <c r="AA181" s="231"/>
      <c r="AB181" s="231"/>
      <c r="AC181" s="231"/>
      <c r="AD181" s="231"/>
      <c r="AE181" s="231"/>
      <c r="AF181" s="231"/>
      <c r="AG181" s="231"/>
      <c r="AH181" s="231"/>
      <c r="AI181" s="231"/>
    </row>
    <row r="182" spans="1:35" s="203" customFormat="1">
      <c r="A182" s="119" t="s">
        <v>152</v>
      </c>
      <c r="B182" s="47"/>
      <c r="C182" s="47"/>
      <c r="D182" s="116"/>
      <c r="E182" s="117"/>
      <c r="F182" s="118"/>
      <c r="G182" s="118"/>
      <c r="H182" s="118"/>
      <c r="I182" s="29"/>
      <c r="J182" s="231"/>
      <c r="K182" s="231"/>
      <c r="L182" s="231"/>
      <c r="M182" s="231"/>
      <c r="N182" s="231"/>
      <c r="O182" s="231"/>
      <c r="P182" s="231"/>
      <c r="Q182" s="231"/>
      <c r="R182" s="231"/>
      <c r="S182" s="231"/>
      <c r="T182" s="231"/>
      <c r="U182" s="231"/>
      <c r="V182" s="231"/>
      <c r="W182" s="231"/>
      <c r="X182" s="231"/>
      <c r="Y182" s="231"/>
      <c r="Z182" s="231"/>
      <c r="AA182" s="231"/>
      <c r="AB182" s="231"/>
      <c r="AC182" s="231"/>
      <c r="AD182" s="231"/>
      <c r="AE182" s="231"/>
      <c r="AF182" s="231"/>
      <c r="AG182" s="231"/>
      <c r="AH182" s="231"/>
      <c r="AI182" s="231"/>
    </row>
    <row r="183" spans="1:35" s="203" customFormat="1">
      <c r="A183" s="120">
        <v>18</v>
      </c>
      <c r="B183" s="47" t="s">
        <v>153</v>
      </c>
      <c r="C183" s="47"/>
      <c r="D183" s="47"/>
      <c r="E183" s="41">
        <v>3746</v>
      </c>
      <c r="F183" s="121">
        <v>3486</v>
      </c>
      <c r="G183" s="118"/>
      <c r="H183" s="133">
        <v>3439</v>
      </c>
      <c r="I183" s="29"/>
      <c r="J183" s="231"/>
      <c r="K183" s="231"/>
      <c r="L183" s="231"/>
      <c r="M183" s="231"/>
      <c r="N183" s="231"/>
      <c r="O183" s="231"/>
      <c r="P183" s="231"/>
      <c r="Q183" s="231"/>
      <c r="R183" s="231"/>
      <c r="S183" s="231"/>
      <c r="T183" s="231"/>
      <c r="U183" s="231"/>
      <c r="V183" s="231"/>
      <c r="W183" s="231"/>
      <c r="X183" s="231"/>
      <c r="Y183" s="231"/>
      <c r="Z183" s="231"/>
      <c r="AA183" s="231"/>
      <c r="AB183" s="231"/>
      <c r="AC183" s="231"/>
      <c r="AD183" s="231"/>
      <c r="AE183" s="231"/>
      <c r="AF183" s="231"/>
      <c r="AG183" s="231"/>
      <c r="AH183" s="231"/>
      <c r="AI183" s="231"/>
    </row>
    <row r="184" spans="1:35" s="203" customFormat="1">
      <c r="A184" s="120">
        <v>19</v>
      </c>
      <c r="B184" s="47" t="s">
        <v>154</v>
      </c>
      <c r="C184" s="47"/>
      <c r="D184" s="47"/>
      <c r="E184" s="49">
        <v>0</v>
      </c>
      <c r="F184" s="52"/>
      <c r="G184" s="118"/>
      <c r="H184" s="122"/>
      <c r="I184" s="29"/>
      <c r="J184" s="231"/>
      <c r="K184" s="231"/>
      <c r="L184" s="231"/>
      <c r="M184" s="231"/>
      <c r="N184" s="231"/>
      <c r="O184" s="231"/>
      <c r="P184" s="231"/>
      <c r="Q184" s="231"/>
      <c r="R184" s="231"/>
      <c r="S184" s="231"/>
      <c r="T184" s="231"/>
      <c r="U184" s="231"/>
      <c r="V184" s="231"/>
      <c r="W184" s="231"/>
      <c r="X184" s="231"/>
      <c r="Y184" s="231"/>
      <c r="Z184" s="231"/>
      <c r="AA184" s="231"/>
      <c r="AB184" s="231"/>
      <c r="AC184" s="231"/>
      <c r="AD184" s="231"/>
      <c r="AE184" s="231"/>
      <c r="AF184" s="231"/>
      <c r="AG184" s="231"/>
      <c r="AH184" s="231"/>
      <c r="AI184" s="231"/>
    </row>
    <row r="185" spans="1:35" s="203" customFormat="1">
      <c r="A185" s="120">
        <v>20</v>
      </c>
      <c r="B185" s="47" t="s">
        <v>155</v>
      </c>
      <c r="C185" s="47"/>
      <c r="D185" s="47"/>
      <c r="E185" s="49">
        <v>0</v>
      </c>
      <c r="F185" s="52"/>
      <c r="G185" s="118"/>
      <c r="H185" s="122"/>
      <c r="I185" s="29"/>
      <c r="J185" s="231"/>
      <c r="K185" s="231"/>
      <c r="L185" s="231"/>
      <c r="M185" s="231"/>
      <c r="N185" s="231"/>
      <c r="O185" s="231"/>
      <c r="P185" s="231"/>
      <c r="Q185" s="231"/>
      <c r="R185" s="231"/>
      <c r="S185" s="231"/>
      <c r="T185" s="231"/>
      <c r="U185" s="231"/>
      <c r="V185" s="231"/>
      <c r="W185" s="231"/>
      <c r="X185" s="231"/>
      <c r="Y185" s="231"/>
      <c r="Z185" s="231"/>
      <c r="AA185" s="231"/>
      <c r="AB185" s="231"/>
      <c r="AC185" s="231"/>
      <c r="AD185" s="231"/>
      <c r="AE185" s="231"/>
      <c r="AF185" s="231"/>
      <c r="AG185" s="231"/>
      <c r="AH185" s="231"/>
      <c r="AI185" s="231"/>
    </row>
    <row r="186" spans="1:35" s="203" customFormat="1">
      <c r="A186" s="120">
        <v>21</v>
      </c>
      <c r="B186" s="47" t="s">
        <v>156</v>
      </c>
      <c r="C186" s="47"/>
      <c r="D186" s="47"/>
      <c r="E186" s="49">
        <v>0</v>
      </c>
      <c r="F186" s="52"/>
      <c r="G186" s="118"/>
      <c r="H186" s="122"/>
      <c r="I186" s="29"/>
      <c r="J186" s="231"/>
      <c r="K186" s="231"/>
      <c r="L186" s="231"/>
      <c r="M186" s="231"/>
      <c r="N186" s="231"/>
      <c r="O186" s="231"/>
      <c r="P186" s="231"/>
      <c r="Q186" s="231"/>
      <c r="R186" s="231"/>
      <c r="S186" s="231"/>
      <c r="T186" s="231"/>
      <c r="U186" s="231"/>
      <c r="V186" s="231"/>
      <c r="W186" s="231"/>
      <c r="X186" s="231"/>
      <c r="Y186" s="231"/>
      <c r="Z186" s="231"/>
      <c r="AA186" s="231"/>
      <c r="AB186" s="231"/>
      <c r="AC186" s="231"/>
      <c r="AD186" s="231"/>
      <c r="AE186" s="231"/>
      <c r="AF186" s="231"/>
      <c r="AG186" s="231"/>
      <c r="AH186" s="231"/>
      <c r="AI186" s="231"/>
    </row>
    <row r="187" spans="1:35" s="203" customFormat="1">
      <c r="A187" s="120">
        <v>22</v>
      </c>
      <c r="B187" s="47" t="s">
        <v>157</v>
      </c>
      <c r="C187" s="47"/>
      <c r="D187" s="47"/>
      <c r="E187" s="49">
        <v>0</v>
      </c>
      <c r="F187" s="52"/>
      <c r="G187" s="118"/>
      <c r="H187" s="122"/>
      <c r="I187" s="29"/>
      <c r="J187" s="231"/>
      <c r="K187" s="231"/>
      <c r="L187" s="231"/>
      <c r="M187" s="231"/>
      <c r="N187" s="231"/>
      <c r="O187" s="231"/>
      <c r="P187" s="231"/>
      <c r="Q187" s="231"/>
      <c r="R187" s="231"/>
      <c r="S187" s="231"/>
      <c r="T187" s="231"/>
      <c r="U187" s="231"/>
      <c r="V187" s="231"/>
      <c r="W187" s="231"/>
      <c r="X187" s="231"/>
      <c r="Y187" s="231"/>
      <c r="Z187" s="231"/>
      <c r="AA187" s="231"/>
      <c r="AB187" s="231"/>
      <c r="AC187" s="231"/>
      <c r="AD187" s="231"/>
      <c r="AE187" s="231"/>
      <c r="AF187" s="231"/>
      <c r="AG187" s="231"/>
      <c r="AH187" s="231"/>
      <c r="AI187" s="231"/>
    </row>
    <row r="188" spans="1:35" s="203" customFormat="1">
      <c r="A188" s="120">
        <v>23</v>
      </c>
      <c r="B188" s="47" t="s">
        <v>158</v>
      </c>
      <c r="C188" s="47"/>
      <c r="D188" s="47"/>
      <c r="E188" s="49">
        <v>0</v>
      </c>
      <c r="F188" s="52"/>
      <c r="G188" s="118"/>
      <c r="H188" s="122"/>
      <c r="I188" s="29"/>
      <c r="J188" s="231"/>
      <c r="K188" s="231"/>
      <c r="L188" s="231"/>
      <c r="M188" s="231"/>
      <c r="N188" s="231"/>
      <c r="O188" s="231"/>
      <c r="P188" s="231"/>
      <c r="Q188" s="231"/>
      <c r="R188" s="231"/>
      <c r="S188" s="231"/>
      <c r="T188" s="231"/>
      <c r="U188" s="231"/>
      <c r="V188" s="231"/>
      <c r="W188" s="231"/>
      <c r="X188" s="231"/>
      <c r="Y188" s="231"/>
      <c r="Z188" s="231"/>
      <c r="AA188" s="231"/>
      <c r="AB188" s="231"/>
      <c r="AC188" s="231"/>
      <c r="AD188" s="231"/>
      <c r="AE188" s="231"/>
      <c r="AF188" s="231"/>
      <c r="AG188" s="231"/>
      <c r="AH188" s="231"/>
      <c r="AI188" s="231"/>
    </row>
    <row r="189" spans="1:35" s="203" customFormat="1">
      <c r="A189" s="120">
        <v>24</v>
      </c>
      <c r="B189" s="47" t="s">
        <v>159</v>
      </c>
      <c r="C189" s="47"/>
      <c r="D189" s="47"/>
      <c r="E189" s="49">
        <v>0</v>
      </c>
      <c r="F189" s="52"/>
      <c r="G189" s="118"/>
      <c r="H189" s="122"/>
      <c r="I189" s="29"/>
      <c r="J189" s="231"/>
      <c r="K189" s="231"/>
      <c r="L189" s="231"/>
      <c r="M189" s="231"/>
      <c r="N189" s="231"/>
      <c r="O189" s="231"/>
      <c r="P189" s="231"/>
      <c r="Q189" s="231"/>
      <c r="R189" s="231"/>
      <c r="S189" s="231"/>
      <c r="T189" s="231"/>
      <c r="U189" s="231"/>
      <c r="V189" s="231"/>
      <c r="W189" s="231"/>
      <c r="X189" s="231"/>
      <c r="Y189" s="231"/>
      <c r="Z189" s="231"/>
      <c r="AA189" s="231"/>
      <c r="AB189" s="231"/>
      <c r="AC189" s="231"/>
      <c r="AD189" s="231"/>
      <c r="AE189" s="231"/>
      <c r="AF189" s="231"/>
      <c r="AG189" s="231"/>
      <c r="AH189" s="231"/>
      <c r="AI189" s="231"/>
    </row>
    <row r="190" spans="1:35" s="203" customFormat="1">
      <c r="A190" s="124">
        <v>25</v>
      </c>
      <c r="B190" s="54" t="s">
        <v>160</v>
      </c>
      <c r="C190" s="54"/>
      <c r="D190" s="54"/>
      <c r="E190" s="56">
        <v>0</v>
      </c>
      <c r="F190" s="126"/>
      <c r="G190" s="118"/>
      <c r="H190" s="100"/>
      <c r="I190" s="24"/>
      <c r="J190" s="231"/>
      <c r="K190" s="231"/>
      <c r="L190" s="231"/>
      <c r="M190" s="231"/>
      <c r="N190" s="231"/>
      <c r="O190" s="231"/>
      <c r="P190" s="231"/>
      <c r="Q190" s="231"/>
      <c r="R190" s="231"/>
      <c r="S190" s="231"/>
      <c r="T190" s="231"/>
      <c r="U190" s="231"/>
      <c r="V190" s="231"/>
      <c r="W190" s="231"/>
      <c r="X190" s="231"/>
      <c r="Y190" s="231"/>
      <c r="Z190" s="231"/>
      <c r="AA190" s="231"/>
      <c r="AB190" s="231"/>
      <c r="AC190" s="231"/>
      <c r="AD190" s="231"/>
      <c r="AE190" s="231"/>
      <c r="AF190" s="231"/>
      <c r="AG190" s="231"/>
      <c r="AH190" s="231"/>
      <c r="AI190" s="231"/>
    </row>
    <row r="191" spans="1:35" s="203" customFormat="1">
      <c r="A191" s="161"/>
      <c r="B191" s="129"/>
      <c r="C191" s="129"/>
      <c r="D191" s="149"/>
      <c r="E191" s="162"/>
      <c r="F191" s="29"/>
      <c r="G191" s="29"/>
      <c r="H191" s="207"/>
      <c r="I191" s="29"/>
      <c r="J191" s="231"/>
      <c r="K191" s="231"/>
      <c r="L191" s="231"/>
      <c r="M191" s="231"/>
      <c r="N191" s="231"/>
      <c r="O191" s="231"/>
      <c r="P191" s="231"/>
      <c r="Q191" s="231"/>
      <c r="R191" s="231"/>
      <c r="S191" s="231"/>
      <c r="T191" s="231"/>
      <c r="U191" s="231"/>
      <c r="V191" s="231"/>
      <c r="W191" s="231"/>
      <c r="X191" s="231"/>
      <c r="Y191" s="231"/>
      <c r="Z191" s="231"/>
      <c r="AA191" s="231"/>
      <c r="AB191" s="231"/>
      <c r="AC191" s="231"/>
      <c r="AD191" s="231"/>
      <c r="AE191" s="231"/>
      <c r="AF191" s="231"/>
      <c r="AG191" s="231"/>
      <c r="AH191" s="231"/>
      <c r="AI191" s="231"/>
    </row>
    <row r="192" spans="1:35" s="203" customFormat="1">
      <c r="A192" s="161"/>
      <c r="B192" s="129"/>
      <c r="C192" s="129"/>
      <c r="D192" s="151"/>
      <c r="E192" s="163"/>
      <c r="F192" s="29"/>
      <c r="G192" s="29"/>
      <c r="H192" s="131" t="s">
        <v>27</v>
      </c>
      <c r="I192" s="29"/>
      <c r="J192" s="231"/>
      <c r="K192" s="231"/>
      <c r="L192" s="231"/>
      <c r="M192" s="231"/>
      <c r="N192" s="231"/>
      <c r="O192" s="231"/>
      <c r="P192" s="231"/>
      <c r="Q192" s="231"/>
      <c r="R192" s="231"/>
      <c r="S192" s="231"/>
      <c r="T192" s="231"/>
      <c r="U192" s="231"/>
      <c r="V192" s="231"/>
      <c r="W192" s="231"/>
      <c r="X192" s="231"/>
      <c r="Y192" s="231"/>
      <c r="Z192" s="231"/>
      <c r="AA192" s="231"/>
      <c r="AB192" s="231"/>
      <c r="AC192" s="231"/>
      <c r="AD192" s="231"/>
      <c r="AE192" s="231"/>
      <c r="AF192" s="231"/>
      <c r="AG192" s="231"/>
      <c r="AH192" s="231"/>
      <c r="AI192" s="231"/>
    </row>
    <row r="193" spans="1:35" s="203" customFormat="1" ht="12.75" customHeight="1">
      <c r="A193" s="106" t="s">
        <v>23</v>
      </c>
      <c r="B193" s="164"/>
      <c r="C193" s="164"/>
      <c r="D193" s="164"/>
      <c r="E193" s="856" t="s">
        <v>377</v>
      </c>
      <c r="F193" s="856" t="s">
        <v>402</v>
      </c>
      <c r="G193" s="130"/>
      <c r="H193" s="856" t="s">
        <v>403</v>
      </c>
      <c r="I193" s="130"/>
      <c r="J193" s="231"/>
      <c r="K193" s="231"/>
      <c r="L193" s="231"/>
      <c r="M193" s="231"/>
      <c r="N193" s="231"/>
      <c r="O193" s="231"/>
      <c r="P193" s="231"/>
      <c r="Q193" s="231"/>
      <c r="R193" s="231"/>
      <c r="S193" s="231"/>
      <c r="T193" s="231"/>
      <c r="U193" s="231"/>
      <c r="V193" s="231"/>
      <c r="W193" s="231"/>
      <c r="X193" s="231"/>
      <c r="Y193" s="231"/>
      <c r="Z193" s="231"/>
      <c r="AA193" s="231"/>
      <c r="AB193" s="231"/>
      <c r="AC193" s="231"/>
      <c r="AD193" s="231"/>
      <c r="AE193" s="231"/>
      <c r="AF193" s="231"/>
      <c r="AG193" s="231"/>
      <c r="AH193" s="231"/>
      <c r="AI193" s="231"/>
    </row>
    <row r="194" spans="1:35" s="203" customFormat="1" ht="23.25" customHeight="1">
      <c r="A194" s="165"/>
      <c r="B194" s="132"/>
      <c r="C194" s="132"/>
      <c r="D194" s="132"/>
      <c r="E194" s="859"/>
      <c r="F194" s="859"/>
      <c r="G194" s="130"/>
      <c r="H194" s="859"/>
      <c r="I194" s="130"/>
      <c r="J194" s="231"/>
      <c r="K194" s="231"/>
      <c r="L194" s="231"/>
      <c r="M194" s="231"/>
      <c r="N194" s="231"/>
      <c r="O194" s="231"/>
      <c r="P194" s="231"/>
      <c r="Q194" s="231"/>
      <c r="R194" s="231"/>
      <c r="S194" s="231"/>
      <c r="T194" s="231"/>
      <c r="U194" s="231"/>
      <c r="V194" s="231"/>
      <c r="W194" s="231"/>
      <c r="X194" s="231"/>
      <c r="Y194" s="231"/>
      <c r="Z194" s="231"/>
      <c r="AA194" s="231"/>
      <c r="AB194" s="231"/>
      <c r="AC194" s="231"/>
      <c r="AD194" s="231"/>
      <c r="AE194" s="231"/>
      <c r="AF194" s="231"/>
      <c r="AG194" s="231"/>
      <c r="AH194" s="231"/>
      <c r="AI194" s="231"/>
    </row>
    <row r="195" spans="1:35" s="203" customFormat="1">
      <c r="A195" s="154" t="s">
        <v>161</v>
      </c>
      <c r="B195" s="116"/>
      <c r="C195" s="116"/>
      <c r="D195" s="116"/>
      <c r="E195" s="859"/>
      <c r="F195" s="859"/>
      <c r="G195" s="130"/>
      <c r="H195" s="859"/>
      <c r="I195" s="130"/>
      <c r="J195" s="231"/>
      <c r="K195" s="231"/>
      <c r="L195" s="231"/>
      <c r="M195" s="231"/>
      <c r="N195" s="231"/>
      <c r="O195" s="231"/>
      <c r="P195" s="231"/>
      <c r="Q195" s="231"/>
      <c r="R195" s="231"/>
      <c r="S195" s="231"/>
      <c r="T195" s="231"/>
      <c r="U195" s="231"/>
      <c r="V195" s="231"/>
      <c r="W195" s="231"/>
      <c r="X195" s="231"/>
      <c r="Y195" s="231"/>
      <c r="Z195" s="231"/>
      <c r="AA195" s="231"/>
      <c r="AB195" s="231"/>
      <c r="AC195" s="231"/>
      <c r="AD195" s="231"/>
      <c r="AE195" s="231"/>
      <c r="AF195" s="231"/>
      <c r="AG195" s="231"/>
      <c r="AH195" s="231"/>
      <c r="AI195" s="231"/>
    </row>
    <row r="196" spans="1:35" s="203" customFormat="1">
      <c r="A196" s="109" t="s">
        <v>83</v>
      </c>
      <c r="B196" s="47"/>
      <c r="C196" s="47"/>
      <c r="D196" s="47"/>
      <c r="E196" s="859"/>
      <c r="F196" s="859"/>
      <c r="G196" s="130"/>
      <c r="H196" s="859"/>
      <c r="I196" s="130"/>
      <c r="J196" s="231"/>
      <c r="K196" s="231"/>
      <c r="L196" s="231"/>
      <c r="M196" s="231"/>
      <c r="N196" s="231"/>
      <c r="O196" s="231"/>
      <c r="P196" s="231"/>
      <c r="Q196" s="231"/>
      <c r="R196" s="231"/>
      <c r="S196" s="231"/>
      <c r="T196" s="231"/>
      <c r="U196" s="231"/>
      <c r="V196" s="231"/>
      <c r="W196" s="231"/>
      <c r="X196" s="231"/>
      <c r="Y196" s="231"/>
      <c r="Z196" s="231"/>
      <c r="AA196" s="231"/>
      <c r="AB196" s="231"/>
      <c r="AC196" s="231"/>
      <c r="AD196" s="231"/>
      <c r="AE196" s="231"/>
      <c r="AF196" s="231"/>
      <c r="AG196" s="231"/>
      <c r="AH196" s="231"/>
      <c r="AI196" s="231"/>
    </row>
    <row r="197" spans="1:35" s="203" customFormat="1">
      <c r="A197" s="110" t="s">
        <v>84</v>
      </c>
      <c r="B197" s="132"/>
      <c r="C197" s="132"/>
      <c r="D197" s="132"/>
      <c r="E197" s="860"/>
      <c r="F197" s="860"/>
      <c r="G197" s="130"/>
      <c r="H197" s="860"/>
      <c r="I197" s="130"/>
      <c r="J197" s="231"/>
      <c r="K197" s="231"/>
      <c r="L197" s="231"/>
      <c r="M197" s="231"/>
      <c r="N197" s="231"/>
      <c r="O197" s="231"/>
      <c r="P197" s="231"/>
      <c r="Q197" s="231"/>
      <c r="R197" s="231"/>
      <c r="S197" s="231"/>
      <c r="T197" s="231"/>
      <c r="U197" s="231"/>
      <c r="V197" s="231"/>
      <c r="W197" s="231"/>
      <c r="X197" s="231"/>
      <c r="Y197" s="231"/>
      <c r="Z197" s="231"/>
      <c r="AA197" s="231"/>
      <c r="AB197" s="231"/>
      <c r="AC197" s="231"/>
      <c r="AD197" s="231"/>
      <c r="AE197" s="231"/>
      <c r="AF197" s="231"/>
      <c r="AG197" s="231"/>
      <c r="AH197" s="231"/>
      <c r="AI197" s="231"/>
    </row>
    <row r="198" spans="1:35" s="203" customFormat="1">
      <c r="A198" s="153" t="s">
        <v>162</v>
      </c>
      <c r="B198" s="166"/>
      <c r="C198" s="166"/>
      <c r="D198" s="166"/>
      <c r="E198" s="167"/>
      <c r="F198" s="146"/>
      <c r="G198" s="118"/>
      <c r="H198" s="146"/>
      <c r="I198" s="29"/>
      <c r="J198" s="231"/>
      <c r="K198" s="231"/>
      <c r="L198" s="231"/>
      <c r="M198" s="231"/>
      <c r="N198" s="231"/>
      <c r="O198" s="231"/>
      <c r="P198" s="231"/>
      <c r="Q198" s="231"/>
      <c r="R198" s="231"/>
      <c r="S198" s="231"/>
      <c r="T198" s="231"/>
      <c r="U198" s="231"/>
      <c r="V198" s="231"/>
      <c r="W198" s="231"/>
      <c r="X198" s="231"/>
      <c r="Y198" s="231"/>
      <c r="Z198" s="231"/>
      <c r="AA198" s="231"/>
      <c r="AB198" s="231"/>
      <c r="AC198" s="231"/>
      <c r="AD198" s="231"/>
      <c r="AE198" s="231"/>
      <c r="AF198" s="231"/>
      <c r="AG198" s="231"/>
      <c r="AH198" s="231"/>
      <c r="AI198" s="231"/>
    </row>
    <row r="199" spans="1:35" s="203" customFormat="1">
      <c r="A199" s="120">
        <v>1</v>
      </c>
      <c r="B199" s="47" t="s">
        <v>163</v>
      </c>
      <c r="C199" s="47"/>
      <c r="D199" s="47"/>
      <c r="E199" s="74">
        <v>251</v>
      </c>
      <c r="F199" s="52">
        <v>257</v>
      </c>
      <c r="G199" s="118"/>
      <c r="H199" s="122">
        <v>243</v>
      </c>
      <c r="I199" s="29"/>
      <c r="J199" s="231"/>
      <c r="K199" s="231"/>
      <c r="L199" s="231"/>
      <c r="M199" s="231"/>
      <c r="N199" s="231"/>
      <c r="O199" s="231"/>
      <c r="P199" s="231"/>
      <c r="Q199" s="231"/>
      <c r="R199" s="231"/>
      <c r="S199" s="231"/>
      <c r="T199" s="231"/>
      <c r="U199" s="231"/>
      <c r="V199" s="231"/>
      <c r="W199" s="231"/>
      <c r="X199" s="231"/>
      <c r="Y199" s="231"/>
      <c r="Z199" s="231"/>
      <c r="AA199" s="231"/>
      <c r="AB199" s="231"/>
      <c r="AC199" s="231"/>
      <c r="AD199" s="231"/>
      <c r="AE199" s="231"/>
      <c r="AF199" s="231"/>
      <c r="AG199" s="231"/>
      <c r="AH199" s="231"/>
      <c r="AI199" s="231"/>
    </row>
    <row r="200" spans="1:35" s="203" customFormat="1">
      <c r="A200" s="120">
        <v>2</v>
      </c>
      <c r="B200" s="47" t="s">
        <v>164</v>
      </c>
      <c r="C200" s="47"/>
      <c r="D200" s="47"/>
      <c r="E200" s="56">
        <v>496</v>
      </c>
      <c r="F200" s="52">
        <v>360</v>
      </c>
      <c r="G200" s="118"/>
      <c r="H200" s="100">
        <v>524</v>
      </c>
      <c r="I200" s="29"/>
      <c r="J200" s="231"/>
      <c r="K200" s="231"/>
      <c r="L200" s="231"/>
      <c r="M200" s="231"/>
      <c r="N200" s="231"/>
      <c r="O200" s="231"/>
      <c r="P200" s="231"/>
      <c r="Q200" s="231"/>
      <c r="R200" s="231"/>
      <c r="S200" s="231"/>
      <c r="T200" s="231"/>
      <c r="U200" s="231"/>
      <c r="V200" s="231"/>
      <c r="W200" s="231"/>
      <c r="X200" s="231"/>
      <c r="Y200" s="231"/>
      <c r="Z200" s="231"/>
      <c r="AA200" s="231"/>
      <c r="AB200" s="231"/>
      <c r="AC200" s="231"/>
      <c r="AD200" s="231"/>
      <c r="AE200" s="231"/>
      <c r="AF200" s="231"/>
      <c r="AG200" s="231"/>
      <c r="AH200" s="231"/>
      <c r="AI200" s="231"/>
    </row>
    <row r="201" spans="1:35" s="203" customFormat="1">
      <c r="A201" s="120">
        <v>3</v>
      </c>
      <c r="B201" s="116" t="s">
        <v>165</v>
      </c>
      <c r="C201" s="116"/>
      <c r="D201" s="116"/>
      <c r="E201" s="80">
        <v>747</v>
      </c>
      <c r="F201" s="142">
        <f>SUM(F199:F200)</f>
        <v>617</v>
      </c>
      <c r="G201" s="118"/>
      <c r="H201" s="142">
        <f>SUM(H199:H200)</f>
        <v>767</v>
      </c>
      <c r="I201" s="29"/>
      <c r="J201" s="231"/>
      <c r="K201" s="231"/>
      <c r="L201" s="231"/>
      <c r="M201" s="231"/>
      <c r="N201" s="231"/>
      <c r="O201" s="231"/>
      <c r="P201" s="231"/>
      <c r="Q201" s="231"/>
      <c r="R201" s="231"/>
      <c r="S201" s="231"/>
      <c r="T201" s="231"/>
      <c r="U201" s="231"/>
      <c r="V201" s="231"/>
      <c r="W201" s="231"/>
      <c r="X201" s="231"/>
      <c r="Y201" s="231"/>
      <c r="Z201" s="231"/>
      <c r="AA201" s="231"/>
      <c r="AB201" s="231"/>
      <c r="AC201" s="231"/>
      <c r="AD201" s="231"/>
      <c r="AE201" s="231"/>
      <c r="AF201" s="231"/>
      <c r="AG201" s="231"/>
      <c r="AH201" s="231"/>
      <c r="AI201" s="231"/>
    </row>
    <row r="202" spans="1:35" s="203" customFormat="1">
      <c r="A202" s="46"/>
      <c r="B202" s="132"/>
      <c r="C202" s="132"/>
      <c r="D202" s="132"/>
      <c r="E202" s="156"/>
      <c r="F202" s="139"/>
      <c r="G202" s="139"/>
      <c r="H202" s="139"/>
      <c r="I202" s="29"/>
      <c r="J202" s="231"/>
      <c r="K202" s="231"/>
      <c r="L202" s="231"/>
      <c r="M202" s="231"/>
      <c r="N202" s="231"/>
      <c r="O202" s="231"/>
      <c r="P202" s="231"/>
      <c r="Q202" s="231"/>
      <c r="R202" s="231"/>
      <c r="S202" s="231"/>
      <c r="T202" s="231"/>
      <c r="U202" s="231"/>
      <c r="V202" s="231"/>
      <c r="W202" s="231"/>
      <c r="X202" s="231"/>
      <c r="Y202" s="231"/>
      <c r="Z202" s="231"/>
      <c r="AA202" s="231"/>
      <c r="AB202" s="231"/>
      <c r="AC202" s="231"/>
      <c r="AD202" s="231"/>
      <c r="AE202" s="231"/>
      <c r="AF202" s="231"/>
      <c r="AG202" s="231"/>
      <c r="AH202" s="231"/>
      <c r="AI202" s="231"/>
    </row>
    <row r="203" spans="1:35" s="203" customFormat="1">
      <c r="A203" s="153" t="s">
        <v>166</v>
      </c>
      <c r="B203" s="116"/>
      <c r="C203" s="116"/>
      <c r="D203" s="116"/>
      <c r="E203" s="140"/>
      <c r="F203" s="146"/>
      <c r="G203" s="118"/>
      <c r="H203" s="146"/>
      <c r="I203" s="29"/>
      <c r="J203" s="231"/>
      <c r="K203" s="231"/>
      <c r="L203" s="231"/>
      <c r="M203" s="231"/>
      <c r="N203" s="231"/>
      <c r="O203" s="231"/>
      <c r="P203" s="231"/>
      <c r="Q203" s="231"/>
      <c r="R203" s="231"/>
      <c r="S203" s="231"/>
      <c r="T203" s="231"/>
      <c r="U203" s="231"/>
      <c r="V203" s="231"/>
      <c r="W203" s="231"/>
      <c r="X203" s="231"/>
      <c r="Y203" s="231"/>
      <c r="Z203" s="231"/>
      <c r="AA203" s="231"/>
      <c r="AB203" s="231"/>
      <c r="AC203" s="231"/>
      <c r="AD203" s="231"/>
      <c r="AE203" s="231"/>
      <c r="AF203" s="231"/>
      <c r="AG203" s="231"/>
      <c r="AH203" s="231"/>
      <c r="AI203" s="231"/>
    </row>
    <row r="204" spans="1:35" s="203" customFormat="1">
      <c r="A204" s="120">
        <v>4</v>
      </c>
      <c r="B204" s="47" t="s">
        <v>167</v>
      </c>
      <c r="C204" s="47"/>
      <c r="D204" s="47"/>
      <c r="E204" s="74">
        <v>4751</v>
      </c>
      <c r="F204" s="52">
        <v>4627</v>
      </c>
      <c r="G204" s="118"/>
      <c r="H204" s="122">
        <v>4401</v>
      </c>
      <c r="I204" s="29"/>
      <c r="J204" s="231"/>
      <c r="K204" s="231"/>
      <c r="L204" s="231"/>
      <c r="M204" s="231"/>
      <c r="N204" s="231"/>
      <c r="O204" s="231"/>
      <c r="P204" s="231"/>
      <c r="Q204" s="231"/>
      <c r="R204" s="231"/>
      <c r="S204" s="231"/>
      <c r="T204" s="231"/>
      <c r="U204" s="231"/>
      <c r="V204" s="231"/>
      <c r="W204" s="231"/>
      <c r="X204" s="231"/>
      <c r="Y204" s="231"/>
      <c r="Z204" s="231"/>
      <c r="AA204" s="231"/>
      <c r="AB204" s="231"/>
      <c r="AC204" s="231"/>
      <c r="AD204" s="231"/>
      <c r="AE204" s="231"/>
      <c r="AF204" s="231"/>
      <c r="AG204" s="231"/>
      <c r="AH204" s="231"/>
      <c r="AI204" s="231"/>
    </row>
    <row r="205" spans="1:35" s="203" customFormat="1">
      <c r="A205" s="120">
        <v>5</v>
      </c>
      <c r="B205" s="47" t="s">
        <v>168</v>
      </c>
      <c r="C205" s="47"/>
      <c r="D205" s="47"/>
      <c r="E205" s="49">
        <v>6185</v>
      </c>
      <c r="F205" s="52">
        <v>6581</v>
      </c>
      <c r="G205" s="118"/>
      <c r="H205" s="122">
        <v>6092</v>
      </c>
      <c r="I205" s="29"/>
      <c r="J205" s="231"/>
      <c r="K205" s="231"/>
      <c r="L205" s="231"/>
      <c r="M205" s="231"/>
      <c r="N205" s="231"/>
      <c r="O205" s="231"/>
      <c r="P205" s="231"/>
      <c r="Q205" s="231"/>
      <c r="R205" s="231"/>
      <c r="S205" s="231"/>
      <c r="T205" s="231"/>
      <c r="U205" s="231"/>
      <c r="V205" s="231"/>
      <c r="W205" s="231"/>
      <c r="X205" s="231"/>
      <c r="Y205" s="231"/>
      <c r="Z205" s="231"/>
      <c r="AA205" s="231"/>
      <c r="AB205" s="231"/>
      <c r="AC205" s="231"/>
      <c r="AD205" s="231"/>
      <c r="AE205" s="231"/>
      <c r="AF205" s="231"/>
      <c r="AG205" s="231"/>
      <c r="AH205" s="231"/>
      <c r="AI205" s="231"/>
    </row>
    <row r="206" spans="1:35" s="203" customFormat="1">
      <c r="A206" s="120">
        <v>6</v>
      </c>
      <c r="B206" s="47" t="s">
        <v>169</v>
      </c>
      <c r="C206" s="47"/>
      <c r="D206" s="47"/>
      <c r="E206" s="49">
        <v>1618</v>
      </c>
      <c r="F206" s="52">
        <v>1640</v>
      </c>
      <c r="G206" s="118"/>
      <c r="H206" s="100">
        <v>1508</v>
      </c>
      <c r="I206" s="29"/>
      <c r="J206" s="231"/>
      <c r="K206" s="231"/>
      <c r="L206" s="231"/>
      <c r="M206" s="231"/>
      <c r="N206" s="231"/>
      <c r="O206" s="231"/>
      <c r="P206" s="231"/>
      <c r="Q206" s="231"/>
      <c r="R206" s="231"/>
      <c r="S206" s="231"/>
      <c r="T206" s="231"/>
      <c r="U206" s="231"/>
      <c r="V206" s="231"/>
      <c r="W206" s="231"/>
      <c r="X206" s="231"/>
      <c r="Y206" s="231"/>
      <c r="Z206" s="231"/>
      <c r="AA206" s="231"/>
      <c r="AB206" s="231"/>
      <c r="AC206" s="231"/>
      <c r="AD206" s="231"/>
      <c r="AE206" s="231"/>
      <c r="AF206" s="231"/>
      <c r="AG206" s="231"/>
      <c r="AH206" s="231"/>
      <c r="AI206" s="231"/>
    </row>
    <row r="207" spans="1:35" s="203" customFormat="1">
      <c r="A207" s="120">
        <v>7</v>
      </c>
      <c r="B207" s="116" t="s">
        <v>170</v>
      </c>
      <c r="C207" s="116"/>
      <c r="D207" s="116"/>
      <c r="E207" s="80">
        <v>12554</v>
      </c>
      <c r="F207" s="142">
        <f>SUM(F204:F206)</f>
        <v>12848</v>
      </c>
      <c r="G207" s="118"/>
      <c r="H207" s="142">
        <f>SUM(H204:H206)</f>
        <v>12001</v>
      </c>
      <c r="I207" s="29"/>
      <c r="J207" s="231"/>
      <c r="K207" s="231"/>
      <c r="L207" s="231"/>
      <c r="M207" s="231"/>
      <c r="N207" s="231"/>
      <c r="O207" s="231"/>
      <c r="P207" s="231"/>
      <c r="Q207" s="231"/>
      <c r="R207" s="231"/>
      <c r="S207" s="231"/>
      <c r="T207" s="231"/>
      <c r="U207" s="231"/>
      <c r="V207" s="231"/>
      <c r="W207" s="231"/>
      <c r="X207" s="231"/>
      <c r="Y207" s="231"/>
      <c r="Z207" s="231"/>
      <c r="AA207" s="231"/>
      <c r="AB207" s="231"/>
      <c r="AC207" s="231"/>
      <c r="AD207" s="231"/>
      <c r="AE207" s="231"/>
      <c r="AF207" s="231"/>
      <c r="AG207" s="231"/>
      <c r="AH207" s="231"/>
      <c r="AI207" s="231"/>
    </row>
    <row r="208" spans="1:35" s="203" customFormat="1">
      <c r="A208" s="46"/>
      <c r="B208" s="132"/>
      <c r="C208" s="132"/>
      <c r="D208" s="132"/>
      <c r="E208" s="156"/>
      <c r="F208" s="139"/>
      <c r="G208" s="139"/>
      <c r="H208" s="139"/>
      <c r="I208" s="29"/>
      <c r="J208" s="231"/>
      <c r="K208" s="231"/>
      <c r="L208" s="231"/>
      <c r="M208" s="231"/>
      <c r="N208" s="231"/>
      <c r="O208" s="231"/>
      <c r="P208" s="231"/>
      <c r="Q208" s="231"/>
      <c r="R208" s="231"/>
      <c r="S208" s="231"/>
      <c r="T208" s="231"/>
      <c r="U208" s="231"/>
      <c r="V208" s="231"/>
      <c r="W208" s="231"/>
      <c r="X208" s="231"/>
      <c r="Y208" s="231"/>
      <c r="Z208" s="231"/>
      <c r="AA208" s="231"/>
      <c r="AB208" s="231"/>
      <c r="AC208" s="231"/>
      <c r="AD208" s="231"/>
      <c r="AE208" s="231"/>
      <c r="AF208" s="231"/>
      <c r="AG208" s="231"/>
      <c r="AH208" s="231"/>
      <c r="AI208" s="231"/>
    </row>
    <row r="209" spans="1:35" s="203" customFormat="1">
      <c r="A209" s="153" t="s">
        <v>121</v>
      </c>
      <c r="B209" s="168"/>
      <c r="C209" s="168"/>
      <c r="D209" s="168"/>
      <c r="E209" s="140"/>
      <c r="F209" s="146"/>
      <c r="G209" s="118"/>
      <c r="H209" s="146"/>
      <c r="I209" s="29"/>
      <c r="J209" s="231"/>
      <c r="K209" s="231"/>
      <c r="L209" s="231"/>
      <c r="M209" s="231"/>
      <c r="N209" s="231"/>
      <c r="O209" s="231"/>
      <c r="P209" s="231"/>
      <c r="Q209" s="231"/>
      <c r="R209" s="231"/>
      <c r="S209" s="231"/>
      <c r="T209" s="231"/>
      <c r="U209" s="231"/>
      <c r="V209" s="231"/>
      <c r="W209" s="231"/>
      <c r="X209" s="231"/>
      <c r="Y209" s="231"/>
      <c r="Z209" s="231"/>
      <c r="AA209" s="231"/>
      <c r="AB209" s="231"/>
      <c r="AC209" s="231"/>
      <c r="AD209" s="231"/>
      <c r="AE209" s="231"/>
      <c r="AF209" s="231"/>
      <c r="AG209" s="231"/>
      <c r="AH209" s="231"/>
      <c r="AI209" s="231"/>
    </row>
    <row r="210" spans="1:35" s="203" customFormat="1">
      <c r="A210" s="120">
        <v>8</v>
      </c>
      <c r="B210" s="47" t="s">
        <v>171</v>
      </c>
      <c r="C210" s="47"/>
      <c r="D210" s="47"/>
      <c r="E210" s="74">
        <v>130</v>
      </c>
      <c r="F210" s="52">
        <v>216</v>
      </c>
      <c r="G210" s="118"/>
      <c r="H210" s="122">
        <v>36</v>
      </c>
      <c r="I210" s="29"/>
      <c r="J210" s="231"/>
      <c r="K210" s="231"/>
      <c r="L210" s="231"/>
      <c r="M210" s="231"/>
      <c r="N210" s="231"/>
      <c r="O210" s="231"/>
      <c r="P210" s="231"/>
      <c r="Q210" s="231"/>
      <c r="R210" s="231"/>
      <c r="S210" s="231"/>
      <c r="T210" s="231"/>
      <c r="U210" s="231"/>
      <c r="V210" s="231"/>
      <c r="W210" s="231"/>
      <c r="X210" s="231"/>
      <c r="Y210" s="231"/>
      <c r="Z210" s="231"/>
      <c r="AA210" s="231"/>
      <c r="AB210" s="231"/>
      <c r="AC210" s="231"/>
      <c r="AD210" s="231"/>
      <c r="AE210" s="231"/>
      <c r="AF210" s="231"/>
      <c r="AG210" s="231"/>
      <c r="AH210" s="231"/>
      <c r="AI210" s="231"/>
    </row>
    <row r="211" spans="1:35" s="203" customFormat="1">
      <c r="A211" s="120">
        <v>9</v>
      </c>
      <c r="B211" s="47" t="s">
        <v>172</v>
      </c>
      <c r="C211" s="47"/>
      <c r="D211" s="47"/>
      <c r="E211" s="49">
        <v>47</v>
      </c>
      <c r="F211" s="52">
        <v>34</v>
      </c>
      <c r="G211" s="118"/>
      <c r="H211" s="122">
        <v>35</v>
      </c>
      <c r="I211" s="29"/>
      <c r="J211" s="231"/>
      <c r="K211" s="231"/>
      <c r="L211" s="231"/>
      <c r="M211" s="231"/>
      <c r="N211" s="231"/>
      <c r="O211" s="231"/>
      <c r="P211" s="231"/>
      <c r="Q211" s="231"/>
      <c r="R211" s="231"/>
      <c r="S211" s="231"/>
      <c r="T211" s="231"/>
      <c r="U211" s="231"/>
      <c r="V211" s="231"/>
      <c r="W211" s="231"/>
      <c r="X211" s="231"/>
      <c r="Y211" s="231"/>
      <c r="Z211" s="231"/>
      <c r="AA211" s="231"/>
      <c r="AB211" s="231"/>
      <c r="AC211" s="231"/>
      <c r="AD211" s="231"/>
      <c r="AE211" s="231"/>
      <c r="AF211" s="231"/>
      <c r="AG211" s="231"/>
      <c r="AH211" s="231"/>
      <c r="AI211" s="231"/>
    </row>
    <row r="212" spans="1:35" s="203" customFormat="1">
      <c r="A212" s="120">
        <v>10</v>
      </c>
      <c r="B212" s="47" t="s">
        <v>173</v>
      </c>
      <c r="C212" s="47"/>
      <c r="D212" s="47"/>
      <c r="E212" s="49">
        <v>254</v>
      </c>
      <c r="F212" s="52">
        <v>199</v>
      </c>
      <c r="G212" s="118"/>
      <c r="H212" s="122">
        <v>197</v>
      </c>
      <c r="I212" s="29"/>
      <c r="J212" s="231"/>
      <c r="K212" s="231"/>
      <c r="L212" s="231"/>
      <c r="M212" s="231"/>
      <c r="N212" s="231"/>
      <c r="O212" s="231"/>
      <c r="P212" s="231"/>
      <c r="Q212" s="231"/>
      <c r="R212" s="231"/>
      <c r="S212" s="231"/>
      <c r="T212" s="231"/>
      <c r="U212" s="231"/>
      <c r="V212" s="231"/>
      <c r="W212" s="231"/>
      <c r="X212" s="231"/>
      <c r="Y212" s="231"/>
      <c r="Z212" s="231"/>
      <c r="AA212" s="231"/>
      <c r="AB212" s="231"/>
      <c r="AC212" s="231"/>
      <c r="AD212" s="231"/>
      <c r="AE212" s="231"/>
      <c r="AF212" s="231"/>
      <c r="AG212" s="231"/>
      <c r="AH212" s="231"/>
      <c r="AI212" s="231"/>
    </row>
    <row r="213" spans="1:35" s="203" customFormat="1">
      <c r="A213" s="120">
        <v>11</v>
      </c>
      <c r="B213" s="47" t="s">
        <v>174</v>
      </c>
      <c r="C213" s="47"/>
      <c r="D213" s="47"/>
      <c r="E213" s="49">
        <v>1562</v>
      </c>
      <c r="F213" s="52">
        <v>1498</v>
      </c>
      <c r="G213" s="118"/>
      <c r="H213" s="99">
        <v>1370</v>
      </c>
      <c r="I213" s="29"/>
      <c r="J213" s="231"/>
      <c r="K213" s="231"/>
      <c r="L213" s="231"/>
      <c r="M213" s="231"/>
      <c r="N213" s="231"/>
      <c r="O213" s="231"/>
      <c r="P213" s="231"/>
      <c r="Q213" s="231"/>
      <c r="R213" s="231"/>
      <c r="S213" s="231"/>
      <c r="T213" s="231"/>
      <c r="U213" s="231"/>
      <c r="V213" s="231"/>
      <c r="W213" s="231"/>
      <c r="X213" s="231"/>
      <c r="Y213" s="231"/>
      <c r="Z213" s="231"/>
      <c r="AA213" s="231"/>
      <c r="AB213" s="231"/>
      <c r="AC213" s="231"/>
      <c r="AD213" s="231"/>
      <c r="AE213" s="231"/>
      <c r="AF213" s="231"/>
      <c r="AG213" s="231"/>
      <c r="AH213" s="231"/>
      <c r="AI213" s="231"/>
    </row>
    <row r="214" spans="1:35" s="203" customFormat="1">
      <c r="A214" s="120">
        <v>12</v>
      </c>
      <c r="B214" s="116" t="s">
        <v>175</v>
      </c>
      <c r="C214" s="116"/>
      <c r="D214" s="116"/>
      <c r="E214" s="159">
        <v>15294</v>
      </c>
      <c r="F214" s="61">
        <f>F201+F207+SUM(F210:F213)</f>
        <v>15412</v>
      </c>
      <c r="G214" s="118"/>
      <c r="H214" s="61">
        <f>H201+H207+SUM(H210:H213)</f>
        <v>14406</v>
      </c>
      <c r="I214" s="29"/>
      <c r="J214" s="231"/>
      <c r="K214" s="231"/>
      <c r="L214" s="231"/>
      <c r="M214" s="231"/>
      <c r="N214" s="231"/>
      <c r="O214" s="231"/>
      <c r="P214" s="231"/>
      <c r="Q214" s="231"/>
      <c r="R214" s="231"/>
      <c r="S214" s="231"/>
      <c r="T214" s="231"/>
      <c r="U214" s="231"/>
      <c r="V214" s="231"/>
      <c r="W214" s="231"/>
      <c r="X214" s="231"/>
      <c r="Y214" s="231"/>
      <c r="Z214" s="231"/>
      <c r="AA214" s="231"/>
      <c r="AB214" s="231"/>
      <c r="AC214" s="231"/>
      <c r="AD214" s="231"/>
      <c r="AE214" s="231"/>
      <c r="AF214" s="231"/>
      <c r="AG214" s="231"/>
      <c r="AH214" s="231"/>
      <c r="AI214" s="231"/>
    </row>
    <row r="215" spans="1:35" s="203" customFormat="1">
      <c r="A215" s="111"/>
      <c r="B215" s="47"/>
      <c r="C215" s="47"/>
      <c r="D215" s="47"/>
      <c r="E215" s="117"/>
      <c r="F215" s="118"/>
      <c r="G215" s="118"/>
      <c r="H215" s="118"/>
      <c r="I215" s="29"/>
      <c r="J215" s="231"/>
      <c r="K215" s="231"/>
      <c r="L215" s="231"/>
      <c r="M215" s="231"/>
      <c r="N215" s="231"/>
      <c r="O215" s="231"/>
      <c r="P215" s="231"/>
      <c r="Q215" s="231"/>
      <c r="R215" s="231"/>
      <c r="S215" s="231"/>
      <c r="T215" s="231"/>
      <c r="U215" s="231"/>
      <c r="V215" s="231"/>
      <c r="W215" s="231"/>
      <c r="X215" s="231"/>
      <c r="Y215" s="231"/>
      <c r="Z215" s="231"/>
      <c r="AA215" s="231"/>
      <c r="AB215" s="231"/>
      <c r="AC215" s="231"/>
      <c r="AD215" s="231"/>
      <c r="AE215" s="231"/>
      <c r="AF215" s="231"/>
      <c r="AG215" s="231"/>
      <c r="AH215" s="231"/>
      <c r="AI215" s="231"/>
    </row>
    <row r="216" spans="1:35" s="203" customFormat="1">
      <c r="A216" s="119" t="s">
        <v>176</v>
      </c>
      <c r="B216" s="116"/>
      <c r="C216" s="116"/>
      <c r="D216" s="116"/>
      <c r="E216" s="117"/>
      <c r="F216" s="160"/>
      <c r="G216" s="118"/>
      <c r="H216" s="160"/>
      <c r="I216" s="29"/>
      <c r="J216" s="231"/>
      <c r="K216" s="231"/>
      <c r="L216" s="231"/>
      <c r="M216" s="231"/>
      <c r="N216" s="231"/>
      <c r="O216" s="231"/>
      <c r="P216" s="231"/>
      <c r="Q216" s="231"/>
      <c r="R216" s="231"/>
      <c r="S216" s="231"/>
      <c r="T216" s="231"/>
      <c r="U216" s="231"/>
      <c r="V216" s="231"/>
      <c r="W216" s="231"/>
      <c r="X216" s="231"/>
      <c r="Y216" s="231"/>
      <c r="Z216" s="231"/>
      <c r="AA216" s="231"/>
      <c r="AB216" s="231"/>
      <c r="AC216" s="231"/>
      <c r="AD216" s="231"/>
      <c r="AE216" s="231"/>
      <c r="AF216" s="231"/>
      <c r="AG216" s="231"/>
      <c r="AH216" s="231"/>
      <c r="AI216" s="231"/>
    </row>
    <row r="217" spans="1:35" s="203" customFormat="1">
      <c r="A217" s="120">
        <v>13</v>
      </c>
      <c r="B217" s="47" t="s">
        <v>177</v>
      </c>
      <c r="C217" s="47"/>
      <c r="D217" s="47"/>
      <c r="E217" s="41">
        <v>324</v>
      </c>
      <c r="F217" s="121">
        <v>329</v>
      </c>
      <c r="G217" s="118"/>
      <c r="H217" s="169">
        <v>302</v>
      </c>
      <c r="I217" s="29"/>
      <c r="J217" s="231"/>
      <c r="K217" s="231"/>
      <c r="L217" s="231"/>
      <c r="M217" s="231"/>
      <c r="N217" s="231"/>
      <c r="O217" s="231"/>
      <c r="P217" s="231"/>
      <c r="Q217" s="231"/>
      <c r="R217" s="231"/>
      <c r="S217" s="231"/>
      <c r="T217" s="231"/>
      <c r="U217" s="231"/>
      <c r="V217" s="231"/>
      <c r="W217" s="231"/>
      <c r="X217" s="231"/>
      <c r="Y217" s="231"/>
      <c r="Z217" s="231"/>
      <c r="AA217" s="231"/>
      <c r="AB217" s="231"/>
      <c r="AC217" s="231"/>
      <c r="AD217" s="231"/>
      <c r="AE217" s="231"/>
      <c r="AF217" s="231"/>
      <c r="AG217" s="231"/>
      <c r="AH217" s="231"/>
      <c r="AI217" s="231"/>
    </row>
    <row r="218" spans="1:35" s="203" customFormat="1">
      <c r="A218" s="124">
        <v>14</v>
      </c>
      <c r="B218" s="54" t="s">
        <v>178</v>
      </c>
      <c r="C218" s="54"/>
      <c r="D218" s="54"/>
      <c r="E218" s="56">
        <v>1458</v>
      </c>
      <c r="F218" s="126">
        <v>1479</v>
      </c>
      <c r="G218" s="118"/>
      <c r="H218" s="100">
        <v>1358</v>
      </c>
      <c r="I218" s="29"/>
      <c r="J218" s="231"/>
      <c r="K218" s="231"/>
      <c r="L218" s="231"/>
      <c r="M218" s="231"/>
      <c r="N218" s="231"/>
      <c r="O218" s="231"/>
      <c r="P218" s="231"/>
      <c r="Q218" s="231"/>
      <c r="R218" s="231"/>
      <c r="S218" s="231"/>
      <c r="T218" s="231"/>
      <c r="U218" s="231"/>
      <c r="V218" s="231"/>
      <c r="W218" s="231"/>
      <c r="X218" s="231"/>
      <c r="Y218" s="231"/>
      <c r="Z218" s="231"/>
      <c r="AA218" s="231"/>
      <c r="AB218" s="231"/>
      <c r="AC218" s="231"/>
      <c r="AD218" s="231"/>
      <c r="AE218" s="231"/>
      <c r="AF218" s="231"/>
      <c r="AG218" s="231"/>
      <c r="AH218" s="231"/>
      <c r="AI218" s="231"/>
    </row>
    <row r="219" spans="1:35" s="203" customFormat="1">
      <c r="A219" s="148"/>
      <c r="B219" s="29"/>
      <c r="C219" s="29"/>
      <c r="D219" s="170"/>
      <c r="E219" s="171"/>
      <c r="F219" s="29"/>
      <c r="G219" s="29"/>
      <c r="H219" s="207"/>
      <c r="I219" s="29"/>
      <c r="J219" s="231"/>
      <c r="K219" s="231"/>
      <c r="L219" s="231"/>
      <c r="M219" s="231"/>
      <c r="N219" s="231"/>
      <c r="O219" s="231"/>
      <c r="P219" s="231"/>
      <c r="Q219" s="231"/>
      <c r="R219" s="231"/>
      <c r="S219" s="231"/>
      <c r="T219" s="231"/>
      <c r="U219" s="231"/>
      <c r="V219" s="231"/>
      <c r="W219" s="231"/>
      <c r="X219" s="231"/>
      <c r="Y219" s="231"/>
      <c r="Z219" s="231"/>
      <c r="AA219" s="231"/>
      <c r="AB219" s="231"/>
      <c r="AC219" s="231"/>
      <c r="AD219" s="231"/>
      <c r="AE219" s="231"/>
      <c r="AF219" s="231"/>
      <c r="AG219" s="231"/>
      <c r="AH219" s="231"/>
      <c r="AI219" s="231"/>
    </row>
    <row r="220" spans="1:35" s="203" customFormat="1">
      <c r="A220" s="148"/>
      <c r="B220" s="29"/>
      <c r="C220" s="29"/>
      <c r="D220" s="172"/>
      <c r="E220" s="152"/>
      <c r="F220" s="29"/>
      <c r="G220" s="29"/>
      <c r="H220" s="131" t="s">
        <v>27</v>
      </c>
      <c r="I220" s="29"/>
      <c r="J220" s="231"/>
      <c r="K220" s="231"/>
      <c r="L220" s="231"/>
      <c r="M220" s="231"/>
      <c r="N220" s="231"/>
      <c r="O220" s="231"/>
      <c r="P220" s="231"/>
      <c r="Q220" s="231"/>
      <c r="R220" s="231"/>
      <c r="S220" s="231"/>
      <c r="T220" s="231"/>
      <c r="U220" s="231"/>
      <c r="V220" s="231"/>
      <c r="W220" s="231"/>
      <c r="X220" s="231"/>
      <c r="Y220" s="231"/>
      <c r="Z220" s="231"/>
      <c r="AA220" s="231"/>
      <c r="AB220" s="231"/>
      <c r="AC220" s="231"/>
      <c r="AD220" s="231"/>
      <c r="AE220" s="231"/>
      <c r="AF220" s="231"/>
      <c r="AG220" s="231"/>
      <c r="AH220" s="231"/>
      <c r="AI220" s="231"/>
    </row>
    <row r="221" spans="1:35" s="203" customFormat="1" ht="12.75" customHeight="1">
      <c r="A221" s="106" t="s">
        <v>10</v>
      </c>
      <c r="B221" s="164"/>
      <c r="C221" s="164"/>
      <c r="D221" s="164"/>
      <c r="E221" s="856" t="s">
        <v>377</v>
      </c>
      <c r="F221" s="856" t="s">
        <v>402</v>
      </c>
      <c r="G221" s="130"/>
      <c r="H221" s="856" t="s">
        <v>403</v>
      </c>
      <c r="I221" s="130"/>
      <c r="J221" s="231"/>
      <c r="K221" s="231"/>
      <c r="L221" s="231"/>
      <c r="M221" s="231"/>
      <c r="N221" s="231"/>
      <c r="O221" s="231"/>
      <c r="P221" s="231"/>
      <c r="Q221" s="231"/>
      <c r="R221" s="231"/>
      <c r="S221" s="231"/>
      <c r="T221" s="231"/>
      <c r="U221" s="231"/>
      <c r="V221" s="231"/>
      <c r="W221" s="231"/>
      <c r="X221" s="231"/>
      <c r="Y221" s="231"/>
      <c r="Z221" s="231"/>
      <c r="AA221" s="231"/>
      <c r="AB221" s="231"/>
      <c r="AC221" s="231"/>
      <c r="AD221" s="231"/>
      <c r="AE221" s="231"/>
      <c r="AF221" s="231"/>
      <c r="AG221" s="231"/>
      <c r="AH221" s="231"/>
      <c r="AI221" s="231"/>
    </row>
    <row r="222" spans="1:35" s="203" customFormat="1">
      <c r="A222" s="109"/>
      <c r="B222" s="132"/>
      <c r="C222" s="132"/>
      <c r="D222" s="132"/>
      <c r="E222" s="859"/>
      <c r="F222" s="859"/>
      <c r="G222" s="130"/>
      <c r="H222" s="859"/>
      <c r="I222" s="130"/>
      <c r="J222" s="231"/>
      <c r="K222" s="231"/>
      <c r="L222" s="231"/>
      <c r="M222" s="231"/>
      <c r="N222" s="231"/>
      <c r="O222" s="231"/>
      <c r="P222" s="231"/>
      <c r="Q222" s="231"/>
      <c r="R222" s="231"/>
      <c r="S222" s="231"/>
      <c r="T222" s="231"/>
      <c r="U222" s="231"/>
      <c r="V222" s="231"/>
      <c r="W222" s="231"/>
      <c r="X222" s="231"/>
      <c r="Y222" s="231"/>
      <c r="Z222" s="231"/>
      <c r="AA222" s="231"/>
      <c r="AB222" s="231"/>
      <c r="AC222" s="231"/>
      <c r="AD222" s="231"/>
      <c r="AE222" s="231"/>
      <c r="AF222" s="231"/>
      <c r="AG222" s="231"/>
      <c r="AH222" s="231"/>
      <c r="AI222" s="231"/>
    </row>
    <row r="223" spans="1:35" s="203" customFormat="1">
      <c r="A223" s="154" t="s">
        <v>179</v>
      </c>
      <c r="B223" s="116"/>
      <c r="C223" s="116"/>
      <c r="D223" s="116"/>
      <c r="E223" s="859"/>
      <c r="F223" s="859"/>
      <c r="G223" s="130"/>
      <c r="H223" s="859"/>
      <c r="I223" s="130"/>
      <c r="J223" s="231"/>
      <c r="K223" s="231"/>
      <c r="L223" s="231"/>
      <c r="M223" s="231"/>
      <c r="N223" s="231"/>
      <c r="O223" s="231"/>
      <c r="P223" s="231"/>
      <c r="Q223" s="231"/>
      <c r="R223" s="231"/>
      <c r="S223" s="231"/>
      <c r="T223" s="231"/>
      <c r="U223" s="231"/>
      <c r="V223" s="231"/>
      <c r="W223" s="231"/>
      <c r="X223" s="231"/>
      <c r="Y223" s="231"/>
      <c r="Z223" s="231"/>
      <c r="AA223" s="231"/>
      <c r="AB223" s="231"/>
      <c r="AC223" s="231"/>
      <c r="AD223" s="231"/>
      <c r="AE223" s="231"/>
      <c r="AF223" s="231"/>
      <c r="AG223" s="231"/>
      <c r="AH223" s="231"/>
      <c r="AI223" s="231"/>
    </row>
    <row r="224" spans="1:35" s="203" customFormat="1">
      <c r="A224" s="109" t="s">
        <v>83</v>
      </c>
      <c r="B224" s="47"/>
      <c r="C224" s="47"/>
      <c r="D224" s="47"/>
      <c r="E224" s="859"/>
      <c r="F224" s="859"/>
      <c r="G224" s="130"/>
      <c r="H224" s="859"/>
      <c r="I224" s="130"/>
      <c r="J224" s="231"/>
      <c r="K224" s="231"/>
      <c r="L224" s="231"/>
      <c r="M224" s="231"/>
      <c r="N224" s="231"/>
      <c r="O224" s="231"/>
      <c r="P224" s="231"/>
      <c r="Q224" s="231"/>
      <c r="R224" s="231"/>
      <c r="S224" s="231"/>
      <c r="T224" s="231"/>
      <c r="U224" s="231"/>
      <c r="V224" s="231"/>
      <c r="W224" s="231"/>
      <c r="X224" s="231"/>
      <c r="Y224" s="231"/>
      <c r="Z224" s="231"/>
      <c r="AA224" s="231"/>
      <c r="AB224" s="231"/>
      <c r="AC224" s="231"/>
      <c r="AD224" s="231"/>
      <c r="AE224" s="231"/>
      <c r="AF224" s="231"/>
      <c r="AG224" s="231"/>
      <c r="AH224" s="231"/>
      <c r="AI224" s="231"/>
    </row>
    <row r="225" spans="1:35" s="203" customFormat="1">
      <c r="A225" s="110" t="s">
        <v>84</v>
      </c>
      <c r="B225" s="132"/>
      <c r="C225" s="132"/>
      <c r="D225" s="132"/>
      <c r="E225" s="860"/>
      <c r="F225" s="860"/>
      <c r="G225" s="130"/>
      <c r="H225" s="860"/>
      <c r="I225" s="130"/>
      <c r="J225" s="231"/>
      <c r="K225" s="231"/>
      <c r="L225" s="231"/>
      <c r="M225" s="231"/>
      <c r="N225" s="231"/>
      <c r="O225" s="231"/>
      <c r="P225" s="231"/>
      <c r="Q225" s="231"/>
      <c r="R225" s="231"/>
      <c r="S225" s="231"/>
      <c r="T225" s="231"/>
      <c r="U225" s="231"/>
      <c r="V225" s="231"/>
      <c r="W225" s="231"/>
      <c r="X225" s="231"/>
      <c r="Y225" s="231"/>
      <c r="Z225" s="231"/>
      <c r="AA225" s="231"/>
      <c r="AB225" s="231"/>
      <c r="AC225" s="231"/>
      <c r="AD225" s="231"/>
      <c r="AE225" s="231"/>
      <c r="AF225" s="231"/>
      <c r="AG225" s="231"/>
      <c r="AH225" s="231"/>
      <c r="AI225" s="231"/>
    </row>
    <row r="226" spans="1:35" s="203" customFormat="1">
      <c r="A226" s="120">
        <v>1</v>
      </c>
      <c r="B226" s="47" t="s">
        <v>180</v>
      </c>
      <c r="C226" s="47"/>
      <c r="D226" s="47"/>
      <c r="E226" s="41">
        <v>-256</v>
      </c>
      <c r="F226" s="52">
        <v>-83</v>
      </c>
      <c r="G226" s="118"/>
      <c r="H226" s="133">
        <v>-285</v>
      </c>
      <c r="I226" s="29"/>
      <c r="J226" s="231"/>
      <c r="K226" s="231"/>
      <c r="L226" s="231"/>
      <c r="M226" s="231"/>
      <c r="N226" s="231"/>
      <c r="O226" s="231"/>
      <c r="P226" s="231"/>
      <c r="Q226" s="231"/>
      <c r="R226" s="231"/>
      <c r="S226" s="231"/>
      <c r="T226" s="231"/>
      <c r="U226" s="231"/>
      <c r="V226" s="231"/>
      <c r="W226" s="231"/>
      <c r="X226" s="231"/>
      <c r="Y226" s="231"/>
      <c r="Z226" s="231"/>
      <c r="AA226" s="231"/>
      <c r="AB226" s="231"/>
      <c r="AC226" s="231"/>
      <c r="AD226" s="231"/>
      <c r="AE226" s="231"/>
      <c r="AF226" s="231"/>
      <c r="AG226" s="231"/>
      <c r="AH226" s="231"/>
      <c r="AI226" s="231"/>
    </row>
    <row r="227" spans="1:35" s="203" customFormat="1">
      <c r="A227" s="120">
        <v>2</v>
      </c>
      <c r="B227" s="47" t="s">
        <v>181</v>
      </c>
      <c r="C227" s="47"/>
      <c r="D227" s="47"/>
      <c r="E227" s="49">
        <v>-18</v>
      </c>
      <c r="F227" s="52">
        <v>76</v>
      </c>
      <c r="G227" s="118"/>
      <c r="H227" s="122">
        <v>-35</v>
      </c>
      <c r="I227" s="29"/>
      <c r="J227" s="231"/>
      <c r="K227" s="231"/>
      <c r="L227" s="231"/>
      <c r="M227" s="231"/>
      <c r="N227" s="231"/>
      <c r="O227" s="231"/>
      <c r="P227" s="231"/>
      <c r="Q227" s="231"/>
      <c r="R227" s="231"/>
      <c r="S227" s="231"/>
      <c r="T227" s="231"/>
      <c r="U227" s="231"/>
      <c r="V227" s="231"/>
      <c r="W227" s="231"/>
      <c r="X227" s="231"/>
      <c r="Y227" s="231"/>
      <c r="Z227" s="231"/>
      <c r="AA227" s="231"/>
      <c r="AB227" s="231"/>
      <c r="AC227" s="231"/>
      <c r="AD227" s="231"/>
      <c r="AE227" s="231"/>
      <c r="AF227" s="231"/>
      <c r="AG227" s="231"/>
      <c r="AH227" s="231"/>
      <c r="AI227" s="231"/>
    </row>
    <row r="228" spans="1:35" s="203" customFormat="1">
      <c r="A228" s="120">
        <v>3</v>
      </c>
      <c r="B228" s="47" t="s">
        <v>182</v>
      </c>
      <c r="C228" s="47"/>
      <c r="D228" s="47"/>
      <c r="E228" s="114">
        <v>896</v>
      </c>
      <c r="F228" s="52">
        <v>846</v>
      </c>
      <c r="G228" s="118"/>
      <c r="H228" s="122">
        <v>860</v>
      </c>
      <c r="I228" s="29"/>
      <c r="J228" s="231"/>
      <c r="K228" s="231"/>
      <c r="L228" s="231"/>
      <c r="M228" s="231"/>
      <c r="N228" s="231"/>
      <c r="O228" s="231"/>
      <c r="P228" s="231"/>
      <c r="Q228" s="231"/>
      <c r="R228" s="231"/>
      <c r="S228" s="231"/>
      <c r="T228" s="231"/>
      <c r="U228" s="231"/>
      <c r="V228" s="231"/>
      <c r="W228" s="231"/>
      <c r="X228" s="231"/>
      <c r="Y228" s="231"/>
      <c r="Z228" s="231"/>
      <c r="AA228" s="231"/>
      <c r="AB228" s="231"/>
      <c r="AC228" s="231"/>
      <c r="AD228" s="231"/>
      <c r="AE228" s="231"/>
      <c r="AF228" s="231"/>
      <c r="AG228" s="231"/>
      <c r="AH228" s="231"/>
      <c r="AI228" s="231"/>
    </row>
    <row r="229" spans="1:35" s="203" customFormat="1">
      <c r="A229" s="120">
        <v>4</v>
      </c>
      <c r="B229" s="47" t="s">
        <v>183</v>
      </c>
      <c r="C229" s="47"/>
      <c r="D229" s="47"/>
      <c r="E229" s="114">
        <v>27</v>
      </c>
      <c r="F229" s="52">
        <v>78</v>
      </c>
      <c r="G229" s="118"/>
      <c r="H229" s="122">
        <v>79</v>
      </c>
      <c r="I229" s="29"/>
      <c r="J229" s="231"/>
      <c r="K229" s="231"/>
      <c r="L229" s="231"/>
      <c r="M229" s="231"/>
      <c r="N229" s="231"/>
      <c r="O229" s="231"/>
      <c r="P229" s="231"/>
      <c r="Q229" s="231"/>
      <c r="R229" s="231"/>
      <c r="S229" s="231"/>
      <c r="T229" s="231"/>
      <c r="U229" s="231"/>
      <c r="V229" s="231"/>
      <c r="W229" s="231"/>
      <c r="X229" s="231"/>
      <c r="Y229" s="231"/>
      <c r="Z229" s="231"/>
      <c r="AA229" s="231"/>
      <c r="AB229" s="231"/>
      <c r="AC229" s="231"/>
      <c r="AD229" s="231"/>
      <c r="AE229" s="231"/>
      <c r="AF229" s="231"/>
      <c r="AG229" s="231"/>
      <c r="AH229" s="231"/>
      <c r="AI229" s="231"/>
    </row>
    <row r="230" spans="1:35" s="203" customFormat="1">
      <c r="A230" s="120">
        <v>5</v>
      </c>
      <c r="B230" s="47" t="s">
        <v>184</v>
      </c>
      <c r="C230" s="47"/>
      <c r="D230" s="47"/>
      <c r="E230" s="114">
        <v>405</v>
      </c>
      <c r="F230" s="52">
        <v>494</v>
      </c>
      <c r="G230" s="118"/>
      <c r="H230" s="99">
        <v>520</v>
      </c>
      <c r="I230" s="29"/>
      <c r="J230" s="231"/>
      <c r="K230" s="231"/>
      <c r="L230" s="231"/>
      <c r="M230" s="231"/>
      <c r="N230" s="231"/>
      <c r="O230" s="231"/>
      <c r="P230" s="231"/>
      <c r="Q230" s="231"/>
      <c r="R230" s="231"/>
      <c r="S230" s="231"/>
      <c r="T230" s="231"/>
      <c r="U230" s="231"/>
      <c r="V230" s="231"/>
      <c r="W230" s="231"/>
      <c r="X230" s="231"/>
      <c r="Y230" s="231"/>
      <c r="Z230" s="231"/>
      <c r="AA230" s="231"/>
      <c r="AB230" s="231"/>
      <c r="AC230" s="231"/>
      <c r="AD230" s="231"/>
      <c r="AE230" s="231"/>
      <c r="AF230" s="231"/>
      <c r="AG230" s="231"/>
      <c r="AH230" s="231"/>
      <c r="AI230" s="231"/>
    </row>
    <row r="231" spans="1:35" s="203" customFormat="1">
      <c r="A231" s="124">
        <v>6</v>
      </c>
      <c r="B231" s="173" t="s">
        <v>185</v>
      </c>
      <c r="C231" s="173"/>
      <c r="D231" s="173"/>
      <c r="E231" s="159">
        <v>1054</v>
      </c>
      <c r="F231" s="61">
        <f>SUM(F226:F230)</f>
        <v>1411</v>
      </c>
      <c r="G231" s="118"/>
      <c r="H231" s="61">
        <f>SUM(H226:H230)</f>
        <v>1139</v>
      </c>
      <c r="I231" s="29"/>
      <c r="J231" s="231"/>
      <c r="K231" s="231"/>
      <c r="L231" s="231"/>
      <c r="M231" s="231"/>
      <c r="N231" s="231"/>
      <c r="O231" s="231"/>
      <c r="P231" s="231"/>
      <c r="Q231" s="231"/>
      <c r="R231" s="231"/>
      <c r="S231" s="231"/>
      <c r="T231" s="231"/>
      <c r="U231" s="231"/>
      <c r="V231" s="231"/>
      <c r="W231" s="231"/>
      <c r="X231" s="231"/>
      <c r="Y231" s="231"/>
      <c r="Z231" s="231"/>
      <c r="AA231" s="231"/>
      <c r="AB231" s="231"/>
      <c r="AC231" s="231"/>
      <c r="AD231" s="231"/>
      <c r="AE231" s="231"/>
      <c r="AF231" s="231"/>
      <c r="AG231" s="231"/>
      <c r="AH231" s="231"/>
      <c r="AI231" s="231"/>
    </row>
    <row r="232" spans="1:35" s="203" customFormat="1">
      <c r="A232" s="148"/>
      <c r="B232" s="29"/>
      <c r="C232" s="29"/>
      <c r="D232" s="170"/>
      <c r="E232" s="150"/>
      <c r="F232" s="29"/>
      <c r="G232" s="29"/>
      <c r="H232" s="207"/>
      <c r="I232" s="29"/>
      <c r="J232" s="231"/>
      <c r="K232" s="231"/>
      <c r="L232" s="231"/>
      <c r="M232" s="231"/>
      <c r="N232" s="231"/>
      <c r="O232" s="231"/>
      <c r="P232" s="231"/>
      <c r="Q232" s="231"/>
      <c r="R232" s="231"/>
      <c r="S232" s="231"/>
      <c r="T232" s="231"/>
      <c r="U232" s="231"/>
      <c r="V232" s="231"/>
      <c r="W232" s="231"/>
      <c r="X232" s="231"/>
      <c r="Y232" s="231"/>
      <c r="Z232" s="231"/>
      <c r="AA232" s="231"/>
      <c r="AB232" s="231"/>
      <c r="AC232" s="231"/>
      <c r="AD232" s="231"/>
      <c r="AE232" s="231"/>
      <c r="AF232" s="231"/>
      <c r="AG232" s="231"/>
      <c r="AH232" s="231"/>
      <c r="AI232" s="231"/>
    </row>
    <row r="233" spans="1:35" s="203" customFormat="1">
      <c r="A233" s="148"/>
      <c r="B233" s="29"/>
      <c r="C233" s="29"/>
      <c r="D233" s="172"/>
      <c r="E233" s="152"/>
      <c r="F233" s="29"/>
      <c r="G233" s="29"/>
      <c r="H233" s="131" t="s">
        <v>27</v>
      </c>
      <c r="I233" s="29"/>
      <c r="J233" s="231"/>
      <c r="K233" s="231"/>
      <c r="L233" s="231"/>
      <c r="M233" s="231"/>
      <c r="N233" s="231"/>
      <c r="O233" s="231"/>
      <c r="P233" s="231"/>
      <c r="Q233" s="231"/>
      <c r="R233" s="231"/>
      <c r="S233" s="231"/>
      <c r="T233" s="231"/>
      <c r="U233" s="231"/>
      <c r="V233" s="231"/>
      <c r="W233" s="231"/>
      <c r="X233" s="231"/>
      <c r="Y233" s="231"/>
      <c r="Z233" s="231"/>
      <c r="AA233" s="231"/>
      <c r="AB233" s="231"/>
      <c r="AC233" s="231"/>
      <c r="AD233" s="231"/>
      <c r="AE233" s="231"/>
      <c r="AF233" s="231"/>
      <c r="AG233" s="231"/>
      <c r="AH233" s="231"/>
      <c r="AI233" s="231"/>
    </row>
    <row r="234" spans="1:35" s="203" customFormat="1" ht="12.75" customHeight="1">
      <c r="A234" s="106" t="s">
        <v>12</v>
      </c>
      <c r="B234" s="164"/>
      <c r="C234" s="164"/>
      <c r="D234" s="164"/>
      <c r="E234" s="856" t="s">
        <v>377</v>
      </c>
      <c r="F234" s="856" t="s">
        <v>402</v>
      </c>
      <c r="G234" s="130"/>
      <c r="H234" s="856" t="s">
        <v>403</v>
      </c>
      <c r="I234" s="130"/>
      <c r="J234" s="231"/>
      <c r="K234" s="231"/>
      <c r="L234" s="231"/>
      <c r="M234" s="231"/>
      <c r="N234" s="231"/>
      <c r="O234" s="231"/>
      <c r="P234" s="231"/>
      <c r="Q234" s="231"/>
      <c r="R234" s="231"/>
      <c r="S234" s="231"/>
      <c r="T234" s="231"/>
      <c r="U234" s="231"/>
      <c r="V234" s="231"/>
      <c r="W234" s="231"/>
      <c r="X234" s="231"/>
      <c r="Y234" s="231"/>
      <c r="Z234" s="231"/>
      <c r="AA234" s="231"/>
      <c r="AB234" s="231"/>
      <c r="AC234" s="231"/>
      <c r="AD234" s="231"/>
      <c r="AE234" s="231"/>
      <c r="AF234" s="231"/>
      <c r="AG234" s="231"/>
      <c r="AH234" s="231"/>
      <c r="AI234" s="231"/>
    </row>
    <row r="235" spans="1:35" s="203" customFormat="1">
      <c r="A235" s="165"/>
      <c r="B235" s="47"/>
      <c r="C235" s="47"/>
      <c r="D235" s="47"/>
      <c r="E235" s="859"/>
      <c r="F235" s="859"/>
      <c r="G235" s="130"/>
      <c r="H235" s="859"/>
      <c r="I235" s="130"/>
      <c r="J235" s="231"/>
      <c r="K235" s="231"/>
      <c r="L235" s="231"/>
      <c r="M235" s="231"/>
      <c r="N235" s="231"/>
      <c r="O235" s="231"/>
      <c r="P235" s="231"/>
      <c r="Q235" s="231"/>
      <c r="R235" s="231"/>
      <c r="S235" s="231"/>
      <c r="T235" s="231"/>
      <c r="U235" s="231"/>
      <c r="V235" s="231"/>
      <c r="W235" s="231"/>
      <c r="X235" s="231"/>
      <c r="Y235" s="231"/>
      <c r="Z235" s="231"/>
      <c r="AA235" s="231"/>
      <c r="AB235" s="231"/>
      <c r="AC235" s="231"/>
      <c r="AD235" s="231"/>
      <c r="AE235" s="231"/>
      <c r="AF235" s="231"/>
      <c r="AG235" s="231"/>
      <c r="AH235" s="231"/>
      <c r="AI235" s="231"/>
    </row>
    <row r="236" spans="1:35" s="203" customFormat="1">
      <c r="A236" s="154" t="s">
        <v>186</v>
      </c>
      <c r="B236" s="174"/>
      <c r="C236" s="174"/>
      <c r="D236" s="174"/>
      <c r="E236" s="859"/>
      <c r="F236" s="859"/>
      <c r="G236" s="130"/>
      <c r="H236" s="859"/>
      <c r="I236" s="130"/>
      <c r="J236" s="231"/>
      <c r="K236" s="231"/>
      <c r="L236" s="231"/>
      <c r="M236" s="231"/>
      <c r="N236" s="231"/>
      <c r="O236" s="231"/>
      <c r="P236" s="231"/>
      <c r="Q236" s="231"/>
      <c r="R236" s="231"/>
      <c r="S236" s="231"/>
      <c r="T236" s="231"/>
      <c r="U236" s="231"/>
      <c r="V236" s="231"/>
      <c r="W236" s="231"/>
      <c r="X236" s="231"/>
      <c r="Y236" s="231"/>
      <c r="Z236" s="231"/>
      <c r="AA236" s="231"/>
      <c r="AB236" s="231"/>
      <c r="AC236" s="231"/>
      <c r="AD236" s="231"/>
      <c r="AE236" s="231"/>
      <c r="AF236" s="231"/>
      <c r="AG236" s="231"/>
      <c r="AH236" s="231"/>
      <c r="AI236" s="231"/>
    </row>
    <row r="237" spans="1:35" s="203" customFormat="1">
      <c r="A237" s="109" t="s">
        <v>83</v>
      </c>
      <c r="B237" s="47"/>
      <c r="C237" s="47"/>
      <c r="D237" s="47"/>
      <c r="E237" s="859"/>
      <c r="F237" s="859"/>
      <c r="G237" s="130"/>
      <c r="H237" s="859"/>
      <c r="I237" s="130"/>
      <c r="J237" s="231"/>
      <c r="K237" s="231"/>
      <c r="L237" s="231"/>
      <c r="M237" s="231"/>
      <c r="N237" s="231"/>
      <c r="O237" s="231"/>
      <c r="P237" s="231"/>
      <c r="Q237" s="231"/>
      <c r="R237" s="231"/>
      <c r="S237" s="231"/>
      <c r="T237" s="231"/>
      <c r="U237" s="231"/>
      <c r="V237" s="231"/>
      <c r="W237" s="231"/>
      <c r="X237" s="231"/>
      <c r="Y237" s="231"/>
      <c r="Z237" s="231"/>
      <c r="AA237" s="231"/>
      <c r="AB237" s="231"/>
      <c r="AC237" s="231"/>
      <c r="AD237" s="231"/>
      <c r="AE237" s="231"/>
      <c r="AF237" s="231"/>
      <c r="AG237" s="231"/>
      <c r="AH237" s="231"/>
      <c r="AI237" s="231"/>
    </row>
    <row r="238" spans="1:35" s="203" customFormat="1">
      <c r="A238" s="110" t="s">
        <v>84</v>
      </c>
      <c r="B238" s="174"/>
      <c r="C238" s="174"/>
      <c r="D238" s="174"/>
      <c r="E238" s="860"/>
      <c r="F238" s="860"/>
      <c r="G238" s="130"/>
      <c r="H238" s="860"/>
      <c r="I238" s="130"/>
      <c r="J238" s="231"/>
      <c r="K238" s="231"/>
      <c r="L238" s="231"/>
      <c r="M238" s="231"/>
      <c r="N238" s="231"/>
      <c r="O238" s="231"/>
      <c r="P238" s="231"/>
      <c r="Q238" s="231"/>
      <c r="R238" s="231"/>
      <c r="S238" s="231"/>
      <c r="T238" s="231"/>
      <c r="U238" s="231"/>
      <c r="V238" s="231"/>
      <c r="W238" s="231"/>
      <c r="X238" s="231"/>
      <c r="Y238" s="231"/>
      <c r="Z238" s="231"/>
      <c r="AA238" s="231"/>
      <c r="AB238" s="231"/>
      <c r="AC238" s="231"/>
      <c r="AD238" s="231"/>
      <c r="AE238" s="231"/>
      <c r="AF238" s="231"/>
      <c r="AG238" s="231"/>
      <c r="AH238" s="231"/>
      <c r="AI238" s="231"/>
    </row>
    <row r="239" spans="1:35" s="203" customFormat="1">
      <c r="A239" s="153" t="s">
        <v>187</v>
      </c>
      <c r="B239" s="116"/>
      <c r="C239" s="116"/>
      <c r="D239" s="116"/>
      <c r="E239" s="167"/>
      <c r="F239" s="146"/>
      <c r="G239" s="118"/>
      <c r="H239" s="146"/>
      <c r="I239" s="29"/>
      <c r="J239" s="231"/>
      <c r="K239" s="231"/>
      <c r="L239" s="231"/>
      <c r="M239" s="231"/>
      <c r="N239" s="231"/>
      <c r="O239" s="231"/>
      <c r="P239" s="231"/>
      <c r="Q239" s="231"/>
      <c r="R239" s="231"/>
      <c r="S239" s="231"/>
      <c r="T239" s="231"/>
      <c r="U239" s="231"/>
      <c r="V239" s="231"/>
      <c r="W239" s="231"/>
      <c r="X239" s="231"/>
      <c r="Y239" s="231"/>
      <c r="Z239" s="231"/>
      <c r="AA239" s="231"/>
      <c r="AB239" s="231"/>
      <c r="AC239" s="231"/>
      <c r="AD239" s="231"/>
      <c r="AE239" s="231"/>
      <c r="AF239" s="231"/>
      <c r="AG239" s="231"/>
      <c r="AH239" s="231"/>
      <c r="AI239" s="231"/>
    </row>
    <row r="240" spans="1:35" s="203" customFormat="1">
      <c r="A240" s="120">
        <v>1</v>
      </c>
      <c r="B240" s="47" t="s">
        <v>188</v>
      </c>
      <c r="C240" s="47"/>
      <c r="D240" s="47"/>
      <c r="E240" s="74">
        <v>804</v>
      </c>
      <c r="F240" s="52">
        <v>1179</v>
      </c>
      <c r="G240" s="118"/>
      <c r="H240" s="122">
        <v>1183</v>
      </c>
      <c r="I240" s="29"/>
      <c r="J240" s="231"/>
      <c r="K240" s="231"/>
      <c r="L240" s="231"/>
      <c r="M240" s="231"/>
      <c r="N240" s="231"/>
      <c r="O240" s="231"/>
      <c r="P240" s="231"/>
      <c r="Q240" s="231"/>
      <c r="R240" s="231"/>
      <c r="S240" s="231"/>
      <c r="T240" s="231"/>
      <c r="U240" s="231"/>
      <c r="V240" s="231"/>
      <c r="W240" s="231"/>
      <c r="X240" s="231"/>
      <c r="Y240" s="231"/>
      <c r="Z240" s="231"/>
      <c r="AA240" s="231"/>
      <c r="AB240" s="231"/>
      <c r="AC240" s="231"/>
      <c r="AD240" s="231"/>
      <c r="AE240" s="231"/>
      <c r="AF240" s="231"/>
      <c r="AG240" s="231"/>
      <c r="AH240" s="231"/>
      <c r="AI240" s="231"/>
    </row>
    <row r="241" spans="1:35" s="203" customFormat="1">
      <c r="A241" s="670">
        <v>2</v>
      </c>
      <c r="B241" s="47" t="s">
        <v>189</v>
      </c>
      <c r="C241" s="47"/>
      <c r="D241" s="47"/>
      <c r="E241" s="114">
        <v>2049</v>
      </c>
      <c r="F241" s="52">
        <v>1533</v>
      </c>
      <c r="G241" s="118"/>
      <c r="H241" s="100">
        <v>1521</v>
      </c>
      <c r="I241" s="29"/>
      <c r="J241" s="231"/>
      <c r="K241" s="231"/>
      <c r="L241" s="231"/>
      <c r="M241" s="231"/>
      <c r="N241" s="231"/>
      <c r="O241" s="231"/>
      <c r="P241" s="231"/>
      <c r="Q241" s="231"/>
      <c r="R241" s="231"/>
      <c r="S241" s="231"/>
      <c r="T241" s="231"/>
      <c r="U241" s="231"/>
      <c r="V241" s="231"/>
      <c r="W241" s="231"/>
      <c r="X241" s="231"/>
      <c r="Y241" s="231"/>
      <c r="Z241" s="231"/>
      <c r="AA241" s="231"/>
      <c r="AB241" s="231"/>
      <c r="AC241" s="231"/>
      <c r="AD241" s="231"/>
      <c r="AE241" s="231"/>
      <c r="AF241" s="231"/>
      <c r="AG241" s="231"/>
      <c r="AH241" s="231"/>
      <c r="AI241" s="231"/>
    </row>
    <row r="242" spans="1:35" s="203" customFormat="1">
      <c r="A242" s="670">
        <v>3</v>
      </c>
      <c r="B242" s="168" t="s">
        <v>190</v>
      </c>
      <c r="C242" s="168"/>
      <c r="D242" s="168"/>
      <c r="E242" s="80">
        <v>2853</v>
      </c>
      <c r="F242" s="142">
        <f>SUM(F240:F241)</f>
        <v>2712</v>
      </c>
      <c r="G242" s="118"/>
      <c r="H242" s="142">
        <f>SUM(H240:H241)</f>
        <v>2704</v>
      </c>
      <c r="I242" s="29"/>
      <c r="J242" s="231"/>
      <c r="K242" s="231"/>
      <c r="L242" s="231"/>
      <c r="M242" s="231"/>
      <c r="N242" s="231"/>
      <c r="O242" s="231"/>
      <c r="P242" s="231"/>
      <c r="Q242" s="231"/>
      <c r="R242" s="231"/>
      <c r="S242" s="231"/>
      <c r="T242" s="231"/>
      <c r="U242" s="231"/>
      <c r="V242" s="231"/>
      <c r="W242" s="231"/>
      <c r="X242" s="231"/>
      <c r="Y242" s="231"/>
      <c r="Z242" s="231"/>
      <c r="AA242" s="231"/>
      <c r="AB242" s="231"/>
      <c r="AC242" s="231"/>
      <c r="AD242" s="231"/>
      <c r="AE242" s="231"/>
      <c r="AF242" s="231"/>
      <c r="AG242" s="231"/>
      <c r="AH242" s="231"/>
      <c r="AI242" s="231"/>
    </row>
    <row r="243" spans="1:35" s="203" customFormat="1">
      <c r="A243" s="670"/>
      <c r="B243" s="116"/>
      <c r="C243" s="116"/>
      <c r="D243" s="116"/>
      <c r="E243" s="117"/>
      <c r="F243" s="118"/>
      <c r="G243" s="118"/>
      <c r="H243" s="118"/>
      <c r="I243" s="29"/>
      <c r="J243" s="231"/>
      <c r="K243" s="231"/>
      <c r="L243" s="231"/>
      <c r="M243" s="231"/>
      <c r="N243" s="231"/>
      <c r="O243" s="231"/>
      <c r="P243" s="231"/>
      <c r="Q243" s="231"/>
      <c r="R243" s="231"/>
      <c r="S243" s="231"/>
      <c r="T243" s="231"/>
      <c r="U243" s="231"/>
      <c r="V243" s="231"/>
      <c r="W243" s="231"/>
      <c r="X243" s="231"/>
      <c r="Y243" s="231"/>
      <c r="Z243" s="231"/>
      <c r="AA243" s="231"/>
      <c r="AB243" s="231"/>
      <c r="AC243" s="231"/>
      <c r="AD243" s="231"/>
      <c r="AE243" s="231"/>
      <c r="AF243" s="231"/>
      <c r="AG243" s="231"/>
      <c r="AH243" s="231"/>
      <c r="AI243" s="231"/>
    </row>
    <row r="244" spans="1:35" s="203" customFormat="1">
      <c r="A244" s="108" t="s">
        <v>191</v>
      </c>
      <c r="B244" s="47"/>
      <c r="C244" s="47"/>
      <c r="D244" s="47"/>
      <c r="E244" s="140"/>
      <c r="F244" s="146"/>
      <c r="G244" s="118"/>
      <c r="H244" s="146"/>
      <c r="I244" s="29"/>
      <c r="J244" s="231"/>
      <c r="K244" s="231"/>
      <c r="L244" s="231"/>
      <c r="M244" s="231"/>
      <c r="N244" s="231"/>
      <c r="O244" s="231"/>
      <c r="P244" s="231"/>
      <c r="Q244" s="231"/>
      <c r="R244" s="231"/>
      <c r="S244" s="231"/>
      <c r="T244" s="231"/>
      <c r="U244" s="231"/>
      <c r="V244" s="231"/>
      <c r="W244" s="231"/>
      <c r="X244" s="231"/>
      <c r="Y244" s="231"/>
      <c r="Z244" s="231"/>
      <c r="AA244" s="231"/>
      <c r="AB244" s="231"/>
      <c r="AC244" s="231"/>
      <c r="AD244" s="231"/>
      <c r="AE244" s="231"/>
      <c r="AF244" s="231"/>
      <c r="AG244" s="231"/>
      <c r="AH244" s="231"/>
      <c r="AI244" s="231"/>
    </row>
    <row r="245" spans="1:35" s="203" customFormat="1">
      <c r="A245" s="670">
        <v>4</v>
      </c>
      <c r="B245" s="47" t="s">
        <v>192</v>
      </c>
      <c r="C245" s="47"/>
      <c r="D245" s="47"/>
      <c r="E245" s="74">
        <v>2</v>
      </c>
      <c r="F245" s="52">
        <v>0</v>
      </c>
      <c r="G245" s="118"/>
      <c r="H245" s="122">
        <v>0</v>
      </c>
      <c r="I245" s="29"/>
      <c r="J245" s="231"/>
      <c r="K245" s="231"/>
      <c r="L245" s="231"/>
      <c r="M245" s="231"/>
      <c r="N245" s="231"/>
      <c r="O245" s="231"/>
      <c r="P245" s="231"/>
      <c r="Q245" s="231"/>
      <c r="R245" s="231"/>
      <c r="S245" s="231"/>
      <c r="T245" s="231"/>
      <c r="U245" s="231"/>
      <c r="V245" s="231"/>
      <c r="W245" s="231"/>
      <c r="X245" s="231"/>
      <c r="Y245" s="231"/>
      <c r="Z245" s="231"/>
      <c r="AA245" s="231"/>
      <c r="AB245" s="231"/>
      <c r="AC245" s="231"/>
      <c r="AD245" s="231"/>
      <c r="AE245" s="231"/>
      <c r="AF245" s="231"/>
      <c r="AG245" s="231"/>
      <c r="AH245" s="231"/>
      <c r="AI245" s="231"/>
    </row>
    <row r="246" spans="1:35" s="203" customFormat="1">
      <c r="A246" s="670">
        <v>5</v>
      </c>
      <c r="B246" s="47" t="s">
        <v>193</v>
      </c>
      <c r="C246" s="47"/>
      <c r="D246" s="47"/>
      <c r="E246" s="49">
        <v>169</v>
      </c>
      <c r="F246" s="52">
        <v>318</v>
      </c>
      <c r="G246" s="118"/>
      <c r="H246" s="100">
        <v>379</v>
      </c>
      <c r="I246" s="29"/>
      <c r="J246" s="231"/>
      <c r="K246" s="231"/>
      <c r="L246" s="231"/>
      <c r="M246" s="231"/>
      <c r="N246" s="231"/>
      <c r="O246" s="231"/>
      <c r="P246" s="231"/>
      <c r="Q246" s="231"/>
      <c r="R246" s="231"/>
      <c r="S246" s="231"/>
      <c r="T246" s="231"/>
      <c r="U246" s="231"/>
      <c r="V246" s="231"/>
      <c r="W246" s="231"/>
      <c r="X246" s="231"/>
      <c r="Y246" s="231"/>
      <c r="Z246" s="231"/>
      <c r="AA246" s="231"/>
      <c r="AB246" s="231"/>
      <c r="AC246" s="231"/>
      <c r="AD246" s="231"/>
      <c r="AE246" s="231"/>
      <c r="AF246" s="231"/>
      <c r="AG246" s="231"/>
      <c r="AH246" s="231"/>
      <c r="AI246" s="231"/>
    </row>
    <row r="247" spans="1:35" s="203" customFormat="1">
      <c r="A247" s="670">
        <v>6</v>
      </c>
      <c r="B247" s="116" t="s">
        <v>194</v>
      </c>
      <c r="C247" s="116"/>
      <c r="D247" s="116"/>
      <c r="E247" s="80">
        <v>171</v>
      </c>
      <c r="F247" s="142">
        <f>SUM(F245:F246)</f>
        <v>318</v>
      </c>
      <c r="G247" s="118"/>
      <c r="H247" s="142">
        <f>SUM(H245:H246)</f>
        <v>379</v>
      </c>
      <c r="I247" s="29"/>
      <c r="J247" s="231"/>
      <c r="K247" s="231"/>
      <c r="L247" s="231"/>
      <c r="M247" s="231"/>
      <c r="N247" s="231"/>
      <c r="O247" s="231"/>
      <c r="P247" s="231"/>
      <c r="Q247" s="231"/>
      <c r="R247" s="231"/>
      <c r="S247" s="231"/>
      <c r="T247" s="231"/>
      <c r="U247" s="231"/>
      <c r="V247" s="231"/>
      <c r="W247" s="231"/>
      <c r="X247" s="231"/>
      <c r="Y247" s="231"/>
      <c r="Z247" s="231"/>
      <c r="AA247" s="231"/>
      <c r="AB247" s="231"/>
      <c r="AC247" s="231"/>
      <c r="AD247" s="231"/>
      <c r="AE247" s="231"/>
      <c r="AF247" s="231"/>
      <c r="AG247" s="231"/>
      <c r="AH247" s="231"/>
      <c r="AI247" s="231"/>
    </row>
    <row r="248" spans="1:35" s="203" customFormat="1">
      <c r="A248" s="670"/>
      <c r="B248" s="116"/>
      <c r="C248" s="116"/>
      <c r="D248" s="116"/>
      <c r="E248" s="117"/>
      <c r="F248" s="118"/>
      <c r="G248" s="118"/>
      <c r="H248" s="118"/>
      <c r="I248" s="29"/>
      <c r="J248" s="231"/>
      <c r="K248" s="231"/>
      <c r="L248" s="231"/>
      <c r="M248" s="231"/>
      <c r="N248" s="231"/>
      <c r="O248" s="231"/>
      <c r="P248" s="231"/>
      <c r="Q248" s="231"/>
      <c r="R248" s="231"/>
      <c r="S248" s="231"/>
      <c r="T248" s="231"/>
      <c r="U248" s="231"/>
      <c r="V248" s="231"/>
      <c r="W248" s="231"/>
      <c r="X248" s="231"/>
      <c r="Y248" s="231"/>
      <c r="Z248" s="231"/>
      <c r="AA248" s="231"/>
      <c r="AB248" s="231"/>
      <c r="AC248" s="231"/>
      <c r="AD248" s="231"/>
      <c r="AE248" s="231"/>
      <c r="AF248" s="231"/>
      <c r="AG248" s="231"/>
      <c r="AH248" s="231"/>
      <c r="AI248" s="231"/>
    </row>
    <row r="249" spans="1:35" s="203" customFormat="1">
      <c r="A249" s="108" t="s">
        <v>195</v>
      </c>
      <c r="B249" s="116"/>
      <c r="C249" s="116"/>
      <c r="D249" s="116"/>
      <c r="E249" s="140"/>
      <c r="F249" s="146"/>
      <c r="G249" s="118"/>
      <c r="H249" s="146"/>
      <c r="I249" s="29"/>
      <c r="J249" s="231"/>
      <c r="K249" s="231"/>
      <c r="L249" s="231"/>
      <c r="M249" s="231"/>
      <c r="N249" s="231"/>
      <c r="O249" s="231"/>
      <c r="P249" s="231"/>
      <c r="Q249" s="231"/>
      <c r="R249" s="231"/>
      <c r="S249" s="231"/>
      <c r="T249" s="231"/>
      <c r="U249" s="231"/>
      <c r="V249" s="231"/>
      <c r="W249" s="231"/>
      <c r="X249" s="231"/>
      <c r="Y249" s="231"/>
      <c r="Z249" s="231"/>
      <c r="AA249" s="231"/>
      <c r="AB249" s="231"/>
      <c r="AC249" s="231"/>
      <c r="AD249" s="231"/>
      <c r="AE249" s="231"/>
      <c r="AF249" s="231"/>
      <c r="AG249" s="231"/>
      <c r="AH249" s="231"/>
      <c r="AI249" s="231"/>
    </row>
    <row r="250" spans="1:35" s="203" customFormat="1">
      <c r="A250" s="670">
        <v>7</v>
      </c>
      <c r="B250" s="47" t="s">
        <v>196</v>
      </c>
      <c r="C250" s="47"/>
      <c r="D250" s="47"/>
      <c r="E250" s="74">
        <v>438</v>
      </c>
      <c r="F250" s="52">
        <v>488</v>
      </c>
      <c r="G250" s="118"/>
      <c r="H250" s="52">
        <v>502</v>
      </c>
      <c r="I250" s="29"/>
      <c r="J250" s="231"/>
      <c r="K250" s="231"/>
      <c r="L250" s="231"/>
      <c r="M250" s="231"/>
      <c r="N250" s="231"/>
      <c r="O250" s="231"/>
      <c r="P250" s="231"/>
      <c r="Q250" s="231"/>
      <c r="R250" s="231"/>
      <c r="S250" s="231"/>
      <c r="T250" s="231"/>
      <c r="U250" s="231"/>
      <c r="V250" s="231"/>
      <c r="W250" s="231"/>
      <c r="X250" s="231"/>
      <c r="Y250" s="231"/>
      <c r="Z250" s="231"/>
      <c r="AA250" s="231"/>
      <c r="AB250" s="231"/>
      <c r="AC250" s="231"/>
      <c r="AD250" s="231"/>
      <c r="AE250" s="231"/>
      <c r="AF250" s="231"/>
      <c r="AG250" s="231"/>
      <c r="AH250" s="231"/>
      <c r="AI250" s="231"/>
    </row>
    <row r="251" spans="1:35" s="203" customFormat="1">
      <c r="A251" s="670">
        <v>8</v>
      </c>
      <c r="B251" s="47" t="s">
        <v>197</v>
      </c>
      <c r="C251" s="47"/>
      <c r="D251" s="47"/>
      <c r="E251" s="49">
        <v>2519</v>
      </c>
      <c r="F251" s="52">
        <v>2709</v>
      </c>
      <c r="G251" s="118"/>
      <c r="H251" s="122">
        <v>2317</v>
      </c>
      <c r="I251" s="29"/>
      <c r="J251" s="231"/>
      <c r="K251" s="231"/>
      <c r="L251" s="231"/>
      <c r="M251" s="231"/>
      <c r="N251" s="231"/>
      <c r="O251" s="231"/>
      <c r="P251" s="231"/>
      <c r="Q251" s="231"/>
      <c r="R251" s="231"/>
      <c r="S251" s="231"/>
      <c r="T251" s="231"/>
      <c r="U251" s="231"/>
      <c r="V251" s="231"/>
      <c r="W251" s="231"/>
      <c r="X251" s="231"/>
      <c r="Y251" s="231"/>
      <c r="Z251" s="231"/>
      <c r="AA251" s="231"/>
      <c r="AB251" s="231"/>
      <c r="AC251" s="231"/>
      <c r="AD251" s="231"/>
      <c r="AE251" s="231"/>
      <c r="AF251" s="231"/>
      <c r="AG251" s="231"/>
      <c r="AH251" s="231"/>
      <c r="AI251" s="231"/>
    </row>
    <row r="252" spans="1:35" s="203" customFormat="1">
      <c r="A252" s="670">
        <v>9</v>
      </c>
      <c r="B252" s="47" t="s">
        <v>198</v>
      </c>
      <c r="C252" s="47"/>
      <c r="D252" s="47"/>
      <c r="E252" s="49">
        <v>3974</v>
      </c>
      <c r="F252" s="52">
        <v>4002</v>
      </c>
      <c r="G252" s="118"/>
      <c r="H252" s="122">
        <v>3684</v>
      </c>
      <c r="I252" s="29"/>
      <c r="J252" s="231"/>
      <c r="K252" s="231"/>
      <c r="L252" s="231"/>
      <c r="M252" s="231"/>
      <c r="N252" s="231"/>
      <c r="O252" s="231"/>
      <c r="P252" s="231"/>
      <c r="Q252" s="231"/>
      <c r="R252" s="231"/>
      <c r="S252" s="231"/>
      <c r="T252" s="231"/>
      <c r="U252" s="231"/>
      <c r="V252" s="231"/>
      <c r="W252" s="231"/>
      <c r="X252" s="231"/>
      <c r="Y252" s="231"/>
      <c r="Z252" s="231"/>
      <c r="AA252" s="231"/>
      <c r="AB252" s="231"/>
      <c r="AC252" s="231"/>
      <c r="AD252" s="231"/>
      <c r="AE252" s="231"/>
      <c r="AF252" s="231"/>
      <c r="AG252" s="231"/>
      <c r="AH252" s="231"/>
      <c r="AI252" s="231"/>
    </row>
    <row r="253" spans="1:35" s="203" customFormat="1">
      <c r="A253" s="670">
        <v>10</v>
      </c>
      <c r="B253" s="47" t="s">
        <v>199</v>
      </c>
      <c r="C253" s="47"/>
      <c r="D253" s="47"/>
      <c r="E253" s="49">
        <v>4</v>
      </c>
      <c r="F253" s="52">
        <v>4</v>
      </c>
      <c r="G253" s="118"/>
      <c r="H253" s="100">
        <v>4</v>
      </c>
      <c r="I253" s="29"/>
      <c r="J253" s="231"/>
      <c r="K253" s="231"/>
      <c r="L253" s="231"/>
      <c r="M253" s="231"/>
      <c r="N253" s="231"/>
      <c r="O253" s="231"/>
      <c r="P253" s="231"/>
      <c r="Q253" s="231"/>
      <c r="R253" s="231"/>
      <c r="S253" s="231"/>
      <c r="T253" s="231"/>
      <c r="U253" s="231"/>
      <c r="V253" s="231"/>
      <c r="W253" s="231"/>
      <c r="X253" s="231"/>
      <c r="Y253" s="231"/>
      <c r="Z253" s="231"/>
      <c r="AA253" s="231"/>
      <c r="AB253" s="231"/>
      <c r="AC253" s="231"/>
      <c r="AD253" s="231"/>
      <c r="AE253" s="231"/>
      <c r="AF253" s="231"/>
      <c r="AG253" s="231"/>
      <c r="AH253" s="231"/>
      <c r="AI253" s="231"/>
    </row>
    <row r="254" spans="1:35" s="203" customFormat="1">
      <c r="A254" s="670">
        <v>11</v>
      </c>
      <c r="B254" s="116" t="s">
        <v>200</v>
      </c>
      <c r="C254" s="116"/>
      <c r="D254" s="116"/>
      <c r="E254" s="80">
        <v>6935</v>
      </c>
      <c r="F254" s="142">
        <f>SUM(F250:F253)</f>
        <v>7203</v>
      </c>
      <c r="G254" s="118"/>
      <c r="H254" s="142">
        <f>SUM(H250:H253)</f>
        <v>6507</v>
      </c>
      <c r="I254" s="260"/>
      <c r="J254" s="231"/>
      <c r="K254" s="231"/>
      <c r="L254" s="231"/>
      <c r="M254" s="231"/>
      <c r="N254" s="231"/>
      <c r="O254" s="231"/>
      <c r="P254" s="231"/>
      <c r="Q254" s="231"/>
      <c r="R254" s="231"/>
      <c r="S254" s="231"/>
      <c r="T254" s="231"/>
      <c r="U254" s="231"/>
      <c r="V254" s="231"/>
      <c r="W254" s="231"/>
      <c r="X254" s="231"/>
      <c r="Y254" s="231"/>
      <c r="Z254" s="231"/>
      <c r="AA254" s="231"/>
      <c r="AB254" s="231"/>
      <c r="AC254" s="231"/>
      <c r="AD254" s="231"/>
      <c r="AE254" s="231"/>
      <c r="AF254" s="231"/>
      <c r="AG254" s="231"/>
      <c r="AH254" s="231"/>
      <c r="AI254" s="231"/>
    </row>
    <row r="255" spans="1:35" s="203" customFormat="1">
      <c r="A255" s="670"/>
      <c r="B255" s="116"/>
      <c r="C255" s="116"/>
      <c r="D255" s="116"/>
      <c r="E255" s="117"/>
      <c r="F255" s="118"/>
      <c r="G255" s="118"/>
      <c r="H255" s="118"/>
      <c r="I255" s="29"/>
      <c r="J255" s="231"/>
      <c r="K255" s="231"/>
      <c r="L255" s="231"/>
      <c r="M255" s="231"/>
      <c r="N255" s="231"/>
      <c r="O255" s="231"/>
      <c r="P255" s="231"/>
      <c r="Q255" s="231"/>
      <c r="R255" s="231"/>
      <c r="S255" s="231"/>
      <c r="T255" s="231"/>
      <c r="U255" s="231"/>
      <c r="V255" s="231"/>
      <c r="W255" s="231"/>
      <c r="X255" s="231"/>
      <c r="Y255" s="231"/>
      <c r="Z255" s="231"/>
      <c r="AA255" s="231"/>
      <c r="AB255" s="231"/>
      <c r="AC255" s="231"/>
      <c r="AD255" s="231"/>
      <c r="AE255" s="231"/>
      <c r="AF255" s="231"/>
      <c r="AG255" s="231"/>
      <c r="AH255" s="231"/>
      <c r="AI255" s="231"/>
    </row>
    <row r="256" spans="1:35" s="203" customFormat="1">
      <c r="A256" s="670">
        <v>12</v>
      </c>
      <c r="B256" s="47" t="s">
        <v>201</v>
      </c>
      <c r="C256" s="47"/>
      <c r="D256" s="47"/>
      <c r="E256" s="176">
        <v>1472</v>
      </c>
      <c r="F256" s="136">
        <v>1692</v>
      </c>
      <c r="G256" s="118"/>
      <c r="H256" s="177">
        <v>1712</v>
      </c>
      <c r="I256" s="260"/>
      <c r="J256" s="231"/>
      <c r="K256" s="231"/>
      <c r="L256" s="231"/>
      <c r="M256" s="231"/>
      <c r="N256" s="231"/>
      <c r="O256" s="231"/>
      <c r="P256" s="231"/>
      <c r="Q256" s="231"/>
      <c r="R256" s="231"/>
      <c r="S256" s="231"/>
      <c r="T256" s="231"/>
      <c r="U256" s="231"/>
      <c r="V256" s="231"/>
      <c r="W256" s="231"/>
      <c r="X256" s="231"/>
      <c r="Y256" s="231"/>
      <c r="Z256" s="231"/>
      <c r="AA256" s="231"/>
      <c r="AB256" s="231"/>
      <c r="AC256" s="231"/>
      <c r="AD256" s="231"/>
      <c r="AE256" s="231"/>
      <c r="AF256" s="231"/>
      <c r="AG256" s="231"/>
      <c r="AH256" s="231"/>
      <c r="AI256" s="231"/>
    </row>
    <row r="257" spans="1:35" s="203" customFormat="1">
      <c r="A257" s="124">
        <v>13</v>
      </c>
      <c r="B257" s="94" t="s">
        <v>202</v>
      </c>
      <c r="C257" s="94"/>
      <c r="D257" s="94"/>
      <c r="E257" s="159">
        <v>11431</v>
      </c>
      <c r="F257" s="61">
        <f>F242+F247+F254+F256</f>
        <v>11925</v>
      </c>
      <c r="G257" s="118"/>
      <c r="H257" s="61">
        <f>H242+H247+H254+H256</f>
        <v>11302</v>
      </c>
      <c r="I257" s="21"/>
      <c r="J257" s="231"/>
      <c r="K257" s="231"/>
      <c r="L257" s="231"/>
      <c r="M257" s="231"/>
      <c r="N257" s="231"/>
      <c r="O257" s="231"/>
      <c r="P257" s="231"/>
      <c r="Q257" s="231"/>
      <c r="R257" s="231"/>
      <c r="S257" s="231"/>
      <c r="T257" s="231"/>
      <c r="U257" s="231"/>
      <c r="V257" s="231"/>
      <c r="W257" s="231"/>
      <c r="X257" s="231"/>
      <c r="Y257" s="231"/>
      <c r="Z257" s="231"/>
      <c r="AA257" s="231"/>
      <c r="AB257" s="231"/>
      <c r="AC257" s="231"/>
      <c r="AD257" s="231"/>
      <c r="AE257" s="231"/>
      <c r="AF257" s="231"/>
      <c r="AG257" s="231"/>
      <c r="AH257" s="231"/>
      <c r="AI257" s="231"/>
    </row>
    <row r="258" spans="1:35" s="203" customFormat="1">
      <c r="A258" s="207"/>
      <c r="B258" s="207"/>
      <c r="C258" s="207"/>
      <c r="D258" s="208"/>
      <c r="E258" s="208"/>
      <c r="F258" s="207"/>
      <c r="G258" s="207"/>
      <c r="H258" s="207"/>
      <c r="I258" s="21"/>
      <c r="J258" s="231"/>
      <c r="K258" s="231"/>
      <c r="L258" s="231"/>
      <c r="M258" s="231"/>
      <c r="N258" s="231"/>
      <c r="O258" s="231"/>
      <c r="P258" s="231"/>
      <c r="Q258" s="231"/>
      <c r="R258" s="231"/>
      <c r="S258" s="231"/>
      <c r="T258" s="231"/>
      <c r="U258" s="231"/>
      <c r="V258" s="231"/>
      <c r="W258" s="231"/>
      <c r="X258" s="231"/>
      <c r="Y258" s="231"/>
      <c r="Z258" s="231"/>
      <c r="AA258" s="231"/>
      <c r="AB258" s="231"/>
      <c r="AC258" s="231"/>
      <c r="AD258" s="231"/>
      <c r="AE258" s="231"/>
      <c r="AF258" s="231"/>
      <c r="AG258" s="231"/>
      <c r="AH258" s="231"/>
      <c r="AI258" s="231"/>
    </row>
    <row r="259" spans="1:35" s="203" customFormat="1">
      <c r="A259" s="23"/>
      <c r="B259" s="207"/>
      <c r="C259" s="207"/>
      <c r="D259" s="207"/>
      <c r="E259" s="207"/>
      <c r="F259" s="207"/>
      <c r="G259" s="207"/>
      <c r="H259" s="21"/>
      <c r="I259" s="21"/>
      <c r="J259" s="231"/>
      <c r="K259" s="231"/>
      <c r="L259" s="231"/>
      <c r="M259" s="231"/>
      <c r="N259" s="231"/>
      <c r="O259" s="231"/>
      <c r="P259" s="231"/>
      <c r="Q259" s="231"/>
      <c r="R259" s="231"/>
      <c r="S259" s="231"/>
      <c r="T259" s="231"/>
      <c r="U259" s="231"/>
      <c r="V259" s="231"/>
      <c r="W259" s="231"/>
      <c r="X259" s="231"/>
      <c r="Y259" s="231"/>
      <c r="Z259" s="231"/>
      <c r="AA259" s="231"/>
      <c r="AB259" s="231"/>
      <c r="AC259" s="231"/>
      <c r="AD259" s="231"/>
      <c r="AE259" s="231"/>
      <c r="AF259" s="231"/>
      <c r="AG259" s="231"/>
      <c r="AH259" s="231"/>
      <c r="AI259" s="231"/>
    </row>
    <row r="260" spans="1:35" s="203" customFormat="1">
      <c r="A260" s="148"/>
      <c r="B260" s="29"/>
      <c r="C260" s="29"/>
      <c r="D260" s="172"/>
      <c r="E260" s="152"/>
      <c r="F260" s="29"/>
      <c r="G260" s="29"/>
      <c r="H260" s="131" t="s">
        <v>27</v>
      </c>
      <c r="I260" s="21"/>
      <c r="J260" s="231"/>
      <c r="K260" s="231"/>
      <c r="L260" s="231"/>
      <c r="M260" s="231"/>
      <c r="N260" s="231"/>
      <c r="O260" s="231"/>
      <c r="P260" s="231"/>
      <c r="Q260" s="231"/>
      <c r="R260" s="231"/>
      <c r="S260" s="231"/>
      <c r="T260" s="231"/>
      <c r="U260" s="231"/>
      <c r="V260" s="231"/>
      <c r="W260" s="231"/>
      <c r="X260" s="231"/>
      <c r="Y260" s="231"/>
      <c r="Z260" s="231"/>
      <c r="AA260" s="231"/>
      <c r="AB260" s="231"/>
      <c r="AC260" s="231"/>
      <c r="AD260" s="231"/>
      <c r="AE260" s="231"/>
      <c r="AF260" s="231"/>
      <c r="AG260" s="231"/>
      <c r="AH260" s="231"/>
      <c r="AI260" s="231"/>
    </row>
    <row r="261" spans="1:35" s="203" customFormat="1" ht="12.75" customHeight="1">
      <c r="A261" s="106" t="s">
        <v>15</v>
      </c>
      <c r="B261" s="164"/>
      <c r="C261" s="164"/>
      <c r="D261" s="164"/>
      <c r="E261" s="856" t="s">
        <v>377</v>
      </c>
      <c r="F261" s="856" t="s">
        <v>402</v>
      </c>
      <c r="G261" s="130"/>
      <c r="H261" s="856" t="s">
        <v>403</v>
      </c>
      <c r="I261" s="21"/>
      <c r="J261" s="231"/>
      <c r="K261" s="231"/>
      <c r="L261" s="231"/>
      <c r="M261" s="231"/>
      <c r="N261" s="231"/>
      <c r="O261" s="231"/>
      <c r="P261" s="231"/>
      <c r="Q261" s="231"/>
      <c r="R261" s="231"/>
      <c r="S261" s="231"/>
      <c r="T261" s="231"/>
      <c r="U261" s="231"/>
      <c r="V261" s="231"/>
      <c r="W261" s="231"/>
      <c r="X261" s="231"/>
      <c r="Y261" s="231"/>
      <c r="Z261" s="231"/>
      <c r="AA261" s="231"/>
      <c r="AB261" s="231"/>
      <c r="AC261" s="231"/>
      <c r="AD261" s="231"/>
      <c r="AE261" s="231"/>
      <c r="AF261" s="231"/>
      <c r="AG261" s="231"/>
      <c r="AH261" s="231"/>
      <c r="AI261" s="231"/>
    </row>
    <row r="262" spans="1:35" s="203" customFormat="1">
      <c r="A262" s="165"/>
      <c r="B262" s="47"/>
      <c r="C262" s="47"/>
      <c r="D262" s="47"/>
      <c r="E262" s="859"/>
      <c r="F262" s="859"/>
      <c r="G262" s="130"/>
      <c r="H262" s="859"/>
      <c r="I262" s="21"/>
      <c r="J262" s="231"/>
      <c r="K262" s="231"/>
      <c r="L262" s="231"/>
      <c r="M262" s="231"/>
      <c r="N262" s="231"/>
      <c r="O262" s="231"/>
      <c r="P262" s="231"/>
      <c r="Q262" s="231"/>
      <c r="R262" s="231"/>
      <c r="S262" s="231"/>
      <c r="T262" s="231"/>
      <c r="U262" s="231"/>
      <c r="V262" s="231"/>
      <c r="W262" s="231"/>
      <c r="X262" s="231"/>
      <c r="Y262" s="231"/>
      <c r="Z262" s="231"/>
      <c r="AA262" s="231"/>
      <c r="AB262" s="231"/>
      <c r="AC262" s="231"/>
      <c r="AD262" s="231"/>
      <c r="AE262" s="231"/>
      <c r="AF262" s="231"/>
      <c r="AG262" s="231"/>
      <c r="AH262" s="231"/>
      <c r="AI262" s="231"/>
    </row>
    <row r="263" spans="1:35" s="203" customFormat="1">
      <c r="A263" s="109"/>
      <c r="B263" s="174"/>
      <c r="C263" s="174"/>
      <c r="D263" s="174"/>
      <c r="E263" s="859"/>
      <c r="F263" s="859"/>
      <c r="G263" s="130"/>
      <c r="H263" s="859"/>
      <c r="I263" s="21"/>
      <c r="J263" s="231"/>
      <c r="K263" s="231"/>
      <c r="L263" s="231"/>
      <c r="M263" s="231"/>
      <c r="N263" s="231"/>
      <c r="O263" s="231"/>
      <c r="P263" s="231"/>
      <c r="Q263" s="231"/>
      <c r="R263" s="231"/>
      <c r="S263" s="231"/>
      <c r="T263" s="231"/>
      <c r="U263" s="231"/>
      <c r="V263" s="231"/>
      <c r="W263" s="231"/>
      <c r="X263" s="231"/>
      <c r="Y263" s="231"/>
      <c r="Z263" s="231"/>
      <c r="AA263" s="231"/>
      <c r="AB263" s="231"/>
      <c r="AC263" s="231"/>
      <c r="AD263" s="231"/>
      <c r="AE263" s="231"/>
      <c r="AF263" s="231"/>
      <c r="AG263" s="231"/>
      <c r="AH263" s="231"/>
      <c r="AI263" s="231"/>
    </row>
    <row r="264" spans="1:35" s="203" customFormat="1">
      <c r="A264" s="154" t="s">
        <v>203</v>
      </c>
      <c r="B264" s="47"/>
      <c r="C264" s="47"/>
      <c r="D264" s="47"/>
      <c r="E264" s="859"/>
      <c r="F264" s="859"/>
      <c r="G264" s="130"/>
      <c r="H264" s="859"/>
      <c r="I264" s="21"/>
      <c r="J264" s="231"/>
      <c r="K264" s="231"/>
      <c r="L264" s="231"/>
      <c r="M264" s="231"/>
      <c r="N264" s="231"/>
      <c r="O264" s="231"/>
      <c r="P264" s="231"/>
      <c r="Q264" s="231"/>
      <c r="R264" s="231"/>
      <c r="S264" s="231"/>
      <c r="T264" s="231"/>
      <c r="U264" s="231"/>
      <c r="V264" s="231"/>
      <c r="W264" s="231"/>
      <c r="X264" s="231"/>
      <c r="Y264" s="231"/>
      <c r="Z264" s="231"/>
      <c r="AA264" s="231"/>
      <c r="AB264" s="231"/>
      <c r="AC264" s="231"/>
      <c r="AD264" s="231"/>
      <c r="AE264" s="231"/>
      <c r="AF264" s="231"/>
      <c r="AG264" s="231"/>
      <c r="AH264" s="231"/>
      <c r="AI264" s="231"/>
    </row>
    <row r="265" spans="1:35" s="203" customFormat="1">
      <c r="A265" s="109" t="s">
        <v>83</v>
      </c>
      <c r="B265" s="174"/>
      <c r="C265" s="174"/>
      <c r="D265" s="174"/>
      <c r="E265" s="860"/>
      <c r="F265" s="860"/>
      <c r="G265" s="130"/>
      <c r="H265" s="860"/>
      <c r="I265" s="21"/>
      <c r="J265" s="231"/>
      <c r="K265" s="231"/>
      <c r="L265" s="231"/>
      <c r="M265" s="231"/>
      <c r="N265" s="231"/>
      <c r="O265" s="231"/>
      <c r="P265" s="231"/>
      <c r="Q265" s="231"/>
      <c r="R265" s="231"/>
      <c r="S265" s="231"/>
      <c r="T265" s="231"/>
      <c r="U265" s="231"/>
      <c r="V265" s="231"/>
      <c r="W265" s="231"/>
      <c r="X265" s="231"/>
      <c r="Y265" s="231"/>
      <c r="Z265" s="231"/>
      <c r="AA265" s="231"/>
      <c r="AB265" s="231"/>
      <c r="AC265" s="231"/>
      <c r="AD265" s="231"/>
      <c r="AE265" s="231"/>
      <c r="AF265" s="231"/>
      <c r="AG265" s="231"/>
      <c r="AH265" s="231"/>
      <c r="AI265" s="231"/>
    </row>
    <row r="266" spans="1:35" s="203" customFormat="1">
      <c r="A266" s="110" t="s">
        <v>84</v>
      </c>
      <c r="B266" s="116"/>
      <c r="C266" s="116"/>
      <c r="D266" s="116"/>
      <c r="E266" s="178"/>
      <c r="F266" s="146"/>
      <c r="G266" s="118"/>
      <c r="H266" s="146"/>
      <c r="I266" s="21"/>
      <c r="J266" s="231"/>
      <c r="K266" s="231"/>
      <c r="L266" s="231"/>
      <c r="M266" s="231"/>
      <c r="N266" s="231"/>
      <c r="O266" s="231"/>
      <c r="P266" s="231"/>
      <c r="Q266" s="231"/>
      <c r="R266" s="231"/>
      <c r="S266" s="231"/>
      <c r="T266" s="231"/>
      <c r="U266" s="231"/>
      <c r="V266" s="231"/>
      <c r="W266" s="231"/>
      <c r="X266" s="231"/>
      <c r="Y266" s="231"/>
      <c r="Z266" s="231"/>
      <c r="AA266" s="231"/>
      <c r="AB266" s="231"/>
      <c r="AC266" s="231"/>
      <c r="AD266" s="231"/>
      <c r="AE266" s="231"/>
      <c r="AF266" s="231"/>
      <c r="AG266" s="231"/>
      <c r="AH266" s="231"/>
      <c r="AI266" s="231"/>
    </row>
    <row r="267" spans="1:35" s="203" customFormat="1">
      <c r="A267" s="120">
        <v>1</v>
      </c>
      <c r="B267" s="47" t="s">
        <v>204</v>
      </c>
      <c r="C267" s="47"/>
      <c r="D267" s="47"/>
      <c r="E267" s="74">
        <v>0</v>
      </c>
      <c r="F267" s="52">
        <v>0</v>
      </c>
      <c r="G267" s="118"/>
      <c r="H267" s="122">
        <v>0</v>
      </c>
      <c r="I267" s="21"/>
      <c r="J267" s="231"/>
      <c r="K267" s="231"/>
      <c r="L267" s="231"/>
      <c r="M267" s="231"/>
      <c r="N267" s="231"/>
      <c r="O267" s="231"/>
      <c r="P267" s="231"/>
      <c r="Q267" s="231"/>
      <c r="R267" s="231"/>
      <c r="S267" s="231"/>
      <c r="T267" s="231"/>
      <c r="U267" s="231"/>
      <c r="V267" s="231"/>
      <c r="W267" s="231"/>
      <c r="X267" s="231"/>
      <c r="Y267" s="231"/>
      <c r="Z267" s="231"/>
      <c r="AA267" s="231"/>
      <c r="AB267" s="231"/>
      <c r="AC267" s="231"/>
      <c r="AD267" s="231"/>
      <c r="AE267" s="231"/>
      <c r="AF267" s="231"/>
      <c r="AG267" s="231"/>
      <c r="AH267" s="231"/>
      <c r="AI267" s="231"/>
    </row>
    <row r="268" spans="1:35" s="203" customFormat="1">
      <c r="A268" s="670">
        <v>2</v>
      </c>
      <c r="B268" s="166" t="s">
        <v>205</v>
      </c>
      <c r="C268" s="166"/>
      <c r="D268" s="47"/>
      <c r="E268" s="114">
        <v>318</v>
      </c>
      <c r="F268" s="52">
        <v>321</v>
      </c>
      <c r="G268" s="118"/>
      <c r="H268" s="122">
        <v>317</v>
      </c>
      <c r="I268" s="21"/>
      <c r="J268" s="231"/>
      <c r="K268" s="231"/>
      <c r="L268" s="231"/>
      <c r="M268" s="231"/>
      <c r="N268" s="231"/>
      <c r="O268" s="231"/>
      <c r="P268" s="231"/>
      <c r="Q268" s="231"/>
      <c r="R268" s="231"/>
      <c r="S268" s="231"/>
      <c r="T268" s="231"/>
      <c r="U268" s="231"/>
      <c r="V268" s="231"/>
      <c r="W268" s="231"/>
      <c r="X268" s="231"/>
      <c r="Y268" s="231"/>
      <c r="Z268" s="231"/>
      <c r="AA268" s="231"/>
      <c r="AB268" s="231"/>
      <c r="AC268" s="231"/>
      <c r="AD268" s="231"/>
      <c r="AE268" s="231"/>
      <c r="AF268" s="231"/>
      <c r="AG268" s="231"/>
      <c r="AH268" s="231"/>
      <c r="AI268" s="231"/>
    </row>
    <row r="269" spans="1:35" s="203" customFormat="1">
      <c r="A269" s="120">
        <v>3</v>
      </c>
      <c r="B269" s="47" t="s">
        <v>206</v>
      </c>
      <c r="C269" s="47"/>
      <c r="D269" s="168"/>
      <c r="E269" s="114">
        <v>99</v>
      </c>
      <c r="F269" s="52">
        <v>100</v>
      </c>
      <c r="G269" s="118"/>
      <c r="H269" s="122">
        <v>55</v>
      </c>
      <c r="I269" s="21"/>
      <c r="J269" s="231"/>
      <c r="K269" s="231"/>
      <c r="L269" s="231"/>
      <c r="M269" s="231"/>
      <c r="N269" s="231"/>
      <c r="O269" s="231"/>
      <c r="P269" s="231"/>
      <c r="Q269" s="231"/>
      <c r="R269" s="231"/>
      <c r="S269" s="231"/>
      <c r="T269" s="231"/>
      <c r="U269" s="231"/>
      <c r="V269" s="231"/>
      <c r="W269" s="231"/>
      <c r="X269" s="231"/>
      <c r="Y269" s="231"/>
      <c r="Z269" s="231"/>
      <c r="AA269" s="231"/>
      <c r="AB269" s="231"/>
      <c r="AC269" s="231"/>
      <c r="AD269" s="231"/>
      <c r="AE269" s="231"/>
      <c r="AF269" s="231"/>
      <c r="AG269" s="231"/>
      <c r="AH269" s="231"/>
      <c r="AI269" s="231"/>
    </row>
    <row r="270" spans="1:35" s="203" customFormat="1">
      <c r="A270" s="670">
        <v>4</v>
      </c>
      <c r="B270" s="47" t="s">
        <v>207</v>
      </c>
      <c r="C270" s="47"/>
      <c r="D270" s="116"/>
      <c r="E270" s="114">
        <v>0</v>
      </c>
      <c r="F270" s="52">
        <v>0</v>
      </c>
      <c r="G270" s="118"/>
      <c r="H270" s="122">
        <v>0</v>
      </c>
      <c r="I270" s="21"/>
      <c r="J270" s="231"/>
      <c r="K270" s="231"/>
      <c r="L270" s="231"/>
      <c r="M270" s="231"/>
      <c r="N270" s="231"/>
      <c r="O270" s="231"/>
      <c r="P270" s="231"/>
      <c r="Q270" s="231"/>
      <c r="R270" s="231"/>
      <c r="S270" s="231"/>
      <c r="T270" s="231"/>
      <c r="U270" s="231"/>
      <c r="V270" s="231"/>
      <c r="W270" s="231"/>
      <c r="X270" s="231"/>
      <c r="Y270" s="231"/>
      <c r="Z270" s="231"/>
      <c r="AA270" s="231"/>
      <c r="AB270" s="231"/>
      <c r="AC270" s="231"/>
      <c r="AD270" s="231"/>
      <c r="AE270" s="231"/>
      <c r="AF270" s="231"/>
      <c r="AG270" s="231"/>
      <c r="AH270" s="231"/>
      <c r="AI270" s="231"/>
    </row>
    <row r="271" spans="1:35" s="203" customFormat="1">
      <c r="A271" s="120">
        <v>5</v>
      </c>
      <c r="B271" s="47" t="s">
        <v>208</v>
      </c>
      <c r="C271" s="47"/>
      <c r="D271" s="47"/>
      <c r="E271" s="114">
        <v>652</v>
      </c>
      <c r="F271" s="52">
        <v>-462</v>
      </c>
      <c r="G271" s="118"/>
      <c r="H271" s="122">
        <v>645</v>
      </c>
      <c r="I271" s="21"/>
      <c r="J271" s="231"/>
      <c r="K271" s="231"/>
      <c r="L271" s="231"/>
      <c r="M271" s="231"/>
      <c r="N271" s="231"/>
      <c r="O271" s="231"/>
      <c r="P271" s="231"/>
      <c r="Q271" s="231"/>
      <c r="R271" s="231"/>
      <c r="S271" s="231"/>
      <c r="T271" s="231"/>
      <c r="U271" s="231"/>
      <c r="V271" s="231"/>
      <c r="W271" s="231"/>
      <c r="X271" s="231"/>
      <c r="Y271" s="231"/>
      <c r="Z271" s="231"/>
      <c r="AA271" s="231"/>
      <c r="AB271" s="231"/>
      <c r="AC271" s="231"/>
      <c r="AD271" s="231"/>
      <c r="AE271" s="231"/>
      <c r="AF271" s="231"/>
      <c r="AG271" s="231"/>
      <c r="AH271" s="231"/>
      <c r="AI271" s="231"/>
    </row>
    <row r="272" spans="1:35" s="203" customFormat="1">
      <c r="A272" s="670">
        <v>6</v>
      </c>
      <c r="B272" s="47" t="s">
        <v>209</v>
      </c>
      <c r="C272" s="47"/>
      <c r="D272" s="47"/>
      <c r="E272" s="114">
        <v>0</v>
      </c>
      <c r="F272" s="52">
        <v>0</v>
      </c>
      <c r="G272" s="118"/>
      <c r="H272" s="122">
        <v>0</v>
      </c>
      <c r="I272" s="21"/>
      <c r="J272" s="231"/>
      <c r="K272" s="231"/>
      <c r="L272" s="231"/>
      <c r="M272" s="231"/>
      <c r="N272" s="231"/>
      <c r="O272" s="231"/>
      <c r="P272" s="231"/>
      <c r="Q272" s="231"/>
      <c r="R272" s="231"/>
      <c r="S272" s="231"/>
      <c r="T272" s="231"/>
      <c r="U272" s="231"/>
      <c r="V272" s="231"/>
      <c r="W272" s="231"/>
      <c r="X272" s="231"/>
      <c r="Y272" s="231"/>
      <c r="Z272" s="231"/>
      <c r="AA272" s="231"/>
      <c r="AB272" s="231"/>
      <c r="AC272" s="231"/>
      <c r="AD272" s="231"/>
      <c r="AE272" s="231"/>
      <c r="AF272" s="231"/>
      <c r="AG272" s="231"/>
      <c r="AH272" s="231"/>
      <c r="AI272" s="231"/>
    </row>
    <row r="273" spans="1:35" s="203" customFormat="1">
      <c r="A273" s="120">
        <v>7</v>
      </c>
      <c r="B273" s="47" t="s">
        <v>210</v>
      </c>
      <c r="C273" s="47"/>
      <c r="D273" s="47"/>
      <c r="E273" s="114">
        <v>2007</v>
      </c>
      <c r="F273" s="52">
        <v>1812</v>
      </c>
      <c r="G273" s="118"/>
      <c r="H273" s="122">
        <v>1980</v>
      </c>
      <c r="I273" s="21"/>
      <c r="J273" s="231"/>
      <c r="K273" s="231"/>
      <c r="L273" s="231"/>
      <c r="M273" s="231"/>
      <c r="N273" s="231"/>
      <c r="O273" s="231"/>
      <c r="P273" s="231"/>
      <c r="Q273" s="231"/>
      <c r="R273" s="231"/>
      <c r="S273" s="231"/>
      <c r="T273" s="231"/>
      <c r="U273" s="231"/>
      <c r="V273" s="231"/>
      <c r="W273" s="231"/>
      <c r="X273" s="231"/>
      <c r="Y273" s="231"/>
      <c r="Z273" s="231"/>
      <c r="AA273" s="231"/>
      <c r="AB273" s="231"/>
      <c r="AC273" s="231"/>
      <c r="AD273" s="231"/>
      <c r="AE273" s="231"/>
      <c r="AF273" s="231"/>
      <c r="AG273" s="231"/>
      <c r="AH273" s="231"/>
      <c r="AI273" s="231"/>
    </row>
    <row r="274" spans="1:35" s="203" customFormat="1">
      <c r="A274" s="670">
        <v>8</v>
      </c>
      <c r="B274" s="47" t="s">
        <v>211</v>
      </c>
      <c r="C274" s="47"/>
      <c r="D274" s="47"/>
      <c r="E274" s="114">
        <v>0</v>
      </c>
      <c r="F274" s="52">
        <v>2</v>
      </c>
      <c r="G274" s="118"/>
      <c r="H274" s="122">
        <v>2</v>
      </c>
      <c r="I274" s="21"/>
      <c r="J274" s="231"/>
      <c r="K274" s="231"/>
      <c r="L274" s="231"/>
      <c r="M274" s="231"/>
      <c r="N274" s="231"/>
      <c r="O274" s="231"/>
      <c r="P274" s="231"/>
      <c r="Q274" s="231"/>
      <c r="R274" s="231"/>
      <c r="S274" s="231"/>
      <c r="T274" s="231"/>
      <c r="U274" s="231"/>
      <c r="V274" s="231"/>
      <c r="W274" s="231"/>
      <c r="X274" s="231"/>
      <c r="Y274" s="231"/>
      <c r="Z274" s="231"/>
      <c r="AA274" s="231"/>
      <c r="AB274" s="231"/>
      <c r="AC274" s="231"/>
      <c r="AD274" s="231"/>
      <c r="AE274" s="231"/>
      <c r="AF274" s="231"/>
      <c r="AG274" s="231"/>
      <c r="AH274" s="231"/>
      <c r="AI274" s="231"/>
    </row>
    <row r="275" spans="1:35" s="203" customFormat="1">
      <c r="A275" s="120">
        <v>9</v>
      </c>
      <c r="B275" s="47" t="s">
        <v>212</v>
      </c>
      <c r="C275" s="47"/>
      <c r="D275" s="47"/>
      <c r="E275" s="114">
        <v>315</v>
      </c>
      <c r="F275" s="52">
        <v>247</v>
      </c>
      <c r="G275" s="118"/>
      <c r="H275" s="122">
        <v>254</v>
      </c>
      <c r="I275" s="21"/>
      <c r="J275" s="231"/>
      <c r="K275" s="231"/>
      <c r="L275" s="231"/>
      <c r="M275" s="231"/>
      <c r="N275" s="231"/>
      <c r="O275" s="231"/>
      <c r="P275" s="231"/>
      <c r="Q275" s="231"/>
      <c r="R275" s="231"/>
      <c r="S275" s="231"/>
      <c r="T275" s="231"/>
      <c r="U275" s="231"/>
      <c r="V275" s="231"/>
      <c r="W275" s="231"/>
      <c r="X275" s="231"/>
      <c r="Y275" s="231"/>
      <c r="Z275" s="231"/>
      <c r="AA275" s="231"/>
      <c r="AB275" s="231"/>
      <c r="AC275" s="231"/>
      <c r="AD275" s="231"/>
      <c r="AE275" s="231"/>
      <c r="AF275" s="231"/>
      <c r="AG275" s="231"/>
      <c r="AH275" s="231"/>
      <c r="AI275" s="231"/>
    </row>
    <row r="276" spans="1:35" s="203" customFormat="1">
      <c r="A276" s="670">
        <v>10</v>
      </c>
      <c r="B276" s="47" t="s">
        <v>213</v>
      </c>
      <c r="C276" s="47"/>
      <c r="D276" s="47"/>
      <c r="E276" s="114">
        <v>974</v>
      </c>
      <c r="F276" s="52">
        <v>2680</v>
      </c>
      <c r="G276" s="118"/>
      <c r="H276" s="99">
        <v>914</v>
      </c>
      <c r="I276" s="21"/>
      <c r="J276" s="231"/>
      <c r="K276" s="231"/>
      <c r="L276" s="231"/>
      <c r="M276" s="231"/>
      <c r="N276" s="231"/>
      <c r="O276" s="231"/>
      <c r="P276" s="231"/>
      <c r="Q276" s="231"/>
      <c r="R276" s="231"/>
      <c r="S276" s="231"/>
      <c r="T276" s="231"/>
      <c r="U276" s="231"/>
      <c r="V276" s="231"/>
      <c r="W276" s="231"/>
      <c r="X276" s="231"/>
      <c r="Y276" s="231"/>
      <c r="Z276" s="231"/>
      <c r="AA276" s="231"/>
      <c r="AB276" s="231"/>
      <c r="AC276" s="231"/>
      <c r="AD276" s="231"/>
      <c r="AE276" s="231"/>
      <c r="AF276" s="231"/>
      <c r="AG276" s="231"/>
      <c r="AH276" s="231"/>
      <c r="AI276" s="231"/>
    </row>
    <row r="277" spans="1:35" s="203" customFormat="1">
      <c r="A277" s="124">
        <v>11</v>
      </c>
      <c r="B277" s="94" t="s">
        <v>214</v>
      </c>
      <c r="C277" s="94"/>
      <c r="D277" s="94"/>
      <c r="E277" s="159">
        <v>4365</v>
      </c>
      <c r="F277" s="61">
        <f>SUM(F267:F276)</f>
        <v>4700</v>
      </c>
      <c r="G277" s="118"/>
      <c r="H277" s="61">
        <f>SUM(H267:H276)</f>
        <v>4167</v>
      </c>
      <c r="I277" s="21"/>
      <c r="J277" s="231"/>
      <c r="K277" s="231"/>
      <c r="L277" s="231"/>
      <c r="M277" s="231"/>
      <c r="N277" s="231"/>
      <c r="O277" s="231"/>
      <c r="P277" s="231"/>
      <c r="Q277" s="231"/>
      <c r="R277" s="231"/>
      <c r="S277" s="231"/>
      <c r="T277" s="231"/>
      <c r="U277" s="231"/>
      <c r="V277" s="231"/>
      <c r="W277" s="231"/>
      <c r="X277" s="231"/>
      <c r="Y277" s="231"/>
      <c r="Z277" s="231"/>
      <c r="AA277" s="231"/>
      <c r="AB277" s="231"/>
      <c r="AC277" s="231"/>
      <c r="AD277" s="231"/>
      <c r="AE277" s="231"/>
      <c r="AF277" s="231"/>
      <c r="AG277" s="231"/>
      <c r="AH277" s="231"/>
      <c r="AI277" s="231"/>
    </row>
    <row r="278" spans="1:35" s="203" customFormat="1">
      <c r="A278" s="207"/>
      <c r="B278" s="207"/>
      <c r="C278" s="207"/>
      <c r="D278" s="207"/>
      <c r="E278" s="207"/>
      <c r="F278" s="207"/>
      <c r="G278" s="207"/>
      <c r="H278" s="207"/>
      <c r="I278" s="21"/>
      <c r="J278" s="231"/>
      <c r="K278" s="231"/>
      <c r="L278" s="231"/>
      <c r="M278" s="231"/>
      <c r="N278" s="231"/>
      <c r="O278" s="231"/>
      <c r="P278" s="231"/>
      <c r="Q278" s="231"/>
      <c r="R278" s="231"/>
      <c r="S278" s="231"/>
      <c r="T278" s="231"/>
      <c r="U278" s="231"/>
      <c r="V278" s="231"/>
      <c r="W278" s="231"/>
      <c r="X278" s="231"/>
      <c r="Y278" s="231"/>
      <c r="Z278" s="231"/>
      <c r="AA278" s="231"/>
      <c r="AB278" s="231"/>
      <c r="AC278" s="231"/>
      <c r="AD278" s="231"/>
      <c r="AE278" s="231"/>
      <c r="AF278" s="231"/>
      <c r="AG278" s="231"/>
      <c r="AH278" s="231"/>
      <c r="AI278" s="231"/>
    </row>
    <row r="279" spans="1:35" s="203" customFormat="1">
      <c r="A279" s="207"/>
      <c r="B279" s="207"/>
      <c r="C279" s="207"/>
      <c r="D279" s="207"/>
      <c r="E279" s="207"/>
      <c r="F279" s="207"/>
      <c r="G279" s="207"/>
      <c r="H279" s="131" t="s">
        <v>27</v>
      </c>
      <c r="I279" s="21"/>
      <c r="J279" s="231"/>
      <c r="K279" s="231"/>
      <c r="L279" s="231"/>
      <c r="M279" s="231"/>
      <c r="N279" s="231"/>
      <c r="O279" s="231"/>
      <c r="P279" s="231"/>
      <c r="Q279" s="231"/>
      <c r="R279" s="231"/>
      <c r="S279" s="231"/>
      <c r="T279" s="231"/>
      <c r="U279" s="231"/>
      <c r="V279" s="231"/>
      <c r="W279" s="231"/>
      <c r="X279" s="231"/>
      <c r="Y279" s="231"/>
      <c r="Z279" s="231"/>
      <c r="AA279" s="231"/>
      <c r="AB279" s="231"/>
      <c r="AC279" s="231"/>
      <c r="AD279" s="231"/>
      <c r="AE279" s="231"/>
      <c r="AF279" s="231"/>
      <c r="AG279" s="231"/>
      <c r="AH279" s="231"/>
      <c r="AI279" s="231"/>
    </row>
    <row r="280" spans="1:35" s="203" customFormat="1" ht="12.75" customHeight="1">
      <c r="A280" s="106" t="s">
        <v>18</v>
      </c>
      <c r="B280" s="164"/>
      <c r="C280" s="164"/>
      <c r="D280" s="164"/>
      <c r="E280" s="856" t="s">
        <v>377</v>
      </c>
      <c r="F280" s="856" t="s">
        <v>402</v>
      </c>
      <c r="G280" s="130"/>
      <c r="H280" s="856" t="s">
        <v>403</v>
      </c>
      <c r="I280" s="21"/>
      <c r="J280" s="231"/>
      <c r="K280" s="231"/>
      <c r="L280" s="231"/>
      <c r="M280" s="231"/>
      <c r="N280" s="231"/>
      <c r="O280" s="231"/>
      <c r="P280" s="231"/>
      <c r="Q280" s="231"/>
      <c r="R280" s="231"/>
      <c r="S280" s="231"/>
      <c r="T280" s="231"/>
      <c r="U280" s="231"/>
      <c r="V280" s="231"/>
      <c r="W280" s="231"/>
      <c r="X280" s="231"/>
      <c r="Y280" s="231"/>
      <c r="Z280" s="231"/>
      <c r="AA280" s="231"/>
      <c r="AB280" s="231"/>
      <c r="AC280" s="231"/>
      <c r="AD280" s="231"/>
      <c r="AE280" s="231"/>
      <c r="AF280" s="231"/>
      <c r="AG280" s="231"/>
      <c r="AH280" s="231"/>
      <c r="AI280" s="231"/>
    </row>
    <row r="281" spans="1:35" s="203" customFormat="1">
      <c r="A281" s="165"/>
      <c r="B281" s="47"/>
      <c r="C281" s="47"/>
      <c r="D281" s="47"/>
      <c r="E281" s="859"/>
      <c r="F281" s="859"/>
      <c r="G281" s="130"/>
      <c r="H281" s="859"/>
      <c r="I281" s="21"/>
      <c r="J281" s="231"/>
      <c r="K281" s="231"/>
      <c r="L281" s="231"/>
      <c r="M281" s="231"/>
      <c r="N281" s="231"/>
      <c r="O281" s="231"/>
      <c r="P281" s="231"/>
      <c r="Q281" s="231"/>
      <c r="R281" s="231"/>
      <c r="S281" s="231"/>
      <c r="T281" s="231"/>
      <c r="U281" s="231"/>
      <c r="V281" s="231"/>
      <c r="W281" s="231"/>
      <c r="X281" s="231"/>
      <c r="Y281" s="231"/>
      <c r="Z281" s="231"/>
      <c r="AA281" s="231"/>
      <c r="AB281" s="231"/>
      <c r="AC281" s="231"/>
      <c r="AD281" s="231"/>
      <c r="AE281" s="231"/>
      <c r="AF281" s="231"/>
      <c r="AG281" s="231"/>
      <c r="AH281" s="231"/>
      <c r="AI281" s="231"/>
    </row>
    <row r="282" spans="1:35" s="203" customFormat="1" ht="21.75" customHeight="1">
      <c r="A282" s="109"/>
      <c r="B282" s="174"/>
      <c r="C282" s="174"/>
      <c r="D282" s="174"/>
      <c r="E282" s="859"/>
      <c r="F282" s="859"/>
      <c r="G282" s="130"/>
      <c r="H282" s="859"/>
      <c r="I282" s="21"/>
      <c r="J282" s="231"/>
      <c r="K282" s="231"/>
      <c r="L282" s="231"/>
      <c r="M282" s="231"/>
      <c r="N282" s="231"/>
      <c r="O282" s="231"/>
      <c r="P282" s="231"/>
      <c r="Q282" s="231"/>
      <c r="R282" s="231"/>
      <c r="S282" s="231"/>
      <c r="T282" s="231"/>
      <c r="U282" s="231"/>
      <c r="V282" s="231"/>
      <c r="W282" s="231"/>
      <c r="X282" s="231"/>
      <c r="Y282" s="231"/>
      <c r="Z282" s="231"/>
      <c r="AA282" s="231"/>
      <c r="AB282" s="231"/>
      <c r="AC282" s="231"/>
      <c r="AD282" s="231"/>
      <c r="AE282" s="231"/>
      <c r="AF282" s="231"/>
      <c r="AG282" s="231"/>
      <c r="AH282" s="231"/>
      <c r="AI282" s="231"/>
    </row>
    <row r="283" spans="1:35" s="203" customFormat="1">
      <c r="A283" s="154" t="s">
        <v>215</v>
      </c>
      <c r="B283" s="47"/>
      <c r="C283" s="47"/>
      <c r="D283" s="47"/>
      <c r="E283" s="859"/>
      <c r="F283" s="859"/>
      <c r="G283" s="130"/>
      <c r="H283" s="859"/>
      <c r="I283" s="21"/>
      <c r="J283" s="231"/>
      <c r="K283" s="231"/>
      <c r="L283" s="231"/>
      <c r="M283" s="231"/>
      <c r="N283" s="231"/>
      <c r="O283" s="231"/>
      <c r="P283" s="231"/>
      <c r="Q283" s="231"/>
      <c r="R283" s="231"/>
      <c r="S283" s="231"/>
      <c r="T283" s="231"/>
      <c r="U283" s="231"/>
      <c r="V283" s="231"/>
      <c r="W283" s="231"/>
      <c r="X283" s="231"/>
      <c r="Y283" s="231"/>
      <c r="Z283" s="231"/>
      <c r="AA283" s="231"/>
      <c r="AB283" s="231"/>
      <c r="AC283" s="231"/>
      <c r="AD283" s="231"/>
      <c r="AE283" s="231"/>
      <c r="AF283" s="231"/>
      <c r="AG283" s="231"/>
      <c r="AH283" s="231"/>
      <c r="AI283" s="231"/>
    </row>
    <row r="284" spans="1:35" s="203" customFormat="1">
      <c r="A284" s="109" t="s">
        <v>83</v>
      </c>
      <c r="B284" s="174"/>
      <c r="C284" s="174"/>
      <c r="D284" s="174"/>
      <c r="E284" s="860"/>
      <c r="F284" s="860"/>
      <c r="G284" s="130"/>
      <c r="H284" s="860"/>
      <c r="I284" s="21"/>
      <c r="J284" s="231"/>
      <c r="K284" s="231"/>
      <c r="L284" s="231"/>
      <c r="M284" s="231"/>
      <c r="N284" s="231"/>
      <c r="O284" s="231"/>
      <c r="P284" s="231"/>
      <c r="Q284" s="231"/>
      <c r="R284" s="231"/>
      <c r="S284" s="231"/>
      <c r="T284" s="231"/>
      <c r="U284" s="231"/>
      <c r="V284" s="231"/>
      <c r="W284" s="231"/>
      <c r="X284" s="231"/>
      <c r="Y284" s="231"/>
      <c r="Z284" s="231"/>
      <c r="AA284" s="231"/>
      <c r="AB284" s="231"/>
      <c r="AC284" s="231"/>
      <c r="AD284" s="231"/>
      <c r="AE284" s="231"/>
      <c r="AF284" s="231"/>
      <c r="AG284" s="231"/>
      <c r="AH284" s="231"/>
      <c r="AI284" s="231"/>
    </row>
    <row r="285" spans="1:35" s="203" customFormat="1">
      <c r="A285" s="110" t="s">
        <v>84</v>
      </c>
      <c r="B285" s="116"/>
      <c r="C285" s="116"/>
      <c r="D285" s="116"/>
      <c r="E285" s="178"/>
      <c r="F285" s="146"/>
      <c r="G285" s="118"/>
      <c r="H285" s="146"/>
      <c r="I285" s="21"/>
      <c r="J285" s="231"/>
      <c r="K285" s="231"/>
      <c r="L285" s="231"/>
      <c r="M285" s="231"/>
      <c r="N285" s="231"/>
      <c r="O285" s="231"/>
      <c r="P285" s="231"/>
      <c r="Q285" s="231"/>
      <c r="R285" s="231"/>
      <c r="S285" s="231"/>
      <c r="T285" s="231"/>
      <c r="U285" s="231"/>
      <c r="V285" s="231"/>
      <c r="W285" s="231"/>
      <c r="X285" s="231"/>
      <c r="Y285" s="231"/>
      <c r="Z285" s="231"/>
      <c r="AA285" s="231"/>
      <c r="AB285" s="231"/>
      <c r="AC285" s="231"/>
      <c r="AD285" s="231"/>
      <c r="AE285" s="231"/>
      <c r="AF285" s="231"/>
      <c r="AG285" s="231"/>
      <c r="AH285" s="231"/>
      <c r="AI285" s="231"/>
    </row>
    <row r="286" spans="1:35" s="203" customFormat="1">
      <c r="A286" s="120">
        <v>1</v>
      </c>
      <c r="B286" s="47" t="s">
        <v>216</v>
      </c>
      <c r="C286" s="47"/>
      <c r="D286" s="47"/>
      <c r="E286" s="74">
        <v>144</v>
      </c>
      <c r="F286" s="52">
        <v>761</v>
      </c>
      <c r="G286" s="118"/>
      <c r="H286" s="122">
        <v>689</v>
      </c>
      <c r="I286" s="21"/>
      <c r="J286" s="231"/>
      <c r="K286" s="231"/>
      <c r="L286" s="231"/>
      <c r="M286" s="231"/>
      <c r="N286" s="231"/>
      <c r="O286" s="231"/>
      <c r="P286" s="231"/>
      <c r="Q286" s="231"/>
      <c r="R286" s="231"/>
      <c r="S286" s="231"/>
      <c r="T286" s="231"/>
      <c r="U286" s="231"/>
      <c r="V286" s="231"/>
      <c r="W286" s="231"/>
      <c r="X286" s="231"/>
      <c r="Y286" s="231"/>
      <c r="Z286" s="231"/>
      <c r="AA286" s="231"/>
      <c r="AB286" s="231"/>
      <c r="AC286" s="231"/>
      <c r="AD286" s="231"/>
      <c r="AE286" s="231"/>
      <c r="AF286" s="231"/>
      <c r="AG286" s="231"/>
      <c r="AH286" s="231"/>
      <c r="AI286" s="231"/>
    </row>
    <row r="287" spans="1:35" s="203" customFormat="1">
      <c r="A287" s="670">
        <v>2</v>
      </c>
      <c r="B287" s="47" t="s">
        <v>217</v>
      </c>
      <c r="C287" s="47"/>
      <c r="D287" s="47"/>
      <c r="E287" s="114">
        <v>28</v>
      </c>
      <c r="F287" s="52">
        <v>141</v>
      </c>
      <c r="G287" s="118"/>
      <c r="H287" s="122">
        <v>136</v>
      </c>
      <c r="I287" s="21"/>
      <c r="J287" s="231"/>
      <c r="K287" s="231"/>
      <c r="L287" s="231"/>
      <c r="M287" s="231"/>
      <c r="N287" s="231"/>
      <c r="O287" s="231"/>
      <c r="P287" s="231"/>
      <c r="Q287" s="231"/>
      <c r="R287" s="231"/>
      <c r="S287" s="231"/>
      <c r="T287" s="231"/>
      <c r="U287" s="231"/>
      <c r="V287" s="231"/>
      <c r="W287" s="231"/>
      <c r="X287" s="231"/>
      <c r="Y287" s="231"/>
      <c r="Z287" s="231"/>
      <c r="AA287" s="231"/>
      <c r="AB287" s="231"/>
      <c r="AC287" s="231"/>
      <c r="AD287" s="231"/>
      <c r="AE287" s="231"/>
      <c r="AF287" s="231"/>
      <c r="AG287" s="231"/>
      <c r="AH287" s="231"/>
      <c r="AI287" s="231"/>
    </row>
    <row r="288" spans="1:35" s="203" customFormat="1">
      <c r="A288" s="120">
        <v>3</v>
      </c>
      <c r="B288" s="90" t="s">
        <v>218</v>
      </c>
      <c r="C288" s="166"/>
      <c r="D288" s="168"/>
      <c r="E288" s="114">
        <v>491</v>
      </c>
      <c r="F288" s="52">
        <v>700</v>
      </c>
      <c r="G288" s="118"/>
      <c r="H288" s="122">
        <v>668</v>
      </c>
      <c r="I288" s="21"/>
      <c r="J288" s="231"/>
      <c r="K288" s="231"/>
      <c r="L288" s="231"/>
      <c r="M288" s="231"/>
      <c r="N288" s="231"/>
      <c r="O288" s="231"/>
      <c r="P288" s="231"/>
      <c r="Q288" s="231"/>
      <c r="R288" s="231"/>
      <c r="S288" s="231"/>
      <c r="T288" s="231"/>
      <c r="U288" s="231"/>
      <c r="V288" s="231"/>
      <c r="W288" s="231"/>
      <c r="X288" s="231"/>
      <c r="Y288" s="231"/>
      <c r="Z288" s="231"/>
      <c r="AA288" s="231"/>
      <c r="AB288" s="231"/>
      <c r="AC288" s="231"/>
      <c r="AD288" s="231"/>
      <c r="AE288" s="231"/>
      <c r="AF288" s="231"/>
      <c r="AG288" s="231"/>
      <c r="AH288" s="231"/>
      <c r="AI288" s="231"/>
    </row>
    <row r="289" spans="1:35" s="203" customFormat="1">
      <c r="A289" s="670">
        <v>4</v>
      </c>
      <c r="B289" s="47" t="s">
        <v>219</v>
      </c>
      <c r="C289" s="47"/>
      <c r="D289" s="116"/>
      <c r="E289" s="114">
        <v>180</v>
      </c>
      <c r="F289" s="52">
        <v>151</v>
      </c>
      <c r="G289" s="118"/>
      <c r="H289" s="122">
        <v>143</v>
      </c>
      <c r="I289" s="21"/>
      <c r="J289" s="231"/>
      <c r="K289" s="231"/>
      <c r="L289" s="231"/>
      <c r="M289" s="231"/>
      <c r="N289" s="231"/>
      <c r="O289" s="231"/>
      <c r="P289" s="231"/>
      <c r="Q289" s="231"/>
      <c r="R289" s="231"/>
      <c r="S289" s="231"/>
      <c r="T289" s="231"/>
      <c r="U289" s="231"/>
      <c r="V289" s="231"/>
      <c r="W289" s="231"/>
      <c r="X289" s="231"/>
      <c r="Y289" s="231"/>
      <c r="Z289" s="231"/>
      <c r="AA289" s="231"/>
      <c r="AB289" s="231"/>
      <c r="AC289" s="231"/>
      <c r="AD289" s="231"/>
      <c r="AE289" s="231"/>
      <c r="AF289" s="231"/>
      <c r="AG289" s="231"/>
      <c r="AH289" s="231"/>
      <c r="AI289" s="231"/>
    </row>
    <row r="290" spans="1:35" s="203" customFormat="1">
      <c r="A290" s="670">
        <v>5</v>
      </c>
      <c r="B290" s="47" t="s">
        <v>220</v>
      </c>
      <c r="C290" s="47"/>
      <c r="D290" s="47"/>
      <c r="E290" s="114">
        <v>-142</v>
      </c>
      <c r="F290" s="52">
        <v>-142</v>
      </c>
      <c r="G290" s="118"/>
      <c r="H290" s="122">
        <v>-142</v>
      </c>
      <c r="I290" s="21"/>
      <c r="J290" s="231"/>
      <c r="K290" s="231"/>
      <c r="L290" s="231"/>
      <c r="M290" s="231"/>
      <c r="N290" s="231"/>
      <c r="O290" s="231"/>
      <c r="P290" s="231"/>
      <c r="Q290" s="231"/>
      <c r="R290" s="231"/>
      <c r="S290" s="231"/>
      <c r="T290" s="231"/>
      <c r="U290" s="231"/>
      <c r="V290" s="231"/>
      <c r="W290" s="231"/>
      <c r="X290" s="231"/>
      <c r="Y290" s="231"/>
      <c r="Z290" s="231"/>
      <c r="AA290" s="231"/>
      <c r="AB290" s="231"/>
      <c r="AC290" s="231"/>
      <c r="AD290" s="231"/>
      <c r="AE290" s="231"/>
      <c r="AF290" s="231"/>
      <c r="AG290" s="231"/>
      <c r="AH290" s="231"/>
      <c r="AI290" s="231"/>
    </row>
    <row r="291" spans="1:35" s="203" customFormat="1">
      <c r="A291" s="120">
        <v>6</v>
      </c>
      <c r="B291" s="47" t="s">
        <v>221</v>
      </c>
      <c r="C291" s="47"/>
      <c r="D291" s="47"/>
      <c r="E291" s="114">
        <v>26</v>
      </c>
      <c r="F291" s="52">
        <v>5</v>
      </c>
      <c r="G291" s="118"/>
      <c r="H291" s="122">
        <v>5</v>
      </c>
      <c r="I291" s="21"/>
      <c r="J291" s="231"/>
      <c r="K291" s="231"/>
      <c r="L291" s="231"/>
      <c r="M291" s="231"/>
      <c r="N291" s="231"/>
      <c r="O291" s="231"/>
      <c r="P291" s="231"/>
      <c r="Q291" s="231"/>
      <c r="R291" s="231"/>
      <c r="S291" s="231"/>
      <c r="T291" s="231"/>
      <c r="U291" s="231"/>
      <c r="V291" s="231"/>
      <c r="W291" s="231"/>
      <c r="X291" s="231"/>
      <c r="Y291" s="231"/>
      <c r="Z291" s="231"/>
      <c r="AA291" s="231"/>
      <c r="AB291" s="231"/>
      <c r="AC291" s="231"/>
      <c r="AD291" s="231"/>
      <c r="AE291" s="231"/>
      <c r="AF291" s="231"/>
      <c r="AG291" s="231"/>
      <c r="AH291" s="231"/>
      <c r="AI291" s="231"/>
    </row>
    <row r="292" spans="1:35" s="203" customFormat="1">
      <c r="A292" s="670">
        <v>7</v>
      </c>
      <c r="B292" s="47" t="s">
        <v>222</v>
      </c>
      <c r="C292" s="47"/>
      <c r="D292" s="116"/>
      <c r="E292" s="114">
        <v>228</v>
      </c>
      <c r="F292" s="52">
        <v>162</v>
      </c>
      <c r="G292" s="118"/>
      <c r="H292" s="122">
        <v>300</v>
      </c>
      <c r="I292" s="21"/>
      <c r="J292" s="231"/>
      <c r="K292" s="231"/>
      <c r="L292" s="231"/>
      <c r="M292" s="231"/>
      <c r="N292" s="231"/>
      <c r="O292" s="231"/>
      <c r="P292" s="231"/>
      <c r="Q292" s="231"/>
      <c r="R292" s="231"/>
      <c r="S292" s="231"/>
      <c r="T292" s="231"/>
      <c r="U292" s="231"/>
      <c r="V292" s="231"/>
      <c r="W292" s="231"/>
      <c r="X292" s="231"/>
      <c r="Y292" s="231"/>
      <c r="Z292" s="231"/>
      <c r="AA292" s="231"/>
      <c r="AB292" s="231"/>
      <c r="AC292" s="231"/>
      <c r="AD292" s="231"/>
      <c r="AE292" s="231"/>
      <c r="AF292" s="231"/>
      <c r="AG292" s="231"/>
      <c r="AH292" s="231"/>
      <c r="AI292" s="231"/>
    </row>
    <row r="293" spans="1:35" s="203" customFormat="1">
      <c r="A293" s="120">
        <v>8</v>
      </c>
      <c r="B293" s="47" t="s">
        <v>223</v>
      </c>
      <c r="C293" s="47"/>
      <c r="D293" s="116"/>
      <c r="E293" s="114">
        <v>280</v>
      </c>
      <c r="F293" s="52">
        <v>256</v>
      </c>
      <c r="G293" s="118"/>
      <c r="H293" s="122">
        <v>234</v>
      </c>
      <c r="I293" s="21"/>
      <c r="J293" s="231"/>
      <c r="K293" s="231"/>
      <c r="L293" s="231"/>
      <c r="M293" s="231"/>
      <c r="N293" s="231"/>
      <c r="O293" s="231"/>
      <c r="P293" s="231"/>
      <c r="Q293" s="231"/>
      <c r="R293" s="231"/>
      <c r="S293" s="231"/>
      <c r="T293" s="231"/>
      <c r="U293" s="231"/>
      <c r="V293" s="231"/>
      <c r="W293" s="231"/>
      <c r="X293" s="231"/>
      <c r="Y293" s="231"/>
      <c r="Z293" s="231"/>
      <c r="AA293" s="231"/>
      <c r="AB293" s="231"/>
      <c r="AC293" s="231"/>
      <c r="AD293" s="231"/>
      <c r="AE293" s="231"/>
      <c r="AF293" s="231"/>
      <c r="AG293" s="231"/>
      <c r="AH293" s="231"/>
      <c r="AI293" s="231"/>
    </row>
    <row r="294" spans="1:35" s="203" customFormat="1">
      <c r="A294" s="670">
        <v>9</v>
      </c>
      <c r="B294" s="47" t="s">
        <v>224</v>
      </c>
      <c r="C294" s="47"/>
      <c r="D294" s="116"/>
      <c r="E294" s="114">
        <v>279</v>
      </c>
      <c r="F294" s="52">
        <v>255</v>
      </c>
      <c r="G294" s="118"/>
      <c r="H294" s="122">
        <v>234</v>
      </c>
      <c r="I294" s="21"/>
      <c r="J294" s="231"/>
      <c r="K294" s="231"/>
      <c r="L294" s="231"/>
      <c r="M294" s="231"/>
      <c r="N294" s="231"/>
      <c r="O294" s="231"/>
      <c r="P294" s="231"/>
      <c r="Q294" s="231"/>
      <c r="R294" s="231"/>
      <c r="S294" s="231"/>
      <c r="T294" s="231"/>
      <c r="U294" s="231"/>
      <c r="V294" s="231"/>
      <c r="W294" s="231"/>
      <c r="X294" s="231"/>
      <c r="Y294" s="231"/>
      <c r="Z294" s="231"/>
      <c r="AA294" s="231"/>
      <c r="AB294" s="231"/>
      <c r="AC294" s="231"/>
      <c r="AD294" s="231"/>
      <c r="AE294" s="231"/>
      <c r="AF294" s="231"/>
      <c r="AG294" s="231"/>
      <c r="AH294" s="231"/>
      <c r="AI294" s="231"/>
    </row>
    <row r="295" spans="1:35" s="203" customFormat="1">
      <c r="A295" s="120">
        <v>10</v>
      </c>
      <c r="B295" s="47" t="s">
        <v>225</v>
      </c>
      <c r="C295" s="47"/>
      <c r="D295" s="47"/>
      <c r="E295" s="114">
        <v>97</v>
      </c>
      <c r="F295" s="52">
        <v>97</v>
      </c>
      <c r="G295" s="118"/>
      <c r="H295" s="122">
        <v>90</v>
      </c>
      <c r="I295" s="21"/>
      <c r="J295" s="231"/>
      <c r="K295" s="231"/>
      <c r="L295" s="231"/>
      <c r="M295" s="231"/>
      <c r="N295" s="231"/>
      <c r="O295" s="231"/>
      <c r="P295" s="231"/>
      <c r="Q295" s="231"/>
      <c r="R295" s="231"/>
      <c r="S295" s="231"/>
      <c r="T295" s="231"/>
      <c r="U295" s="231"/>
      <c r="V295" s="231"/>
      <c r="W295" s="231"/>
      <c r="X295" s="231"/>
      <c r="Y295" s="231"/>
      <c r="Z295" s="231"/>
      <c r="AA295" s="231"/>
      <c r="AB295" s="231"/>
      <c r="AC295" s="231"/>
      <c r="AD295" s="231"/>
      <c r="AE295" s="231"/>
      <c r="AF295" s="231"/>
      <c r="AG295" s="231"/>
      <c r="AH295" s="231"/>
      <c r="AI295" s="231"/>
    </row>
    <row r="296" spans="1:35" s="203" customFormat="1">
      <c r="A296" s="670">
        <v>11</v>
      </c>
      <c r="B296" s="47" t="s">
        <v>226</v>
      </c>
      <c r="C296" s="47"/>
      <c r="D296" s="47"/>
      <c r="E296" s="114">
        <v>1013</v>
      </c>
      <c r="F296" s="52">
        <v>991</v>
      </c>
      <c r="G296" s="118"/>
      <c r="H296" s="122">
        <v>1136</v>
      </c>
      <c r="I296" s="21"/>
      <c r="J296" s="231"/>
      <c r="K296" s="231"/>
      <c r="L296" s="231"/>
      <c r="M296" s="231"/>
      <c r="N296" s="231"/>
      <c r="O296" s="231"/>
      <c r="P296" s="231"/>
      <c r="Q296" s="231"/>
      <c r="R296" s="231"/>
      <c r="S296" s="231"/>
      <c r="T296" s="231"/>
      <c r="U296" s="231"/>
      <c r="V296" s="231"/>
      <c r="W296" s="231"/>
      <c r="X296" s="231"/>
      <c r="Y296" s="231"/>
      <c r="Z296" s="231"/>
      <c r="AA296" s="231"/>
      <c r="AB296" s="231"/>
      <c r="AC296" s="231"/>
      <c r="AD296" s="231"/>
      <c r="AE296" s="231"/>
      <c r="AF296" s="231"/>
      <c r="AG296" s="231"/>
      <c r="AH296" s="231"/>
      <c r="AI296" s="231"/>
    </row>
    <row r="297" spans="1:35" s="203" customFormat="1">
      <c r="A297" s="120">
        <v>12</v>
      </c>
      <c r="B297" s="47" t="s">
        <v>227</v>
      </c>
      <c r="C297" s="47"/>
      <c r="D297" s="47"/>
      <c r="E297" s="114">
        <v>63</v>
      </c>
      <c r="F297" s="52">
        <v>29</v>
      </c>
      <c r="G297" s="118"/>
      <c r="H297" s="122">
        <v>17</v>
      </c>
      <c r="I297" s="21"/>
      <c r="J297" s="231"/>
      <c r="K297" s="231"/>
      <c r="L297" s="231"/>
      <c r="M297" s="231"/>
      <c r="N297" s="231"/>
      <c r="O297" s="231"/>
      <c r="P297" s="231"/>
      <c r="Q297" s="231"/>
      <c r="R297" s="231"/>
      <c r="S297" s="231"/>
      <c r="T297" s="231"/>
      <c r="U297" s="231"/>
      <c r="V297" s="231"/>
      <c r="W297" s="231"/>
      <c r="X297" s="231"/>
      <c r="Y297" s="231"/>
      <c r="Z297" s="231"/>
      <c r="AA297" s="231"/>
      <c r="AB297" s="231"/>
      <c r="AC297" s="231"/>
      <c r="AD297" s="231"/>
      <c r="AE297" s="231"/>
      <c r="AF297" s="231"/>
      <c r="AG297" s="231"/>
      <c r="AH297" s="231"/>
      <c r="AI297" s="231"/>
    </row>
    <row r="298" spans="1:35" s="203" customFormat="1">
      <c r="A298" s="670">
        <v>13</v>
      </c>
      <c r="B298" s="47" t="s">
        <v>228</v>
      </c>
      <c r="C298" s="47"/>
      <c r="D298" s="47"/>
      <c r="E298" s="114">
        <v>2821</v>
      </c>
      <c r="F298" s="52">
        <v>3228</v>
      </c>
      <c r="G298" s="118"/>
      <c r="H298" s="122">
        <v>2923</v>
      </c>
      <c r="I298" s="21"/>
      <c r="J298" s="231"/>
      <c r="K298" s="231"/>
      <c r="L298" s="231"/>
      <c r="M298" s="231"/>
      <c r="N298" s="231"/>
      <c r="O298" s="231"/>
      <c r="P298" s="231"/>
      <c r="Q298" s="231"/>
      <c r="R298" s="231"/>
      <c r="S298" s="231"/>
      <c r="T298" s="231"/>
      <c r="U298" s="231"/>
      <c r="V298" s="231"/>
      <c r="W298" s="231"/>
      <c r="X298" s="231"/>
      <c r="Y298" s="231"/>
      <c r="Z298" s="231"/>
      <c r="AA298" s="231"/>
      <c r="AB298" s="231"/>
      <c r="AC298" s="231"/>
      <c r="AD298" s="231"/>
      <c r="AE298" s="231"/>
      <c r="AF298" s="231"/>
      <c r="AG298" s="231"/>
      <c r="AH298" s="231"/>
      <c r="AI298" s="231"/>
    </row>
    <row r="299" spans="1:35" s="203" customFormat="1">
      <c r="A299" s="120">
        <v>14</v>
      </c>
      <c r="B299" s="47" t="s">
        <v>229</v>
      </c>
      <c r="C299" s="47"/>
      <c r="D299" s="116"/>
      <c r="E299" s="114">
        <v>0</v>
      </c>
      <c r="F299" s="52">
        <v>0</v>
      </c>
      <c r="G299" s="118"/>
      <c r="H299" s="122">
        <v>0</v>
      </c>
      <c r="I299" s="21"/>
      <c r="J299" s="231"/>
      <c r="K299" s="231"/>
      <c r="L299" s="231"/>
      <c r="M299" s="231"/>
      <c r="N299" s="231"/>
      <c r="O299" s="231"/>
      <c r="P299" s="231"/>
      <c r="Q299" s="231"/>
      <c r="R299" s="231"/>
      <c r="S299" s="231"/>
      <c r="T299" s="231"/>
      <c r="U299" s="231"/>
      <c r="V299" s="231"/>
      <c r="W299" s="231"/>
      <c r="X299" s="231"/>
      <c r="Y299" s="231"/>
      <c r="Z299" s="231"/>
      <c r="AA299" s="231"/>
      <c r="AB299" s="231"/>
      <c r="AC299" s="231"/>
      <c r="AD299" s="231"/>
      <c r="AE299" s="231"/>
      <c r="AF299" s="231"/>
      <c r="AG299" s="231"/>
      <c r="AH299" s="231"/>
      <c r="AI299" s="231"/>
    </row>
    <row r="300" spans="1:35" s="203" customFormat="1">
      <c r="A300" s="670">
        <v>15</v>
      </c>
      <c r="B300" s="47" t="s">
        <v>230</v>
      </c>
      <c r="C300" s="47"/>
      <c r="D300" s="116"/>
      <c r="E300" s="114">
        <v>0</v>
      </c>
      <c r="F300" s="52">
        <v>0</v>
      </c>
      <c r="G300" s="118"/>
      <c r="H300" s="122">
        <v>0</v>
      </c>
      <c r="I300" s="21"/>
      <c r="J300" s="231"/>
      <c r="K300" s="231"/>
      <c r="L300" s="231"/>
      <c r="M300" s="231"/>
      <c r="N300" s="231"/>
      <c r="O300" s="231"/>
      <c r="P300" s="231"/>
      <c r="Q300" s="231"/>
      <c r="R300" s="231"/>
      <c r="S300" s="231"/>
      <c r="T300" s="231"/>
      <c r="U300" s="231"/>
      <c r="V300" s="231"/>
      <c r="W300" s="231"/>
      <c r="X300" s="231"/>
      <c r="Y300" s="231"/>
      <c r="Z300" s="231"/>
      <c r="AA300" s="231"/>
      <c r="AB300" s="231"/>
      <c r="AC300" s="231"/>
      <c r="AD300" s="231"/>
      <c r="AE300" s="231"/>
      <c r="AF300" s="231"/>
      <c r="AG300" s="231"/>
      <c r="AH300" s="231"/>
      <c r="AI300" s="231"/>
    </row>
    <row r="301" spans="1:35" s="203" customFormat="1">
      <c r="A301" s="120">
        <v>17</v>
      </c>
      <c r="B301" s="47" t="s">
        <v>231</v>
      </c>
      <c r="C301" s="47"/>
      <c r="D301" s="47"/>
      <c r="E301" s="114">
        <v>0</v>
      </c>
      <c r="F301" s="52">
        <v>0</v>
      </c>
      <c r="G301" s="118"/>
      <c r="H301" s="99">
        <v>0</v>
      </c>
      <c r="I301" s="21"/>
      <c r="J301" s="231"/>
      <c r="K301" s="231"/>
      <c r="L301" s="231"/>
      <c r="M301" s="231"/>
      <c r="N301" s="231"/>
      <c r="O301" s="231"/>
      <c r="P301" s="231"/>
      <c r="Q301" s="231"/>
      <c r="R301" s="231"/>
      <c r="S301" s="231"/>
      <c r="T301" s="231"/>
      <c r="U301" s="231"/>
      <c r="V301" s="231"/>
      <c r="W301" s="231"/>
      <c r="X301" s="231"/>
      <c r="Y301" s="231"/>
      <c r="Z301" s="231"/>
      <c r="AA301" s="231"/>
      <c r="AB301" s="231"/>
      <c r="AC301" s="231"/>
      <c r="AD301" s="231"/>
      <c r="AE301" s="231"/>
      <c r="AF301" s="231"/>
      <c r="AG301" s="231"/>
      <c r="AH301" s="231"/>
      <c r="AI301" s="231"/>
    </row>
    <row r="302" spans="1:35" s="203" customFormat="1">
      <c r="A302" s="671">
        <v>18</v>
      </c>
      <c r="B302" s="94" t="s">
        <v>232</v>
      </c>
      <c r="C302" s="94"/>
      <c r="D302" s="94"/>
      <c r="E302" s="159">
        <v>5508</v>
      </c>
      <c r="F302" s="61">
        <f>SUM(F286:F301)</f>
        <v>6634</v>
      </c>
      <c r="G302" s="118"/>
      <c r="H302" s="61">
        <f>SUM(H286:H301)</f>
        <v>6433</v>
      </c>
      <c r="I302" s="21"/>
      <c r="J302" s="231"/>
      <c r="K302" s="231"/>
      <c r="L302" s="231"/>
      <c r="M302" s="231"/>
      <c r="N302" s="231"/>
      <c r="O302" s="231"/>
      <c r="P302" s="231"/>
      <c r="Q302" s="231"/>
      <c r="R302" s="231"/>
      <c r="S302" s="231"/>
      <c r="T302" s="231"/>
      <c r="U302" s="231"/>
      <c r="V302" s="231"/>
      <c r="W302" s="231"/>
      <c r="X302" s="231"/>
      <c r="Y302" s="231"/>
      <c r="Z302" s="231"/>
      <c r="AA302" s="231"/>
      <c r="AB302" s="231"/>
      <c r="AC302" s="231"/>
      <c r="AD302" s="231"/>
      <c r="AE302" s="231"/>
      <c r="AF302" s="231"/>
      <c r="AG302" s="231"/>
      <c r="AH302" s="231"/>
      <c r="AI302" s="231"/>
    </row>
    <row r="303" spans="1:35" s="203" customFormat="1">
      <c r="A303" s="179"/>
      <c r="B303" s="180"/>
      <c r="C303" s="180"/>
      <c r="D303" s="181"/>
      <c r="E303" s="182"/>
      <c r="F303" s="183"/>
      <c r="G303" s="21"/>
      <c r="H303" s="183"/>
      <c r="I303" s="21"/>
      <c r="J303" s="231"/>
      <c r="K303" s="231"/>
      <c r="L303" s="231"/>
      <c r="M303" s="231"/>
      <c r="N303" s="231"/>
      <c r="O303" s="231"/>
      <c r="P303" s="231"/>
      <c r="Q303" s="231"/>
      <c r="R303" s="231"/>
      <c r="S303" s="231"/>
      <c r="T303" s="231"/>
      <c r="U303" s="231"/>
      <c r="V303" s="231"/>
      <c r="W303" s="231"/>
      <c r="X303" s="231"/>
      <c r="Y303" s="231"/>
      <c r="Z303" s="231"/>
      <c r="AA303" s="231"/>
      <c r="AB303" s="231"/>
      <c r="AC303" s="231"/>
      <c r="AD303" s="231"/>
      <c r="AE303" s="231"/>
      <c r="AF303" s="231"/>
      <c r="AG303" s="231"/>
      <c r="AH303" s="231"/>
      <c r="AI303" s="231"/>
    </row>
    <row r="304" spans="1:35" s="203" customFormat="1">
      <c r="A304" s="184"/>
      <c r="B304" s="207"/>
      <c r="C304" s="207"/>
      <c r="D304" s="209"/>
      <c r="E304" s="185"/>
      <c r="F304" s="207"/>
      <c r="G304" s="207"/>
      <c r="H304" s="131" t="s">
        <v>27</v>
      </c>
      <c r="I304" s="21"/>
      <c r="J304" s="231"/>
      <c r="K304" s="231"/>
      <c r="L304" s="231"/>
      <c r="M304" s="231"/>
      <c r="N304" s="231"/>
      <c r="O304" s="231"/>
      <c r="P304" s="231"/>
      <c r="Q304" s="231"/>
      <c r="R304" s="231"/>
      <c r="S304" s="231"/>
      <c r="T304" s="231"/>
      <c r="U304" s="231"/>
      <c r="V304" s="231"/>
      <c r="W304" s="231"/>
      <c r="X304" s="231"/>
      <c r="Y304" s="231"/>
      <c r="Z304" s="231"/>
      <c r="AA304" s="231"/>
      <c r="AB304" s="231"/>
      <c r="AC304" s="231"/>
      <c r="AD304" s="231"/>
      <c r="AE304" s="231"/>
      <c r="AF304" s="231"/>
      <c r="AG304" s="231"/>
      <c r="AH304" s="231"/>
      <c r="AI304" s="231"/>
    </row>
    <row r="305" spans="1:35" s="203" customFormat="1" ht="12.75" customHeight="1">
      <c r="A305" s="106" t="s">
        <v>21</v>
      </c>
      <c r="B305" s="164"/>
      <c r="C305" s="164"/>
      <c r="D305" s="164"/>
      <c r="E305" s="856" t="s">
        <v>377</v>
      </c>
      <c r="F305" s="856" t="s">
        <v>402</v>
      </c>
      <c r="G305" s="130"/>
      <c r="H305" s="856" t="s">
        <v>403</v>
      </c>
      <c r="I305" s="21"/>
      <c r="J305" s="231"/>
      <c r="K305" s="231"/>
      <c r="L305" s="231"/>
      <c r="M305" s="231"/>
      <c r="N305" s="231"/>
      <c r="O305" s="231"/>
      <c r="P305" s="231"/>
      <c r="Q305" s="231"/>
      <c r="R305" s="231"/>
      <c r="S305" s="231"/>
      <c r="T305" s="231"/>
      <c r="U305" s="231"/>
      <c r="V305" s="231"/>
      <c r="W305" s="231"/>
      <c r="X305" s="231"/>
      <c r="Y305" s="231"/>
      <c r="Z305" s="231"/>
      <c r="AA305" s="231"/>
      <c r="AB305" s="231"/>
      <c r="AC305" s="231"/>
      <c r="AD305" s="231"/>
      <c r="AE305" s="231"/>
      <c r="AF305" s="231"/>
      <c r="AG305" s="231"/>
      <c r="AH305" s="231"/>
      <c r="AI305" s="231"/>
    </row>
    <row r="306" spans="1:35" s="203" customFormat="1">
      <c r="A306" s="165"/>
      <c r="B306" s="47"/>
      <c r="C306" s="47"/>
      <c r="D306" s="47"/>
      <c r="E306" s="859"/>
      <c r="F306" s="859"/>
      <c r="G306" s="130"/>
      <c r="H306" s="859"/>
      <c r="I306" s="21"/>
      <c r="J306" s="231"/>
      <c r="K306" s="231"/>
      <c r="L306" s="231"/>
      <c r="M306" s="231"/>
      <c r="N306" s="231"/>
      <c r="O306" s="231"/>
      <c r="P306" s="231"/>
      <c r="Q306" s="231"/>
      <c r="R306" s="231"/>
      <c r="S306" s="231"/>
      <c r="T306" s="231"/>
      <c r="U306" s="231"/>
      <c r="V306" s="231"/>
      <c r="W306" s="231"/>
      <c r="X306" s="231"/>
      <c r="Y306" s="231"/>
      <c r="Z306" s="231"/>
      <c r="AA306" s="231"/>
      <c r="AB306" s="231"/>
      <c r="AC306" s="231"/>
      <c r="AD306" s="231"/>
      <c r="AE306" s="231"/>
      <c r="AF306" s="231"/>
      <c r="AG306" s="231"/>
      <c r="AH306" s="231"/>
      <c r="AI306" s="231"/>
    </row>
    <row r="307" spans="1:35" s="203" customFormat="1" ht="12.75" customHeight="1">
      <c r="A307" s="109"/>
      <c r="B307" s="174"/>
      <c r="C307" s="174"/>
      <c r="D307" s="174"/>
      <c r="E307" s="859"/>
      <c r="F307" s="859"/>
      <c r="G307" s="130"/>
      <c r="H307" s="859"/>
      <c r="I307" s="21"/>
      <c r="J307" s="231"/>
      <c r="K307" s="231"/>
      <c r="L307" s="231"/>
      <c r="M307" s="231"/>
      <c r="N307" s="231"/>
      <c r="O307" s="231"/>
      <c r="P307" s="231"/>
      <c r="Q307" s="231"/>
      <c r="R307" s="231"/>
      <c r="S307" s="231"/>
      <c r="T307" s="231"/>
      <c r="U307" s="231"/>
      <c r="V307" s="231"/>
      <c r="W307" s="231"/>
      <c r="X307" s="231"/>
      <c r="Y307" s="231"/>
      <c r="Z307" s="231"/>
      <c r="AA307" s="231"/>
      <c r="AB307" s="231"/>
      <c r="AC307" s="231"/>
      <c r="AD307" s="231"/>
      <c r="AE307" s="231"/>
      <c r="AF307" s="231"/>
      <c r="AG307" s="231"/>
      <c r="AH307" s="231"/>
      <c r="AI307" s="231"/>
    </row>
    <row r="308" spans="1:35" s="203" customFormat="1">
      <c r="A308" s="154" t="s">
        <v>233</v>
      </c>
      <c r="B308" s="47"/>
      <c r="C308" s="47"/>
      <c r="D308" s="47"/>
      <c r="E308" s="859"/>
      <c r="F308" s="859"/>
      <c r="G308" s="130"/>
      <c r="H308" s="859"/>
      <c r="I308" s="21"/>
      <c r="J308" s="231"/>
      <c r="K308" s="231"/>
      <c r="L308" s="231"/>
      <c r="M308" s="231"/>
      <c r="N308" s="231"/>
      <c r="O308" s="231"/>
      <c r="P308" s="231"/>
      <c r="Q308" s="231"/>
      <c r="R308" s="231"/>
      <c r="S308" s="231"/>
      <c r="T308" s="231"/>
      <c r="U308" s="231"/>
      <c r="V308" s="231"/>
      <c r="W308" s="231"/>
      <c r="X308" s="231"/>
      <c r="Y308" s="231"/>
      <c r="Z308" s="231"/>
      <c r="AA308" s="231"/>
      <c r="AB308" s="231"/>
      <c r="AC308" s="231"/>
      <c r="AD308" s="231"/>
      <c r="AE308" s="231"/>
      <c r="AF308" s="231"/>
      <c r="AG308" s="231"/>
      <c r="AH308" s="231"/>
      <c r="AI308" s="231"/>
    </row>
    <row r="309" spans="1:35" s="203" customFormat="1">
      <c r="A309" s="109" t="s">
        <v>83</v>
      </c>
      <c r="B309" s="174"/>
      <c r="C309" s="174"/>
      <c r="D309" s="174"/>
      <c r="E309" s="860"/>
      <c r="F309" s="860"/>
      <c r="G309" s="130"/>
      <c r="H309" s="860"/>
      <c r="I309" s="21"/>
      <c r="J309" s="231"/>
      <c r="K309" s="231"/>
      <c r="L309" s="231"/>
      <c r="M309" s="231"/>
      <c r="N309" s="231"/>
      <c r="O309" s="231"/>
      <c r="P309" s="231"/>
      <c r="Q309" s="231"/>
      <c r="R309" s="231"/>
      <c r="S309" s="231"/>
      <c r="T309" s="231"/>
      <c r="U309" s="231"/>
      <c r="V309" s="231"/>
      <c r="W309" s="231"/>
      <c r="X309" s="231"/>
      <c r="Y309" s="231"/>
      <c r="Z309" s="231"/>
      <c r="AA309" s="231"/>
      <c r="AB309" s="231"/>
      <c r="AC309" s="231"/>
      <c r="AD309" s="231"/>
      <c r="AE309" s="231"/>
      <c r="AF309" s="231"/>
      <c r="AG309" s="231"/>
      <c r="AH309" s="231"/>
      <c r="AI309" s="231"/>
    </row>
    <row r="310" spans="1:35" s="203" customFormat="1">
      <c r="A310" s="110" t="s">
        <v>84</v>
      </c>
      <c r="B310" s="116"/>
      <c r="C310" s="116"/>
      <c r="D310" s="116"/>
      <c r="E310" s="262"/>
      <c r="F310" s="146"/>
      <c r="G310" s="118"/>
      <c r="H310" s="146"/>
      <c r="I310" s="21"/>
      <c r="J310" s="231"/>
      <c r="K310" s="231"/>
      <c r="L310" s="231"/>
      <c r="M310" s="231"/>
      <c r="N310" s="231"/>
      <c r="O310" s="231"/>
      <c r="P310" s="231"/>
      <c r="Q310" s="231"/>
      <c r="R310" s="231"/>
      <c r="S310" s="231"/>
      <c r="T310" s="231"/>
      <c r="U310" s="231"/>
      <c r="V310" s="231"/>
      <c r="W310" s="231"/>
      <c r="X310" s="231"/>
      <c r="Y310" s="231"/>
      <c r="Z310" s="231"/>
      <c r="AA310" s="231"/>
      <c r="AB310" s="231"/>
      <c r="AC310" s="231"/>
      <c r="AD310" s="231"/>
      <c r="AE310" s="231"/>
      <c r="AF310" s="231"/>
      <c r="AG310" s="231"/>
      <c r="AH310" s="231"/>
      <c r="AI310" s="231"/>
    </row>
    <row r="311" spans="1:35" s="203" customFormat="1">
      <c r="A311" s="120">
        <v>1</v>
      </c>
      <c r="B311" s="47" t="s">
        <v>258</v>
      </c>
      <c r="C311" s="47"/>
      <c r="D311" s="186"/>
      <c r="E311" s="74">
        <v>-580</v>
      </c>
      <c r="F311" s="52">
        <v>-724</v>
      </c>
      <c r="G311" s="43"/>
      <c r="H311" s="52">
        <v>-726</v>
      </c>
      <c r="I311" s="21"/>
      <c r="J311" s="231"/>
      <c r="K311" s="231"/>
      <c r="L311" s="231"/>
      <c r="M311" s="231"/>
      <c r="N311" s="231"/>
      <c r="O311" s="231"/>
      <c r="P311" s="231"/>
      <c r="Q311" s="231"/>
      <c r="R311" s="231"/>
      <c r="S311" s="231"/>
      <c r="T311" s="231"/>
      <c r="U311" s="231"/>
      <c r="V311" s="231"/>
      <c r="W311" s="231"/>
      <c r="X311" s="231"/>
      <c r="Y311" s="231"/>
      <c r="Z311" s="231"/>
      <c r="AA311" s="231"/>
      <c r="AB311" s="231"/>
      <c r="AC311" s="231"/>
      <c r="AD311" s="231"/>
      <c r="AE311" s="231"/>
      <c r="AF311" s="231"/>
      <c r="AG311" s="231"/>
      <c r="AH311" s="231"/>
      <c r="AI311" s="231"/>
    </row>
    <row r="312" spans="1:35" s="203" customFormat="1">
      <c r="A312" s="120">
        <v>2</v>
      </c>
      <c r="B312" s="47" t="s">
        <v>234</v>
      </c>
      <c r="C312" s="47"/>
      <c r="D312" s="186"/>
      <c r="E312" s="114">
        <v>0</v>
      </c>
      <c r="F312" s="52">
        <v>1040</v>
      </c>
      <c r="G312" s="43"/>
      <c r="H312" s="52">
        <v>0</v>
      </c>
      <c r="I312" s="21"/>
      <c r="J312" s="231"/>
      <c r="K312" s="231"/>
      <c r="L312" s="231"/>
      <c r="M312" s="231"/>
      <c r="N312" s="231"/>
      <c r="O312" s="231"/>
      <c r="P312" s="231"/>
      <c r="Q312" s="231"/>
      <c r="R312" s="231"/>
      <c r="S312" s="231"/>
      <c r="T312" s="231"/>
      <c r="U312" s="231"/>
      <c r="V312" s="231"/>
      <c r="W312" s="231"/>
      <c r="X312" s="231"/>
      <c r="Y312" s="231"/>
      <c r="Z312" s="231"/>
      <c r="AA312" s="231"/>
      <c r="AB312" s="231"/>
      <c r="AC312" s="231"/>
      <c r="AD312" s="231"/>
      <c r="AE312" s="231"/>
      <c r="AF312" s="231"/>
      <c r="AG312" s="231"/>
      <c r="AH312" s="231"/>
      <c r="AI312" s="231"/>
    </row>
    <row r="313" spans="1:35" s="203" customFormat="1">
      <c r="A313" s="120">
        <v>3</v>
      </c>
      <c r="B313" s="47" t="s">
        <v>259</v>
      </c>
      <c r="C313" s="47"/>
      <c r="D313" s="186"/>
      <c r="E313" s="114">
        <v>-20</v>
      </c>
      <c r="F313" s="52">
        <v>0</v>
      </c>
      <c r="G313" s="43"/>
      <c r="H313" s="52">
        <v>-20</v>
      </c>
      <c r="I313" s="21"/>
      <c r="J313" s="231"/>
      <c r="K313" s="231"/>
      <c r="L313" s="231"/>
      <c r="M313" s="231"/>
      <c r="N313" s="231"/>
      <c r="O313" s="231"/>
      <c r="P313" s="231"/>
      <c r="Q313" s="231"/>
      <c r="R313" s="231"/>
      <c r="S313" s="231"/>
      <c r="T313" s="231"/>
      <c r="U313" s="231"/>
      <c r="V313" s="231"/>
      <c r="W313" s="231"/>
      <c r="X313" s="231"/>
      <c r="Y313" s="231"/>
      <c r="Z313" s="231"/>
      <c r="AA313" s="231"/>
      <c r="AB313" s="231"/>
      <c r="AC313" s="231"/>
      <c r="AD313" s="231"/>
      <c r="AE313" s="231"/>
      <c r="AF313" s="231"/>
      <c r="AG313" s="231"/>
      <c r="AH313" s="231"/>
      <c r="AI313" s="231"/>
    </row>
    <row r="314" spans="1:35" s="203" customFormat="1">
      <c r="A314" s="120">
        <v>4</v>
      </c>
      <c r="B314" s="47" t="s">
        <v>235</v>
      </c>
      <c r="C314" s="47"/>
      <c r="D314" s="186"/>
      <c r="E314" s="114">
        <v>10632</v>
      </c>
      <c r="F314" s="52">
        <v>10632</v>
      </c>
      <c r="G314" s="43"/>
      <c r="H314" s="52">
        <v>10632</v>
      </c>
      <c r="I314" s="21"/>
      <c r="J314" s="231"/>
      <c r="K314" s="231"/>
      <c r="L314" s="231"/>
      <c r="M314" s="231"/>
      <c r="N314" s="231"/>
      <c r="O314" s="231"/>
      <c r="P314" s="231"/>
      <c r="Q314" s="231"/>
      <c r="R314" s="231"/>
      <c r="S314" s="231"/>
      <c r="T314" s="231"/>
      <c r="U314" s="231"/>
      <c r="V314" s="231"/>
      <c r="W314" s="231"/>
      <c r="X314" s="231"/>
      <c r="Y314" s="231"/>
      <c r="Z314" s="231"/>
      <c r="AA314" s="231"/>
      <c r="AB314" s="231"/>
      <c r="AC314" s="231"/>
      <c r="AD314" s="231"/>
      <c r="AE314" s="231"/>
      <c r="AF314" s="231"/>
      <c r="AG314" s="231"/>
      <c r="AH314" s="231"/>
      <c r="AI314" s="231"/>
    </row>
    <row r="315" spans="1:35" s="203" customFormat="1">
      <c r="A315" s="120">
        <v>5</v>
      </c>
      <c r="B315" s="47" t="s">
        <v>236</v>
      </c>
      <c r="C315" s="47"/>
      <c r="D315" s="186"/>
      <c r="E315" s="114">
        <v>1508</v>
      </c>
      <c r="F315" s="52">
        <v>3062</v>
      </c>
      <c r="G315" s="187"/>
      <c r="H315" s="52">
        <v>2973</v>
      </c>
      <c r="I315" s="21"/>
      <c r="J315" s="231"/>
      <c r="K315" s="231"/>
      <c r="L315" s="231"/>
      <c r="M315" s="231"/>
      <c r="N315" s="231"/>
      <c r="O315" s="231"/>
      <c r="P315" s="231"/>
      <c r="Q315" s="231"/>
      <c r="R315" s="231"/>
      <c r="S315" s="231"/>
      <c r="T315" s="231"/>
      <c r="U315" s="231"/>
      <c r="V315" s="231"/>
      <c r="W315" s="231"/>
      <c r="X315" s="231"/>
      <c r="Y315" s="231"/>
      <c r="Z315" s="231"/>
      <c r="AA315" s="231"/>
      <c r="AB315" s="231"/>
      <c r="AC315" s="231"/>
      <c r="AD315" s="231"/>
      <c r="AE315" s="231"/>
      <c r="AF315" s="231"/>
      <c r="AG315" s="231"/>
      <c r="AH315" s="231"/>
      <c r="AI315" s="231"/>
    </row>
    <row r="316" spans="1:35" s="203" customFormat="1">
      <c r="A316" s="120">
        <v>6</v>
      </c>
      <c r="B316" s="47" t="s">
        <v>237</v>
      </c>
      <c r="C316" s="47"/>
      <c r="D316" s="186"/>
      <c r="E316" s="114">
        <v>12299</v>
      </c>
      <c r="F316" s="52">
        <v>9856</v>
      </c>
      <c r="G316" s="43"/>
      <c r="H316" s="52">
        <v>12401</v>
      </c>
      <c r="I316" s="21"/>
      <c r="J316" s="231"/>
      <c r="K316" s="231"/>
      <c r="L316" s="231"/>
      <c r="M316" s="231"/>
      <c r="N316" s="231"/>
      <c r="O316" s="231"/>
      <c r="P316" s="231"/>
      <c r="Q316" s="231"/>
      <c r="R316" s="231"/>
      <c r="S316" s="231"/>
      <c r="T316" s="231"/>
      <c r="U316" s="231"/>
      <c r="V316" s="231"/>
      <c r="W316" s="231"/>
      <c r="X316" s="231"/>
      <c r="Y316" s="231"/>
      <c r="Z316" s="231"/>
      <c r="AA316" s="231"/>
      <c r="AB316" s="231"/>
      <c r="AC316" s="231"/>
      <c r="AD316" s="231"/>
      <c r="AE316" s="231"/>
      <c r="AF316" s="231"/>
      <c r="AG316" s="231"/>
      <c r="AH316" s="231"/>
      <c r="AI316" s="231"/>
    </row>
    <row r="317" spans="1:35" s="203" customFormat="1">
      <c r="A317" s="120">
        <v>7</v>
      </c>
      <c r="B317" s="47" t="s">
        <v>238</v>
      </c>
      <c r="C317" s="47"/>
      <c r="D317" s="186"/>
      <c r="E317" s="114">
        <v>0</v>
      </c>
      <c r="F317" s="52">
        <v>0</v>
      </c>
      <c r="G317" s="43"/>
      <c r="H317" s="52">
        <v>0</v>
      </c>
      <c r="I317" s="21"/>
      <c r="J317" s="231"/>
      <c r="K317" s="231"/>
      <c r="L317" s="231"/>
      <c r="M317" s="231"/>
      <c r="N317" s="231"/>
      <c r="O317" s="231"/>
      <c r="P317" s="231"/>
      <c r="Q317" s="231"/>
      <c r="R317" s="231"/>
      <c r="S317" s="231"/>
      <c r="T317" s="231"/>
      <c r="U317" s="231"/>
      <c r="V317" s="231"/>
      <c r="W317" s="231"/>
      <c r="X317" s="231"/>
      <c r="Y317" s="231"/>
      <c r="Z317" s="231"/>
      <c r="AA317" s="231"/>
      <c r="AB317" s="231"/>
      <c r="AC317" s="231"/>
      <c r="AD317" s="231"/>
      <c r="AE317" s="231"/>
      <c r="AF317" s="231"/>
      <c r="AG317" s="231"/>
      <c r="AH317" s="231"/>
      <c r="AI317" s="231"/>
    </row>
    <row r="318" spans="1:35" s="203" customFormat="1">
      <c r="A318" s="120">
        <v>8</v>
      </c>
      <c r="B318" s="47" t="s">
        <v>239</v>
      </c>
      <c r="C318" s="47"/>
      <c r="D318" s="186"/>
      <c r="E318" s="114">
        <v>114</v>
      </c>
      <c r="F318" s="52">
        <v>114</v>
      </c>
      <c r="G318" s="43"/>
      <c r="H318" s="52">
        <v>114</v>
      </c>
      <c r="I318" s="21"/>
      <c r="J318" s="231"/>
      <c r="K318" s="231"/>
      <c r="L318" s="231"/>
      <c r="M318" s="231"/>
      <c r="N318" s="231"/>
      <c r="O318" s="231"/>
      <c r="P318" s="231"/>
      <c r="Q318" s="231"/>
      <c r="R318" s="231"/>
      <c r="S318" s="231"/>
      <c r="T318" s="231"/>
      <c r="U318" s="231"/>
      <c r="V318" s="231"/>
      <c r="W318" s="231"/>
      <c r="X318" s="231"/>
      <c r="Y318" s="231"/>
      <c r="Z318" s="231"/>
      <c r="AA318" s="231"/>
      <c r="AB318" s="231"/>
      <c r="AC318" s="231"/>
      <c r="AD318" s="231"/>
      <c r="AE318" s="231"/>
      <c r="AF318" s="231"/>
      <c r="AG318" s="231"/>
      <c r="AH318" s="231"/>
      <c r="AI318" s="231"/>
    </row>
    <row r="319" spans="1:35" s="203" customFormat="1">
      <c r="A319" s="670">
        <v>9</v>
      </c>
      <c r="B319" s="90" t="s">
        <v>260</v>
      </c>
      <c r="C319" s="47"/>
      <c r="D319" s="47"/>
      <c r="E319" s="114">
        <v>0</v>
      </c>
      <c r="F319" s="188"/>
      <c r="G319" s="43"/>
      <c r="H319" s="189">
        <v>0</v>
      </c>
      <c r="I319" s="21"/>
      <c r="J319" s="231"/>
      <c r="K319" s="231"/>
      <c r="L319" s="231"/>
      <c r="M319" s="231"/>
      <c r="N319" s="231"/>
      <c r="O319" s="231"/>
      <c r="P319" s="231"/>
      <c r="Q319" s="231"/>
      <c r="R319" s="231"/>
      <c r="S319" s="231"/>
      <c r="T319" s="231"/>
      <c r="U319" s="231"/>
      <c r="V319" s="231"/>
      <c r="W319" s="231"/>
      <c r="X319" s="231"/>
      <c r="Y319" s="231"/>
      <c r="Z319" s="231"/>
      <c r="AA319" s="231"/>
      <c r="AB319" s="231"/>
      <c r="AC319" s="231"/>
      <c r="AD319" s="231"/>
      <c r="AE319" s="231"/>
      <c r="AF319" s="231"/>
      <c r="AG319" s="231"/>
      <c r="AH319" s="231"/>
      <c r="AI319" s="231"/>
    </row>
    <row r="320" spans="1:35" s="203" customFormat="1">
      <c r="A320" s="124">
        <v>10</v>
      </c>
      <c r="B320" s="94" t="s">
        <v>62</v>
      </c>
      <c r="C320" s="94"/>
      <c r="D320" s="94"/>
      <c r="E320" s="159">
        <v>23953</v>
      </c>
      <c r="F320" s="61">
        <f>F311+F312+F313+F314+F315+F316+F317+F318</f>
        <v>23980</v>
      </c>
      <c r="G320" s="118"/>
      <c r="H320" s="61">
        <f>H311+H312+H313+H314+H315+H316+H317+H318+H319</f>
        <v>25374</v>
      </c>
      <c r="I320" s="183"/>
      <c r="J320" s="231"/>
      <c r="K320" s="231"/>
      <c r="L320" s="231"/>
      <c r="M320" s="231"/>
      <c r="N320" s="231"/>
      <c r="O320" s="231"/>
      <c r="P320" s="231"/>
      <c r="Q320" s="231"/>
      <c r="R320" s="231"/>
      <c r="S320" s="231"/>
      <c r="T320" s="231"/>
      <c r="U320" s="231"/>
      <c r="V320" s="231"/>
      <c r="W320" s="231"/>
      <c r="X320" s="231"/>
      <c r="Y320" s="231"/>
      <c r="Z320" s="231"/>
      <c r="AA320" s="231"/>
      <c r="AB320" s="231"/>
      <c r="AC320" s="231"/>
      <c r="AD320" s="231"/>
      <c r="AE320" s="231"/>
      <c r="AF320" s="231"/>
      <c r="AG320" s="231"/>
      <c r="AH320" s="231"/>
      <c r="AI320" s="231"/>
    </row>
    <row r="321" spans="1:35" s="203" customFormat="1">
      <c r="A321" s="179"/>
      <c r="B321" s="180"/>
      <c r="C321" s="180"/>
      <c r="D321" s="180"/>
      <c r="E321" s="180"/>
      <c r="F321" s="183"/>
      <c r="G321" s="21"/>
      <c r="H321" s="183"/>
      <c r="I321" s="183"/>
      <c r="J321" s="231"/>
      <c r="K321" s="231"/>
      <c r="L321" s="231"/>
      <c r="M321" s="231"/>
      <c r="N321" s="231"/>
      <c r="O321" s="231"/>
      <c r="P321" s="231"/>
      <c r="Q321" s="231"/>
      <c r="R321" s="231"/>
      <c r="S321" s="231"/>
      <c r="T321" s="231"/>
      <c r="U321" s="231"/>
      <c r="V321" s="231"/>
      <c r="W321" s="231"/>
      <c r="X321" s="231"/>
      <c r="Y321" s="231"/>
      <c r="Z321" s="231"/>
      <c r="AA321" s="231"/>
      <c r="AB321" s="231"/>
      <c r="AC321" s="231"/>
      <c r="AD321" s="231"/>
      <c r="AE321" s="231"/>
      <c r="AF321" s="231"/>
      <c r="AG321" s="231"/>
      <c r="AH321" s="231"/>
      <c r="AI321" s="231"/>
    </row>
    <row r="322" spans="1:35" s="203" customFormat="1">
      <c r="A322" s="148"/>
      <c r="B322" s="207"/>
      <c r="C322" s="207"/>
      <c r="D322" s="29"/>
      <c r="E322" s="29"/>
      <c r="F322" s="29"/>
      <c r="G322" s="29"/>
      <c r="H322" s="31" t="s">
        <v>27</v>
      </c>
      <c r="I322" s="2"/>
      <c r="J322" s="231"/>
      <c r="K322" s="231"/>
      <c r="L322" s="231"/>
      <c r="M322" s="231"/>
      <c r="N322" s="231"/>
      <c r="O322" s="231"/>
      <c r="P322" s="231"/>
      <c r="Q322" s="231"/>
      <c r="R322" s="231"/>
      <c r="S322" s="231"/>
      <c r="T322" s="231"/>
      <c r="U322" s="231"/>
      <c r="V322" s="231"/>
      <c r="W322" s="231"/>
      <c r="X322" s="231"/>
      <c r="Y322" s="231"/>
      <c r="Z322" s="231"/>
      <c r="AA322" s="231"/>
      <c r="AB322" s="231"/>
      <c r="AC322" s="231"/>
      <c r="AD322" s="231"/>
      <c r="AE322" s="231"/>
      <c r="AF322" s="231"/>
      <c r="AG322" s="231"/>
      <c r="AH322" s="231"/>
      <c r="AI322" s="231"/>
    </row>
    <row r="323" spans="1:35" s="203" customFormat="1">
      <c r="A323" s="190" t="s">
        <v>240</v>
      </c>
      <c r="B323" s="263"/>
      <c r="C323" s="861" t="s">
        <v>405</v>
      </c>
      <c r="D323" s="862"/>
      <c r="E323" s="862"/>
      <c r="F323" s="862"/>
      <c r="G323" s="862"/>
      <c r="H323" s="863"/>
      <c r="I323" s="210"/>
      <c r="J323" s="231"/>
      <c r="K323" s="231"/>
      <c r="L323" s="231"/>
      <c r="M323" s="231"/>
      <c r="N323" s="231"/>
      <c r="O323" s="231"/>
      <c r="P323" s="231"/>
      <c r="Q323" s="231"/>
      <c r="R323" s="231"/>
      <c r="S323" s="231"/>
      <c r="T323" s="231"/>
      <c r="U323" s="231"/>
      <c r="V323" s="231"/>
      <c r="W323" s="231"/>
      <c r="X323" s="231"/>
      <c r="Y323" s="231"/>
      <c r="Z323" s="231"/>
      <c r="AA323" s="231"/>
      <c r="AB323" s="231"/>
      <c r="AC323" s="231"/>
      <c r="AD323" s="231"/>
      <c r="AE323" s="231"/>
      <c r="AF323" s="231"/>
      <c r="AG323" s="231"/>
      <c r="AH323" s="231"/>
      <c r="AI323" s="231"/>
    </row>
    <row r="324" spans="1:35" s="203" customFormat="1" ht="39" thickBot="1">
      <c r="A324" s="110" t="s">
        <v>84</v>
      </c>
      <c r="B324" s="116"/>
      <c r="C324" s="35" t="s">
        <v>52</v>
      </c>
      <c r="D324" s="35" t="s">
        <v>53</v>
      </c>
      <c r="E324" s="37" t="s">
        <v>54</v>
      </c>
      <c r="F324" s="37" t="s">
        <v>55</v>
      </c>
      <c r="G324" s="37" t="s">
        <v>241</v>
      </c>
      <c r="H324" s="35" t="s">
        <v>121</v>
      </c>
      <c r="I324" s="29"/>
      <c r="J324" s="231"/>
      <c r="K324" s="231"/>
      <c r="L324" s="231"/>
      <c r="M324" s="231"/>
      <c r="N324" s="231"/>
      <c r="O324" s="231"/>
      <c r="P324" s="231"/>
      <c r="Q324" s="231"/>
      <c r="R324" s="231"/>
      <c r="S324" s="231"/>
      <c r="T324" s="231"/>
      <c r="U324" s="231"/>
      <c r="V324" s="231"/>
      <c r="W324" s="231"/>
      <c r="X324" s="231"/>
      <c r="Y324" s="231"/>
      <c r="Z324" s="231"/>
      <c r="AA324" s="231"/>
      <c r="AB324" s="231"/>
      <c r="AC324" s="231"/>
      <c r="AD324" s="231"/>
      <c r="AE324" s="231"/>
      <c r="AF324" s="231"/>
      <c r="AG324" s="231"/>
      <c r="AH324" s="231"/>
      <c r="AI324" s="231"/>
    </row>
    <row r="325" spans="1:35" s="203" customFormat="1" ht="13.5" thickBot="1">
      <c r="A325" s="670">
        <v>1</v>
      </c>
      <c r="B325" s="116" t="s">
        <v>242</v>
      </c>
      <c r="C325" s="193">
        <f t="shared" ref="C325:H325" si="0">SUM(C326:C329)</f>
        <v>10810</v>
      </c>
      <c r="D325" s="193">
        <f t="shared" si="0"/>
        <v>0</v>
      </c>
      <c r="E325" s="193">
        <v>0</v>
      </c>
      <c r="F325" s="193">
        <f t="shared" si="0"/>
        <v>0</v>
      </c>
      <c r="G325" s="193">
        <f>SUM(G326:G329)</f>
        <v>0</v>
      </c>
      <c r="H325" s="193">
        <f t="shared" si="0"/>
        <v>0</v>
      </c>
      <c r="I325" s="207"/>
      <c r="J325" s="231"/>
      <c r="K325" s="231"/>
      <c r="L325" s="231"/>
      <c r="M325" s="231"/>
      <c r="N325" s="231"/>
      <c r="O325" s="231"/>
      <c r="P325" s="231"/>
      <c r="Q325" s="231"/>
      <c r="R325" s="231"/>
      <c r="S325" s="231"/>
      <c r="T325" s="231"/>
      <c r="U325" s="231"/>
      <c r="V325" s="231"/>
      <c r="W325" s="231"/>
      <c r="X325" s="231"/>
      <c r="Y325" s="231"/>
      <c r="Z325" s="231"/>
      <c r="AA325" s="231"/>
      <c r="AB325" s="231"/>
      <c r="AC325" s="231"/>
      <c r="AD325" s="231"/>
      <c r="AE325" s="231"/>
      <c r="AF325" s="231"/>
      <c r="AG325" s="231"/>
      <c r="AH325" s="231"/>
      <c r="AI325" s="231"/>
    </row>
    <row r="326" spans="1:35" s="203" customFormat="1">
      <c r="A326" s="670">
        <v>2</v>
      </c>
      <c r="B326" s="47" t="s">
        <v>243</v>
      </c>
      <c r="C326" s="169">
        <v>4982</v>
      </c>
      <c r="D326" s="169"/>
      <c r="E326" s="169"/>
      <c r="F326" s="169"/>
      <c r="G326" s="169"/>
      <c r="H326" s="169"/>
      <c r="I326" s="207"/>
      <c r="J326" s="231"/>
      <c r="K326" s="231"/>
      <c r="L326" s="231"/>
      <c r="M326" s="231"/>
      <c r="N326" s="231"/>
      <c r="O326" s="231"/>
      <c r="P326" s="231"/>
      <c r="Q326" s="231"/>
      <c r="R326" s="231"/>
      <c r="S326" s="231"/>
      <c r="T326" s="231"/>
      <c r="U326" s="231"/>
      <c r="V326" s="231"/>
      <c r="W326" s="231"/>
      <c r="X326" s="231"/>
      <c r="Y326" s="231"/>
      <c r="Z326" s="231"/>
      <c r="AA326" s="231"/>
      <c r="AB326" s="231"/>
      <c r="AC326" s="231"/>
      <c r="AD326" s="231"/>
      <c r="AE326" s="231"/>
      <c r="AF326" s="231"/>
      <c r="AG326" s="231"/>
      <c r="AH326" s="231"/>
      <c r="AI326" s="231"/>
    </row>
    <row r="327" spans="1:35" s="203" customFormat="1">
      <c r="A327" s="670">
        <v>3</v>
      </c>
      <c r="B327" s="47" t="s">
        <v>244</v>
      </c>
      <c r="C327" s="99">
        <v>2766</v>
      </c>
      <c r="D327" s="99"/>
      <c r="E327" s="99"/>
      <c r="F327" s="99"/>
      <c r="G327" s="99"/>
      <c r="H327" s="99"/>
      <c r="I327" s="207"/>
      <c r="J327" s="231"/>
      <c r="K327" s="231"/>
      <c r="L327" s="231"/>
      <c r="M327" s="231"/>
      <c r="N327" s="231"/>
      <c r="O327" s="231"/>
      <c r="P327" s="231"/>
      <c r="Q327" s="231"/>
      <c r="R327" s="231"/>
      <c r="S327" s="231"/>
      <c r="T327" s="231"/>
      <c r="U327" s="231"/>
      <c r="V327" s="231"/>
      <c r="W327" s="231"/>
      <c r="X327" s="231"/>
      <c r="Y327" s="231"/>
      <c r="Z327" s="231"/>
      <c r="AA327" s="231"/>
      <c r="AB327" s="231"/>
      <c r="AC327" s="231"/>
      <c r="AD327" s="231"/>
      <c r="AE327" s="231"/>
      <c r="AF327" s="231"/>
      <c r="AG327" s="231"/>
      <c r="AH327" s="231"/>
      <c r="AI327" s="231"/>
    </row>
    <row r="328" spans="1:35" s="203" customFormat="1">
      <c r="A328" s="670">
        <v>4</v>
      </c>
      <c r="B328" s="47" t="s">
        <v>245</v>
      </c>
      <c r="C328" s="99">
        <v>3062</v>
      </c>
      <c r="D328" s="99"/>
      <c r="E328" s="99"/>
      <c r="F328" s="99"/>
      <c r="G328" s="99"/>
      <c r="H328" s="99"/>
      <c r="I328" s="207"/>
      <c r="J328" s="231"/>
      <c r="K328" s="231"/>
      <c r="L328" s="231"/>
      <c r="M328" s="231"/>
      <c r="N328" s="231"/>
      <c r="O328" s="231"/>
      <c r="P328" s="231"/>
      <c r="Q328" s="231"/>
      <c r="R328" s="231"/>
      <c r="S328" s="231"/>
      <c r="T328" s="231"/>
      <c r="U328" s="231"/>
      <c r="V328" s="231"/>
      <c r="W328" s="231"/>
      <c r="X328" s="231"/>
      <c r="Y328" s="231"/>
      <c r="Z328" s="231"/>
      <c r="AA328" s="231"/>
      <c r="AB328" s="231"/>
      <c r="AC328" s="231"/>
      <c r="AD328" s="231"/>
      <c r="AE328" s="231"/>
      <c r="AF328" s="231"/>
      <c r="AG328" s="231"/>
      <c r="AH328" s="231"/>
      <c r="AI328" s="231"/>
    </row>
    <row r="329" spans="1:35" s="203" customFormat="1">
      <c r="A329" s="671">
        <v>5</v>
      </c>
      <c r="B329" s="54" t="s">
        <v>246</v>
      </c>
      <c r="C329" s="100"/>
      <c r="D329" s="100"/>
      <c r="E329" s="100"/>
      <c r="F329" s="100"/>
      <c r="G329" s="100"/>
      <c r="H329" s="100"/>
      <c r="I329" s="207"/>
      <c r="J329" s="231"/>
      <c r="K329" s="231"/>
      <c r="L329" s="231"/>
      <c r="M329" s="231"/>
      <c r="N329" s="231"/>
      <c r="O329" s="231"/>
      <c r="P329" s="231"/>
      <c r="Q329" s="231"/>
      <c r="R329" s="231"/>
      <c r="S329" s="231"/>
      <c r="T329" s="231"/>
      <c r="U329" s="231"/>
      <c r="V329" s="231"/>
      <c r="W329" s="231"/>
      <c r="X329" s="231"/>
      <c r="Y329" s="231"/>
      <c r="Z329" s="231"/>
      <c r="AA329" s="231"/>
      <c r="AB329" s="231"/>
      <c r="AC329" s="231"/>
      <c r="AD329" s="231"/>
      <c r="AE329" s="231"/>
      <c r="AF329" s="231"/>
      <c r="AG329" s="231"/>
      <c r="AH329" s="231"/>
      <c r="AI329" s="231"/>
    </row>
    <row r="330" spans="1:35" s="203" customFormat="1">
      <c r="A330" s="670"/>
      <c r="B330" s="47"/>
      <c r="C330" s="864" t="s">
        <v>404</v>
      </c>
      <c r="D330" s="865"/>
      <c r="E330" s="865"/>
      <c r="F330" s="865"/>
      <c r="G330" s="865"/>
      <c r="H330" s="866"/>
      <c r="I330" s="207"/>
      <c r="J330" s="231"/>
      <c r="K330" s="231"/>
      <c r="L330" s="231"/>
      <c r="M330" s="231"/>
      <c r="N330" s="231"/>
      <c r="O330" s="231"/>
      <c r="P330" s="231"/>
      <c r="Q330" s="231"/>
      <c r="R330" s="231"/>
      <c r="S330" s="231"/>
      <c r="T330" s="231"/>
      <c r="U330" s="231"/>
      <c r="V330" s="231"/>
      <c r="W330" s="231"/>
      <c r="X330" s="231"/>
      <c r="Y330" s="231"/>
      <c r="Z330" s="231"/>
      <c r="AA330" s="231"/>
      <c r="AB330" s="231"/>
      <c r="AC330" s="231"/>
      <c r="AD330" s="231"/>
      <c r="AE330" s="231"/>
      <c r="AF330" s="231"/>
      <c r="AG330" s="231"/>
      <c r="AH330" s="231"/>
      <c r="AI330" s="231"/>
    </row>
    <row r="331" spans="1:35" s="203" customFormat="1" ht="39" thickBot="1">
      <c r="A331" s="110" t="s">
        <v>84</v>
      </c>
      <c r="B331" s="116"/>
      <c r="C331" s="35" t="s">
        <v>52</v>
      </c>
      <c r="D331" s="35" t="s">
        <v>53</v>
      </c>
      <c r="E331" s="37" t="s">
        <v>54</v>
      </c>
      <c r="F331" s="37" t="s">
        <v>55</v>
      </c>
      <c r="G331" s="37" t="s">
        <v>241</v>
      </c>
      <c r="H331" s="35" t="s">
        <v>121</v>
      </c>
      <c r="I331" s="207"/>
      <c r="J331" s="231"/>
      <c r="K331" s="231"/>
      <c r="L331" s="231"/>
      <c r="M331" s="231"/>
      <c r="N331" s="231"/>
      <c r="O331" s="231"/>
      <c r="P331" s="231"/>
      <c r="Q331" s="231"/>
      <c r="R331" s="231"/>
      <c r="S331" s="231"/>
      <c r="T331" s="231"/>
      <c r="U331" s="231"/>
      <c r="V331" s="231"/>
      <c r="W331" s="231"/>
      <c r="X331" s="231"/>
      <c r="Y331" s="231"/>
      <c r="Z331" s="231"/>
      <c r="AA331" s="231"/>
      <c r="AB331" s="231"/>
      <c r="AC331" s="231"/>
      <c r="AD331" s="231"/>
      <c r="AE331" s="231"/>
      <c r="AF331" s="231"/>
      <c r="AG331" s="231"/>
      <c r="AH331" s="231"/>
      <c r="AI331" s="231"/>
    </row>
    <row r="332" spans="1:35" s="203" customFormat="1" ht="13.5" thickBot="1">
      <c r="A332" s="670">
        <v>1</v>
      </c>
      <c r="B332" s="116" t="s">
        <v>242</v>
      </c>
      <c r="C332" s="193">
        <f t="shared" ref="C332:H332" si="1">SUM(C333:C336)</f>
        <v>10877</v>
      </c>
      <c r="D332" s="193">
        <f t="shared" si="1"/>
        <v>0</v>
      </c>
      <c r="E332" s="193">
        <v>0</v>
      </c>
      <c r="F332" s="193">
        <f t="shared" si="1"/>
        <v>0</v>
      </c>
      <c r="G332" s="193">
        <f>SUM(G333:G336)</f>
        <v>0</v>
      </c>
      <c r="H332" s="193">
        <f t="shared" si="1"/>
        <v>0</v>
      </c>
      <c r="I332" s="207"/>
      <c r="J332" s="231"/>
      <c r="K332" s="231"/>
      <c r="L332" s="231"/>
      <c r="M332" s="231"/>
      <c r="N332" s="231"/>
      <c r="O332" s="231"/>
      <c r="P332" s="231"/>
      <c r="Q332" s="231"/>
      <c r="R332" s="231"/>
      <c r="S332" s="231"/>
      <c r="T332" s="231"/>
      <c r="U332" s="231"/>
      <c r="V332" s="231"/>
      <c r="W332" s="231"/>
      <c r="X332" s="231"/>
      <c r="Y332" s="231"/>
      <c r="Z332" s="231"/>
      <c r="AA332" s="231"/>
      <c r="AB332" s="231"/>
      <c r="AC332" s="231"/>
      <c r="AD332" s="231"/>
      <c r="AE332" s="231"/>
      <c r="AF332" s="231"/>
      <c r="AG332" s="231"/>
      <c r="AH332" s="231"/>
      <c r="AI332" s="231"/>
    </row>
    <row r="333" spans="1:35" s="203" customFormat="1">
      <c r="A333" s="670">
        <v>2</v>
      </c>
      <c r="B333" s="47" t="s">
        <v>243</v>
      </c>
      <c r="C333" s="169">
        <v>5106</v>
      </c>
      <c r="D333" s="169"/>
      <c r="E333" s="169"/>
      <c r="F333" s="169"/>
      <c r="G333" s="169"/>
      <c r="H333" s="169"/>
      <c r="I333" s="207"/>
      <c r="J333" s="231"/>
      <c r="K333" s="231"/>
      <c r="L333" s="231"/>
      <c r="M333" s="231"/>
      <c r="N333" s="231"/>
      <c r="O333" s="231"/>
      <c r="P333" s="231"/>
      <c r="Q333" s="231"/>
      <c r="R333" s="231"/>
      <c r="S333" s="231"/>
      <c r="T333" s="231"/>
      <c r="U333" s="231"/>
      <c r="V333" s="231"/>
      <c r="W333" s="231"/>
      <c r="X333" s="231"/>
      <c r="Y333" s="231"/>
      <c r="Z333" s="231"/>
      <c r="AA333" s="231"/>
      <c r="AB333" s="231"/>
      <c r="AC333" s="231"/>
      <c r="AD333" s="231"/>
      <c r="AE333" s="231"/>
      <c r="AF333" s="231"/>
      <c r="AG333" s="231"/>
      <c r="AH333" s="231"/>
      <c r="AI333" s="231"/>
    </row>
    <row r="334" spans="1:35" s="203" customFormat="1">
      <c r="A334" s="670">
        <v>3</v>
      </c>
      <c r="B334" s="47" t="s">
        <v>244</v>
      </c>
      <c r="C334" s="99">
        <v>2798</v>
      </c>
      <c r="D334" s="99"/>
      <c r="E334" s="99"/>
      <c r="F334" s="99"/>
      <c r="G334" s="99"/>
      <c r="H334" s="99"/>
      <c r="I334" s="207"/>
      <c r="J334" s="231"/>
      <c r="K334" s="231"/>
      <c r="L334" s="231"/>
      <c r="M334" s="231"/>
      <c r="N334" s="231"/>
      <c r="O334" s="231"/>
      <c r="P334" s="231"/>
      <c r="Q334" s="231"/>
      <c r="R334" s="231"/>
      <c r="S334" s="231"/>
      <c r="T334" s="231"/>
      <c r="U334" s="231"/>
      <c r="V334" s="231"/>
      <c r="W334" s="231"/>
      <c r="X334" s="231"/>
      <c r="Y334" s="231"/>
      <c r="Z334" s="231"/>
      <c r="AA334" s="231"/>
      <c r="AB334" s="231"/>
      <c r="AC334" s="231"/>
      <c r="AD334" s="231"/>
      <c r="AE334" s="231"/>
      <c r="AF334" s="231"/>
      <c r="AG334" s="231"/>
      <c r="AH334" s="231"/>
      <c r="AI334" s="231"/>
    </row>
    <row r="335" spans="1:35" s="203" customFormat="1">
      <c r="A335" s="670">
        <v>4</v>
      </c>
      <c r="B335" s="47" t="s">
        <v>245</v>
      </c>
      <c r="C335" s="99">
        <v>2973</v>
      </c>
      <c r="D335" s="99"/>
      <c r="E335" s="99"/>
      <c r="F335" s="99"/>
      <c r="G335" s="99"/>
      <c r="H335" s="99"/>
      <c r="I335" s="207"/>
      <c r="J335" s="231"/>
      <c r="K335" s="231"/>
      <c r="L335" s="231"/>
      <c r="M335" s="231"/>
      <c r="N335" s="231"/>
      <c r="O335" s="231"/>
      <c r="P335" s="231"/>
      <c r="Q335" s="231"/>
      <c r="R335" s="231"/>
      <c r="S335" s="231"/>
      <c r="T335" s="231"/>
      <c r="U335" s="231"/>
      <c r="V335" s="231"/>
      <c r="W335" s="231"/>
      <c r="X335" s="231"/>
      <c r="Y335" s="231"/>
      <c r="Z335" s="231"/>
      <c r="AA335" s="231"/>
      <c r="AB335" s="231"/>
      <c r="AC335" s="231"/>
      <c r="AD335" s="231"/>
      <c r="AE335" s="231"/>
      <c r="AF335" s="231"/>
      <c r="AG335" s="231"/>
      <c r="AH335" s="231"/>
      <c r="AI335" s="231"/>
    </row>
    <row r="336" spans="1:35" s="203" customFormat="1">
      <c r="A336" s="671">
        <v>5</v>
      </c>
      <c r="B336" s="54" t="s">
        <v>246</v>
      </c>
      <c r="C336" s="100"/>
      <c r="D336" s="100"/>
      <c r="E336" s="100"/>
      <c r="F336" s="100"/>
      <c r="G336" s="100"/>
      <c r="H336" s="100"/>
      <c r="I336" s="207"/>
      <c r="J336" s="231"/>
      <c r="K336" s="231"/>
      <c r="L336" s="231"/>
      <c r="M336" s="231"/>
      <c r="N336" s="231"/>
      <c r="O336" s="231"/>
      <c r="P336" s="231"/>
      <c r="Q336" s="231"/>
      <c r="R336" s="231"/>
      <c r="S336" s="231"/>
      <c r="T336" s="231"/>
      <c r="U336" s="231"/>
      <c r="V336" s="231"/>
      <c r="W336" s="231"/>
      <c r="X336" s="231"/>
      <c r="Y336" s="231"/>
      <c r="Z336" s="231"/>
      <c r="AA336" s="231"/>
      <c r="AB336" s="231"/>
      <c r="AC336" s="231"/>
      <c r="AD336" s="231"/>
      <c r="AE336" s="231"/>
      <c r="AF336" s="231"/>
      <c r="AG336" s="231"/>
      <c r="AH336" s="231"/>
      <c r="AI336" s="231"/>
    </row>
    <row r="337" spans="1:35" s="203" customFormat="1">
      <c r="A337" s="23"/>
      <c r="B337" s="207"/>
      <c r="C337" s="207"/>
      <c r="D337" s="207"/>
      <c r="E337" s="207"/>
      <c r="F337" s="207"/>
      <c r="G337" s="207"/>
      <c r="H337" s="21"/>
      <c r="I337" s="21"/>
      <c r="J337" s="231"/>
      <c r="K337" s="231"/>
      <c r="L337" s="231"/>
      <c r="M337" s="231"/>
      <c r="N337" s="231"/>
      <c r="O337" s="231"/>
      <c r="P337" s="231"/>
      <c r="Q337" s="231"/>
      <c r="R337" s="231"/>
      <c r="S337" s="231"/>
      <c r="T337" s="231"/>
      <c r="U337" s="231"/>
      <c r="V337" s="231"/>
      <c r="W337" s="231"/>
      <c r="X337" s="231"/>
      <c r="Y337" s="231"/>
      <c r="Z337" s="231"/>
      <c r="AA337" s="231"/>
      <c r="AB337" s="231"/>
      <c r="AC337" s="231"/>
      <c r="AD337" s="231"/>
      <c r="AE337" s="231"/>
      <c r="AF337" s="231"/>
      <c r="AG337" s="231"/>
      <c r="AH337" s="231"/>
      <c r="AI337" s="231"/>
    </row>
    <row r="338" spans="1:35" s="203" customFormat="1" ht="12.75" customHeight="1">
      <c r="A338" s="23"/>
      <c r="B338" s="207"/>
      <c r="C338" s="207"/>
      <c r="D338" s="207"/>
      <c r="E338" s="207"/>
      <c r="F338" s="207"/>
      <c r="G338" s="207"/>
      <c r="H338" s="21"/>
      <c r="I338" s="21"/>
      <c r="J338" s="231"/>
      <c r="K338" s="231"/>
      <c r="L338" s="231"/>
      <c r="M338" s="231"/>
      <c r="N338" s="231"/>
      <c r="O338" s="231"/>
      <c r="P338" s="231"/>
      <c r="Q338" s="231"/>
      <c r="R338" s="231"/>
      <c r="S338" s="231"/>
      <c r="T338" s="231"/>
      <c r="U338" s="231"/>
      <c r="V338" s="231"/>
      <c r="W338" s="231"/>
      <c r="X338" s="231"/>
      <c r="Y338" s="231"/>
      <c r="Z338" s="231"/>
      <c r="AA338" s="231"/>
      <c r="AB338" s="231"/>
      <c r="AC338" s="231"/>
      <c r="AD338" s="231"/>
      <c r="AE338" s="231"/>
      <c r="AF338" s="231"/>
      <c r="AG338" s="231"/>
      <c r="AH338" s="231"/>
      <c r="AI338" s="231"/>
    </row>
    <row r="339" spans="1:35" s="203" customFormat="1">
      <c r="A339" s="23"/>
      <c r="B339" s="207"/>
      <c r="C339" s="207"/>
      <c r="D339" s="207"/>
      <c r="E339" s="207"/>
      <c r="F339" s="207"/>
      <c r="G339" s="207"/>
      <c r="H339" s="21"/>
      <c r="I339" s="21"/>
      <c r="J339" s="231"/>
      <c r="K339" s="231"/>
      <c r="L339" s="231"/>
      <c r="M339" s="231"/>
      <c r="N339" s="231"/>
      <c r="O339" s="231"/>
      <c r="P339" s="231"/>
      <c r="Q339" s="231"/>
      <c r="R339" s="231"/>
      <c r="S339" s="231"/>
      <c r="T339" s="231"/>
      <c r="U339" s="231"/>
      <c r="V339" s="231"/>
      <c r="W339" s="231"/>
      <c r="X339" s="231"/>
      <c r="Y339" s="231"/>
      <c r="Z339" s="231"/>
      <c r="AA339" s="231"/>
      <c r="AB339" s="231"/>
      <c r="AC339" s="231"/>
      <c r="AD339" s="231"/>
      <c r="AE339" s="231"/>
      <c r="AF339" s="231"/>
      <c r="AG339" s="231"/>
      <c r="AH339" s="231"/>
      <c r="AI339" s="231"/>
    </row>
    <row r="340" spans="1:35" s="203" customFormat="1">
      <c r="A340" s="23"/>
      <c r="B340" s="207"/>
      <c r="C340" s="207"/>
      <c r="D340" s="207"/>
      <c r="E340" s="207"/>
      <c r="F340" s="207"/>
      <c r="G340" s="207"/>
      <c r="H340" s="131" t="s">
        <v>27</v>
      </c>
      <c r="I340" s="21"/>
      <c r="J340" s="231"/>
      <c r="K340" s="231"/>
      <c r="L340" s="231"/>
      <c r="M340" s="231"/>
      <c r="N340" s="231"/>
      <c r="O340" s="231"/>
      <c r="P340" s="231"/>
      <c r="Q340" s="231"/>
      <c r="R340" s="231"/>
      <c r="S340" s="231"/>
      <c r="T340" s="231"/>
      <c r="U340" s="231"/>
      <c r="V340" s="231"/>
      <c r="W340" s="231"/>
      <c r="X340" s="231"/>
      <c r="Y340" s="231"/>
      <c r="Z340" s="231"/>
      <c r="AA340" s="231"/>
      <c r="AB340" s="231"/>
      <c r="AC340" s="231"/>
      <c r="AD340" s="231"/>
      <c r="AE340" s="231"/>
      <c r="AF340" s="231"/>
      <c r="AG340" s="231"/>
      <c r="AH340" s="231"/>
      <c r="AI340" s="231"/>
    </row>
    <row r="341" spans="1:35" s="203" customFormat="1">
      <c r="A341" s="197"/>
      <c r="B341" s="69"/>
      <c r="C341" s="69"/>
      <c r="D341" s="69"/>
      <c r="E341" s="856" t="s">
        <v>377</v>
      </c>
      <c r="F341" s="853" t="s">
        <v>402</v>
      </c>
      <c r="G341" s="207"/>
      <c r="H341" s="856" t="s">
        <v>403</v>
      </c>
      <c r="I341" s="21"/>
      <c r="J341" s="231"/>
      <c r="K341" s="231"/>
      <c r="L341" s="231"/>
      <c r="M341" s="231"/>
      <c r="N341" s="231"/>
      <c r="O341" s="231"/>
      <c r="P341" s="231"/>
      <c r="Q341" s="231"/>
      <c r="R341" s="231"/>
      <c r="S341" s="231"/>
      <c r="T341" s="231"/>
      <c r="U341" s="231"/>
      <c r="V341" s="231"/>
      <c r="W341" s="231"/>
      <c r="X341" s="231"/>
      <c r="Y341" s="231"/>
      <c r="Z341" s="231"/>
      <c r="AA341" s="231"/>
      <c r="AB341" s="231"/>
      <c r="AC341" s="231"/>
      <c r="AD341" s="231"/>
      <c r="AE341" s="231"/>
      <c r="AF341" s="231"/>
      <c r="AG341" s="231"/>
      <c r="AH341" s="231"/>
      <c r="AI341" s="231"/>
    </row>
    <row r="342" spans="1:35" s="203" customFormat="1">
      <c r="A342" s="144" t="s">
        <v>261</v>
      </c>
      <c r="B342" s="116"/>
      <c r="C342" s="116"/>
      <c r="D342" s="116"/>
      <c r="E342" s="859"/>
      <c r="F342" s="854"/>
      <c r="G342" s="207"/>
      <c r="H342" s="857"/>
      <c r="I342" s="21"/>
      <c r="J342" s="231"/>
      <c r="K342" s="231"/>
      <c r="L342" s="231"/>
      <c r="M342" s="231"/>
      <c r="N342" s="231"/>
      <c r="O342" s="231"/>
      <c r="P342" s="231"/>
      <c r="Q342" s="231"/>
      <c r="R342" s="231"/>
      <c r="S342" s="231"/>
      <c r="T342" s="231"/>
      <c r="U342" s="231"/>
      <c r="V342" s="231"/>
      <c r="W342" s="231"/>
      <c r="X342" s="231"/>
      <c r="Y342" s="231"/>
      <c r="Z342" s="231"/>
      <c r="AA342" s="231"/>
      <c r="AB342" s="231"/>
      <c r="AC342" s="231"/>
      <c r="AD342" s="231"/>
      <c r="AE342" s="231"/>
      <c r="AF342" s="231"/>
      <c r="AG342" s="231"/>
      <c r="AH342" s="231"/>
      <c r="AI342" s="231"/>
    </row>
    <row r="343" spans="1:35" s="203" customFormat="1">
      <c r="A343" s="119"/>
      <c r="B343" s="116"/>
      <c r="C343" s="116"/>
      <c r="D343" s="116"/>
      <c r="E343" s="859"/>
      <c r="F343" s="854"/>
      <c r="G343" s="207"/>
      <c r="H343" s="857"/>
      <c r="I343" s="21"/>
      <c r="J343" s="231"/>
      <c r="K343" s="231"/>
      <c r="L343" s="231"/>
      <c r="M343" s="231"/>
      <c r="N343" s="231"/>
      <c r="O343" s="231"/>
      <c r="P343" s="231"/>
      <c r="Q343" s="231"/>
      <c r="R343" s="231"/>
      <c r="S343" s="231"/>
      <c r="T343" s="231"/>
      <c r="U343" s="231"/>
      <c r="V343" s="231"/>
      <c r="W343" s="231"/>
      <c r="X343" s="231"/>
      <c r="Y343" s="231"/>
      <c r="Z343" s="231"/>
      <c r="AA343" s="231"/>
      <c r="AB343" s="231"/>
      <c r="AC343" s="231"/>
      <c r="AD343" s="231"/>
      <c r="AE343" s="231"/>
      <c r="AF343" s="231"/>
      <c r="AG343" s="231"/>
      <c r="AH343" s="231"/>
      <c r="AI343" s="231"/>
    </row>
    <row r="344" spans="1:35" s="203" customFormat="1">
      <c r="A344" s="198" t="s">
        <v>262</v>
      </c>
      <c r="B344" s="116"/>
      <c r="C344" s="116"/>
      <c r="D344" s="116"/>
      <c r="E344" s="859"/>
      <c r="F344" s="854"/>
      <c r="G344" s="207"/>
      <c r="H344" s="857"/>
      <c r="I344" s="21"/>
      <c r="J344" s="231"/>
      <c r="K344" s="231"/>
      <c r="L344" s="231"/>
      <c r="M344" s="231"/>
      <c r="N344" s="231"/>
      <c r="O344" s="231"/>
      <c r="P344" s="231"/>
      <c r="Q344" s="231"/>
      <c r="R344" s="231"/>
      <c r="S344" s="231"/>
      <c r="T344" s="231"/>
      <c r="U344" s="231"/>
      <c r="V344" s="231"/>
      <c r="W344" s="231"/>
      <c r="X344" s="231"/>
      <c r="Y344" s="231"/>
      <c r="Z344" s="231"/>
      <c r="AA344" s="231"/>
      <c r="AB344" s="231"/>
      <c r="AC344" s="231"/>
      <c r="AD344" s="231"/>
      <c r="AE344" s="231"/>
      <c r="AF344" s="231"/>
      <c r="AG344" s="231"/>
      <c r="AH344" s="231"/>
      <c r="AI344" s="231"/>
    </row>
    <row r="345" spans="1:35" s="203" customFormat="1">
      <c r="A345" s="198" t="s">
        <v>330</v>
      </c>
      <c r="B345" s="116"/>
      <c r="C345" s="116"/>
      <c r="D345" s="116"/>
      <c r="E345" s="860"/>
      <c r="F345" s="855"/>
      <c r="G345" s="207"/>
      <c r="H345" s="858"/>
      <c r="I345" s="21"/>
      <c r="J345" s="231"/>
      <c r="K345" s="231"/>
      <c r="L345" s="231"/>
      <c r="M345" s="231"/>
      <c r="N345" s="231"/>
      <c r="O345" s="231"/>
      <c r="P345" s="231"/>
      <c r="Q345" s="231"/>
      <c r="R345" s="231"/>
      <c r="S345" s="231"/>
      <c r="T345" s="231"/>
      <c r="U345" s="231"/>
      <c r="V345" s="231"/>
      <c r="W345" s="231"/>
      <c r="X345" s="231"/>
      <c r="Y345" s="231"/>
      <c r="Z345" s="231"/>
      <c r="AA345" s="231"/>
      <c r="AB345" s="231"/>
      <c r="AC345" s="231"/>
      <c r="AD345" s="231"/>
      <c r="AE345" s="231"/>
      <c r="AF345" s="231"/>
      <c r="AG345" s="231"/>
      <c r="AH345" s="231"/>
      <c r="AI345" s="231"/>
    </row>
    <row r="346" spans="1:35" s="203" customFormat="1">
      <c r="A346" s="119"/>
      <c r="B346" s="47"/>
      <c r="C346" s="116"/>
      <c r="D346" s="116"/>
      <c r="E346" s="178"/>
      <c r="F346" s="146"/>
      <c r="G346" s="23"/>
      <c r="H346" s="264"/>
      <c r="I346" s="21"/>
      <c r="J346" s="231"/>
      <c r="K346" s="231"/>
      <c r="L346" s="231"/>
      <c r="M346" s="231"/>
      <c r="N346" s="231"/>
      <c r="O346" s="231"/>
      <c r="P346" s="231"/>
      <c r="Q346" s="231"/>
      <c r="R346" s="231"/>
      <c r="S346" s="231"/>
      <c r="T346" s="231"/>
      <c r="U346" s="231"/>
      <c r="V346" s="231"/>
      <c r="W346" s="231"/>
      <c r="X346" s="231"/>
      <c r="Y346" s="231"/>
      <c r="Z346" s="231"/>
      <c r="AA346" s="231"/>
      <c r="AB346" s="231"/>
      <c r="AC346" s="231"/>
      <c r="AD346" s="231"/>
      <c r="AE346" s="231"/>
      <c r="AF346" s="231"/>
      <c r="AG346" s="231"/>
      <c r="AH346" s="231"/>
      <c r="AI346" s="231"/>
    </row>
    <row r="347" spans="1:35" s="203" customFormat="1">
      <c r="A347" s="670">
        <v>1</v>
      </c>
      <c r="B347" s="47" t="s">
        <v>263</v>
      </c>
      <c r="C347" s="116"/>
      <c r="D347" s="116"/>
      <c r="E347" s="354">
        <v>6242</v>
      </c>
      <c r="F347" s="265">
        <v>5203</v>
      </c>
      <c r="G347" s="43"/>
      <c r="H347" s="126">
        <v>5407</v>
      </c>
      <c r="I347" s="86"/>
      <c r="J347" s="231"/>
      <c r="K347" s="231"/>
      <c r="L347" s="231"/>
      <c r="M347" s="231"/>
      <c r="N347" s="231"/>
      <c r="O347" s="231"/>
      <c r="P347" s="231"/>
      <c r="Q347" s="231"/>
      <c r="R347" s="231"/>
      <c r="S347" s="231"/>
      <c r="T347" s="231"/>
      <c r="U347" s="231"/>
      <c r="V347" s="231"/>
      <c r="W347" s="231"/>
      <c r="X347" s="231"/>
      <c r="Y347" s="231"/>
      <c r="Z347" s="231"/>
      <c r="AA347" s="231"/>
      <c r="AB347" s="231"/>
      <c r="AC347" s="231"/>
      <c r="AD347" s="231"/>
      <c r="AE347" s="231"/>
      <c r="AF347" s="231"/>
      <c r="AG347" s="231"/>
      <c r="AH347" s="231"/>
      <c r="AI347" s="231"/>
    </row>
    <row r="348" spans="1:35" s="203" customFormat="1">
      <c r="A348" s="670"/>
      <c r="B348" s="47"/>
      <c r="C348" s="116"/>
      <c r="D348" s="116"/>
      <c r="E348" s="355"/>
      <c r="F348" s="188"/>
      <c r="G348" s="43"/>
      <c r="H348" s="188"/>
      <c r="I348" s="86"/>
      <c r="J348" s="231"/>
      <c r="K348" s="231"/>
      <c r="L348" s="231"/>
      <c r="M348" s="231"/>
      <c r="N348" s="231"/>
      <c r="O348" s="231"/>
      <c r="P348" s="231"/>
      <c r="Q348" s="231"/>
      <c r="R348" s="231"/>
      <c r="S348" s="231"/>
      <c r="T348" s="231"/>
      <c r="U348" s="231"/>
      <c r="V348" s="231"/>
      <c r="W348" s="231"/>
      <c r="X348" s="231"/>
      <c r="Y348" s="231"/>
      <c r="Z348" s="231"/>
      <c r="AA348" s="231"/>
      <c r="AB348" s="231"/>
      <c r="AC348" s="231"/>
      <c r="AD348" s="231"/>
      <c r="AE348" s="231"/>
      <c r="AF348" s="231"/>
      <c r="AG348" s="231"/>
      <c r="AH348" s="231"/>
      <c r="AI348" s="231"/>
    </row>
    <row r="349" spans="1:35" s="203" customFormat="1">
      <c r="A349" s="108" t="s">
        <v>378</v>
      </c>
      <c r="B349" s="47"/>
      <c r="C349" s="116"/>
      <c r="D349" s="116"/>
      <c r="E349" s="355"/>
      <c r="F349" s="188"/>
      <c r="G349" s="43"/>
      <c r="H349" s="188"/>
      <c r="I349" s="86"/>
      <c r="J349" s="231"/>
      <c r="K349" s="231"/>
      <c r="L349" s="231"/>
      <c r="M349" s="231"/>
      <c r="N349" s="231"/>
      <c r="O349" s="231"/>
      <c r="P349" s="231"/>
      <c r="Q349" s="231"/>
      <c r="R349" s="231"/>
      <c r="S349" s="231"/>
      <c r="T349" s="231"/>
      <c r="U349" s="231"/>
      <c r="V349" s="231"/>
      <c r="W349" s="231"/>
      <c r="X349" s="231"/>
      <c r="Y349" s="231"/>
      <c r="Z349" s="231"/>
      <c r="AA349" s="231"/>
      <c r="AB349" s="231"/>
      <c r="AC349" s="231"/>
      <c r="AD349" s="231"/>
      <c r="AE349" s="231"/>
      <c r="AF349" s="231"/>
      <c r="AG349" s="231"/>
      <c r="AH349" s="231"/>
      <c r="AI349" s="231"/>
    </row>
    <row r="350" spans="1:35" s="203" customFormat="1">
      <c r="A350" s="670"/>
      <c r="B350" s="47"/>
      <c r="C350" s="116"/>
      <c r="D350" s="116"/>
      <c r="E350" s="355"/>
      <c r="F350" s="188"/>
      <c r="G350" s="43"/>
      <c r="H350" s="188"/>
      <c r="I350" s="86"/>
      <c r="J350" s="231"/>
      <c r="K350" s="231"/>
      <c r="L350" s="231"/>
      <c r="M350" s="231"/>
      <c r="N350" s="231"/>
      <c r="O350" s="231"/>
      <c r="P350" s="231"/>
      <c r="Q350" s="231"/>
      <c r="R350" s="231"/>
      <c r="S350" s="231"/>
      <c r="T350" s="231"/>
      <c r="U350" s="231"/>
      <c r="V350" s="231"/>
      <c r="W350" s="231"/>
      <c r="X350" s="231"/>
      <c r="Y350" s="231"/>
      <c r="Z350" s="231"/>
      <c r="AA350" s="231"/>
      <c r="AB350" s="231"/>
      <c r="AC350" s="231"/>
      <c r="AD350" s="231"/>
      <c r="AE350" s="231"/>
      <c r="AF350" s="231"/>
      <c r="AG350" s="231"/>
      <c r="AH350" s="231"/>
      <c r="AI350" s="231"/>
    </row>
    <row r="351" spans="1:35" s="203" customFormat="1">
      <c r="A351" s="198" t="s">
        <v>379</v>
      </c>
      <c r="B351" s="47"/>
      <c r="C351" s="116"/>
      <c r="D351" s="116"/>
      <c r="E351" s="355"/>
      <c r="F351" s="188"/>
      <c r="G351" s="43"/>
      <c r="H351" s="188"/>
      <c r="I351" s="86"/>
      <c r="J351" s="231"/>
      <c r="K351" s="231"/>
      <c r="L351" s="231"/>
      <c r="M351" s="231"/>
      <c r="N351" s="231"/>
      <c r="O351" s="231"/>
      <c r="P351" s="231"/>
      <c r="Q351" s="231"/>
      <c r="R351" s="231"/>
      <c r="S351" s="231"/>
      <c r="T351" s="231"/>
      <c r="U351" s="231"/>
      <c r="V351" s="231"/>
      <c r="W351" s="231"/>
      <c r="X351" s="231"/>
      <c r="Y351" s="231"/>
      <c r="Z351" s="231"/>
      <c r="AA351" s="231"/>
      <c r="AB351" s="231"/>
      <c r="AC351" s="231"/>
      <c r="AD351" s="231"/>
      <c r="AE351" s="231"/>
      <c r="AF351" s="231"/>
      <c r="AG351" s="231"/>
      <c r="AH351" s="231"/>
      <c r="AI351" s="231"/>
    </row>
    <row r="352" spans="1:35" s="203" customFormat="1">
      <c r="A352" s="670"/>
      <c r="B352" s="47"/>
      <c r="C352" s="116"/>
      <c r="D352" s="116"/>
      <c r="E352" s="355"/>
      <c r="F352" s="188"/>
      <c r="G352" s="43"/>
      <c r="H352" s="188"/>
      <c r="I352" s="86"/>
      <c r="J352" s="231"/>
      <c r="K352" s="231"/>
      <c r="L352" s="231"/>
      <c r="M352" s="231"/>
      <c r="N352" s="231"/>
      <c r="O352" s="231"/>
      <c r="P352" s="231"/>
      <c r="Q352" s="231"/>
      <c r="R352" s="231"/>
      <c r="S352" s="231"/>
      <c r="T352" s="231"/>
      <c r="U352" s="231"/>
      <c r="V352" s="231"/>
      <c r="W352" s="231"/>
      <c r="X352" s="231"/>
      <c r="Y352" s="231"/>
      <c r="Z352" s="231"/>
      <c r="AA352" s="231"/>
      <c r="AB352" s="231"/>
      <c r="AC352" s="231"/>
      <c r="AD352" s="231"/>
      <c r="AE352" s="231"/>
      <c r="AF352" s="231"/>
      <c r="AG352" s="231"/>
      <c r="AH352" s="231"/>
      <c r="AI352" s="231"/>
    </row>
    <row r="353" spans="1:35" s="203" customFormat="1">
      <c r="A353" s="670">
        <v>2</v>
      </c>
      <c r="B353" s="47" t="s">
        <v>52</v>
      </c>
      <c r="C353" s="116"/>
      <c r="D353" s="116"/>
      <c r="E353" s="74">
        <v>0</v>
      </c>
      <c r="F353" s="265"/>
      <c r="G353" s="43"/>
      <c r="H353" s="126"/>
      <c r="I353" s="86"/>
      <c r="J353" s="231"/>
      <c r="K353" s="231"/>
      <c r="L353" s="231"/>
      <c r="M353" s="231"/>
      <c r="N353" s="231"/>
      <c r="O353" s="231"/>
      <c r="P353" s="231"/>
      <c r="Q353" s="231"/>
      <c r="R353" s="231"/>
      <c r="S353" s="231"/>
      <c r="T353" s="231"/>
      <c r="U353" s="231"/>
      <c r="V353" s="231"/>
      <c r="W353" s="231"/>
      <c r="X353" s="231"/>
      <c r="Y353" s="231"/>
      <c r="Z353" s="231"/>
      <c r="AA353" s="231"/>
      <c r="AB353" s="231"/>
      <c r="AC353" s="231"/>
      <c r="AD353" s="231"/>
      <c r="AE353" s="231"/>
      <c r="AF353" s="231"/>
      <c r="AG353" s="231"/>
      <c r="AH353" s="231"/>
      <c r="AI353" s="231"/>
    </row>
    <row r="354" spans="1:35" s="203" customFormat="1">
      <c r="A354" s="670">
        <v>3</v>
      </c>
      <c r="B354" s="47" t="s">
        <v>53</v>
      </c>
      <c r="C354" s="116"/>
      <c r="D354" s="116"/>
      <c r="E354" s="49">
        <v>0</v>
      </c>
      <c r="F354" s="265"/>
      <c r="G354" s="43"/>
      <c r="H354" s="126"/>
      <c r="I354" s="86"/>
      <c r="J354" s="231"/>
      <c r="K354" s="231"/>
      <c r="L354" s="231"/>
      <c r="M354" s="231"/>
      <c r="N354" s="231"/>
      <c r="O354" s="231"/>
      <c r="P354" s="231"/>
      <c r="Q354" s="231"/>
      <c r="R354" s="231"/>
      <c r="S354" s="231"/>
      <c r="T354" s="231"/>
      <c r="U354" s="231"/>
      <c r="V354" s="231"/>
      <c r="W354" s="231"/>
      <c r="X354" s="231"/>
      <c r="Y354" s="231"/>
      <c r="Z354" s="231"/>
      <c r="AA354" s="231"/>
      <c r="AB354" s="231"/>
      <c r="AC354" s="231"/>
      <c r="AD354" s="231"/>
      <c r="AE354" s="231"/>
      <c r="AF354" s="231"/>
      <c r="AG354" s="231"/>
      <c r="AH354" s="231"/>
      <c r="AI354" s="231"/>
    </row>
    <row r="355" spans="1:35" s="203" customFormat="1">
      <c r="A355" s="670">
        <v>4</v>
      </c>
      <c r="B355" s="47" t="s">
        <v>54</v>
      </c>
      <c r="C355" s="116"/>
      <c r="D355" s="116"/>
      <c r="E355" s="49">
        <v>0</v>
      </c>
      <c r="F355" s="265">
        <v>1040</v>
      </c>
      <c r="G355" s="43"/>
      <c r="H355" s="126"/>
      <c r="I355" s="86"/>
      <c r="J355" s="231"/>
      <c r="K355" s="231"/>
      <c r="L355" s="231"/>
      <c r="M355" s="231"/>
      <c r="N355" s="231"/>
      <c r="O355" s="231"/>
      <c r="P355" s="231"/>
      <c r="Q355" s="231"/>
      <c r="R355" s="231"/>
      <c r="S355" s="231"/>
      <c r="T355" s="231"/>
      <c r="U355" s="231"/>
      <c r="V355" s="231"/>
      <c r="W355" s="231"/>
      <c r="X355" s="231"/>
      <c r="Y355" s="231"/>
      <c r="Z355" s="231"/>
      <c r="AA355" s="231"/>
      <c r="AB355" s="231"/>
      <c r="AC355" s="231"/>
      <c r="AD355" s="231"/>
      <c r="AE355" s="231"/>
      <c r="AF355" s="231"/>
      <c r="AG355" s="231"/>
      <c r="AH355" s="231"/>
      <c r="AI355" s="231"/>
    </row>
    <row r="356" spans="1:35" s="203" customFormat="1">
      <c r="A356" s="670">
        <v>5</v>
      </c>
      <c r="B356" s="47" t="s">
        <v>55</v>
      </c>
      <c r="C356" s="116"/>
      <c r="D356" s="116"/>
      <c r="E356" s="49">
        <v>0</v>
      </c>
      <c r="F356" s="265"/>
      <c r="G356" s="43"/>
      <c r="H356" s="126"/>
      <c r="I356" s="86"/>
      <c r="J356" s="231"/>
      <c r="K356" s="231"/>
      <c r="L356" s="231"/>
      <c r="M356" s="231"/>
      <c r="N356" s="231"/>
      <c r="O356" s="231"/>
      <c r="P356" s="231"/>
      <c r="Q356" s="231"/>
      <c r="R356" s="231"/>
      <c r="S356" s="231"/>
      <c r="T356" s="231"/>
      <c r="U356" s="231"/>
      <c r="V356" s="231"/>
      <c r="W356" s="231"/>
      <c r="X356" s="231"/>
      <c r="Y356" s="231"/>
      <c r="Z356" s="231"/>
      <c r="AA356" s="231"/>
      <c r="AB356" s="231"/>
      <c r="AC356" s="231"/>
      <c r="AD356" s="231"/>
      <c r="AE356" s="231"/>
      <c r="AF356" s="231"/>
      <c r="AG356" s="231"/>
      <c r="AH356" s="231"/>
      <c r="AI356" s="231"/>
    </row>
    <row r="357" spans="1:35" s="203" customFormat="1">
      <c r="A357" s="670">
        <v>6</v>
      </c>
      <c r="B357" s="47" t="s">
        <v>56</v>
      </c>
      <c r="C357" s="116"/>
      <c r="D357" s="116"/>
      <c r="E357" s="49">
        <v>0</v>
      </c>
      <c r="F357" s="265"/>
      <c r="G357" s="43"/>
      <c r="H357" s="126"/>
      <c r="I357" s="86"/>
      <c r="J357" s="231"/>
      <c r="K357" s="231"/>
      <c r="L357" s="231"/>
      <c r="M357" s="231"/>
      <c r="N357" s="231"/>
      <c r="O357" s="231"/>
      <c r="P357" s="231"/>
      <c r="Q357" s="231"/>
      <c r="R357" s="231"/>
      <c r="S357" s="231"/>
      <c r="T357" s="231"/>
      <c r="U357" s="231"/>
      <c r="V357" s="231"/>
      <c r="W357" s="231"/>
      <c r="X357" s="231"/>
      <c r="Y357" s="231"/>
      <c r="Z357" s="231"/>
      <c r="AA357" s="231"/>
      <c r="AB357" s="231"/>
      <c r="AC357" s="231"/>
      <c r="AD357" s="231"/>
      <c r="AE357" s="231"/>
      <c r="AF357" s="231"/>
      <c r="AG357" s="231"/>
      <c r="AH357" s="231"/>
      <c r="AI357" s="231"/>
    </row>
    <row r="358" spans="1:35" s="203" customFormat="1">
      <c r="A358" s="670">
        <v>7</v>
      </c>
      <c r="B358" s="47" t="s">
        <v>57</v>
      </c>
      <c r="C358" s="116"/>
      <c r="D358" s="116"/>
      <c r="E358" s="49">
        <v>0</v>
      </c>
      <c r="F358" s="265"/>
      <c r="G358" s="43"/>
      <c r="H358" s="126"/>
      <c r="I358" s="86"/>
      <c r="J358" s="231"/>
      <c r="K358" s="231"/>
      <c r="L358" s="231"/>
      <c r="M358" s="231"/>
      <c r="N358" s="231"/>
      <c r="O358" s="231"/>
      <c r="P358" s="231"/>
      <c r="Q358" s="231"/>
      <c r="R358" s="231"/>
      <c r="S358" s="231"/>
      <c r="T358" s="231"/>
      <c r="U358" s="231"/>
      <c r="V358" s="231"/>
      <c r="W358" s="231"/>
      <c r="X358" s="231"/>
      <c r="Y358" s="231"/>
      <c r="Z358" s="231"/>
      <c r="AA358" s="231"/>
      <c r="AB358" s="231"/>
      <c r="AC358" s="231"/>
      <c r="AD358" s="231"/>
      <c r="AE358" s="231"/>
      <c r="AF358" s="231"/>
      <c r="AG358" s="231"/>
      <c r="AH358" s="231"/>
      <c r="AI358" s="231"/>
    </row>
    <row r="359" spans="1:35" s="203" customFormat="1">
      <c r="A359" s="670">
        <v>8</v>
      </c>
      <c r="B359" s="47" t="s">
        <v>58</v>
      </c>
      <c r="C359" s="116"/>
      <c r="D359" s="116"/>
      <c r="E359" s="49">
        <v>0</v>
      </c>
      <c r="F359" s="265"/>
      <c r="G359" s="43"/>
      <c r="H359" s="126"/>
      <c r="I359" s="86"/>
      <c r="J359" s="231"/>
      <c r="K359" s="231"/>
      <c r="L359" s="231"/>
      <c r="M359" s="231"/>
      <c r="N359" s="231"/>
      <c r="O359" s="231"/>
      <c r="P359" s="231"/>
      <c r="Q359" s="231"/>
      <c r="R359" s="231"/>
      <c r="S359" s="231"/>
      <c r="T359" s="231"/>
      <c r="U359" s="231"/>
      <c r="V359" s="231"/>
      <c r="W359" s="231"/>
      <c r="X359" s="231"/>
      <c r="Y359" s="231"/>
      <c r="Z359" s="231"/>
      <c r="AA359" s="231"/>
      <c r="AB359" s="231"/>
      <c r="AC359" s="231"/>
      <c r="AD359" s="231"/>
      <c r="AE359" s="231"/>
      <c r="AF359" s="231"/>
      <c r="AG359" s="231"/>
      <c r="AH359" s="231"/>
      <c r="AI359" s="231"/>
    </row>
    <row r="360" spans="1:35" s="203" customFormat="1">
      <c r="A360" s="670">
        <v>9</v>
      </c>
      <c r="B360" s="47" t="s">
        <v>59</v>
      </c>
      <c r="C360" s="116"/>
      <c r="D360" s="116"/>
      <c r="E360" s="49">
        <v>0</v>
      </c>
      <c r="F360" s="265"/>
      <c r="G360" s="43"/>
      <c r="H360" s="126"/>
      <c r="I360" s="86"/>
      <c r="J360" s="231"/>
      <c r="K360" s="231"/>
      <c r="L360" s="231"/>
      <c r="M360" s="231"/>
      <c r="N360" s="231"/>
      <c r="O360" s="231"/>
      <c r="P360" s="231"/>
      <c r="Q360" s="231"/>
      <c r="R360" s="231"/>
      <c r="S360" s="231"/>
      <c r="T360" s="231"/>
      <c r="U360" s="231"/>
      <c r="V360" s="231"/>
      <c r="W360" s="231"/>
      <c r="X360" s="231"/>
      <c r="Y360" s="231"/>
      <c r="Z360" s="231"/>
      <c r="AA360" s="231"/>
      <c r="AB360" s="231"/>
      <c r="AC360" s="231"/>
      <c r="AD360" s="231"/>
      <c r="AE360" s="231"/>
      <c r="AF360" s="231"/>
      <c r="AG360" s="231"/>
      <c r="AH360" s="231"/>
      <c r="AI360" s="231"/>
    </row>
    <row r="361" spans="1:35" s="203" customFormat="1">
      <c r="A361" s="670">
        <v>10</v>
      </c>
      <c r="B361" s="47" t="s">
        <v>60</v>
      </c>
      <c r="C361" s="116"/>
      <c r="D361" s="116"/>
      <c r="E361" s="49">
        <v>0</v>
      </c>
      <c r="F361" s="265"/>
      <c r="G361" s="43"/>
      <c r="H361" s="126"/>
      <c r="I361" s="86"/>
      <c r="J361" s="231"/>
      <c r="K361" s="231"/>
      <c r="L361" s="231"/>
      <c r="M361" s="231"/>
      <c r="N361" s="231"/>
      <c r="O361" s="231"/>
      <c r="P361" s="231"/>
      <c r="Q361" s="231"/>
      <c r="R361" s="231"/>
      <c r="S361" s="231"/>
      <c r="T361" s="231"/>
      <c r="U361" s="231"/>
      <c r="V361" s="231"/>
      <c r="W361" s="231"/>
      <c r="X361" s="231"/>
      <c r="Y361" s="231"/>
      <c r="Z361" s="231"/>
      <c r="AA361" s="231"/>
      <c r="AB361" s="231"/>
      <c r="AC361" s="231"/>
      <c r="AD361" s="231"/>
      <c r="AE361" s="231"/>
      <c r="AF361" s="231"/>
      <c r="AG361" s="231"/>
      <c r="AH361" s="231"/>
      <c r="AI361" s="231"/>
    </row>
    <row r="362" spans="1:35" s="203" customFormat="1">
      <c r="A362" s="670">
        <v>11</v>
      </c>
      <c r="B362" s="47" t="s">
        <v>61</v>
      </c>
      <c r="C362" s="116"/>
      <c r="D362" s="116"/>
      <c r="E362" s="49">
        <v>0</v>
      </c>
      <c r="F362" s="265"/>
      <c r="G362" s="43"/>
      <c r="H362" s="126"/>
      <c r="I362" s="86"/>
      <c r="J362" s="231"/>
      <c r="K362" s="231"/>
      <c r="L362" s="231"/>
      <c r="M362" s="231"/>
      <c r="N362" s="231"/>
      <c r="O362" s="231"/>
      <c r="P362" s="231"/>
      <c r="Q362" s="231"/>
      <c r="R362" s="231"/>
      <c r="S362" s="231"/>
      <c r="T362" s="231"/>
      <c r="U362" s="231"/>
      <c r="V362" s="231"/>
      <c r="W362" s="231"/>
      <c r="X362" s="231"/>
      <c r="Y362" s="231"/>
      <c r="Z362" s="231"/>
      <c r="AA362" s="231"/>
      <c r="AB362" s="231"/>
      <c r="AC362" s="231"/>
      <c r="AD362" s="231"/>
      <c r="AE362" s="231"/>
      <c r="AF362" s="231"/>
      <c r="AG362" s="231"/>
      <c r="AH362" s="231"/>
      <c r="AI362" s="231"/>
    </row>
    <row r="363" spans="1:35" s="203" customFormat="1">
      <c r="A363" s="671">
        <v>12</v>
      </c>
      <c r="B363" s="54" t="s">
        <v>380</v>
      </c>
      <c r="C363" s="94"/>
      <c r="D363" s="94"/>
      <c r="E363" s="135">
        <v>0</v>
      </c>
      <c r="F363" s="61">
        <f>SUM(F353:F362)</f>
        <v>1040</v>
      </c>
      <c r="G363" s="43"/>
      <c r="H363" s="61">
        <f>SUM(H353:H362)</f>
        <v>0</v>
      </c>
      <c r="I363" s="86"/>
      <c r="J363" s="231"/>
      <c r="K363" s="231"/>
      <c r="L363" s="231"/>
      <c r="M363" s="231"/>
      <c r="N363" s="231"/>
      <c r="O363" s="231"/>
      <c r="P363" s="231"/>
      <c r="Q363" s="231"/>
      <c r="R363" s="231"/>
      <c r="S363" s="231"/>
      <c r="T363" s="231"/>
      <c r="U363" s="231"/>
      <c r="V363" s="231"/>
      <c r="W363" s="231"/>
      <c r="X363" s="231"/>
      <c r="Y363" s="231"/>
      <c r="Z363" s="231"/>
      <c r="AA363" s="231"/>
      <c r="AB363" s="231"/>
      <c r="AC363" s="231"/>
      <c r="AD363" s="231"/>
      <c r="AE363" s="231"/>
      <c r="AF363" s="231"/>
      <c r="AG363" s="231"/>
      <c r="AH363" s="231"/>
      <c r="AI363" s="231"/>
    </row>
    <row r="364" spans="1:35" s="203" customFormat="1">
      <c r="A364" s="199"/>
      <c r="B364" s="15"/>
      <c r="C364" s="15"/>
      <c r="D364" s="15"/>
      <c r="E364" s="15"/>
      <c r="F364" s="15"/>
      <c r="G364" s="15"/>
      <c r="H364" s="15"/>
      <c r="I364" s="86"/>
      <c r="J364" s="231"/>
      <c r="K364" s="231"/>
      <c r="L364" s="231"/>
      <c r="M364" s="231"/>
      <c r="N364" s="231"/>
      <c r="O364" s="231"/>
      <c r="P364" s="231"/>
      <c r="Q364" s="231"/>
      <c r="R364" s="231"/>
      <c r="S364" s="231"/>
      <c r="T364" s="231"/>
      <c r="U364" s="231"/>
      <c r="V364" s="231"/>
      <c r="W364" s="231"/>
      <c r="X364" s="231"/>
      <c r="Y364" s="231"/>
      <c r="Z364" s="231"/>
      <c r="AA364" s="231"/>
      <c r="AB364" s="231"/>
      <c r="AC364" s="231"/>
      <c r="AD364" s="231"/>
      <c r="AE364" s="231"/>
      <c r="AF364" s="231"/>
      <c r="AG364" s="231"/>
      <c r="AH364" s="231"/>
      <c r="AI364" s="231"/>
    </row>
    <row r="365" spans="1:35" s="203" customFormat="1">
      <c r="A365" s="199"/>
      <c r="B365" s="15"/>
      <c r="C365" s="15"/>
      <c r="D365" s="15"/>
      <c r="E365" s="15"/>
      <c r="F365" s="15"/>
      <c r="G365" s="15"/>
      <c r="H365" s="86"/>
      <c r="I365" s="86"/>
      <c r="J365" s="231"/>
      <c r="K365" s="231"/>
      <c r="L365" s="231"/>
      <c r="M365" s="231"/>
      <c r="N365" s="231"/>
      <c r="O365" s="231"/>
      <c r="P365" s="231"/>
      <c r="Q365" s="231"/>
      <c r="R365" s="231"/>
      <c r="S365" s="231"/>
      <c r="T365" s="231"/>
      <c r="U365" s="231"/>
      <c r="V365" s="231"/>
      <c r="W365" s="231"/>
      <c r="X365" s="231"/>
      <c r="Y365" s="231"/>
      <c r="Z365" s="231"/>
      <c r="AA365" s="231"/>
      <c r="AB365" s="231"/>
      <c r="AC365" s="231"/>
      <c r="AD365" s="231"/>
      <c r="AE365" s="231"/>
      <c r="AF365" s="231"/>
      <c r="AG365" s="231"/>
      <c r="AH365" s="231"/>
      <c r="AI365" s="231"/>
    </row>
    <row r="366" spans="1:35" s="203" customFormat="1">
      <c r="A366" s="199"/>
      <c r="B366" s="15"/>
      <c r="C366" s="15"/>
      <c r="D366" s="15"/>
      <c r="E366" s="15"/>
      <c r="F366" s="15"/>
      <c r="G366" s="15"/>
      <c r="H366" s="86"/>
      <c r="I366" s="86"/>
      <c r="J366" s="231"/>
      <c r="K366" s="231"/>
      <c r="L366" s="231"/>
      <c r="M366" s="231"/>
      <c r="N366" s="231"/>
      <c r="O366" s="231"/>
      <c r="P366" s="231"/>
      <c r="Q366" s="231"/>
      <c r="R366" s="231"/>
      <c r="S366" s="231"/>
      <c r="T366" s="231"/>
      <c r="U366" s="231"/>
      <c r="V366" s="231"/>
      <c r="W366" s="231"/>
      <c r="X366" s="231"/>
      <c r="Y366" s="231"/>
      <c r="Z366" s="231"/>
      <c r="AA366" s="231"/>
      <c r="AB366" s="231"/>
      <c r="AC366" s="231"/>
      <c r="AD366" s="231"/>
      <c r="AE366" s="231"/>
      <c r="AF366" s="231"/>
      <c r="AG366" s="231"/>
      <c r="AH366" s="231"/>
      <c r="AI366" s="231"/>
    </row>
    <row r="367" spans="1:35" s="8" customFormat="1"/>
    <row r="368" spans="1:35" s="8" customFormat="1"/>
    <row r="369" s="8" customFormat="1"/>
    <row r="370" s="8" customFormat="1"/>
    <row r="371" s="8" customFormat="1"/>
    <row r="372" s="8" customFormat="1"/>
    <row r="373" s="8" customFormat="1"/>
    <row r="374" s="8" customFormat="1"/>
    <row r="375" s="8" customFormat="1"/>
    <row r="376" s="8" customFormat="1"/>
    <row r="377" s="8" customFormat="1"/>
    <row r="378" s="8" customFormat="1"/>
    <row r="379" s="8" customFormat="1"/>
    <row r="380" s="8" customFormat="1"/>
    <row r="381" s="8" customFormat="1"/>
    <row r="382" s="8" customFormat="1"/>
    <row r="383" s="8" customFormat="1"/>
    <row r="384" s="8" customFormat="1"/>
    <row r="385" spans="1:9" s="8" customFormat="1"/>
    <row r="386" spans="1:9" s="8" customFormat="1"/>
    <row r="387" spans="1:9" s="8" customFormat="1"/>
    <row r="388" spans="1:9" s="8" customFormat="1"/>
    <row r="389" spans="1:9" s="8" customFormat="1"/>
    <row r="390" spans="1:9" s="8" customFormat="1"/>
    <row r="391" spans="1:9" s="8" customFormat="1"/>
    <row r="392" spans="1:9" s="8" customFormat="1"/>
    <row r="393" spans="1:9" s="8" customFormat="1"/>
    <row r="394" spans="1:9" s="8" customFormat="1"/>
    <row r="395" spans="1:9" s="8" customFormat="1"/>
    <row r="396" spans="1:9" s="8" customFormat="1"/>
    <row r="397" spans="1:9" s="8" customFormat="1"/>
    <row r="398" spans="1:9" s="8" customFormat="1"/>
    <row r="399" spans="1:9">
      <c r="A399" s="8"/>
      <c r="B399" s="8"/>
      <c r="C399" s="8"/>
      <c r="D399" s="8"/>
      <c r="E399" s="8"/>
      <c r="F399" s="8"/>
      <c r="G399" s="8"/>
      <c r="H399" s="8"/>
      <c r="I399" s="8"/>
    </row>
    <row r="400" spans="1:9">
      <c r="A400" s="8"/>
      <c r="B400" s="8"/>
      <c r="C400" s="8"/>
      <c r="D400" s="8"/>
      <c r="E400" s="8"/>
      <c r="F400" s="8"/>
      <c r="G400" s="8"/>
      <c r="H400" s="8"/>
      <c r="I400" s="8"/>
    </row>
    <row r="401" spans="1:9">
      <c r="A401" s="8"/>
      <c r="B401" s="8"/>
      <c r="C401" s="8"/>
      <c r="D401" s="8"/>
      <c r="E401" s="8"/>
      <c r="F401" s="8"/>
      <c r="G401" s="8"/>
      <c r="H401" s="8"/>
      <c r="I401" s="8"/>
    </row>
    <row r="402" spans="1:9">
      <c r="A402" s="8"/>
      <c r="B402" s="8"/>
      <c r="C402" s="8"/>
      <c r="D402" s="8"/>
      <c r="E402" s="8"/>
      <c r="F402" s="8"/>
      <c r="G402" s="8"/>
      <c r="H402" s="8"/>
      <c r="I402" s="8"/>
    </row>
    <row r="403" spans="1:9">
      <c r="A403" s="8"/>
      <c r="B403" s="8"/>
      <c r="C403" s="8"/>
      <c r="D403" s="8"/>
      <c r="E403" s="8"/>
      <c r="F403" s="8"/>
      <c r="G403" s="8"/>
      <c r="H403" s="8"/>
      <c r="I403" s="8"/>
    </row>
    <row r="404" spans="1:9">
      <c r="A404" s="8"/>
      <c r="B404" s="8"/>
      <c r="C404" s="8"/>
      <c r="D404" s="8"/>
      <c r="E404" s="8"/>
      <c r="F404" s="8"/>
      <c r="G404" s="8"/>
      <c r="H404" s="8"/>
      <c r="I404" s="8"/>
    </row>
    <row r="405" spans="1:9">
      <c r="A405" s="8"/>
      <c r="B405" s="8"/>
      <c r="C405" s="8"/>
      <c r="D405" s="8"/>
      <c r="E405" s="8"/>
      <c r="F405" s="8"/>
      <c r="G405" s="8"/>
      <c r="H405" s="8"/>
      <c r="I405" s="8"/>
    </row>
    <row r="406" spans="1:9">
      <c r="A406" s="8"/>
      <c r="B406" s="8"/>
      <c r="C406" s="8"/>
      <c r="D406" s="8"/>
      <c r="E406" s="8"/>
      <c r="F406" s="8"/>
      <c r="G406" s="8"/>
      <c r="H406" s="8"/>
      <c r="I406" s="8"/>
    </row>
    <row r="407" spans="1:9">
      <c r="A407" s="8"/>
      <c r="B407" s="8"/>
      <c r="C407" s="8"/>
      <c r="D407" s="8"/>
      <c r="E407" s="8"/>
      <c r="F407" s="8"/>
      <c r="G407" s="8"/>
      <c r="H407" s="8"/>
      <c r="I407" s="8"/>
    </row>
    <row r="408" spans="1:9">
      <c r="A408" s="8"/>
      <c r="B408" s="8"/>
      <c r="C408" s="8"/>
      <c r="D408" s="8"/>
      <c r="E408" s="8"/>
      <c r="F408" s="8"/>
      <c r="G408" s="8"/>
      <c r="H408" s="8"/>
      <c r="I408" s="8"/>
    </row>
    <row r="409" spans="1:9">
      <c r="A409" s="8"/>
      <c r="B409" s="8"/>
      <c r="C409" s="8"/>
      <c r="D409" s="8"/>
      <c r="E409" s="8"/>
      <c r="F409" s="8"/>
      <c r="G409" s="8"/>
      <c r="H409" s="8"/>
      <c r="I409" s="8"/>
    </row>
    <row r="410" spans="1:9">
      <c r="A410" s="8"/>
      <c r="B410" s="8"/>
      <c r="C410" s="8"/>
      <c r="D410" s="8"/>
      <c r="E410" s="8"/>
      <c r="F410" s="8"/>
      <c r="G410" s="8"/>
      <c r="H410" s="8"/>
      <c r="I410" s="8"/>
    </row>
    <row r="411" spans="1:9">
      <c r="A411" s="8"/>
      <c r="B411" s="8"/>
      <c r="C411" s="8"/>
      <c r="D411" s="8"/>
      <c r="E411" s="8"/>
      <c r="F411" s="8"/>
      <c r="G411" s="8"/>
      <c r="H411" s="8"/>
      <c r="I411" s="8"/>
    </row>
    <row r="412" spans="1:9">
      <c r="A412" s="8"/>
      <c r="B412" s="8"/>
      <c r="C412" s="8"/>
      <c r="D412" s="8"/>
      <c r="E412" s="8"/>
      <c r="F412" s="8"/>
      <c r="G412" s="8"/>
      <c r="H412" s="8"/>
      <c r="I412" s="8"/>
    </row>
    <row r="413" spans="1:9">
      <c r="A413" s="8"/>
      <c r="B413" s="8"/>
      <c r="C413" s="8"/>
      <c r="D413" s="8"/>
      <c r="E413" s="8"/>
      <c r="F413" s="8"/>
      <c r="G413" s="8"/>
      <c r="H413" s="8"/>
      <c r="I413" s="8"/>
    </row>
  </sheetData>
  <mergeCells count="59">
    <mergeCell ref="F341:F345"/>
    <mergeCell ref="H341:H345"/>
    <mergeCell ref="E261:E265"/>
    <mergeCell ref="F261:F265"/>
    <mergeCell ref="H261:H265"/>
    <mergeCell ref="E280:E284"/>
    <mergeCell ref="F280:F284"/>
    <mergeCell ref="H280:H284"/>
    <mergeCell ref="E305:E309"/>
    <mergeCell ref="F305:F309"/>
    <mergeCell ref="H305:H309"/>
    <mergeCell ref="C323:H323"/>
    <mergeCell ref="C330:H330"/>
    <mergeCell ref="E341:E345"/>
    <mergeCell ref="E221:E225"/>
    <mergeCell ref="F221:F225"/>
    <mergeCell ref="H221:H225"/>
    <mergeCell ref="E234:E238"/>
    <mergeCell ref="F234:F238"/>
    <mergeCell ref="H234:H238"/>
    <mergeCell ref="G66:G70"/>
    <mergeCell ref="H66:H70"/>
    <mergeCell ref="F91:F95"/>
    <mergeCell ref="H91:H95"/>
    <mergeCell ref="E193:E197"/>
    <mergeCell ref="F193:F197"/>
    <mergeCell ref="H193:H197"/>
    <mergeCell ref="E153:E157"/>
    <mergeCell ref="F153:F157"/>
    <mergeCell ref="H153:H157"/>
    <mergeCell ref="E91:E95"/>
    <mergeCell ref="I66:I70"/>
    <mergeCell ref="A23:D24"/>
    <mergeCell ref="E23:E24"/>
    <mergeCell ref="F23:F24"/>
    <mergeCell ref="H23:H24"/>
    <mergeCell ref="A25:A27"/>
    <mergeCell ref="B25:D27"/>
    <mergeCell ref="E25:E27"/>
    <mergeCell ref="F25:F27"/>
    <mergeCell ref="H25:H27"/>
    <mergeCell ref="A40:D41"/>
    <mergeCell ref="E40:E41"/>
    <mergeCell ref="F40:F41"/>
    <mergeCell ref="H40:H41"/>
    <mergeCell ref="E66:E70"/>
    <mergeCell ref="F66:F70"/>
    <mergeCell ref="C19:F19"/>
    <mergeCell ref="B3:B4"/>
    <mergeCell ref="C3:D4"/>
    <mergeCell ref="A5:B5"/>
    <mergeCell ref="D6:H6"/>
    <mergeCell ref="A9:I9"/>
    <mergeCell ref="D10:F10"/>
    <mergeCell ref="C14:F14"/>
    <mergeCell ref="C15:F15"/>
    <mergeCell ref="C16:F16"/>
    <mergeCell ref="C17:F17"/>
    <mergeCell ref="C18:F18"/>
  </mergeCells>
  <phoneticPr fontId="10" type="noConversion"/>
  <conditionalFormatting sqref="F71:F76 F286:F301 F311:F318 F80:F88 F96:F97 F103:F104 F106 F110:F114 F118:F124 F128:F134 F138:F142 F146:F149 F159:F162 F166:F168 F171:F172 F175:F177 F183:F190 F199:F200 F204:F206 F210:F213 F217:F218 F226:F230 F240:F241 F245:F246 F250:F253 F256 F267:F276 H250">
    <cfRule type="expression" dxfId="14" priority="295" stopIfTrue="1">
      <formula>ISBLANK(F71)</formula>
    </cfRule>
    <cfRule type="expression" dxfId="13" priority="296" stopIfTrue="1">
      <formula>IF(AND(OR(F71-E71&gt;500,F71-E71&lt;-500),OR(#REF!&gt;0.1,#REF!&lt;-0.1)),TRUE,FALSE)</formula>
    </cfRule>
  </conditionalFormatting>
  <dataValidations count="1">
    <dataValidation type="list" errorStyle="information" allowBlank="1" showInputMessage="1" showErrorMessage="1" errorTitle="POBE 2006" error="Please select from the drop-down menu..." prompt="Please select your Authority from the drop-down menu..." sqref="C3:D4">
      <formula1>#REF!</formula1>
    </dataValidation>
  </dataValidations>
  <hyperlinks>
    <hyperlink ref="F7" r:id="rId1" display="lgfstats@scotland.gsi.gov.uk"/>
    <hyperlink ref="D6" r:id="rId2"/>
    <hyperlink ref="D10" r:id="rId3" display="^lgfstats@gov.scot"/>
    <hyperlink ref="B14" location="'POBE 2017'!A28" display="PART 1 - Expenditure"/>
    <hyperlink ref="C19:F19" location="'POBE 2017'!A323" display="Sheet 10. - PUBLIC PRIVATE PARTNERSHIPS/PRIVATE FINANCE INITIATIVES"/>
    <hyperlink ref="B15" location="'POBE 2017'!A40" display="PART 2 - Income and Balances"/>
    <hyperlink ref="B16" location="'POBE 2017'!A66" display="Sheet 1. EDUCATION"/>
    <hyperlink ref="B17" location="'POBE 2017'!A91" display="Sheet 2. SOCIAL WORK"/>
    <hyperlink ref="B18" location="'POBE 2017'!A153" display="Sheet 3. ROADS AND TRANSPORT"/>
    <hyperlink ref="B19" location="'POBE 2017'!A193" display="Sheet 4. ENVIRONMENTAL SERVICES"/>
    <hyperlink ref="C14:F14" location="'POBE 2017'!A221" display="Sheet 5. PLANNING AND DEVELOPMENT SERVICES"/>
    <hyperlink ref="C15:F15" location="'POBE 2017'!A234" display="Sheet 6. CULTURAL AND RELATED SERVICES"/>
    <hyperlink ref="C16:F16" location="'POBE 2017'!A261" display="Sheet 7. HOUSING"/>
    <hyperlink ref="C17:F17" location="'POBE 2017'!A280" display="Sheet 8. CENTRAL SERVICES"/>
    <hyperlink ref="C18:F18" location="'POBE 2017'!A305" display="Sheet 9. OTHER EXPENDITURE"/>
  </hyperlinks>
  <pageMargins left="0.75" right="0.75" top="1" bottom="1" header="0.5" footer="0.5"/>
  <pageSetup paperSize="9" orientation="portrait" r:id="rId4"/>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dimension ref="A1:AI414"/>
  <sheetViews>
    <sheetView zoomScale="80" zoomScaleNormal="80" workbookViewId="0">
      <selection activeCell="I1" sqref="I1"/>
    </sheetView>
  </sheetViews>
  <sheetFormatPr defaultColWidth="9.140625" defaultRowHeight="12.75"/>
  <cols>
    <col min="1" max="1" width="10.5703125" style="1" customWidth="1"/>
    <col min="2" max="2" width="43" style="1" customWidth="1"/>
    <col min="3" max="3" width="24.5703125" style="1" customWidth="1"/>
    <col min="4" max="4" width="14.7109375" style="1" customWidth="1"/>
    <col min="5" max="5" width="21.5703125" style="1" customWidth="1"/>
    <col min="6" max="6" width="19.140625" style="1" customWidth="1"/>
    <col min="7" max="7" width="17.42578125" style="1" customWidth="1"/>
    <col min="8" max="8" width="19.28515625" style="1" customWidth="1"/>
    <col min="9" max="9" width="17.85546875" style="1" customWidth="1"/>
    <col min="10" max="17" width="9.140625" style="8" customWidth="1"/>
    <col min="18" max="28" width="9.140625" style="8"/>
    <col min="29" max="29" width="0" style="8" hidden="1" customWidth="1"/>
    <col min="30" max="35" width="9.140625" style="8"/>
    <col min="36" max="16384" width="9.140625" style="1"/>
  </cols>
  <sheetData>
    <row r="1" spans="1:35" s="203" customFormat="1" ht="51" customHeight="1">
      <c r="A1" s="3" t="s">
        <v>410</v>
      </c>
      <c r="B1" s="4"/>
      <c r="C1" s="224"/>
      <c r="D1" s="224"/>
      <c r="E1" s="224"/>
      <c r="F1" s="224"/>
      <c r="G1" s="225"/>
      <c r="H1" s="226"/>
      <c r="I1" s="227"/>
      <c r="J1" s="231"/>
      <c r="K1" s="231"/>
      <c r="L1" s="231"/>
      <c r="M1" s="231"/>
      <c r="N1" s="231"/>
      <c r="O1" s="231"/>
      <c r="P1" s="231"/>
      <c r="Q1" s="231"/>
      <c r="R1" s="231"/>
      <c r="S1" s="231"/>
      <c r="T1" s="231"/>
      <c r="U1" s="231"/>
      <c r="V1" s="231"/>
      <c r="W1" s="231"/>
      <c r="X1" s="231"/>
      <c r="Y1" s="231"/>
      <c r="Z1" s="231"/>
      <c r="AA1" s="231"/>
      <c r="AB1" s="231"/>
      <c r="AC1" s="231"/>
      <c r="AD1" s="231"/>
      <c r="AE1" s="231"/>
      <c r="AF1" s="231"/>
      <c r="AG1" s="231"/>
      <c r="AH1" s="231"/>
      <c r="AI1" s="231"/>
    </row>
    <row r="2" spans="1:35" s="203" customFormat="1" ht="35.25">
      <c r="A2" s="9"/>
      <c r="B2" s="10"/>
      <c r="C2" s="232"/>
      <c r="D2" s="232"/>
      <c r="E2" s="232"/>
      <c r="F2" s="11"/>
      <c r="G2" s="11"/>
      <c r="H2" s="11"/>
      <c r="I2" s="11"/>
      <c r="J2" s="231"/>
      <c r="K2" s="231"/>
      <c r="L2" s="231"/>
      <c r="M2" s="231"/>
      <c r="N2" s="231"/>
      <c r="O2" s="231"/>
      <c r="P2" s="231"/>
      <c r="Q2" s="231"/>
      <c r="R2" s="231"/>
      <c r="S2" s="231"/>
      <c r="T2" s="231"/>
      <c r="U2" s="231"/>
      <c r="V2" s="231"/>
      <c r="W2" s="231"/>
      <c r="X2" s="231"/>
      <c r="Y2" s="231"/>
      <c r="Z2" s="231"/>
      <c r="AA2" s="231"/>
      <c r="AB2" s="231"/>
      <c r="AC2" s="231"/>
      <c r="AD2" s="231"/>
      <c r="AE2" s="231"/>
      <c r="AF2" s="231"/>
      <c r="AG2" s="231"/>
      <c r="AH2" s="231"/>
      <c r="AI2" s="231"/>
    </row>
    <row r="3" spans="1:35" s="203" customFormat="1" ht="15">
      <c r="A3" s="12"/>
      <c r="B3" s="882" t="s">
        <v>0</v>
      </c>
      <c r="C3" s="884" t="s">
        <v>42</v>
      </c>
      <c r="D3" s="885"/>
      <c r="E3" s="13"/>
      <c r="F3" s="14"/>
      <c r="G3" s="14"/>
      <c r="H3" s="15"/>
      <c r="I3" s="14"/>
      <c r="J3" s="231"/>
      <c r="K3" s="231"/>
      <c r="L3" s="231"/>
      <c r="M3" s="231"/>
      <c r="N3" s="231"/>
      <c r="O3" s="231"/>
      <c r="P3" s="231"/>
      <c r="Q3" s="231"/>
      <c r="R3" s="231"/>
      <c r="S3" s="231"/>
      <c r="T3" s="231"/>
      <c r="U3" s="231"/>
      <c r="V3" s="231"/>
      <c r="W3" s="231"/>
      <c r="X3" s="231"/>
      <c r="Y3" s="231"/>
      <c r="Z3" s="231"/>
      <c r="AA3" s="231"/>
      <c r="AB3" s="231"/>
      <c r="AC3" s="231"/>
      <c r="AD3" s="231"/>
      <c r="AE3" s="231"/>
      <c r="AF3" s="231"/>
      <c r="AG3" s="231"/>
      <c r="AH3" s="231"/>
      <c r="AI3" s="231"/>
    </row>
    <row r="4" spans="1:35" s="203" customFormat="1" ht="15">
      <c r="A4" s="17"/>
      <c r="B4" s="883"/>
      <c r="C4" s="886"/>
      <c r="D4" s="887"/>
      <c r="E4" s="13"/>
      <c r="F4" s="14"/>
      <c r="G4" s="14"/>
      <c r="H4" s="15"/>
      <c r="I4" s="14"/>
      <c r="J4" s="231"/>
      <c r="K4" s="231"/>
      <c r="L4" s="231"/>
      <c r="M4" s="231"/>
      <c r="N4" s="231"/>
      <c r="O4" s="231"/>
      <c r="P4" s="231"/>
      <c r="Q4" s="231"/>
      <c r="R4" s="231"/>
      <c r="S4" s="231"/>
      <c r="T4" s="231"/>
      <c r="U4" s="231"/>
      <c r="V4" s="231"/>
      <c r="W4" s="231"/>
      <c r="X4" s="231"/>
      <c r="Y4" s="231"/>
      <c r="Z4" s="231"/>
      <c r="AA4" s="231"/>
      <c r="AB4" s="231"/>
      <c r="AC4" s="231"/>
      <c r="AD4" s="231"/>
      <c r="AE4" s="231"/>
      <c r="AF4" s="231"/>
      <c r="AG4" s="231"/>
      <c r="AH4" s="231"/>
      <c r="AI4" s="231"/>
    </row>
    <row r="5" spans="1:35" s="203" customFormat="1" ht="15">
      <c r="A5" s="888"/>
      <c r="B5" s="889"/>
      <c r="C5" s="18"/>
      <c r="D5" s="206"/>
      <c r="E5" s="206"/>
      <c r="F5" s="14"/>
      <c r="G5" s="14"/>
      <c r="H5" s="14"/>
      <c r="I5" s="234"/>
      <c r="J5" s="231"/>
      <c r="K5" s="231"/>
      <c r="L5" s="231"/>
      <c r="M5" s="231"/>
      <c r="N5" s="231"/>
      <c r="O5" s="231"/>
      <c r="P5" s="231"/>
      <c r="Q5" s="231"/>
      <c r="R5" s="231"/>
      <c r="S5" s="231"/>
      <c r="T5" s="231"/>
      <c r="U5" s="231"/>
      <c r="V5" s="231"/>
      <c r="W5" s="231"/>
      <c r="X5" s="231"/>
      <c r="Y5" s="231"/>
      <c r="Z5" s="231"/>
      <c r="AA5" s="231"/>
      <c r="AB5" s="231"/>
      <c r="AC5" s="231"/>
      <c r="AD5" s="231"/>
      <c r="AE5" s="231"/>
      <c r="AF5" s="231"/>
      <c r="AG5" s="231"/>
      <c r="AH5" s="231"/>
      <c r="AI5" s="231"/>
    </row>
    <row r="6" spans="1:35" s="203" customFormat="1" ht="23.25" customHeight="1">
      <c r="A6" s="19" t="s">
        <v>1</v>
      </c>
      <c r="B6" s="207"/>
      <c r="C6" s="20"/>
      <c r="D6" s="890" t="s">
        <v>249</v>
      </c>
      <c r="E6" s="890"/>
      <c r="F6" s="890"/>
      <c r="G6" s="890"/>
      <c r="H6" s="890"/>
      <c r="I6" s="29"/>
      <c r="J6" s="231"/>
      <c r="K6" s="231"/>
      <c r="L6" s="231"/>
      <c r="M6" s="231"/>
      <c r="N6" s="231"/>
      <c r="O6" s="231"/>
      <c r="P6" s="231"/>
      <c r="Q6" s="231"/>
      <c r="R6" s="231"/>
      <c r="S6" s="231"/>
      <c r="T6" s="231"/>
      <c r="U6" s="231"/>
      <c r="V6" s="231"/>
      <c r="W6" s="231"/>
      <c r="X6" s="231"/>
      <c r="Y6" s="231"/>
      <c r="Z6" s="231"/>
      <c r="AA6" s="231"/>
      <c r="AB6" s="231"/>
      <c r="AC6" s="231"/>
      <c r="AD6" s="231"/>
      <c r="AE6" s="231"/>
      <c r="AF6" s="231"/>
      <c r="AG6" s="231"/>
      <c r="AH6" s="231"/>
      <c r="AI6" s="231"/>
    </row>
    <row r="7" spans="1:35" s="203" customFormat="1" ht="18.75" customHeight="1">
      <c r="A7" s="19" t="s">
        <v>419</v>
      </c>
      <c r="B7" s="207"/>
      <c r="C7" s="207"/>
      <c r="D7" s="207"/>
      <c r="E7" s="207"/>
      <c r="F7" s="362" t="s">
        <v>250</v>
      </c>
      <c r="G7" s="1"/>
      <c r="H7" s="21"/>
      <c r="I7" s="29"/>
      <c r="J7" s="231"/>
      <c r="K7" s="231"/>
      <c r="L7" s="231"/>
      <c r="M7" s="231"/>
      <c r="N7" s="231"/>
      <c r="O7" s="231"/>
      <c r="P7" s="231"/>
      <c r="Q7" s="231"/>
      <c r="R7" s="231"/>
      <c r="S7" s="231"/>
      <c r="T7" s="231"/>
      <c r="U7" s="231"/>
      <c r="V7" s="231"/>
      <c r="W7" s="231"/>
      <c r="X7" s="231"/>
      <c r="Y7" s="231"/>
      <c r="Z7" s="231"/>
      <c r="AA7" s="231"/>
      <c r="AB7" s="231"/>
      <c r="AC7" s="231"/>
      <c r="AD7" s="231"/>
      <c r="AE7" s="231"/>
      <c r="AF7" s="231"/>
      <c r="AG7" s="231"/>
      <c r="AH7" s="231"/>
      <c r="AI7" s="231"/>
    </row>
    <row r="8" spans="1:35" s="203" customFormat="1" ht="24" customHeight="1">
      <c r="A8" s="22" t="s">
        <v>408</v>
      </c>
      <c r="B8" s="207"/>
      <c r="C8" s="207"/>
      <c r="D8" s="207"/>
      <c r="E8" s="207"/>
      <c r="F8" s="207"/>
      <c r="G8" s="427"/>
      <c r="H8" s="21"/>
      <c r="I8" s="29"/>
      <c r="J8" s="231"/>
      <c r="K8" s="231"/>
      <c r="L8" s="231"/>
      <c r="M8" s="231"/>
      <c r="N8" s="231"/>
      <c r="O8" s="231"/>
      <c r="P8" s="231"/>
      <c r="Q8" s="231"/>
      <c r="R8" s="231"/>
      <c r="S8" s="231"/>
      <c r="T8" s="231"/>
      <c r="U8" s="231"/>
      <c r="V8" s="231"/>
      <c r="W8" s="231"/>
      <c r="X8" s="231"/>
      <c r="Y8" s="231"/>
      <c r="Z8" s="231"/>
      <c r="AA8" s="231"/>
      <c r="AB8" s="231"/>
      <c r="AC8" s="231"/>
      <c r="AD8" s="231"/>
      <c r="AE8" s="231"/>
      <c r="AF8" s="231"/>
      <c r="AG8" s="231"/>
      <c r="AH8" s="231"/>
      <c r="AI8" s="231"/>
    </row>
    <row r="9" spans="1:35" s="203" customFormat="1" ht="30.75" customHeight="1">
      <c r="A9" s="891" t="s">
        <v>420</v>
      </c>
      <c r="B9" s="892"/>
      <c r="C9" s="892"/>
      <c r="D9" s="892"/>
      <c r="E9" s="892"/>
      <c r="F9" s="892"/>
      <c r="G9" s="892"/>
      <c r="H9" s="892"/>
      <c r="I9" s="892"/>
      <c r="J9" s="231"/>
      <c r="K9" s="231"/>
      <c r="L9" s="231"/>
      <c r="M9" s="231"/>
      <c r="N9" s="231"/>
      <c r="O9" s="231"/>
      <c r="P9" s="231"/>
      <c r="Q9" s="231"/>
      <c r="R9" s="231"/>
      <c r="S9" s="231"/>
      <c r="T9" s="231"/>
      <c r="U9" s="231"/>
      <c r="V9" s="231"/>
      <c r="W9" s="231"/>
      <c r="X9" s="231"/>
      <c r="Y9" s="231"/>
      <c r="Z9" s="231"/>
      <c r="AA9" s="231"/>
      <c r="AB9" s="231"/>
      <c r="AC9" s="231"/>
      <c r="AD9" s="231"/>
      <c r="AE9" s="231"/>
      <c r="AF9" s="231"/>
      <c r="AG9" s="231"/>
      <c r="AH9" s="231"/>
      <c r="AI9" s="231"/>
    </row>
    <row r="10" spans="1:35" s="203" customFormat="1" ht="12.75" customHeight="1">
      <c r="A10" s="22" t="s">
        <v>409</v>
      </c>
      <c r="B10" s="19"/>
      <c r="C10" s="1"/>
      <c r="D10" s="880" t="s">
        <v>250</v>
      </c>
      <c r="E10" s="881"/>
      <c r="F10" s="881"/>
      <c r="G10" s="207"/>
      <c r="H10" s="207"/>
      <c r="I10" s="29"/>
      <c r="J10" s="231"/>
      <c r="K10" s="231"/>
      <c r="L10" s="231"/>
      <c r="M10" s="231"/>
      <c r="N10" s="231"/>
      <c r="O10" s="231"/>
      <c r="P10" s="231"/>
      <c r="Q10" s="231"/>
      <c r="R10" s="231"/>
      <c r="S10" s="231"/>
      <c r="T10" s="231"/>
      <c r="U10" s="231"/>
      <c r="V10" s="231"/>
      <c r="W10" s="231"/>
      <c r="X10" s="231"/>
      <c r="Y10" s="231"/>
      <c r="Z10" s="231"/>
      <c r="AA10" s="231"/>
      <c r="AB10" s="231"/>
      <c r="AC10" s="231"/>
      <c r="AD10" s="231"/>
      <c r="AE10" s="231"/>
      <c r="AF10" s="231"/>
      <c r="AG10" s="231"/>
      <c r="AH10" s="231"/>
      <c r="AI10" s="231"/>
    </row>
    <row r="11" spans="1:35" s="203" customFormat="1">
      <c r="A11" s="23"/>
      <c r="B11" s="207"/>
      <c r="C11" s="207"/>
      <c r="D11" s="207"/>
      <c r="E11" s="207"/>
      <c r="F11" s="207"/>
      <c r="G11" s="21"/>
      <c r="H11" s="21"/>
      <c r="I11" s="29"/>
      <c r="J11" s="231"/>
      <c r="K11" s="231"/>
      <c r="L11" s="231"/>
      <c r="M11" s="231"/>
      <c r="N11" s="231"/>
      <c r="O11" s="231"/>
      <c r="P11" s="231"/>
      <c r="Q11" s="231"/>
      <c r="R11" s="231"/>
      <c r="S11" s="231"/>
      <c r="T11" s="231"/>
      <c r="U11" s="231"/>
      <c r="V11" s="231"/>
      <c r="W11" s="231"/>
      <c r="X11" s="231"/>
      <c r="Y11" s="231"/>
      <c r="Z11" s="231"/>
      <c r="AA11" s="231"/>
      <c r="AB11" s="231"/>
      <c r="AC11" s="231"/>
      <c r="AD11" s="231"/>
      <c r="AE11" s="231"/>
      <c r="AF11" s="231"/>
      <c r="AG11" s="231"/>
      <c r="AH11" s="231"/>
      <c r="AI11" s="231"/>
    </row>
    <row r="12" spans="1:35" s="203" customFormat="1">
      <c r="A12" s="24"/>
      <c r="B12" s="25" t="s">
        <v>7</v>
      </c>
      <c r="C12" s="26"/>
      <c r="D12" s="356"/>
      <c r="E12" s="356"/>
      <c r="F12" s="357"/>
      <c r="G12" s="21"/>
      <c r="H12" s="21"/>
      <c r="I12" s="29"/>
      <c r="J12" s="231"/>
      <c r="K12" s="231"/>
      <c r="L12" s="231"/>
      <c r="M12" s="231"/>
      <c r="N12" s="231"/>
      <c r="O12" s="231"/>
      <c r="P12" s="231"/>
      <c r="Q12" s="231"/>
      <c r="R12" s="231"/>
      <c r="S12" s="231"/>
      <c r="T12" s="231"/>
      <c r="U12" s="231"/>
      <c r="V12" s="231"/>
      <c r="W12" s="231"/>
      <c r="X12" s="231"/>
      <c r="Y12" s="231"/>
      <c r="Z12" s="231"/>
      <c r="AA12" s="231"/>
      <c r="AB12" s="231"/>
      <c r="AC12" s="231"/>
      <c r="AD12" s="231"/>
      <c r="AE12" s="231"/>
      <c r="AF12" s="231"/>
      <c r="AG12" s="231"/>
      <c r="AH12" s="231"/>
      <c r="AI12" s="231"/>
    </row>
    <row r="13" spans="1:35" s="203" customFormat="1">
      <c r="A13" s="23"/>
      <c r="B13" s="27"/>
      <c r="C13" s="358"/>
      <c r="D13" s="15"/>
      <c r="E13" s="15"/>
      <c r="F13" s="359"/>
      <c r="G13" s="207"/>
      <c r="H13" s="21"/>
      <c r="I13" s="29"/>
      <c r="J13" s="231"/>
      <c r="K13" s="231"/>
      <c r="L13" s="231"/>
      <c r="M13" s="231"/>
      <c r="N13" s="231"/>
      <c r="O13" s="231"/>
      <c r="P13" s="231"/>
      <c r="Q13" s="231"/>
      <c r="R13" s="231"/>
      <c r="S13" s="231"/>
      <c r="T13" s="231"/>
      <c r="U13" s="231"/>
      <c r="V13" s="231"/>
      <c r="W13" s="231"/>
      <c r="X13" s="231"/>
      <c r="Y13" s="231"/>
      <c r="Z13" s="231"/>
      <c r="AA13" s="231"/>
      <c r="AB13" s="231"/>
      <c r="AC13" s="231"/>
      <c r="AD13" s="231"/>
      <c r="AE13" s="231"/>
      <c r="AF13" s="231"/>
      <c r="AG13" s="231"/>
      <c r="AH13" s="231"/>
      <c r="AI13" s="231"/>
    </row>
    <row r="14" spans="1:35" s="203" customFormat="1">
      <c r="A14" s="23"/>
      <c r="B14" s="363" t="s">
        <v>328</v>
      </c>
      <c r="C14" s="870" t="s">
        <v>10</v>
      </c>
      <c r="D14" s="870"/>
      <c r="E14" s="870"/>
      <c r="F14" s="871"/>
      <c r="G14" s="207"/>
      <c r="H14" s="21"/>
      <c r="I14" s="29"/>
      <c r="J14" s="231"/>
      <c r="K14" s="231"/>
      <c r="L14" s="231"/>
      <c r="M14" s="231"/>
      <c r="N14" s="231"/>
      <c r="O14" s="231"/>
      <c r="P14" s="231"/>
      <c r="Q14" s="231"/>
      <c r="R14" s="231"/>
      <c r="S14" s="231"/>
      <c r="T14" s="231"/>
      <c r="U14" s="231"/>
      <c r="V14" s="231"/>
      <c r="W14" s="231"/>
      <c r="X14" s="231"/>
      <c r="Y14" s="231"/>
      <c r="Z14" s="231"/>
      <c r="AA14" s="231"/>
      <c r="AB14" s="231"/>
      <c r="AC14" s="231"/>
      <c r="AD14" s="231"/>
      <c r="AE14" s="231"/>
      <c r="AF14" s="231"/>
      <c r="AG14" s="231"/>
      <c r="AH14" s="231"/>
      <c r="AI14" s="231"/>
    </row>
    <row r="15" spans="1:35" s="203" customFormat="1">
      <c r="A15" s="23"/>
      <c r="B15" s="363" t="s">
        <v>329</v>
      </c>
      <c r="C15" s="870" t="s">
        <v>12</v>
      </c>
      <c r="D15" s="870"/>
      <c r="E15" s="870"/>
      <c r="F15" s="871"/>
      <c r="G15" s="207"/>
      <c r="H15" s="21"/>
      <c r="I15" s="29"/>
      <c r="J15" s="231"/>
      <c r="K15" s="231"/>
      <c r="L15" s="231"/>
      <c r="M15" s="231"/>
      <c r="N15" s="231"/>
      <c r="O15" s="231"/>
      <c r="P15" s="231"/>
      <c r="Q15" s="231"/>
      <c r="R15" s="231"/>
      <c r="S15" s="231"/>
      <c r="T15" s="231"/>
      <c r="U15" s="231"/>
      <c r="V15" s="231"/>
      <c r="W15" s="231"/>
      <c r="X15" s="231"/>
      <c r="Y15" s="231"/>
      <c r="Z15" s="231"/>
      <c r="AA15" s="231"/>
      <c r="AB15" s="231"/>
      <c r="AC15" s="231"/>
      <c r="AD15" s="231"/>
      <c r="AE15" s="231"/>
      <c r="AF15" s="231"/>
      <c r="AG15" s="231"/>
      <c r="AH15" s="231"/>
      <c r="AI15" s="231"/>
    </row>
    <row r="16" spans="1:35" s="203" customFormat="1">
      <c r="A16" s="23"/>
      <c r="B16" s="360" t="s">
        <v>14</v>
      </c>
      <c r="C16" s="870" t="s">
        <v>15</v>
      </c>
      <c r="D16" s="870"/>
      <c r="E16" s="870"/>
      <c r="F16" s="871"/>
      <c r="G16" s="207"/>
      <c r="H16" s="21"/>
      <c r="I16" s="29"/>
      <c r="J16" s="231"/>
      <c r="K16" s="231"/>
      <c r="L16" s="231"/>
      <c r="M16" s="231"/>
      <c r="N16" s="231"/>
      <c r="O16" s="231"/>
      <c r="P16" s="231"/>
      <c r="Q16" s="231"/>
      <c r="R16" s="231"/>
      <c r="S16" s="231"/>
      <c r="T16" s="231"/>
      <c r="U16" s="231"/>
      <c r="V16" s="231"/>
      <c r="W16" s="231"/>
      <c r="X16" s="231"/>
      <c r="Y16" s="231"/>
      <c r="Z16" s="231"/>
      <c r="AA16" s="231"/>
      <c r="AB16" s="231"/>
      <c r="AC16" s="231"/>
      <c r="AD16" s="231"/>
      <c r="AE16" s="231"/>
      <c r="AF16" s="231"/>
      <c r="AG16" s="231"/>
      <c r="AH16" s="231"/>
      <c r="AI16" s="231"/>
    </row>
    <row r="17" spans="1:35" s="203" customFormat="1">
      <c r="A17" s="23"/>
      <c r="B17" s="360" t="s">
        <v>17</v>
      </c>
      <c r="C17" s="870" t="s">
        <v>18</v>
      </c>
      <c r="D17" s="870"/>
      <c r="E17" s="870"/>
      <c r="F17" s="871"/>
      <c r="G17" s="207"/>
      <c r="H17" s="21"/>
      <c r="I17" s="29"/>
      <c r="J17" s="231"/>
      <c r="K17" s="231"/>
      <c r="L17" s="231"/>
      <c r="M17" s="231"/>
      <c r="N17" s="231"/>
      <c r="O17" s="231"/>
      <c r="P17" s="231"/>
      <c r="Q17" s="231"/>
      <c r="R17" s="231"/>
      <c r="S17" s="231"/>
      <c r="T17" s="231"/>
      <c r="U17" s="231"/>
      <c r="V17" s="231"/>
      <c r="W17" s="231"/>
      <c r="X17" s="231"/>
      <c r="Y17" s="231"/>
      <c r="Z17" s="231"/>
      <c r="AA17" s="231"/>
      <c r="AB17" s="231"/>
      <c r="AC17" s="231"/>
      <c r="AD17" s="231"/>
      <c r="AE17" s="231"/>
      <c r="AF17" s="231"/>
      <c r="AG17" s="231"/>
      <c r="AH17" s="231"/>
      <c r="AI17" s="231"/>
    </row>
    <row r="18" spans="1:35" s="203" customFormat="1">
      <c r="A18" s="23"/>
      <c r="B18" s="360" t="s">
        <v>20</v>
      </c>
      <c r="C18" s="870" t="s">
        <v>21</v>
      </c>
      <c r="D18" s="870"/>
      <c r="E18" s="870"/>
      <c r="F18" s="871"/>
      <c r="G18" s="207"/>
      <c r="H18" s="21"/>
      <c r="I18" s="29"/>
      <c r="J18" s="231"/>
      <c r="K18" s="231"/>
      <c r="L18" s="231"/>
      <c r="M18" s="231"/>
      <c r="N18" s="231"/>
      <c r="O18" s="231"/>
      <c r="P18" s="231"/>
      <c r="Q18" s="231"/>
      <c r="R18" s="231"/>
      <c r="S18" s="231"/>
      <c r="T18" s="231"/>
      <c r="U18" s="231"/>
      <c r="V18" s="231"/>
      <c r="W18" s="231"/>
      <c r="X18" s="231"/>
      <c r="Y18" s="231"/>
      <c r="Z18" s="231"/>
      <c r="AA18" s="231"/>
      <c r="AB18" s="231"/>
      <c r="AC18" s="231"/>
      <c r="AD18" s="231"/>
      <c r="AE18" s="231"/>
      <c r="AF18" s="231"/>
      <c r="AG18" s="231"/>
      <c r="AH18" s="231"/>
      <c r="AI18" s="231"/>
    </row>
    <row r="19" spans="1:35" s="203" customFormat="1">
      <c r="A19" s="23"/>
      <c r="B19" s="361" t="s">
        <v>23</v>
      </c>
      <c r="C19" s="872" t="s">
        <v>24</v>
      </c>
      <c r="D19" s="872"/>
      <c r="E19" s="872"/>
      <c r="F19" s="873"/>
      <c r="G19" s="21"/>
      <c r="H19" s="21"/>
      <c r="I19" s="29"/>
      <c r="J19" s="231"/>
      <c r="K19" s="231"/>
      <c r="L19" s="231"/>
      <c r="M19" s="231"/>
      <c r="N19" s="231"/>
      <c r="O19" s="231"/>
      <c r="P19" s="231"/>
      <c r="Q19" s="231"/>
      <c r="R19" s="231"/>
      <c r="S19" s="231"/>
      <c r="T19" s="231"/>
      <c r="U19" s="231"/>
      <c r="V19" s="231"/>
      <c r="W19" s="231"/>
      <c r="X19" s="231"/>
      <c r="Y19" s="231"/>
      <c r="Z19" s="231"/>
      <c r="AA19" s="231"/>
      <c r="AB19" s="231"/>
      <c r="AC19" s="231"/>
      <c r="AD19" s="231"/>
      <c r="AE19" s="231"/>
      <c r="AF19" s="231"/>
      <c r="AG19" s="231"/>
      <c r="AH19" s="231"/>
      <c r="AI19" s="231"/>
    </row>
    <row r="20" spans="1:35" s="203" customFormat="1">
      <c r="A20" s="236"/>
      <c r="B20" s="206"/>
      <c r="C20" s="206"/>
      <c r="D20" s="206"/>
      <c r="E20" s="206"/>
      <c r="F20" s="206"/>
      <c r="G20" s="206"/>
      <c r="H20" s="206"/>
      <c r="I20" s="206"/>
      <c r="J20" s="231"/>
      <c r="K20" s="231"/>
      <c r="L20" s="231"/>
      <c r="M20" s="231"/>
      <c r="N20" s="231"/>
      <c r="O20" s="231"/>
      <c r="P20" s="231"/>
      <c r="Q20" s="231"/>
      <c r="R20" s="231"/>
      <c r="S20" s="231"/>
      <c r="T20" s="231"/>
      <c r="U20" s="231"/>
      <c r="V20" s="231"/>
      <c r="W20" s="231"/>
      <c r="X20" s="231"/>
      <c r="Y20" s="231"/>
      <c r="Z20" s="231"/>
      <c r="AA20" s="231"/>
      <c r="AB20" s="231"/>
      <c r="AC20" s="231"/>
      <c r="AD20" s="231"/>
      <c r="AE20" s="231"/>
      <c r="AF20" s="231"/>
      <c r="AG20" s="231"/>
      <c r="AH20" s="231"/>
      <c r="AI20" s="231"/>
    </row>
    <row r="21" spans="1:35" s="203" customFormat="1" ht="19.5">
      <c r="A21" s="30"/>
      <c r="B21" s="13"/>
      <c r="C21" s="13"/>
      <c r="D21" s="13"/>
      <c r="E21" s="13"/>
      <c r="F21" s="13"/>
      <c r="G21" s="13"/>
      <c r="H21" s="31" t="s">
        <v>27</v>
      </c>
      <c r="I21" s="237"/>
      <c r="J21" s="231"/>
      <c r="K21" s="231"/>
      <c r="L21" s="231"/>
      <c r="M21" s="231"/>
      <c r="N21" s="231"/>
      <c r="O21" s="231"/>
      <c r="P21" s="231"/>
      <c r="Q21" s="231"/>
      <c r="R21" s="231"/>
      <c r="S21" s="231"/>
      <c r="T21" s="231"/>
      <c r="U21" s="231"/>
      <c r="V21" s="231"/>
      <c r="W21" s="231"/>
      <c r="X21" s="231"/>
      <c r="Y21" s="231"/>
      <c r="Z21" s="231"/>
      <c r="AA21" s="231"/>
      <c r="AB21" s="231"/>
      <c r="AC21" s="231"/>
      <c r="AD21" s="231"/>
      <c r="AE21" s="231"/>
      <c r="AF21" s="231"/>
      <c r="AG21" s="231"/>
      <c r="AH21" s="231"/>
      <c r="AI21" s="231"/>
    </row>
    <row r="22" spans="1:35" s="203" customFormat="1" ht="18.75" customHeight="1">
      <c r="A22" s="32"/>
      <c r="B22" s="29"/>
      <c r="C22" s="29"/>
      <c r="D22" s="29"/>
      <c r="E22" s="29"/>
      <c r="F22" s="33">
        <v>1</v>
      </c>
      <c r="G22" s="34"/>
      <c r="H22" s="33">
        <v>2</v>
      </c>
      <c r="I22" s="34"/>
      <c r="J22" s="231"/>
      <c r="K22" s="231"/>
      <c r="L22" s="231"/>
      <c r="M22" s="231"/>
      <c r="N22" s="231"/>
      <c r="O22" s="231"/>
      <c r="P22" s="231"/>
      <c r="Q22" s="231"/>
      <c r="R22" s="231"/>
      <c r="S22" s="231"/>
      <c r="T22" s="231"/>
      <c r="U22" s="231"/>
      <c r="V22" s="231"/>
      <c r="W22" s="231"/>
      <c r="X22" s="231"/>
      <c r="Y22" s="231"/>
      <c r="Z22" s="231"/>
      <c r="AA22" s="231"/>
      <c r="AB22" s="231"/>
      <c r="AC22" s="231"/>
      <c r="AD22" s="231"/>
      <c r="AE22" s="231"/>
      <c r="AF22" s="231"/>
      <c r="AG22" s="231"/>
      <c r="AH22" s="231"/>
      <c r="AI22" s="231"/>
    </row>
    <row r="23" spans="1:35" s="203" customFormat="1" ht="21.95" customHeight="1">
      <c r="A23" s="874" t="s">
        <v>30</v>
      </c>
      <c r="B23" s="875"/>
      <c r="C23" s="875"/>
      <c r="D23" s="875"/>
      <c r="E23" s="878" t="s">
        <v>376</v>
      </c>
      <c r="F23" s="856" t="s">
        <v>407</v>
      </c>
      <c r="G23" s="36"/>
      <c r="H23" s="878" t="s">
        <v>406</v>
      </c>
      <c r="I23" s="36"/>
      <c r="J23" s="231"/>
      <c r="K23" s="231"/>
      <c r="L23" s="231"/>
      <c r="M23" s="231"/>
      <c r="N23" s="231"/>
      <c r="O23" s="231"/>
      <c r="P23" s="231"/>
      <c r="Q23" s="231"/>
      <c r="R23" s="231"/>
      <c r="S23" s="231"/>
      <c r="T23" s="231"/>
      <c r="U23" s="231"/>
      <c r="V23" s="231"/>
      <c r="W23" s="231"/>
      <c r="X23" s="231"/>
      <c r="Y23" s="231"/>
      <c r="Z23" s="231"/>
      <c r="AA23" s="231"/>
      <c r="AB23" s="231"/>
      <c r="AC23" s="231"/>
      <c r="AD23" s="231"/>
      <c r="AE23" s="231"/>
      <c r="AF23" s="231"/>
      <c r="AG23" s="231"/>
      <c r="AH23" s="231"/>
      <c r="AI23" s="231"/>
    </row>
    <row r="24" spans="1:35" s="203" customFormat="1" ht="21.95" customHeight="1">
      <c r="A24" s="876"/>
      <c r="B24" s="877"/>
      <c r="C24" s="877"/>
      <c r="D24" s="877"/>
      <c r="E24" s="879"/>
      <c r="F24" s="860"/>
      <c r="G24" s="23"/>
      <c r="H24" s="879"/>
      <c r="I24" s="36"/>
      <c r="J24" s="231"/>
      <c r="K24" s="231"/>
      <c r="L24" s="231"/>
      <c r="M24" s="231"/>
      <c r="N24" s="231"/>
      <c r="O24" s="231"/>
      <c r="P24" s="231"/>
      <c r="Q24" s="231"/>
      <c r="R24" s="231"/>
      <c r="S24" s="231"/>
      <c r="T24" s="231"/>
      <c r="U24" s="231"/>
      <c r="V24" s="231"/>
      <c r="W24" s="231"/>
      <c r="X24" s="231"/>
      <c r="Y24" s="231"/>
      <c r="Z24" s="231"/>
      <c r="AA24" s="231"/>
      <c r="AB24" s="231"/>
      <c r="AC24" s="231"/>
      <c r="AD24" s="231"/>
      <c r="AE24" s="231"/>
      <c r="AF24" s="231"/>
      <c r="AG24" s="231"/>
      <c r="AH24" s="231"/>
      <c r="AI24" s="231"/>
    </row>
    <row r="25" spans="1:35" s="203" customFormat="1" ht="21.95" customHeight="1">
      <c r="A25" s="898" t="s">
        <v>48</v>
      </c>
      <c r="B25" s="901" t="s">
        <v>49</v>
      </c>
      <c r="C25" s="901"/>
      <c r="D25" s="902"/>
      <c r="E25" s="907" t="s">
        <v>50</v>
      </c>
      <c r="F25" s="909" t="s">
        <v>51</v>
      </c>
      <c r="G25" s="34"/>
      <c r="H25" s="907" t="s">
        <v>50</v>
      </c>
      <c r="I25" s="36"/>
      <c r="J25" s="231"/>
      <c r="K25" s="231"/>
      <c r="L25" s="231"/>
      <c r="M25" s="231"/>
      <c r="N25" s="231"/>
      <c r="O25" s="231"/>
      <c r="P25" s="231"/>
      <c r="Q25" s="231"/>
      <c r="R25" s="231"/>
      <c r="S25" s="231"/>
      <c r="T25" s="231"/>
      <c r="U25" s="231"/>
      <c r="V25" s="231"/>
      <c r="W25" s="231"/>
      <c r="X25" s="231"/>
      <c r="Y25" s="231"/>
      <c r="Z25" s="231"/>
      <c r="AA25" s="231"/>
      <c r="AB25" s="231"/>
      <c r="AC25" s="231"/>
      <c r="AD25" s="231"/>
      <c r="AE25" s="231"/>
      <c r="AF25" s="231"/>
      <c r="AG25" s="231"/>
      <c r="AH25" s="231"/>
      <c r="AI25" s="231"/>
    </row>
    <row r="26" spans="1:35" s="203" customFormat="1" ht="21.95" customHeight="1">
      <c r="A26" s="899"/>
      <c r="B26" s="903"/>
      <c r="C26" s="903"/>
      <c r="D26" s="904"/>
      <c r="E26" s="908"/>
      <c r="F26" s="859"/>
      <c r="G26" s="34"/>
      <c r="H26" s="908"/>
      <c r="I26" s="36"/>
      <c r="J26" s="231"/>
      <c r="K26" s="231"/>
      <c r="L26" s="231"/>
      <c r="M26" s="231"/>
      <c r="N26" s="231"/>
      <c r="O26" s="231"/>
      <c r="P26" s="231"/>
      <c r="Q26" s="231"/>
      <c r="R26" s="231"/>
      <c r="S26" s="231"/>
      <c r="T26" s="231"/>
      <c r="U26" s="231"/>
      <c r="V26" s="231"/>
      <c r="W26" s="231"/>
      <c r="X26" s="231"/>
      <c r="Y26" s="231"/>
      <c r="Z26" s="231"/>
      <c r="AA26" s="231"/>
      <c r="AB26" s="231"/>
      <c r="AC26" s="231"/>
      <c r="AD26" s="231"/>
      <c r="AE26" s="231"/>
      <c r="AF26" s="231"/>
      <c r="AG26" s="231"/>
      <c r="AH26" s="231"/>
      <c r="AI26" s="231"/>
    </row>
    <row r="27" spans="1:35" s="203" customFormat="1" ht="21.95" customHeight="1">
      <c r="A27" s="900"/>
      <c r="B27" s="905"/>
      <c r="C27" s="905"/>
      <c r="D27" s="906"/>
      <c r="E27" s="879"/>
      <c r="F27" s="860"/>
      <c r="G27" s="34"/>
      <c r="H27" s="879"/>
      <c r="I27" s="36"/>
      <c r="J27" s="231"/>
      <c r="K27" s="231"/>
      <c r="L27" s="231"/>
      <c r="M27" s="231"/>
      <c r="N27" s="231"/>
      <c r="O27" s="231"/>
      <c r="P27" s="231"/>
      <c r="Q27" s="231"/>
      <c r="R27" s="231"/>
      <c r="S27" s="231"/>
      <c r="T27" s="231"/>
      <c r="U27" s="231"/>
      <c r="V27" s="231"/>
      <c r="W27" s="231"/>
      <c r="X27" s="231"/>
      <c r="Y27" s="231"/>
      <c r="Z27" s="231"/>
      <c r="AA27" s="231"/>
      <c r="AB27" s="231"/>
      <c r="AC27" s="231"/>
      <c r="AD27" s="231"/>
      <c r="AE27" s="231"/>
      <c r="AF27" s="231"/>
      <c r="AG27" s="231"/>
      <c r="AH27" s="231"/>
      <c r="AI27" s="231"/>
    </row>
    <row r="28" spans="1:35" s="203" customFormat="1">
      <c r="A28" s="38">
        <v>1</v>
      </c>
      <c r="B28" s="39" t="s">
        <v>52</v>
      </c>
      <c r="C28" s="39"/>
      <c r="D28" s="40"/>
      <c r="E28" s="41">
        <v>41938</v>
      </c>
      <c r="F28" s="42">
        <f>F77</f>
        <v>43362</v>
      </c>
      <c r="G28" s="43"/>
      <c r="H28" s="44">
        <f>H77</f>
        <v>45145</v>
      </c>
      <c r="I28" s="43"/>
      <c r="J28" s="231"/>
      <c r="K28" s="231"/>
      <c r="L28" s="231"/>
      <c r="M28" s="231"/>
      <c r="N28" s="231"/>
      <c r="O28" s="231"/>
      <c r="P28" s="231"/>
      <c r="Q28" s="231"/>
      <c r="R28" s="231"/>
      <c r="S28" s="231"/>
      <c r="T28" s="231"/>
      <c r="U28" s="231"/>
      <c r="V28" s="231"/>
      <c r="W28" s="231"/>
      <c r="X28" s="231"/>
      <c r="Y28" s="231"/>
      <c r="Z28" s="231"/>
      <c r="AA28" s="231"/>
      <c r="AB28" s="231"/>
      <c r="AC28" s="231"/>
      <c r="AD28" s="231"/>
      <c r="AE28" s="231"/>
      <c r="AF28" s="231"/>
      <c r="AG28" s="231"/>
      <c r="AH28" s="231"/>
      <c r="AI28" s="231"/>
    </row>
    <row r="29" spans="1:35" s="203" customFormat="1">
      <c r="A29" s="46">
        <v>2</v>
      </c>
      <c r="B29" s="47" t="s">
        <v>53</v>
      </c>
      <c r="C29" s="47"/>
      <c r="D29" s="48"/>
      <c r="E29" s="49">
        <v>29427</v>
      </c>
      <c r="F29" s="50">
        <f>F105</f>
        <v>31723</v>
      </c>
      <c r="G29" s="43"/>
      <c r="H29" s="51">
        <f>H105</f>
        <v>32106</v>
      </c>
      <c r="I29" s="43"/>
      <c r="J29" s="231"/>
      <c r="K29" s="231"/>
      <c r="L29" s="231"/>
      <c r="M29" s="231"/>
      <c r="N29" s="231"/>
      <c r="O29" s="231"/>
      <c r="P29" s="231"/>
      <c r="Q29" s="231"/>
      <c r="R29" s="231"/>
      <c r="S29" s="231"/>
      <c r="T29" s="231"/>
      <c r="U29" s="231"/>
      <c r="V29" s="231"/>
      <c r="W29" s="231"/>
      <c r="X29" s="231"/>
      <c r="Y29" s="231"/>
      <c r="Z29" s="231"/>
      <c r="AA29" s="231"/>
      <c r="AB29" s="231"/>
      <c r="AC29" s="231"/>
      <c r="AD29" s="231"/>
      <c r="AE29" s="231"/>
      <c r="AF29" s="231"/>
      <c r="AG29" s="231"/>
      <c r="AH29" s="231"/>
      <c r="AI29" s="231"/>
    </row>
    <row r="30" spans="1:35" s="203" customFormat="1">
      <c r="A30" s="46">
        <v>3</v>
      </c>
      <c r="B30" s="47" t="s">
        <v>54</v>
      </c>
      <c r="C30" s="47"/>
      <c r="D30" s="48"/>
      <c r="E30" s="49">
        <v>20594</v>
      </c>
      <c r="F30" s="50">
        <f>F180</f>
        <v>22724</v>
      </c>
      <c r="G30" s="43"/>
      <c r="H30" s="51">
        <f>H180</f>
        <v>22103</v>
      </c>
      <c r="I30" s="43"/>
      <c r="J30" s="231"/>
      <c r="K30" s="231"/>
      <c r="L30" s="231"/>
      <c r="M30" s="231"/>
      <c r="N30" s="231"/>
      <c r="O30" s="231"/>
      <c r="P30" s="231"/>
      <c r="Q30" s="231"/>
      <c r="R30" s="231"/>
      <c r="S30" s="231"/>
      <c r="T30" s="231"/>
      <c r="U30" s="231"/>
      <c r="V30" s="231"/>
      <c r="W30" s="231"/>
      <c r="X30" s="231"/>
      <c r="Y30" s="231"/>
      <c r="Z30" s="231"/>
      <c r="AA30" s="231"/>
      <c r="AB30" s="231"/>
      <c r="AC30" s="231"/>
      <c r="AD30" s="231"/>
      <c r="AE30" s="231"/>
      <c r="AF30" s="231"/>
      <c r="AG30" s="231"/>
      <c r="AH30" s="231"/>
      <c r="AI30" s="231"/>
    </row>
    <row r="31" spans="1:35" s="203" customFormat="1">
      <c r="A31" s="46">
        <v>4</v>
      </c>
      <c r="B31" s="47" t="s">
        <v>55</v>
      </c>
      <c r="C31" s="47"/>
      <c r="D31" s="48"/>
      <c r="E31" s="49">
        <v>2967</v>
      </c>
      <c r="F31" s="50">
        <f>F214</f>
        <v>2972</v>
      </c>
      <c r="G31" s="43"/>
      <c r="H31" s="51">
        <f>H214</f>
        <v>3125</v>
      </c>
      <c r="I31" s="43"/>
      <c r="J31" s="231"/>
      <c r="K31" s="231"/>
      <c r="L31" s="231"/>
      <c r="M31" s="231"/>
      <c r="N31" s="231"/>
      <c r="O31" s="231"/>
      <c r="P31" s="231"/>
      <c r="Q31" s="231"/>
      <c r="R31" s="231"/>
      <c r="S31" s="231"/>
      <c r="T31" s="231"/>
      <c r="U31" s="231"/>
      <c r="V31" s="231"/>
      <c r="W31" s="231"/>
      <c r="X31" s="231"/>
      <c r="Y31" s="231"/>
      <c r="Z31" s="231"/>
      <c r="AA31" s="231"/>
      <c r="AB31" s="231"/>
      <c r="AC31" s="231"/>
      <c r="AD31" s="231"/>
      <c r="AE31" s="231"/>
      <c r="AF31" s="231"/>
      <c r="AG31" s="231"/>
      <c r="AH31" s="231"/>
      <c r="AI31" s="231"/>
    </row>
    <row r="32" spans="1:35" s="203" customFormat="1">
      <c r="A32" s="46">
        <v>5</v>
      </c>
      <c r="B32" s="47" t="s">
        <v>56</v>
      </c>
      <c r="C32" s="47"/>
      <c r="D32" s="48"/>
      <c r="E32" s="49">
        <v>3267</v>
      </c>
      <c r="F32" s="50">
        <f>F231</f>
        <v>3529</v>
      </c>
      <c r="G32" s="43"/>
      <c r="H32" s="51">
        <f>H231</f>
        <v>3720</v>
      </c>
      <c r="I32" s="43"/>
      <c r="J32" s="231"/>
      <c r="K32" s="231"/>
      <c r="L32" s="231"/>
      <c r="M32" s="231"/>
      <c r="N32" s="231"/>
      <c r="O32" s="231"/>
      <c r="P32" s="231"/>
      <c r="Q32" s="231"/>
      <c r="R32" s="231"/>
      <c r="S32" s="231"/>
      <c r="T32" s="231"/>
      <c r="U32" s="231"/>
      <c r="V32" s="231"/>
      <c r="W32" s="231"/>
      <c r="X32" s="231"/>
      <c r="Y32" s="231"/>
      <c r="Z32" s="231"/>
      <c r="AA32" s="231"/>
      <c r="AB32" s="231"/>
      <c r="AC32" s="231"/>
      <c r="AD32" s="231"/>
      <c r="AE32" s="231"/>
      <c r="AF32" s="231"/>
      <c r="AG32" s="231"/>
      <c r="AH32" s="231"/>
      <c r="AI32" s="231"/>
    </row>
    <row r="33" spans="1:35" s="203" customFormat="1">
      <c r="A33" s="46">
        <v>6</v>
      </c>
      <c r="B33" s="47" t="s">
        <v>57</v>
      </c>
      <c r="C33" s="47"/>
      <c r="D33" s="48"/>
      <c r="E33" s="49">
        <v>4448</v>
      </c>
      <c r="F33" s="50">
        <f>F257</f>
        <v>4421</v>
      </c>
      <c r="G33" s="43"/>
      <c r="H33" s="51">
        <f>H257</f>
        <v>4574</v>
      </c>
      <c r="I33" s="43"/>
      <c r="J33" s="231"/>
      <c r="K33" s="231"/>
      <c r="L33" s="231"/>
      <c r="M33" s="231"/>
      <c r="N33" s="231"/>
      <c r="O33" s="231"/>
      <c r="P33" s="231"/>
      <c r="Q33" s="231"/>
      <c r="R33" s="231"/>
      <c r="S33" s="231"/>
      <c r="T33" s="231"/>
      <c r="U33" s="231"/>
      <c r="V33" s="231"/>
      <c r="W33" s="231"/>
      <c r="X33" s="231"/>
      <c r="Y33" s="231"/>
      <c r="Z33" s="231"/>
      <c r="AA33" s="231"/>
      <c r="AB33" s="231"/>
      <c r="AC33" s="231"/>
      <c r="AD33" s="231"/>
      <c r="AE33" s="231"/>
      <c r="AF33" s="231"/>
      <c r="AG33" s="231"/>
      <c r="AH33" s="231"/>
      <c r="AI33" s="231"/>
    </row>
    <row r="34" spans="1:35" s="203" customFormat="1">
      <c r="A34" s="46">
        <v>7</v>
      </c>
      <c r="B34" s="47" t="s">
        <v>58</v>
      </c>
      <c r="C34" s="47"/>
      <c r="D34" s="48"/>
      <c r="E34" s="49">
        <v>1604</v>
      </c>
      <c r="F34" s="50">
        <f>F277</f>
        <v>1322</v>
      </c>
      <c r="G34" s="43"/>
      <c r="H34" s="50">
        <f>H277</f>
        <v>1555</v>
      </c>
      <c r="I34" s="43"/>
      <c r="J34" s="231"/>
      <c r="K34" s="231"/>
      <c r="L34" s="231"/>
      <c r="M34" s="231"/>
      <c r="N34" s="231"/>
      <c r="O34" s="231"/>
      <c r="P34" s="231"/>
      <c r="Q34" s="231"/>
      <c r="R34" s="231"/>
      <c r="S34" s="231"/>
      <c r="T34" s="231"/>
      <c r="U34" s="231"/>
      <c r="V34" s="231"/>
      <c r="W34" s="231"/>
      <c r="X34" s="231"/>
      <c r="Y34" s="231"/>
      <c r="Z34" s="231"/>
      <c r="AA34" s="231"/>
      <c r="AB34" s="231"/>
      <c r="AC34" s="231"/>
      <c r="AD34" s="231"/>
      <c r="AE34" s="231"/>
      <c r="AF34" s="231"/>
      <c r="AG34" s="231"/>
      <c r="AH34" s="231"/>
      <c r="AI34" s="231"/>
    </row>
    <row r="35" spans="1:35" s="203" customFormat="1">
      <c r="A35" s="46">
        <v>8</v>
      </c>
      <c r="B35" s="47" t="s">
        <v>59</v>
      </c>
      <c r="C35" s="47"/>
      <c r="D35" s="48"/>
      <c r="E35" s="49">
        <v>5075</v>
      </c>
      <c r="F35" s="50">
        <f>F302</f>
        <v>5564</v>
      </c>
      <c r="G35" s="43"/>
      <c r="H35" s="50">
        <f>H302</f>
        <v>5751</v>
      </c>
      <c r="I35" s="21"/>
      <c r="J35" s="231"/>
      <c r="K35" s="231"/>
      <c r="L35" s="231"/>
      <c r="M35" s="231"/>
      <c r="N35" s="231"/>
      <c r="O35" s="231"/>
      <c r="P35" s="231"/>
      <c r="Q35" s="231"/>
      <c r="R35" s="231"/>
      <c r="S35" s="231"/>
      <c r="T35" s="231"/>
      <c r="U35" s="231"/>
      <c r="V35" s="231"/>
      <c r="W35" s="231"/>
      <c r="X35" s="231"/>
      <c r="Y35" s="231"/>
      <c r="Z35" s="231"/>
      <c r="AA35" s="231"/>
      <c r="AB35" s="231"/>
      <c r="AC35" s="231"/>
      <c r="AD35" s="231"/>
      <c r="AE35" s="231"/>
      <c r="AF35" s="231"/>
      <c r="AG35" s="231"/>
      <c r="AH35" s="231"/>
      <c r="AI35" s="231"/>
    </row>
    <row r="36" spans="1:35" s="203" customFormat="1">
      <c r="A36" s="46">
        <v>9</v>
      </c>
      <c r="B36" s="47" t="s">
        <v>60</v>
      </c>
      <c r="C36" s="47"/>
      <c r="D36" s="48"/>
      <c r="E36" s="49">
        <v>0</v>
      </c>
      <c r="F36" s="52"/>
      <c r="G36" s="43"/>
      <c r="H36" s="52"/>
      <c r="I36" s="21"/>
      <c r="J36" s="231"/>
      <c r="K36" s="231"/>
      <c r="L36" s="231"/>
      <c r="M36" s="231"/>
      <c r="N36" s="231"/>
      <c r="O36" s="231"/>
      <c r="P36" s="231"/>
      <c r="Q36" s="231"/>
      <c r="R36" s="231"/>
      <c r="S36" s="231"/>
      <c r="T36" s="231"/>
      <c r="U36" s="231"/>
      <c r="V36" s="231"/>
      <c r="W36" s="231"/>
      <c r="X36" s="231"/>
      <c r="Y36" s="231"/>
      <c r="Z36" s="231"/>
      <c r="AA36" s="231"/>
      <c r="AB36" s="231"/>
      <c r="AC36" s="231"/>
      <c r="AD36" s="231"/>
      <c r="AE36" s="231"/>
      <c r="AF36" s="231"/>
      <c r="AG36" s="231"/>
      <c r="AH36" s="231"/>
      <c r="AI36" s="231"/>
    </row>
    <row r="37" spans="1:35" s="203" customFormat="1">
      <c r="A37" s="53">
        <v>10</v>
      </c>
      <c r="B37" s="54" t="s">
        <v>61</v>
      </c>
      <c r="C37" s="54"/>
      <c r="D37" s="55"/>
      <c r="E37" s="56">
        <v>3028</v>
      </c>
      <c r="F37" s="57">
        <f>F320</f>
        <v>1743</v>
      </c>
      <c r="G37" s="43"/>
      <c r="H37" s="57">
        <f>H320</f>
        <v>2815</v>
      </c>
      <c r="I37" s="21"/>
      <c r="J37" s="231"/>
      <c r="K37" s="231"/>
      <c r="L37" s="231"/>
      <c r="M37" s="231"/>
      <c r="N37" s="231"/>
      <c r="O37" s="231"/>
      <c r="P37" s="231"/>
      <c r="Q37" s="231"/>
      <c r="R37" s="231"/>
      <c r="S37" s="231"/>
      <c r="T37" s="231"/>
      <c r="U37" s="231"/>
      <c r="V37" s="231"/>
      <c r="W37" s="231"/>
      <c r="X37" s="231"/>
      <c r="Y37" s="231"/>
      <c r="Z37" s="231"/>
      <c r="AA37" s="231"/>
      <c r="AB37" s="231"/>
      <c r="AC37" s="231"/>
      <c r="AD37" s="231"/>
      <c r="AE37" s="231"/>
      <c r="AF37" s="231"/>
      <c r="AG37" s="231"/>
      <c r="AH37" s="231"/>
      <c r="AI37" s="231"/>
    </row>
    <row r="38" spans="1:35" s="203" customFormat="1">
      <c r="A38" s="33">
        <v>11</v>
      </c>
      <c r="B38" s="58" t="s">
        <v>62</v>
      </c>
      <c r="C38" s="58"/>
      <c r="D38" s="59"/>
      <c r="E38" s="60">
        <v>112348</v>
      </c>
      <c r="F38" s="61">
        <f>SUM(F28:F37)</f>
        <v>117360</v>
      </c>
      <c r="G38" s="43"/>
      <c r="H38" s="61">
        <f>SUM(H28:H37)</f>
        <v>120894</v>
      </c>
      <c r="I38" s="68"/>
      <c r="J38" s="231"/>
      <c r="K38" s="231"/>
      <c r="L38" s="231"/>
      <c r="M38" s="231"/>
      <c r="N38" s="231"/>
      <c r="O38" s="231"/>
      <c r="P38" s="231"/>
      <c r="Q38" s="231"/>
      <c r="R38" s="231"/>
      <c r="S38" s="231"/>
      <c r="T38" s="231"/>
      <c r="U38" s="231"/>
      <c r="V38" s="231"/>
      <c r="W38" s="231"/>
      <c r="X38" s="231"/>
      <c r="Y38" s="231"/>
      <c r="Z38" s="231"/>
      <c r="AA38" s="231"/>
      <c r="AB38" s="231"/>
      <c r="AC38" s="231"/>
      <c r="AD38" s="231"/>
      <c r="AE38" s="231"/>
      <c r="AF38" s="231"/>
      <c r="AG38" s="231"/>
      <c r="AH38" s="231"/>
      <c r="AI38" s="231"/>
    </row>
    <row r="39" spans="1:35" s="203" customFormat="1" ht="12.75" customHeight="1">
      <c r="A39" s="63"/>
      <c r="B39" s="64"/>
      <c r="C39" s="64"/>
      <c r="D39" s="65"/>
      <c r="E39" s="66"/>
      <c r="F39" s="67"/>
      <c r="G39" s="21"/>
      <c r="H39" s="67"/>
      <c r="I39" s="68"/>
      <c r="J39" s="231"/>
      <c r="K39" s="231"/>
      <c r="L39" s="231"/>
      <c r="M39" s="231"/>
      <c r="N39" s="231"/>
      <c r="O39" s="231"/>
      <c r="P39" s="231"/>
      <c r="Q39" s="231"/>
      <c r="R39" s="231"/>
      <c r="S39" s="231"/>
      <c r="T39" s="231"/>
      <c r="U39" s="231"/>
      <c r="V39" s="231"/>
      <c r="W39" s="231"/>
      <c r="X39" s="231"/>
      <c r="Y39" s="231"/>
      <c r="Z39" s="231"/>
      <c r="AA39" s="231"/>
      <c r="AB39" s="231"/>
      <c r="AC39" s="231"/>
      <c r="AD39" s="231"/>
      <c r="AE39" s="231"/>
      <c r="AF39" s="231"/>
      <c r="AG39" s="231"/>
      <c r="AH39" s="231"/>
      <c r="AI39" s="231"/>
    </row>
    <row r="40" spans="1:35" s="203" customFormat="1" ht="12.75" customHeight="1">
      <c r="A40" s="893" t="s">
        <v>63</v>
      </c>
      <c r="B40" s="894"/>
      <c r="C40" s="894"/>
      <c r="D40" s="895"/>
      <c r="E40" s="878" t="s">
        <v>376</v>
      </c>
      <c r="F40" s="856" t="s">
        <v>407</v>
      </c>
      <c r="G40" s="36"/>
      <c r="H40" s="878" t="s">
        <v>406</v>
      </c>
      <c r="I40" s="43"/>
      <c r="J40" s="231"/>
      <c r="K40" s="231"/>
      <c r="L40" s="231"/>
      <c r="M40" s="231"/>
      <c r="N40" s="231"/>
      <c r="O40" s="231"/>
      <c r="P40" s="231"/>
      <c r="Q40" s="231"/>
      <c r="R40" s="231"/>
      <c r="S40" s="231"/>
      <c r="T40" s="231"/>
      <c r="U40" s="231"/>
      <c r="V40" s="231"/>
      <c r="W40" s="231"/>
      <c r="X40" s="231"/>
      <c r="Y40" s="231"/>
      <c r="Z40" s="231"/>
      <c r="AA40" s="231"/>
      <c r="AB40" s="231"/>
      <c r="AC40" s="231"/>
      <c r="AD40" s="231"/>
      <c r="AE40" s="231"/>
      <c r="AF40" s="231"/>
      <c r="AG40" s="231"/>
      <c r="AH40" s="231"/>
      <c r="AI40" s="231"/>
    </row>
    <row r="41" spans="1:35" s="203" customFormat="1" ht="27.75" customHeight="1">
      <c r="A41" s="876"/>
      <c r="B41" s="877"/>
      <c r="C41" s="877"/>
      <c r="D41" s="896"/>
      <c r="E41" s="879"/>
      <c r="F41" s="860"/>
      <c r="G41" s="23"/>
      <c r="H41" s="879"/>
      <c r="I41" s="43"/>
      <c r="J41" s="231"/>
      <c r="K41" s="231"/>
      <c r="L41" s="231"/>
      <c r="M41" s="231"/>
      <c r="N41" s="231"/>
      <c r="O41" s="231"/>
      <c r="P41" s="231"/>
      <c r="Q41" s="231"/>
      <c r="R41" s="231"/>
      <c r="S41" s="231"/>
      <c r="T41" s="231"/>
      <c r="U41" s="231"/>
      <c r="V41" s="231"/>
      <c r="W41" s="231"/>
      <c r="X41" s="231"/>
      <c r="Y41" s="231"/>
      <c r="Z41" s="231"/>
      <c r="AA41" s="231"/>
      <c r="AB41" s="231"/>
      <c r="AC41" s="231"/>
      <c r="AD41" s="231"/>
      <c r="AE41" s="231"/>
      <c r="AF41" s="231"/>
      <c r="AG41" s="231"/>
      <c r="AH41" s="231"/>
      <c r="AI41" s="231"/>
    </row>
    <row r="42" spans="1:35" s="203" customFormat="1">
      <c r="A42" s="428" t="s">
        <v>64</v>
      </c>
      <c r="B42" s="69" t="s">
        <v>65</v>
      </c>
      <c r="C42" s="69"/>
      <c r="D42" s="70"/>
      <c r="E42" s="71"/>
      <c r="F42" s="72" t="str">
        <f>IF(OR(F43&lt;0,F44&lt;0,F47&lt;0,F48&lt;0,H43&lt;0,H44&lt;0,H47&lt;0,H48&lt;0),"Funding should be recorded as positive figures",".")</f>
        <v>.</v>
      </c>
      <c r="G42" s="45"/>
      <c r="H42" s="73"/>
      <c r="I42" s="43"/>
      <c r="J42" s="231"/>
      <c r="K42" s="231"/>
      <c r="L42" s="231"/>
      <c r="M42" s="231"/>
      <c r="N42" s="231"/>
      <c r="O42" s="231"/>
      <c r="P42" s="231"/>
      <c r="Q42" s="231"/>
      <c r="R42" s="231"/>
      <c r="S42" s="231"/>
      <c r="T42" s="231"/>
      <c r="U42" s="231"/>
      <c r="V42" s="231"/>
      <c r="W42" s="231"/>
      <c r="X42" s="231"/>
      <c r="Y42" s="231"/>
      <c r="Z42" s="231"/>
      <c r="AA42" s="231"/>
      <c r="AB42" s="231"/>
      <c r="AC42" s="231"/>
      <c r="AD42" s="231"/>
      <c r="AE42" s="231"/>
      <c r="AF42" s="231"/>
      <c r="AG42" s="231"/>
      <c r="AH42" s="231"/>
      <c r="AI42" s="231"/>
    </row>
    <row r="43" spans="1:35" s="203" customFormat="1">
      <c r="A43" s="46">
        <v>1</v>
      </c>
      <c r="B43" s="47" t="s">
        <v>66</v>
      </c>
      <c r="C43" s="47"/>
      <c r="D43" s="48"/>
      <c r="E43" s="74">
        <v>56599</v>
      </c>
      <c r="F43" s="241">
        <v>56662.999999999993</v>
      </c>
      <c r="G43" s="45"/>
      <c r="H43" s="75">
        <v>53390</v>
      </c>
      <c r="I43" s="43"/>
      <c r="J43" s="231"/>
      <c r="K43" s="231"/>
      <c r="L43" s="231"/>
      <c r="M43" s="231"/>
      <c r="N43" s="231"/>
      <c r="O43" s="231"/>
      <c r="P43" s="231"/>
      <c r="Q43" s="231"/>
      <c r="R43" s="231"/>
      <c r="S43" s="231"/>
      <c r="T43" s="231"/>
      <c r="U43" s="231"/>
      <c r="V43" s="231"/>
      <c r="W43" s="231"/>
      <c r="X43" s="231"/>
      <c r="Y43" s="231"/>
      <c r="Z43" s="231"/>
      <c r="AA43" s="231"/>
      <c r="AB43" s="231"/>
      <c r="AC43" s="231"/>
      <c r="AD43" s="231"/>
      <c r="AE43" s="231"/>
      <c r="AF43" s="231"/>
      <c r="AG43" s="231"/>
      <c r="AH43" s="231"/>
      <c r="AI43" s="231"/>
    </row>
    <row r="44" spans="1:35" s="203" customFormat="1">
      <c r="A44" s="46">
        <v>2</v>
      </c>
      <c r="B44" s="47" t="s">
        <v>67</v>
      </c>
      <c r="C44" s="47"/>
      <c r="D44" s="48"/>
      <c r="E44" s="49">
        <v>23852</v>
      </c>
      <c r="F44" s="241">
        <v>23852</v>
      </c>
      <c r="G44" s="45"/>
      <c r="H44" s="75">
        <v>25925</v>
      </c>
      <c r="I44" s="43"/>
      <c r="J44" s="231"/>
      <c r="K44" s="231"/>
      <c r="L44" s="231"/>
      <c r="M44" s="231"/>
      <c r="N44" s="231"/>
      <c r="O44" s="231"/>
      <c r="P44" s="231"/>
      <c r="Q44" s="231"/>
      <c r="R44" s="231"/>
      <c r="S44" s="231"/>
      <c r="T44" s="231"/>
      <c r="U44" s="231"/>
      <c r="V44" s="231"/>
      <c r="W44" s="231"/>
      <c r="X44" s="231"/>
      <c r="Y44" s="231"/>
      <c r="Z44" s="231"/>
      <c r="AA44" s="231"/>
      <c r="AB44" s="231"/>
      <c r="AC44" s="231"/>
      <c r="AD44" s="231"/>
      <c r="AE44" s="231"/>
      <c r="AF44" s="231"/>
      <c r="AG44" s="231"/>
      <c r="AH44" s="231"/>
      <c r="AI44" s="231"/>
    </row>
    <row r="45" spans="1:35" s="203" customFormat="1">
      <c r="A45" s="46">
        <v>3</v>
      </c>
      <c r="B45" s="47" t="s">
        <v>68</v>
      </c>
      <c r="C45" s="47"/>
      <c r="D45" s="48"/>
      <c r="E45" s="49">
        <v>0</v>
      </c>
      <c r="F45" s="52">
        <v>0</v>
      </c>
      <c r="G45" s="45"/>
      <c r="H45" s="75">
        <v>0</v>
      </c>
      <c r="I45" s="43"/>
      <c r="J45" s="231"/>
      <c r="K45" s="231"/>
      <c r="L45" s="231"/>
      <c r="M45" s="231"/>
      <c r="N45" s="231"/>
      <c r="O45" s="231"/>
      <c r="P45" s="231"/>
      <c r="Q45" s="231"/>
      <c r="R45" s="231"/>
      <c r="S45" s="231"/>
      <c r="T45" s="231"/>
      <c r="U45" s="231"/>
      <c r="V45" s="231"/>
      <c r="W45" s="231"/>
      <c r="X45" s="231"/>
      <c r="Y45" s="231"/>
      <c r="Z45" s="231"/>
      <c r="AA45" s="231"/>
      <c r="AB45" s="231"/>
      <c r="AC45" s="231"/>
      <c r="AD45" s="231"/>
      <c r="AE45" s="231"/>
      <c r="AF45" s="231"/>
      <c r="AG45" s="231"/>
      <c r="AH45" s="231"/>
      <c r="AI45" s="231"/>
    </row>
    <row r="46" spans="1:35" s="203" customFormat="1">
      <c r="A46" s="46">
        <v>4</v>
      </c>
      <c r="B46" s="47" t="s">
        <v>70</v>
      </c>
      <c r="C46" s="47"/>
      <c r="D46" s="48"/>
      <c r="E46" s="49">
        <v>0</v>
      </c>
      <c r="F46" s="52">
        <v>0</v>
      </c>
      <c r="G46" s="45"/>
      <c r="H46" s="75">
        <v>0</v>
      </c>
      <c r="I46" s="43"/>
      <c r="J46" s="231"/>
      <c r="K46" s="231"/>
      <c r="L46" s="231"/>
      <c r="M46" s="231"/>
      <c r="N46" s="231"/>
      <c r="O46" s="231"/>
      <c r="P46" s="231"/>
      <c r="Q46" s="231"/>
      <c r="R46" s="231"/>
      <c r="S46" s="231"/>
      <c r="T46" s="231"/>
      <c r="U46" s="231"/>
      <c r="V46" s="231"/>
      <c r="W46" s="231"/>
      <c r="X46" s="231"/>
      <c r="Y46" s="231"/>
      <c r="Z46" s="231"/>
      <c r="AA46" s="231"/>
      <c r="AB46" s="231"/>
      <c r="AC46" s="231"/>
      <c r="AD46" s="231"/>
      <c r="AE46" s="231"/>
      <c r="AF46" s="231"/>
      <c r="AG46" s="231"/>
      <c r="AH46" s="231"/>
      <c r="AI46" s="231"/>
    </row>
    <row r="47" spans="1:35" s="203" customFormat="1">
      <c r="A47" s="46">
        <v>5</v>
      </c>
      <c r="B47" s="47" t="s">
        <v>69</v>
      </c>
      <c r="C47" s="47"/>
      <c r="D47" s="48"/>
      <c r="E47" s="49">
        <v>5945</v>
      </c>
      <c r="F47" s="52">
        <v>5984</v>
      </c>
      <c r="G47" s="45"/>
      <c r="H47" s="76">
        <v>7168</v>
      </c>
      <c r="I47" s="43"/>
      <c r="J47" s="231"/>
      <c r="K47" s="231"/>
      <c r="L47" s="231"/>
      <c r="M47" s="231"/>
      <c r="N47" s="231"/>
      <c r="O47" s="231"/>
      <c r="P47" s="231"/>
      <c r="Q47" s="231"/>
      <c r="R47" s="231"/>
      <c r="S47" s="231"/>
      <c r="T47" s="231"/>
      <c r="U47" s="231"/>
      <c r="V47" s="231"/>
      <c r="W47" s="231"/>
      <c r="X47" s="231"/>
      <c r="Y47" s="231"/>
      <c r="Z47" s="231"/>
      <c r="AA47" s="231"/>
      <c r="AB47" s="231"/>
      <c r="AC47" s="231"/>
      <c r="AD47" s="231"/>
      <c r="AE47" s="231"/>
      <c r="AF47" s="231"/>
      <c r="AG47" s="231"/>
      <c r="AH47" s="231"/>
      <c r="AI47" s="231"/>
    </row>
    <row r="48" spans="1:35" s="203" customFormat="1">
      <c r="A48" s="46">
        <v>6</v>
      </c>
      <c r="B48" s="90" t="s">
        <v>253</v>
      </c>
      <c r="C48" s="47"/>
      <c r="D48" s="195"/>
      <c r="E48" s="49">
        <v>9363</v>
      </c>
      <c r="F48" s="52">
        <v>9363</v>
      </c>
      <c r="G48" s="45"/>
      <c r="H48" s="52">
        <v>9738</v>
      </c>
      <c r="I48" s="43"/>
      <c r="J48" s="231"/>
      <c r="K48" s="231"/>
      <c r="L48" s="231"/>
      <c r="M48" s="231"/>
      <c r="N48" s="231"/>
      <c r="O48" s="231"/>
      <c r="P48" s="231"/>
      <c r="Q48" s="231"/>
      <c r="R48" s="231"/>
      <c r="S48" s="231"/>
      <c r="T48" s="231"/>
      <c r="U48" s="231"/>
      <c r="V48" s="231"/>
      <c r="W48" s="231"/>
      <c r="X48" s="231"/>
      <c r="Y48" s="231"/>
      <c r="Z48" s="231"/>
      <c r="AA48" s="231"/>
      <c r="AB48" s="231"/>
      <c r="AC48" s="231"/>
      <c r="AD48" s="231"/>
      <c r="AE48" s="231"/>
      <c r="AF48" s="231"/>
      <c r="AG48" s="231"/>
      <c r="AH48" s="231"/>
      <c r="AI48" s="231"/>
    </row>
    <row r="49" spans="1:35" s="203" customFormat="1">
      <c r="A49" s="77">
        <v>7</v>
      </c>
      <c r="B49" s="78" t="s">
        <v>71</v>
      </c>
      <c r="C49" s="58"/>
      <c r="D49" s="79"/>
      <c r="E49" s="80">
        <v>95759</v>
      </c>
      <c r="F49" s="81">
        <f>SUM(F43:F48)</f>
        <v>95862</v>
      </c>
      <c r="G49" s="82"/>
      <c r="H49" s="62">
        <f>SUM(H43:H48)</f>
        <v>96221</v>
      </c>
      <c r="I49" s="242"/>
      <c r="J49" s="231"/>
      <c r="K49" s="231"/>
      <c r="L49" s="231"/>
      <c r="M49" s="231"/>
      <c r="N49" s="231"/>
      <c r="O49" s="231"/>
      <c r="P49" s="231"/>
      <c r="Q49" s="231"/>
      <c r="R49" s="231"/>
      <c r="S49" s="231"/>
      <c r="T49" s="231"/>
      <c r="U49" s="231"/>
      <c r="V49" s="231"/>
      <c r="W49" s="231"/>
      <c r="X49" s="231"/>
      <c r="Y49" s="231"/>
      <c r="Z49" s="231"/>
      <c r="AA49" s="231"/>
      <c r="AB49" s="231"/>
      <c r="AC49" s="231"/>
      <c r="AD49" s="231"/>
      <c r="AE49" s="231"/>
      <c r="AF49" s="231"/>
      <c r="AG49" s="231"/>
      <c r="AH49" s="231"/>
      <c r="AI49" s="231"/>
    </row>
    <row r="50" spans="1:35" s="203" customFormat="1">
      <c r="A50" s="83"/>
      <c r="B50" s="244"/>
      <c r="C50" s="244"/>
      <c r="D50" s="244"/>
      <c r="E50" s="85"/>
      <c r="F50" s="244"/>
      <c r="G50" s="86"/>
      <c r="H50" s="86"/>
      <c r="I50" s="21"/>
      <c r="J50" s="231"/>
      <c r="K50" s="231"/>
      <c r="L50" s="231"/>
      <c r="M50" s="231"/>
      <c r="N50" s="231"/>
      <c r="O50" s="231"/>
      <c r="P50" s="231"/>
      <c r="Q50" s="231"/>
      <c r="R50" s="231"/>
      <c r="S50" s="231"/>
      <c r="T50" s="231"/>
      <c r="U50" s="231"/>
      <c r="V50" s="231"/>
      <c r="W50" s="231"/>
      <c r="X50" s="231"/>
      <c r="Y50" s="231"/>
      <c r="Z50" s="231"/>
      <c r="AA50" s="231"/>
      <c r="AB50" s="231"/>
      <c r="AC50" s="231"/>
      <c r="AD50" s="231"/>
      <c r="AE50" s="231"/>
      <c r="AF50" s="231"/>
      <c r="AG50" s="231"/>
      <c r="AH50" s="231"/>
      <c r="AI50" s="231"/>
    </row>
    <row r="51" spans="1:35" s="203" customFormat="1">
      <c r="A51" s="428" t="s">
        <v>72</v>
      </c>
      <c r="B51" s="196" t="s">
        <v>254</v>
      </c>
      <c r="C51" s="69"/>
      <c r="D51" s="70"/>
      <c r="E51" s="87"/>
      <c r="F51" s="88"/>
      <c r="G51" s="45"/>
      <c r="H51" s="89"/>
      <c r="I51" s="43"/>
      <c r="J51" s="231"/>
      <c r="K51" s="231"/>
      <c r="L51" s="231"/>
      <c r="M51" s="231"/>
      <c r="N51" s="231"/>
      <c r="O51" s="231"/>
      <c r="P51" s="231"/>
      <c r="Q51" s="231"/>
      <c r="R51" s="231"/>
      <c r="S51" s="231"/>
      <c r="T51" s="231"/>
      <c r="U51" s="231"/>
      <c r="V51" s="231"/>
      <c r="W51" s="231"/>
      <c r="X51" s="231"/>
      <c r="Y51" s="231"/>
      <c r="Z51" s="231"/>
      <c r="AA51" s="231"/>
      <c r="AB51" s="231"/>
      <c r="AC51" s="231"/>
      <c r="AD51" s="231"/>
      <c r="AE51" s="231"/>
      <c r="AF51" s="231"/>
      <c r="AG51" s="231"/>
      <c r="AH51" s="231"/>
      <c r="AI51" s="231"/>
    </row>
    <row r="52" spans="1:35" s="203" customFormat="1">
      <c r="A52" s="46">
        <v>8</v>
      </c>
      <c r="B52" s="90" t="s">
        <v>73</v>
      </c>
      <c r="C52" s="47"/>
      <c r="D52" s="48"/>
      <c r="E52" s="74">
        <v>112348</v>
      </c>
      <c r="F52" s="50">
        <f>F38</f>
        <v>117360</v>
      </c>
      <c r="G52" s="45"/>
      <c r="H52" s="91">
        <f>H38</f>
        <v>120894</v>
      </c>
      <c r="I52" s="43"/>
      <c r="J52" s="231"/>
      <c r="K52" s="231"/>
      <c r="L52" s="231"/>
      <c r="M52" s="231"/>
      <c r="N52" s="231"/>
      <c r="O52" s="231"/>
      <c r="P52" s="231"/>
      <c r="Q52" s="231"/>
      <c r="R52" s="231"/>
      <c r="S52" s="231"/>
      <c r="T52" s="231"/>
      <c r="U52" s="231"/>
      <c r="V52" s="231"/>
      <c r="W52" s="231"/>
      <c r="X52" s="231"/>
      <c r="Y52" s="231"/>
      <c r="Z52" s="231"/>
      <c r="AA52" s="231"/>
      <c r="AB52" s="231"/>
      <c r="AC52" s="231"/>
      <c r="AD52" s="231"/>
      <c r="AE52" s="231"/>
      <c r="AF52" s="231"/>
      <c r="AG52" s="231"/>
      <c r="AH52" s="231"/>
      <c r="AI52" s="231"/>
    </row>
    <row r="53" spans="1:35" s="203" customFormat="1">
      <c r="A53" s="46">
        <v>9</v>
      </c>
      <c r="B53" s="90" t="s">
        <v>74</v>
      </c>
      <c r="C53" s="47"/>
      <c r="D53" s="48"/>
      <c r="E53" s="49">
        <v>95759</v>
      </c>
      <c r="F53" s="92">
        <f>F49</f>
        <v>95862</v>
      </c>
      <c r="G53" s="45"/>
      <c r="H53" s="91">
        <f>H49</f>
        <v>96221</v>
      </c>
      <c r="I53" s="43"/>
      <c r="J53" s="231"/>
      <c r="K53" s="231"/>
      <c r="L53" s="231"/>
      <c r="M53" s="231"/>
      <c r="N53" s="231"/>
      <c r="O53" s="231"/>
      <c r="P53" s="231"/>
      <c r="Q53" s="231"/>
      <c r="R53" s="231"/>
      <c r="S53" s="231"/>
      <c r="T53" s="231"/>
      <c r="U53" s="231"/>
      <c r="V53" s="231"/>
      <c r="W53" s="231"/>
      <c r="X53" s="231"/>
      <c r="Y53" s="231"/>
      <c r="Z53" s="231"/>
      <c r="AA53" s="231"/>
      <c r="AB53" s="231"/>
      <c r="AC53" s="231"/>
      <c r="AD53" s="231"/>
      <c r="AE53" s="231"/>
      <c r="AF53" s="231"/>
      <c r="AG53" s="231"/>
      <c r="AH53" s="231"/>
      <c r="AI53" s="231"/>
    </row>
    <row r="54" spans="1:35" s="203" customFormat="1">
      <c r="A54" s="430">
        <v>10</v>
      </c>
      <c r="B54" s="93" t="s">
        <v>255</v>
      </c>
      <c r="C54" s="94"/>
      <c r="D54" s="55"/>
      <c r="E54" s="95">
        <v>-16589</v>
      </c>
      <c r="F54" s="96">
        <f>F53-F52</f>
        <v>-21498</v>
      </c>
      <c r="G54" s="45"/>
      <c r="H54" s="97">
        <f>H53-H52</f>
        <v>-24673</v>
      </c>
      <c r="I54" s="43"/>
      <c r="J54" s="231"/>
      <c r="K54" s="231"/>
      <c r="L54" s="231"/>
      <c r="M54" s="231"/>
      <c r="N54" s="231"/>
      <c r="O54" s="231"/>
      <c r="P54" s="231"/>
      <c r="Q54" s="231"/>
      <c r="R54" s="231"/>
      <c r="S54" s="231"/>
      <c r="T54" s="231"/>
      <c r="U54" s="231"/>
      <c r="V54" s="231"/>
      <c r="W54" s="231"/>
      <c r="X54" s="231"/>
      <c r="Y54" s="231"/>
      <c r="Z54" s="231"/>
      <c r="AA54" s="231"/>
      <c r="AB54" s="231"/>
      <c r="AC54" s="231"/>
      <c r="AD54" s="231"/>
      <c r="AE54" s="231"/>
      <c r="AF54" s="231"/>
      <c r="AG54" s="231"/>
      <c r="AH54" s="231"/>
      <c r="AI54" s="231"/>
    </row>
    <row r="55" spans="1:35" s="203" customFormat="1">
      <c r="A55" s="83"/>
      <c r="B55" s="244"/>
      <c r="C55" s="244"/>
      <c r="D55" s="244"/>
      <c r="E55" s="85"/>
      <c r="F55" s="244"/>
      <c r="G55" s="86"/>
      <c r="H55" s="86"/>
      <c r="I55" s="21"/>
      <c r="J55" s="231"/>
      <c r="K55" s="231"/>
      <c r="L55" s="231"/>
      <c r="M55" s="231"/>
      <c r="N55" s="231"/>
      <c r="O55" s="231"/>
      <c r="P55" s="231"/>
      <c r="Q55" s="231"/>
      <c r="R55" s="231"/>
      <c r="S55" s="231"/>
      <c r="T55" s="231"/>
      <c r="U55" s="231"/>
      <c r="V55" s="231"/>
      <c r="W55" s="231"/>
      <c r="X55" s="231"/>
      <c r="Y55" s="231"/>
      <c r="Z55" s="231"/>
      <c r="AA55" s="231"/>
      <c r="AB55" s="231"/>
      <c r="AC55" s="231"/>
      <c r="AD55" s="231"/>
      <c r="AE55" s="231"/>
      <c r="AF55" s="231"/>
      <c r="AG55" s="231"/>
      <c r="AH55" s="231"/>
      <c r="AI55" s="231"/>
    </row>
    <row r="56" spans="1:35" s="203" customFormat="1">
      <c r="A56" s="428" t="s">
        <v>75</v>
      </c>
      <c r="B56" s="69" t="s">
        <v>256</v>
      </c>
      <c r="C56" s="69"/>
      <c r="D56" s="70"/>
      <c r="E56" s="87"/>
      <c r="F56" s="88"/>
      <c r="G56" s="45"/>
      <c r="H56" s="89"/>
      <c r="I56" s="43"/>
      <c r="J56" s="231"/>
      <c r="K56" s="231"/>
      <c r="L56" s="231"/>
      <c r="M56" s="231"/>
      <c r="N56" s="231"/>
      <c r="O56" s="231"/>
      <c r="P56" s="231"/>
      <c r="Q56" s="231"/>
      <c r="R56" s="231"/>
      <c r="S56" s="231"/>
      <c r="T56" s="231"/>
      <c r="U56" s="231"/>
      <c r="V56" s="231"/>
      <c r="W56" s="231"/>
      <c r="X56" s="231"/>
      <c r="Y56" s="231"/>
      <c r="Z56" s="231"/>
      <c r="AA56" s="231"/>
      <c r="AB56" s="231"/>
      <c r="AC56" s="231"/>
      <c r="AD56" s="231"/>
      <c r="AE56" s="231"/>
      <c r="AF56" s="231"/>
      <c r="AG56" s="231"/>
      <c r="AH56" s="231"/>
      <c r="AI56" s="231"/>
    </row>
    <row r="57" spans="1:35" s="203" customFormat="1">
      <c r="A57" s="46">
        <v>11</v>
      </c>
      <c r="B57" s="47" t="s">
        <v>76</v>
      </c>
      <c r="C57" s="47"/>
      <c r="D57" s="48"/>
      <c r="E57" s="74">
        <v>53277</v>
      </c>
      <c r="F57" s="52">
        <v>60318</v>
      </c>
      <c r="G57" s="45"/>
      <c r="H57" s="91">
        <f>F61</f>
        <v>60319</v>
      </c>
      <c r="I57" s="43"/>
      <c r="J57" s="231"/>
      <c r="K57" s="231"/>
      <c r="L57" s="231"/>
      <c r="M57" s="231"/>
      <c r="N57" s="231"/>
      <c r="O57" s="231"/>
      <c r="P57" s="231"/>
      <c r="Q57" s="231"/>
      <c r="R57" s="231"/>
      <c r="S57" s="231"/>
      <c r="T57" s="231"/>
      <c r="U57" s="231"/>
      <c r="V57" s="231"/>
      <c r="W57" s="231"/>
      <c r="X57" s="231"/>
      <c r="Y57" s="231"/>
      <c r="Z57" s="231"/>
      <c r="AA57" s="231"/>
      <c r="AB57" s="231"/>
      <c r="AC57" s="231"/>
      <c r="AD57" s="231"/>
      <c r="AE57" s="231"/>
      <c r="AF57" s="231"/>
      <c r="AG57" s="231"/>
      <c r="AH57" s="231"/>
      <c r="AI57" s="231"/>
    </row>
    <row r="58" spans="1:35" s="203" customFormat="1">
      <c r="A58" s="46">
        <v>12</v>
      </c>
      <c r="B58" s="90" t="s">
        <v>257</v>
      </c>
      <c r="C58" s="47"/>
      <c r="D58" s="48"/>
      <c r="E58" s="49">
        <v>-16589</v>
      </c>
      <c r="F58" s="92">
        <f>F54</f>
        <v>-21498</v>
      </c>
      <c r="G58" s="45"/>
      <c r="H58" s="98">
        <f>H54</f>
        <v>-24673</v>
      </c>
      <c r="I58" s="43"/>
      <c r="J58" s="231"/>
      <c r="K58" s="231"/>
      <c r="L58" s="231"/>
      <c r="M58" s="231"/>
      <c r="N58" s="231"/>
      <c r="O58" s="231"/>
      <c r="P58" s="231"/>
      <c r="Q58" s="231"/>
      <c r="R58" s="231"/>
      <c r="S58" s="231"/>
      <c r="T58" s="231"/>
      <c r="U58" s="231"/>
      <c r="V58" s="231"/>
      <c r="W58" s="231"/>
      <c r="X58" s="231"/>
      <c r="Y58" s="231"/>
      <c r="Z58" s="231"/>
      <c r="AA58" s="231"/>
      <c r="AB58" s="231"/>
      <c r="AC58" s="231"/>
      <c r="AD58" s="231"/>
      <c r="AE58" s="231"/>
      <c r="AF58" s="231"/>
      <c r="AG58" s="231"/>
      <c r="AH58" s="231"/>
      <c r="AI58" s="231"/>
    </row>
    <row r="59" spans="1:35" s="203" customFormat="1">
      <c r="A59" s="46">
        <v>13</v>
      </c>
      <c r="B59" s="47" t="s">
        <v>77</v>
      </c>
      <c r="C59" s="47"/>
      <c r="D59" s="48"/>
      <c r="E59" s="49">
        <v>0</v>
      </c>
      <c r="F59" s="52">
        <v>0</v>
      </c>
      <c r="G59" s="45"/>
      <c r="H59" s="99">
        <v>0</v>
      </c>
      <c r="I59" s="43"/>
      <c r="J59" s="231"/>
      <c r="K59" s="231"/>
      <c r="L59" s="231"/>
      <c r="M59" s="231"/>
      <c r="N59" s="231"/>
      <c r="O59" s="231"/>
      <c r="P59" s="231"/>
      <c r="Q59" s="231"/>
      <c r="R59" s="231"/>
      <c r="S59" s="231"/>
      <c r="T59" s="231"/>
      <c r="U59" s="231"/>
      <c r="V59" s="231"/>
      <c r="W59" s="231"/>
      <c r="X59" s="231"/>
      <c r="Y59" s="231"/>
      <c r="Z59" s="231"/>
      <c r="AA59" s="231"/>
      <c r="AB59" s="231"/>
      <c r="AC59" s="231"/>
      <c r="AD59" s="231"/>
      <c r="AE59" s="231"/>
      <c r="AF59" s="231"/>
      <c r="AG59" s="231"/>
      <c r="AH59" s="231"/>
      <c r="AI59" s="231"/>
    </row>
    <row r="60" spans="1:35" s="203" customFormat="1">
      <c r="A60" s="46">
        <v>14</v>
      </c>
      <c r="B60" s="47" t="s">
        <v>78</v>
      </c>
      <c r="C60" s="47"/>
      <c r="D60" s="48"/>
      <c r="E60" s="49">
        <v>17897</v>
      </c>
      <c r="F60" s="52">
        <v>21499</v>
      </c>
      <c r="G60" s="45"/>
      <c r="H60" s="100">
        <v>24673</v>
      </c>
      <c r="I60" s="43"/>
      <c r="J60" s="231"/>
      <c r="K60" s="231"/>
      <c r="L60" s="231"/>
      <c r="M60" s="231"/>
      <c r="N60" s="231"/>
      <c r="O60" s="231"/>
      <c r="P60" s="231"/>
      <c r="Q60" s="231"/>
      <c r="R60" s="231"/>
      <c r="S60" s="231"/>
      <c r="T60" s="231"/>
      <c r="U60" s="231"/>
      <c r="V60" s="231"/>
      <c r="W60" s="231"/>
      <c r="X60" s="231"/>
      <c r="Y60" s="231"/>
      <c r="Z60" s="231"/>
      <c r="AA60" s="231"/>
      <c r="AB60" s="231"/>
      <c r="AC60" s="231"/>
      <c r="AD60" s="231"/>
      <c r="AE60" s="231"/>
      <c r="AF60" s="231"/>
      <c r="AG60" s="231"/>
      <c r="AH60" s="231"/>
      <c r="AI60" s="231"/>
    </row>
    <row r="61" spans="1:35" s="203" customFormat="1">
      <c r="A61" s="53">
        <v>15</v>
      </c>
      <c r="B61" s="54" t="s">
        <v>79</v>
      </c>
      <c r="C61" s="54"/>
      <c r="D61" s="55"/>
      <c r="E61" s="56">
        <v>54585</v>
      </c>
      <c r="F61" s="96">
        <f>F57+F58+F59+F60</f>
        <v>60319</v>
      </c>
      <c r="G61" s="45"/>
      <c r="H61" s="101">
        <f>H57+H58+H59+H60</f>
        <v>60319</v>
      </c>
      <c r="I61" s="43"/>
      <c r="J61" s="231"/>
      <c r="K61" s="231"/>
      <c r="L61" s="231"/>
      <c r="M61" s="231"/>
      <c r="N61" s="231"/>
      <c r="O61" s="231"/>
      <c r="P61" s="231"/>
      <c r="Q61" s="231"/>
      <c r="R61" s="231"/>
      <c r="S61" s="231"/>
      <c r="T61" s="231"/>
      <c r="U61" s="231"/>
      <c r="V61" s="231"/>
      <c r="W61" s="231"/>
      <c r="X61" s="231"/>
      <c r="Y61" s="231"/>
      <c r="Z61" s="231"/>
      <c r="AA61" s="231"/>
      <c r="AB61" s="231"/>
      <c r="AC61" s="231"/>
      <c r="AD61" s="231"/>
      <c r="AE61" s="231"/>
      <c r="AF61" s="231"/>
      <c r="AG61" s="231"/>
      <c r="AH61" s="231"/>
      <c r="AI61" s="231"/>
    </row>
    <row r="62" spans="1:35" s="203" customFormat="1">
      <c r="A62" s="102"/>
      <c r="B62" s="207"/>
      <c r="C62" s="207"/>
      <c r="D62" s="207"/>
      <c r="E62" s="103"/>
      <c r="F62" s="21"/>
      <c r="G62" s="21"/>
      <c r="H62" s="21"/>
      <c r="I62" s="21"/>
      <c r="J62" s="231"/>
      <c r="K62" s="231"/>
      <c r="L62" s="231"/>
      <c r="M62" s="231"/>
      <c r="N62" s="231"/>
      <c r="O62" s="231"/>
      <c r="P62" s="231"/>
      <c r="Q62" s="231"/>
      <c r="R62" s="231"/>
      <c r="S62" s="231"/>
      <c r="T62" s="231"/>
      <c r="U62" s="231"/>
      <c r="V62" s="231"/>
      <c r="W62" s="231"/>
      <c r="X62" s="231"/>
      <c r="Y62" s="231"/>
      <c r="Z62" s="231"/>
      <c r="AA62" s="231"/>
      <c r="AB62" s="231"/>
      <c r="AC62" s="231"/>
      <c r="AD62" s="231"/>
      <c r="AE62" s="231"/>
      <c r="AF62" s="231"/>
      <c r="AG62" s="231"/>
      <c r="AH62" s="231"/>
      <c r="AI62" s="231"/>
    </row>
    <row r="63" spans="1:35" s="203" customFormat="1" ht="12.75" customHeight="1">
      <c r="A63" s="23"/>
      <c r="B63" s="207"/>
      <c r="C63" s="207"/>
      <c r="D63" s="207"/>
      <c r="E63" s="15"/>
      <c r="F63" s="207"/>
      <c r="G63" s="207"/>
      <c r="H63" s="21"/>
      <c r="I63" s="21"/>
      <c r="J63" s="231"/>
      <c r="K63" s="231"/>
      <c r="L63" s="231"/>
      <c r="M63" s="231"/>
      <c r="N63" s="231"/>
      <c r="O63" s="231"/>
      <c r="P63" s="231"/>
      <c r="Q63" s="231"/>
      <c r="R63" s="231"/>
      <c r="S63" s="231"/>
      <c r="T63" s="231"/>
      <c r="U63" s="231"/>
      <c r="V63" s="231"/>
      <c r="W63" s="231"/>
      <c r="X63" s="231"/>
      <c r="Y63" s="231"/>
      <c r="Z63" s="231"/>
      <c r="AA63" s="231"/>
      <c r="AB63" s="231"/>
      <c r="AC63" s="231"/>
      <c r="AD63" s="231"/>
      <c r="AE63" s="231"/>
      <c r="AF63" s="231"/>
      <c r="AG63" s="231"/>
      <c r="AH63" s="231"/>
      <c r="AI63" s="231"/>
    </row>
    <row r="64" spans="1:35" s="203" customFormat="1" ht="15">
      <c r="A64" s="104" t="s">
        <v>80</v>
      </c>
      <c r="B64" s="29"/>
      <c r="C64" s="29"/>
      <c r="D64" s="29"/>
      <c r="E64" s="15"/>
      <c r="F64" s="29"/>
      <c r="G64" s="29"/>
      <c r="H64" s="29"/>
      <c r="I64" s="29"/>
      <c r="J64" s="231"/>
      <c r="K64" s="231"/>
      <c r="L64" s="231"/>
      <c r="M64" s="231"/>
      <c r="N64" s="231"/>
      <c r="O64" s="231"/>
      <c r="P64" s="231"/>
      <c r="Q64" s="231"/>
      <c r="R64" s="231"/>
      <c r="S64" s="231"/>
      <c r="T64" s="231"/>
      <c r="U64" s="231"/>
      <c r="V64" s="231"/>
      <c r="W64" s="231"/>
      <c r="X64" s="231"/>
      <c r="Y64" s="231"/>
      <c r="Z64" s="231"/>
      <c r="AA64" s="231"/>
      <c r="AB64" s="231"/>
      <c r="AC64" s="231"/>
      <c r="AD64" s="231"/>
      <c r="AE64" s="231"/>
      <c r="AF64" s="231"/>
      <c r="AG64" s="231"/>
      <c r="AH64" s="231"/>
      <c r="AI64" s="231"/>
    </row>
    <row r="65" spans="1:35" s="203" customFormat="1">
      <c r="A65" s="32"/>
      <c r="B65" s="29"/>
      <c r="C65" s="29"/>
      <c r="D65" s="29"/>
      <c r="E65" s="105"/>
      <c r="F65" s="29"/>
      <c r="G65" s="29"/>
      <c r="H65" s="29"/>
      <c r="I65" s="131" t="s">
        <v>27</v>
      </c>
      <c r="J65" s="231"/>
      <c r="K65" s="231"/>
      <c r="L65" s="231"/>
      <c r="M65" s="231"/>
      <c r="N65" s="231"/>
      <c r="O65" s="231"/>
      <c r="P65" s="231"/>
      <c r="Q65" s="231"/>
      <c r="R65" s="231"/>
      <c r="S65" s="231"/>
      <c r="T65" s="231"/>
      <c r="U65" s="231"/>
      <c r="V65" s="231"/>
      <c r="W65" s="231"/>
      <c r="X65" s="231"/>
      <c r="Y65" s="231"/>
      <c r="Z65" s="231"/>
      <c r="AA65" s="231"/>
      <c r="AB65" s="231"/>
      <c r="AC65" s="231"/>
      <c r="AD65" s="231"/>
      <c r="AE65" s="231"/>
      <c r="AF65" s="231"/>
      <c r="AG65" s="231"/>
      <c r="AH65" s="231"/>
      <c r="AI65" s="231"/>
    </row>
    <row r="66" spans="1:35" s="203" customFormat="1">
      <c r="A66" s="106" t="s">
        <v>14</v>
      </c>
      <c r="B66" s="107"/>
      <c r="C66" s="107"/>
      <c r="D66" s="107"/>
      <c r="E66" s="856" t="s">
        <v>377</v>
      </c>
      <c r="F66" s="962" t="s">
        <v>402</v>
      </c>
      <c r="G66" s="867" t="s">
        <v>81</v>
      </c>
      <c r="H66" s="962" t="s">
        <v>403</v>
      </c>
      <c r="I66" s="867" t="s">
        <v>81</v>
      </c>
      <c r="J66" s="231"/>
      <c r="K66" s="231"/>
      <c r="L66" s="231"/>
      <c r="M66" s="231"/>
      <c r="N66" s="231"/>
      <c r="O66" s="231"/>
      <c r="P66" s="231"/>
      <c r="Q66" s="231"/>
      <c r="R66" s="231"/>
      <c r="S66" s="231"/>
      <c r="T66" s="231"/>
      <c r="U66" s="231"/>
      <c r="V66" s="231"/>
      <c r="W66" s="231"/>
      <c r="X66" s="231"/>
      <c r="Y66" s="231"/>
      <c r="Z66" s="231"/>
      <c r="AA66" s="231"/>
      <c r="AB66" s="231"/>
      <c r="AC66" s="231"/>
      <c r="AD66" s="231"/>
      <c r="AE66" s="231"/>
      <c r="AF66" s="231"/>
      <c r="AG66" s="231"/>
      <c r="AH66" s="231"/>
      <c r="AI66" s="231"/>
    </row>
    <row r="67" spans="1:35" s="203" customFormat="1" ht="21" customHeight="1">
      <c r="A67" s="108"/>
      <c r="B67" s="47"/>
      <c r="C67" s="47"/>
      <c r="D67" s="47"/>
      <c r="E67" s="859"/>
      <c r="F67" s="963"/>
      <c r="G67" s="868"/>
      <c r="H67" s="963"/>
      <c r="I67" s="868"/>
      <c r="J67" s="231"/>
      <c r="K67" s="231"/>
      <c r="L67" s="231"/>
      <c r="M67" s="231"/>
      <c r="N67" s="231"/>
      <c r="O67" s="231"/>
      <c r="P67" s="231"/>
      <c r="Q67" s="231"/>
      <c r="R67" s="231"/>
      <c r="S67" s="231"/>
      <c r="T67" s="231"/>
      <c r="U67" s="231"/>
      <c r="V67" s="231"/>
      <c r="W67" s="231"/>
      <c r="X67" s="231"/>
      <c r="Y67" s="231"/>
      <c r="Z67" s="231"/>
      <c r="AA67" s="231"/>
      <c r="AB67" s="231"/>
      <c r="AC67" s="231"/>
      <c r="AD67" s="231"/>
      <c r="AE67" s="231"/>
      <c r="AF67" s="231"/>
      <c r="AG67" s="231"/>
      <c r="AH67" s="231"/>
      <c r="AI67" s="231"/>
    </row>
    <row r="68" spans="1:35" s="203" customFormat="1">
      <c r="A68" s="109" t="s">
        <v>82</v>
      </c>
      <c r="B68" s="47"/>
      <c r="C68" s="47"/>
      <c r="D68" s="47"/>
      <c r="E68" s="859"/>
      <c r="F68" s="963"/>
      <c r="G68" s="868"/>
      <c r="H68" s="963"/>
      <c r="I68" s="868"/>
      <c r="J68" s="231"/>
      <c r="K68" s="231"/>
      <c r="L68" s="231"/>
      <c r="M68" s="231"/>
      <c r="N68" s="231"/>
      <c r="O68" s="231"/>
      <c r="P68" s="231"/>
      <c r="Q68" s="231"/>
      <c r="R68" s="231"/>
      <c r="S68" s="231"/>
      <c r="T68" s="231"/>
      <c r="U68" s="231"/>
      <c r="V68" s="231"/>
      <c r="W68" s="231"/>
      <c r="X68" s="231"/>
      <c r="Y68" s="231"/>
      <c r="Z68" s="231"/>
      <c r="AA68" s="231"/>
      <c r="AB68" s="231"/>
      <c r="AC68" s="231"/>
      <c r="AD68" s="231"/>
      <c r="AE68" s="231"/>
      <c r="AF68" s="231"/>
      <c r="AG68" s="231"/>
      <c r="AH68" s="231"/>
      <c r="AI68" s="231"/>
    </row>
    <row r="69" spans="1:35" s="203" customFormat="1">
      <c r="A69" s="109" t="s">
        <v>83</v>
      </c>
      <c r="B69" s="47"/>
      <c r="C69" s="47"/>
      <c r="D69" s="47"/>
      <c r="E69" s="859"/>
      <c r="F69" s="963"/>
      <c r="G69" s="868"/>
      <c r="H69" s="963"/>
      <c r="I69" s="868"/>
      <c r="J69" s="231"/>
      <c r="K69" s="231"/>
      <c r="L69" s="231"/>
      <c r="M69" s="231"/>
      <c r="N69" s="231"/>
      <c r="O69" s="231"/>
      <c r="P69" s="231"/>
      <c r="Q69" s="231"/>
      <c r="R69" s="231"/>
      <c r="S69" s="231"/>
      <c r="T69" s="231"/>
      <c r="U69" s="231"/>
      <c r="V69" s="231"/>
      <c r="W69" s="231"/>
      <c r="X69" s="231"/>
      <c r="Y69" s="231"/>
      <c r="Z69" s="231"/>
      <c r="AA69" s="231"/>
      <c r="AB69" s="231"/>
      <c r="AC69" s="231"/>
      <c r="AD69" s="231"/>
      <c r="AE69" s="231"/>
      <c r="AF69" s="231"/>
      <c r="AG69" s="231"/>
      <c r="AH69" s="231"/>
      <c r="AI69" s="231"/>
    </row>
    <row r="70" spans="1:35" s="203" customFormat="1">
      <c r="A70" s="110" t="s">
        <v>84</v>
      </c>
      <c r="B70" s="47"/>
      <c r="C70" s="47"/>
      <c r="D70" s="47"/>
      <c r="E70" s="860"/>
      <c r="F70" s="964"/>
      <c r="G70" s="869"/>
      <c r="H70" s="964"/>
      <c r="I70" s="869"/>
      <c r="J70" s="231"/>
      <c r="K70" s="231"/>
      <c r="L70" s="231"/>
      <c r="M70" s="231"/>
      <c r="N70" s="231"/>
      <c r="O70" s="231"/>
      <c r="P70" s="231"/>
      <c r="Q70" s="231"/>
      <c r="R70" s="231"/>
      <c r="S70" s="231"/>
      <c r="T70" s="231"/>
      <c r="U70" s="231"/>
      <c r="V70" s="231"/>
      <c r="W70" s="231"/>
      <c r="X70" s="231"/>
      <c r="Y70" s="231"/>
      <c r="Z70" s="231"/>
      <c r="AA70" s="231"/>
      <c r="AB70" s="231"/>
      <c r="AC70" s="231"/>
      <c r="AD70" s="231"/>
      <c r="AE70" s="231"/>
      <c r="AF70" s="231"/>
      <c r="AG70" s="231"/>
      <c r="AH70" s="231"/>
      <c r="AI70" s="231"/>
    </row>
    <row r="71" spans="1:35" s="203" customFormat="1">
      <c r="A71" s="111">
        <v>1</v>
      </c>
      <c r="B71" s="47" t="s">
        <v>85</v>
      </c>
      <c r="C71" s="47"/>
      <c r="D71" s="47"/>
      <c r="E71" s="41">
        <v>2892</v>
      </c>
      <c r="F71" s="247">
        <v>2617</v>
      </c>
      <c r="G71" s="112">
        <v>1737</v>
      </c>
      <c r="H71" s="248">
        <v>3969</v>
      </c>
      <c r="I71" s="112">
        <v>2598</v>
      </c>
      <c r="J71" s="231"/>
      <c r="K71" s="231"/>
      <c r="L71" s="231"/>
      <c r="M71" s="231"/>
      <c r="N71" s="231"/>
      <c r="O71" s="231"/>
      <c r="P71" s="231"/>
      <c r="Q71" s="231"/>
      <c r="R71" s="231"/>
      <c r="S71" s="231"/>
      <c r="T71" s="231"/>
      <c r="U71" s="231"/>
      <c r="V71" s="231"/>
      <c r="W71" s="231"/>
      <c r="X71" s="231"/>
      <c r="Y71" s="231"/>
      <c r="Z71" s="231"/>
      <c r="AA71" s="231"/>
      <c r="AB71" s="231"/>
      <c r="AC71" s="231"/>
      <c r="AD71" s="231"/>
      <c r="AE71" s="231"/>
      <c r="AF71" s="231"/>
      <c r="AG71" s="231"/>
      <c r="AH71" s="231"/>
      <c r="AI71" s="231"/>
    </row>
    <row r="72" spans="1:35" s="203" customFormat="1">
      <c r="A72" s="111">
        <v>2</v>
      </c>
      <c r="B72" s="47" t="s">
        <v>86</v>
      </c>
      <c r="C72" s="47"/>
      <c r="D72" s="47"/>
      <c r="E72" s="49">
        <v>14190</v>
      </c>
      <c r="F72" s="247">
        <v>15000</v>
      </c>
      <c r="G72" s="113">
        <v>11144</v>
      </c>
      <c r="H72" s="123">
        <v>15595</v>
      </c>
      <c r="I72" s="113">
        <v>11825</v>
      </c>
      <c r="J72" s="231"/>
      <c r="K72" s="231"/>
      <c r="L72" s="231"/>
      <c r="M72" s="231"/>
      <c r="N72" s="231"/>
      <c r="O72" s="231"/>
      <c r="P72" s="231"/>
      <c r="Q72" s="231"/>
      <c r="R72" s="231"/>
      <c r="S72" s="231"/>
      <c r="T72" s="231"/>
      <c r="U72" s="231"/>
      <c r="V72" s="231"/>
      <c r="W72" s="231"/>
      <c r="X72" s="231"/>
      <c r="Y72" s="231"/>
      <c r="Z72" s="231"/>
      <c r="AA72" s="231"/>
      <c r="AB72" s="231"/>
      <c r="AC72" s="231"/>
      <c r="AD72" s="231"/>
      <c r="AE72" s="231"/>
      <c r="AF72" s="231"/>
      <c r="AG72" s="231"/>
      <c r="AH72" s="231"/>
      <c r="AI72" s="231"/>
    </row>
    <row r="73" spans="1:35" s="203" customFormat="1">
      <c r="A73" s="111">
        <v>3</v>
      </c>
      <c r="B73" s="47" t="s">
        <v>87</v>
      </c>
      <c r="C73" s="47"/>
      <c r="D73" s="47"/>
      <c r="E73" s="114">
        <v>15336</v>
      </c>
      <c r="F73" s="247">
        <v>15719</v>
      </c>
      <c r="G73" s="113">
        <v>10505</v>
      </c>
      <c r="H73" s="123">
        <v>16387</v>
      </c>
      <c r="I73" s="113">
        <v>11190</v>
      </c>
      <c r="J73" s="231"/>
      <c r="K73" s="231"/>
      <c r="L73" s="231"/>
      <c r="M73" s="231"/>
      <c r="N73" s="231"/>
      <c r="O73" s="231"/>
      <c r="P73" s="231"/>
      <c r="Q73" s="231"/>
      <c r="R73" s="231"/>
      <c r="S73" s="231"/>
      <c r="T73" s="231"/>
      <c r="U73" s="231"/>
      <c r="V73" s="231"/>
      <c r="W73" s="231"/>
      <c r="X73" s="231"/>
      <c r="Y73" s="231"/>
      <c r="Z73" s="231"/>
      <c r="AA73" s="231"/>
      <c r="AB73" s="231"/>
      <c r="AC73" s="231"/>
      <c r="AD73" s="231"/>
      <c r="AE73" s="231"/>
      <c r="AF73" s="231"/>
      <c r="AG73" s="231"/>
      <c r="AH73" s="231"/>
      <c r="AI73" s="231"/>
    </row>
    <row r="74" spans="1:35" s="203" customFormat="1">
      <c r="A74" s="111">
        <v>4</v>
      </c>
      <c r="B74" s="47" t="s">
        <v>88</v>
      </c>
      <c r="C74" s="47"/>
      <c r="D74" s="47"/>
      <c r="E74" s="114">
        <v>5811</v>
      </c>
      <c r="F74" s="247">
        <v>6168</v>
      </c>
      <c r="G74" s="113">
        <v>0</v>
      </c>
      <c r="H74" s="123">
        <v>6378</v>
      </c>
      <c r="I74" s="113">
        <v>0</v>
      </c>
      <c r="J74" s="231"/>
      <c r="K74" s="231"/>
      <c r="L74" s="231"/>
      <c r="M74" s="231"/>
      <c r="N74" s="231"/>
      <c r="O74" s="231"/>
      <c r="P74" s="231"/>
      <c r="Q74" s="231"/>
      <c r="R74" s="231"/>
      <c r="S74" s="231"/>
      <c r="T74" s="231"/>
      <c r="U74" s="231"/>
      <c r="V74" s="231"/>
      <c r="W74" s="231"/>
      <c r="X74" s="231"/>
      <c r="Y74" s="231"/>
      <c r="Z74" s="231"/>
      <c r="AA74" s="231"/>
      <c r="AB74" s="231"/>
      <c r="AC74" s="231"/>
      <c r="AD74" s="231"/>
      <c r="AE74" s="231"/>
      <c r="AF74" s="231"/>
      <c r="AG74" s="231"/>
      <c r="AH74" s="231"/>
      <c r="AI74" s="231"/>
    </row>
    <row r="75" spans="1:35" s="203" customFormat="1">
      <c r="A75" s="111">
        <v>5</v>
      </c>
      <c r="B75" s="47" t="s">
        <v>89</v>
      </c>
      <c r="C75" s="47" t="s">
        <v>90</v>
      </c>
      <c r="D75" s="47"/>
      <c r="E75" s="114">
        <v>3170</v>
      </c>
      <c r="F75" s="247">
        <v>3412</v>
      </c>
      <c r="G75" s="113">
        <v>0</v>
      </c>
      <c r="H75" s="123">
        <v>2111</v>
      </c>
      <c r="I75" s="113">
        <v>0</v>
      </c>
      <c r="J75" s="231"/>
      <c r="K75" s="231"/>
      <c r="L75" s="231"/>
      <c r="M75" s="231"/>
      <c r="N75" s="231"/>
      <c r="O75" s="231"/>
      <c r="P75" s="231"/>
      <c r="Q75" s="231"/>
      <c r="R75" s="231"/>
      <c r="S75" s="231"/>
      <c r="T75" s="231"/>
      <c r="U75" s="231"/>
      <c r="V75" s="231"/>
      <c r="W75" s="231"/>
      <c r="X75" s="231"/>
      <c r="Y75" s="231"/>
      <c r="Z75" s="231"/>
      <c r="AA75" s="231"/>
      <c r="AB75" s="231"/>
      <c r="AC75" s="231"/>
      <c r="AD75" s="231"/>
      <c r="AE75" s="231"/>
      <c r="AF75" s="231"/>
      <c r="AG75" s="231"/>
      <c r="AH75" s="231"/>
      <c r="AI75" s="231"/>
    </row>
    <row r="76" spans="1:35" s="203" customFormat="1">
      <c r="A76" s="429"/>
      <c r="B76" s="431"/>
      <c r="C76" s="47" t="s">
        <v>91</v>
      </c>
      <c r="D76" s="47"/>
      <c r="E76" s="114">
        <v>539</v>
      </c>
      <c r="F76" s="247">
        <v>446</v>
      </c>
      <c r="G76" s="115">
        <v>0</v>
      </c>
      <c r="H76" s="249">
        <v>705</v>
      </c>
      <c r="I76" s="115">
        <v>0</v>
      </c>
      <c r="J76" s="231"/>
      <c r="K76" s="231"/>
      <c r="L76" s="231"/>
      <c r="M76" s="231"/>
      <c r="N76" s="231"/>
      <c r="O76" s="231"/>
      <c r="P76" s="231"/>
      <c r="Q76" s="231"/>
      <c r="R76" s="231"/>
      <c r="S76" s="231"/>
      <c r="T76" s="231"/>
      <c r="U76" s="231"/>
      <c r="V76" s="231"/>
      <c r="W76" s="231"/>
      <c r="X76" s="231"/>
      <c r="Y76" s="231"/>
      <c r="Z76" s="231"/>
      <c r="AA76" s="231"/>
      <c r="AB76" s="231"/>
      <c r="AC76" s="231"/>
      <c r="AD76" s="231"/>
      <c r="AE76" s="231"/>
      <c r="AF76" s="231"/>
      <c r="AG76" s="231"/>
      <c r="AH76" s="231"/>
      <c r="AI76" s="231"/>
    </row>
    <row r="77" spans="1:35" s="203" customFormat="1">
      <c r="A77" s="111">
        <v>6</v>
      </c>
      <c r="B77" s="116" t="s">
        <v>92</v>
      </c>
      <c r="C77" s="116"/>
      <c r="D77" s="47"/>
      <c r="E77" s="80">
        <v>41938</v>
      </c>
      <c r="F77" s="250">
        <f>SUM(F71:F76)</f>
        <v>43362</v>
      </c>
      <c r="G77" s="251">
        <f>SUM(G71:G76)</f>
        <v>23386</v>
      </c>
      <c r="H77" s="252">
        <f>SUM(H71:H76)</f>
        <v>45145</v>
      </c>
      <c r="I77" s="251">
        <f>SUM(I71:I76)</f>
        <v>25613</v>
      </c>
      <c r="J77" s="231"/>
      <c r="K77" s="231"/>
      <c r="L77" s="231"/>
      <c r="M77" s="231"/>
      <c r="N77" s="231"/>
      <c r="O77" s="231"/>
      <c r="P77" s="231"/>
      <c r="Q77" s="231"/>
      <c r="R77" s="231"/>
      <c r="S77" s="231"/>
      <c r="T77" s="231"/>
      <c r="U77" s="231"/>
      <c r="V77" s="231"/>
      <c r="W77" s="231"/>
      <c r="X77" s="231"/>
      <c r="Y77" s="231"/>
      <c r="Z77" s="231"/>
      <c r="AA77" s="231"/>
      <c r="AB77" s="231"/>
      <c r="AC77" s="231"/>
      <c r="AD77" s="231"/>
      <c r="AE77" s="231"/>
      <c r="AF77" s="231"/>
      <c r="AG77" s="231"/>
      <c r="AH77" s="231"/>
      <c r="AI77" s="231"/>
    </row>
    <row r="78" spans="1:35" s="203" customFormat="1">
      <c r="A78" s="429"/>
      <c r="B78" s="47"/>
      <c r="C78" s="47"/>
      <c r="D78" s="47"/>
      <c r="E78" s="117"/>
      <c r="F78" s="118"/>
      <c r="G78" s="118"/>
      <c r="H78" s="118"/>
      <c r="I78" s="118"/>
      <c r="J78" s="231"/>
      <c r="K78" s="231"/>
      <c r="L78" s="231"/>
      <c r="M78" s="231"/>
      <c r="N78" s="231"/>
      <c r="O78" s="231"/>
      <c r="P78" s="231"/>
      <c r="Q78" s="231"/>
      <c r="R78" s="231"/>
      <c r="S78" s="231"/>
      <c r="T78" s="231"/>
      <c r="U78" s="231"/>
      <c r="V78" s="231"/>
      <c r="W78" s="231"/>
      <c r="X78" s="231"/>
      <c r="Y78" s="231"/>
      <c r="Z78" s="231"/>
      <c r="AA78" s="231"/>
      <c r="AB78" s="231"/>
      <c r="AC78" s="231"/>
      <c r="AD78" s="231"/>
      <c r="AE78" s="231"/>
      <c r="AF78" s="231"/>
      <c r="AG78" s="231"/>
      <c r="AH78" s="231"/>
      <c r="AI78" s="231"/>
    </row>
    <row r="79" spans="1:35" s="203" customFormat="1">
      <c r="A79" s="119" t="s">
        <v>93</v>
      </c>
      <c r="B79" s="116"/>
      <c r="C79" s="116"/>
      <c r="D79" s="116"/>
      <c r="E79" s="117"/>
      <c r="F79" s="118"/>
      <c r="G79" s="118"/>
      <c r="H79" s="118"/>
      <c r="I79" s="118"/>
      <c r="J79" s="231"/>
      <c r="K79" s="231"/>
      <c r="L79" s="231"/>
      <c r="M79" s="231"/>
      <c r="N79" s="231"/>
      <c r="O79" s="231"/>
      <c r="P79" s="231"/>
      <c r="Q79" s="231"/>
      <c r="R79" s="231"/>
      <c r="S79" s="231"/>
      <c r="T79" s="231"/>
      <c r="U79" s="231"/>
      <c r="V79" s="231"/>
      <c r="W79" s="231"/>
      <c r="X79" s="231"/>
      <c r="Y79" s="231"/>
      <c r="Z79" s="231"/>
      <c r="AA79" s="231"/>
      <c r="AB79" s="231"/>
      <c r="AC79" s="231"/>
      <c r="AD79" s="231"/>
      <c r="AE79" s="231"/>
      <c r="AF79" s="231"/>
      <c r="AG79" s="231"/>
      <c r="AH79" s="231"/>
      <c r="AI79" s="231"/>
    </row>
    <row r="80" spans="1:35" s="203" customFormat="1">
      <c r="A80" s="120">
        <v>7</v>
      </c>
      <c r="B80" s="47" t="s">
        <v>94</v>
      </c>
      <c r="C80" s="47"/>
      <c r="D80" s="47"/>
      <c r="E80" s="41">
        <v>334</v>
      </c>
      <c r="F80" s="253">
        <v>315</v>
      </c>
      <c r="G80" s="112">
        <v>283</v>
      </c>
      <c r="H80" s="248">
        <v>442</v>
      </c>
      <c r="I80" s="112">
        <v>429</v>
      </c>
      <c r="J80" s="231"/>
      <c r="K80" s="231"/>
      <c r="L80" s="231"/>
      <c r="M80" s="231"/>
      <c r="N80" s="231"/>
      <c r="O80" s="231"/>
      <c r="P80" s="231"/>
      <c r="Q80" s="231"/>
      <c r="R80" s="231"/>
      <c r="S80" s="231"/>
      <c r="T80" s="231"/>
      <c r="U80" s="231"/>
      <c r="V80" s="231"/>
      <c r="W80" s="231"/>
      <c r="X80" s="231"/>
      <c r="Y80" s="231"/>
      <c r="Z80" s="231"/>
      <c r="AA80" s="231"/>
      <c r="AB80" s="231"/>
      <c r="AC80" s="231"/>
      <c r="AD80" s="231"/>
      <c r="AE80" s="231"/>
      <c r="AF80" s="231"/>
      <c r="AG80" s="231"/>
      <c r="AH80" s="231"/>
      <c r="AI80" s="231"/>
    </row>
    <row r="81" spans="1:35" s="203" customFormat="1">
      <c r="A81" s="120">
        <v>8</v>
      </c>
      <c r="B81" s="47" t="s">
        <v>95</v>
      </c>
      <c r="C81" s="47"/>
      <c r="D81" s="47"/>
      <c r="E81" s="49">
        <v>7735</v>
      </c>
      <c r="F81" s="247">
        <v>7818</v>
      </c>
      <c r="G81" s="113">
        <v>7818</v>
      </c>
      <c r="H81" s="123">
        <v>8570</v>
      </c>
      <c r="I81" s="113">
        <v>8382</v>
      </c>
      <c r="J81" s="231"/>
      <c r="K81" s="231"/>
      <c r="L81" s="231"/>
      <c r="M81" s="231"/>
      <c r="N81" s="231"/>
      <c r="O81" s="231"/>
      <c r="P81" s="231"/>
      <c r="Q81" s="231"/>
      <c r="R81" s="231"/>
      <c r="S81" s="231"/>
      <c r="T81" s="231"/>
      <c r="U81" s="231"/>
      <c r="V81" s="231"/>
      <c r="W81" s="231"/>
      <c r="X81" s="231"/>
      <c r="Y81" s="231"/>
      <c r="Z81" s="231"/>
      <c r="AA81" s="231"/>
      <c r="AB81" s="231"/>
      <c r="AC81" s="231"/>
      <c r="AD81" s="231"/>
      <c r="AE81" s="231"/>
      <c r="AF81" s="231"/>
      <c r="AG81" s="231"/>
      <c r="AH81" s="231"/>
      <c r="AI81" s="231"/>
    </row>
    <row r="82" spans="1:35" s="203" customFormat="1">
      <c r="A82" s="120">
        <v>9</v>
      </c>
      <c r="B82" s="47" t="s">
        <v>96</v>
      </c>
      <c r="C82" s="47"/>
      <c r="D82" s="47"/>
      <c r="E82" s="49">
        <v>7992</v>
      </c>
      <c r="F82" s="247">
        <v>7850</v>
      </c>
      <c r="G82" s="113">
        <v>7850</v>
      </c>
      <c r="H82" s="123">
        <v>8314</v>
      </c>
      <c r="I82" s="113">
        <v>8295</v>
      </c>
      <c r="J82" s="231"/>
      <c r="K82" s="231"/>
      <c r="L82" s="231"/>
      <c r="M82" s="231"/>
      <c r="N82" s="231"/>
      <c r="O82" s="231"/>
      <c r="P82" s="231"/>
      <c r="Q82" s="231"/>
      <c r="R82" s="231"/>
      <c r="S82" s="231"/>
      <c r="T82" s="231"/>
      <c r="U82" s="231"/>
      <c r="V82" s="231"/>
      <c r="W82" s="231"/>
      <c r="X82" s="231"/>
      <c r="Y82" s="231"/>
      <c r="Z82" s="231"/>
      <c r="AA82" s="231"/>
      <c r="AB82" s="231"/>
      <c r="AC82" s="231"/>
      <c r="AD82" s="231"/>
      <c r="AE82" s="231"/>
      <c r="AF82" s="231"/>
      <c r="AG82" s="231"/>
      <c r="AH82" s="231"/>
      <c r="AI82" s="231"/>
    </row>
    <row r="83" spans="1:35" s="203" customFormat="1">
      <c r="A83" s="120">
        <v>10</v>
      </c>
      <c r="B83" s="90" t="s">
        <v>97</v>
      </c>
      <c r="C83" s="47"/>
      <c r="D83" s="47"/>
      <c r="E83" s="49">
        <v>5382</v>
      </c>
      <c r="F83" s="247">
        <v>5582</v>
      </c>
      <c r="G83" s="113">
        <v>0</v>
      </c>
      <c r="H83" s="123">
        <v>5917</v>
      </c>
      <c r="I83" s="113">
        <v>0</v>
      </c>
      <c r="J83" s="231"/>
      <c r="K83" s="231"/>
      <c r="L83" s="231"/>
      <c r="M83" s="231"/>
      <c r="N83" s="231"/>
      <c r="O83" s="231"/>
      <c r="P83" s="231"/>
      <c r="Q83" s="231"/>
      <c r="R83" s="231"/>
      <c r="S83" s="231"/>
      <c r="T83" s="231"/>
      <c r="U83" s="231"/>
      <c r="V83" s="231"/>
      <c r="W83" s="231"/>
      <c r="X83" s="231"/>
      <c r="Y83" s="231"/>
      <c r="Z83" s="231"/>
      <c r="AA83" s="231"/>
      <c r="AB83" s="231"/>
      <c r="AC83" s="231"/>
      <c r="AD83" s="231"/>
      <c r="AE83" s="231"/>
      <c r="AF83" s="231"/>
      <c r="AG83" s="231"/>
      <c r="AH83" s="231"/>
      <c r="AI83" s="231"/>
    </row>
    <row r="84" spans="1:35" s="203" customFormat="1">
      <c r="A84" s="120">
        <v>11</v>
      </c>
      <c r="B84" s="90" t="s">
        <v>98</v>
      </c>
      <c r="C84" s="47"/>
      <c r="D84" s="47"/>
      <c r="E84" s="49">
        <v>2611</v>
      </c>
      <c r="F84" s="247">
        <v>2787</v>
      </c>
      <c r="G84" s="113">
        <v>0</v>
      </c>
      <c r="H84" s="123">
        <v>2779</v>
      </c>
      <c r="I84" s="113">
        <v>0</v>
      </c>
      <c r="J84" s="231"/>
      <c r="K84" s="231"/>
      <c r="L84" s="231"/>
      <c r="M84" s="231"/>
      <c r="N84" s="231"/>
      <c r="O84" s="231"/>
      <c r="P84" s="231"/>
      <c r="Q84" s="231"/>
      <c r="R84" s="231"/>
      <c r="S84" s="231"/>
      <c r="T84" s="231"/>
      <c r="U84" s="231"/>
      <c r="V84" s="231"/>
      <c r="W84" s="231"/>
      <c r="X84" s="231"/>
      <c r="Y84" s="231"/>
      <c r="Z84" s="231"/>
      <c r="AA84" s="231"/>
      <c r="AB84" s="231"/>
      <c r="AC84" s="231"/>
      <c r="AD84" s="231"/>
      <c r="AE84" s="231"/>
      <c r="AF84" s="231"/>
      <c r="AG84" s="231"/>
      <c r="AH84" s="231"/>
      <c r="AI84" s="231"/>
    </row>
    <row r="85" spans="1:35" s="203" customFormat="1">
      <c r="A85" s="120">
        <v>12</v>
      </c>
      <c r="B85" s="47" t="s">
        <v>99</v>
      </c>
      <c r="C85" s="47"/>
      <c r="D85" s="47"/>
      <c r="E85" s="49">
        <v>1281</v>
      </c>
      <c r="F85" s="247">
        <v>1300</v>
      </c>
      <c r="G85" s="113">
        <v>-503</v>
      </c>
      <c r="H85" s="123">
        <v>1375</v>
      </c>
      <c r="I85" s="113">
        <v>-587</v>
      </c>
      <c r="J85" s="231"/>
      <c r="K85" s="231"/>
      <c r="L85" s="231"/>
      <c r="M85" s="231"/>
      <c r="N85" s="231"/>
      <c r="O85" s="231"/>
      <c r="P85" s="231"/>
      <c r="Q85" s="231"/>
      <c r="R85" s="231"/>
      <c r="S85" s="231"/>
      <c r="T85" s="231"/>
      <c r="U85" s="231"/>
      <c r="V85" s="231"/>
      <c r="W85" s="231"/>
      <c r="X85" s="231"/>
      <c r="Y85" s="231"/>
      <c r="Z85" s="231"/>
      <c r="AA85" s="231"/>
      <c r="AB85" s="231"/>
      <c r="AC85" s="231"/>
      <c r="AD85" s="231"/>
      <c r="AE85" s="231"/>
      <c r="AF85" s="231"/>
      <c r="AG85" s="231"/>
      <c r="AH85" s="231"/>
      <c r="AI85" s="231"/>
    </row>
    <row r="86" spans="1:35" s="203" customFormat="1">
      <c r="A86" s="120">
        <v>13</v>
      </c>
      <c r="B86" s="47" t="s">
        <v>100</v>
      </c>
      <c r="C86" s="47"/>
      <c r="D86" s="47"/>
      <c r="E86" s="49">
        <v>4527</v>
      </c>
      <c r="F86" s="247">
        <v>5239</v>
      </c>
      <c r="G86" s="113">
        <v>3250</v>
      </c>
      <c r="H86" s="123">
        <v>6104</v>
      </c>
      <c r="I86" s="113">
        <v>3959</v>
      </c>
      <c r="J86" s="231"/>
      <c r="K86" s="231"/>
      <c r="L86" s="231"/>
      <c r="M86" s="231"/>
      <c r="N86" s="231"/>
      <c r="O86" s="231"/>
      <c r="P86" s="231"/>
      <c r="Q86" s="231"/>
      <c r="R86" s="231"/>
      <c r="S86" s="231"/>
      <c r="T86" s="231"/>
      <c r="U86" s="231"/>
      <c r="V86" s="231"/>
      <c r="W86" s="231"/>
      <c r="X86" s="231"/>
      <c r="Y86" s="231"/>
      <c r="Z86" s="231"/>
      <c r="AA86" s="231"/>
      <c r="AB86" s="231"/>
      <c r="AC86" s="231"/>
      <c r="AD86" s="231"/>
      <c r="AE86" s="231"/>
      <c r="AF86" s="231"/>
      <c r="AG86" s="231"/>
      <c r="AH86" s="231"/>
      <c r="AI86" s="231"/>
    </row>
    <row r="87" spans="1:35" s="203" customFormat="1">
      <c r="A87" s="120">
        <v>14</v>
      </c>
      <c r="B87" s="47" t="s">
        <v>101</v>
      </c>
      <c r="C87" s="47"/>
      <c r="D87" s="47"/>
      <c r="E87" s="49">
        <v>790</v>
      </c>
      <c r="F87" s="247">
        <v>788</v>
      </c>
      <c r="G87" s="113">
        <v>0</v>
      </c>
      <c r="H87" s="123">
        <v>908</v>
      </c>
      <c r="I87" s="113">
        <v>0</v>
      </c>
      <c r="J87" s="231"/>
      <c r="K87" s="231"/>
      <c r="L87" s="231"/>
      <c r="M87" s="231"/>
      <c r="N87" s="231"/>
      <c r="O87" s="231"/>
      <c r="P87" s="231"/>
      <c r="Q87" s="231"/>
      <c r="R87" s="231"/>
      <c r="S87" s="231"/>
      <c r="T87" s="231"/>
      <c r="U87" s="231"/>
      <c r="V87" s="231"/>
      <c r="W87" s="231"/>
      <c r="X87" s="231"/>
      <c r="Y87" s="231"/>
      <c r="Z87" s="231"/>
      <c r="AA87" s="231"/>
      <c r="AB87" s="231"/>
      <c r="AC87" s="231"/>
      <c r="AD87" s="231"/>
      <c r="AE87" s="231"/>
      <c r="AF87" s="231"/>
      <c r="AG87" s="231"/>
      <c r="AH87" s="231"/>
      <c r="AI87" s="231"/>
    </row>
    <row r="88" spans="1:35" s="203" customFormat="1">
      <c r="A88" s="124">
        <v>15</v>
      </c>
      <c r="B88" s="125" t="s">
        <v>102</v>
      </c>
      <c r="C88" s="54"/>
      <c r="D88" s="54"/>
      <c r="E88" s="56">
        <v>136</v>
      </c>
      <c r="F88" s="254">
        <v>134</v>
      </c>
      <c r="G88" s="127">
        <v>0</v>
      </c>
      <c r="H88" s="255">
        <v>136</v>
      </c>
      <c r="I88" s="127">
        <v>0</v>
      </c>
      <c r="J88" s="231"/>
      <c r="K88" s="231"/>
      <c r="L88" s="231"/>
      <c r="M88" s="231"/>
      <c r="N88" s="231"/>
      <c r="O88" s="231"/>
      <c r="P88" s="231"/>
      <c r="Q88" s="231"/>
      <c r="R88" s="231"/>
      <c r="S88" s="231"/>
      <c r="T88" s="231"/>
      <c r="U88" s="231"/>
      <c r="V88" s="231"/>
      <c r="W88" s="231"/>
      <c r="X88" s="231"/>
      <c r="Y88" s="231"/>
      <c r="Z88" s="231"/>
      <c r="AA88" s="231"/>
      <c r="AB88" s="231"/>
      <c r="AC88" s="231"/>
      <c r="AD88" s="231"/>
      <c r="AE88" s="231"/>
      <c r="AF88" s="231"/>
      <c r="AG88" s="231"/>
      <c r="AH88" s="231"/>
      <c r="AI88" s="231"/>
    </row>
    <row r="89" spans="1:35" s="203" customFormat="1">
      <c r="A89" s="128"/>
      <c r="B89" s="129"/>
      <c r="C89" s="129"/>
      <c r="D89" s="129"/>
      <c r="E89" s="15"/>
      <c r="F89" s="130"/>
      <c r="G89" s="29"/>
      <c r="H89" s="207"/>
      <c r="I89" s="29"/>
      <c r="J89" s="231"/>
      <c r="K89" s="231"/>
      <c r="L89" s="231"/>
      <c r="M89" s="231"/>
      <c r="N89" s="231"/>
      <c r="O89" s="231"/>
      <c r="P89" s="231"/>
      <c r="Q89" s="231"/>
      <c r="R89" s="231"/>
      <c r="S89" s="231"/>
      <c r="T89" s="231"/>
      <c r="U89" s="231"/>
      <c r="V89" s="231"/>
      <c r="W89" s="231"/>
      <c r="X89" s="231"/>
      <c r="Y89" s="231"/>
      <c r="Z89" s="231"/>
      <c r="AA89" s="231"/>
      <c r="AB89" s="231"/>
      <c r="AC89" s="231"/>
      <c r="AD89" s="231"/>
      <c r="AE89" s="231"/>
      <c r="AF89" s="231"/>
      <c r="AG89" s="231"/>
      <c r="AH89" s="231"/>
      <c r="AI89" s="231"/>
    </row>
    <row r="90" spans="1:35" s="203" customFormat="1">
      <c r="A90" s="128"/>
      <c r="B90" s="129"/>
      <c r="C90" s="129"/>
      <c r="D90" s="129"/>
      <c r="E90" s="105"/>
      <c r="F90" s="130"/>
      <c r="G90" s="29"/>
      <c r="H90" s="131" t="s">
        <v>27</v>
      </c>
      <c r="I90" s="29"/>
      <c r="J90" s="231"/>
      <c r="K90" s="231"/>
      <c r="L90" s="231"/>
      <c r="M90" s="231"/>
      <c r="N90" s="231"/>
      <c r="O90" s="231"/>
      <c r="P90" s="231"/>
      <c r="Q90" s="231"/>
      <c r="R90" s="231"/>
      <c r="S90" s="231"/>
      <c r="T90" s="231"/>
      <c r="U90" s="231"/>
      <c r="V90" s="231"/>
      <c r="W90" s="231"/>
      <c r="X90" s="231"/>
      <c r="Y90" s="231"/>
      <c r="Z90" s="231"/>
      <c r="AA90" s="231"/>
      <c r="AB90" s="231"/>
      <c r="AC90" s="231"/>
      <c r="AD90" s="231"/>
      <c r="AE90" s="231"/>
      <c r="AF90" s="231"/>
      <c r="AG90" s="231"/>
      <c r="AH90" s="231"/>
      <c r="AI90" s="231"/>
    </row>
    <row r="91" spans="1:35" s="203" customFormat="1">
      <c r="A91" s="106" t="s">
        <v>17</v>
      </c>
      <c r="B91" s="107"/>
      <c r="C91" s="107"/>
      <c r="D91" s="107"/>
      <c r="E91" s="856" t="s">
        <v>421</v>
      </c>
      <c r="F91" s="856" t="s">
        <v>402</v>
      </c>
      <c r="G91" s="257"/>
      <c r="H91" s="856" t="s">
        <v>403</v>
      </c>
      <c r="I91" s="29"/>
      <c r="J91" s="231"/>
      <c r="K91" s="231"/>
      <c r="L91" s="231"/>
      <c r="M91" s="231"/>
      <c r="N91" s="231"/>
      <c r="O91" s="231"/>
      <c r="P91" s="231"/>
      <c r="Q91" s="231"/>
      <c r="R91" s="231"/>
      <c r="S91" s="231"/>
      <c r="T91" s="231"/>
      <c r="U91" s="231"/>
      <c r="V91" s="231"/>
      <c r="W91" s="231"/>
      <c r="X91" s="231"/>
      <c r="Y91" s="231"/>
      <c r="Z91" s="231"/>
      <c r="AA91" s="231"/>
      <c r="AB91" s="231"/>
      <c r="AC91" s="231"/>
      <c r="AD91" s="231"/>
      <c r="AE91" s="231"/>
      <c r="AF91" s="231"/>
      <c r="AG91" s="231"/>
      <c r="AH91" s="231"/>
      <c r="AI91" s="231"/>
    </row>
    <row r="92" spans="1:35" s="203" customFormat="1" ht="12.75" customHeight="1">
      <c r="A92" s="109"/>
      <c r="B92" s="132"/>
      <c r="C92" s="132"/>
      <c r="D92" s="132"/>
      <c r="E92" s="859"/>
      <c r="F92" s="859"/>
      <c r="G92" s="29"/>
      <c r="H92" s="859"/>
      <c r="I92" s="29"/>
      <c r="J92" s="231"/>
      <c r="K92" s="231"/>
      <c r="L92" s="231"/>
      <c r="M92" s="231"/>
      <c r="N92" s="231"/>
      <c r="O92" s="231"/>
      <c r="P92" s="231"/>
      <c r="Q92" s="231"/>
      <c r="R92" s="231"/>
      <c r="S92" s="231"/>
      <c r="T92" s="231"/>
      <c r="U92" s="231"/>
      <c r="V92" s="231"/>
      <c r="W92" s="231"/>
      <c r="X92" s="231"/>
      <c r="Y92" s="231"/>
      <c r="Z92" s="231"/>
      <c r="AA92" s="231"/>
      <c r="AB92" s="231"/>
      <c r="AC92" s="231"/>
      <c r="AD92" s="231"/>
      <c r="AE92" s="231"/>
      <c r="AF92" s="231"/>
      <c r="AG92" s="231"/>
      <c r="AH92" s="231"/>
      <c r="AI92" s="231"/>
    </row>
    <row r="93" spans="1:35" s="203" customFormat="1">
      <c r="A93" s="109" t="s">
        <v>103</v>
      </c>
      <c r="B93" s="132"/>
      <c r="C93" s="132"/>
      <c r="D93" s="132"/>
      <c r="E93" s="859"/>
      <c r="F93" s="859"/>
      <c r="G93" s="29"/>
      <c r="H93" s="859"/>
      <c r="I93" s="29"/>
      <c r="J93" s="231"/>
      <c r="K93" s="231"/>
      <c r="L93" s="231"/>
      <c r="M93" s="231"/>
      <c r="N93" s="231"/>
      <c r="O93" s="231"/>
      <c r="P93" s="231"/>
      <c r="Q93" s="231"/>
      <c r="R93" s="231"/>
      <c r="S93" s="231"/>
      <c r="T93" s="231"/>
      <c r="U93" s="231"/>
      <c r="V93" s="231"/>
      <c r="W93" s="231"/>
      <c r="X93" s="231"/>
      <c r="Y93" s="231"/>
      <c r="Z93" s="231"/>
      <c r="AA93" s="231"/>
      <c r="AB93" s="231"/>
      <c r="AC93" s="231"/>
      <c r="AD93" s="231"/>
      <c r="AE93" s="231"/>
      <c r="AF93" s="231"/>
      <c r="AG93" s="231"/>
      <c r="AH93" s="231"/>
      <c r="AI93" s="231"/>
    </row>
    <row r="94" spans="1:35" s="203" customFormat="1">
      <c r="A94" s="109" t="s">
        <v>83</v>
      </c>
      <c r="B94" s="132"/>
      <c r="C94" s="132"/>
      <c r="D94" s="132"/>
      <c r="E94" s="859"/>
      <c r="F94" s="859"/>
      <c r="G94" s="130"/>
      <c r="H94" s="859"/>
      <c r="I94" s="29"/>
      <c r="J94" s="231"/>
      <c r="K94" s="231"/>
      <c r="L94" s="231"/>
      <c r="M94" s="231"/>
      <c r="N94" s="231"/>
      <c r="O94" s="231"/>
      <c r="P94" s="231"/>
      <c r="Q94" s="231"/>
      <c r="R94" s="231"/>
      <c r="S94" s="231"/>
      <c r="T94" s="231"/>
      <c r="U94" s="231"/>
      <c r="V94" s="231"/>
      <c r="W94" s="231"/>
      <c r="X94" s="231"/>
      <c r="Y94" s="231"/>
      <c r="Z94" s="231"/>
      <c r="AA94" s="231"/>
      <c r="AB94" s="231"/>
      <c r="AC94" s="231"/>
      <c r="AD94" s="231"/>
      <c r="AE94" s="231"/>
      <c r="AF94" s="231"/>
      <c r="AG94" s="231"/>
      <c r="AH94" s="231"/>
      <c r="AI94" s="231"/>
    </row>
    <row r="95" spans="1:35" s="203" customFormat="1">
      <c r="A95" s="110" t="s">
        <v>84</v>
      </c>
      <c r="B95" s="132"/>
      <c r="C95" s="132"/>
      <c r="D95" s="132"/>
      <c r="E95" s="860"/>
      <c r="F95" s="860"/>
      <c r="G95" s="130"/>
      <c r="H95" s="860"/>
      <c r="I95" s="130"/>
      <c r="J95" s="231"/>
      <c r="K95" s="231"/>
      <c r="L95" s="231"/>
      <c r="M95" s="231"/>
      <c r="N95" s="231"/>
      <c r="O95" s="231"/>
      <c r="P95" s="231"/>
      <c r="Q95" s="231"/>
      <c r="R95" s="231"/>
      <c r="S95" s="231"/>
      <c r="T95" s="231"/>
      <c r="U95" s="231"/>
      <c r="V95" s="231"/>
      <c r="W95" s="231"/>
      <c r="X95" s="231"/>
      <c r="Y95" s="231"/>
      <c r="Z95" s="231"/>
      <c r="AA95" s="231"/>
      <c r="AB95" s="231"/>
      <c r="AC95" s="231"/>
      <c r="AD95" s="231"/>
      <c r="AE95" s="231"/>
      <c r="AF95" s="231"/>
      <c r="AG95" s="231"/>
      <c r="AH95" s="231"/>
      <c r="AI95" s="231"/>
    </row>
    <row r="96" spans="1:35" s="203" customFormat="1">
      <c r="A96" s="120">
        <v>1</v>
      </c>
      <c r="B96" s="47" t="s">
        <v>104</v>
      </c>
      <c r="C96" s="47"/>
      <c r="D96" s="47"/>
      <c r="E96" s="41">
        <v>260</v>
      </c>
      <c r="F96" s="52">
        <v>278</v>
      </c>
      <c r="G96" s="118"/>
      <c r="H96" s="133">
        <v>253</v>
      </c>
      <c r="I96" s="139"/>
      <c r="J96" s="231"/>
      <c r="K96" s="231"/>
      <c r="L96" s="231"/>
      <c r="M96" s="231"/>
      <c r="N96" s="231"/>
      <c r="O96" s="231"/>
      <c r="P96" s="231"/>
      <c r="Q96" s="231"/>
      <c r="R96" s="231"/>
      <c r="S96" s="231"/>
      <c r="T96" s="231"/>
      <c r="U96" s="231"/>
      <c r="V96" s="231"/>
      <c r="W96" s="231"/>
      <c r="X96" s="231"/>
      <c r="Y96" s="231"/>
      <c r="Z96" s="231"/>
      <c r="AA96" s="231"/>
      <c r="AB96" s="231"/>
      <c r="AC96" s="231"/>
      <c r="AD96" s="231"/>
      <c r="AE96" s="231"/>
      <c r="AF96" s="231"/>
      <c r="AG96" s="231"/>
      <c r="AH96" s="231"/>
      <c r="AI96" s="231"/>
    </row>
    <row r="97" spans="1:35" s="203" customFormat="1">
      <c r="A97" s="120">
        <v>2</v>
      </c>
      <c r="B97" s="47" t="s">
        <v>105</v>
      </c>
      <c r="C97" s="47"/>
      <c r="D97" s="47"/>
      <c r="E97" s="49">
        <v>1</v>
      </c>
      <c r="F97" s="52">
        <v>1</v>
      </c>
      <c r="G97" s="118"/>
      <c r="H97" s="122">
        <v>1</v>
      </c>
      <c r="I97" s="139"/>
      <c r="J97" s="231"/>
      <c r="K97" s="231"/>
      <c r="L97" s="231"/>
      <c r="M97" s="231"/>
      <c r="N97" s="231"/>
      <c r="O97" s="231"/>
      <c r="P97" s="231"/>
      <c r="Q97" s="231"/>
      <c r="R97" s="231"/>
      <c r="S97" s="231"/>
      <c r="T97" s="231"/>
      <c r="U97" s="231"/>
      <c r="V97" s="231"/>
      <c r="W97" s="231"/>
      <c r="X97" s="231"/>
      <c r="Y97" s="231"/>
      <c r="Z97" s="231"/>
      <c r="AA97" s="231"/>
      <c r="AB97" s="231"/>
      <c r="AC97" s="231"/>
      <c r="AD97" s="231"/>
      <c r="AE97" s="231"/>
      <c r="AF97" s="231"/>
      <c r="AG97" s="231"/>
      <c r="AH97" s="231"/>
      <c r="AI97" s="231"/>
    </row>
    <row r="98" spans="1:35" s="203" customFormat="1">
      <c r="A98" s="120">
        <v>3</v>
      </c>
      <c r="B98" s="47" t="s">
        <v>106</v>
      </c>
      <c r="C98" s="47"/>
      <c r="D98" s="47"/>
      <c r="E98" s="114">
        <v>6011</v>
      </c>
      <c r="F98" s="50">
        <f>F115</f>
        <v>7098</v>
      </c>
      <c r="G98" s="118"/>
      <c r="H98" s="50">
        <f>H115</f>
        <v>6904</v>
      </c>
      <c r="I98" s="139"/>
      <c r="J98" s="231"/>
      <c r="K98" s="231"/>
      <c r="L98" s="231"/>
      <c r="M98" s="231"/>
      <c r="N98" s="231"/>
      <c r="O98" s="231"/>
      <c r="P98" s="231"/>
      <c r="Q98" s="231"/>
      <c r="R98" s="231"/>
      <c r="S98" s="231"/>
      <c r="T98" s="231"/>
      <c r="U98" s="231"/>
      <c r="V98" s="231"/>
      <c r="W98" s="231"/>
      <c r="X98" s="231"/>
      <c r="Y98" s="231"/>
      <c r="Z98" s="231"/>
      <c r="AA98" s="231"/>
      <c r="AB98" s="231"/>
      <c r="AC98" s="231"/>
      <c r="AD98" s="231"/>
      <c r="AE98" s="231"/>
      <c r="AF98" s="231"/>
      <c r="AG98" s="231"/>
      <c r="AH98" s="231"/>
      <c r="AI98" s="231"/>
    </row>
    <row r="99" spans="1:35" s="203" customFormat="1">
      <c r="A99" s="120">
        <v>4</v>
      </c>
      <c r="B99" s="47" t="s">
        <v>107</v>
      </c>
      <c r="C99" s="47"/>
      <c r="D99" s="47"/>
      <c r="E99" s="114">
        <v>12432</v>
      </c>
      <c r="F99" s="50">
        <f>F125</f>
        <v>12809</v>
      </c>
      <c r="G99" s="118"/>
      <c r="H99" s="50">
        <f>H125</f>
        <v>13277</v>
      </c>
      <c r="I99" s="139"/>
      <c r="J99" s="231"/>
      <c r="K99" s="231"/>
      <c r="L99" s="231"/>
      <c r="M99" s="231"/>
      <c r="N99" s="231"/>
      <c r="O99" s="231"/>
      <c r="P99" s="231"/>
      <c r="Q99" s="231"/>
      <c r="R99" s="231"/>
      <c r="S99" s="231"/>
      <c r="T99" s="231"/>
      <c r="U99" s="231"/>
      <c r="V99" s="231"/>
      <c r="W99" s="231"/>
      <c r="X99" s="231"/>
      <c r="Y99" s="231"/>
      <c r="Z99" s="231"/>
      <c r="AA99" s="231"/>
      <c r="AB99" s="231"/>
      <c r="AC99" s="231"/>
      <c r="AD99" s="231"/>
      <c r="AE99" s="231"/>
      <c r="AF99" s="231"/>
      <c r="AG99" s="231"/>
      <c r="AH99" s="231"/>
      <c r="AI99" s="231"/>
    </row>
    <row r="100" spans="1:35" s="203" customFormat="1">
      <c r="A100" s="120">
        <v>5</v>
      </c>
      <c r="B100" s="47" t="s">
        <v>108</v>
      </c>
      <c r="C100" s="47"/>
      <c r="D100" s="47"/>
      <c r="E100" s="114">
        <v>2003</v>
      </c>
      <c r="F100" s="50">
        <f>F135</f>
        <v>2165</v>
      </c>
      <c r="G100" s="118"/>
      <c r="H100" s="50">
        <f>H135</f>
        <v>2184</v>
      </c>
      <c r="I100" s="139"/>
      <c r="J100" s="231"/>
      <c r="K100" s="231"/>
      <c r="L100" s="231"/>
      <c r="M100" s="231"/>
      <c r="N100" s="231"/>
      <c r="O100" s="231"/>
      <c r="P100" s="231"/>
      <c r="Q100" s="231"/>
      <c r="R100" s="231"/>
      <c r="S100" s="231"/>
      <c r="T100" s="231"/>
      <c r="U100" s="231"/>
      <c r="V100" s="231"/>
      <c r="W100" s="231"/>
      <c r="X100" s="231"/>
      <c r="Y100" s="231"/>
      <c r="Z100" s="231"/>
      <c r="AA100" s="231"/>
      <c r="AB100" s="231"/>
      <c r="AC100" s="231"/>
      <c r="AD100" s="231"/>
      <c r="AE100" s="231"/>
      <c r="AF100" s="231"/>
      <c r="AG100" s="231"/>
      <c r="AH100" s="231"/>
      <c r="AI100" s="231"/>
    </row>
    <row r="101" spans="1:35" s="203" customFormat="1">
      <c r="A101" s="120">
        <v>6</v>
      </c>
      <c r="B101" s="47" t="s">
        <v>109</v>
      </c>
      <c r="C101" s="47"/>
      <c r="D101" s="47"/>
      <c r="E101" s="114">
        <v>5863</v>
      </c>
      <c r="F101" s="50">
        <f>F143</f>
        <v>6084</v>
      </c>
      <c r="G101" s="118"/>
      <c r="H101" s="50">
        <f>H143</f>
        <v>6288</v>
      </c>
      <c r="I101" s="139"/>
      <c r="J101" s="231"/>
      <c r="K101" s="231"/>
      <c r="L101" s="231"/>
      <c r="M101" s="231"/>
      <c r="N101" s="231"/>
      <c r="O101" s="231"/>
      <c r="P101" s="231"/>
      <c r="Q101" s="231"/>
      <c r="R101" s="231"/>
      <c r="S101" s="231"/>
      <c r="T101" s="231"/>
      <c r="U101" s="231"/>
      <c r="V101" s="231"/>
      <c r="W101" s="231"/>
      <c r="X101" s="231"/>
      <c r="Y101" s="231"/>
      <c r="Z101" s="231"/>
      <c r="AA101" s="231"/>
      <c r="AB101" s="231"/>
      <c r="AC101" s="231"/>
      <c r="AD101" s="231"/>
      <c r="AE101" s="231"/>
      <c r="AF101" s="231"/>
      <c r="AG101" s="231"/>
      <c r="AH101" s="231"/>
      <c r="AI101" s="231"/>
    </row>
    <row r="102" spans="1:35" s="203" customFormat="1">
      <c r="A102" s="120">
        <v>7</v>
      </c>
      <c r="B102" s="47" t="s">
        <v>110</v>
      </c>
      <c r="C102" s="47"/>
      <c r="D102" s="47"/>
      <c r="E102" s="114">
        <v>2003</v>
      </c>
      <c r="F102" s="50">
        <f>F150</f>
        <v>2211</v>
      </c>
      <c r="G102" s="118"/>
      <c r="H102" s="50">
        <f>H150</f>
        <v>2323</v>
      </c>
      <c r="I102" s="139"/>
      <c r="J102" s="231"/>
      <c r="K102" s="231"/>
      <c r="L102" s="231"/>
      <c r="M102" s="231"/>
      <c r="N102" s="231"/>
      <c r="O102" s="231"/>
      <c r="P102" s="231"/>
      <c r="Q102" s="231"/>
      <c r="R102" s="231"/>
      <c r="S102" s="231"/>
      <c r="T102" s="231"/>
      <c r="U102" s="231"/>
      <c r="V102" s="231"/>
      <c r="W102" s="231"/>
      <c r="X102" s="231"/>
      <c r="Y102" s="231"/>
      <c r="Z102" s="231"/>
      <c r="AA102" s="231"/>
      <c r="AB102" s="231"/>
      <c r="AC102" s="231"/>
      <c r="AD102" s="231"/>
      <c r="AE102" s="231"/>
      <c r="AF102" s="231"/>
      <c r="AG102" s="231"/>
      <c r="AH102" s="231"/>
      <c r="AI102" s="231"/>
    </row>
    <row r="103" spans="1:35" s="203" customFormat="1">
      <c r="A103" s="120">
        <v>8</v>
      </c>
      <c r="B103" s="47" t="s">
        <v>111</v>
      </c>
      <c r="C103" s="47"/>
      <c r="D103" s="47"/>
      <c r="E103" s="114">
        <v>447</v>
      </c>
      <c r="F103" s="52">
        <v>621</v>
      </c>
      <c r="G103" s="118"/>
      <c r="H103" s="122">
        <v>443</v>
      </c>
      <c r="I103" s="139"/>
      <c r="J103" s="231"/>
      <c r="K103" s="231"/>
      <c r="L103" s="231"/>
      <c r="M103" s="231"/>
      <c r="N103" s="231"/>
      <c r="O103" s="231"/>
      <c r="P103" s="231"/>
      <c r="Q103" s="231"/>
      <c r="R103" s="231"/>
      <c r="S103" s="231"/>
      <c r="T103" s="231"/>
      <c r="U103" s="231"/>
      <c r="V103" s="231"/>
      <c r="W103" s="231"/>
      <c r="X103" s="231"/>
      <c r="Y103" s="231"/>
      <c r="Z103" s="231"/>
      <c r="AA103" s="231"/>
      <c r="AB103" s="231"/>
      <c r="AC103" s="231"/>
      <c r="AD103" s="231"/>
      <c r="AE103" s="231"/>
      <c r="AF103" s="231"/>
      <c r="AG103" s="231"/>
      <c r="AH103" s="231"/>
      <c r="AI103" s="231"/>
    </row>
    <row r="104" spans="1:35" s="203" customFormat="1">
      <c r="A104" s="120">
        <v>9</v>
      </c>
      <c r="B104" s="47" t="s">
        <v>112</v>
      </c>
      <c r="C104" s="47"/>
      <c r="D104" s="47"/>
      <c r="E104" s="114">
        <v>407</v>
      </c>
      <c r="F104" s="52">
        <v>456</v>
      </c>
      <c r="G104" s="118"/>
      <c r="H104" s="122">
        <v>433</v>
      </c>
      <c r="I104" s="139"/>
      <c r="J104" s="231"/>
      <c r="K104" s="231"/>
      <c r="L104" s="231"/>
      <c r="M104" s="231"/>
      <c r="N104" s="231"/>
      <c r="O104" s="231"/>
      <c r="P104" s="231"/>
      <c r="Q104" s="231"/>
      <c r="R104" s="231"/>
      <c r="S104" s="231"/>
      <c r="T104" s="231"/>
      <c r="U104" s="231"/>
      <c r="V104" s="231"/>
      <c r="W104" s="231"/>
      <c r="X104" s="231"/>
      <c r="Y104" s="231"/>
      <c r="Z104" s="231"/>
      <c r="AA104" s="231"/>
      <c r="AB104" s="231"/>
      <c r="AC104" s="231"/>
      <c r="AD104" s="231"/>
      <c r="AE104" s="231"/>
      <c r="AF104" s="231"/>
      <c r="AG104" s="231"/>
      <c r="AH104" s="231"/>
      <c r="AI104" s="231"/>
    </row>
    <row r="105" spans="1:35" s="203" customFormat="1">
      <c r="A105" s="111" t="s">
        <v>113</v>
      </c>
      <c r="B105" s="116" t="s">
        <v>114</v>
      </c>
      <c r="C105" s="116"/>
      <c r="D105" s="47"/>
      <c r="E105" s="134">
        <v>29427</v>
      </c>
      <c r="F105" s="61">
        <f>SUM(F96:F104)</f>
        <v>31723</v>
      </c>
      <c r="G105" s="118"/>
      <c r="H105" s="61">
        <f>SUM(H96:H104)</f>
        <v>32106</v>
      </c>
      <c r="I105" s="139"/>
      <c r="J105" s="231"/>
      <c r="K105" s="231"/>
      <c r="L105" s="231"/>
      <c r="M105" s="231"/>
      <c r="N105" s="231"/>
      <c r="O105" s="231"/>
      <c r="P105" s="231"/>
      <c r="Q105" s="231"/>
      <c r="R105" s="231"/>
      <c r="S105" s="231"/>
      <c r="T105" s="231"/>
      <c r="U105" s="231"/>
      <c r="V105" s="231"/>
      <c r="W105" s="231"/>
      <c r="X105" s="231"/>
      <c r="Y105" s="231"/>
      <c r="Z105" s="231"/>
      <c r="AA105" s="231"/>
      <c r="AB105" s="231"/>
      <c r="AC105" s="231"/>
      <c r="AD105" s="231"/>
      <c r="AE105" s="231"/>
      <c r="AF105" s="231"/>
      <c r="AG105" s="231"/>
      <c r="AH105" s="231"/>
      <c r="AI105" s="231"/>
    </row>
    <row r="106" spans="1:35" s="203" customFormat="1">
      <c r="A106" s="120">
        <v>11</v>
      </c>
      <c r="B106" s="90" t="s">
        <v>115</v>
      </c>
      <c r="C106" s="47"/>
      <c r="D106" s="47"/>
      <c r="E106" s="135">
        <v>31</v>
      </c>
      <c r="F106" s="136">
        <v>79</v>
      </c>
      <c r="G106" s="118"/>
      <c r="H106" s="137">
        <v>32</v>
      </c>
      <c r="I106" s="139"/>
      <c r="J106" s="231"/>
      <c r="K106" s="231"/>
      <c r="L106" s="231"/>
      <c r="M106" s="231"/>
      <c r="N106" s="231"/>
      <c r="O106" s="231"/>
      <c r="P106" s="231"/>
      <c r="Q106" s="231"/>
      <c r="R106" s="231"/>
      <c r="S106" s="231"/>
      <c r="T106" s="231"/>
      <c r="U106" s="231"/>
      <c r="V106" s="231"/>
      <c r="W106" s="231"/>
      <c r="X106" s="231"/>
      <c r="Y106" s="231"/>
      <c r="Z106" s="231"/>
      <c r="AA106" s="231"/>
      <c r="AB106" s="231"/>
      <c r="AC106" s="231"/>
      <c r="AD106" s="231"/>
      <c r="AE106" s="231"/>
      <c r="AF106" s="231"/>
      <c r="AG106" s="231"/>
      <c r="AH106" s="231"/>
      <c r="AI106" s="231"/>
    </row>
    <row r="107" spans="1:35" s="203" customFormat="1">
      <c r="A107" s="111"/>
      <c r="B107" s="47"/>
      <c r="C107" s="47"/>
      <c r="D107" s="138"/>
      <c r="E107" s="117"/>
      <c r="F107" s="139"/>
      <c r="G107" s="118"/>
      <c r="H107" s="139"/>
      <c r="I107" s="139"/>
      <c r="J107" s="231"/>
      <c r="K107" s="231"/>
      <c r="L107" s="231"/>
      <c r="M107" s="231"/>
      <c r="N107" s="231"/>
      <c r="O107" s="231"/>
      <c r="P107" s="231"/>
      <c r="Q107" s="231"/>
      <c r="R107" s="231"/>
      <c r="S107" s="231"/>
      <c r="T107" s="231"/>
      <c r="U107" s="231"/>
      <c r="V107" s="231"/>
      <c r="W107" s="231"/>
      <c r="X107" s="231"/>
      <c r="Y107" s="231"/>
      <c r="Z107" s="231"/>
      <c r="AA107" s="231"/>
      <c r="AB107" s="231"/>
      <c r="AC107" s="231"/>
      <c r="AD107" s="231"/>
      <c r="AE107" s="231"/>
      <c r="AF107" s="231"/>
      <c r="AG107" s="231"/>
      <c r="AH107" s="231"/>
      <c r="AI107" s="231"/>
    </row>
    <row r="108" spans="1:35" s="203" customFormat="1">
      <c r="A108" s="119" t="s">
        <v>116</v>
      </c>
      <c r="B108" s="47"/>
      <c r="C108" s="47"/>
      <c r="D108" s="47"/>
      <c r="E108" s="117"/>
      <c r="F108" s="139"/>
      <c r="G108" s="118"/>
      <c r="H108" s="139"/>
      <c r="I108" s="139"/>
      <c r="J108" s="231"/>
      <c r="K108" s="231"/>
      <c r="L108" s="231"/>
      <c r="M108" s="231"/>
      <c r="N108" s="231"/>
      <c r="O108" s="231"/>
      <c r="P108" s="231"/>
      <c r="Q108" s="231"/>
      <c r="R108" s="231"/>
      <c r="S108" s="231"/>
      <c r="T108" s="231"/>
      <c r="U108" s="231"/>
      <c r="V108" s="231"/>
      <c r="W108" s="231"/>
      <c r="X108" s="231"/>
      <c r="Y108" s="231"/>
      <c r="Z108" s="231"/>
      <c r="AA108" s="231"/>
      <c r="AB108" s="231"/>
      <c r="AC108" s="231"/>
      <c r="AD108" s="231"/>
      <c r="AE108" s="231"/>
      <c r="AF108" s="231"/>
      <c r="AG108" s="231"/>
      <c r="AH108" s="231"/>
      <c r="AI108" s="231"/>
    </row>
    <row r="109" spans="1:35" s="203" customFormat="1">
      <c r="A109" s="119" t="s">
        <v>106</v>
      </c>
      <c r="B109" s="47"/>
      <c r="C109" s="47"/>
      <c r="D109" s="47"/>
      <c r="E109" s="140"/>
      <c r="F109" s="141"/>
      <c r="G109" s="118"/>
      <c r="H109" s="141"/>
      <c r="I109" s="139"/>
      <c r="J109" s="231"/>
      <c r="K109" s="231"/>
      <c r="L109" s="231"/>
      <c r="M109" s="231"/>
      <c r="N109" s="231"/>
      <c r="O109" s="231"/>
      <c r="P109" s="231"/>
      <c r="Q109" s="231"/>
      <c r="R109" s="231"/>
      <c r="S109" s="231"/>
      <c r="T109" s="231"/>
      <c r="U109" s="231"/>
      <c r="V109" s="231"/>
      <c r="W109" s="231"/>
      <c r="X109" s="231"/>
      <c r="Y109" s="231"/>
      <c r="Z109" s="231"/>
      <c r="AA109" s="231"/>
      <c r="AB109" s="231"/>
      <c r="AC109" s="231"/>
      <c r="AD109" s="231"/>
      <c r="AE109" s="231"/>
      <c r="AF109" s="231"/>
      <c r="AG109" s="231"/>
      <c r="AH109" s="231"/>
      <c r="AI109" s="231"/>
    </row>
    <row r="110" spans="1:35" s="203" customFormat="1">
      <c r="A110" s="120">
        <v>12</v>
      </c>
      <c r="B110" s="47" t="s">
        <v>117</v>
      </c>
      <c r="C110" s="47"/>
      <c r="D110" s="47"/>
      <c r="E110" s="49">
        <v>1908</v>
      </c>
      <c r="F110" s="52">
        <v>2192</v>
      </c>
      <c r="G110" s="118"/>
      <c r="H110" s="122">
        <v>1947</v>
      </c>
      <c r="I110" s="139"/>
      <c r="J110" s="231"/>
      <c r="K110" s="231"/>
      <c r="L110" s="231"/>
      <c r="M110" s="231"/>
      <c r="N110" s="231"/>
      <c r="O110" s="231"/>
      <c r="P110" s="231"/>
      <c r="Q110" s="231"/>
      <c r="R110" s="231"/>
      <c r="S110" s="231"/>
      <c r="T110" s="231"/>
      <c r="U110" s="231"/>
      <c r="V110" s="231"/>
      <c r="W110" s="231"/>
      <c r="X110" s="231"/>
      <c r="Y110" s="231"/>
      <c r="Z110" s="231"/>
      <c r="AA110" s="231"/>
      <c r="AB110" s="231"/>
      <c r="AC110" s="231"/>
      <c r="AD110" s="231"/>
      <c r="AE110" s="231"/>
      <c r="AF110" s="231"/>
      <c r="AG110" s="231"/>
      <c r="AH110" s="231"/>
      <c r="AI110" s="231"/>
    </row>
    <row r="111" spans="1:35" s="203" customFormat="1">
      <c r="A111" s="120">
        <v>13</v>
      </c>
      <c r="B111" s="47" t="s">
        <v>118</v>
      </c>
      <c r="C111" s="47"/>
      <c r="D111" s="47"/>
      <c r="E111" s="49">
        <v>576</v>
      </c>
      <c r="F111" s="52">
        <v>538</v>
      </c>
      <c r="G111" s="118"/>
      <c r="H111" s="122">
        <v>525</v>
      </c>
      <c r="I111" s="139"/>
      <c r="J111" s="231"/>
      <c r="K111" s="231"/>
      <c r="L111" s="231"/>
      <c r="M111" s="231"/>
      <c r="N111" s="231"/>
      <c r="O111" s="231"/>
      <c r="P111" s="231"/>
      <c r="Q111" s="231"/>
      <c r="R111" s="231"/>
      <c r="S111" s="231"/>
      <c r="T111" s="231"/>
      <c r="U111" s="231"/>
      <c r="V111" s="231"/>
      <c r="W111" s="231"/>
      <c r="X111" s="231"/>
      <c r="Y111" s="231"/>
      <c r="Z111" s="231"/>
      <c r="AA111" s="231"/>
      <c r="AB111" s="231"/>
      <c r="AC111" s="231"/>
      <c r="AD111" s="231"/>
      <c r="AE111" s="231"/>
      <c r="AF111" s="231"/>
      <c r="AG111" s="231"/>
      <c r="AH111" s="231"/>
      <c r="AI111" s="231"/>
    </row>
    <row r="112" spans="1:35" s="203" customFormat="1">
      <c r="A112" s="120">
        <v>14</v>
      </c>
      <c r="B112" s="47" t="s">
        <v>119</v>
      </c>
      <c r="C112" s="47"/>
      <c r="D112" s="47"/>
      <c r="E112" s="49">
        <v>2358</v>
      </c>
      <c r="F112" s="52">
        <v>2872</v>
      </c>
      <c r="G112" s="118"/>
      <c r="H112" s="122">
        <v>2919</v>
      </c>
      <c r="I112" s="139"/>
      <c r="J112" s="231"/>
      <c r="K112" s="231"/>
      <c r="L112" s="231"/>
      <c r="M112" s="231"/>
      <c r="N112" s="231"/>
      <c r="O112" s="231"/>
      <c r="P112" s="231"/>
      <c r="Q112" s="231"/>
      <c r="R112" s="231"/>
      <c r="S112" s="231"/>
      <c r="T112" s="231"/>
      <c r="U112" s="231"/>
      <c r="V112" s="231"/>
      <c r="W112" s="231"/>
      <c r="X112" s="231"/>
      <c r="Y112" s="231"/>
      <c r="Z112" s="231"/>
      <c r="AA112" s="231"/>
      <c r="AB112" s="231"/>
      <c r="AC112" s="231"/>
      <c r="AD112" s="231"/>
      <c r="AE112" s="231"/>
      <c r="AF112" s="231"/>
      <c r="AG112" s="231"/>
      <c r="AH112" s="231"/>
      <c r="AI112" s="231"/>
    </row>
    <row r="113" spans="1:35" s="203" customFormat="1">
      <c r="A113" s="120">
        <v>15</v>
      </c>
      <c r="B113" s="47" t="s">
        <v>120</v>
      </c>
      <c r="C113" s="47"/>
      <c r="D113" s="47"/>
      <c r="E113" s="49">
        <v>292</v>
      </c>
      <c r="F113" s="52">
        <v>283</v>
      </c>
      <c r="G113" s="118"/>
      <c r="H113" s="122">
        <v>314</v>
      </c>
      <c r="I113" s="139"/>
      <c r="J113" s="231"/>
      <c r="K113" s="231"/>
      <c r="L113" s="231"/>
      <c r="M113" s="231"/>
      <c r="N113" s="231"/>
      <c r="O113" s="231"/>
      <c r="P113" s="231"/>
      <c r="Q113" s="231"/>
      <c r="R113" s="231"/>
      <c r="S113" s="231"/>
      <c r="T113" s="231"/>
      <c r="U113" s="231"/>
      <c r="V113" s="231"/>
      <c r="W113" s="231"/>
      <c r="X113" s="231"/>
      <c r="Y113" s="231"/>
      <c r="Z113" s="231"/>
      <c r="AA113" s="231"/>
      <c r="AB113" s="231"/>
      <c r="AC113" s="231"/>
      <c r="AD113" s="231"/>
      <c r="AE113" s="231"/>
      <c r="AF113" s="231"/>
      <c r="AG113" s="231"/>
      <c r="AH113" s="231"/>
      <c r="AI113" s="231"/>
    </row>
    <row r="114" spans="1:35" s="203" customFormat="1">
      <c r="A114" s="120">
        <v>16</v>
      </c>
      <c r="B114" s="47" t="s">
        <v>121</v>
      </c>
      <c r="C114" s="47"/>
      <c r="D114" s="47"/>
      <c r="E114" s="49">
        <v>877</v>
      </c>
      <c r="F114" s="52">
        <v>1213</v>
      </c>
      <c r="G114" s="118"/>
      <c r="H114" s="100">
        <v>1199</v>
      </c>
      <c r="I114" s="139"/>
      <c r="J114" s="231"/>
      <c r="K114" s="231"/>
      <c r="L114" s="231"/>
      <c r="M114" s="231"/>
      <c r="N114" s="231"/>
      <c r="O114" s="231"/>
      <c r="P114" s="231"/>
      <c r="Q114" s="231"/>
      <c r="R114" s="231"/>
      <c r="S114" s="231"/>
      <c r="T114" s="231"/>
      <c r="U114" s="231"/>
      <c r="V114" s="231"/>
      <c r="W114" s="231"/>
      <c r="X114" s="231"/>
      <c r="Y114" s="231"/>
      <c r="Z114" s="231"/>
      <c r="AA114" s="231"/>
      <c r="AB114" s="231"/>
      <c r="AC114" s="231"/>
      <c r="AD114" s="231"/>
      <c r="AE114" s="231"/>
      <c r="AF114" s="231"/>
      <c r="AG114" s="231"/>
      <c r="AH114" s="231"/>
      <c r="AI114" s="231"/>
    </row>
    <row r="115" spans="1:35" s="203" customFormat="1">
      <c r="A115" s="120">
        <v>17</v>
      </c>
      <c r="B115" s="116" t="s">
        <v>122</v>
      </c>
      <c r="C115" s="116"/>
      <c r="D115" s="116"/>
      <c r="E115" s="80">
        <v>6011</v>
      </c>
      <c r="F115" s="142">
        <f>SUM(F110:F114)</f>
        <v>7098</v>
      </c>
      <c r="G115" s="118"/>
      <c r="H115" s="142">
        <f>SUM(H110:H114)</f>
        <v>6904</v>
      </c>
      <c r="I115" s="139"/>
      <c r="J115" s="231"/>
      <c r="K115" s="231"/>
      <c r="L115" s="231"/>
      <c r="M115" s="231"/>
      <c r="N115" s="231"/>
      <c r="O115" s="231"/>
      <c r="P115" s="231"/>
      <c r="Q115" s="231"/>
      <c r="R115" s="231"/>
      <c r="S115" s="231"/>
      <c r="T115" s="231"/>
      <c r="U115" s="231"/>
      <c r="V115" s="231"/>
      <c r="W115" s="231"/>
      <c r="X115" s="231"/>
      <c r="Y115" s="231"/>
      <c r="Z115" s="231"/>
      <c r="AA115" s="231"/>
      <c r="AB115" s="231"/>
      <c r="AC115" s="231"/>
      <c r="AD115" s="231"/>
      <c r="AE115" s="231"/>
      <c r="AF115" s="231"/>
      <c r="AG115" s="231"/>
      <c r="AH115" s="231"/>
      <c r="AI115" s="231"/>
    </row>
    <row r="116" spans="1:35" s="203" customFormat="1">
      <c r="A116" s="111"/>
      <c r="B116" s="116"/>
      <c r="C116" s="116"/>
      <c r="D116" s="116"/>
      <c r="E116" s="143"/>
      <c r="F116" s="118"/>
      <c r="G116" s="118"/>
      <c r="H116" s="118"/>
      <c r="I116" s="139"/>
      <c r="J116" s="231"/>
      <c r="K116" s="231"/>
      <c r="L116" s="231"/>
      <c r="M116" s="231"/>
      <c r="N116" s="231"/>
      <c r="O116" s="231"/>
      <c r="P116" s="231"/>
      <c r="Q116" s="231"/>
      <c r="R116" s="231"/>
      <c r="S116" s="231"/>
      <c r="T116" s="231"/>
      <c r="U116" s="231"/>
      <c r="V116" s="231"/>
      <c r="W116" s="231"/>
      <c r="X116" s="231"/>
      <c r="Y116" s="231"/>
      <c r="Z116" s="231"/>
      <c r="AA116" s="231"/>
      <c r="AB116" s="231"/>
      <c r="AC116" s="231"/>
      <c r="AD116" s="231"/>
      <c r="AE116" s="231"/>
      <c r="AF116" s="231"/>
      <c r="AG116" s="231"/>
      <c r="AH116" s="231"/>
      <c r="AI116" s="231"/>
    </row>
    <row r="117" spans="1:35" s="203" customFormat="1">
      <c r="A117" s="144" t="s">
        <v>107</v>
      </c>
      <c r="B117" s="116"/>
      <c r="C117" s="116"/>
      <c r="D117" s="116"/>
      <c r="E117" s="145"/>
      <c r="F117" s="146"/>
      <c r="G117" s="118"/>
      <c r="H117" s="146"/>
      <c r="I117" s="139"/>
      <c r="J117" s="231"/>
      <c r="K117" s="231"/>
      <c r="L117" s="231"/>
      <c r="M117" s="231"/>
      <c r="N117" s="231"/>
      <c r="O117" s="231"/>
      <c r="P117" s="231"/>
      <c r="Q117" s="231"/>
      <c r="R117" s="231"/>
      <c r="S117" s="231"/>
      <c r="T117" s="231"/>
      <c r="U117" s="231"/>
      <c r="V117" s="231"/>
      <c r="W117" s="231"/>
      <c r="X117" s="231"/>
      <c r="Y117" s="231"/>
      <c r="Z117" s="231"/>
      <c r="AA117" s="231"/>
      <c r="AB117" s="231"/>
      <c r="AC117" s="231"/>
      <c r="AD117" s="231"/>
      <c r="AE117" s="231"/>
      <c r="AF117" s="231"/>
      <c r="AG117" s="231"/>
      <c r="AH117" s="231"/>
      <c r="AI117" s="231"/>
    </row>
    <row r="118" spans="1:35" s="203" customFormat="1">
      <c r="A118" s="120">
        <v>18</v>
      </c>
      <c r="B118" s="47" t="s">
        <v>123</v>
      </c>
      <c r="C118" s="47"/>
      <c r="D118" s="47"/>
      <c r="E118" s="49">
        <v>953</v>
      </c>
      <c r="F118" s="52">
        <v>1015</v>
      </c>
      <c r="G118" s="118"/>
      <c r="H118" s="122">
        <v>1002</v>
      </c>
      <c r="I118" s="139"/>
      <c r="J118" s="231"/>
      <c r="K118" s="231"/>
      <c r="L118" s="231"/>
      <c r="M118" s="231"/>
      <c r="N118" s="231"/>
      <c r="O118" s="231"/>
      <c r="P118" s="231"/>
      <c r="Q118" s="231"/>
      <c r="R118" s="231"/>
      <c r="S118" s="231"/>
      <c r="T118" s="231"/>
      <c r="U118" s="231"/>
      <c r="V118" s="231"/>
      <c r="W118" s="231"/>
      <c r="X118" s="231"/>
      <c r="Y118" s="231"/>
      <c r="Z118" s="231"/>
      <c r="AA118" s="231"/>
      <c r="AB118" s="231"/>
      <c r="AC118" s="231"/>
      <c r="AD118" s="231"/>
      <c r="AE118" s="231"/>
      <c r="AF118" s="231"/>
      <c r="AG118" s="231"/>
      <c r="AH118" s="231"/>
      <c r="AI118" s="231"/>
    </row>
    <row r="119" spans="1:35" s="203" customFormat="1">
      <c r="A119" s="120">
        <v>19</v>
      </c>
      <c r="B119" s="47" t="s">
        <v>124</v>
      </c>
      <c r="C119" s="47"/>
      <c r="D119" s="47"/>
      <c r="E119" s="49">
        <v>4759</v>
      </c>
      <c r="F119" s="52">
        <v>4878</v>
      </c>
      <c r="G119" s="118"/>
      <c r="H119" s="122">
        <v>4751</v>
      </c>
      <c r="I119" s="139"/>
      <c r="J119" s="231"/>
      <c r="K119" s="231"/>
      <c r="L119" s="231"/>
      <c r="M119" s="231"/>
      <c r="N119" s="231"/>
      <c r="O119" s="231"/>
      <c r="P119" s="231"/>
      <c r="Q119" s="231"/>
      <c r="R119" s="231"/>
      <c r="S119" s="231"/>
      <c r="T119" s="231"/>
      <c r="U119" s="231"/>
      <c r="V119" s="231"/>
      <c r="W119" s="231"/>
      <c r="X119" s="231"/>
      <c r="Y119" s="231"/>
      <c r="Z119" s="231"/>
      <c r="AA119" s="231"/>
      <c r="AB119" s="231"/>
      <c r="AC119" s="231"/>
      <c r="AD119" s="231"/>
      <c r="AE119" s="231"/>
      <c r="AF119" s="231"/>
      <c r="AG119" s="231"/>
      <c r="AH119" s="231"/>
      <c r="AI119" s="231"/>
    </row>
    <row r="120" spans="1:35" s="203" customFormat="1">
      <c r="A120" s="120">
        <v>20</v>
      </c>
      <c r="B120" s="47" t="s">
        <v>119</v>
      </c>
      <c r="C120" s="47"/>
      <c r="D120" s="47"/>
      <c r="E120" s="49">
        <v>5120</v>
      </c>
      <c r="F120" s="52">
        <v>5145</v>
      </c>
      <c r="G120" s="118"/>
      <c r="H120" s="122">
        <v>5588</v>
      </c>
      <c r="I120" s="139"/>
      <c r="J120" s="231"/>
      <c r="K120" s="231"/>
      <c r="L120" s="231"/>
      <c r="M120" s="231"/>
      <c r="N120" s="231"/>
      <c r="O120" s="231"/>
      <c r="P120" s="231"/>
      <c r="Q120" s="231"/>
      <c r="R120" s="231"/>
      <c r="S120" s="231"/>
      <c r="T120" s="231"/>
      <c r="U120" s="231"/>
      <c r="V120" s="231"/>
      <c r="W120" s="231"/>
      <c r="X120" s="231"/>
      <c r="Y120" s="231"/>
      <c r="Z120" s="231"/>
      <c r="AA120" s="231"/>
      <c r="AB120" s="231"/>
      <c r="AC120" s="231"/>
      <c r="AD120" s="231"/>
      <c r="AE120" s="231"/>
      <c r="AF120" s="231"/>
      <c r="AG120" s="231"/>
      <c r="AH120" s="231"/>
      <c r="AI120" s="231"/>
    </row>
    <row r="121" spans="1:35" s="203" customFormat="1">
      <c r="A121" s="120">
        <v>21</v>
      </c>
      <c r="B121" s="47" t="s">
        <v>120</v>
      </c>
      <c r="C121" s="47"/>
      <c r="D121" s="47"/>
      <c r="E121" s="49">
        <v>1886</v>
      </c>
      <c r="F121" s="52">
        <v>2009</v>
      </c>
      <c r="G121" s="118"/>
      <c r="H121" s="122">
        <v>1964</v>
      </c>
      <c r="I121" s="139"/>
      <c r="J121" s="231"/>
      <c r="K121" s="231"/>
      <c r="L121" s="231"/>
      <c r="M121" s="231"/>
      <c r="N121" s="231"/>
      <c r="O121" s="231"/>
      <c r="P121" s="231"/>
      <c r="Q121" s="231"/>
      <c r="R121" s="231"/>
      <c r="S121" s="231"/>
      <c r="T121" s="231"/>
      <c r="U121" s="231"/>
      <c r="V121" s="231"/>
      <c r="W121" s="231"/>
      <c r="X121" s="231"/>
      <c r="Y121" s="231"/>
      <c r="Z121" s="231"/>
      <c r="AA121" s="231"/>
      <c r="AB121" s="231"/>
      <c r="AC121" s="231"/>
      <c r="AD121" s="231"/>
      <c r="AE121" s="231"/>
      <c r="AF121" s="231"/>
      <c r="AG121" s="231"/>
      <c r="AH121" s="231"/>
      <c r="AI121" s="231"/>
    </row>
    <row r="122" spans="1:35" s="203" customFormat="1">
      <c r="A122" s="120">
        <v>22</v>
      </c>
      <c r="B122" s="47" t="s">
        <v>125</v>
      </c>
      <c r="C122" s="47"/>
      <c r="D122" s="47"/>
      <c r="E122" s="49">
        <v>653</v>
      </c>
      <c r="F122" s="52">
        <v>696</v>
      </c>
      <c r="G122" s="118"/>
      <c r="H122" s="122">
        <v>648</v>
      </c>
      <c r="I122" s="139"/>
      <c r="J122" s="231"/>
      <c r="K122" s="231"/>
      <c r="L122" s="231"/>
      <c r="M122" s="231"/>
      <c r="N122" s="231"/>
      <c r="O122" s="231"/>
      <c r="P122" s="231"/>
      <c r="Q122" s="231"/>
      <c r="R122" s="231"/>
      <c r="S122" s="231"/>
      <c r="T122" s="231"/>
      <c r="U122" s="231"/>
      <c r="V122" s="231"/>
      <c r="W122" s="231"/>
      <c r="X122" s="231"/>
      <c r="Y122" s="231"/>
      <c r="Z122" s="231"/>
      <c r="AA122" s="231"/>
      <c r="AB122" s="231"/>
      <c r="AC122" s="231"/>
      <c r="AD122" s="231"/>
      <c r="AE122" s="231"/>
      <c r="AF122" s="231"/>
      <c r="AG122" s="231"/>
      <c r="AH122" s="231"/>
      <c r="AI122" s="231"/>
    </row>
    <row r="123" spans="1:35" s="203" customFormat="1">
      <c r="A123" s="120">
        <v>23</v>
      </c>
      <c r="B123" s="90" t="s">
        <v>126</v>
      </c>
      <c r="C123" s="47"/>
      <c r="D123" s="47"/>
      <c r="E123" s="49">
        <v>10</v>
      </c>
      <c r="F123" s="52">
        <v>9</v>
      </c>
      <c r="G123" s="118"/>
      <c r="H123" s="99">
        <v>10</v>
      </c>
      <c r="I123" s="139"/>
      <c r="J123" s="231"/>
      <c r="K123" s="231"/>
      <c r="L123" s="231"/>
      <c r="M123" s="231"/>
      <c r="N123" s="231"/>
      <c r="O123" s="231"/>
      <c r="P123" s="231"/>
      <c r="Q123" s="231"/>
      <c r="R123" s="231"/>
      <c r="S123" s="231"/>
      <c r="T123" s="231"/>
      <c r="U123" s="231"/>
      <c r="V123" s="231"/>
      <c r="W123" s="231"/>
      <c r="X123" s="231"/>
      <c r="Y123" s="231"/>
      <c r="Z123" s="231"/>
      <c r="AA123" s="231"/>
      <c r="AB123" s="231"/>
      <c r="AC123" s="231"/>
      <c r="AD123" s="231"/>
      <c r="AE123" s="231"/>
      <c r="AF123" s="231"/>
      <c r="AG123" s="231"/>
      <c r="AH123" s="231"/>
      <c r="AI123" s="231"/>
    </row>
    <row r="124" spans="1:35" s="203" customFormat="1">
      <c r="A124" s="120">
        <v>24</v>
      </c>
      <c r="B124" s="47" t="s">
        <v>121</v>
      </c>
      <c r="C124" s="47"/>
      <c r="D124" s="47"/>
      <c r="E124" s="49">
        <v>-949</v>
      </c>
      <c r="F124" s="52">
        <v>-943</v>
      </c>
      <c r="G124" s="118"/>
      <c r="H124" s="100">
        <v>-686</v>
      </c>
      <c r="I124" s="139"/>
      <c r="J124" s="231"/>
      <c r="K124" s="231"/>
      <c r="L124" s="231"/>
      <c r="M124" s="231"/>
      <c r="N124" s="231"/>
      <c r="O124" s="231"/>
      <c r="P124" s="231"/>
      <c r="Q124" s="231"/>
      <c r="R124" s="231"/>
      <c r="S124" s="231"/>
      <c r="T124" s="231"/>
      <c r="U124" s="231"/>
      <c r="V124" s="231"/>
      <c r="W124" s="231"/>
      <c r="X124" s="231"/>
      <c r="Y124" s="231"/>
      <c r="Z124" s="231"/>
      <c r="AA124" s="231"/>
      <c r="AB124" s="231"/>
      <c r="AC124" s="231"/>
      <c r="AD124" s="231"/>
      <c r="AE124" s="231"/>
      <c r="AF124" s="231"/>
      <c r="AG124" s="231"/>
      <c r="AH124" s="231"/>
      <c r="AI124" s="231"/>
    </row>
    <row r="125" spans="1:35" s="203" customFormat="1">
      <c r="A125" s="120">
        <v>25</v>
      </c>
      <c r="B125" s="147" t="s">
        <v>127</v>
      </c>
      <c r="C125" s="147"/>
      <c r="D125" s="147"/>
      <c r="E125" s="80">
        <v>12432</v>
      </c>
      <c r="F125" s="142">
        <f>SUM(F118:F124)</f>
        <v>12809</v>
      </c>
      <c r="G125" s="118"/>
      <c r="H125" s="142">
        <f>SUM(H118:H124)</f>
        <v>13277</v>
      </c>
      <c r="I125" s="139"/>
      <c r="J125" s="231"/>
      <c r="K125" s="231"/>
      <c r="L125" s="231"/>
      <c r="M125" s="231"/>
      <c r="N125" s="231"/>
      <c r="O125" s="231"/>
      <c r="P125" s="231"/>
      <c r="Q125" s="231"/>
      <c r="R125" s="231"/>
      <c r="S125" s="231"/>
      <c r="T125" s="231"/>
      <c r="U125" s="231"/>
      <c r="V125" s="231"/>
      <c r="W125" s="231"/>
      <c r="X125" s="231"/>
      <c r="Y125" s="231"/>
      <c r="Z125" s="231"/>
      <c r="AA125" s="231"/>
      <c r="AB125" s="231"/>
      <c r="AC125" s="231"/>
      <c r="AD125" s="231"/>
      <c r="AE125" s="231"/>
      <c r="AF125" s="231"/>
      <c r="AG125" s="231"/>
      <c r="AH125" s="231"/>
      <c r="AI125" s="231"/>
    </row>
    <row r="126" spans="1:35" s="203" customFormat="1">
      <c r="A126" s="111"/>
      <c r="B126" s="47"/>
      <c r="C126" s="47"/>
      <c r="D126" s="47"/>
      <c r="E126" s="117"/>
      <c r="F126" s="118"/>
      <c r="G126" s="118"/>
      <c r="H126" s="118"/>
      <c r="I126" s="139"/>
      <c r="J126" s="231"/>
      <c r="K126" s="231"/>
      <c r="L126" s="231"/>
      <c r="M126" s="231"/>
      <c r="N126" s="231"/>
      <c r="O126" s="231"/>
      <c r="P126" s="231"/>
      <c r="Q126" s="231"/>
      <c r="R126" s="231"/>
      <c r="S126" s="231"/>
      <c r="T126" s="231"/>
      <c r="U126" s="231"/>
      <c r="V126" s="231"/>
      <c r="W126" s="231"/>
      <c r="X126" s="231"/>
      <c r="Y126" s="231"/>
      <c r="Z126" s="231"/>
      <c r="AA126" s="231"/>
      <c r="AB126" s="231"/>
      <c r="AC126" s="231"/>
      <c r="AD126" s="231"/>
      <c r="AE126" s="231"/>
      <c r="AF126" s="231"/>
      <c r="AG126" s="231"/>
      <c r="AH126" s="231"/>
      <c r="AI126" s="231"/>
    </row>
    <row r="127" spans="1:35" s="203" customFormat="1">
      <c r="A127" s="119" t="s">
        <v>108</v>
      </c>
      <c r="B127" s="147"/>
      <c r="C127" s="147"/>
      <c r="D127" s="147"/>
      <c r="E127" s="140"/>
      <c r="F127" s="146"/>
      <c r="G127" s="118"/>
      <c r="H127" s="146"/>
      <c r="I127" s="139"/>
      <c r="J127" s="231"/>
      <c r="K127" s="231"/>
      <c r="L127" s="231"/>
      <c r="M127" s="231"/>
      <c r="N127" s="231"/>
      <c r="O127" s="231"/>
      <c r="P127" s="231"/>
      <c r="Q127" s="231"/>
      <c r="R127" s="231"/>
      <c r="S127" s="231"/>
      <c r="T127" s="231"/>
      <c r="U127" s="231"/>
      <c r="V127" s="231"/>
      <c r="W127" s="231"/>
      <c r="X127" s="231"/>
      <c r="Y127" s="231"/>
      <c r="Z127" s="231"/>
      <c r="AA127" s="231"/>
      <c r="AB127" s="231"/>
      <c r="AC127" s="231"/>
      <c r="AD127" s="231"/>
      <c r="AE127" s="231"/>
      <c r="AF127" s="231"/>
      <c r="AG127" s="231"/>
      <c r="AH127" s="231"/>
      <c r="AI127" s="231"/>
    </row>
    <row r="128" spans="1:35" s="203" customFormat="1">
      <c r="A128" s="120">
        <v>26</v>
      </c>
      <c r="B128" s="47" t="s">
        <v>123</v>
      </c>
      <c r="C128" s="47"/>
      <c r="D128" s="47"/>
      <c r="E128" s="74">
        <v>1028</v>
      </c>
      <c r="F128" s="52">
        <v>1152</v>
      </c>
      <c r="G128" s="118"/>
      <c r="H128" s="122">
        <v>1042</v>
      </c>
      <c r="I128" s="139"/>
      <c r="J128" s="231"/>
      <c r="K128" s="231"/>
      <c r="L128" s="231"/>
      <c r="M128" s="231"/>
      <c r="N128" s="231"/>
      <c r="O128" s="231"/>
      <c r="P128" s="231"/>
      <c r="Q128" s="231"/>
      <c r="R128" s="231"/>
      <c r="S128" s="231"/>
      <c r="T128" s="231"/>
      <c r="U128" s="231"/>
      <c r="V128" s="231"/>
      <c r="W128" s="231"/>
      <c r="X128" s="231"/>
      <c r="Y128" s="231"/>
      <c r="Z128" s="231"/>
      <c r="AA128" s="231"/>
      <c r="AB128" s="231"/>
      <c r="AC128" s="231"/>
      <c r="AD128" s="231"/>
      <c r="AE128" s="231"/>
      <c r="AF128" s="231"/>
      <c r="AG128" s="231"/>
      <c r="AH128" s="231"/>
      <c r="AI128" s="231"/>
    </row>
    <row r="129" spans="1:35" s="203" customFormat="1">
      <c r="A129" s="120">
        <v>27</v>
      </c>
      <c r="B129" s="47" t="s">
        <v>124</v>
      </c>
      <c r="C129" s="47"/>
      <c r="D129" s="47"/>
      <c r="E129" s="49">
        <v>267</v>
      </c>
      <c r="F129" s="52">
        <v>269</v>
      </c>
      <c r="G129" s="118"/>
      <c r="H129" s="122">
        <v>369</v>
      </c>
      <c r="I129" s="139"/>
      <c r="J129" s="231"/>
      <c r="K129" s="231"/>
      <c r="L129" s="231"/>
      <c r="M129" s="231"/>
      <c r="N129" s="231"/>
      <c r="O129" s="231"/>
      <c r="P129" s="231"/>
      <c r="Q129" s="231"/>
      <c r="R129" s="231"/>
      <c r="S129" s="231"/>
      <c r="T129" s="231"/>
      <c r="U129" s="231"/>
      <c r="V129" s="231"/>
      <c r="W129" s="231"/>
      <c r="X129" s="231"/>
      <c r="Y129" s="231"/>
      <c r="Z129" s="231"/>
      <c r="AA129" s="231"/>
      <c r="AB129" s="231"/>
      <c r="AC129" s="231"/>
      <c r="AD129" s="231"/>
      <c r="AE129" s="231"/>
      <c r="AF129" s="231"/>
      <c r="AG129" s="231"/>
      <c r="AH129" s="231"/>
      <c r="AI129" s="231"/>
    </row>
    <row r="130" spans="1:35" s="203" customFormat="1">
      <c r="A130" s="120">
        <v>28</v>
      </c>
      <c r="B130" s="47" t="s">
        <v>119</v>
      </c>
      <c r="C130" s="47"/>
      <c r="D130" s="47"/>
      <c r="E130" s="49">
        <v>427</v>
      </c>
      <c r="F130" s="52">
        <v>447</v>
      </c>
      <c r="G130" s="118"/>
      <c r="H130" s="122">
        <v>456</v>
      </c>
      <c r="I130" s="139"/>
      <c r="J130" s="231"/>
      <c r="K130" s="231"/>
      <c r="L130" s="231"/>
      <c r="M130" s="231"/>
      <c r="N130" s="231"/>
      <c r="O130" s="231"/>
      <c r="P130" s="231"/>
      <c r="Q130" s="231"/>
      <c r="R130" s="231"/>
      <c r="S130" s="231"/>
      <c r="T130" s="231"/>
      <c r="U130" s="231"/>
      <c r="V130" s="231"/>
      <c r="W130" s="231"/>
      <c r="X130" s="231"/>
      <c r="Y130" s="231"/>
      <c r="Z130" s="231"/>
      <c r="AA130" s="231"/>
      <c r="AB130" s="231"/>
      <c r="AC130" s="231"/>
      <c r="AD130" s="231"/>
      <c r="AE130" s="231"/>
      <c r="AF130" s="231"/>
      <c r="AG130" s="231"/>
      <c r="AH130" s="231"/>
      <c r="AI130" s="231"/>
    </row>
    <row r="131" spans="1:35" s="203" customFormat="1">
      <c r="A131" s="120">
        <v>29</v>
      </c>
      <c r="B131" s="47" t="s">
        <v>120</v>
      </c>
      <c r="C131" s="47"/>
      <c r="D131" s="47"/>
      <c r="E131" s="49">
        <v>126</v>
      </c>
      <c r="F131" s="52">
        <v>129</v>
      </c>
      <c r="G131" s="118"/>
      <c r="H131" s="122">
        <v>131</v>
      </c>
      <c r="I131" s="139"/>
      <c r="J131" s="231"/>
      <c r="K131" s="231"/>
      <c r="L131" s="231"/>
      <c r="M131" s="231"/>
      <c r="N131" s="231"/>
      <c r="O131" s="231"/>
      <c r="P131" s="231"/>
      <c r="Q131" s="231"/>
      <c r="R131" s="231"/>
      <c r="S131" s="231"/>
      <c r="T131" s="231"/>
      <c r="U131" s="231"/>
      <c r="V131" s="231"/>
      <c r="W131" s="231"/>
      <c r="X131" s="231"/>
      <c r="Y131" s="231"/>
      <c r="Z131" s="231"/>
      <c r="AA131" s="231"/>
      <c r="AB131" s="231"/>
      <c r="AC131" s="231"/>
      <c r="AD131" s="231"/>
      <c r="AE131" s="231"/>
      <c r="AF131" s="231"/>
      <c r="AG131" s="231"/>
      <c r="AH131" s="231"/>
      <c r="AI131" s="231"/>
    </row>
    <row r="132" spans="1:35" s="203" customFormat="1">
      <c r="A132" s="120">
        <v>30</v>
      </c>
      <c r="B132" s="47" t="s">
        <v>125</v>
      </c>
      <c r="C132" s="47"/>
      <c r="D132" s="47"/>
      <c r="E132" s="49">
        <v>213</v>
      </c>
      <c r="F132" s="52">
        <v>224</v>
      </c>
      <c r="G132" s="118"/>
      <c r="H132" s="122">
        <v>211</v>
      </c>
      <c r="I132" s="139"/>
      <c r="J132" s="231"/>
      <c r="K132" s="231"/>
      <c r="L132" s="231"/>
      <c r="M132" s="231"/>
      <c r="N132" s="231"/>
      <c r="O132" s="231"/>
      <c r="P132" s="231"/>
      <c r="Q132" s="231"/>
      <c r="R132" s="231"/>
      <c r="S132" s="231"/>
      <c r="T132" s="231"/>
      <c r="U132" s="231"/>
      <c r="V132" s="231"/>
      <c r="W132" s="231"/>
      <c r="X132" s="231"/>
      <c r="Y132" s="231"/>
      <c r="Z132" s="231"/>
      <c r="AA132" s="231"/>
      <c r="AB132" s="231"/>
      <c r="AC132" s="231"/>
      <c r="AD132" s="231"/>
      <c r="AE132" s="231"/>
      <c r="AF132" s="231"/>
      <c r="AG132" s="231"/>
      <c r="AH132" s="231"/>
      <c r="AI132" s="231"/>
    </row>
    <row r="133" spans="1:35" s="203" customFormat="1">
      <c r="A133" s="120">
        <v>31</v>
      </c>
      <c r="B133" s="90" t="s">
        <v>126</v>
      </c>
      <c r="C133" s="47"/>
      <c r="D133" s="47"/>
      <c r="E133" s="49">
        <v>5</v>
      </c>
      <c r="F133" s="52">
        <v>5</v>
      </c>
      <c r="G133" s="118"/>
      <c r="H133" s="122">
        <v>5</v>
      </c>
      <c r="I133" s="139"/>
      <c r="J133" s="231"/>
      <c r="K133" s="231"/>
      <c r="L133" s="231"/>
      <c r="M133" s="231"/>
      <c r="N133" s="231"/>
      <c r="O133" s="231"/>
      <c r="P133" s="231"/>
      <c r="Q133" s="231"/>
      <c r="R133" s="231"/>
      <c r="S133" s="231"/>
      <c r="T133" s="231"/>
      <c r="U133" s="231"/>
      <c r="V133" s="231"/>
      <c r="W133" s="231"/>
      <c r="X133" s="231"/>
      <c r="Y133" s="231"/>
      <c r="Z133" s="231"/>
      <c r="AA133" s="231"/>
      <c r="AB133" s="231"/>
      <c r="AC133" s="231"/>
      <c r="AD133" s="231"/>
      <c r="AE133" s="231"/>
      <c r="AF133" s="231"/>
      <c r="AG133" s="231"/>
      <c r="AH133" s="231"/>
      <c r="AI133" s="231"/>
    </row>
    <row r="134" spans="1:35" s="203" customFormat="1">
      <c r="A134" s="120">
        <v>32</v>
      </c>
      <c r="B134" s="47" t="s">
        <v>121</v>
      </c>
      <c r="C134" s="47"/>
      <c r="D134" s="47"/>
      <c r="E134" s="49">
        <v>-63</v>
      </c>
      <c r="F134" s="52">
        <v>-61</v>
      </c>
      <c r="G134" s="118"/>
      <c r="H134" s="100">
        <v>-30</v>
      </c>
      <c r="I134" s="139"/>
      <c r="J134" s="231"/>
      <c r="K134" s="231"/>
      <c r="L134" s="231"/>
      <c r="M134" s="231"/>
      <c r="N134" s="231"/>
      <c r="O134" s="231"/>
      <c r="P134" s="231"/>
      <c r="Q134" s="231"/>
      <c r="R134" s="231"/>
      <c r="S134" s="231"/>
      <c r="T134" s="231"/>
      <c r="U134" s="231"/>
      <c r="V134" s="231"/>
      <c r="W134" s="231"/>
      <c r="X134" s="231"/>
      <c r="Y134" s="231"/>
      <c r="Z134" s="231"/>
      <c r="AA134" s="231"/>
      <c r="AB134" s="231"/>
      <c r="AC134" s="231"/>
      <c r="AD134" s="231"/>
      <c r="AE134" s="231"/>
      <c r="AF134" s="231"/>
      <c r="AG134" s="231"/>
      <c r="AH134" s="231"/>
      <c r="AI134" s="231"/>
    </row>
    <row r="135" spans="1:35" s="203" customFormat="1">
      <c r="A135" s="120">
        <v>33</v>
      </c>
      <c r="B135" s="116" t="s">
        <v>128</v>
      </c>
      <c r="C135" s="116"/>
      <c r="D135" s="116"/>
      <c r="E135" s="80">
        <v>2003</v>
      </c>
      <c r="F135" s="142">
        <f>SUM(F128:F134)</f>
        <v>2165</v>
      </c>
      <c r="G135" s="118"/>
      <c r="H135" s="142">
        <f>SUM(H128:H134)</f>
        <v>2184</v>
      </c>
      <c r="I135" s="139"/>
      <c r="J135" s="231"/>
      <c r="K135" s="231"/>
      <c r="L135" s="231"/>
      <c r="M135" s="231"/>
      <c r="N135" s="231"/>
      <c r="O135" s="231"/>
      <c r="P135" s="231"/>
      <c r="Q135" s="231"/>
      <c r="R135" s="231"/>
      <c r="S135" s="231"/>
      <c r="T135" s="231"/>
      <c r="U135" s="231"/>
      <c r="V135" s="231"/>
      <c r="W135" s="231"/>
      <c r="X135" s="231"/>
      <c r="Y135" s="231"/>
      <c r="Z135" s="231"/>
      <c r="AA135" s="231"/>
      <c r="AB135" s="231"/>
      <c r="AC135" s="231"/>
      <c r="AD135" s="231"/>
      <c r="AE135" s="231"/>
      <c r="AF135" s="231"/>
      <c r="AG135" s="231"/>
      <c r="AH135" s="231"/>
      <c r="AI135" s="231"/>
    </row>
    <row r="136" spans="1:35" s="203" customFormat="1">
      <c r="A136" s="111"/>
      <c r="B136" s="47"/>
      <c r="C136" s="47"/>
      <c r="D136" s="138"/>
      <c r="E136" s="117"/>
      <c r="F136" s="118"/>
      <c r="G136" s="118"/>
      <c r="H136" s="118"/>
      <c r="I136" s="139"/>
      <c r="J136" s="231"/>
      <c r="K136" s="231"/>
      <c r="L136" s="231"/>
      <c r="M136" s="231"/>
      <c r="N136" s="231"/>
      <c r="O136" s="231"/>
      <c r="P136" s="231"/>
      <c r="Q136" s="231"/>
      <c r="R136" s="231"/>
      <c r="S136" s="231"/>
      <c r="T136" s="231"/>
      <c r="U136" s="231"/>
      <c r="V136" s="231"/>
      <c r="W136" s="231"/>
      <c r="X136" s="231"/>
      <c r="Y136" s="231"/>
      <c r="Z136" s="231"/>
      <c r="AA136" s="231"/>
      <c r="AB136" s="231"/>
      <c r="AC136" s="231"/>
      <c r="AD136" s="231"/>
      <c r="AE136" s="231"/>
      <c r="AF136" s="231"/>
      <c r="AG136" s="231"/>
      <c r="AH136" s="231"/>
      <c r="AI136" s="231"/>
    </row>
    <row r="137" spans="1:35" s="203" customFormat="1">
      <c r="A137" s="119" t="s">
        <v>109</v>
      </c>
      <c r="B137" s="116"/>
      <c r="C137" s="116"/>
      <c r="D137" s="116"/>
      <c r="E137" s="140"/>
      <c r="F137" s="146"/>
      <c r="G137" s="118"/>
      <c r="H137" s="146"/>
      <c r="I137" s="139"/>
      <c r="J137" s="231"/>
      <c r="K137" s="231"/>
      <c r="L137" s="231"/>
      <c r="M137" s="231"/>
      <c r="N137" s="231"/>
      <c r="O137" s="231"/>
      <c r="P137" s="231"/>
      <c r="Q137" s="231"/>
      <c r="R137" s="231"/>
      <c r="S137" s="231"/>
      <c r="T137" s="231"/>
      <c r="U137" s="231"/>
      <c r="V137" s="231"/>
      <c r="W137" s="231"/>
      <c r="X137" s="231"/>
      <c r="Y137" s="231"/>
      <c r="Z137" s="231"/>
      <c r="AA137" s="231"/>
      <c r="AB137" s="231"/>
      <c r="AC137" s="231"/>
      <c r="AD137" s="231"/>
      <c r="AE137" s="231"/>
      <c r="AF137" s="231"/>
      <c r="AG137" s="231"/>
      <c r="AH137" s="231"/>
      <c r="AI137" s="231"/>
    </row>
    <row r="138" spans="1:35" s="203" customFormat="1">
      <c r="A138" s="120">
        <v>34</v>
      </c>
      <c r="B138" s="47" t="s">
        <v>123</v>
      </c>
      <c r="C138" s="47"/>
      <c r="D138" s="47"/>
      <c r="E138" s="49">
        <v>483</v>
      </c>
      <c r="F138" s="52">
        <v>546</v>
      </c>
      <c r="G138" s="118"/>
      <c r="H138" s="122">
        <v>500</v>
      </c>
      <c r="I138" s="139"/>
      <c r="J138" s="231"/>
      <c r="K138" s="231"/>
      <c r="L138" s="231"/>
      <c r="M138" s="231"/>
      <c r="N138" s="231"/>
      <c r="O138" s="231"/>
      <c r="P138" s="231"/>
      <c r="Q138" s="231"/>
      <c r="R138" s="231"/>
      <c r="S138" s="231"/>
      <c r="T138" s="231"/>
      <c r="U138" s="231"/>
      <c r="V138" s="231"/>
      <c r="W138" s="231"/>
      <c r="X138" s="231"/>
      <c r="Y138" s="231"/>
      <c r="Z138" s="231"/>
      <c r="AA138" s="231"/>
      <c r="AB138" s="231"/>
      <c r="AC138" s="231"/>
      <c r="AD138" s="231"/>
      <c r="AE138" s="231"/>
      <c r="AF138" s="231"/>
      <c r="AG138" s="231"/>
      <c r="AH138" s="231"/>
      <c r="AI138" s="231"/>
    </row>
    <row r="139" spans="1:35" s="203" customFormat="1">
      <c r="A139" s="120">
        <v>35</v>
      </c>
      <c r="B139" s="47" t="s">
        <v>119</v>
      </c>
      <c r="C139" s="47"/>
      <c r="D139" s="47"/>
      <c r="E139" s="49">
        <v>3632</v>
      </c>
      <c r="F139" s="52">
        <v>3823</v>
      </c>
      <c r="G139" s="118"/>
      <c r="H139" s="122">
        <v>3907</v>
      </c>
      <c r="I139" s="139"/>
      <c r="J139" s="231"/>
      <c r="K139" s="231"/>
      <c r="L139" s="231"/>
      <c r="M139" s="231"/>
      <c r="N139" s="231"/>
      <c r="O139" s="231"/>
      <c r="P139" s="231"/>
      <c r="Q139" s="231"/>
      <c r="R139" s="231"/>
      <c r="S139" s="231"/>
      <c r="T139" s="231"/>
      <c r="U139" s="231"/>
      <c r="V139" s="231"/>
      <c r="W139" s="231"/>
      <c r="X139" s="231"/>
      <c r="Y139" s="231"/>
      <c r="Z139" s="231"/>
      <c r="AA139" s="231"/>
      <c r="AB139" s="231"/>
      <c r="AC139" s="231"/>
      <c r="AD139" s="231"/>
      <c r="AE139" s="231"/>
      <c r="AF139" s="231"/>
      <c r="AG139" s="231"/>
      <c r="AH139" s="231"/>
      <c r="AI139" s="231"/>
    </row>
    <row r="140" spans="1:35" s="203" customFormat="1">
      <c r="A140" s="120">
        <v>36</v>
      </c>
      <c r="B140" s="47" t="s">
        <v>120</v>
      </c>
      <c r="C140" s="47"/>
      <c r="D140" s="47"/>
      <c r="E140" s="49">
        <v>1681</v>
      </c>
      <c r="F140" s="52">
        <v>1657</v>
      </c>
      <c r="G140" s="118"/>
      <c r="H140" s="122">
        <v>1708</v>
      </c>
      <c r="I140" s="139"/>
      <c r="J140" s="231"/>
      <c r="K140" s="231"/>
      <c r="L140" s="231"/>
      <c r="M140" s="231"/>
      <c r="N140" s="231"/>
      <c r="O140" s="231"/>
      <c r="P140" s="231"/>
      <c r="Q140" s="231"/>
      <c r="R140" s="231"/>
      <c r="S140" s="231"/>
      <c r="T140" s="231"/>
      <c r="U140" s="231"/>
      <c r="V140" s="231"/>
      <c r="W140" s="231"/>
      <c r="X140" s="231"/>
      <c r="Y140" s="231"/>
      <c r="Z140" s="231"/>
      <c r="AA140" s="231"/>
      <c r="AB140" s="231"/>
      <c r="AC140" s="231"/>
      <c r="AD140" s="231"/>
      <c r="AE140" s="231"/>
      <c r="AF140" s="231"/>
      <c r="AG140" s="231"/>
      <c r="AH140" s="231"/>
      <c r="AI140" s="231"/>
    </row>
    <row r="141" spans="1:35" s="203" customFormat="1">
      <c r="A141" s="120">
        <v>37</v>
      </c>
      <c r="B141" s="90" t="s">
        <v>126</v>
      </c>
      <c r="C141" s="47"/>
      <c r="D141" s="47"/>
      <c r="E141" s="49">
        <v>10</v>
      </c>
      <c r="F141" s="52">
        <v>9</v>
      </c>
      <c r="G141" s="118"/>
      <c r="H141" s="99">
        <v>10</v>
      </c>
      <c r="I141" s="139"/>
      <c r="J141" s="231"/>
      <c r="K141" s="231"/>
      <c r="L141" s="231"/>
      <c r="M141" s="231"/>
      <c r="N141" s="231"/>
      <c r="O141" s="231"/>
      <c r="P141" s="231"/>
      <c r="Q141" s="231"/>
      <c r="R141" s="231"/>
      <c r="S141" s="231"/>
      <c r="T141" s="231"/>
      <c r="U141" s="231"/>
      <c r="V141" s="231"/>
      <c r="W141" s="231"/>
      <c r="X141" s="231"/>
      <c r="Y141" s="231"/>
      <c r="Z141" s="231"/>
      <c r="AA141" s="231"/>
      <c r="AB141" s="231"/>
      <c r="AC141" s="231"/>
      <c r="AD141" s="231"/>
      <c r="AE141" s="231"/>
      <c r="AF141" s="231"/>
      <c r="AG141" s="231"/>
      <c r="AH141" s="231"/>
      <c r="AI141" s="231"/>
    </row>
    <row r="142" spans="1:35" s="203" customFormat="1">
      <c r="A142" s="120">
        <v>38</v>
      </c>
      <c r="B142" s="47" t="s">
        <v>121</v>
      </c>
      <c r="C142" s="47"/>
      <c r="D142" s="47"/>
      <c r="E142" s="49">
        <v>57</v>
      </c>
      <c r="F142" s="52">
        <v>49</v>
      </c>
      <c r="G142" s="118"/>
      <c r="H142" s="100">
        <v>163</v>
      </c>
      <c r="I142" s="139"/>
      <c r="J142" s="231"/>
      <c r="K142" s="231"/>
      <c r="L142" s="231"/>
      <c r="M142" s="231"/>
      <c r="N142" s="231"/>
      <c r="O142" s="231"/>
      <c r="P142" s="231"/>
      <c r="Q142" s="231"/>
      <c r="R142" s="231"/>
      <c r="S142" s="231"/>
      <c r="T142" s="231"/>
      <c r="U142" s="231"/>
      <c r="V142" s="231"/>
      <c r="W142" s="231"/>
      <c r="X142" s="231"/>
      <c r="Y142" s="231"/>
      <c r="Z142" s="231"/>
      <c r="AA142" s="231"/>
      <c r="AB142" s="231"/>
      <c r="AC142" s="231"/>
      <c r="AD142" s="231"/>
      <c r="AE142" s="231"/>
      <c r="AF142" s="231"/>
      <c r="AG142" s="231"/>
      <c r="AH142" s="231"/>
      <c r="AI142" s="231"/>
    </row>
    <row r="143" spans="1:35" s="203" customFormat="1">
      <c r="A143" s="120">
        <v>39</v>
      </c>
      <c r="B143" s="116" t="s">
        <v>129</v>
      </c>
      <c r="C143" s="116"/>
      <c r="D143" s="116"/>
      <c r="E143" s="80">
        <v>5863</v>
      </c>
      <c r="F143" s="142">
        <f>SUM(F138:F142)</f>
        <v>6084</v>
      </c>
      <c r="G143" s="118"/>
      <c r="H143" s="142">
        <f>SUM(H138:H142)</f>
        <v>6288</v>
      </c>
      <c r="I143" s="139"/>
      <c r="J143" s="231"/>
      <c r="K143" s="231"/>
      <c r="L143" s="231"/>
      <c r="M143" s="231"/>
      <c r="N143" s="231"/>
      <c r="O143" s="231"/>
      <c r="P143" s="231"/>
      <c r="Q143" s="231"/>
      <c r="R143" s="231"/>
      <c r="S143" s="231"/>
      <c r="T143" s="231"/>
      <c r="U143" s="231"/>
      <c r="V143" s="231"/>
      <c r="W143" s="231"/>
      <c r="X143" s="231"/>
      <c r="Y143" s="231"/>
      <c r="Z143" s="231"/>
      <c r="AA143" s="231"/>
      <c r="AB143" s="231"/>
      <c r="AC143" s="231"/>
      <c r="AD143" s="231"/>
      <c r="AE143" s="231"/>
      <c r="AF143" s="231"/>
      <c r="AG143" s="231"/>
      <c r="AH143" s="231"/>
      <c r="AI143" s="231"/>
    </row>
    <row r="144" spans="1:35" s="203" customFormat="1">
      <c r="A144" s="111"/>
      <c r="B144" s="47"/>
      <c r="C144" s="47"/>
      <c r="D144" s="47"/>
      <c r="E144" s="117"/>
      <c r="F144" s="118"/>
      <c r="G144" s="118"/>
      <c r="H144" s="118"/>
      <c r="I144" s="139"/>
      <c r="J144" s="231"/>
      <c r="K144" s="231"/>
      <c r="L144" s="231"/>
      <c r="M144" s="231"/>
      <c r="N144" s="231"/>
      <c r="O144" s="231"/>
      <c r="P144" s="231"/>
      <c r="Q144" s="231"/>
      <c r="R144" s="231"/>
      <c r="S144" s="231"/>
      <c r="T144" s="231"/>
      <c r="U144" s="231"/>
      <c r="V144" s="231"/>
      <c r="W144" s="231"/>
      <c r="X144" s="231"/>
      <c r="Y144" s="231"/>
      <c r="Z144" s="231"/>
      <c r="AA144" s="231"/>
      <c r="AB144" s="231"/>
      <c r="AC144" s="231"/>
      <c r="AD144" s="231"/>
      <c r="AE144" s="231"/>
      <c r="AF144" s="231"/>
      <c r="AG144" s="231"/>
      <c r="AH144" s="231"/>
      <c r="AI144" s="231"/>
    </row>
    <row r="145" spans="1:35" s="203" customFormat="1">
      <c r="A145" s="119" t="s">
        <v>110</v>
      </c>
      <c r="B145" s="116"/>
      <c r="C145" s="116"/>
      <c r="D145" s="116"/>
      <c r="E145" s="140"/>
      <c r="F145" s="146"/>
      <c r="G145" s="118"/>
      <c r="H145" s="146"/>
      <c r="I145" s="139"/>
      <c r="J145" s="231"/>
      <c r="K145" s="231"/>
      <c r="L145" s="231"/>
      <c r="M145" s="231"/>
      <c r="N145" s="231"/>
      <c r="O145" s="231"/>
      <c r="P145" s="231"/>
      <c r="Q145" s="231"/>
      <c r="R145" s="231"/>
      <c r="S145" s="231"/>
      <c r="T145" s="231"/>
      <c r="U145" s="231"/>
      <c r="V145" s="231"/>
      <c r="W145" s="231"/>
      <c r="X145" s="231"/>
      <c r="Y145" s="231"/>
      <c r="Z145" s="231"/>
      <c r="AA145" s="231"/>
      <c r="AB145" s="231"/>
      <c r="AC145" s="231"/>
      <c r="AD145" s="231"/>
      <c r="AE145" s="231"/>
      <c r="AF145" s="231"/>
      <c r="AG145" s="231"/>
      <c r="AH145" s="231"/>
      <c r="AI145" s="231"/>
    </row>
    <row r="146" spans="1:35" s="203" customFormat="1">
      <c r="A146" s="120">
        <v>40</v>
      </c>
      <c r="B146" s="47" t="s">
        <v>123</v>
      </c>
      <c r="C146" s="47"/>
      <c r="D146" s="47"/>
      <c r="E146" s="49">
        <v>1812</v>
      </c>
      <c r="F146" s="52">
        <v>1814</v>
      </c>
      <c r="G146" s="118"/>
      <c r="H146" s="122">
        <v>1894</v>
      </c>
      <c r="I146" s="139"/>
      <c r="J146" s="231"/>
      <c r="K146" s="231"/>
      <c r="L146" s="231"/>
      <c r="M146" s="231"/>
      <c r="N146" s="231"/>
      <c r="O146" s="231"/>
      <c r="P146" s="231"/>
      <c r="Q146" s="231"/>
      <c r="R146" s="231"/>
      <c r="S146" s="231"/>
      <c r="T146" s="231"/>
      <c r="U146" s="231"/>
      <c r="V146" s="231"/>
      <c r="W146" s="231"/>
      <c r="X146" s="231"/>
      <c r="Y146" s="231"/>
      <c r="Z146" s="231"/>
      <c r="AA146" s="231"/>
      <c r="AB146" s="231"/>
      <c r="AC146" s="231"/>
      <c r="AD146" s="231"/>
      <c r="AE146" s="231"/>
      <c r="AF146" s="231"/>
      <c r="AG146" s="231"/>
      <c r="AH146" s="231"/>
      <c r="AI146" s="231"/>
    </row>
    <row r="147" spans="1:35" s="203" customFormat="1">
      <c r="A147" s="120">
        <v>41</v>
      </c>
      <c r="B147" s="47" t="s">
        <v>119</v>
      </c>
      <c r="C147" s="47"/>
      <c r="D147" s="47"/>
      <c r="E147" s="49">
        <v>389</v>
      </c>
      <c r="F147" s="52">
        <v>401</v>
      </c>
      <c r="G147" s="118"/>
      <c r="H147" s="122">
        <v>384</v>
      </c>
      <c r="I147" s="139"/>
      <c r="J147" s="231"/>
      <c r="K147" s="231"/>
      <c r="L147" s="231"/>
      <c r="M147" s="231"/>
      <c r="N147" s="231"/>
      <c r="O147" s="231"/>
      <c r="P147" s="231"/>
      <c r="Q147" s="231"/>
      <c r="R147" s="231"/>
      <c r="S147" s="231"/>
      <c r="T147" s="231"/>
      <c r="U147" s="231"/>
      <c r="V147" s="231"/>
      <c r="W147" s="231"/>
      <c r="X147" s="231"/>
      <c r="Y147" s="231"/>
      <c r="Z147" s="231"/>
      <c r="AA147" s="231"/>
      <c r="AB147" s="231"/>
      <c r="AC147" s="231"/>
      <c r="AD147" s="231"/>
      <c r="AE147" s="231"/>
      <c r="AF147" s="231"/>
      <c r="AG147" s="231"/>
      <c r="AH147" s="231"/>
      <c r="AI147" s="231"/>
    </row>
    <row r="148" spans="1:35" s="203" customFormat="1">
      <c r="A148" s="120">
        <v>42</v>
      </c>
      <c r="B148" s="47" t="s">
        <v>120</v>
      </c>
      <c r="C148" s="47"/>
      <c r="D148" s="47"/>
      <c r="E148" s="49">
        <v>0</v>
      </c>
      <c r="F148" s="52">
        <v>0</v>
      </c>
      <c r="G148" s="118"/>
      <c r="H148" s="122">
        <v>0</v>
      </c>
      <c r="I148" s="139"/>
      <c r="J148" s="231"/>
      <c r="K148" s="231"/>
      <c r="L148" s="231"/>
      <c r="M148" s="231"/>
      <c r="N148" s="231"/>
      <c r="O148" s="231"/>
      <c r="P148" s="231"/>
      <c r="Q148" s="231"/>
      <c r="R148" s="231"/>
      <c r="S148" s="231"/>
      <c r="T148" s="231"/>
      <c r="U148" s="231"/>
      <c r="V148" s="231"/>
      <c r="W148" s="231"/>
      <c r="X148" s="231"/>
      <c r="Y148" s="231"/>
      <c r="Z148" s="231"/>
      <c r="AA148" s="231"/>
      <c r="AB148" s="231"/>
      <c r="AC148" s="231"/>
      <c r="AD148" s="231"/>
      <c r="AE148" s="231"/>
      <c r="AF148" s="231"/>
      <c r="AG148" s="231"/>
      <c r="AH148" s="231"/>
      <c r="AI148" s="231"/>
    </row>
    <row r="149" spans="1:35" s="203" customFormat="1">
      <c r="A149" s="120">
        <v>43</v>
      </c>
      <c r="B149" s="47" t="s">
        <v>121</v>
      </c>
      <c r="C149" s="47"/>
      <c r="D149" s="47"/>
      <c r="E149" s="49">
        <v>-198</v>
      </c>
      <c r="F149" s="52">
        <v>-4</v>
      </c>
      <c r="G149" s="118"/>
      <c r="H149" s="100">
        <v>45</v>
      </c>
      <c r="I149" s="139"/>
      <c r="J149" s="231"/>
      <c r="K149" s="231"/>
      <c r="L149" s="231"/>
      <c r="M149" s="231"/>
      <c r="N149" s="231"/>
      <c r="O149" s="231"/>
      <c r="P149" s="231"/>
      <c r="Q149" s="231"/>
      <c r="R149" s="231"/>
      <c r="S149" s="231"/>
      <c r="T149" s="231"/>
      <c r="U149" s="231"/>
      <c r="V149" s="231"/>
      <c r="W149" s="231"/>
      <c r="X149" s="231"/>
      <c r="Y149" s="231"/>
      <c r="Z149" s="231"/>
      <c r="AA149" s="231"/>
      <c r="AB149" s="231"/>
      <c r="AC149" s="231"/>
      <c r="AD149" s="231"/>
      <c r="AE149" s="231"/>
      <c r="AF149" s="231"/>
      <c r="AG149" s="231"/>
      <c r="AH149" s="231"/>
      <c r="AI149" s="231"/>
    </row>
    <row r="150" spans="1:35" s="203" customFormat="1">
      <c r="A150" s="124">
        <v>44</v>
      </c>
      <c r="B150" s="94" t="s">
        <v>130</v>
      </c>
      <c r="C150" s="94"/>
      <c r="D150" s="94"/>
      <c r="E150" s="80">
        <v>2003</v>
      </c>
      <c r="F150" s="142">
        <f>SUM(F146:F149)</f>
        <v>2211</v>
      </c>
      <c r="G150" s="118"/>
      <c r="H150" s="142">
        <f>SUM(H146:H149)</f>
        <v>2323</v>
      </c>
      <c r="I150" s="139"/>
      <c r="J150" s="231"/>
      <c r="K150" s="231"/>
      <c r="L150" s="231"/>
      <c r="M150" s="231"/>
      <c r="N150" s="231"/>
      <c r="O150" s="231"/>
      <c r="P150" s="231"/>
      <c r="Q150" s="231"/>
      <c r="R150" s="231"/>
      <c r="S150" s="231"/>
      <c r="T150" s="231"/>
      <c r="U150" s="231"/>
      <c r="V150" s="231"/>
      <c r="W150" s="231"/>
      <c r="X150" s="231"/>
      <c r="Y150" s="231"/>
      <c r="Z150" s="231"/>
      <c r="AA150" s="231"/>
      <c r="AB150" s="231"/>
      <c r="AC150" s="231"/>
      <c r="AD150" s="231"/>
      <c r="AE150" s="231"/>
      <c r="AF150" s="231"/>
      <c r="AG150" s="231"/>
      <c r="AH150" s="231"/>
      <c r="AI150" s="231"/>
    </row>
    <row r="151" spans="1:35" s="203" customFormat="1">
      <c r="A151" s="148"/>
      <c r="B151" s="129"/>
      <c r="C151" s="129"/>
      <c r="D151" s="149"/>
      <c r="E151" s="150"/>
      <c r="F151" s="29"/>
      <c r="G151" s="29"/>
      <c r="H151" s="207"/>
      <c r="I151" s="29"/>
      <c r="J151" s="231"/>
      <c r="K151" s="231"/>
      <c r="L151" s="231"/>
      <c r="M151" s="231"/>
      <c r="N151" s="231"/>
      <c r="O151" s="231"/>
      <c r="P151" s="231"/>
      <c r="Q151" s="231"/>
      <c r="R151" s="231"/>
      <c r="S151" s="231"/>
      <c r="T151" s="231"/>
      <c r="U151" s="231"/>
      <c r="V151" s="231"/>
      <c r="W151" s="231"/>
      <c r="X151" s="231"/>
      <c r="Y151" s="231"/>
      <c r="Z151" s="231"/>
      <c r="AA151" s="231"/>
      <c r="AB151" s="231"/>
      <c r="AC151" s="231"/>
      <c r="AD151" s="231"/>
      <c r="AE151" s="231"/>
      <c r="AF151" s="231"/>
      <c r="AG151" s="231"/>
      <c r="AH151" s="231"/>
      <c r="AI151" s="231"/>
    </row>
    <row r="152" spans="1:35" s="203" customFormat="1">
      <c r="A152" s="148"/>
      <c r="B152" s="129"/>
      <c r="C152" s="129"/>
      <c r="D152" s="151"/>
      <c r="E152" s="152"/>
      <c r="F152" s="29"/>
      <c r="G152" s="29"/>
      <c r="H152" s="131" t="s">
        <v>27</v>
      </c>
      <c r="I152" s="29"/>
      <c r="J152" s="231"/>
      <c r="K152" s="231"/>
      <c r="L152" s="231"/>
      <c r="M152" s="231"/>
      <c r="N152" s="231"/>
      <c r="O152" s="231"/>
      <c r="P152" s="231"/>
      <c r="Q152" s="231"/>
      <c r="R152" s="231"/>
      <c r="S152" s="231"/>
      <c r="T152" s="231"/>
      <c r="U152" s="231"/>
      <c r="V152" s="231"/>
      <c r="W152" s="231"/>
      <c r="X152" s="231"/>
      <c r="Y152" s="231"/>
      <c r="Z152" s="231"/>
      <c r="AA152" s="231"/>
      <c r="AB152" s="231"/>
      <c r="AC152" s="231"/>
      <c r="AD152" s="231"/>
      <c r="AE152" s="231"/>
      <c r="AF152" s="231"/>
      <c r="AG152" s="231"/>
      <c r="AH152" s="231"/>
      <c r="AI152" s="231"/>
    </row>
    <row r="153" spans="1:35" s="203" customFormat="1">
      <c r="A153" s="106" t="s">
        <v>20</v>
      </c>
      <c r="B153" s="107"/>
      <c r="C153" s="107"/>
      <c r="D153" s="107"/>
      <c r="E153" s="856" t="s">
        <v>377</v>
      </c>
      <c r="F153" s="856" t="s">
        <v>402</v>
      </c>
      <c r="G153" s="130"/>
      <c r="H153" s="856" t="s">
        <v>403</v>
      </c>
      <c r="I153" s="130"/>
      <c r="J153" s="231"/>
      <c r="K153" s="231"/>
      <c r="L153" s="231"/>
      <c r="M153" s="231"/>
      <c r="N153" s="231"/>
      <c r="O153" s="231"/>
      <c r="P153" s="231"/>
      <c r="Q153" s="231"/>
      <c r="R153" s="231"/>
      <c r="S153" s="231"/>
      <c r="T153" s="231"/>
      <c r="U153" s="231"/>
      <c r="V153" s="231"/>
      <c r="W153" s="231"/>
      <c r="X153" s="231"/>
      <c r="Y153" s="231"/>
      <c r="Z153" s="231"/>
      <c r="AA153" s="231"/>
      <c r="AB153" s="231"/>
      <c r="AC153" s="231"/>
      <c r="AD153" s="231"/>
      <c r="AE153" s="231"/>
      <c r="AF153" s="231"/>
      <c r="AG153" s="231"/>
      <c r="AH153" s="231"/>
      <c r="AI153" s="231"/>
    </row>
    <row r="154" spans="1:35" s="203" customFormat="1">
      <c r="A154" s="153"/>
      <c r="B154" s="132"/>
      <c r="C154" s="132"/>
      <c r="D154" s="132"/>
      <c r="E154" s="859"/>
      <c r="F154" s="859"/>
      <c r="G154" s="130"/>
      <c r="H154" s="859"/>
      <c r="I154" s="130"/>
      <c r="J154" s="231"/>
      <c r="K154" s="231"/>
      <c r="L154" s="231"/>
      <c r="M154" s="231"/>
      <c r="N154" s="231"/>
      <c r="O154" s="231"/>
      <c r="P154" s="231"/>
      <c r="Q154" s="231"/>
      <c r="R154" s="231"/>
      <c r="S154" s="231"/>
      <c r="T154" s="231"/>
      <c r="U154" s="231"/>
      <c r="V154" s="231"/>
      <c r="W154" s="231"/>
      <c r="X154" s="231"/>
      <c r="Y154" s="231"/>
      <c r="Z154" s="231"/>
      <c r="AA154" s="231"/>
      <c r="AB154" s="231"/>
      <c r="AC154" s="231"/>
      <c r="AD154" s="231"/>
      <c r="AE154" s="231"/>
      <c r="AF154" s="231"/>
      <c r="AG154" s="231"/>
      <c r="AH154" s="231"/>
      <c r="AI154" s="231"/>
    </row>
    <row r="155" spans="1:35" s="203" customFormat="1">
      <c r="A155" s="154" t="s">
        <v>131</v>
      </c>
      <c r="B155" s="116"/>
      <c r="C155" s="116"/>
      <c r="D155" s="116"/>
      <c r="E155" s="859"/>
      <c r="F155" s="859"/>
      <c r="G155" s="130"/>
      <c r="H155" s="859"/>
      <c r="I155" s="130"/>
      <c r="J155" s="231"/>
      <c r="K155" s="231"/>
      <c r="L155" s="231"/>
      <c r="M155" s="231"/>
      <c r="N155" s="231"/>
      <c r="O155" s="231"/>
      <c r="P155" s="231"/>
      <c r="Q155" s="231"/>
      <c r="R155" s="231"/>
      <c r="S155" s="231"/>
      <c r="T155" s="231"/>
      <c r="U155" s="231"/>
      <c r="V155" s="231"/>
      <c r="W155" s="231"/>
      <c r="X155" s="231"/>
      <c r="Y155" s="231"/>
      <c r="Z155" s="231"/>
      <c r="AA155" s="231"/>
      <c r="AB155" s="231"/>
      <c r="AC155" s="231"/>
      <c r="AD155" s="231"/>
      <c r="AE155" s="231"/>
      <c r="AF155" s="231"/>
      <c r="AG155" s="231"/>
      <c r="AH155" s="231"/>
      <c r="AI155" s="231"/>
    </row>
    <row r="156" spans="1:35" s="203" customFormat="1" ht="12.75" customHeight="1">
      <c r="A156" s="109" t="s">
        <v>83</v>
      </c>
      <c r="B156" s="47"/>
      <c r="C156" s="47"/>
      <c r="D156" s="47"/>
      <c r="E156" s="859"/>
      <c r="F156" s="859"/>
      <c r="G156" s="130"/>
      <c r="H156" s="859"/>
      <c r="I156" s="130"/>
      <c r="J156" s="231"/>
      <c r="K156" s="231"/>
      <c r="L156" s="231"/>
      <c r="M156" s="231"/>
      <c r="N156" s="231"/>
      <c r="O156" s="231"/>
      <c r="P156" s="231"/>
      <c r="Q156" s="231"/>
      <c r="R156" s="231"/>
      <c r="S156" s="231"/>
      <c r="T156" s="231"/>
      <c r="U156" s="231"/>
      <c r="V156" s="231"/>
      <c r="W156" s="231"/>
      <c r="X156" s="231"/>
      <c r="Y156" s="231"/>
      <c r="Z156" s="231"/>
      <c r="AA156" s="231"/>
      <c r="AB156" s="231"/>
      <c r="AC156" s="231"/>
      <c r="AD156" s="231"/>
      <c r="AE156" s="231"/>
      <c r="AF156" s="231"/>
      <c r="AG156" s="231"/>
      <c r="AH156" s="231"/>
      <c r="AI156" s="231"/>
    </row>
    <row r="157" spans="1:35" s="203" customFormat="1">
      <c r="A157" s="110" t="s">
        <v>84</v>
      </c>
      <c r="B157" s="132"/>
      <c r="C157" s="132"/>
      <c r="D157" s="132"/>
      <c r="E157" s="860"/>
      <c r="F157" s="860"/>
      <c r="G157" s="130"/>
      <c r="H157" s="860"/>
      <c r="I157" s="130"/>
      <c r="J157" s="231"/>
      <c r="K157" s="231"/>
      <c r="L157" s="231"/>
      <c r="M157" s="231"/>
      <c r="N157" s="231"/>
      <c r="O157" s="231"/>
      <c r="P157" s="231"/>
      <c r="Q157" s="231"/>
      <c r="R157" s="231"/>
      <c r="S157" s="231"/>
      <c r="T157" s="231"/>
      <c r="U157" s="231"/>
      <c r="V157" s="231"/>
      <c r="W157" s="231"/>
      <c r="X157" s="231"/>
      <c r="Y157" s="231"/>
      <c r="Z157" s="231"/>
      <c r="AA157" s="231"/>
      <c r="AB157" s="231"/>
      <c r="AC157" s="231"/>
      <c r="AD157" s="231"/>
      <c r="AE157" s="231"/>
      <c r="AF157" s="231"/>
      <c r="AG157" s="231"/>
      <c r="AH157" s="231"/>
      <c r="AI157" s="231"/>
    </row>
    <row r="158" spans="1:35" s="203" customFormat="1">
      <c r="A158" s="119" t="s">
        <v>132</v>
      </c>
      <c r="B158" s="47"/>
      <c r="C158" s="47"/>
      <c r="D158" s="47"/>
      <c r="E158" s="155"/>
      <c r="F158" s="146" t="s">
        <v>133</v>
      </c>
      <c r="G158" s="118"/>
      <c r="H158" s="146"/>
      <c r="I158" s="29"/>
      <c r="J158" s="231"/>
      <c r="K158" s="231"/>
      <c r="L158" s="231"/>
      <c r="M158" s="231"/>
      <c r="N158" s="231"/>
      <c r="O158" s="231"/>
      <c r="P158" s="231"/>
      <c r="Q158" s="231"/>
      <c r="R158" s="231"/>
      <c r="S158" s="231"/>
      <c r="T158" s="231"/>
      <c r="U158" s="231"/>
      <c r="V158" s="231"/>
      <c r="W158" s="231"/>
      <c r="X158" s="231"/>
      <c r="Y158" s="231"/>
      <c r="Z158" s="231"/>
      <c r="AA158" s="231"/>
      <c r="AB158" s="231"/>
      <c r="AC158" s="231"/>
      <c r="AD158" s="231"/>
      <c r="AE158" s="231"/>
      <c r="AF158" s="231"/>
      <c r="AG158" s="231"/>
      <c r="AH158" s="231"/>
      <c r="AI158" s="231"/>
    </row>
    <row r="159" spans="1:35" s="203" customFormat="1">
      <c r="A159" s="120">
        <v>1</v>
      </c>
      <c r="B159" s="47" t="s">
        <v>134</v>
      </c>
      <c r="C159" s="47"/>
      <c r="D159" s="47"/>
      <c r="E159" s="74">
        <v>159</v>
      </c>
      <c r="F159" s="52">
        <v>248</v>
      </c>
      <c r="G159" s="118"/>
      <c r="H159" s="122">
        <v>190</v>
      </c>
      <c r="I159" s="29"/>
      <c r="J159" s="231"/>
      <c r="K159" s="231"/>
      <c r="L159" s="231"/>
      <c r="M159" s="231"/>
      <c r="N159" s="231"/>
      <c r="O159" s="231"/>
      <c r="P159" s="231"/>
      <c r="Q159" s="231"/>
      <c r="R159" s="231"/>
      <c r="S159" s="231"/>
      <c r="T159" s="231"/>
      <c r="U159" s="231"/>
      <c r="V159" s="231"/>
      <c r="W159" s="231"/>
      <c r="X159" s="231"/>
      <c r="Y159" s="231"/>
      <c r="Z159" s="231"/>
      <c r="AA159" s="231"/>
      <c r="AB159" s="231"/>
      <c r="AC159" s="231"/>
      <c r="AD159" s="231"/>
      <c r="AE159" s="231"/>
      <c r="AF159" s="231"/>
      <c r="AG159" s="231"/>
      <c r="AH159" s="231"/>
      <c r="AI159" s="231"/>
    </row>
    <row r="160" spans="1:35" s="203" customFormat="1">
      <c r="A160" s="120">
        <v>2</v>
      </c>
      <c r="B160" s="47" t="s">
        <v>135</v>
      </c>
      <c r="C160" s="47"/>
      <c r="D160" s="47"/>
      <c r="E160" s="49">
        <v>991</v>
      </c>
      <c r="F160" s="52">
        <v>928</v>
      </c>
      <c r="G160" s="118"/>
      <c r="H160" s="122">
        <v>979</v>
      </c>
      <c r="I160" s="29"/>
      <c r="J160" s="231"/>
      <c r="K160" s="231"/>
      <c r="L160" s="231"/>
      <c r="M160" s="231"/>
      <c r="N160" s="231"/>
      <c r="O160" s="231"/>
      <c r="P160" s="231"/>
      <c r="Q160" s="231"/>
      <c r="R160" s="231"/>
      <c r="S160" s="231"/>
      <c r="T160" s="231"/>
      <c r="U160" s="231"/>
      <c r="V160" s="231"/>
      <c r="W160" s="231"/>
      <c r="X160" s="231"/>
      <c r="Y160" s="231"/>
      <c r="Z160" s="231"/>
      <c r="AA160" s="231"/>
      <c r="AB160" s="231"/>
      <c r="AC160" s="231"/>
      <c r="AD160" s="231"/>
      <c r="AE160" s="231"/>
      <c r="AF160" s="231"/>
      <c r="AG160" s="231"/>
      <c r="AH160" s="231"/>
      <c r="AI160" s="231"/>
    </row>
    <row r="161" spans="1:35" s="203" customFormat="1">
      <c r="A161" s="120">
        <v>3</v>
      </c>
      <c r="B161" s="47" t="s">
        <v>136</v>
      </c>
      <c r="C161" s="47"/>
      <c r="D161" s="47"/>
      <c r="E161" s="114">
        <v>2043</v>
      </c>
      <c r="F161" s="52">
        <v>2623</v>
      </c>
      <c r="G161" s="118"/>
      <c r="H161" s="122">
        <v>2255</v>
      </c>
      <c r="I161" s="29"/>
      <c r="J161" s="231"/>
      <c r="K161" s="231"/>
      <c r="L161" s="231"/>
      <c r="M161" s="231"/>
      <c r="N161" s="231"/>
      <c r="O161" s="231"/>
      <c r="P161" s="231"/>
      <c r="Q161" s="231"/>
      <c r="R161" s="231"/>
      <c r="S161" s="231"/>
      <c r="T161" s="231"/>
      <c r="U161" s="231"/>
      <c r="V161" s="231"/>
      <c r="W161" s="231"/>
      <c r="X161" s="231"/>
      <c r="Y161" s="231"/>
      <c r="Z161" s="231"/>
      <c r="AA161" s="231"/>
      <c r="AB161" s="231"/>
      <c r="AC161" s="231"/>
      <c r="AD161" s="231"/>
      <c r="AE161" s="231"/>
      <c r="AF161" s="231"/>
      <c r="AG161" s="231"/>
      <c r="AH161" s="231"/>
      <c r="AI161" s="231"/>
    </row>
    <row r="162" spans="1:35" s="203" customFormat="1">
      <c r="A162" s="120">
        <v>4</v>
      </c>
      <c r="B162" s="47" t="s">
        <v>137</v>
      </c>
      <c r="C162" s="47"/>
      <c r="D162" s="47"/>
      <c r="E162" s="114">
        <v>436</v>
      </c>
      <c r="F162" s="52">
        <v>394</v>
      </c>
      <c r="G162" s="118"/>
      <c r="H162" s="100">
        <v>443</v>
      </c>
      <c r="I162" s="29"/>
      <c r="J162" s="231"/>
      <c r="K162" s="231"/>
      <c r="L162" s="231"/>
      <c r="M162" s="231"/>
      <c r="N162" s="231"/>
      <c r="O162" s="231"/>
      <c r="P162" s="231"/>
      <c r="Q162" s="231"/>
      <c r="R162" s="231"/>
      <c r="S162" s="231"/>
      <c r="T162" s="231"/>
      <c r="U162" s="231"/>
      <c r="V162" s="231"/>
      <c r="W162" s="231"/>
      <c r="X162" s="231"/>
      <c r="Y162" s="231"/>
      <c r="Z162" s="231"/>
      <c r="AA162" s="231"/>
      <c r="AB162" s="231"/>
      <c r="AC162" s="231"/>
      <c r="AD162" s="231"/>
      <c r="AE162" s="231"/>
      <c r="AF162" s="231"/>
      <c r="AG162" s="231"/>
      <c r="AH162" s="231"/>
      <c r="AI162" s="231"/>
    </row>
    <row r="163" spans="1:35" s="203" customFormat="1">
      <c r="A163" s="120">
        <v>5</v>
      </c>
      <c r="B163" s="116" t="s">
        <v>138</v>
      </c>
      <c r="C163" s="116"/>
      <c r="D163" s="116"/>
      <c r="E163" s="80">
        <v>3629</v>
      </c>
      <c r="F163" s="142">
        <f>SUM(F159:F162)</f>
        <v>4193</v>
      </c>
      <c r="G163" s="118"/>
      <c r="H163" s="142">
        <f>SUM(H159:H162)</f>
        <v>3867</v>
      </c>
      <c r="I163" s="29"/>
      <c r="J163" s="231"/>
      <c r="K163" s="231"/>
      <c r="L163" s="231"/>
      <c r="M163" s="231"/>
      <c r="N163" s="231"/>
      <c r="O163" s="231"/>
      <c r="P163" s="231"/>
      <c r="Q163" s="231"/>
      <c r="R163" s="231"/>
      <c r="S163" s="231"/>
      <c r="T163" s="231"/>
      <c r="U163" s="231"/>
      <c r="V163" s="231"/>
      <c r="W163" s="231"/>
      <c r="X163" s="231"/>
      <c r="Y163" s="231"/>
      <c r="Z163" s="231"/>
      <c r="AA163" s="231"/>
      <c r="AB163" s="231"/>
      <c r="AC163" s="231"/>
      <c r="AD163" s="231"/>
      <c r="AE163" s="231"/>
      <c r="AF163" s="231"/>
      <c r="AG163" s="231"/>
      <c r="AH163" s="231"/>
      <c r="AI163" s="231"/>
    </row>
    <row r="164" spans="1:35" s="203" customFormat="1">
      <c r="A164" s="46"/>
      <c r="B164" s="132"/>
      <c r="C164" s="132"/>
      <c r="D164" s="132"/>
      <c r="E164" s="156"/>
      <c r="F164" s="139"/>
      <c r="G164" s="118"/>
      <c r="H164" s="139"/>
      <c r="I164" s="29"/>
      <c r="J164" s="231"/>
      <c r="K164" s="231"/>
      <c r="L164" s="231"/>
      <c r="M164" s="231"/>
      <c r="N164" s="231"/>
      <c r="O164" s="231"/>
      <c r="P164" s="231"/>
      <c r="Q164" s="231"/>
      <c r="R164" s="231"/>
      <c r="S164" s="231"/>
      <c r="T164" s="231"/>
      <c r="U164" s="231"/>
      <c r="V164" s="231"/>
      <c r="W164" s="231"/>
      <c r="X164" s="231"/>
      <c r="Y164" s="231"/>
      <c r="Z164" s="231"/>
      <c r="AA164" s="231"/>
      <c r="AB164" s="231"/>
      <c r="AC164" s="231"/>
      <c r="AD164" s="231"/>
      <c r="AE164" s="231"/>
      <c r="AF164" s="231"/>
      <c r="AG164" s="231"/>
      <c r="AH164" s="231"/>
      <c r="AI164" s="231"/>
    </row>
    <row r="165" spans="1:35" s="203" customFormat="1">
      <c r="A165" s="119" t="s">
        <v>139</v>
      </c>
      <c r="B165" s="47"/>
      <c r="C165" s="47"/>
      <c r="D165" s="47"/>
      <c r="E165" s="140"/>
      <c r="F165" s="146"/>
      <c r="G165" s="118"/>
      <c r="H165" s="146"/>
      <c r="I165" s="29"/>
      <c r="J165" s="231"/>
      <c r="K165" s="231"/>
      <c r="L165" s="231"/>
      <c r="M165" s="231"/>
      <c r="N165" s="231"/>
      <c r="O165" s="231"/>
      <c r="P165" s="231"/>
      <c r="Q165" s="231"/>
      <c r="R165" s="231"/>
      <c r="S165" s="231"/>
      <c r="T165" s="231"/>
      <c r="U165" s="231"/>
      <c r="V165" s="231"/>
      <c r="W165" s="231"/>
      <c r="X165" s="231"/>
      <c r="Y165" s="231"/>
      <c r="Z165" s="231"/>
      <c r="AA165" s="231"/>
      <c r="AB165" s="231"/>
      <c r="AC165" s="231"/>
      <c r="AD165" s="231"/>
      <c r="AE165" s="231"/>
      <c r="AF165" s="231"/>
      <c r="AG165" s="231"/>
      <c r="AH165" s="231"/>
      <c r="AI165" s="231"/>
    </row>
    <row r="166" spans="1:35" s="203" customFormat="1">
      <c r="A166" s="120">
        <v>6</v>
      </c>
      <c r="B166" s="47" t="s">
        <v>140</v>
      </c>
      <c r="C166" s="47"/>
      <c r="D166" s="47"/>
      <c r="E166" s="74">
        <v>17</v>
      </c>
      <c r="F166" s="52">
        <v>12</v>
      </c>
      <c r="G166" s="118"/>
      <c r="H166" s="122">
        <v>18</v>
      </c>
      <c r="I166" s="29"/>
      <c r="J166" s="231"/>
      <c r="K166" s="231"/>
      <c r="L166" s="231"/>
      <c r="M166" s="231"/>
      <c r="N166" s="231"/>
      <c r="O166" s="231"/>
      <c r="P166" s="231"/>
      <c r="Q166" s="231"/>
      <c r="R166" s="231"/>
      <c r="S166" s="231"/>
      <c r="T166" s="231"/>
      <c r="U166" s="231"/>
      <c r="V166" s="231"/>
      <c r="W166" s="231"/>
      <c r="X166" s="231"/>
      <c r="Y166" s="231"/>
      <c r="Z166" s="231"/>
      <c r="AA166" s="231"/>
      <c r="AB166" s="231"/>
      <c r="AC166" s="231"/>
      <c r="AD166" s="231"/>
      <c r="AE166" s="231"/>
      <c r="AF166" s="231"/>
      <c r="AG166" s="231"/>
      <c r="AH166" s="231"/>
      <c r="AI166" s="231"/>
    </row>
    <row r="167" spans="1:35" s="203" customFormat="1">
      <c r="A167" s="120">
        <v>7</v>
      </c>
      <c r="B167" s="47" t="s">
        <v>141</v>
      </c>
      <c r="C167" s="47"/>
      <c r="D167" s="47"/>
      <c r="E167" s="49">
        <v>43</v>
      </c>
      <c r="F167" s="52">
        <v>43</v>
      </c>
      <c r="G167" s="118"/>
      <c r="H167" s="122">
        <v>48</v>
      </c>
      <c r="I167" s="29"/>
      <c r="J167" s="231"/>
      <c r="K167" s="231"/>
      <c r="L167" s="231"/>
      <c r="M167" s="231"/>
      <c r="N167" s="231"/>
      <c r="O167" s="231"/>
      <c r="P167" s="231"/>
      <c r="Q167" s="231"/>
      <c r="R167" s="231"/>
      <c r="S167" s="231"/>
      <c r="T167" s="231"/>
      <c r="U167" s="231"/>
      <c r="V167" s="231"/>
      <c r="W167" s="231"/>
      <c r="X167" s="231"/>
      <c r="Y167" s="231"/>
      <c r="Z167" s="231"/>
      <c r="AA167" s="231"/>
      <c r="AB167" s="231"/>
      <c r="AC167" s="231"/>
      <c r="AD167" s="231"/>
      <c r="AE167" s="231"/>
      <c r="AF167" s="231"/>
      <c r="AG167" s="231"/>
      <c r="AH167" s="231"/>
      <c r="AI167" s="231"/>
    </row>
    <row r="168" spans="1:35" s="203" customFormat="1">
      <c r="A168" s="120">
        <v>8</v>
      </c>
      <c r="B168" s="47" t="s">
        <v>121</v>
      </c>
      <c r="C168" s="47"/>
      <c r="D168" s="47"/>
      <c r="E168" s="49">
        <v>529</v>
      </c>
      <c r="F168" s="52">
        <v>557</v>
      </c>
      <c r="G168" s="118"/>
      <c r="H168" s="100">
        <v>511</v>
      </c>
      <c r="I168" s="29"/>
      <c r="J168" s="231"/>
      <c r="K168" s="231"/>
      <c r="L168" s="231"/>
      <c r="M168" s="231"/>
      <c r="N168" s="231"/>
      <c r="O168" s="231"/>
      <c r="P168" s="231"/>
      <c r="Q168" s="231"/>
      <c r="R168" s="231"/>
      <c r="S168" s="231"/>
      <c r="T168" s="231"/>
      <c r="U168" s="231"/>
      <c r="V168" s="231"/>
      <c r="W168" s="231"/>
      <c r="X168" s="231"/>
      <c r="Y168" s="231"/>
      <c r="Z168" s="231"/>
      <c r="AA168" s="231"/>
      <c r="AB168" s="231"/>
      <c r="AC168" s="231"/>
      <c r="AD168" s="231"/>
      <c r="AE168" s="231"/>
      <c r="AF168" s="231"/>
      <c r="AG168" s="231"/>
      <c r="AH168" s="231"/>
      <c r="AI168" s="231"/>
    </row>
    <row r="169" spans="1:35" s="203" customFormat="1">
      <c r="A169" s="120">
        <v>9</v>
      </c>
      <c r="B169" s="116" t="s">
        <v>142</v>
      </c>
      <c r="C169" s="116"/>
      <c r="D169" s="116"/>
      <c r="E169" s="80">
        <v>589</v>
      </c>
      <c r="F169" s="142">
        <f>SUM(F166:F168)</f>
        <v>612</v>
      </c>
      <c r="G169" s="118"/>
      <c r="H169" s="142">
        <f>SUM(H166:H168)</f>
        <v>577</v>
      </c>
      <c r="I169" s="29"/>
      <c r="J169" s="231"/>
      <c r="K169" s="231"/>
      <c r="L169" s="231"/>
      <c r="M169" s="231"/>
      <c r="N169" s="231"/>
      <c r="O169" s="231"/>
      <c r="P169" s="231"/>
      <c r="Q169" s="231"/>
      <c r="R169" s="231"/>
      <c r="S169" s="231"/>
      <c r="T169" s="231"/>
      <c r="U169" s="231"/>
      <c r="V169" s="231"/>
      <c r="W169" s="231"/>
      <c r="X169" s="231"/>
      <c r="Y169" s="231"/>
      <c r="Z169" s="231"/>
      <c r="AA169" s="231"/>
      <c r="AB169" s="231"/>
      <c r="AC169" s="231"/>
      <c r="AD169" s="231"/>
      <c r="AE169" s="231"/>
      <c r="AF169" s="231"/>
      <c r="AG169" s="231"/>
      <c r="AH169" s="231"/>
      <c r="AI169" s="231"/>
    </row>
    <row r="170" spans="1:35" s="203" customFormat="1">
      <c r="A170" s="46"/>
      <c r="B170" s="132"/>
      <c r="C170" s="132"/>
      <c r="D170" s="132"/>
      <c r="E170" s="156"/>
      <c r="F170" s="139"/>
      <c r="G170" s="118"/>
      <c r="H170" s="139"/>
      <c r="I170" s="29"/>
      <c r="J170" s="231"/>
      <c r="K170" s="231"/>
      <c r="L170" s="231"/>
      <c r="M170" s="231"/>
      <c r="N170" s="231"/>
      <c r="O170" s="231"/>
      <c r="P170" s="231"/>
      <c r="Q170" s="231"/>
      <c r="R170" s="231"/>
      <c r="S170" s="231"/>
      <c r="T170" s="231"/>
      <c r="U170" s="231"/>
      <c r="V170" s="231"/>
      <c r="W170" s="231"/>
      <c r="X170" s="231"/>
      <c r="Y170" s="231"/>
      <c r="Z170" s="231"/>
      <c r="AA170" s="231"/>
      <c r="AB170" s="231"/>
      <c r="AC170" s="231"/>
      <c r="AD170" s="231"/>
      <c r="AE170" s="231"/>
      <c r="AF170" s="231"/>
      <c r="AG170" s="231"/>
      <c r="AH170" s="231"/>
      <c r="AI170" s="231"/>
    </row>
    <row r="171" spans="1:35" s="203" customFormat="1">
      <c r="A171" s="120">
        <v>10</v>
      </c>
      <c r="B171" s="47" t="s">
        <v>143</v>
      </c>
      <c r="C171" s="47"/>
      <c r="D171" s="47"/>
      <c r="E171" s="41">
        <v>17</v>
      </c>
      <c r="F171" s="121">
        <v>17</v>
      </c>
      <c r="G171" s="118"/>
      <c r="H171" s="133">
        <v>18</v>
      </c>
      <c r="I171" s="29"/>
      <c r="J171" s="231"/>
      <c r="K171" s="231"/>
      <c r="L171" s="231"/>
      <c r="M171" s="231"/>
      <c r="N171" s="231"/>
      <c r="O171" s="231"/>
      <c r="P171" s="231"/>
      <c r="Q171" s="231"/>
      <c r="R171" s="231"/>
      <c r="S171" s="231"/>
      <c r="T171" s="231"/>
      <c r="U171" s="231"/>
      <c r="V171" s="231"/>
      <c r="W171" s="231"/>
      <c r="X171" s="231"/>
      <c r="Y171" s="231"/>
      <c r="Z171" s="231"/>
      <c r="AA171" s="231"/>
      <c r="AB171" s="231"/>
      <c r="AC171" s="231"/>
      <c r="AD171" s="231"/>
      <c r="AE171" s="231"/>
      <c r="AF171" s="231"/>
      <c r="AG171" s="231"/>
      <c r="AH171" s="231"/>
      <c r="AI171" s="231"/>
    </row>
    <row r="172" spans="1:35" s="203" customFormat="1">
      <c r="A172" s="120">
        <v>11</v>
      </c>
      <c r="B172" s="47" t="s">
        <v>144</v>
      </c>
      <c r="C172" s="47"/>
      <c r="D172" s="47"/>
      <c r="E172" s="56">
        <v>13041</v>
      </c>
      <c r="F172" s="126">
        <v>13860</v>
      </c>
      <c r="G172" s="118"/>
      <c r="H172" s="100">
        <v>14017</v>
      </c>
      <c r="I172" s="29"/>
      <c r="J172" s="231"/>
      <c r="K172" s="231"/>
      <c r="L172" s="231"/>
      <c r="M172" s="231"/>
      <c r="N172" s="231"/>
      <c r="O172" s="231"/>
      <c r="P172" s="231"/>
      <c r="Q172" s="231"/>
      <c r="R172" s="231"/>
      <c r="S172" s="231"/>
      <c r="T172" s="231"/>
      <c r="U172" s="231"/>
      <c r="V172" s="231"/>
      <c r="W172" s="231"/>
      <c r="X172" s="231"/>
      <c r="Y172" s="231"/>
      <c r="Z172" s="231"/>
      <c r="AA172" s="231"/>
      <c r="AB172" s="231"/>
      <c r="AC172" s="231"/>
      <c r="AD172" s="231"/>
      <c r="AE172" s="231"/>
      <c r="AF172" s="231"/>
      <c r="AG172" s="231"/>
      <c r="AH172" s="231"/>
      <c r="AI172" s="231"/>
    </row>
    <row r="173" spans="1:35" s="203" customFormat="1">
      <c r="A173" s="46"/>
      <c r="B173" s="132"/>
      <c r="C173" s="132"/>
      <c r="D173" s="132"/>
      <c r="E173" s="156"/>
      <c r="F173" s="139"/>
      <c r="G173" s="118"/>
      <c r="H173" s="139"/>
      <c r="I173" s="29"/>
      <c r="J173" s="231"/>
      <c r="K173" s="231"/>
      <c r="L173" s="231"/>
      <c r="M173" s="231"/>
      <c r="N173" s="231"/>
      <c r="O173" s="231"/>
      <c r="P173" s="231"/>
      <c r="Q173" s="231"/>
      <c r="R173" s="231"/>
      <c r="S173" s="231"/>
      <c r="T173" s="231"/>
      <c r="U173" s="231"/>
      <c r="V173" s="231"/>
      <c r="W173" s="231"/>
      <c r="X173" s="231"/>
      <c r="Y173" s="231"/>
      <c r="Z173" s="231"/>
      <c r="AA173" s="231"/>
      <c r="AB173" s="231"/>
      <c r="AC173" s="231"/>
      <c r="AD173" s="231"/>
      <c r="AE173" s="231"/>
      <c r="AF173" s="231"/>
      <c r="AG173" s="231"/>
      <c r="AH173" s="231"/>
      <c r="AI173" s="231"/>
    </row>
    <row r="174" spans="1:35" s="203" customFormat="1">
      <c r="A174" s="119" t="s">
        <v>145</v>
      </c>
      <c r="B174" s="47"/>
      <c r="C174" s="47"/>
      <c r="D174" s="47"/>
      <c r="E174" s="157"/>
      <c r="F174" s="146"/>
      <c r="G174" s="118"/>
      <c r="H174" s="146"/>
      <c r="I174" s="29"/>
      <c r="J174" s="231"/>
      <c r="K174" s="231"/>
      <c r="L174" s="231"/>
      <c r="M174" s="231"/>
      <c r="N174" s="231"/>
      <c r="O174" s="231"/>
      <c r="P174" s="231"/>
      <c r="Q174" s="231"/>
      <c r="R174" s="231"/>
      <c r="S174" s="231"/>
      <c r="T174" s="231"/>
      <c r="U174" s="231"/>
      <c r="V174" s="231"/>
      <c r="W174" s="231"/>
      <c r="X174" s="231"/>
      <c r="Y174" s="231"/>
      <c r="Z174" s="231"/>
      <c r="AA174" s="231"/>
      <c r="AB174" s="231"/>
      <c r="AC174" s="231"/>
      <c r="AD174" s="231"/>
      <c r="AE174" s="231"/>
      <c r="AF174" s="231"/>
      <c r="AG174" s="231"/>
      <c r="AH174" s="231"/>
      <c r="AI174" s="231"/>
    </row>
    <row r="175" spans="1:35" s="203" customFormat="1">
      <c r="A175" s="120">
        <v>12</v>
      </c>
      <c r="B175" s="47" t="s">
        <v>146</v>
      </c>
      <c r="C175" s="47"/>
      <c r="D175" s="47"/>
      <c r="E175" s="74">
        <v>9</v>
      </c>
      <c r="F175" s="52">
        <v>10</v>
      </c>
      <c r="G175" s="118"/>
      <c r="H175" s="122">
        <v>8</v>
      </c>
      <c r="I175" s="29"/>
      <c r="J175" s="231"/>
      <c r="K175" s="231"/>
      <c r="L175" s="231"/>
      <c r="M175" s="231"/>
      <c r="N175" s="231"/>
      <c r="O175" s="231"/>
      <c r="P175" s="231"/>
      <c r="Q175" s="231"/>
      <c r="R175" s="231"/>
      <c r="S175" s="231"/>
      <c r="T175" s="231"/>
      <c r="U175" s="231"/>
      <c r="V175" s="231"/>
      <c r="W175" s="231"/>
      <c r="X175" s="231"/>
      <c r="Y175" s="231"/>
      <c r="Z175" s="231"/>
      <c r="AA175" s="231"/>
      <c r="AB175" s="231"/>
      <c r="AC175" s="231"/>
      <c r="AD175" s="231"/>
      <c r="AE175" s="231"/>
      <c r="AF175" s="231"/>
      <c r="AG175" s="231"/>
      <c r="AH175" s="231"/>
      <c r="AI175" s="231"/>
    </row>
    <row r="176" spans="1:35" s="203" customFormat="1">
      <c r="A176" s="120">
        <v>13</v>
      </c>
      <c r="B176" s="47" t="s">
        <v>147</v>
      </c>
      <c r="C176" s="47"/>
      <c r="D176" s="47"/>
      <c r="E176" s="49">
        <v>3233</v>
      </c>
      <c r="F176" s="52">
        <v>3767</v>
      </c>
      <c r="G176" s="118"/>
      <c r="H176" s="122">
        <v>3478</v>
      </c>
      <c r="I176" s="29"/>
      <c r="J176" s="231"/>
      <c r="K176" s="231"/>
      <c r="L176" s="231"/>
      <c r="M176" s="231"/>
      <c r="N176" s="231"/>
      <c r="O176" s="231"/>
      <c r="P176" s="231"/>
      <c r="Q176" s="231"/>
      <c r="R176" s="231"/>
      <c r="S176" s="231"/>
      <c r="T176" s="231"/>
      <c r="U176" s="231"/>
      <c r="V176" s="231"/>
      <c r="W176" s="231"/>
      <c r="X176" s="231"/>
      <c r="Y176" s="231"/>
      <c r="Z176" s="231"/>
      <c r="AA176" s="231"/>
      <c r="AB176" s="231"/>
      <c r="AC176" s="231"/>
      <c r="AD176" s="231"/>
      <c r="AE176" s="231"/>
      <c r="AF176" s="231"/>
      <c r="AG176" s="231"/>
      <c r="AH176" s="231"/>
      <c r="AI176" s="231"/>
    </row>
    <row r="177" spans="1:35" s="203" customFormat="1">
      <c r="A177" s="120">
        <v>14</v>
      </c>
      <c r="B177" s="47" t="s">
        <v>148</v>
      </c>
      <c r="C177" s="47"/>
      <c r="D177" s="47"/>
      <c r="E177" s="56">
        <v>76</v>
      </c>
      <c r="F177" s="52">
        <v>265</v>
      </c>
      <c r="G177" s="118"/>
      <c r="H177" s="100">
        <v>138</v>
      </c>
      <c r="I177" s="29"/>
      <c r="J177" s="231"/>
      <c r="K177" s="231"/>
      <c r="L177" s="231"/>
      <c r="M177" s="231"/>
      <c r="N177" s="231"/>
      <c r="O177" s="231"/>
      <c r="P177" s="231"/>
      <c r="Q177" s="231"/>
      <c r="R177" s="231"/>
      <c r="S177" s="231"/>
      <c r="T177" s="231"/>
      <c r="U177" s="231"/>
      <c r="V177" s="231"/>
      <c r="W177" s="231"/>
      <c r="X177" s="231"/>
      <c r="Y177" s="231"/>
      <c r="Z177" s="231"/>
      <c r="AA177" s="231"/>
      <c r="AB177" s="231"/>
      <c r="AC177" s="231"/>
      <c r="AD177" s="231"/>
      <c r="AE177" s="231"/>
      <c r="AF177" s="231"/>
      <c r="AG177" s="231"/>
      <c r="AH177" s="231"/>
      <c r="AI177" s="231"/>
    </row>
    <row r="178" spans="1:35" s="203" customFormat="1">
      <c r="A178" s="120">
        <v>15</v>
      </c>
      <c r="B178" s="116" t="s">
        <v>149</v>
      </c>
      <c r="C178" s="116"/>
      <c r="D178" s="116"/>
      <c r="E178" s="80">
        <v>3318</v>
      </c>
      <c r="F178" s="142">
        <f>SUM(F175:F177)</f>
        <v>4042</v>
      </c>
      <c r="G178" s="118"/>
      <c r="H178" s="142">
        <f>SUM(H175:H177)</f>
        <v>3624</v>
      </c>
      <c r="I178" s="29"/>
      <c r="J178" s="231"/>
      <c r="K178" s="231"/>
      <c r="L178" s="231"/>
      <c r="M178" s="231"/>
      <c r="N178" s="231"/>
      <c r="O178" s="231"/>
      <c r="P178" s="231"/>
      <c r="Q178" s="231"/>
      <c r="R178" s="231"/>
      <c r="S178" s="231"/>
      <c r="T178" s="231"/>
      <c r="U178" s="231"/>
      <c r="V178" s="231"/>
      <c r="W178" s="231"/>
      <c r="X178" s="231"/>
      <c r="Y178" s="231"/>
      <c r="Z178" s="231"/>
      <c r="AA178" s="231"/>
      <c r="AB178" s="231"/>
      <c r="AC178" s="231"/>
      <c r="AD178" s="231"/>
      <c r="AE178" s="231"/>
      <c r="AF178" s="231"/>
      <c r="AG178" s="231"/>
      <c r="AH178" s="231"/>
      <c r="AI178" s="231"/>
    </row>
    <row r="179" spans="1:35" s="203" customFormat="1">
      <c r="A179" s="120">
        <v>16</v>
      </c>
      <c r="B179" s="116" t="s">
        <v>150</v>
      </c>
      <c r="C179" s="116"/>
      <c r="D179" s="116"/>
      <c r="E179" s="80">
        <v>16359</v>
      </c>
      <c r="F179" s="158">
        <f>F172+F178</f>
        <v>17902</v>
      </c>
      <c r="G179" s="118"/>
      <c r="H179" s="158">
        <f>H172+H178</f>
        <v>17641</v>
      </c>
      <c r="I179" s="29"/>
      <c r="J179" s="231"/>
      <c r="K179" s="231"/>
      <c r="L179" s="231"/>
      <c r="M179" s="231"/>
      <c r="N179" s="231"/>
      <c r="O179" s="231"/>
      <c r="P179" s="231"/>
      <c r="Q179" s="231"/>
      <c r="R179" s="231"/>
      <c r="S179" s="231"/>
      <c r="T179" s="231"/>
      <c r="U179" s="231"/>
      <c r="V179" s="231"/>
      <c r="W179" s="231"/>
      <c r="X179" s="231"/>
      <c r="Y179" s="231"/>
      <c r="Z179" s="231"/>
      <c r="AA179" s="231"/>
      <c r="AB179" s="231"/>
      <c r="AC179" s="231"/>
      <c r="AD179" s="231"/>
      <c r="AE179" s="231"/>
      <c r="AF179" s="231"/>
      <c r="AG179" s="231"/>
      <c r="AH179" s="231"/>
      <c r="AI179" s="231"/>
    </row>
    <row r="180" spans="1:35" s="203" customFormat="1">
      <c r="A180" s="120">
        <v>17</v>
      </c>
      <c r="B180" s="116" t="s">
        <v>151</v>
      </c>
      <c r="C180" s="116"/>
      <c r="D180" s="116"/>
      <c r="E180" s="159">
        <v>20594</v>
      </c>
      <c r="F180" s="61">
        <f>SUM(F163+F169+F171+F179)</f>
        <v>22724</v>
      </c>
      <c r="G180" s="118"/>
      <c r="H180" s="61">
        <f>SUM(H163+H169+H171+H179)</f>
        <v>22103</v>
      </c>
      <c r="I180" s="29"/>
      <c r="J180" s="231"/>
      <c r="K180" s="231"/>
      <c r="L180" s="231"/>
      <c r="M180" s="231"/>
      <c r="N180" s="231"/>
      <c r="O180" s="231"/>
      <c r="P180" s="231"/>
      <c r="Q180" s="231"/>
      <c r="R180" s="231"/>
      <c r="S180" s="231"/>
      <c r="T180" s="231"/>
      <c r="U180" s="231"/>
      <c r="V180" s="231"/>
      <c r="W180" s="231"/>
      <c r="X180" s="231"/>
      <c r="Y180" s="231"/>
      <c r="Z180" s="231"/>
      <c r="AA180" s="231"/>
      <c r="AB180" s="231"/>
      <c r="AC180" s="231"/>
      <c r="AD180" s="231"/>
      <c r="AE180" s="231"/>
      <c r="AF180" s="231"/>
      <c r="AG180" s="231"/>
      <c r="AH180" s="231"/>
      <c r="AI180" s="231"/>
    </row>
    <row r="181" spans="1:35" s="203" customFormat="1">
      <c r="A181" s="46"/>
      <c r="B181" s="132"/>
      <c r="C181" s="132"/>
      <c r="D181" s="132"/>
      <c r="E181" s="156"/>
      <c r="F181" s="139"/>
      <c r="G181" s="118"/>
      <c r="H181" s="139"/>
      <c r="I181" s="29"/>
      <c r="J181" s="231"/>
      <c r="K181" s="231"/>
      <c r="L181" s="231"/>
      <c r="M181" s="231"/>
      <c r="N181" s="231"/>
      <c r="O181" s="231"/>
      <c r="P181" s="231"/>
      <c r="Q181" s="231"/>
      <c r="R181" s="231"/>
      <c r="S181" s="231"/>
      <c r="T181" s="231"/>
      <c r="U181" s="231"/>
      <c r="V181" s="231"/>
      <c r="W181" s="231"/>
      <c r="X181" s="231"/>
      <c r="Y181" s="231"/>
      <c r="Z181" s="231"/>
      <c r="AA181" s="231"/>
      <c r="AB181" s="231"/>
      <c r="AC181" s="231"/>
      <c r="AD181" s="231"/>
      <c r="AE181" s="231"/>
      <c r="AF181" s="231"/>
      <c r="AG181" s="231"/>
      <c r="AH181" s="231"/>
      <c r="AI181" s="231"/>
    </row>
    <row r="182" spans="1:35" s="203" customFormat="1">
      <c r="A182" s="119" t="s">
        <v>152</v>
      </c>
      <c r="B182" s="47"/>
      <c r="C182" s="47"/>
      <c r="D182" s="116"/>
      <c r="E182" s="117"/>
      <c r="F182" s="118"/>
      <c r="G182" s="118"/>
      <c r="H182" s="118"/>
      <c r="I182" s="29"/>
      <c r="J182" s="231"/>
      <c r="K182" s="231"/>
      <c r="L182" s="231"/>
      <c r="M182" s="231"/>
      <c r="N182" s="231"/>
      <c r="O182" s="231"/>
      <c r="P182" s="231"/>
      <c r="Q182" s="231"/>
      <c r="R182" s="231"/>
      <c r="S182" s="231"/>
      <c r="T182" s="231"/>
      <c r="U182" s="231"/>
      <c r="V182" s="231"/>
      <c r="W182" s="231"/>
      <c r="X182" s="231"/>
      <c r="Y182" s="231"/>
      <c r="Z182" s="231"/>
      <c r="AA182" s="231"/>
      <c r="AB182" s="231"/>
      <c r="AC182" s="231"/>
      <c r="AD182" s="231"/>
      <c r="AE182" s="231"/>
      <c r="AF182" s="231"/>
      <c r="AG182" s="231"/>
      <c r="AH182" s="231"/>
      <c r="AI182" s="231"/>
    </row>
    <row r="183" spans="1:35" s="203" customFormat="1">
      <c r="A183" s="120">
        <v>18</v>
      </c>
      <c r="B183" s="47" t="s">
        <v>153</v>
      </c>
      <c r="C183" s="47"/>
      <c r="D183" s="47"/>
      <c r="E183" s="41">
        <v>0</v>
      </c>
      <c r="F183" s="121">
        <v>0</v>
      </c>
      <c r="G183" s="118"/>
      <c r="H183" s="133">
        <v>0</v>
      </c>
      <c r="I183" s="29"/>
      <c r="J183" s="231"/>
      <c r="K183" s="231"/>
      <c r="L183" s="231"/>
      <c r="M183" s="231"/>
      <c r="N183" s="231"/>
      <c r="O183" s="231"/>
      <c r="P183" s="231"/>
      <c r="Q183" s="231"/>
      <c r="R183" s="231"/>
      <c r="S183" s="231"/>
      <c r="T183" s="231"/>
      <c r="U183" s="231"/>
      <c r="V183" s="231"/>
      <c r="W183" s="231"/>
      <c r="X183" s="231"/>
      <c r="Y183" s="231"/>
      <c r="Z183" s="231"/>
      <c r="AA183" s="231"/>
      <c r="AB183" s="231"/>
      <c r="AC183" s="231"/>
      <c r="AD183" s="231"/>
      <c r="AE183" s="231"/>
      <c r="AF183" s="231"/>
      <c r="AG183" s="231"/>
      <c r="AH183" s="231"/>
      <c r="AI183" s="231"/>
    </row>
    <row r="184" spans="1:35" s="203" customFormat="1">
      <c r="A184" s="120">
        <v>19</v>
      </c>
      <c r="B184" s="47" t="s">
        <v>154</v>
      </c>
      <c r="C184" s="47"/>
      <c r="D184" s="47"/>
      <c r="E184" s="49">
        <v>1782</v>
      </c>
      <c r="F184" s="52">
        <v>2153</v>
      </c>
      <c r="G184" s="118"/>
      <c r="H184" s="122">
        <v>2132</v>
      </c>
      <c r="I184" s="29"/>
      <c r="J184" s="231"/>
      <c r="K184" s="231"/>
      <c r="L184" s="231"/>
      <c r="M184" s="231"/>
      <c r="N184" s="231"/>
      <c r="O184" s="231"/>
      <c r="P184" s="231"/>
      <c r="Q184" s="231"/>
      <c r="R184" s="231"/>
      <c r="S184" s="231"/>
      <c r="T184" s="231"/>
      <c r="U184" s="231"/>
      <c r="V184" s="231"/>
      <c r="W184" s="231"/>
      <c r="X184" s="231"/>
      <c r="Y184" s="231"/>
      <c r="Z184" s="231"/>
      <c r="AA184" s="231"/>
      <c r="AB184" s="231"/>
      <c r="AC184" s="231"/>
      <c r="AD184" s="231"/>
      <c r="AE184" s="231"/>
      <c r="AF184" s="231"/>
      <c r="AG184" s="231"/>
      <c r="AH184" s="231"/>
      <c r="AI184" s="231"/>
    </row>
    <row r="185" spans="1:35" s="203" customFormat="1">
      <c r="A185" s="120">
        <v>20</v>
      </c>
      <c r="B185" s="47" t="s">
        <v>155</v>
      </c>
      <c r="C185" s="47"/>
      <c r="D185" s="47"/>
      <c r="E185" s="49">
        <v>0</v>
      </c>
      <c r="F185" s="52">
        <v>0</v>
      </c>
      <c r="G185" s="118"/>
      <c r="H185" s="122">
        <v>0</v>
      </c>
      <c r="I185" s="29"/>
      <c r="J185" s="231"/>
      <c r="K185" s="231"/>
      <c r="L185" s="231"/>
      <c r="M185" s="231"/>
      <c r="N185" s="231"/>
      <c r="O185" s="231"/>
      <c r="P185" s="231"/>
      <c r="Q185" s="231"/>
      <c r="R185" s="231"/>
      <c r="S185" s="231"/>
      <c r="T185" s="231"/>
      <c r="U185" s="231"/>
      <c r="V185" s="231"/>
      <c r="W185" s="231"/>
      <c r="X185" s="231"/>
      <c r="Y185" s="231"/>
      <c r="Z185" s="231"/>
      <c r="AA185" s="231"/>
      <c r="AB185" s="231"/>
      <c r="AC185" s="231"/>
      <c r="AD185" s="231"/>
      <c r="AE185" s="231"/>
      <c r="AF185" s="231"/>
      <c r="AG185" s="231"/>
      <c r="AH185" s="231"/>
      <c r="AI185" s="231"/>
    </row>
    <row r="186" spans="1:35" s="203" customFormat="1">
      <c r="A186" s="120">
        <v>21</v>
      </c>
      <c r="B186" s="47" t="s">
        <v>156</v>
      </c>
      <c r="C186" s="47"/>
      <c r="D186" s="47"/>
      <c r="E186" s="49">
        <v>340</v>
      </c>
      <c r="F186" s="52">
        <v>325</v>
      </c>
      <c r="G186" s="118"/>
      <c r="H186" s="122">
        <v>325</v>
      </c>
      <c r="I186" s="29"/>
      <c r="J186" s="231"/>
      <c r="K186" s="231"/>
      <c r="L186" s="231"/>
      <c r="M186" s="231"/>
      <c r="N186" s="231"/>
      <c r="O186" s="231"/>
      <c r="P186" s="231"/>
      <c r="Q186" s="231"/>
      <c r="R186" s="231"/>
      <c r="S186" s="231"/>
      <c r="T186" s="231"/>
      <c r="U186" s="231"/>
      <c r="V186" s="231"/>
      <c r="W186" s="231"/>
      <c r="X186" s="231"/>
      <c r="Y186" s="231"/>
      <c r="Z186" s="231"/>
      <c r="AA186" s="231"/>
      <c r="AB186" s="231"/>
      <c r="AC186" s="231"/>
      <c r="AD186" s="231"/>
      <c r="AE186" s="231"/>
      <c r="AF186" s="231"/>
      <c r="AG186" s="231"/>
      <c r="AH186" s="231"/>
      <c r="AI186" s="231"/>
    </row>
    <row r="187" spans="1:35" s="203" customFormat="1">
      <c r="A187" s="120">
        <v>22</v>
      </c>
      <c r="B187" s="47" t="s">
        <v>157</v>
      </c>
      <c r="C187" s="47"/>
      <c r="D187" s="47"/>
      <c r="E187" s="49">
        <v>0</v>
      </c>
      <c r="F187" s="52">
        <v>0</v>
      </c>
      <c r="G187" s="118"/>
      <c r="H187" s="122">
        <v>0</v>
      </c>
      <c r="I187" s="29"/>
      <c r="J187" s="231"/>
      <c r="K187" s="231"/>
      <c r="L187" s="231"/>
      <c r="M187" s="231"/>
      <c r="N187" s="231"/>
      <c r="O187" s="231"/>
      <c r="P187" s="231"/>
      <c r="Q187" s="231"/>
      <c r="R187" s="231"/>
      <c r="S187" s="231"/>
      <c r="T187" s="231"/>
      <c r="U187" s="231"/>
      <c r="V187" s="231"/>
      <c r="W187" s="231"/>
      <c r="X187" s="231"/>
      <c r="Y187" s="231"/>
      <c r="Z187" s="231"/>
      <c r="AA187" s="231"/>
      <c r="AB187" s="231"/>
      <c r="AC187" s="231"/>
      <c r="AD187" s="231"/>
      <c r="AE187" s="231"/>
      <c r="AF187" s="231"/>
      <c r="AG187" s="231"/>
      <c r="AH187" s="231"/>
      <c r="AI187" s="231"/>
    </row>
    <row r="188" spans="1:35" s="203" customFormat="1">
      <c r="A188" s="120">
        <v>23</v>
      </c>
      <c r="B188" s="47" t="s">
        <v>158</v>
      </c>
      <c r="C188" s="47"/>
      <c r="D188" s="47"/>
      <c r="E188" s="49">
        <v>1044</v>
      </c>
      <c r="F188" s="52">
        <v>1169</v>
      </c>
      <c r="G188" s="118"/>
      <c r="H188" s="122">
        <v>976</v>
      </c>
      <c r="I188" s="29"/>
      <c r="J188" s="231"/>
      <c r="K188" s="231"/>
      <c r="L188" s="231"/>
      <c r="M188" s="231"/>
      <c r="N188" s="231"/>
      <c r="O188" s="231"/>
      <c r="P188" s="231"/>
      <c r="Q188" s="231"/>
      <c r="R188" s="231"/>
      <c r="S188" s="231"/>
      <c r="T188" s="231"/>
      <c r="U188" s="231"/>
      <c r="V188" s="231"/>
      <c r="W188" s="231"/>
      <c r="X188" s="231"/>
      <c r="Y188" s="231"/>
      <c r="Z188" s="231"/>
      <c r="AA188" s="231"/>
      <c r="AB188" s="231"/>
      <c r="AC188" s="231"/>
      <c r="AD188" s="231"/>
      <c r="AE188" s="231"/>
      <c r="AF188" s="231"/>
      <c r="AG188" s="231"/>
      <c r="AH188" s="231"/>
      <c r="AI188" s="231"/>
    </row>
    <row r="189" spans="1:35" s="203" customFormat="1">
      <c r="A189" s="120">
        <v>24</v>
      </c>
      <c r="B189" s="47" t="s">
        <v>159</v>
      </c>
      <c r="C189" s="47"/>
      <c r="D189" s="47"/>
      <c r="E189" s="49">
        <v>0</v>
      </c>
      <c r="F189" s="52">
        <v>0</v>
      </c>
      <c r="G189" s="118"/>
      <c r="H189" s="122">
        <v>0</v>
      </c>
      <c r="I189" s="29"/>
      <c r="J189" s="231"/>
      <c r="K189" s="231"/>
      <c r="L189" s="231"/>
      <c r="M189" s="231"/>
      <c r="N189" s="231"/>
      <c r="O189" s="231"/>
      <c r="P189" s="231"/>
      <c r="Q189" s="231"/>
      <c r="R189" s="231"/>
      <c r="S189" s="231"/>
      <c r="T189" s="231"/>
      <c r="U189" s="231"/>
      <c r="V189" s="231"/>
      <c r="W189" s="231"/>
      <c r="X189" s="231"/>
      <c r="Y189" s="231"/>
      <c r="Z189" s="231"/>
      <c r="AA189" s="231"/>
      <c r="AB189" s="231"/>
      <c r="AC189" s="231"/>
      <c r="AD189" s="231"/>
      <c r="AE189" s="231"/>
      <c r="AF189" s="231"/>
      <c r="AG189" s="231"/>
      <c r="AH189" s="231"/>
      <c r="AI189" s="231"/>
    </row>
    <row r="190" spans="1:35" s="203" customFormat="1">
      <c r="A190" s="124">
        <v>25</v>
      </c>
      <c r="B190" s="54" t="s">
        <v>160</v>
      </c>
      <c r="C190" s="54"/>
      <c r="D190" s="54"/>
      <c r="E190" s="56">
        <v>0</v>
      </c>
      <c r="F190" s="126">
        <v>0</v>
      </c>
      <c r="G190" s="118"/>
      <c r="H190" s="100">
        <v>0</v>
      </c>
      <c r="I190" s="24"/>
      <c r="J190" s="231"/>
      <c r="K190" s="231"/>
      <c r="L190" s="231"/>
      <c r="M190" s="231"/>
      <c r="N190" s="231"/>
      <c r="O190" s="231"/>
      <c r="P190" s="231"/>
      <c r="Q190" s="231"/>
      <c r="R190" s="231"/>
      <c r="S190" s="231"/>
      <c r="T190" s="231"/>
      <c r="U190" s="231"/>
      <c r="V190" s="231"/>
      <c r="W190" s="231"/>
      <c r="X190" s="231"/>
      <c r="Y190" s="231"/>
      <c r="Z190" s="231"/>
      <c r="AA190" s="231"/>
      <c r="AB190" s="231"/>
      <c r="AC190" s="231"/>
      <c r="AD190" s="231"/>
      <c r="AE190" s="231"/>
      <c r="AF190" s="231"/>
      <c r="AG190" s="231"/>
      <c r="AH190" s="231"/>
      <c r="AI190" s="231"/>
    </row>
    <row r="191" spans="1:35" s="203" customFormat="1">
      <c r="A191" s="161"/>
      <c r="B191" s="129"/>
      <c r="C191" s="129"/>
      <c r="D191" s="149"/>
      <c r="E191" s="162"/>
      <c r="F191" s="29"/>
      <c r="G191" s="29"/>
      <c r="H191" s="207"/>
      <c r="I191" s="29"/>
      <c r="J191" s="231"/>
      <c r="K191" s="231"/>
      <c r="L191" s="231"/>
      <c r="M191" s="231"/>
      <c r="N191" s="231"/>
      <c r="O191" s="231"/>
      <c r="P191" s="231"/>
      <c r="Q191" s="231"/>
      <c r="R191" s="231"/>
      <c r="S191" s="231"/>
      <c r="T191" s="231"/>
      <c r="U191" s="231"/>
      <c r="V191" s="231"/>
      <c r="W191" s="231"/>
      <c r="X191" s="231"/>
      <c r="Y191" s="231"/>
      <c r="Z191" s="231"/>
      <c r="AA191" s="231"/>
      <c r="AB191" s="231"/>
      <c r="AC191" s="231"/>
      <c r="AD191" s="231"/>
      <c r="AE191" s="231"/>
      <c r="AF191" s="231"/>
      <c r="AG191" s="231"/>
      <c r="AH191" s="231"/>
      <c r="AI191" s="231"/>
    </row>
    <row r="192" spans="1:35" s="203" customFormat="1">
      <c r="A192" s="161"/>
      <c r="B192" s="129"/>
      <c r="C192" s="129"/>
      <c r="D192" s="151"/>
      <c r="E192" s="163"/>
      <c r="F192" s="29"/>
      <c r="G192" s="29"/>
      <c r="H192" s="131" t="s">
        <v>27</v>
      </c>
      <c r="I192" s="29"/>
      <c r="J192" s="231"/>
      <c r="K192" s="231"/>
      <c r="L192" s="231"/>
      <c r="M192" s="231"/>
      <c r="N192" s="231"/>
      <c r="O192" s="231"/>
      <c r="P192" s="231"/>
      <c r="Q192" s="231"/>
      <c r="R192" s="231"/>
      <c r="S192" s="231"/>
      <c r="T192" s="231"/>
      <c r="U192" s="231"/>
      <c r="V192" s="231"/>
      <c r="W192" s="231"/>
      <c r="X192" s="231"/>
      <c r="Y192" s="231"/>
      <c r="Z192" s="231"/>
      <c r="AA192" s="231"/>
      <c r="AB192" s="231"/>
      <c r="AC192" s="231"/>
      <c r="AD192" s="231"/>
      <c r="AE192" s="231"/>
      <c r="AF192" s="231"/>
      <c r="AG192" s="231"/>
      <c r="AH192" s="231"/>
      <c r="AI192" s="231"/>
    </row>
    <row r="193" spans="1:35" s="203" customFormat="1" ht="12.75" customHeight="1">
      <c r="A193" s="106" t="s">
        <v>23</v>
      </c>
      <c r="B193" s="164"/>
      <c r="C193" s="164"/>
      <c r="D193" s="164"/>
      <c r="E193" s="856" t="s">
        <v>377</v>
      </c>
      <c r="F193" s="856" t="s">
        <v>402</v>
      </c>
      <c r="G193" s="130"/>
      <c r="H193" s="856" t="s">
        <v>403</v>
      </c>
      <c r="I193" s="130"/>
      <c r="J193" s="231"/>
      <c r="K193" s="231"/>
      <c r="L193" s="231"/>
      <c r="M193" s="231"/>
      <c r="N193" s="231"/>
      <c r="O193" s="231"/>
      <c r="P193" s="231"/>
      <c r="Q193" s="231"/>
      <c r="R193" s="231"/>
      <c r="S193" s="231"/>
      <c r="T193" s="231"/>
      <c r="U193" s="231"/>
      <c r="V193" s="231"/>
      <c r="W193" s="231"/>
      <c r="X193" s="231"/>
      <c r="Y193" s="231"/>
      <c r="Z193" s="231"/>
      <c r="AA193" s="231"/>
      <c r="AB193" s="231"/>
      <c r="AC193" s="231"/>
      <c r="AD193" s="231"/>
      <c r="AE193" s="231"/>
      <c r="AF193" s="231"/>
      <c r="AG193" s="231"/>
      <c r="AH193" s="231"/>
      <c r="AI193" s="231"/>
    </row>
    <row r="194" spans="1:35" s="203" customFormat="1" ht="23.25" customHeight="1">
      <c r="A194" s="165"/>
      <c r="B194" s="132"/>
      <c r="C194" s="132"/>
      <c r="D194" s="132"/>
      <c r="E194" s="859"/>
      <c r="F194" s="859"/>
      <c r="G194" s="130"/>
      <c r="H194" s="859"/>
      <c r="I194" s="130"/>
      <c r="J194" s="231"/>
      <c r="K194" s="231"/>
      <c r="L194" s="231"/>
      <c r="M194" s="231"/>
      <c r="N194" s="231"/>
      <c r="O194" s="231"/>
      <c r="P194" s="231"/>
      <c r="Q194" s="231"/>
      <c r="R194" s="231"/>
      <c r="S194" s="231"/>
      <c r="T194" s="231"/>
      <c r="U194" s="231"/>
      <c r="V194" s="231"/>
      <c r="W194" s="231"/>
      <c r="X194" s="231"/>
      <c r="Y194" s="231"/>
      <c r="Z194" s="231"/>
      <c r="AA194" s="231"/>
      <c r="AB194" s="231"/>
      <c r="AC194" s="231"/>
      <c r="AD194" s="231"/>
      <c r="AE194" s="231"/>
      <c r="AF194" s="231"/>
      <c r="AG194" s="231"/>
      <c r="AH194" s="231"/>
      <c r="AI194" s="231"/>
    </row>
    <row r="195" spans="1:35" s="203" customFormat="1">
      <c r="A195" s="154" t="s">
        <v>161</v>
      </c>
      <c r="B195" s="116"/>
      <c r="C195" s="116"/>
      <c r="D195" s="116"/>
      <c r="E195" s="859"/>
      <c r="F195" s="859"/>
      <c r="G195" s="130"/>
      <c r="H195" s="859"/>
      <c r="I195" s="130"/>
      <c r="J195" s="231"/>
      <c r="K195" s="231"/>
      <c r="L195" s="231"/>
      <c r="M195" s="231"/>
      <c r="N195" s="231"/>
      <c r="O195" s="231"/>
      <c r="P195" s="231"/>
      <c r="Q195" s="231"/>
      <c r="R195" s="231"/>
      <c r="S195" s="231"/>
      <c r="T195" s="231"/>
      <c r="U195" s="231"/>
      <c r="V195" s="231"/>
      <c r="W195" s="231"/>
      <c r="X195" s="231"/>
      <c r="Y195" s="231"/>
      <c r="Z195" s="231"/>
      <c r="AA195" s="231"/>
      <c r="AB195" s="231"/>
      <c r="AC195" s="231"/>
      <c r="AD195" s="231"/>
      <c r="AE195" s="231"/>
      <c r="AF195" s="231"/>
      <c r="AG195" s="231"/>
      <c r="AH195" s="231"/>
      <c r="AI195" s="231"/>
    </row>
    <row r="196" spans="1:35" s="203" customFormat="1">
      <c r="A196" s="109" t="s">
        <v>83</v>
      </c>
      <c r="B196" s="47"/>
      <c r="C196" s="47"/>
      <c r="D196" s="47"/>
      <c r="E196" s="859"/>
      <c r="F196" s="859"/>
      <c r="G196" s="130"/>
      <c r="H196" s="859"/>
      <c r="I196" s="130"/>
      <c r="J196" s="231"/>
      <c r="K196" s="231"/>
      <c r="L196" s="231"/>
      <c r="M196" s="231"/>
      <c r="N196" s="231"/>
      <c r="O196" s="231"/>
      <c r="P196" s="231"/>
      <c r="Q196" s="231"/>
      <c r="R196" s="231"/>
      <c r="S196" s="231"/>
      <c r="T196" s="231"/>
      <c r="U196" s="231"/>
      <c r="V196" s="231"/>
      <c r="W196" s="231"/>
      <c r="X196" s="231"/>
      <c r="Y196" s="231"/>
      <c r="Z196" s="231"/>
      <c r="AA196" s="231"/>
      <c r="AB196" s="231"/>
      <c r="AC196" s="231"/>
      <c r="AD196" s="231"/>
      <c r="AE196" s="231"/>
      <c r="AF196" s="231"/>
      <c r="AG196" s="231"/>
      <c r="AH196" s="231"/>
      <c r="AI196" s="231"/>
    </row>
    <row r="197" spans="1:35" s="203" customFormat="1">
      <c r="A197" s="110" t="s">
        <v>84</v>
      </c>
      <c r="B197" s="132"/>
      <c r="C197" s="132"/>
      <c r="D197" s="132"/>
      <c r="E197" s="860"/>
      <c r="F197" s="860"/>
      <c r="G197" s="130"/>
      <c r="H197" s="860"/>
      <c r="I197" s="130"/>
      <c r="J197" s="231"/>
      <c r="K197" s="231"/>
      <c r="L197" s="231"/>
      <c r="M197" s="231"/>
      <c r="N197" s="231"/>
      <c r="O197" s="231"/>
      <c r="P197" s="231"/>
      <c r="Q197" s="231"/>
      <c r="R197" s="231"/>
      <c r="S197" s="231"/>
      <c r="T197" s="231"/>
      <c r="U197" s="231"/>
      <c r="V197" s="231"/>
      <c r="W197" s="231"/>
      <c r="X197" s="231"/>
      <c r="Y197" s="231"/>
      <c r="Z197" s="231"/>
      <c r="AA197" s="231"/>
      <c r="AB197" s="231"/>
      <c r="AC197" s="231"/>
      <c r="AD197" s="231"/>
      <c r="AE197" s="231"/>
      <c r="AF197" s="231"/>
      <c r="AG197" s="231"/>
      <c r="AH197" s="231"/>
      <c r="AI197" s="231"/>
    </row>
    <row r="198" spans="1:35" s="203" customFormat="1">
      <c r="A198" s="153" t="s">
        <v>162</v>
      </c>
      <c r="B198" s="166"/>
      <c r="C198" s="166"/>
      <c r="D198" s="166"/>
      <c r="E198" s="167"/>
      <c r="F198" s="146"/>
      <c r="G198" s="118"/>
      <c r="H198" s="146"/>
      <c r="I198" s="29"/>
      <c r="J198" s="231"/>
      <c r="K198" s="231"/>
      <c r="L198" s="231"/>
      <c r="M198" s="231"/>
      <c r="N198" s="231"/>
      <c r="O198" s="231"/>
      <c r="P198" s="231"/>
      <c r="Q198" s="231"/>
      <c r="R198" s="231"/>
      <c r="S198" s="231"/>
      <c r="T198" s="231"/>
      <c r="U198" s="231"/>
      <c r="V198" s="231"/>
      <c r="W198" s="231"/>
      <c r="X198" s="231"/>
      <c r="Y198" s="231"/>
      <c r="Z198" s="231"/>
      <c r="AA198" s="231"/>
      <c r="AB198" s="231"/>
      <c r="AC198" s="231"/>
      <c r="AD198" s="231"/>
      <c r="AE198" s="231"/>
      <c r="AF198" s="231"/>
      <c r="AG198" s="231"/>
      <c r="AH198" s="231"/>
      <c r="AI198" s="231"/>
    </row>
    <row r="199" spans="1:35" s="203" customFormat="1">
      <c r="A199" s="120">
        <v>1</v>
      </c>
      <c r="B199" s="47" t="s">
        <v>163</v>
      </c>
      <c r="C199" s="47"/>
      <c r="D199" s="47"/>
      <c r="E199" s="74">
        <v>0</v>
      </c>
      <c r="F199" s="52">
        <v>0</v>
      </c>
      <c r="G199" s="118"/>
      <c r="H199" s="122">
        <v>0</v>
      </c>
      <c r="I199" s="29"/>
      <c r="J199" s="231"/>
      <c r="K199" s="231"/>
      <c r="L199" s="231"/>
      <c r="M199" s="231"/>
      <c r="N199" s="231"/>
      <c r="O199" s="231"/>
      <c r="P199" s="231"/>
      <c r="Q199" s="231"/>
      <c r="R199" s="231"/>
      <c r="S199" s="231"/>
      <c r="T199" s="231"/>
      <c r="U199" s="231"/>
      <c r="V199" s="231"/>
      <c r="W199" s="231"/>
      <c r="X199" s="231"/>
      <c r="Y199" s="231"/>
      <c r="Z199" s="231"/>
      <c r="AA199" s="231"/>
      <c r="AB199" s="231"/>
      <c r="AC199" s="231"/>
      <c r="AD199" s="231"/>
      <c r="AE199" s="231"/>
      <c r="AF199" s="231"/>
      <c r="AG199" s="231"/>
      <c r="AH199" s="231"/>
      <c r="AI199" s="231"/>
    </row>
    <row r="200" spans="1:35" s="203" customFormat="1">
      <c r="A200" s="120">
        <v>2</v>
      </c>
      <c r="B200" s="47" t="s">
        <v>164</v>
      </c>
      <c r="C200" s="47"/>
      <c r="D200" s="47"/>
      <c r="E200" s="56">
        <v>299</v>
      </c>
      <c r="F200" s="52">
        <v>257</v>
      </c>
      <c r="G200" s="118"/>
      <c r="H200" s="100">
        <v>262</v>
      </c>
      <c r="I200" s="29"/>
      <c r="J200" s="231"/>
      <c r="K200" s="231"/>
      <c r="L200" s="231"/>
      <c r="M200" s="231"/>
      <c r="N200" s="231"/>
      <c r="O200" s="231"/>
      <c r="P200" s="231"/>
      <c r="Q200" s="231"/>
      <c r="R200" s="231"/>
      <c r="S200" s="231"/>
      <c r="T200" s="231"/>
      <c r="U200" s="231"/>
      <c r="V200" s="231"/>
      <c r="W200" s="231"/>
      <c r="X200" s="231"/>
      <c r="Y200" s="231"/>
      <c r="Z200" s="231"/>
      <c r="AA200" s="231"/>
      <c r="AB200" s="231"/>
      <c r="AC200" s="231"/>
      <c r="AD200" s="231"/>
      <c r="AE200" s="231"/>
      <c r="AF200" s="231"/>
      <c r="AG200" s="231"/>
      <c r="AH200" s="231"/>
      <c r="AI200" s="231"/>
    </row>
    <row r="201" spans="1:35" s="203" customFormat="1">
      <c r="A201" s="120">
        <v>3</v>
      </c>
      <c r="B201" s="116" t="s">
        <v>165</v>
      </c>
      <c r="C201" s="116"/>
      <c r="D201" s="116"/>
      <c r="E201" s="80">
        <v>299</v>
      </c>
      <c r="F201" s="142">
        <f>SUM(F199:F200)</f>
        <v>257</v>
      </c>
      <c r="G201" s="118"/>
      <c r="H201" s="142">
        <f>SUM(H199:H200)</f>
        <v>262</v>
      </c>
      <c r="I201" s="29"/>
      <c r="J201" s="231"/>
      <c r="K201" s="231"/>
      <c r="L201" s="231"/>
      <c r="M201" s="231"/>
      <c r="N201" s="231"/>
      <c r="O201" s="231"/>
      <c r="P201" s="231"/>
      <c r="Q201" s="231"/>
      <c r="R201" s="231"/>
      <c r="S201" s="231"/>
      <c r="T201" s="231"/>
      <c r="U201" s="231"/>
      <c r="V201" s="231"/>
      <c r="W201" s="231"/>
      <c r="X201" s="231"/>
      <c r="Y201" s="231"/>
      <c r="Z201" s="231"/>
      <c r="AA201" s="231"/>
      <c r="AB201" s="231"/>
      <c r="AC201" s="231"/>
      <c r="AD201" s="231"/>
      <c r="AE201" s="231"/>
      <c r="AF201" s="231"/>
      <c r="AG201" s="231"/>
      <c r="AH201" s="231"/>
      <c r="AI201" s="231"/>
    </row>
    <row r="202" spans="1:35" s="203" customFormat="1">
      <c r="A202" s="46"/>
      <c r="B202" s="132"/>
      <c r="C202" s="132"/>
      <c r="D202" s="132"/>
      <c r="E202" s="156"/>
      <c r="F202" s="139"/>
      <c r="G202" s="139"/>
      <c r="H202" s="139"/>
      <c r="I202" s="29"/>
      <c r="J202" s="231"/>
      <c r="K202" s="231"/>
      <c r="L202" s="231"/>
      <c r="M202" s="231"/>
      <c r="N202" s="231"/>
      <c r="O202" s="231"/>
      <c r="P202" s="231"/>
      <c r="Q202" s="231"/>
      <c r="R202" s="231"/>
      <c r="S202" s="231"/>
      <c r="T202" s="231"/>
      <c r="U202" s="231"/>
      <c r="V202" s="231"/>
      <c r="W202" s="231"/>
      <c r="X202" s="231"/>
      <c r="Y202" s="231"/>
      <c r="Z202" s="231"/>
      <c r="AA202" s="231"/>
      <c r="AB202" s="231"/>
      <c r="AC202" s="231"/>
      <c r="AD202" s="231"/>
      <c r="AE202" s="231"/>
      <c r="AF202" s="231"/>
      <c r="AG202" s="231"/>
      <c r="AH202" s="231"/>
      <c r="AI202" s="231"/>
    </row>
    <row r="203" spans="1:35" s="203" customFormat="1">
      <c r="A203" s="153" t="s">
        <v>166</v>
      </c>
      <c r="B203" s="116"/>
      <c r="C203" s="116"/>
      <c r="D203" s="116"/>
      <c r="E203" s="140"/>
      <c r="F203" s="146"/>
      <c r="G203" s="118"/>
      <c r="H203" s="146"/>
      <c r="I203" s="29"/>
      <c r="J203" s="231"/>
      <c r="K203" s="231"/>
      <c r="L203" s="231"/>
      <c r="M203" s="231"/>
      <c r="N203" s="231"/>
      <c r="O203" s="231"/>
      <c r="P203" s="231"/>
      <c r="Q203" s="231"/>
      <c r="R203" s="231"/>
      <c r="S203" s="231"/>
      <c r="T203" s="231"/>
      <c r="U203" s="231"/>
      <c r="V203" s="231"/>
      <c r="W203" s="231"/>
      <c r="X203" s="231"/>
      <c r="Y203" s="231"/>
      <c r="Z203" s="231"/>
      <c r="AA203" s="231"/>
      <c r="AB203" s="231"/>
      <c r="AC203" s="231"/>
      <c r="AD203" s="231"/>
      <c r="AE203" s="231"/>
      <c r="AF203" s="231"/>
      <c r="AG203" s="231"/>
      <c r="AH203" s="231"/>
      <c r="AI203" s="231"/>
    </row>
    <row r="204" spans="1:35" s="203" customFormat="1">
      <c r="A204" s="120">
        <v>4</v>
      </c>
      <c r="B204" s="47" t="s">
        <v>167</v>
      </c>
      <c r="C204" s="47"/>
      <c r="D204" s="47"/>
      <c r="E204" s="74">
        <v>868</v>
      </c>
      <c r="F204" s="52">
        <v>1058</v>
      </c>
      <c r="G204" s="118"/>
      <c r="H204" s="122">
        <v>1032</v>
      </c>
      <c r="I204" s="29"/>
      <c r="J204" s="231"/>
      <c r="K204" s="231"/>
      <c r="L204" s="231"/>
      <c r="M204" s="231"/>
      <c r="N204" s="231"/>
      <c r="O204" s="231"/>
      <c r="P204" s="231"/>
      <c r="Q204" s="231"/>
      <c r="R204" s="231"/>
      <c r="S204" s="231"/>
      <c r="T204" s="231"/>
      <c r="U204" s="231"/>
      <c r="V204" s="231"/>
      <c r="W204" s="231"/>
      <c r="X204" s="231"/>
      <c r="Y204" s="231"/>
      <c r="Z204" s="231"/>
      <c r="AA204" s="231"/>
      <c r="AB204" s="231"/>
      <c r="AC204" s="231"/>
      <c r="AD204" s="231"/>
      <c r="AE204" s="231"/>
      <c r="AF204" s="231"/>
      <c r="AG204" s="231"/>
      <c r="AH204" s="231"/>
      <c r="AI204" s="231"/>
    </row>
    <row r="205" spans="1:35" s="203" customFormat="1">
      <c r="A205" s="120">
        <v>5</v>
      </c>
      <c r="B205" s="47" t="s">
        <v>168</v>
      </c>
      <c r="C205" s="47"/>
      <c r="D205" s="47"/>
      <c r="E205" s="49">
        <v>459</v>
      </c>
      <c r="F205" s="52">
        <v>367</v>
      </c>
      <c r="G205" s="118"/>
      <c r="H205" s="122">
        <v>522</v>
      </c>
      <c r="I205" s="29"/>
      <c r="J205" s="231"/>
      <c r="K205" s="231"/>
      <c r="L205" s="231"/>
      <c r="M205" s="231"/>
      <c r="N205" s="231"/>
      <c r="O205" s="231"/>
      <c r="P205" s="231"/>
      <c r="Q205" s="231"/>
      <c r="R205" s="231"/>
      <c r="S205" s="231"/>
      <c r="T205" s="231"/>
      <c r="U205" s="231"/>
      <c r="V205" s="231"/>
      <c r="W205" s="231"/>
      <c r="X205" s="231"/>
      <c r="Y205" s="231"/>
      <c r="Z205" s="231"/>
      <c r="AA205" s="231"/>
      <c r="AB205" s="231"/>
      <c r="AC205" s="231"/>
      <c r="AD205" s="231"/>
      <c r="AE205" s="231"/>
      <c r="AF205" s="231"/>
      <c r="AG205" s="231"/>
      <c r="AH205" s="231"/>
      <c r="AI205" s="231"/>
    </row>
    <row r="206" spans="1:35" s="203" customFormat="1">
      <c r="A206" s="120">
        <v>6</v>
      </c>
      <c r="B206" s="47" t="s">
        <v>169</v>
      </c>
      <c r="C206" s="47"/>
      <c r="D206" s="47"/>
      <c r="E206" s="49">
        <v>376</v>
      </c>
      <c r="F206" s="52">
        <v>298</v>
      </c>
      <c r="G206" s="118"/>
      <c r="H206" s="100">
        <v>310</v>
      </c>
      <c r="I206" s="29"/>
      <c r="J206" s="231"/>
      <c r="K206" s="231"/>
      <c r="L206" s="231"/>
      <c r="M206" s="231"/>
      <c r="N206" s="231"/>
      <c r="O206" s="231"/>
      <c r="P206" s="231"/>
      <c r="Q206" s="231"/>
      <c r="R206" s="231"/>
      <c r="S206" s="231"/>
      <c r="T206" s="231"/>
      <c r="U206" s="231"/>
      <c r="V206" s="231"/>
      <c r="W206" s="231"/>
      <c r="X206" s="231"/>
      <c r="Y206" s="231"/>
      <c r="Z206" s="231"/>
      <c r="AA206" s="231"/>
      <c r="AB206" s="231"/>
      <c r="AC206" s="231"/>
      <c r="AD206" s="231"/>
      <c r="AE206" s="231"/>
      <c r="AF206" s="231"/>
      <c r="AG206" s="231"/>
      <c r="AH206" s="231"/>
      <c r="AI206" s="231"/>
    </row>
    <row r="207" spans="1:35" s="203" customFormat="1">
      <c r="A207" s="120">
        <v>7</v>
      </c>
      <c r="B207" s="116" t="s">
        <v>170</v>
      </c>
      <c r="C207" s="116"/>
      <c r="D207" s="116"/>
      <c r="E207" s="80">
        <v>1703</v>
      </c>
      <c r="F207" s="142">
        <f>SUM(F204:F206)</f>
        <v>1723</v>
      </c>
      <c r="G207" s="118"/>
      <c r="H207" s="142">
        <f>SUM(H204:H206)</f>
        <v>1864</v>
      </c>
      <c r="I207" s="29"/>
      <c r="J207" s="231"/>
      <c r="K207" s="231"/>
      <c r="L207" s="231"/>
      <c r="M207" s="231"/>
      <c r="N207" s="231"/>
      <c r="O207" s="231"/>
      <c r="P207" s="231"/>
      <c r="Q207" s="231"/>
      <c r="R207" s="231"/>
      <c r="S207" s="231"/>
      <c r="T207" s="231"/>
      <c r="U207" s="231"/>
      <c r="V207" s="231"/>
      <c r="W207" s="231"/>
      <c r="X207" s="231"/>
      <c r="Y207" s="231"/>
      <c r="Z207" s="231"/>
      <c r="AA207" s="231"/>
      <c r="AB207" s="231"/>
      <c r="AC207" s="231"/>
      <c r="AD207" s="231"/>
      <c r="AE207" s="231"/>
      <c r="AF207" s="231"/>
      <c r="AG207" s="231"/>
      <c r="AH207" s="231"/>
      <c r="AI207" s="231"/>
    </row>
    <row r="208" spans="1:35" s="203" customFormat="1">
      <c r="A208" s="46"/>
      <c r="B208" s="132"/>
      <c r="C208" s="132"/>
      <c r="D208" s="132"/>
      <c r="E208" s="156"/>
      <c r="F208" s="139"/>
      <c r="G208" s="139"/>
      <c r="H208" s="139"/>
      <c r="I208" s="29"/>
      <c r="J208" s="231"/>
      <c r="K208" s="231"/>
      <c r="L208" s="231"/>
      <c r="M208" s="231"/>
      <c r="N208" s="231"/>
      <c r="O208" s="231"/>
      <c r="P208" s="231"/>
      <c r="Q208" s="231"/>
      <c r="R208" s="231"/>
      <c r="S208" s="231"/>
      <c r="T208" s="231"/>
      <c r="U208" s="231"/>
      <c r="V208" s="231"/>
      <c r="W208" s="231"/>
      <c r="X208" s="231"/>
      <c r="Y208" s="231"/>
      <c r="Z208" s="231"/>
      <c r="AA208" s="231"/>
      <c r="AB208" s="231"/>
      <c r="AC208" s="231"/>
      <c r="AD208" s="231"/>
      <c r="AE208" s="231"/>
      <c r="AF208" s="231"/>
      <c r="AG208" s="231"/>
      <c r="AH208" s="231"/>
      <c r="AI208" s="231"/>
    </row>
    <row r="209" spans="1:35" s="203" customFormat="1">
      <c r="A209" s="153" t="s">
        <v>121</v>
      </c>
      <c r="B209" s="168"/>
      <c r="C209" s="168"/>
      <c r="D209" s="168"/>
      <c r="E209" s="140"/>
      <c r="F209" s="146"/>
      <c r="G209" s="118"/>
      <c r="H209" s="146"/>
      <c r="I209" s="29"/>
      <c r="J209" s="231"/>
      <c r="K209" s="231"/>
      <c r="L209" s="231"/>
      <c r="M209" s="231"/>
      <c r="N209" s="231"/>
      <c r="O209" s="231"/>
      <c r="P209" s="231"/>
      <c r="Q209" s="231"/>
      <c r="R209" s="231"/>
      <c r="S209" s="231"/>
      <c r="T209" s="231"/>
      <c r="U209" s="231"/>
      <c r="V209" s="231"/>
      <c r="W209" s="231"/>
      <c r="X209" s="231"/>
      <c r="Y209" s="231"/>
      <c r="Z209" s="231"/>
      <c r="AA209" s="231"/>
      <c r="AB209" s="231"/>
      <c r="AC209" s="231"/>
      <c r="AD209" s="231"/>
      <c r="AE209" s="231"/>
      <c r="AF209" s="231"/>
      <c r="AG209" s="231"/>
      <c r="AH209" s="231"/>
      <c r="AI209" s="231"/>
    </row>
    <row r="210" spans="1:35" s="203" customFormat="1">
      <c r="A210" s="120">
        <v>8</v>
      </c>
      <c r="B210" s="47" t="s">
        <v>171</v>
      </c>
      <c r="C210" s="47"/>
      <c r="D210" s="47"/>
      <c r="E210" s="74">
        <v>295</v>
      </c>
      <c r="F210" s="52">
        <v>312</v>
      </c>
      <c r="G210" s="118"/>
      <c r="H210" s="122">
        <v>303</v>
      </c>
      <c r="I210" s="29"/>
      <c r="J210" s="231"/>
      <c r="K210" s="231"/>
      <c r="L210" s="231"/>
      <c r="M210" s="231"/>
      <c r="N210" s="231"/>
      <c r="O210" s="231"/>
      <c r="P210" s="231"/>
      <c r="Q210" s="231"/>
      <c r="R210" s="231"/>
      <c r="S210" s="231"/>
      <c r="T210" s="231"/>
      <c r="U210" s="231"/>
      <c r="V210" s="231"/>
      <c r="W210" s="231"/>
      <c r="X210" s="231"/>
      <c r="Y210" s="231"/>
      <c r="Z210" s="231"/>
      <c r="AA210" s="231"/>
      <c r="AB210" s="231"/>
      <c r="AC210" s="231"/>
      <c r="AD210" s="231"/>
      <c r="AE210" s="231"/>
      <c r="AF210" s="231"/>
      <c r="AG210" s="231"/>
      <c r="AH210" s="231"/>
      <c r="AI210" s="231"/>
    </row>
    <row r="211" spans="1:35" s="203" customFormat="1">
      <c r="A211" s="120">
        <v>9</v>
      </c>
      <c r="B211" s="47" t="s">
        <v>172</v>
      </c>
      <c r="C211" s="47"/>
      <c r="D211" s="47"/>
      <c r="E211" s="49">
        <v>0</v>
      </c>
      <c r="F211" s="52">
        <v>0</v>
      </c>
      <c r="G211" s="118"/>
      <c r="H211" s="122">
        <v>0</v>
      </c>
      <c r="I211" s="29"/>
      <c r="J211" s="231"/>
      <c r="K211" s="231"/>
      <c r="L211" s="231"/>
      <c r="M211" s="231"/>
      <c r="N211" s="231"/>
      <c r="O211" s="231"/>
      <c r="P211" s="231"/>
      <c r="Q211" s="231"/>
      <c r="R211" s="231"/>
      <c r="S211" s="231"/>
      <c r="T211" s="231"/>
      <c r="U211" s="231"/>
      <c r="V211" s="231"/>
      <c r="W211" s="231"/>
      <c r="X211" s="231"/>
      <c r="Y211" s="231"/>
      <c r="Z211" s="231"/>
      <c r="AA211" s="231"/>
      <c r="AB211" s="231"/>
      <c r="AC211" s="231"/>
      <c r="AD211" s="231"/>
      <c r="AE211" s="231"/>
      <c r="AF211" s="231"/>
      <c r="AG211" s="231"/>
      <c r="AH211" s="231"/>
      <c r="AI211" s="231"/>
    </row>
    <row r="212" spans="1:35" s="203" customFormat="1">
      <c r="A212" s="120">
        <v>10</v>
      </c>
      <c r="B212" s="47" t="s">
        <v>173</v>
      </c>
      <c r="C212" s="47"/>
      <c r="D212" s="47"/>
      <c r="E212" s="49">
        <v>0</v>
      </c>
      <c r="F212" s="52">
        <v>0</v>
      </c>
      <c r="G212" s="118"/>
      <c r="H212" s="122">
        <v>0</v>
      </c>
      <c r="I212" s="29"/>
      <c r="J212" s="231"/>
      <c r="K212" s="231"/>
      <c r="L212" s="231"/>
      <c r="M212" s="231"/>
      <c r="N212" s="231"/>
      <c r="O212" s="231"/>
      <c r="P212" s="231"/>
      <c r="Q212" s="231"/>
      <c r="R212" s="231"/>
      <c r="S212" s="231"/>
      <c r="T212" s="231"/>
      <c r="U212" s="231"/>
      <c r="V212" s="231"/>
      <c r="W212" s="231"/>
      <c r="X212" s="231"/>
      <c r="Y212" s="231"/>
      <c r="Z212" s="231"/>
      <c r="AA212" s="231"/>
      <c r="AB212" s="231"/>
      <c r="AC212" s="231"/>
      <c r="AD212" s="231"/>
      <c r="AE212" s="231"/>
      <c r="AF212" s="231"/>
      <c r="AG212" s="231"/>
      <c r="AH212" s="231"/>
      <c r="AI212" s="231"/>
    </row>
    <row r="213" spans="1:35" s="203" customFormat="1">
      <c r="A213" s="120">
        <v>11</v>
      </c>
      <c r="B213" s="47" t="s">
        <v>174</v>
      </c>
      <c r="C213" s="47"/>
      <c r="D213" s="47"/>
      <c r="E213" s="49">
        <v>670</v>
      </c>
      <c r="F213" s="52">
        <v>680</v>
      </c>
      <c r="G213" s="118"/>
      <c r="H213" s="99">
        <v>696</v>
      </c>
      <c r="I213" s="29"/>
      <c r="J213" s="231"/>
      <c r="K213" s="231"/>
      <c r="L213" s="231"/>
      <c r="M213" s="231"/>
      <c r="N213" s="231"/>
      <c r="O213" s="231"/>
      <c r="P213" s="231"/>
      <c r="Q213" s="231"/>
      <c r="R213" s="231"/>
      <c r="S213" s="231"/>
      <c r="T213" s="231"/>
      <c r="U213" s="231"/>
      <c r="V213" s="231"/>
      <c r="W213" s="231"/>
      <c r="X213" s="231"/>
      <c r="Y213" s="231"/>
      <c r="Z213" s="231"/>
      <c r="AA213" s="231"/>
      <c r="AB213" s="231"/>
      <c r="AC213" s="231"/>
      <c r="AD213" s="231"/>
      <c r="AE213" s="231"/>
      <c r="AF213" s="231"/>
      <c r="AG213" s="231"/>
      <c r="AH213" s="231"/>
      <c r="AI213" s="231"/>
    </row>
    <row r="214" spans="1:35" s="203" customFormat="1">
      <c r="A214" s="120">
        <v>12</v>
      </c>
      <c r="B214" s="116" t="s">
        <v>175</v>
      </c>
      <c r="C214" s="116"/>
      <c r="D214" s="116"/>
      <c r="E214" s="159">
        <v>2967</v>
      </c>
      <c r="F214" s="61">
        <f>F201+F207+SUM(F210:F213)</f>
        <v>2972</v>
      </c>
      <c r="G214" s="118"/>
      <c r="H214" s="61">
        <f>H201+H207+SUM(H210:H213)</f>
        <v>3125</v>
      </c>
      <c r="I214" s="29"/>
      <c r="J214" s="231"/>
      <c r="K214" s="231"/>
      <c r="L214" s="231"/>
      <c r="M214" s="231"/>
      <c r="N214" s="231"/>
      <c r="O214" s="231"/>
      <c r="P214" s="231"/>
      <c r="Q214" s="231"/>
      <c r="R214" s="231"/>
      <c r="S214" s="231"/>
      <c r="T214" s="231"/>
      <c r="U214" s="231"/>
      <c r="V214" s="231"/>
      <c r="W214" s="231"/>
      <c r="X214" s="231"/>
      <c r="Y214" s="231"/>
      <c r="Z214" s="231"/>
      <c r="AA214" s="231"/>
      <c r="AB214" s="231"/>
      <c r="AC214" s="231"/>
      <c r="AD214" s="231"/>
      <c r="AE214" s="231"/>
      <c r="AF214" s="231"/>
      <c r="AG214" s="231"/>
      <c r="AH214" s="231"/>
      <c r="AI214" s="231"/>
    </row>
    <row r="215" spans="1:35" s="203" customFormat="1">
      <c r="A215" s="111"/>
      <c r="B215" s="47"/>
      <c r="C215" s="47"/>
      <c r="D215" s="47"/>
      <c r="E215" s="117"/>
      <c r="F215" s="118"/>
      <c r="G215" s="118"/>
      <c r="H215" s="118"/>
      <c r="I215" s="29"/>
      <c r="J215" s="231"/>
      <c r="K215" s="231"/>
      <c r="L215" s="231"/>
      <c r="M215" s="231"/>
      <c r="N215" s="231"/>
      <c r="O215" s="231"/>
      <c r="P215" s="231"/>
      <c r="Q215" s="231"/>
      <c r="R215" s="231"/>
      <c r="S215" s="231"/>
      <c r="T215" s="231"/>
      <c r="U215" s="231"/>
      <c r="V215" s="231"/>
      <c r="W215" s="231"/>
      <c r="X215" s="231"/>
      <c r="Y215" s="231"/>
      <c r="Z215" s="231"/>
      <c r="AA215" s="231"/>
      <c r="AB215" s="231"/>
      <c r="AC215" s="231"/>
      <c r="AD215" s="231"/>
      <c r="AE215" s="231"/>
      <c r="AF215" s="231"/>
      <c r="AG215" s="231"/>
      <c r="AH215" s="231"/>
      <c r="AI215" s="231"/>
    </row>
    <row r="216" spans="1:35" s="203" customFormat="1">
      <c r="A216" s="119" t="s">
        <v>176</v>
      </c>
      <c r="B216" s="116"/>
      <c r="C216" s="116"/>
      <c r="D216" s="116"/>
      <c r="E216" s="117"/>
      <c r="F216" s="160"/>
      <c r="G216" s="118"/>
      <c r="H216" s="160"/>
      <c r="I216" s="29"/>
      <c r="J216" s="231"/>
      <c r="K216" s="231"/>
      <c r="L216" s="231"/>
      <c r="M216" s="231"/>
      <c r="N216" s="231"/>
      <c r="O216" s="231"/>
      <c r="P216" s="231"/>
      <c r="Q216" s="231"/>
      <c r="R216" s="231"/>
      <c r="S216" s="231"/>
      <c r="T216" s="231"/>
      <c r="U216" s="231"/>
      <c r="V216" s="231"/>
      <c r="W216" s="231"/>
      <c r="X216" s="231"/>
      <c r="Y216" s="231"/>
      <c r="Z216" s="231"/>
      <c r="AA216" s="231"/>
      <c r="AB216" s="231"/>
      <c r="AC216" s="231"/>
      <c r="AD216" s="231"/>
      <c r="AE216" s="231"/>
      <c r="AF216" s="231"/>
      <c r="AG216" s="231"/>
      <c r="AH216" s="231"/>
      <c r="AI216" s="231"/>
    </row>
    <row r="217" spans="1:35" s="203" customFormat="1">
      <c r="A217" s="120">
        <v>13</v>
      </c>
      <c r="B217" s="47" t="s">
        <v>177</v>
      </c>
      <c r="C217" s="47"/>
      <c r="D217" s="47"/>
      <c r="E217" s="41">
        <v>215</v>
      </c>
      <c r="F217" s="121">
        <v>210</v>
      </c>
      <c r="G217" s="118"/>
      <c r="H217" s="169">
        <v>222</v>
      </c>
      <c r="I217" s="29"/>
      <c r="J217" s="231"/>
      <c r="K217" s="231"/>
      <c r="L217" s="231"/>
      <c r="M217" s="231"/>
      <c r="N217" s="231"/>
      <c r="O217" s="231"/>
      <c r="P217" s="231"/>
      <c r="Q217" s="231"/>
      <c r="R217" s="231"/>
      <c r="S217" s="231"/>
      <c r="T217" s="231"/>
      <c r="U217" s="231"/>
      <c r="V217" s="231"/>
      <c r="W217" s="231"/>
      <c r="X217" s="231"/>
      <c r="Y217" s="231"/>
      <c r="Z217" s="231"/>
      <c r="AA217" s="231"/>
      <c r="AB217" s="231"/>
      <c r="AC217" s="231"/>
      <c r="AD217" s="231"/>
      <c r="AE217" s="231"/>
      <c r="AF217" s="231"/>
      <c r="AG217" s="231"/>
      <c r="AH217" s="231"/>
      <c r="AI217" s="231"/>
    </row>
    <row r="218" spans="1:35" s="203" customFormat="1">
      <c r="A218" s="124">
        <v>14</v>
      </c>
      <c r="B218" s="54" t="s">
        <v>178</v>
      </c>
      <c r="C218" s="54"/>
      <c r="D218" s="54"/>
      <c r="E218" s="56">
        <v>342</v>
      </c>
      <c r="F218" s="126">
        <v>260</v>
      </c>
      <c r="G218" s="118"/>
      <c r="H218" s="100">
        <v>281</v>
      </c>
      <c r="I218" s="29"/>
      <c r="J218" s="231"/>
      <c r="K218" s="231"/>
      <c r="L218" s="231"/>
      <c r="M218" s="231"/>
      <c r="N218" s="231"/>
      <c r="O218" s="231"/>
      <c r="P218" s="231"/>
      <c r="Q218" s="231"/>
      <c r="R218" s="231"/>
      <c r="S218" s="231"/>
      <c r="T218" s="231"/>
      <c r="U218" s="231"/>
      <c r="V218" s="231"/>
      <c r="W218" s="231"/>
      <c r="X218" s="231"/>
      <c r="Y218" s="231"/>
      <c r="Z218" s="231"/>
      <c r="AA218" s="231"/>
      <c r="AB218" s="231"/>
      <c r="AC218" s="231"/>
      <c r="AD218" s="231"/>
      <c r="AE218" s="231"/>
      <c r="AF218" s="231"/>
      <c r="AG218" s="231"/>
      <c r="AH218" s="231"/>
      <c r="AI218" s="231"/>
    </row>
    <row r="219" spans="1:35" s="203" customFormat="1">
      <c r="A219" s="148"/>
      <c r="B219" s="29"/>
      <c r="C219" s="29"/>
      <c r="D219" s="170"/>
      <c r="E219" s="171"/>
      <c r="F219" s="29"/>
      <c r="G219" s="29"/>
      <c r="H219" s="207"/>
      <c r="I219" s="29"/>
      <c r="J219" s="231"/>
      <c r="K219" s="231"/>
      <c r="L219" s="231"/>
      <c r="M219" s="231"/>
      <c r="N219" s="231"/>
      <c r="O219" s="231"/>
      <c r="P219" s="231"/>
      <c r="Q219" s="231"/>
      <c r="R219" s="231"/>
      <c r="S219" s="231"/>
      <c r="T219" s="231"/>
      <c r="U219" s="231"/>
      <c r="V219" s="231"/>
      <c r="W219" s="231"/>
      <c r="X219" s="231"/>
      <c r="Y219" s="231"/>
      <c r="Z219" s="231"/>
      <c r="AA219" s="231"/>
      <c r="AB219" s="231"/>
      <c r="AC219" s="231"/>
      <c r="AD219" s="231"/>
      <c r="AE219" s="231"/>
      <c r="AF219" s="231"/>
      <c r="AG219" s="231"/>
      <c r="AH219" s="231"/>
      <c r="AI219" s="231"/>
    </row>
    <row r="220" spans="1:35" s="203" customFormat="1">
      <c r="A220" s="148"/>
      <c r="B220" s="29"/>
      <c r="C220" s="29"/>
      <c r="D220" s="172"/>
      <c r="E220" s="152"/>
      <c r="F220" s="29"/>
      <c r="G220" s="29"/>
      <c r="H220" s="131" t="s">
        <v>27</v>
      </c>
      <c r="I220" s="29"/>
      <c r="J220" s="231"/>
      <c r="K220" s="231"/>
      <c r="L220" s="231"/>
      <c r="M220" s="231"/>
      <c r="N220" s="231"/>
      <c r="O220" s="231"/>
      <c r="P220" s="231"/>
      <c r="Q220" s="231"/>
      <c r="R220" s="231"/>
      <c r="S220" s="231"/>
      <c r="T220" s="231"/>
      <c r="U220" s="231"/>
      <c r="V220" s="231"/>
      <c r="W220" s="231"/>
      <c r="X220" s="231"/>
      <c r="Y220" s="231"/>
      <c r="Z220" s="231"/>
      <c r="AA220" s="231"/>
      <c r="AB220" s="231"/>
      <c r="AC220" s="231"/>
      <c r="AD220" s="231"/>
      <c r="AE220" s="231"/>
      <c r="AF220" s="231"/>
      <c r="AG220" s="231"/>
      <c r="AH220" s="231"/>
      <c r="AI220" s="231"/>
    </row>
    <row r="221" spans="1:35" s="203" customFormat="1" ht="12.75" customHeight="1">
      <c r="A221" s="106" t="s">
        <v>10</v>
      </c>
      <c r="B221" s="164"/>
      <c r="C221" s="164"/>
      <c r="D221" s="164"/>
      <c r="E221" s="856" t="s">
        <v>377</v>
      </c>
      <c r="F221" s="856" t="s">
        <v>402</v>
      </c>
      <c r="G221" s="130"/>
      <c r="H221" s="856" t="s">
        <v>403</v>
      </c>
      <c r="I221" s="130"/>
      <c r="J221" s="231"/>
      <c r="K221" s="231"/>
      <c r="L221" s="231"/>
      <c r="M221" s="231"/>
      <c r="N221" s="231"/>
      <c r="O221" s="231"/>
      <c r="P221" s="231"/>
      <c r="Q221" s="231"/>
      <c r="R221" s="231"/>
      <c r="S221" s="231"/>
      <c r="T221" s="231"/>
      <c r="U221" s="231"/>
      <c r="V221" s="231"/>
      <c r="W221" s="231"/>
      <c r="X221" s="231"/>
      <c r="Y221" s="231"/>
      <c r="Z221" s="231"/>
      <c r="AA221" s="231"/>
      <c r="AB221" s="231"/>
      <c r="AC221" s="231"/>
      <c r="AD221" s="231"/>
      <c r="AE221" s="231"/>
      <c r="AF221" s="231"/>
      <c r="AG221" s="231"/>
      <c r="AH221" s="231"/>
      <c r="AI221" s="231"/>
    </row>
    <row r="222" spans="1:35" s="203" customFormat="1">
      <c r="A222" s="109"/>
      <c r="B222" s="132"/>
      <c r="C222" s="132"/>
      <c r="D222" s="132"/>
      <c r="E222" s="859"/>
      <c r="F222" s="859"/>
      <c r="G222" s="130"/>
      <c r="H222" s="859"/>
      <c r="I222" s="130"/>
      <c r="J222" s="231"/>
      <c r="K222" s="231"/>
      <c r="L222" s="231"/>
      <c r="M222" s="231"/>
      <c r="N222" s="231"/>
      <c r="O222" s="231"/>
      <c r="P222" s="231"/>
      <c r="Q222" s="231"/>
      <c r="R222" s="231"/>
      <c r="S222" s="231"/>
      <c r="T222" s="231"/>
      <c r="U222" s="231"/>
      <c r="V222" s="231"/>
      <c r="W222" s="231"/>
      <c r="X222" s="231"/>
      <c r="Y222" s="231"/>
      <c r="Z222" s="231"/>
      <c r="AA222" s="231"/>
      <c r="AB222" s="231"/>
      <c r="AC222" s="231"/>
      <c r="AD222" s="231"/>
      <c r="AE222" s="231"/>
      <c r="AF222" s="231"/>
      <c r="AG222" s="231"/>
      <c r="AH222" s="231"/>
      <c r="AI222" s="231"/>
    </row>
    <row r="223" spans="1:35" s="203" customFormat="1">
      <c r="A223" s="154" t="s">
        <v>179</v>
      </c>
      <c r="B223" s="116"/>
      <c r="C223" s="116"/>
      <c r="D223" s="116"/>
      <c r="E223" s="859"/>
      <c r="F223" s="859"/>
      <c r="G223" s="130"/>
      <c r="H223" s="859"/>
      <c r="I223" s="130"/>
      <c r="J223" s="231"/>
      <c r="K223" s="231"/>
      <c r="L223" s="231"/>
      <c r="M223" s="231"/>
      <c r="N223" s="231"/>
      <c r="O223" s="231"/>
      <c r="P223" s="231"/>
      <c r="Q223" s="231"/>
      <c r="R223" s="231"/>
      <c r="S223" s="231"/>
      <c r="T223" s="231"/>
      <c r="U223" s="231"/>
      <c r="V223" s="231"/>
      <c r="W223" s="231"/>
      <c r="X223" s="231"/>
      <c r="Y223" s="231"/>
      <c r="Z223" s="231"/>
      <c r="AA223" s="231"/>
      <c r="AB223" s="231"/>
      <c r="AC223" s="231"/>
      <c r="AD223" s="231"/>
      <c r="AE223" s="231"/>
      <c r="AF223" s="231"/>
      <c r="AG223" s="231"/>
      <c r="AH223" s="231"/>
      <c r="AI223" s="231"/>
    </row>
    <row r="224" spans="1:35" s="203" customFormat="1">
      <c r="A224" s="109" t="s">
        <v>83</v>
      </c>
      <c r="B224" s="47"/>
      <c r="C224" s="47"/>
      <c r="D224" s="47"/>
      <c r="E224" s="859"/>
      <c r="F224" s="859"/>
      <c r="G224" s="130"/>
      <c r="H224" s="859"/>
      <c r="I224" s="130"/>
      <c r="J224" s="231"/>
      <c r="K224" s="231"/>
      <c r="L224" s="231"/>
      <c r="M224" s="231"/>
      <c r="N224" s="231"/>
      <c r="O224" s="231"/>
      <c r="P224" s="231"/>
      <c r="Q224" s="231"/>
      <c r="R224" s="231"/>
      <c r="S224" s="231"/>
      <c r="T224" s="231"/>
      <c r="U224" s="231"/>
      <c r="V224" s="231"/>
      <c r="W224" s="231"/>
      <c r="X224" s="231"/>
      <c r="Y224" s="231"/>
      <c r="Z224" s="231"/>
      <c r="AA224" s="231"/>
      <c r="AB224" s="231"/>
      <c r="AC224" s="231"/>
      <c r="AD224" s="231"/>
      <c r="AE224" s="231"/>
      <c r="AF224" s="231"/>
      <c r="AG224" s="231"/>
      <c r="AH224" s="231"/>
      <c r="AI224" s="231"/>
    </row>
    <row r="225" spans="1:35" s="203" customFormat="1">
      <c r="A225" s="110" t="s">
        <v>84</v>
      </c>
      <c r="B225" s="132"/>
      <c r="C225" s="132"/>
      <c r="D225" s="132"/>
      <c r="E225" s="860"/>
      <c r="F225" s="860"/>
      <c r="G225" s="130"/>
      <c r="H225" s="860"/>
      <c r="I225" s="130"/>
      <c r="J225" s="231"/>
      <c r="K225" s="231"/>
      <c r="L225" s="231"/>
      <c r="M225" s="231"/>
      <c r="N225" s="231"/>
      <c r="O225" s="231"/>
      <c r="P225" s="231"/>
      <c r="Q225" s="231"/>
      <c r="R225" s="231"/>
      <c r="S225" s="231"/>
      <c r="T225" s="231"/>
      <c r="U225" s="231"/>
      <c r="V225" s="231"/>
      <c r="W225" s="231"/>
      <c r="X225" s="231"/>
      <c r="Y225" s="231"/>
      <c r="Z225" s="231"/>
      <c r="AA225" s="231"/>
      <c r="AB225" s="231"/>
      <c r="AC225" s="231"/>
      <c r="AD225" s="231"/>
      <c r="AE225" s="231"/>
      <c r="AF225" s="231"/>
      <c r="AG225" s="231"/>
      <c r="AH225" s="231"/>
      <c r="AI225" s="231"/>
    </row>
    <row r="226" spans="1:35" s="203" customFormat="1">
      <c r="A226" s="120">
        <v>1</v>
      </c>
      <c r="B226" s="47" t="s">
        <v>180</v>
      </c>
      <c r="C226" s="47"/>
      <c r="D226" s="47"/>
      <c r="E226" s="41">
        <v>252</v>
      </c>
      <c r="F226" s="52">
        <v>237</v>
      </c>
      <c r="G226" s="118"/>
      <c r="H226" s="133">
        <v>261</v>
      </c>
      <c r="I226" s="29"/>
      <c r="J226" s="231"/>
      <c r="K226" s="231"/>
      <c r="L226" s="231"/>
      <c r="M226" s="231"/>
      <c r="N226" s="231"/>
      <c r="O226" s="231"/>
      <c r="P226" s="231"/>
      <c r="Q226" s="231"/>
      <c r="R226" s="231"/>
      <c r="S226" s="231"/>
      <c r="T226" s="231"/>
      <c r="U226" s="231"/>
      <c r="V226" s="231"/>
      <c r="W226" s="231"/>
      <c r="X226" s="231"/>
      <c r="Y226" s="231"/>
      <c r="Z226" s="231"/>
      <c r="AA226" s="231"/>
      <c r="AB226" s="231"/>
      <c r="AC226" s="231"/>
      <c r="AD226" s="231"/>
      <c r="AE226" s="231"/>
      <c r="AF226" s="231"/>
      <c r="AG226" s="231"/>
      <c r="AH226" s="231"/>
      <c r="AI226" s="231"/>
    </row>
    <row r="227" spans="1:35" s="203" customFormat="1">
      <c r="A227" s="120">
        <v>2</v>
      </c>
      <c r="B227" s="47" t="s">
        <v>181</v>
      </c>
      <c r="C227" s="47"/>
      <c r="D227" s="47"/>
      <c r="E227" s="49">
        <v>953</v>
      </c>
      <c r="F227" s="52">
        <v>845</v>
      </c>
      <c r="G227" s="118"/>
      <c r="H227" s="122">
        <v>972</v>
      </c>
      <c r="I227" s="29"/>
      <c r="J227" s="231"/>
      <c r="K227" s="231"/>
      <c r="L227" s="231"/>
      <c r="M227" s="231"/>
      <c r="N227" s="231"/>
      <c r="O227" s="231"/>
      <c r="P227" s="231"/>
      <c r="Q227" s="231"/>
      <c r="R227" s="231"/>
      <c r="S227" s="231"/>
      <c r="T227" s="231"/>
      <c r="U227" s="231"/>
      <c r="V227" s="231"/>
      <c r="W227" s="231"/>
      <c r="X227" s="231"/>
      <c r="Y227" s="231"/>
      <c r="Z227" s="231"/>
      <c r="AA227" s="231"/>
      <c r="AB227" s="231"/>
      <c r="AC227" s="231"/>
      <c r="AD227" s="231"/>
      <c r="AE227" s="231"/>
      <c r="AF227" s="231"/>
      <c r="AG227" s="231"/>
      <c r="AH227" s="231"/>
      <c r="AI227" s="231"/>
    </row>
    <row r="228" spans="1:35" s="203" customFormat="1">
      <c r="A228" s="120">
        <v>3</v>
      </c>
      <c r="B228" s="47" t="s">
        <v>182</v>
      </c>
      <c r="C228" s="47"/>
      <c r="D228" s="47"/>
      <c r="E228" s="114">
        <v>91</v>
      </c>
      <c r="F228" s="52">
        <v>90</v>
      </c>
      <c r="G228" s="118"/>
      <c r="H228" s="122">
        <v>91</v>
      </c>
      <c r="I228" s="29"/>
      <c r="J228" s="231"/>
      <c r="K228" s="231"/>
      <c r="L228" s="231"/>
      <c r="M228" s="231"/>
      <c r="N228" s="231"/>
      <c r="O228" s="231"/>
      <c r="P228" s="231"/>
      <c r="Q228" s="231"/>
      <c r="R228" s="231"/>
      <c r="S228" s="231"/>
      <c r="T228" s="231"/>
      <c r="U228" s="231"/>
      <c r="V228" s="231"/>
      <c r="W228" s="231"/>
      <c r="X228" s="231"/>
      <c r="Y228" s="231"/>
      <c r="Z228" s="231"/>
      <c r="AA228" s="231"/>
      <c r="AB228" s="231"/>
      <c r="AC228" s="231"/>
      <c r="AD228" s="231"/>
      <c r="AE228" s="231"/>
      <c r="AF228" s="231"/>
      <c r="AG228" s="231"/>
      <c r="AH228" s="231"/>
      <c r="AI228" s="231"/>
    </row>
    <row r="229" spans="1:35" s="203" customFormat="1">
      <c r="A229" s="120">
        <v>4</v>
      </c>
      <c r="B229" s="47" t="s">
        <v>183</v>
      </c>
      <c r="C229" s="47"/>
      <c r="D229" s="47"/>
      <c r="E229" s="114">
        <v>74</v>
      </c>
      <c r="F229" s="52">
        <v>61</v>
      </c>
      <c r="G229" s="118"/>
      <c r="H229" s="122">
        <v>64</v>
      </c>
      <c r="I229" s="29"/>
      <c r="J229" s="231"/>
      <c r="K229" s="231"/>
      <c r="L229" s="231"/>
      <c r="M229" s="231"/>
      <c r="N229" s="231"/>
      <c r="O229" s="231"/>
      <c r="P229" s="231"/>
      <c r="Q229" s="231"/>
      <c r="R229" s="231"/>
      <c r="S229" s="231"/>
      <c r="T229" s="231"/>
      <c r="U229" s="231"/>
      <c r="V229" s="231"/>
      <c r="W229" s="231"/>
      <c r="X229" s="231"/>
      <c r="Y229" s="231"/>
      <c r="Z229" s="231"/>
      <c r="AA229" s="231"/>
      <c r="AB229" s="231"/>
      <c r="AC229" s="231"/>
      <c r="AD229" s="231"/>
      <c r="AE229" s="231"/>
      <c r="AF229" s="231"/>
      <c r="AG229" s="231"/>
      <c r="AH229" s="231"/>
      <c r="AI229" s="231"/>
    </row>
    <row r="230" spans="1:35" s="203" customFormat="1">
      <c r="A230" s="120">
        <v>5</v>
      </c>
      <c r="B230" s="47" t="s">
        <v>184</v>
      </c>
      <c r="C230" s="47"/>
      <c r="D230" s="47"/>
      <c r="E230" s="114">
        <v>1897</v>
      </c>
      <c r="F230" s="52">
        <v>2296</v>
      </c>
      <c r="G230" s="118"/>
      <c r="H230" s="99">
        <v>2332</v>
      </c>
      <c r="I230" s="29"/>
      <c r="J230" s="231"/>
      <c r="K230" s="231"/>
      <c r="L230" s="231"/>
      <c r="M230" s="231"/>
      <c r="N230" s="231"/>
      <c r="O230" s="231"/>
      <c r="P230" s="231"/>
      <c r="Q230" s="231"/>
      <c r="R230" s="231"/>
      <c r="S230" s="231"/>
      <c r="T230" s="231"/>
      <c r="U230" s="231"/>
      <c r="V230" s="231"/>
      <c r="W230" s="231"/>
      <c r="X230" s="231"/>
      <c r="Y230" s="231"/>
      <c r="Z230" s="231"/>
      <c r="AA230" s="231"/>
      <c r="AB230" s="231"/>
      <c r="AC230" s="231"/>
      <c r="AD230" s="231"/>
      <c r="AE230" s="231"/>
      <c r="AF230" s="231"/>
      <c r="AG230" s="231"/>
      <c r="AH230" s="231"/>
      <c r="AI230" s="231"/>
    </row>
    <row r="231" spans="1:35" s="203" customFormat="1">
      <c r="A231" s="124">
        <v>6</v>
      </c>
      <c r="B231" s="173" t="s">
        <v>185</v>
      </c>
      <c r="C231" s="173"/>
      <c r="D231" s="173"/>
      <c r="E231" s="159">
        <v>3267</v>
      </c>
      <c r="F231" s="61">
        <f>SUM(F226:F230)</f>
        <v>3529</v>
      </c>
      <c r="G231" s="118"/>
      <c r="H231" s="61">
        <f>SUM(H226:H230)</f>
        <v>3720</v>
      </c>
      <c r="I231" s="29"/>
      <c r="J231" s="231"/>
      <c r="K231" s="231"/>
      <c r="L231" s="231"/>
      <c r="M231" s="231"/>
      <c r="N231" s="231"/>
      <c r="O231" s="231"/>
      <c r="P231" s="231"/>
      <c r="Q231" s="231"/>
      <c r="R231" s="231"/>
      <c r="S231" s="231"/>
      <c r="T231" s="231"/>
      <c r="U231" s="231"/>
      <c r="V231" s="231"/>
      <c r="W231" s="231"/>
      <c r="X231" s="231"/>
      <c r="Y231" s="231"/>
      <c r="Z231" s="231"/>
      <c r="AA231" s="231"/>
      <c r="AB231" s="231"/>
      <c r="AC231" s="231"/>
      <c r="AD231" s="231"/>
      <c r="AE231" s="231"/>
      <c r="AF231" s="231"/>
      <c r="AG231" s="231"/>
      <c r="AH231" s="231"/>
      <c r="AI231" s="231"/>
    </row>
    <row r="232" spans="1:35" s="203" customFormat="1">
      <c r="A232" s="148"/>
      <c r="B232" s="29"/>
      <c r="C232" s="29"/>
      <c r="D232" s="170"/>
      <c r="E232" s="150"/>
      <c r="F232" s="29"/>
      <c r="G232" s="29"/>
      <c r="H232" s="207"/>
      <c r="I232" s="29"/>
      <c r="J232" s="231"/>
      <c r="K232" s="231"/>
      <c r="L232" s="231"/>
      <c r="M232" s="231"/>
      <c r="N232" s="231"/>
      <c r="O232" s="231"/>
      <c r="P232" s="231"/>
      <c r="Q232" s="231"/>
      <c r="R232" s="231"/>
      <c r="S232" s="231"/>
      <c r="T232" s="231"/>
      <c r="U232" s="231"/>
      <c r="V232" s="231"/>
      <c r="W232" s="231"/>
      <c r="X232" s="231"/>
      <c r="Y232" s="231"/>
      <c r="Z232" s="231"/>
      <c r="AA232" s="231"/>
      <c r="AB232" s="231"/>
      <c r="AC232" s="231"/>
      <c r="AD232" s="231"/>
      <c r="AE232" s="231"/>
      <c r="AF232" s="231"/>
      <c r="AG232" s="231"/>
      <c r="AH232" s="231"/>
      <c r="AI232" s="231"/>
    </row>
    <row r="233" spans="1:35" s="203" customFormat="1">
      <c r="A233" s="148"/>
      <c r="B233" s="29"/>
      <c r="C233" s="29"/>
      <c r="D233" s="172"/>
      <c r="E233" s="152"/>
      <c r="F233" s="29"/>
      <c r="G233" s="29"/>
      <c r="H233" s="131" t="s">
        <v>27</v>
      </c>
      <c r="I233" s="29"/>
      <c r="J233" s="231"/>
      <c r="K233" s="231"/>
      <c r="L233" s="231"/>
      <c r="M233" s="231"/>
      <c r="N233" s="231"/>
      <c r="O233" s="231"/>
      <c r="P233" s="231"/>
      <c r="Q233" s="231"/>
      <c r="R233" s="231"/>
      <c r="S233" s="231"/>
      <c r="T233" s="231"/>
      <c r="U233" s="231"/>
      <c r="V233" s="231"/>
      <c r="W233" s="231"/>
      <c r="X233" s="231"/>
      <c r="Y233" s="231"/>
      <c r="Z233" s="231"/>
      <c r="AA233" s="231"/>
      <c r="AB233" s="231"/>
      <c r="AC233" s="231"/>
      <c r="AD233" s="231"/>
      <c r="AE233" s="231"/>
      <c r="AF233" s="231"/>
      <c r="AG233" s="231"/>
      <c r="AH233" s="231"/>
      <c r="AI233" s="231"/>
    </row>
    <row r="234" spans="1:35" s="203" customFormat="1" ht="12.75" customHeight="1">
      <c r="A234" s="106" t="s">
        <v>12</v>
      </c>
      <c r="B234" s="164"/>
      <c r="C234" s="164"/>
      <c r="D234" s="164"/>
      <c r="E234" s="856" t="s">
        <v>377</v>
      </c>
      <c r="F234" s="856" t="s">
        <v>402</v>
      </c>
      <c r="G234" s="130"/>
      <c r="H234" s="856" t="s">
        <v>403</v>
      </c>
      <c r="I234" s="130"/>
      <c r="J234" s="231"/>
      <c r="K234" s="231"/>
      <c r="L234" s="231"/>
      <c r="M234" s="231"/>
      <c r="N234" s="231"/>
      <c r="O234" s="231"/>
      <c r="P234" s="231"/>
      <c r="Q234" s="231"/>
      <c r="R234" s="231"/>
      <c r="S234" s="231"/>
      <c r="T234" s="231"/>
      <c r="U234" s="231"/>
      <c r="V234" s="231"/>
      <c r="W234" s="231"/>
      <c r="X234" s="231"/>
      <c r="Y234" s="231"/>
      <c r="Z234" s="231"/>
      <c r="AA234" s="231"/>
      <c r="AB234" s="231"/>
      <c r="AC234" s="231"/>
      <c r="AD234" s="231"/>
      <c r="AE234" s="231"/>
      <c r="AF234" s="231"/>
      <c r="AG234" s="231"/>
      <c r="AH234" s="231"/>
      <c r="AI234" s="231"/>
    </row>
    <row r="235" spans="1:35" s="203" customFormat="1">
      <c r="A235" s="165"/>
      <c r="B235" s="47"/>
      <c r="C235" s="47"/>
      <c r="D235" s="47"/>
      <c r="E235" s="859"/>
      <c r="F235" s="859"/>
      <c r="G235" s="130"/>
      <c r="H235" s="859"/>
      <c r="I235" s="130"/>
      <c r="J235" s="231"/>
      <c r="K235" s="231"/>
      <c r="L235" s="231"/>
      <c r="M235" s="231"/>
      <c r="N235" s="231"/>
      <c r="O235" s="231"/>
      <c r="P235" s="231"/>
      <c r="Q235" s="231"/>
      <c r="R235" s="231"/>
      <c r="S235" s="231"/>
      <c r="T235" s="231"/>
      <c r="U235" s="231"/>
      <c r="V235" s="231"/>
      <c r="W235" s="231"/>
      <c r="X235" s="231"/>
      <c r="Y235" s="231"/>
      <c r="Z235" s="231"/>
      <c r="AA235" s="231"/>
      <c r="AB235" s="231"/>
      <c r="AC235" s="231"/>
      <c r="AD235" s="231"/>
      <c r="AE235" s="231"/>
      <c r="AF235" s="231"/>
      <c r="AG235" s="231"/>
      <c r="AH235" s="231"/>
      <c r="AI235" s="231"/>
    </row>
    <row r="236" spans="1:35" s="203" customFormat="1">
      <c r="A236" s="154" t="s">
        <v>186</v>
      </c>
      <c r="B236" s="174"/>
      <c r="C236" s="174"/>
      <c r="D236" s="174"/>
      <c r="E236" s="859"/>
      <c r="F236" s="859"/>
      <c r="G236" s="130"/>
      <c r="H236" s="859"/>
      <c r="I236" s="130"/>
      <c r="J236" s="231"/>
      <c r="K236" s="231"/>
      <c r="L236" s="231"/>
      <c r="M236" s="231"/>
      <c r="N236" s="231"/>
      <c r="O236" s="231"/>
      <c r="P236" s="231"/>
      <c r="Q236" s="231"/>
      <c r="R236" s="231"/>
      <c r="S236" s="231"/>
      <c r="T236" s="231"/>
      <c r="U236" s="231"/>
      <c r="V236" s="231"/>
      <c r="W236" s="231"/>
      <c r="X236" s="231"/>
      <c r="Y236" s="231"/>
      <c r="Z236" s="231"/>
      <c r="AA236" s="231"/>
      <c r="AB236" s="231"/>
      <c r="AC236" s="231"/>
      <c r="AD236" s="231"/>
      <c r="AE236" s="231"/>
      <c r="AF236" s="231"/>
      <c r="AG236" s="231"/>
      <c r="AH236" s="231"/>
      <c r="AI236" s="231"/>
    </row>
    <row r="237" spans="1:35" s="203" customFormat="1">
      <c r="A237" s="109" t="s">
        <v>83</v>
      </c>
      <c r="B237" s="47"/>
      <c r="C237" s="47"/>
      <c r="D237" s="47"/>
      <c r="E237" s="859"/>
      <c r="F237" s="859"/>
      <c r="G237" s="130"/>
      <c r="H237" s="859"/>
      <c r="I237" s="130"/>
      <c r="J237" s="231"/>
      <c r="K237" s="231"/>
      <c r="L237" s="231"/>
      <c r="M237" s="231"/>
      <c r="N237" s="231"/>
      <c r="O237" s="231"/>
      <c r="P237" s="231"/>
      <c r="Q237" s="231"/>
      <c r="R237" s="231"/>
      <c r="S237" s="231"/>
      <c r="T237" s="231"/>
      <c r="U237" s="231"/>
      <c r="V237" s="231"/>
      <c r="W237" s="231"/>
      <c r="X237" s="231"/>
      <c r="Y237" s="231"/>
      <c r="Z237" s="231"/>
      <c r="AA237" s="231"/>
      <c r="AB237" s="231"/>
      <c r="AC237" s="231"/>
      <c r="AD237" s="231"/>
      <c r="AE237" s="231"/>
      <c r="AF237" s="231"/>
      <c r="AG237" s="231"/>
      <c r="AH237" s="231"/>
      <c r="AI237" s="231"/>
    </row>
    <row r="238" spans="1:35" s="203" customFormat="1">
      <c r="A238" s="110" t="s">
        <v>84</v>
      </c>
      <c r="B238" s="174"/>
      <c r="C238" s="174"/>
      <c r="D238" s="174"/>
      <c r="E238" s="860"/>
      <c r="F238" s="860"/>
      <c r="G238" s="130"/>
      <c r="H238" s="860"/>
      <c r="I238" s="130"/>
      <c r="J238" s="231"/>
      <c r="K238" s="231"/>
      <c r="L238" s="231"/>
      <c r="M238" s="231"/>
      <c r="N238" s="231"/>
      <c r="O238" s="231"/>
      <c r="P238" s="231"/>
      <c r="Q238" s="231"/>
      <c r="R238" s="231"/>
      <c r="S238" s="231"/>
      <c r="T238" s="231"/>
      <c r="U238" s="231"/>
      <c r="V238" s="231"/>
      <c r="W238" s="231"/>
      <c r="X238" s="231"/>
      <c r="Y238" s="231"/>
      <c r="Z238" s="231"/>
      <c r="AA238" s="231"/>
      <c r="AB238" s="231"/>
      <c r="AC238" s="231"/>
      <c r="AD238" s="231"/>
      <c r="AE238" s="231"/>
      <c r="AF238" s="231"/>
      <c r="AG238" s="231"/>
      <c r="AH238" s="231"/>
      <c r="AI238" s="231"/>
    </row>
    <row r="239" spans="1:35" s="203" customFormat="1">
      <c r="A239" s="153" t="s">
        <v>187</v>
      </c>
      <c r="B239" s="116"/>
      <c r="C239" s="116"/>
      <c r="D239" s="116"/>
      <c r="E239" s="167"/>
      <c r="F239" s="146"/>
      <c r="G239" s="118"/>
      <c r="H239" s="146"/>
      <c r="I239" s="29"/>
      <c r="J239" s="231"/>
      <c r="K239" s="231"/>
      <c r="L239" s="231"/>
      <c r="M239" s="231"/>
      <c r="N239" s="231"/>
      <c r="O239" s="231"/>
      <c r="P239" s="231"/>
      <c r="Q239" s="231"/>
      <c r="R239" s="231"/>
      <c r="S239" s="231"/>
      <c r="T239" s="231"/>
      <c r="U239" s="231"/>
      <c r="V239" s="231"/>
      <c r="W239" s="231"/>
      <c r="X239" s="231"/>
      <c r="Y239" s="231"/>
      <c r="Z239" s="231"/>
      <c r="AA239" s="231"/>
      <c r="AB239" s="231"/>
      <c r="AC239" s="231"/>
      <c r="AD239" s="231"/>
      <c r="AE239" s="231"/>
      <c r="AF239" s="231"/>
      <c r="AG239" s="231"/>
      <c r="AH239" s="231"/>
      <c r="AI239" s="231"/>
    </row>
    <row r="240" spans="1:35" s="203" customFormat="1">
      <c r="A240" s="120">
        <v>1</v>
      </c>
      <c r="B240" s="47" t="s">
        <v>188</v>
      </c>
      <c r="C240" s="47"/>
      <c r="D240" s="47"/>
      <c r="E240" s="74">
        <v>942</v>
      </c>
      <c r="F240" s="52">
        <v>961</v>
      </c>
      <c r="G240" s="118"/>
      <c r="H240" s="122">
        <v>960</v>
      </c>
      <c r="I240" s="29"/>
      <c r="J240" s="231"/>
      <c r="K240" s="231"/>
      <c r="L240" s="231"/>
      <c r="M240" s="231"/>
      <c r="N240" s="231"/>
      <c r="O240" s="231"/>
      <c r="P240" s="231"/>
      <c r="Q240" s="231"/>
      <c r="R240" s="231"/>
      <c r="S240" s="231"/>
      <c r="T240" s="231"/>
      <c r="U240" s="231"/>
      <c r="V240" s="231"/>
      <c r="W240" s="231"/>
      <c r="X240" s="231"/>
      <c r="Y240" s="231"/>
      <c r="Z240" s="231"/>
      <c r="AA240" s="231"/>
      <c r="AB240" s="231"/>
      <c r="AC240" s="231"/>
      <c r="AD240" s="231"/>
      <c r="AE240" s="231"/>
      <c r="AF240" s="231"/>
      <c r="AG240" s="231"/>
      <c r="AH240" s="231"/>
      <c r="AI240" s="231"/>
    </row>
    <row r="241" spans="1:35" s="203" customFormat="1">
      <c r="A241" s="429">
        <v>2</v>
      </c>
      <c r="B241" s="47" t="s">
        <v>189</v>
      </c>
      <c r="C241" s="47"/>
      <c r="D241" s="47"/>
      <c r="E241" s="114">
        <v>378</v>
      </c>
      <c r="F241" s="52">
        <v>296</v>
      </c>
      <c r="G241" s="118"/>
      <c r="H241" s="100">
        <v>429</v>
      </c>
      <c r="I241" s="29"/>
      <c r="J241" s="231"/>
      <c r="K241" s="231"/>
      <c r="L241" s="231"/>
      <c r="M241" s="231"/>
      <c r="N241" s="231"/>
      <c r="O241" s="231"/>
      <c r="P241" s="231"/>
      <c r="Q241" s="231"/>
      <c r="R241" s="231"/>
      <c r="S241" s="231"/>
      <c r="T241" s="231"/>
      <c r="U241" s="231"/>
      <c r="V241" s="231"/>
      <c r="W241" s="231"/>
      <c r="X241" s="231"/>
      <c r="Y241" s="231"/>
      <c r="Z241" s="231"/>
      <c r="AA241" s="231"/>
      <c r="AB241" s="231"/>
      <c r="AC241" s="231"/>
      <c r="AD241" s="231"/>
      <c r="AE241" s="231"/>
      <c r="AF241" s="231"/>
      <c r="AG241" s="231"/>
      <c r="AH241" s="231"/>
      <c r="AI241" s="231"/>
    </row>
    <row r="242" spans="1:35" s="203" customFormat="1">
      <c r="A242" s="429">
        <v>3</v>
      </c>
      <c r="B242" s="168" t="s">
        <v>190</v>
      </c>
      <c r="C242" s="168"/>
      <c r="D242" s="168"/>
      <c r="E242" s="80">
        <v>1320</v>
      </c>
      <c r="F242" s="142">
        <f>SUM(F240:F241)</f>
        <v>1257</v>
      </c>
      <c r="G242" s="118"/>
      <c r="H242" s="142">
        <f>SUM(H240:H241)</f>
        <v>1389</v>
      </c>
      <c r="I242" s="29"/>
      <c r="J242" s="231"/>
      <c r="K242" s="231"/>
      <c r="L242" s="231"/>
      <c r="M242" s="231"/>
      <c r="N242" s="231"/>
      <c r="O242" s="231"/>
      <c r="P242" s="231"/>
      <c r="Q242" s="231"/>
      <c r="R242" s="231"/>
      <c r="S242" s="231"/>
      <c r="T242" s="231"/>
      <c r="U242" s="231"/>
      <c r="V242" s="231"/>
      <c r="W242" s="231"/>
      <c r="X242" s="231"/>
      <c r="Y242" s="231"/>
      <c r="Z242" s="231"/>
      <c r="AA242" s="231"/>
      <c r="AB242" s="231"/>
      <c r="AC242" s="231"/>
      <c r="AD242" s="231"/>
      <c r="AE242" s="231"/>
      <c r="AF242" s="231"/>
      <c r="AG242" s="231"/>
      <c r="AH242" s="231"/>
      <c r="AI242" s="231"/>
    </row>
    <row r="243" spans="1:35" s="203" customFormat="1">
      <c r="A243" s="429"/>
      <c r="B243" s="116"/>
      <c r="C243" s="116"/>
      <c r="D243" s="116"/>
      <c r="E243" s="117"/>
      <c r="F243" s="118"/>
      <c r="G243" s="118"/>
      <c r="H243" s="118"/>
      <c r="I243" s="29"/>
      <c r="J243" s="231"/>
      <c r="K243" s="231"/>
      <c r="L243" s="231"/>
      <c r="M243" s="231"/>
      <c r="N243" s="231"/>
      <c r="O243" s="231"/>
      <c r="P243" s="231"/>
      <c r="Q243" s="231"/>
      <c r="R243" s="231"/>
      <c r="S243" s="231"/>
      <c r="T243" s="231"/>
      <c r="U243" s="231"/>
      <c r="V243" s="231"/>
      <c r="W243" s="231"/>
      <c r="X243" s="231"/>
      <c r="Y243" s="231"/>
      <c r="Z243" s="231"/>
      <c r="AA243" s="231"/>
      <c r="AB243" s="231"/>
      <c r="AC243" s="231"/>
      <c r="AD243" s="231"/>
      <c r="AE243" s="231"/>
      <c r="AF243" s="231"/>
      <c r="AG243" s="231"/>
      <c r="AH243" s="231"/>
      <c r="AI243" s="231"/>
    </row>
    <row r="244" spans="1:35" s="203" customFormat="1">
      <c r="A244" s="108" t="s">
        <v>191</v>
      </c>
      <c r="B244" s="47"/>
      <c r="C244" s="47"/>
      <c r="D244" s="47"/>
      <c r="E244" s="140"/>
      <c r="F244" s="146"/>
      <c r="G244" s="118"/>
      <c r="H244" s="146"/>
      <c r="I244" s="29"/>
      <c r="J244" s="231"/>
      <c r="K244" s="231"/>
      <c r="L244" s="231"/>
      <c r="M244" s="231"/>
      <c r="N244" s="231"/>
      <c r="O244" s="231"/>
      <c r="P244" s="231"/>
      <c r="Q244" s="231"/>
      <c r="R244" s="231"/>
      <c r="S244" s="231"/>
      <c r="T244" s="231"/>
      <c r="U244" s="231"/>
      <c r="V244" s="231"/>
      <c r="W244" s="231"/>
      <c r="X244" s="231"/>
      <c r="Y244" s="231"/>
      <c r="Z244" s="231"/>
      <c r="AA244" s="231"/>
      <c r="AB244" s="231"/>
      <c r="AC244" s="231"/>
      <c r="AD244" s="231"/>
      <c r="AE244" s="231"/>
      <c r="AF244" s="231"/>
      <c r="AG244" s="231"/>
      <c r="AH244" s="231"/>
      <c r="AI244" s="231"/>
    </row>
    <row r="245" spans="1:35" s="203" customFormat="1">
      <c r="A245" s="429">
        <v>4</v>
      </c>
      <c r="B245" s="47" t="s">
        <v>192</v>
      </c>
      <c r="C245" s="47"/>
      <c r="D245" s="47"/>
      <c r="E245" s="74">
        <v>387</v>
      </c>
      <c r="F245" s="52">
        <v>401</v>
      </c>
      <c r="G245" s="118"/>
      <c r="H245" s="122">
        <v>407</v>
      </c>
      <c r="I245" s="29"/>
      <c r="J245" s="231"/>
      <c r="K245" s="231"/>
      <c r="L245" s="231"/>
      <c r="M245" s="231"/>
      <c r="N245" s="231"/>
      <c r="O245" s="231"/>
      <c r="P245" s="231"/>
      <c r="Q245" s="231"/>
      <c r="R245" s="231"/>
      <c r="S245" s="231"/>
      <c r="T245" s="231"/>
      <c r="U245" s="231"/>
      <c r="V245" s="231"/>
      <c r="W245" s="231"/>
      <c r="X245" s="231"/>
      <c r="Y245" s="231"/>
      <c r="Z245" s="231"/>
      <c r="AA245" s="231"/>
      <c r="AB245" s="231"/>
      <c r="AC245" s="231"/>
      <c r="AD245" s="231"/>
      <c r="AE245" s="231"/>
      <c r="AF245" s="231"/>
      <c r="AG245" s="231"/>
      <c r="AH245" s="231"/>
      <c r="AI245" s="231"/>
    </row>
    <row r="246" spans="1:35" s="203" customFormat="1">
      <c r="A246" s="429">
        <v>5</v>
      </c>
      <c r="B246" s="47" t="s">
        <v>193</v>
      </c>
      <c r="C246" s="47"/>
      <c r="D246" s="47"/>
      <c r="E246" s="49">
        <v>0</v>
      </c>
      <c r="F246" s="52">
        <v>0</v>
      </c>
      <c r="G246" s="118"/>
      <c r="H246" s="100">
        <v>0</v>
      </c>
      <c r="I246" s="29"/>
      <c r="J246" s="231"/>
      <c r="K246" s="231"/>
      <c r="L246" s="231"/>
      <c r="M246" s="231"/>
      <c r="N246" s="231"/>
      <c r="O246" s="231"/>
      <c r="P246" s="231"/>
      <c r="Q246" s="231"/>
      <c r="R246" s="231"/>
      <c r="S246" s="231"/>
      <c r="T246" s="231"/>
      <c r="U246" s="231"/>
      <c r="V246" s="231"/>
      <c r="W246" s="231"/>
      <c r="X246" s="231"/>
      <c r="Y246" s="231"/>
      <c r="Z246" s="231"/>
      <c r="AA246" s="231"/>
      <c r="AB246" s="231"/>
      <c r="AC246" s="231"/>
      <c r="AD246" s="231"/>
      <c r="AE246" s="231"/>
      <c r="AF246" s="231"/>
      <c r="AG246" s="231"/>
      <c r="AH246" s="231"/>
      <c r="AI246" s="231"/>
    </row>
    <row r="247" spans="1:35" s="203" customFormat="1">
      <c r="A247" s="429">
        <v>6</v>
      </c>
      <c r="B247" s="116" t="s">
        <v>194</v>
      </c>
      <c r="C247" s="116"/>
      <c r="D247" s="116"/>
      <c r="E247" s="80">
        <v>387</v>
      </c>
      <c r="F247" s="142">
        <f>SUM(F245:F246)</f>
        <v>401</v>
      </c>
      <c r="G247" s="118"/>
      <c r="H247" s="142">
        <f>SUM(H245:H246)</f>
        <v>407</v>
      </c>
      <c r="I247" s="29"/>
      <c r="J247" s="231"/>
      <c r="K247" s="231"/>
      <c r="L247" s="231"/>
      <c r="M247" s="231"/>
      <c r="N247" s="231"/>
      <c r="O247" s="231"/>
      <c r="P247" s="231"/>
      <c r="Q247" s="231"/>
      <c r="R247" s="231"/>
      <c r="S247" s="231"/>
      <c r="T247" s="231"/>
      <c r="U247" s="231"/>
      <c r="V247" s="231"/>
      <c r="W247" s="231"/>
      <c r="X247" s="231"/>
      <c r="Y247" s="231"/>
      <c r="Z247" s="231"/>
      <c r="AA247" s="231"/>
      <c r="AB247" s="231"/>
      <c r="AC247" s="231"/>
      <c r="AD247" s="231"/>
      <c r="AE247" s="231"/>
      <c r="AF247" s="231"/>
      <c r="AG247" s="231"/>
      <c r="AH247" s="231"/>
      <c r="AI247" s="231"/>
    </row>
    <row r="248" spans="1:35" s="203" customFormat="1">
      <c r="A248" s="429"/>
      <c r="B248" s="116"/>
      <c r="C248" s="116"/>
      <c r="D248" s="116"/>
      <c r="E248" s="117"/>
      <c r="F248" s="118"/>
      <c r="G248" s="118"/>
      <c r="H248" s="118"/>
      <c r="I248" s="29"/>
      <c r="J248" s="231"/>
      <c r="K248" s="231"/>
      <c r="L248" s="231"/>
      <c r="M248" s="231"/>
      <c r="N248" s="231"/>
      <c r="O248" s="231"/>
      <c r="P248" s="231"/>
      <c r="Q248" s="231"/>
      <c r="R248" s="231"/>
      <c r="S248" s="231"/>
      <c r="T248" s="231"/>
      <c r="U248" s="231"/>
      <c r="V248" s="231"/>
      <c r="W248" s="231"/>
      <c r="X248" s="231"/>
      <c r="Y248" s="231"/>
      <c r="Z248" s="231"/>
      <c r="AA248" s="231"/>
      <c r="AB248" s="231"/>
      <c r="AC248" s="231"/>
      <c r="AD248" s="231"/>
      <c r="AE248" s="231"/>
      <c r="AF248" s="231"/>
      <c r="AG248" s="231"/>
      <c r="AH248" s="231"/>
      <c r="AI248" s="231"/>
    </row>
    <row r="249" spans="1:35" s="203" customFormat="1">
      <c r="A249" s="108" t="s">
        <v>195</v>
      </c>
      <c r="B249" s="116"/>
      <c r="C249" s="116"/>
      <c r="D249" s="116"/>
      <c r="E249" s="140"/>
      <c r="F249" s="146"/>
      <c r="G249" s="118"/>
      <c r="H249" s="146"/>
      <c r="I249" s="29"/>
      <c r="J249" s="231"/>
      <c r="K249" s="231"/>
      <c r="L249" s="231"/>
      <c r="M249" s="231"/>
      <c r="N249" s="231"/>
      <c r="O249" s="231"/>
      <c r="P249" s="231"/>
      <c r="Q249" s="231"/>
      <c r="R249" s="231"/>
      <c r="S249" s="231"/>
      <c r="T249" s="231"/>
      <c r="U249" s="231"/>
      <c r="V249" s="231"/>
      <c r="W249" s="231"/>
      <c r="X249" s="231"/>
      <c r="Y249" s="231"/>
      <c r="Z249" s="231"/>
      <c r="AA249" s="231"/>
      <c r="AB249" s="231"/>
      <c r="AC249" s="231"/>
      <c r="AD249" s="231"/>
      <c r="AE249" s="231"/>
      <c r="AF249" s="231"/>
      <c r="AG249" s="231"/>
      <c r="AH249" s="231"/>
      <c r="AI249" s="231"/>
    </row>
    <row r="250" spans="1:35" s="203" customFormat="1">
      <c r="A250" s="429">
        <v>7</v>
      </c>
      <c r="B250" s="47" t="s">
        <v>196</v>
      </c>
      <c r="C250" s="47"/>
      <c r="D250" s="47"/>
      <c r="E250" s="74">
        <v>77</v>
      </c>
      <c r="F250" s="52">
        <v>159</v>
      </c>
      <c r="G250" s="118"/>
      <c r="H250" s="52">
        <v>76</v>
      </c>
      <c r="I250" s="29"/>
      <c r="J250" s="231"/>
      <c r="K250" s="231"/>
      <c r="L250" s="231"/>
      <c r="M250" s="231"/>
      <c r="N250" s="231"/>
      <c r="O250" s="231"/>
      <c r="P250" s="231"/>
      <c r="Q250" s="231"/>
      <c r="R250" s="231"/>
      <c r="S250" s="231"/>
      <c r="T250" s="231"/>
      <c r="U250" s="231"/>
      <c r="V250" s="231"/>
      <c r="W250" s="231"/>
      <c r="X250" s="231"/>
      <c r="Y250" s="231"/>
      <c r="Z250" s="231"/>
      <c r="AA250" s="231"/>
      <c r="AB250" s="231"/>
      <c r="AC250" s="231"/>
      <c r="AD250" s="231"/>
      <c r="AE250" s="231"/>
      <c r="AF250" s="231"/>
      <c r="AG250" s="231"/>
      <c r="AH250" s="231"/>
      <c r="AI250" s="231"/>
    </row>
    <row r="251" spans="1:35" s="203" customFormat="1">
      <c r="A251" s="429">
        <v>8</v>
      </c>
      <c r="B251" s="47" t="s">
        <v>197</v>
      </c>
      <c r="C251" s="47"/>
      <c r="D251" s="47"/>
      <c r="E251" s="49">
        <v>595</v>
      </c>
      <c r="F251" s="52">
        <v>505</v>
      </c>
      <c r="G251" s="118"/>
      <c r="H251" s="122">
        <v>510</v>
      </c>
      <c r="I251" s="29"/>
      <c r="J251" s="231"/>
      <c r="K251" s="231"/>
      <c r="L251" s="231"/>
      <c r="M251" s="231"/>
      <c r="N251" s="231"/>
      <c r="O251" s="231"/>
      <c r="P251" s="231"/>
      <c r="Q251" s="231"/>
      <c r="R251" s="231"/>
      <c r="S251" s="231"/>
      <c r="T251" s="231"/>
      <c r="U251" s="231"/>
      <c r="V251" s="231"/>
      <c r="W251" s="231"/>
      <c r="X251" s="231"/>
      <c r="Y251" s="231"/>
      <c r="Z251" s="231"/>
      <c r="AA251" s="231"/>
      <c r="AB251" s="231"/>
      <c r="AC251" s="231"/>
      <c r="AD251" s="231"/>
      <c r="AE251" s="231"/>
      <c r="AF251" s="231"/>
      <c r="AG251" s="231"/>
      <c r="AH251" s="231"/>
      <c r="AI251" s="231"/>
    </row>
    <row r="252" spans="1:35" s="203" customFormat="1">
      <c r="A252" s="429">
        <v>9</v>
      </c>
      <c r="B252" s="47" t="s">
        <v>198</v>
      </c>
      <c r="C252" s="47"/>
      <c r="D252" s="47"/>
      <c r="E252" s="49">
        <v>276</v>
      </c>
      <c r="F252" s="52">
        <v>287</v>
      </c>
      <c r="G252" s="118"/>
      <c r="H252" s="122">
        <v>294</v>
      </c>
      <c r="I252" s="29"/>
      <c r="J252" s="231"/>
      <c r="K252" s="231"/>
      <c r="L252" s="231"/>
      <c r="M252" s="231"/>
      <c r="N252" s="231"/>
      <c r="O252" s="231"/>
      <c r="P252" s="231"/>
      <c r="Q252" s="231"/>
      <c r="R252" s="231"/>
      <c r="S252" s="231"/>
      <c r="T252" s="231"/>
      <c r="U252" s="231"/>
      <c r="V252" s="231"/>
      <c r="W252" s="231"/>
      <c r="X252" s="231"/>
      <c r="Y252" s="231"/>
      <c r="Z252" s="231"/>
      <c r="AA252" s="231"/>
      <c r="AB252" s="231"/>
      <c r="AC252" s="231"/>
      <c r="AD252" s="231"/>
      <c r="AE252" s="231"/>
      <c r="AF252" s="231"/>
      <c r="AG252" s="231"/>
      <c r="AH252" s="231"/>
      <c r="AI252" s="231"/>
    </row>
    <row r="253" spans="1:35" s="203" customFormat="1">
      <c r="A253" s="429">
        <v>10</v>
      </c>
      <c r="B253" s="47" t="s">
        <v>199</v>
      </c>
      <c r="C253" s="47"/>
      <c r="D253" s="47"/>
      <c r="E253" s="49">
        <v>864</v>
      </c>
      <c r="F253" s="52">
        <v>922</v>
      </c>
      <c r="G253" s="118"/>
      <c r="H253" s="100">
        <v>924</v>
      </c>
      <c r="I253" s="29"/>
      <c r="J253" s="231"/>
      <c r="K253" s="231"/>
      <c r="L253" s="231"/>
      <c r="M253" s="231"/>
      <c r="N253" s="231"/>
      <c r="O253" s="231"/>
      <c r="P253" s="231"/>
      <c r="Q253" s="231"/>
      <c r="R253" s="231"/>
      <c r="S253" s="231"/>
      <c r="T253" s="231"/>
      <c r="U253" s="231"/>
      <c r="V253" s="231"/>
      <c r="W253" s="231"/>
      <c r="X253" s="231"/>
      <c r="Y253" s="231"/>
      <c r="Z253" s="231"/>
      <c r="AA253" s="231"/>
      <c r="AB253" s="231"/>
      <c r="AC253" s="231"/>
      <c r="AD253" s="231"/>
      <c r="AE253" s="231"/>
      <c r="AF253" s="231"/>
      <c r="AG253" s="231"/>
      <c r="AH253" s="231"/>
      <c r="AI253" s="231"/>
    </row>
    <row r="254" spans="1:35" s="203" customFormat="1">
      <c r="A254" s="429">
        <v>11</v>
      </c>
      <c r="B254" s="116" t="s">
        <v>200</v>
      </c>
      <c r="C254" s="116"/>
      <c r="D254" s="116"/>
      <c r="E254" s="80">
        <v>1812</v>
      </c>
      <c r="F254" s="142">
        <f>SUM(F250:F253)</f>
        <v>1873</v>
      </c>
      <c r="G254" s="118"/>
      <c r="H254" s="142">
        <f>SUM(H250:H253)</f>
        <v>1804</v>
      </c>
      <c r="I254" s="260"/>
      <c r="J254" s="231"/>
      <c r="K254" s="231"/>
      <c r="L254" s="231"/>
      <c r="M254" s="231"/>
      <c r="N254" s="231"/>
      <c r="O254" s="231"/>
      <c r="P254" s="231"/>
      <c r="Q254" s="231"/>
      <c r="R254" s="231"/>
      <c r="S254" s="231"/>
      <c r="T254" s="231"/>
      <c r="U254" s="231"/>
      <c r="V254" s="231"/>
      <c r="W254" s="231"/>
      <c r="X254" s="231"/>
      <c r="Y254" s="231"/>
      <c r="Z254" s="231"/>
      <c r="AA254" s="231"/>
      <c r="AB254" s="231"/>
      <c r="AC254" s="231"/>
      <c r="AD254" s="231"/>
      <c r="AE254" s="231"/>
      <c r="AF254" s="231"/>
      <c r="AG254" s="231"/>
      <c r="AH254" s="231"/>
      <c r="AI254" s="231"/>
    </row>
    <row r="255" spans="1:35" s="203" customFormat="1">
      <c r="A255" s="429"/>
      <c r="B255" s="116"/>
      <c r="C255" s="116"/>
      <c r="D255" s="116"/>
      <c r="E255" s="117"/>
      <c r="F255" s="118"/>
      <c r="G255" s="118"/>
      <c r="H255" s="118"/>
      <c r="I255" s="29"/>
      <c r="J255" s="231"/>
      <c r="K255" s="231"/>
      <c r="L255" s="231"/>
      <c r="M255" s="231"/>
      <c r="N255" s="231"/>
      <c r="O255" s="231"/>
      <c r="P255" s="231"/>
      <c r="Q255" s="231"/>
      <c r="R255" s="231"/>
      <c r="S255" s="231"/>
      <c r="T255" s="231"/>
      <c r="U255" s="231"/>
      <c r="V255" s="231"/>
      <c r="W255" s="231"/>
      <c r="X255" s="231"/>
      <c r="Y255" s="231"/>
      <c r="Z255" s="231"/>
      <c r="AA255" s="231"/>
      <c r="AB255" s="231"/>
      <c r="AC255" s="231"/>
      <c r="AD255" s="231"/>
      <c r="AE255" s="231"/>
      <c r="AF255" s="231"/>
      <c r="AG255" s="231"/>
      <c r="AH255" s="231"/>
      <c r="AI255" s="231"/>
    </row>
    <row r="256" spans="1:35" s="203" customFormat="1">
      <c r="A256" s="429">
        <v>12</v>
      </c>
      <c r="B256" s="47" t="s">
        <v>201</v>
      </c>
      <c r="C256" s="47"/>
      <c r="D256" s="47"/>
      <c r="E256" s="176">
        <v>929</v>
      </c>
      <c r="F256" s="136">
        <v>890</v>
      </c>
      <c r="G256" s="118"/>
      <c r="H256" s="177">
        <v>974</v>
      </c>
      <c r="I256" s="260"/>
      <c r="J256" s="231"/>
      <c r="K256" s="231"/>
      <c r="L256" s="231"/>
      <c r="M256" s="231"/>
      <c r="N256" s="231"/>
      <c r="O256" s="231"/>
      <c r="P256" s="231"/>
      <c r="Q256" s="231"/>
      <c r="R256" s="231"/>
      <c r="S256" s="231"/>
      <c r="T256" s="231"/>
      <c r="U256" s="231"/>
      <c r="V256" s="231"/>
      <c r="W256" s="231"/>
      <c r="X256" s="231"/>
      <c r="Y256" s="231"/>
      <c r="Z256" s="231"/>
      <c r="AA256" s="231"/>
      <c r="AB256" s="231"/>
      <c r="AC256" s="231"/>
      <c r="AD256" s="231"/>
      <c r="AE256" s="231"/>
      <c r="AF256" s="231"/>
      <c r="AG256" s="231"/>
      <c r="AH256" s="231"/>
      <c r="AI256" s="231"/>
    </row>
    <row r="257" spans="1:35" s="203" customFormat="1">
      <c r="A257" s="124">
        <v>13</v>
      </c>
      <c r="B257" s="94" t="s">
        <v>202</v>
      </c>
      <c r="C257" s="94"/>
      <c r="D257" s="94"/>
      <c r="E257" s="159">
        <v>4448</v>
      </c>
      <c r="F257" s="61">
        <f>F242+F247+F254+F256</f>
        <v>4421</v>
      </c>
      <c r="G257" s="118"/>
      <c r="H257" s="61">
        <f>H242+H247+H254+H256</f>
        <v>4574</v>
      </c>
      <c r="I257" s="21"/>
      <c r="J257" s="231"/>
      <c r="K257" s="231"/>
      <c r="L257" s="231"/>
      <c r="M257" s="231"/>
      <c r="N257" s="231"/>
      <c r="O257" s="231"/>
      <c r="P257" s="231"/>
      <c r="Q257" s="231"/>
      <c r="R257" s="231"/>
      <c r="S257" s="231"/>
      <c r="T257" s="231"/>
      <c r="U257" s="231"/>
      <c r="V257" s="231"/>
      <c r="W257" s="231"/>
      <c r="X257" s="231"/>
      <c r="Y257" s="231"/>
      <c r="Z257" s="231"/>
      <c r="AA257" s="231"/>
      <c r="AB257" s="231"/>
      <c r="AC257" s="231"/>
      <c r="AD257" s="231"/>
      <c r="AE257" s="231"/>
      <c r="AF257" s="231"/>
      <c r="AG257" s="231"/>
      <c r="AH257" s="231"/>
      <c r="AI257" s="231"/>
    </row>
    <row r="258" spans="1:35" s="203" customFormat="1">
      <c r="A258" s="207"/>
      <c r="B258" s="207"/>
      <c r="C258" s="207"/>
      <c r="D258" s="208"/>
      <c r="E258" s="208"/>
      <c r="F258" s="207"/>
      <c r="G258" s="207"/>
      <c r="H258" s="207"/>
      <c r="I258" s="21"/>
      <c r="J258" s="231"/>
      <c r="K258" s="231"/>
      <c r="L258" s="231"/>
      <c r="M258" s="231"/>
      <c r="N258" s="231"/>
      <c r="O258" s="231"/>
      <c r="P258" s="231"/>
      <c r="Q258" s="231"/>
      <c r="R258" s="231"/>
      <c r="S258" s="231"/>
      <c r="T258" s="231"/>
      <c r="U258" s="231"/>
      <c r="V258" s="231"/>
      <c r="W258" s="231"/>
      <c r="X258" s="231"/>
      <c r="Y258" s="231"/>
      <c r="Z258" s="231"/>
      <c r="AA258" s="231"/>
      <c r="AB258" s="231"/>
      <c r="AC258" s="231"/>
      <c r="AD258" s="231"/>
      <c r="AE258" s="231"/>
      <c r="AF258" s="231"/>
      <c r="AG258" s="231"/>
      <c r="AH258" s="231"/>
      <c r="AI258" s="231"/>
    </row>
    <row r="259" spans="1:35" s="203" customFormat="1">
      <c r="A259" s="23"/>
      <c r="B259" s="207"/>
      <c r="C259" s="207"/>
      <c r="D259" s="207"/>
      <c r="E259" s="207"/>
      <c r="F259" s="207"/>
      <c r="G259" s="207"/>
      <c r="H259" s="21"/>
      <c r="I259" s="21"/>
      <c r="J259" s="231"/>
      <c r="K259" s="231"/>
      <c r="L259" s="231"/>
      <c r="M259" s="231"/>
      <c r="N259" s="231"/>
      <c r="O259" s="231"/>
      <c r="P259" s="231"/>
      <c r="Q259" s="231"/>
      <c r="R259" s="231"/>
      <c r="S259" s="231"/>
      <c r="T259" s="231"/>
      <c r="U259" s="231"/>
      <c r="V259" s="231"/>
      <c r="W259" s="231"/>
      <c r="X259" s="231"/>
      <c r="Y259" s="231"/>
      <c r="Z259" s="231"/>
      <c r="AA259" s="231"/>
      <c r="AB259" s="231"/>
      <c r="AC259" s="231"/>
      <c r="AD259" s="231"/>
      <c r="AE259" s="231"/>
      <c r="AF259" s="231"/>
      <c r="AG259" s="231"/>
      <c r="AH259" s="231"/>
      <c r="AI259" s="231"/>
    </row>
    <row r="260" spans="1:35" s="203" customFormat="1">
      <c r="A260" s="148"/>
      <c r="B260" s="29"/>
      <c r="C260" s="29"/>
      <c r="D260" s="172"/>
      <c r="E260" s="152"/>
      <c r="F260" s="29"/>
      <c r="G260" s="29"/>
      <c r="H260" s="131" t="s">
        <v>27</v>
      </c>
      <c r="I260" s="21"/>
      <c r="J260" s="231"/>
      <c r="K260" s="231"/>
      <c r="L260" s="231"/>
      <c r="M260" s="231"/>
      <c r="N260" s="231"/>
      <c r="O260" s="231"/>
      <c r="P260" s="231"/>
      <c r="Q260" s="231"/>
      <c r="R260" s="231"/>
      <c r="S260" s="231"/>
      <c r="T260" s="231"/>
      <c r="U260" s="231"/>
      <c r="V260" s="231"/>
      <c r="W260" s="231"/>
      <c r="X260" s="231"/>
      <c r="Y260" s="231"/>
      <c r="Z260" s="231"/>
      <c r="AA260" s="231"/>
      <c r="AB260" s="231"/>
      <c r="AC260" s="231"/>
      <c r="AD260" s="231"/>
      <c r="AE260" s="231"/>
      <c r="AF260" s="231"/>
      <c r="AG260" s="231"/>
      <c r="AH260" s="231"/>
      <c r="AI260" s="231"/>
    </row>
    <row r="261" spans="1:35" s="203" customFormat="1" ht="12.75" customHeight="1">
      <c r="A261" s="106" t="s">
        <v>15</v>
      </c>
      <c r="B261" s="164"/>
      <c r="C261" s="164"/>
      <c r="D261" s="164"/>
      <c r="E261" s="856" t="s">
        <v>377</v>
      </c>
      <c r="F261" s="856" t="s">
        <v>402</v>
      </c>
      <c r="G261" s="130"/>
      <c r="H261" s="856" t="s">
        <v>403</v>
      </c>
      <c r="I261" s="21"/>
      <c r="J261" s="231"/>
      <c r="K261" s="231"/>
      <c r="L261" s="231"/>
      <c r="M261" s="231"/>
      <c r="N261" s="231"/>
      <c r="O261" s="231"/>
      <c r="P261" s="231"/>
      <c r="Q261" s="231"/>
      <c r="R261" s="231"/>
      <c r="S261" s="231"/>
      <c r="T261" s="231"/>
      <c r="U261" s="231"/>
      <c r="V261" s="231"/>
      <c r="W261" s="231"/>
      <c r="X261" s="231"/>
      <c r="Y261" s="231"/>
      <c r="Z261" s="231"/>
      <c r="AA261" s="231"/>
      <c r="AB261" s="231"/>
      <c r="AC261" s="231"/>
      <c r="AD261" s="231"/>
      <c r="AE261" s="231"/>
      <c r="AF261" s="231"/>
      <c r="AG261" s="231"/>
      <c r="AH261" s="231"/>
      <c r="AI261" s="231"/>
    </row>
    <row r="262" spans="1:35" s="203" customFormat="1">
      <c r="A262" s="165"/>
      <c r="B262" s="47"/>
      <c r="C262" s="47"/>
      <c r="D262" s="47"/>
      <c r="E262" s="859"/>
      <c r="F262" s="859"/>
      <c r="G262" s="130"/>
      <c r="H262" s="859"/>
      <c r="I262" s="21"/>
      <c r="J262" s="231"/>
      <c r="K262" s="231"/>
      <c r="L262" s="231"/>
      <c r="M262" s="231"/>
      <c r="N262" s="231"/>
      <c r="O262" s="231"/>
      <c r="P262" s="231"/>
      <c r="Q262" s="231"/>
      <c r="R262" s="231"/>
      <c r="S262" s="231"/>
      <c r="T262" s="231"/>
      <c r="U262" s="231"/>
      <c r="V262" s="231"/>
      <c r="W262" s="231"/>
      <c r="X262" s="231"/>
      <c r="Y262" s="231"/>
      <c r="Z262" s="231"/>
      <c r="AA262" s="231"/>
      <c r="AB262" s="231"/>
      <c r="AC262" s="231"/>
      <c r="AD262" s="231"/>
      <c r="AE262" s="231"/>
      <c r="AF262" s="231"/>
      <c r="AG262" s="231"/>
      <c r="AH262" s="231"/>
      <c r="AI262" s="231"/>
    </row>
    <row r="263" spans="1:35" s="203" customFormat="1">
      <c r="A263" s="109"/>
      <c r="B263" s="174"/>
      <c r="C263" s="174"/>
      <c r="D263" s="174"/>
      <c r="E263" s="859"/>
      <c r="F263" s="859"/>
      <c r="G263" s="130"/>
      <c r="H263" s="859"/>
      <c r="I263" s="21"/>
      <c r="J263" s="231"/>
      <c r="K263" s="231"/>
      <c r="L263" s="231"/>
      <c r="M263" s="231"/>
      <c r="N263" s="231"/>
      <c r="O263" s="231"/>
      <c r="P263" s="231"/>
      <c r="Q263" s="231"/>
      <c r="R263" s="231"/>
      <c r="S263" s="231"/>
      <c r="T263" s="231"/>
      <c r="U263" s="231"/>
      <c r="V263" s="231"/>
      <c r="W263" s="231"/>
      <c r="X263" s="231"/>
      <c r="Y263" s="231"/>
      <c r="Z263" s="231"/>
      <c r="AA263" s="231"/>
      <c r="AB263" s="231"/>
      <c r="AC263" s="231"/>
      <c r="AD263" s="231"/>
      <c r="AE263" s="231"/>
      <c r="AF263" s="231"/>
      <c r="AG263" s="231"/>
      <c r="AH263" s="231"/>
      <c r="AI263" s="231"/>
    </row>
    <row r="264" spans="1:35" s="203" customFormat="1">
      <c r="A264" s="154" t="s">
        <v>203</v>
      </c>
      <c r="B264" s="47"/>
      <c r="C264" s="47"/>
      <c r="D264" s="47"/>
      <c r="E264" s="859"/>
      <c r="F264" s="859"/>
      <c r="G264" s="130"/>
      <c r="H264" s="859"/>
      <c r="I264" s="21"/>
      <c r="J264" s="231"/>
      <c r="K264" s="231"/>
      <c r="L264" s="231"/>
      <c r="M264" s="231"/>
      <c r="N264" s="231"/>
      <c r="O264" s="231"/>
      <c r="P264" s="231"/>
      <c r="Q264" s="231"/>
      <c r="R264" s="231"/>
      <c r="S264" s="231"/>
      <c r="T264" s="231"/>
      <c r="U264" s="231"/>
      <c r="V264" s="231"/>
      <c r="W264" s="231"/>
      <c r="X264" s="231"/>
      <c r="Y264" s="231"/>
      <c r="Z264" s="231"/>
      <c r="AA264" s="231"/>
      <c r="AB264" s="231"/>
      <c r="AC264" s="231"/>
      <c r="AD264" s="231"/>
      <c r="AE264" s="231"/>
      <c r="AF264" s="231"/>
      <c r="AG264" s="231"/>
      <c r="AH264" s="231"/>
      <c r="AI264" s="231"/>
    </row>
    <row r="265" spans="1:35" s="203" customFormat="1">
      <c r="A265" s="109" t="s">
        <v>83</v>
      </c>
      <c r="B265" s="174"/>
      <c r="C265" s="174"/>
      <c r="D265" s="174"/>
      <c r="E265" s="860"/>
      <c r="F265" s="860"/>
      <c r="G265" s="130"/>
      <c r="H265" s="860"/>
      <c r="I265" s="21"/>
      <c r="J265" s="231"/>
      <c r="K265" s="231"/>
      <c r="L265" s="231"/>
      <c r="M265" s="231"/>
      <c r="N265" s="231"/>
      <c r="O265" s="231"/>
      <c r="P265" s="231"/>
      <c r="Q265" s="231"/>
      <c r="R265" s="231"/>
      <c r="S265" s="231"/>
      <c r="T265" s="231"/>
      <c r="U265" s="231"/>
      <c r="V265" s="231"/>
      <c r="W265" s="231"/>
      <c r="X265" s="231"/>
      <c r="Y265" s="231"/>
      <c r="Z265" s="231"/>
      <c r="AA265" s="231"/>
      <c r="AB265" s="231"/>
      <c r="AC265" s="231"/>
      <c r="AD265" s="231"/>
      <c r="AE265" s="231"/>
      <c r="AF265" s="231"/>
      <c r="AG265" s="231"/>
      <c r="AH265" s="231"/>
      <c r="AI265" s="231"/>
    </row>
    <row r="266" spans="1:35" s="203" customFormat="1">
      <c r="A266" s="110" t="s">
        <v>84</v>
      </c>
      <c r="B266" s="116"/>
      <c r="C266" s="116"/>
      <c r="D266" s="116"/>
      <c r="E266" s="178"/>
      <c r="F266" s="146"/>
      <c r="G266" s="118"/>
      <c r="H266" s="146"/>
      <c r="I266" s="21"/>
      <c r="J266" s="231"/>
      <c r="K266" s="231"/>
      <c r="L266" s="231"/>
      <c r="M266" s="231"/>
      <c r="N266" s="231"/>
      <c r="O266" s="231"/>
      <c r="P266" s="231"/>
      <c r="Q266" s="231"/>
      <c r="R266" s="231"/>
      <c r="S266" s="231"/>
      <c r="T266" s="231"/>
      <c r="U266" s="231"/>
      <c r="V266" s="231"/>
      <c r="W266" s="231"/>
      <c r="X266" s="231"/>
      <c r="Y266" s="231"/>
      <c r="Z266" s="231"/>
      <c r="AA266" s="231"/>
      <c r="AB266" s="231"/>
      <c r="AC266" s="231"/>
      <c r="AD266" s="231"/>
      <c r="AE266" s="231"/>
      <c r="AF266" s="231"/>
      <c r="AG266" s="231"/>
      <c r="AH266" s="231"/>
      <c r="AI266" s="231"/>
    </row>
    <row r="267" spans="1:35" s="203" customFormat="1">
      <c r="A267" s="120">
        <v>1</v>
      </c>
      <c r="B267" s="47" t="s">
        <v>204</v>
      </c>
      <c r="C267" s="47"/>
      <c r="D267" s="47"/>
      <c r="E267" s="74">
        <v>0</v>
      </c>
      <c r="F267" s="52">
        <v>0</v>
      </c>
      <c r="G267" s="118"/>
      <c r="H267" s="122">
        <v>0</v>
      </c>
      <c r="I267" s="21"/>
      <c r="J267" s="231"/>
      <c r="K267" s="231"/>
      <c r="L267" s="231"/>
      <c r="M267" s="231"/>
      <c r="N267" s="231"/>
      <c r="O267" s="231"/>
      <c r="P267" s="231"/>
      <c r="Q267" s="231"/>
      <c r="R267" s="231"/>
      <c r="S267" s="231"/>
      <c r="T267" s="231"/>
      <c r="U267" s="231"/>
      <c r="V267" s="231"/>
      <c r="W267" s="231"/>
      <c r="X267" s="231"/>
      <c r="Y267" s="231"/>
      <c r="Z267" s="231"/>
      <c r="AA267" s="231"/>
      <c r="AB267" s="231"/>
      <c r="AC267" s="231"/>
      <c r="AD267" s="231"/>
      <c r="AE267" s="231"/>
      <c r="AF267" s="231"/>
      <c r="AG267" s="231"/>
      <c r="AH267" s="231"/>
      <c r="AI267" s="231"/>
    </row>
    <row r="268" spans="1:35" s="203" customFormat="1">
      <c r="A268" s="429">
        <v>2</v>
      </c>
      <c r="B268" s="166" t="s">
        <v>205</v>
      </c>
      <c r="C268" s="166"/>
      <c r="D268" s="47"/>
      <c r="E268" s="114">
        <v>168</v>
      </c>
      <c r="F268" s="52">
        <v>172</v>
      </c>
      <c r="G268" s="118"/>
      <c r="H268" s="122">
        <v>166</v>
      </c>
      <c r="I268" s="21"/>
      <c r="J268" s="231"/>
      <c r="K268" s="231"/>
      <c r="L268" s="231"/>
      <c r="M268" s="231"/>
      <c r="N268" s="231"/>
      <c r="O268" s="231"/>
      <c r="P268" s="231"/>
      <c r="Q268" s="231"/>
      <c r="R268" s="231"/>
      <c r="S268" s="231"/>
      <c r="T268" s="231"/>
      <c r="U268" s="231"/>
      <c r="V268" s="231"/>
      <c r="W268" s="231"/>
      <c r="X268" s="231"/>
      <c r="Y268" s="231"/>
      <c r="Z268" s="231"/>
      <c r="AA268" s="231"/>
      <c r="AB268" s="231"/>
      <c r="AC268" s="231"/>
      <c r="AD268" s="231"/>
      <c r="AE268" s="231"/>
      <c r="AF268" s="231"/>
      <c r="AG268" s="231"/>
      <c r="AH268" s="231"/>
      <c r="AI268" s="231"/>
    </row>
    <row r="269" spans="1:35" s="203" customFormat="1">
      <c r="A269" s="120">
        <v>3</v>
      </c>
      <c r="B269" s="47" t="s">
        <v>206</v>
      </c>
      <c r="C269" s="47"/>
      <c r="D269" s="168"/>
      <c r="E269" s="114">
        <v>83</v>
      </c>
      <c r="F269" s="52">
        <v>84</v>
      </c>
      <c r="G269" s="118"/>
      <c r="H269" s="122">
        <v>82</v>
      </c>
      <c r="I269" s="21"/>
      <c r="J269" s="231"/>
      <c r="K269" s="231"/>
      <c r="L269" s="231"/>
      <c r="M269" s="231"/>
      <c r="N269" s="231"/>
      <c r="O269" s="231"/>
      <c r="P269" s="231"/>
      <c r="Q269" s="231"/>
      <c r="R269" s="231"/>
      <c r="S269" s="231"/>
      <c r="T269" s="231"/>
      <c r="U269" s="231"/>
      <c r="V269" s="231"/>
      <c r="W269" s="231"/>
      <c r="X269" s="231"/>
      <c r="Y269" s="231"/>
      <c r="Z269" s="231"/>
      <c r="AA269" s="231"/>
      <c r="AB269" s="231"/>
      <c r="AC269" s="231"/>
      <c r="AD269" s="231"/>
      <c r="AE269" s="231"/>
      <c r="AF269" s="231"/>
      <c r="AG269" s="231"/>
      <c r="AH269" s="231"/>
      <c r="AI269" s="231"/>
    </row>
    <row r="270" spans="1:35" s="203" customFormat="1">
      <c r="A270" s="429">
        <v>4</v>
      </c>
      <c r="B270" s="47" t="s">
        <v>207</v>
      </c>
      <c r="C270" s="47"/>
      <c r="D270" s="116"/>
      <c r="E270" s="114">
        <v>190</v>
      </c>
      <c r="F270" s="52">
        <v>198</v>
      </c>
      <c r="G270" s="118"/>
      <c r="H270" s="122">
        <v>157</v>
      </c>
      <c r="I270" s="21"/>
      <c r="J270" s="231"/>
      <c r="K270" s="231"/>
      <c r="L270" s="231"/>
      <c r="M270" s="231"/>
      <c r="N270" s="231"/>
      <c r="O270" s="231"/>
      <c r="P270" s="231"/>
      <c r="Q270" s="231"/>
      <c r="R270" s="231"/>
      <c r="S270" s="231"/>
      <c r="T270" s="231"/>
      <c r="U270" s="231"/>
      <c r="V270" s="231"/>
      <c r="W270" s="231"/>
      <c r="X270" s="231"/>
      <c r="Y270" s="231"/>
      <c r="Z270" s="231"/>
      <c r="AA270" s="231"/>
      <c r="AB270" s="231"/>
      <c r="AC270" s="231"/>
      <c r="AD270" s="231"/>
      <c r="AE270" s="231"/>
      <c r="AF270" s="231"/>
      <c r="AG270" s="231"/>
      <c r="AH270" s="231"/>
      <c r="AI270" s="231"/>
    </row>
    <row r="271" spans="1:35" s="203" customFormat="1">
      <c r="A271" s="120">
        <v>5</v>
      </c>
      <c r="B271" s="47" t="s">
        <v>208</v>
      </c>
      <c r="C271" s="47"/>
      <c r="D271" s="47"/>
      <c r="E271" s="114">
        <v>12</v>
      </c>
      <c r="F271" s="52">
        <v>12</v>
      </c>
      <c r="G271" s="118"/>
      <c r="H271" s="122">
        <v>15</v>
      </c>
      <c r="I271" s="21"/>
      <c r="J271" s="231"/>
      <c r="K271" s="231"/>
      <c r="L271" s="231"/>
      <c r="M271" s="231"/>
      <c r="N271" s="231"/>
      <c r="O271" s="231"/>
      <c r="P271" s="231"/>
      <c r="Q271" s="231"/>
      <c r="R271" s="231"/>
      <c r="S271" s="231"/>
      <c r="T271" s="231"/>
      <c r="U271" s="231"/>
      <c r="V271" s="231"/>
      <c r="W271" s="231"/>
      <c r="X271" s="231"/>
      <c r="Y271" s="231"/>
      <c r="Z271" s="231"/>
      <c r="AA271" s="231"/>
      <c r="AB271" s="231"/>
      <c r="AC271" s="231"/>
      <c r="AD271" s="231"/>
      <c r="AE271" s="231"/>
      <c r="AF271" s="231"/>
      <c r="AG271" s="231"/>
      <c r="AH271" s="231"/>
      <c r="AI271" s="231"/>
    </row>
    <row r="272" spans="1:35" s="203" customFormat="1">
      <c r="A272" s="429">
        <v>6</v>
      </c>
      <c r="B272" s="47" t="s">
        <v>209</v>
      </c>
      <c r="C272" s="47"/>
      <c r="D272" s="47"/>
      <c r="E272" s="114">
        <v>67</v>
      </c>
      <c r="F272" s="52">
        <v>69</v>
      </c>
      <c r="G272" s="118"/>
      <c r="H272" s="122">
        <v>60</v>
      </c>
      <c r="I272" s="21"/>
      <c r="J272" s="231"/>
      <c r="K272" s="231"/>
      <c r="L272" s="231"/>
      <c r="M272" s="231"/>
      <c r="N272" s="231"/>
      <c r="O272" s="231"/>
      <c r="P272" s="231"/>
      <c r="Q272" s="231"/>
      <c r="R272" s="231"/>
      <c r="S272" s="231"/>
      <c r="T272" s="231"/>
      <c r="U272" s="231"/>
      <c r="V272" s="231"/>
      <c r="W272" s="231"/>
      <c r="X272" s="231"/>
      <c r="Y272" s="231"/>
      <c r="Z272" s="231"/>
      <c r="AA272" s="231"/>
      <c r="AB272" s="231"/>
      <c r="AC272" s="231"/>
      <c r="AD272" s="231"/>
      <c r="AE272" s="231"/>
      <c r="AF272" s="231"/>
      <c r="AG272" s="231"/>
      <c r="AH272" s="231"/>
      <c r="AI272" s="231"/>
    </row>
    <row r="273" spans="1:35" s="203" customFormat="1">
      <c r="A273" s="120">
        <v>7</v>
      </c>
      <c r="B273" s="47" t="s">
        <v>210</v>
      </c>
      <c r="C273" s="47"/>
      <c r="D273" s="47"/>
      <c r="E273" s="114">
        <v>428</v>
      </c>
      <c r="F273" s="52">
        <v>378</v>
      </c>
      <c r="G273" s="118"/>
      <c r="H273" s="122">
        <v>401</v>
      </c>
      <c r="I273" s="21"/>
      <c r="J273" s="231"/>
      <c r="K273" s="231"/>
      <c r="L273" s="231"/>
      <c r="M273" s="231"/>
      <c r="N273" s="231"/>
      <c r="O273" s="231"/>
      <c r="P273" s="231"/>
      <c r="Q273" s="231"/>
      <c r="R273" s="231"/>
      <c r="S273" s="231"/>
      <c r="T273" s="231"/>
      <c r="U273" s="231"/>
      <c r="V273" s="231"/>
      <c r="W273" s="231"/>
      <c r="X273" s="231"/>
      <c r="Y273" s="231"/>
      <c r="Z273" s="231"/>
      <c r="AA273" s="231"/>
      <c r="AB273" s="231"/>
      <c r="AC273" s="231"/>
      <c r="AD273" s="231"/>
      <c r="AE273" s="231"/>
      <c r="AF273" s="231"/>
      <c r="AG273" s="231"/>
      <c r="AH273" s="231"/>
      <c r="AI273" s="231"/>
    </row>
    <row r="274" spans="1:35" s="203" customFormat="1">
      <c r="A274" s="429">
        <v>8</v>
      </c>
      <c r="B274" s="47" t="s">
        <v>211</v>
      </c>
      <c r="C274" s="47"/>
      <c r="D274" s="47"/>
      <c r="E274" s="114">
        <v>523</v>
      </c>
      <c r="F274" s="52">
        <v>512</v>
      </c>
      <c r="G274" s="118"/>
      <c r="H274" s="122">
        <v>534</v>
      </c>
      <c r="I274" s="21"/>
      <c r="J274" s="231"/>
      <c r="K274" s="231"/>
      <c r="L274" s="231"/>
      <c r="M274" s="231"/>
      <c r="N274" s="231"/>
      <c r="O274" s="231"/>
      <c r="P274" s="231"/>
      <c r="Q274" s="231"/>
      <c r="R274" s="231"/>
      <c r="S274" s="231"/>
      <c r="T274" s="231"/>
      <c r="U274" s="231"/>
      <c r="V274" s="231"/>
      <c r="W274" s="231"/>
      <c r="X274" s="231"/>
      <c r="Y274" s="231"/>
      <c r="Z274" s="231"/>
      <c r="AA274" s="231"/>
      <c r="AB274" s="231"/>
      <c r="AC274" s="231"/>
      <c r="AD274" s="231"/>
      <c r="AE274" s="231"/>
      <c r="AF274" s="231"/>
      <c r="AG274" s="231"/>
      <c r="AH274" s="231"/>
      <c r="AI274" s="231"/>
    </row>
    <row r="275" spans="1:35" s="203" customFormat="1">
      <c r="A275" s="120">
        <v>9</v>
      </c>
      <c r="B275" s="47" t="s">
        <v>212</v>
      </c>
      <c r="C275" s="47"/>
      <c r="D275" s="47"/>
      <c r="E275" s="114">
        <v>179</v>
      </c>
      <c r="F275" s="52">
        <v>177</v>
      </c>
      <c r="G275" s="118"/>
      <c r="H275" s="122">
        <v>182</v>
      </c>
      <c r="I275" s="21"/>
      <c r="J275" s="231"/>
      <c r="K275" s="231"/>
      <c r="L275" s="231"/>
      <c r="M275" s="231"/>
      <c r="N275" s="231"/>
      <c r="O275" s="231"/>
      <c r="P275" s="231"/>
      <c r="Q275" s="231"/>
      <c r="R275" s="231"/>
      <c r="S275" s="231"/>
      <c r="T275" s="231"/>
      <c r="U275" s="231"/>
      <c r="V275" s="231"/>
      <c r="W275" s="231"/>
      <c r="X275" s="231"/>
      <c r="Y275" s="231"/>
      <c r="Z275" s="231"/>
      <c r="AA275" s="231"/>
      <c r="AB275" s="231"/>
      <c r="AC275" s="231"/>
      <c r="AD275" s="231"/>
      <c r="AE275" s="231"/>
      <c r="AF275" s="231"/>
      <c r="AG275" s="231"/>
      <c r="AH275" s="231"/>
      <c r="AI275" s="231"/>
    </row>
    <row r="276" spans="1:35" s="203" customFormat="1">
      <c r="A276" s="429">
        <v>10</v>
      </c>
      <c r="B276" s="47" t="s">
        <v>213</v>
      </c>
      <c r="C276" s="47"/>
      <c r="D276" s="47"/>
      <c r="E276" s="114">
        <v>-46</v>
      </c>
      <c r="F276" s="52">
        <v>-280</v>
      </c>
      <c r="G276" s="118"/>
      <c r="H276" s="99">
        <v>-42</v>
      </c>
      <c r="I276" s="21"/>
      <c r="J276" s="231"/>
      <c r="K276" s="231"/>
      <c r="L276" s="231"/>
      <c r="M276" s="231"/>
      <c r="N276" s="231"/>
      <c r="O276" s="231"/>
      <c r="P276" s="231"/>
      <c r="Q276" s="231"/>
      <c r="R276" s="231"/>
      <c r="S276" s="231"/>
      <c r="T276" s="231"/>
      <c r="U276" s="231"/>
      <c r="V276" s="231"/>
      <c r="W276" s="231"/>
      <c r="X276" s="231"/>
      <c r="Y276" s="231"/>
      <c r="Z276" s="231"/>
      <c r="AA276" s="231"/>
      <c r="AB276" s="231"/>
      <c r="AC276" s="231"/>
      <c r="AD276" s="231"/>
      <c r="AE276" s="231"/>
      <c r="AF276" s="231"/>
      <c r="AG276" s="231"/>
      <c r="AH276" s="231"/>
      <c r="AI276" s="231"/>
    </row>
    <row r="277" spans="1:35" s="203" customFormat="1">
      <c r="A277" s="124">
        <v>11</v>
      </c>
      <c r="B277" s="94" t="s">
        <v>214</v>
      </c>
      <c r="C277" s="94"/>
      <c r="D277" s="94"/>
      <c r="E277" s="159">
        <v>1604</v>
      </c>
      <c r="F277" s="61">
        <f>SUM(F267:F276)</f>
        <v>1322</v>
      </c>
      <c r="G277" s="118"/>
      <c r="H277" s="61">
        <f>SUM(H267:H276)</f>
        <v>1555</v>
      </c>
      <c r="I277" s="21"/>
      <c r="J277" s="231"/>
      <c r="K277" s="231"/>
      <c r="L277" s="231"/>
      <c r="M277" s="231"/>
      <c r="N277" s="231"/>
      <c r="O277" s="231"/>
      <c r="P277" s="231"/>
      <c r="Q277" s="231"/>
      <c r="R277" s="231"/>
      <c r="S277" s="231"/>
      <c r="T277" s="231"/>
      <c r="U277" s="231"/>
      <c r="V277" s="231"/>
      <c r="W277" s="231"/>
      <c r="X277" s="231"/>
      <c r="Y277" s="231"/>
      <c r="Z277" s="231"/>
      <c r="AA277" s="231"/>
      <c r="AB277" s="231"/>
      <c r="AC277" s="231"/>
      <c r="AD277" s="231"/>
      <c r="AE277" s="231"/>
      <c r="AF277" s="231"/>
      <c r="AG277" s="231"/>
      <c r="AH277" s="231"/>
      <c r="AI277" s="231"/>
    </row>
    <row r="278" spans="1:35" s="203" customFormat="1">
      <c r="A278" s="207"/>
      <c r="B278" s="207"/>
      <c r="C278" s="207"/>
      <c r="D278" s="207"/>
      <c r="E278" s="207"/>
      <c r="F278" s="207"/>
      <c r="G278" s="207"/>
      <c r="H278" s="207"/>
      <c r="I278" s="21"/>
      <c r="J278" s="231"/>
      <c r="K278" s="231"/>
      <c r="L278" s="231"/>
      <c r="M278" s="231"/>
      <c r="N278" s="231"/>
      <c r="O278" s="231"/>
      <c r="P278" s="231"/>
      <c r="Q278" s="231"/>
      <c r="R278" s="231"/>
      <c r="S278" s="231"/>
      <c r="T278" s="231"/>
      <c r="U278" s="231"/>
      <c r="V278" s="231"/>
      <c r="W278" s="231"/>
      <c r="X278" s="231"/>
      <c r="Y278" s="231"/>
      <c r="Z278" s="231"/>
      <c r="AA278" s="231"/>
      <c r="AB278" s="231"/>
      <c r="AC278" s="231"/>
      <c r="AD278" s="231"/>
      <c r="AE278" s="231"/>
      <c r="AF278" s="231"/>
      <c r="AG278" s="231"/>
      <c r="AH278" s="231"/>
      <c r="AI278" s="231"/>
    </row>
    <row r="279" spans="1:35" s="203" customFormat="1">
      <c r="A279" s="207"/>
      <c r="B279" s="207"/>
      <c r="C279" s="207"/>
      <c r="D279" s="207"/>
      <c r="E279" s="207"/>
      <c r="F279" s="207"/>
      <c r="G279" s="207"/>
      <c r="H279" s="131" t="s">
        <v>27</v>
      </c>
      <c r="I279" s="21"/>
      <c r="J279" s="231"/>
      <c r="K279" s="231"/>
      <c r="L279" s="231"/>
      <c r="M279" s="231"/>
      <c r="N279" s="231"/>
      <c r="O279" s="231"/>
      <c r="P279" s="231"/>
      <c r="Q279" s="231"/>
      <c r="R279" s="231"/>
      <c r="S279" s="231"/>
      <c r="T279" s="231"/>
      <c r="U279" s="231"/>
      <c r="V279" s="231"/>
      <c r="W279" s="231"/>
      <c r="X279" s="231"/>
      <c r="Y279" s="231"/>
      <c r="Z279" s="231"/>
      <c r="AA279" s="231"/>
      <c r="AB279" s="231"/>
      <c r="AC279" s="231"/>
      <c r="AD279" s="231"/>
      <c r="AE279" s="231"/>
      <c r="AF279" s="231"/>
      <c r="AG279" s="231"/>
      <c r="AH279" s="231"/>
      <c r="AI279" s="231"/>
    </row>
    <row r="280" spans="1:35" s="203" customFormat="1" ht="12.75" customHeight="1">
      <c r="A280" s="106" t="s">
        <v>18</v>
      </c>
      <c r="B280" s="164"/>
      <c r="C280" s="164"/>
      <c r="D280" s="164"/>
      <c r="E280" s="856" t="s">
        <v>377</v>
      </c>
      <c r="F280" s="856" t="s">
        <v>402</v>
      </c>
      <c r="G280" s="130"/>
      <c r="H280" s="856" t="s">
        <v>403</v>
      </c>
      <c r="I280" s="21"/>
      <c r="J280" s="231"/>
      <c r="K280" s="231"/>
      <c r="L280" s="231"/>
      <c r="M280" s="231"/>
      <c r="N280" s="231"/>
      <c r="O280" s="231"/>
      <c r="P280" s="231"/>
      <c r="Q280" s="231"/>
      <c r="R280" s="231"/>
      <c r="S280" s="231"/>
      <c r="T280" s="231"/>
      <c r="U280" s="231"/>
      <c r="V280" s="231"/>
      <c r="W280" s="231"/>
      <c r="X280" s="231"/>
      <c r="Y280" s="231"/>
      <c r="Z280" s="231"/>
      <c r="AA280" s="231"/>
      <c r="AB280" s="231"/>
      <c r="AC280" s="231"/>
      <c r="AD280" s="231"/>
      <c r="AE280" s="231"/>
      <c r="AF280" s="231"/>
      <c r="AG280" s="231"/>
      <c r="AH280" s="231"/>
      <c r="AI280" s="231"/>
    </row>
    <row r="281" spans="1:35" s="203" customFormat="1">
      <c r="A281" s="165"/>
      <c r="B281" s="47"/>
      <c r="C281" s="47"/>
      <c r="D281" s="47"/>
      <c r="E281" s="859"/>
      <c r="F281" s="859"/>
      <c r="G281" s="130"/>
      <c r="H281" s="859"/>
      <c r="I281" s="21"/>
      <c r="J281" s="231"/>
      <c r="K281" s="231"/>
      <c r="L281" s="231"/>
      <c r="M281" s="231"/>
      <c r="N281" s="231"/>
      <c r="O281" s="231"/>
      <c r="P281" s="231"/>
      <c r="Q281" s="231"/>
      <c r="R281" s="231"/>
      <c r="S281" s="231"/>
      <c r="T281" s="231"/>
      <c r="U281" s="231"/>
      <c r="V281" s="231"/>
      <c r="W281" s="231"/>
      <c r="X281" s="231"/>
      <c r="Y281" s="231"/>
      <c r="Z281" s="231"/>
      <c r="AA281" s="231"/>
      <c r="AB281" s="231"/>
      <c r="AC281" s="231"/>
      <c r="AD281" s="231"/>
      <c r="AE281" s="231"/>
      <c r="AF281" s="231"/>
      <c r="AG281" s="231"/>
      <c r="AH281" s="231"/>
      <c r="AI281" s="231"/>
    </row>
    <row r="282" spans="1:35" s="203" customFormat="1" ht="21.75" customHeight="1">
      <c r="A282" s="109"/>
      <c r="B282" s="174"/>
      <c r="C282" s="174"/>
      <c r="D282" s="174"/>
      <c r="E282" s="859"/>
      <c r="F282" s="859"/>
      <c r="G282" s="130"/>
      <c r="H282" s="859"/>
      <c r="I282" s="21"/>
      <c r="J282" s="231"/>
      <c r="K282" s="231"/>
      <c r="L282" s="231"/>
      <c r="M282" s="231"/>
      <c r="N282" s="231"/>
      <c r="O282" s="231"/>
      <c r="P282" s="231"/>
      <c r="Q282" s="231"/>
      <c r="R282" s="231"/>
      <c r="S282" s="231"/>
      <c r="T282" s="231"/>
      <c r="U282" s="231"/>
      <c r="V282" s="231"/>
      <c r="W282" s="231"/>
      <c r="X282" s="231"/>
      <c r="Y282" s="231"/>
      <c r="Z282" s="231"/>
      <c r="AA282" s="231"/>
      <c r="AB282" s="231"/>
      <c r="AC282" s="231"/>
      <c r="AD282" s="231"/>
      <c r="AE282" s="231"/>
      <c r="AF282" s="231"/>
      <c r="AG282" s="231"/>
      <c r="AH282" s="231"/>
      <c r="AI282" s="231"/>
    </row>
    <row r="283" spans="1:35" s="203" customFormat="1">
      <c r="A283" s="154" t="s">
        <v>215</v>
      </c>
      <c r="B283" s="47"/>
      <c r="C283" s="47"/>
      <c r="D283" s="47"/>
      <c r="E283" s="859"/>
      <c r="F283" s="859"/>
      <c r="G283" s="130"/>
      <c r="H283" s="859"/>
      <c r="I283" s="21"/>
      <c r="J283" s="231"/>
      <c r="K283" s="231"/>
      <c r="L283" s="231"/>
      <c r="M283" s="231"/>
      <c r="N283" s="231"/>
      <c r="O283" s="231"/>
      <c r="P283" s="231"/>
      <c r="Q283" s="231"/>
      <c r="R283" s="231"/>
      <c r="S283" s="231"/>
      <c r="T283" s="231"/>
      <c r="U283" s="231"/>
      <c r="V283" s="231"/>
      <c r="W283" s="231"/>
      <c r="X283" s="231"/>
      <c r="Y283" s="231"/>
      <c r="Z283" s="231"/>
      <c r="AA283" s="231"/>
      <c r="AB283" s="231"/>
      <c r="AC283" s="231"/>
      <c r="AD283" s="231"/>
      <c r="AE283" s="231"/>
      <c r="AF283" s="231"/>
      <c r="AG283" s="231"/>
      <c r="AH283" s="231"/>
      <c r="AI283" s="231"/>
    </row>
    <row r="284" spans="1:35" s="203" customFormat="1">
      <c r="A284" s="109" t="s">
        <v>83</v>
      </c>
      <c r="B284" s="174"/>
      <c r="C284" s="174"/>
      <c r="D284" s="174"/>
      <c r="E284" s="860"/>
      <c r="F284" s="860"/>
      <c r="G284" s="130"/>
      <c r="H284" s="860"/>
      <c r="I284" s="21"/>
      <c r="J284" s="231"/>
      <c r="K284" s="231"/>
      <c r="L284" s="231"/>
      <c r="M284" s="231"/>
      <c r="N284" s="231"/>
      <c r="O284" s="231"/>
      <c r="P284" s="231"/>
      <c r="Q284" s="231"/>
      <c r="R284" s="231"/>
      <c r="S284" s="231"/>
      <c r="T284" s="231"/>
      <c r="U284" s="231"/>
      <c r="V284" s="231"/>
      <c r="W284" s="231"/>
      <c r="X284" s="231"/>
      <c r="Y284" s="231"/>
      <c r="Z284" s="231"/>
      <c r="AA284" s="231"/>
      <c r="AB284" s="231"/>
      <c r="AC284" s="231"/>
      <c r="AD284" s="231"/>
      <c r="AE284" s="231"/>
      <c r="AF284" s="231"/>
      <c r="AG284" s="231"/>
      <c r="AH284" s="231"/>
      <c r="AI284" s="231"/>
    </row>
    <row r="285" spans="1:35" s="203" customFormat="1">
      <c r="A285" s="110" t="s">
        <v>84</v>
      </c>
      <c r="B285" s="116"/>
      <c r="C285" s="116"/>
      <c r="D285" s="116"/>
      <c r="E285" s="178"/>
      <c r="F285" s="146"/>
      <c r="G285" s="118"/>
      <c r="H285" s="146"/>
      <c r="I285" s="21"/>
      <c r="J285" s="231"/>
      <c r="K285" s="231"/>
      <c r="L285" s="231"/>
      <c r="M285" s="231"/>
      <c r="N285" s="231"/>
      <c r="O285" s="231"/>
      <c r="P285" s="231"/>
      <c r="Q285" s="231"/>
      <c r="R285" s="231"/>
      <c r="S285" s="231"/>
      <c r="T285" s="231"/>
      <c r="U285" s="231"/>
      <c r="V285" s="231"/>
      <c r="W285" s="231"/>
      <c r="X285" s="231"/>
      <c r="Y285" s="231"/>
      <c r="Z285" s="231"/>
      <c r="AA285" s="231"/>
      <c r="AB285" s="231"/>
      <c r="AC285" s="231"/>
      <c r="AD285" s="231"/>
      <c r="AE285" s="231"/>
      <c r="AF285" s="231"/>
      <c r="AG285" s="231"/>
      <c r="AH285" s="231"/>
      <c r="AI285" s="231"/>
    </row>
    <row r="286" spans="1:35" s="203" customFormat="1">
      <c r="A286" s="120">
        <v>1</v>
      </c>
      <c r="B286" s="47" t="s">
        <v>216</v>
      </c>
      <c r="C286" s="47"/>
      <c r="D286" s="47"/>
      <c r="E286" s="74">
        <v>141</v>
      </c>
      <c r="F286" s="52">
        <v>144</v>
      </c>
      <c r="G286" s="118"/>
      <c r="H286" s="122">
        <v>150</v>
      </c>
      <c r="I286" s="21"/>
      <c r="J286" s="231"/>
      <c r="K286" s="231"/>
      <c r="L286" s="231"/>
      <c r="M286" s="231"/>
      <c r="N286" s="231"/>
      <c r="O286" s="231"/>
      <c r="P286" s="231"/>
      <c r="Q286" s="231"/>
      <c r="R286" s="231"/>
      <c r="S286" s="231"/>
      <c r="T286" s="231"/>
      <c r="U286" s="231"/>
      <c r="V286" s="231"/>
      <c r="W286" s="231"/>
      <c r="X286" s="231"/>
      <c r="Y286" s="231"/>
      <c r="Z286" s="231"/>
      <c r="AA286" s="231"/>
      <c r="AB286" s="231"/>
      <c r="AC286" s="231"/>
      <c r="AD286" s="231"/>
      <c r="AE286" s="231"/>
      <c r="AF286" s="231"/>
      <c r="AG286" s="231"/>
      <c r="AH286" s="231"/>
      <c r="AI286" s="231"/>
    </row>
    <row r="287" spans="1:35" s="203" customFormat="1">
      <c r="A287" s="429">
        <v>2</v>
      </c>
      <c r="B287" s="47" t="s">
        <v>217</v>
      </c>
      <c r="C287" s="47"/>
      <c r="D287" s="47"/>
      <c r="E287" s="114">
        <v>70</v>
      </c>
      <c r="F287" s="52">
        <v>79</v>
      </c>
      <c r="G287" s="118"/>
      <c r="H287" s="122">
        <v>75</v>
      </c>
      <c r="I287" s="21"/>
      <c r="J287" s="231"/>
      <c r="K287" s="231"/>
      <c r="L287" s="231"/>
      <c r="M287" s="231"/>
      <c r="N287" s="231"/>
      <c r="O287" s="231"/>
      <c r="P287" s="231"/>
      <c r="Q287" s="231"/>
      <c r="R287" s="231"/>
      <c r="S287" s="231"/>
      <c r="T287" s="231"/>
      <c r="U287" s="231"/>
      <c r="V287" s="231"/>
      <c r="W287" s="231"/>
      <c r="X287" s="231"/>
      <c r="Y287" s="231"/>
      <c r="Z287" s="231"/>
      <c r="AA287" s="231"/>
      <c r="AB287" s="231"/>
      <c r="AC287" s="231"/>
      <c r="AD287" s="231"/>
      <c r="AE287" s="231"/>
      <c r="AF287" s="231"/>
      <c r="AG287" s="231"/>
      <c r="AH287" s="231"/>
      <c r="AI287" s="231"/>
    </row>
    <row r="288" spans="1:35" s="203" customFormat="1">
      <c r="A288" s="120">
        <v>3</v>
      </c>
      <c r="B288" s="90" t="s">
        <v>218</v>
      </c>
      <c r="C288" s="166"/>
      <c r="D288" s="168"/>
      <c r="E288" s="114">
        <v>143</v>
      </c>
      <c r="F288" s="52">
        <v>225</v>
      </c>
      <c r="G288" s="118"/>
      <c r="H288" s="122">
        <v>126</v>
      </c>
      <c r="I288" s="21"/>
      <c r="J288" s="231"/>
      <c r="K288" s="231"/>
      <c r="L288" s="231"/>
      <c r="M288" s="231"/>
      <c r="N288" s="231"/>
      <c r="O288" s="231"/>
      <c r="P288" s="231"/>
      <c r="Q288" s="231"/>
      <c r="R288" s="231"/>
      <c r="S288" s="231"/>
      <c r="T288" s="231"/>
      <c r="U288" s="231"/>
      <c r="V288" s="231"/>
      <c r="W288" s="231"/>
      <c r="X288" s="231"/>
      <c r="Y288" s="231"/>
      <c r="Z288" s="231"/>
      <c r="AA288" s="231"/>
      <c r="AB288" s="231"/>
      <c r="AC288" s="231"/>
      <c r="AD288" s="231"/>
      <c r="AE288" s="231"/>
      <c r="AF288" s="231"/>
      <c r="AG288" s="231"/>
      <c r="AH288" s="231"/>
      <c r="AI288" s="231"/>
    </row>
    <row r="289" spans="1:35" s="203" customFormat="1">
      <c r="A289" s="429">
        <v>4</v>
      </c>
      <c r="B289" s="47" t="s">
        <v>219</v>
      </c>
      <c r="C289" s="47"/>
      <c r="D289" s="116"/>
      <c r="E289" s="114">
        <v>99</v>
      </c>
      <c r="F289" s="52">
        <v>88</v>
      </c>
      <c r="G289" s="118"/>
      <c r="H289" s="122">
        <v>101</v>
      </c>
      <c r="I289" s="21"/>
      <c r="J289" s="231"/>
      <c r="K289" s="231"/>
      <c r="L289" s="231"/>
      <c r="M289" s="231"/>
      <c r="N289" s="231"/>
      <c r="O289" s="231"/>
      <c r="P289" s="231"/>
      <c r="Q289" s="231"/>
      <c r="R289" s="231"/>
      <c r="S289" s="231"/>
      <c r="T289" s="231"/>
      <c r="U289" s="231"/>
      <c r="V289" s="231"/>
      <c r="W289" s="231"/>
      <c r="X289" s="231"/>
      <c r="Y289" s="231"/>
      <c r="Z289" s="231"/>
      <c r="AA289" s="231"/>
      <c r="AB289" s="231"/>
      <c r="AC289" s="231"/>
      <c r="AD289" s="231"/>
      <c r="AE289" s="231"/>
      <c r="AF289" s="231"/>
      <c r="AG289" s="231"/>
      <c r="AH289" s="231"/>
      <c r="AI289" s="231"/>
    </row>
    <row r="290" spans="1:35" s="203" customFormat="1">
      <c r="A290" s="429">
        <v>5</v>
      </c>
      <c r="B290" s="47" t="s">
        <v>220</v>
      </c>
      <c r="C290" s="47"/>
      <c r="D290" s="47"/>
      <c r="E290" s="114">
        <v>-15</v>
      </c>
      <c r="F290" s="52">
        <v>-24</v>
      </c>
      <c r="G290" s="118"/>
      <c r="H290" s="122">
        <v>-18</v>
      </c>
      <c r="I290" s="21"/>
      <c r="J290" s="231"/>
      <c r="K290" s="231"/>
      <c r="L290" s="231"/>
      <c r="M290" s="231"/>
      <c r="N290" s="231"/>
      <c r="O290" s="231"/>
      <c r="P290" s="231"/>
      <c r="Q290" s="231"/>
      <c r="R290" s="231"/>
      <c r="S290" s="231"/>
      <c r="T290" s="231"/>
      <c r="U290" s="231"/>
      <c r="V290" s="231"/>
      <c r="W290" s="231"/>
      <c r="X290" s="231"/>
      <c r="Y290" s="231"/>
      <c r="Z290" s="231"/>
      <c r="AA290" s="231"/>
      <c r="AB290" s="231"/>
      <c r="AC290" s="231"/>
      <c r="AD290" s="231"/>
      <c r="AE290" s="231"/>
      <c r="AF290" s="231"/>
      <c r="AG290" s="231"/>
      <c r="AH290" s="231"/>
      <c r="AI290" s="231"/>
    </row>
    <row r="291" spans="1:35" s="203" customFormat="1">
      <c r="A291" s="120">
        <v>6</v>
      </c>
      <c r="B291" s="47" t="s">
        <v>221</v>
      </c>
      <c r="C291" s="47"/>
      <c r="D291" s="47"/>
      <c r="E291" s="114">
        <v>3</v>
      </c>
      <c r="F291" s="52">
        <v>2</v>
      </c>
      <c r="G291" s="118"/>
      <c r="H291" s="122">
        <v>16</v>
      </c>
      <c r="I291" s="21"/>
      <c r="J291" s="231"/>
      <c r="K291" s="231"/>
      <c r="L291" s="231"/>
      <c r="M291" s="231"/>
      <c r="N291" s="231"/>
      <c r="O291" s="231"/>
      <c r="P291" s="231"/>
      <c r="Q291" s="231"/>
      <c r="R291" s="231"/>
      <c r="S291" s="231"/>
      <c r="T291" s="231"/>
      <c r="U291" s="231"/>
      <c r="V291" s="231"/>
      <c r="W291" s="231"/>
      <c r="X291" s="231"/>
      <c r="Y291" s="231"/>
      <c r="Z291" s="231"/>
      <c r="AA291" s="231"/>
      <c r="AB291" s="231"/>
      <c r="AC291" s="231"/>
      <c r="AD291" s="231"/>
      <c r="AE291" s="231"/>
      <c r="AF291" s="231"/>
      <c r="AG291" s="231"/>
      <c r="AH291" s="231"/>
      <c r="AI291" s="231"/>
    </row>
    <row r="292" spans="1:35" s="203" customFormat="1">
      <c r="A292" s="429">
        <v>7</v>
      </c>
      <c r="B292" s="47" t="s">
        <v>222</v>
      </c>
      <c r="C292" s="47"/>
      <c r="D292" s="116"/>
      <c r="E292" s="114">
        <v>81</v>
      </c>
      <c r="F292" s="52">
        <v>80</v>
      </c>
      <c r="G292" s="118"/>
      <c r="H292" s="122">
        <v>97</v>
      </c>
      <c r="I292" s="21"/>
      <c r="J292" s="231"/>
      <c r="K292" s="231"/>
      <c r="L292" s="231"/>
      <c r="M292" s="231"/>
      <c r="N292" s="231"/>
      <c r="O292" s="231"/>
      <c r="P292" s="231"/>
      <c r="Q292" s="231"/>
      <c r="R292" s="231"/>
      <c r="S292" s="231"/>
      <c r="T292" s="231"/>
      <c r="U292" s="231"/>
      <c r="V292" s="231"/>
      <c r="W292" s="231"/>
      <c r="X292" s="231"/>
      <c r="Y292" s="231"/>
      <c r="Z292" s="231"/>
      <c r="AA292" s="231"/>
      <c r="AB292" s="231"/>
      <c r="AC292" s="231"/>
      <c r="AD292" s="231"/>
      <c r="AE292" s="231"/>
      <c r="AF292" s="231"/>
      <c r="AG292" s="231"/>
      <c r="AH292" s="231"/>
      <c r="AI292" s="231"/>
    </row>
    <row r="293" spans="1:35" s="203" customFormat="1">
      <c r="A293" s="120">
        <v>8</v>
      </c>
      <c r="B293" s="47" t="s">
        <v>223</v>
      </c>
      <c r="C293" s="47"/>
      <c r="D293" s="116"/>
      <c r="E293" s="114">
        <v>132</v>
      </c>
      <c r="F293" s="52">
        <v>131</v>
      </c>
      <c r="G293" s="118"/>
      <c r="H293" s="122">
        <v>159</v>
      </c>
      <c r="I293" s="21"/>
      <c r="J293" s="231"/>
      <c r="K293" s="231"/>
      <c r="L293" s="231"/>
      <c r="M293" s="231"/>
      <c r="N293" s="231"/>
      <c r="O293" s="231"/>
      <c r="P293" s="231"/>
      <c r="Q293" s="231"/>
      <c r="R293" s="231"/>
      <c r="S293" s="231"/>
      <c r="T293" s="231"/>
      <c r="U293" s="231"/>
      <c r="V293" s="231"/>
      <c r="W293" s="231"/>
      <c r="X293" s="231"/>
      <c r="Y293" s="231"/>
      <c r="Z293" s="231"/>
      <c r="AA293" s="231"/>
      <c r="AB293" s="231"/>
      <c r="AC293" s="231"/>
      <c r="AD293" s="231"/>
      <c r="AE293" s="231"/>
      <c r="AF293" s="231"/>
      <c r="AG293" s="231"/>
      <c r="AH293" s="231"/>
      <c r="AI293" s="231"/>
    </row>
    <row r="294" spans="1:35" s="203" customFormat="1">
      <c r="A294" s="429">
        <v>9</v>
      </c>
      <c r="B294" s="47" t="s">
        <v>224</v>
      </c>
      <c r="C294" s="47"/>
      <c r="D294" s="116"/>
      <c r="E294" s="114">
        <v>114</v>
      </c>
      <c r="F294" s="52">
        <v>112</v>
      </c>
      <c r="G294" s="118"/>
      <c r="H294" s="122">
        <v>137</v>
      </c>
      <c r="I294" s="21"/>
      <c r="J294" s="231"/>
      <c r="K294" s="231"/>
      <c r="L294" s="231"/>
      <c r="M294" s="231"/>
      <c r="N294" s="231"/>
      <c r="O294" s="231"/>
      <c r="P294" s="231"/>
      <c r="Q294" s="231"/>
      <c r="R294" s="231"/>
      <c r="S294" s="231"/>
      <c r="T294" s="231"/>
      <c r="U294" s="231"/>
      <c r="V294" s="231"/>
      <c r="W294" s="231"/>
      <c r="X294" s="231"/>
      <c r="Y294" s="231"/>
      <c r="Z294" s="231"/>
      <c r="AA294" s="231"/>
      <c r="AB294" s="231"/>
      <c r="AC294" s="231"/>
      <c r="AD294" s="231"/>
      <c r="AE294" s="231"/>
      <c r="AF294" s="231"/>
      <c r="AG294" s="231"/>
      <c r="AH294" s="231"/>
      <c r="AI294" s="231"/>
    </row>
    <row r="295" spans="1:35" s="203" customFormat="1">
      <c r="A295" s="120">
        <v>10</v>
      </c>
      <c r="B295" s="47" t="s">
        <v>225</v>
      </c>
      <c r="C295" s="47"/>
      <c r="D295" s="47"/>
      <c r="E295" s="114">
        <v>1</v>
      </c>
      <c r="F295" s="52">
        <v>2</v>
      </c>
      <c r="G295" s="118"/>
      <c r="H295" s="122">
        <v>2</v>
      </c>
      <c r="I295" s="21"/>
      <c r="J295" s="231"/>
      <c r="K295" s="231"/>
      <c r="L295" s="231"/>
      <c r="M295" s="231"/>
      <c r="N295" s="231"/>
      <c r="O295" s="231"/>
      <c r="P295" s="231"/>
      <c r="Q295" s="231"/>
      <c r="R295" s="231"/>
      <c r="S295" s="231"/>
      <c r="T295" s="231"/>
      <c r="U295" s="231"/>
      <c r="V295" s="231"/>
      <c r="W295" s="231"/>
      <c r="X295" s="231"/>
      <c r="Y295" s="231"/>
      <c r="Z295" s="231"/>
      <c r="AA295" s="231"/>
      <c r="AB295" s="231"/>
      <c r="AC295" s="231"/>
      <c r="AD295" s="231"/>
      <c r="AE295" s="231"/>
      <c r="AF295" s="231"/>
      <c r="AG295" s="231"/>
      <c r="AH295" s="231"/>
      <c r="AI295" s="231"/>
    </row>
    <row r="296" spans="1:35" s="203" customFormat="1">
      <c r="A296" s="429">
        <v>11</v>
      </c>
      <c r="B296" s="47" t="s">
        <v>226</v>
      </c>
      <c r="C296" s="47"/>
      <c r="D296" s="47"/>
      <c r="E296" s="114">
        <v>229</v>
      </c>
      <c r="F296" s="52">
        <v>232</v>
      </c>
      <c r="G296" s="118"/>
      <c r="H296" s="122">
        <v>229</v>
      </c>
      <c r="I296" s="21"/>
      <c r="J296" s="231"/>
      <c r="K296" s="231"/>
      <c r="L296" s="231"/>
      <c r="M296" s="231"/>
      <c r="N296" s="231"/>
      <c r="O296" s="231"/>
      <c r="P296" s="231"/>
      <c r="Q296" s="231"/>
      <c r="R296" s="231"/>
      <c r="S296" s="231"/>
      <c r="T296" s="231"/>
      <c r="U296" s="231"/>
      <c r="V296" s="231"/>
      <c r="W296" s="231"/>
      <c r="X296" s="231"/>
      <c r="Y296" s="231"/>
      <c r="Z296" s="231"/>
      <c r="AA296" s="231"/>
      <c r="AB296" s="231"/>
      <c r="AC296" s="231"/>
      <c r="AD296" s="231"/>
      <c r="AE296" s="231"/>
      <c r="AF296" s="231"/>
      <c r="AG296" s="231"/>
      <c r="AH296" s="231"/>
      <c r="AI296" s="231"/>
    </row>
    <row r="297" spans="1:35" s="203" customFormat="1">
      <c r="A297" s="120">
        <v>12</v>
      </c>
      <c r="B297" s="47" t="s">
        <v>227</v>
      </c>
      <c r="C297" s="47"/>
      <c r="D297" s="47"/>
      <c r="E297" s="114">
        <v>39</v>
      </c>
      <c r="F297" s="52">
        <v>32</v>
      </c>
      <c r="G297" s="118"/>
      <c r="H297" s="122">
        <v>32</v>
      </c>
      <c r="I297" s="21"/>
      <c r="J297" s="231"/>
      <c r="K297" s="231"/>
      <c r="L297" s="231"/>
      <c r="M297" s="231"/>
      <c r="N297" s="231"/>
      <c r="O297" s="231"/>
      <c r="P297" s="231"/>
      <c r="Q297" s="231"/>
      <c r="R297" s="231"/>
      <c r="S297" s="231"/>
      <c r="T297" s="231"/>
      <c r="U297" s="231"/>
      <c r="V297" s="231"/>
      <c r="W297" s="231"/>
      <c r="X297" s="231"/>
      <c r="Y297" s="231"/>
      <c r="Z297" s="231"/>
      <c r="AA297" s="231"/>
      <c r="AB297" s="231"/>
      <c r="AC297" s="231"/>
      <c r="AD297" s="231"/>
      <c r="AE297" s="231"/>
      <c r="AF297" s="231"/>
      <c r="AG297" s="231"/>
      <c r="AH297" s="231"/>
      <c r="AI297" s="231"/>
    </row>
    <row r="298" spans="1:35" s="203" customFormat="1">
      <c r="A298" s="429">
        <v>13</v>
      </c>
      <c r="B298" s="47" t="s">
        <v>228</v>
      </c>
      <c r="C298" s="47"/>
      <c r="D298" s="47"/>
      <c r="E298" s="114">
        <v>2712</v>
      </c>
      <c r="F298" s="52">
        <v>2783</v>
      </c>
      <c r="G298" s="118"/>
      <c r="H298" s="122">
        <v>3031</v>
      </c>
      <c r="I298" s="21"/>
      <c r="J298" s="231"/>
      <c r="K298" s="231"/>
      <c r="L298" s="231"/>
      <c r="M298" s="231"/>
      <c r="N298" s="231"/>
      <c r="O298" s="231"/>
      <c r="P298" s="231"/>
      <c r="Q298" s="231"/>
      <c r="R298" s="231"/>
      <c r="S298" s="231"/>
      <c r="T298" s="231"/>
      <c r="U298" s="231"/>
      <c r="V298" s="231"/>
      <c r="W298" s="231"/>
      <c r="X298" s="231"/>
      <c r="Y298" s="231"/>
      <c r="Z298" s="231"/>
      <c r="AA298" s="231"/>
      <c r="AB298" s="231"/>
      <c r="AC298" s="231"/>
      <c r="AD298" s="231"/>
      <c r="AE298" s="231"/>
      <c r="AF298" s="231"/>
      <c r="AG298" s="231"/>
      <c r="AH298" s="231"/>
      <c r="AI298" s="231"/>
    </row>
    <row r="299" spans="1:35" s="203" customFormat="1">
      <c r="A299" s="120">
        <v>14</v>
      </c>
      <c r="B299" s="47" t="s">
        <v>229</v>
      </c>
      <c r="C299" s="47"/>
      <c r="D299" s="116"/>
      <c r="E299" s="114">
        <v>0</v>
      </c>
      <c r="F299" s="52">
        <v>0</v>
      </c>
      <c r="G299" s="118"/>
      <c r="H299" s="122">
        <v>0</v>
      </c>
      <c r="I299" s="21"/>
      <c r="J299" s="231"/>
      <c r="K299" s="231"/>
      <c r="L299" s="231"/>
      <c r="M299" s="231"/>
      <c r="N299" s="231"/>
      <c r="O299" s="231"/>
      <c r="P299" s="231"/>
      <c r="Q299" s="231"/>
      <c r="R299" s="231"/>
      <c r="S299" s="231"/>
      <c r="T299" s="231"/>
      <c r="U299" s="231"/>
      <c r="V299" s="231"/>
      <c r="W299" s="231"/>
      <c r="X299" s="231"/>
      <c r="Y299" s="231"/>
      <c r="Z299" s="231"/>
      <c r="AA299" s="231"/>
      <c r="AB299" s="231"/>
      <c r="AC299" s="231"/>
      <c r="AD299" s="231"/>
      <c r="AE299" s="231"/>
      <c r="AF299" s="231"/>
      <c r="AG299" s="231"/>
      <c r="AH299" s="231"/>
      <c r="AI299" s="231"/>
    </row>
    <row r="300" spans="1:35" s="203" customFormat="1">
      <c r="A300" s="429">
        <v>15</v>
      </c>
      <c r="B300" s="47" t="s">
        <v>230</v>
      </c>
      <c r="C300" s="47"/>
      <c r="D300" s="116"/>
      <c r="E300" s="114">
        <v>1331</v>
      </c>
      <c r="F300" s="52">
        <v>1684</v>
      </c>
      <c r="G300" s="118"/>
      <c r="H300" s="122">
        <v>1371</v>
      </c>
      <c r="I300" s="21"/>
      <c r="J300" s="231"/>
      <c r="K300" s="231"/>
      <c r="L300" s="231"/>
      <c r="M300" s="231"/>
      <c r="N300" s="231"/>
      <c r="O300" s="231"/>
      <c r="P300" s="231"/>
      <c r="Q300" s="231"/>
      <c r="R300" s="231"/>
      <c r="S300" s="231"/>
      <c r="T300" s="231"/>
      <c r="U300" s="231"/>
      <c r="V300" s="231"/>
      <c r="W300" s="231"/>
      <c r="X300" s="231"/>
      <c r="Y300" s="231"/>
      <c r="Z300" s="231"/>
      <c r="AA300" s="231"/>
      <c r="AB300" s="231"/>
      <c r="AC300" s="231"/>
      <c r="AD300" s="231"/>
      <c r="AE300" s="231"/>
      <c r="AF300" s="231"/>
      <c r="AG300" s="231"/>
      <c r="AH300" s="231"/>
      <c r="AI300" s="231"/>
    </row>
    <row r="301" spans="1:35" s="203" customFormat="1">
      <c r="A301" s="120">
        <v>17</v>
      </c>
      <c r="B301" s="47" t="s">
        <v>231</v>
      </c>
      <c r="C301" s="47"/>
      <c r="D301" s="47"/>
      <c r="E301" s="114">
        <v>-5</v>
      </c>
      <c r="F301" s="52">
        <v>-6</v>
      </c>
      <c r="G301" s="118"/>
      <c r="H301" s="99">
        <v>243</v>
      </c>
      <c r="I301" s="21"/>
      <c r="J301" s="231"/>
      <c r="K301" s="231"/>
      <c r="L301" s="231"/>
      <c r="M301" s="231"/>
      <c r="N301" s="231"/>
      <c r="O301" s="231"/>
      <c r="P301" s="231"/>
      <c r="Q301" s="231"/>
      <c r="R301" s="231"/>
      <c r="S301" s="231"/>
      <c r="T301" s="231"/>
      <c r="U301" s="231"/>
      <c r="V301" s="231"/>
      <c r="W301" s="231"/>
      <c r="X301" s="231"/>
      <c r="Y301" s="231"/>
      <c r="Z301" s="231"/>
      <c r="AA301" s="231"/>
      <c r="AB301" s="231"/>
      <c r="AC301" s="231"/>
      <c r="AD301" s="231"/>
      <c r="AE301" s="231"/>
      <c r="AF301" s="231"/>
      <c r="AG301" s="231"/>
      <c r="AH301" s="231"/>
      <c r="AI301" s="231"/>
    </row>
    <row r="302" spans="1:35" s="203" customFormat="1">
      <c r="A302" s="430">
        <v>18</v>
      </c>
      <c r="B302" s="94" t="s">
        <v>232</v>
      </c>
      <c r="C302" s="94"/>
      <c r="D302" s="94"/>
      <c r="E302" s="159">
        <v>5075</v>
      </c>
      <c r="F302" s="61">
        <f>SUM(F286:F301)</f>
        <v>5564</v>
      </c>
      <c r="G302" s="118"/>
      <c r="H302" s="61">
        <f>SUM(H286:H301)</f>
        <v>5751</v>
      </c>
      <c r="I302" s="21"/>
      <c r="J302" s="231"/>
      <c r="K302" s="231"/>
      <c r="L302" s="231"/>
      <c r="M302" s="231"/>
      <c r="N302" s="231"/>
      <c r="O302" s="231"/>
      <c r="P302" s="231"/>
      <c r="Q302" s="231"/>
      <c r="R302" s="231"/>
      <c r="S302" s="231"/>
      <c r="T302" s="231"/>
      <c r="U302" s="231"/>
      <c r="V302" s="231"/>
      <c r="W302" s="231"/>
      <c r="X302" s="231"/>
      <c r="Y302" s="231"/>
      <c r="Z302" s="231"/>
      <c r="AA302" s="231"/>
      <c r="AB302" s="231"/>
      <c r="AC302" s="231"/>
      <c r="AD302" s="231"/>
      <c r="AE302" s="231"/>
      <c r="AF302" s="231"/>
      <c r="AG302" s="231"/>
      <c r="AH302" s="231"/>
      <c r="AI302" s="231"/>
    </row>
    <row r="303" spans="1:35" s="203" customFormat="1">
      <c r="A303" s="179"/>
      <c r="B303" s="180"/>
      <c r="C303" s="180"/>
      <c r="D303" s="181"/>
      <c r="E303" s="182"/>
      <c r="F303" s="183"/>
      <c r="G303" s="21"/>
      <c r="H303" s="183"/>
      <c r="I303" s="21"/>
      <c r="J303" s="231"/>
      <c r="K303" s="231"/>
      <c r="L303" s="231"/>
      <c r="M303" s="231"/>
      <c r="N303" s="231"/>
      <c r="O303" s="231"/>
      <c r="P303" s="231"/>
      <c r="Q303" s="231"/>
      <c r="R303" s="231"/>
      <c r="S303" s="231"/>
      <c r="T303" s="231"/>
      <c r="U303" s="231"/>
      <c r="V303" s="231"/>
      <c r="W303" s="231"/>
      <c r="X303" s="231"/>
      <c r="Y303" s="231"/>
      <c r="Z303" s="231"/>
      <c r="AA303" s="231"/>
      <c r="AB303" s="231"/>
      <c r="AC303" s="231"/>
      <c r="AD303" s="231"/>
      <c r="AE303" s="231"/>
      <c r="AF303" s="231"/>
      <c r="AG303" s="231"/>
      <c r="AH303" s="231"/>
      <c r="AI303" s="231"/>
    </row>
    <row r="304" spans="1:35" s="203" customFormat="1">
      <c r="A304" s="184"/>
      <c r="B304" s="207"/>
      <c r="C304" s="207"/>
      <c r="D304" s="209"/>
      <c r="E304" s="185"/>
      <c r="F304" s="207"/>
      <c r="G304" s="207"/>
      <c r="H304" s="131" t="s">
        <v>27</v>
      </c>
      <c r="I304" s="21"/>
      <c r="J304" s="231"/>
      <c r="K304" s="231"/>
      <c r="L304" s="231"/>
      <c r="M304" s="231"/>
      <c r="N304" s="231"/>
      <c r="O304" s="231"/>
      <c r="P304" s="231"/>
      <c r="Q304" s="231"/>
      <c r="R304" s="231"/>
      <c r="S304" s="231"/>
      <c r="T304" s="231"/>
      <c r="U304" s="231"/>
      <c r="V304" s="231"/>
      <c r="W304" s="231"/>
      <c r="X304" s="231"/>
      <c r="Y304" s="231"/>
      <c r="Z304" s="231"/>
      <c r="AA304" s="231"/>
      <c r="AB304" s="231"/>
      <c r="AC304" s="231"/>
      <c r="AD304" s="231"/>
      <c r="AE304" s="231"/>
      <c r="AF304" s="231"/>
      <c r="AG304" s="231"/>
      <c r="AH304" s="231"/>
      <c r="AI304" s="231"/>
    </row>
    <row r="305" spans="1:35" s="203" customFormat="1" ht="12.75" customHeight="1">
      <c r="A305" s="106" t="s">
        <v>21</v>
      </c>
      <c r="B305" s="164"/>
      <c r="C305" s="164"/>
      <c r="D305" s="164"/>
      <c r="E305" s="856" t="s">
        <v>377</v>
      </c>
      <c r="F305" s="856" t="s">
        <v>402</v>
      </c>
      <c r="G305" s="130"/>
      <c r="H305" s="856" t="s">
        <v>403</v>
      </c>
      <c r="I305" s="21"/>
      <c r="J305" s="231"/>
      <c r="K305" s="231"/>
      <c r="L305" s="231"/>
      <c r="M305" s="231"/>
      <c r="N305" s="231"/>
      <c r="O305" s="231"/>
      <c r="P305" s="231"/>
      <c r="Q305" s="231"/>
      <c r="R305" s="231"/>
      <c r="S305" s="231"/>
      <c r="T305" s="231"/>
      <c r="U305" s="231"/>
      <c r="V305" s="231"/>
      <c r="W305" s="231"/>
      <c r="X305" s="231"/>
      <c r="Y305" s="231"/>
      <c r="Z305" s="231"/>
      <c r="AA305" s="231"/>
      <c r="AB305" s="231"/>
      <c r="AC305" s="231"/>
      <c r="AD305" s="231"/>
      <c r="AE305" s="231"/>
      <c r="AF305" s="231"/>
      <c r="AG305" s="231"/>
      <c r="AH305" s="231"/>
      <c r="AI305" s="231"/>
    </row>
    <row r="306" spans="1:35" s="203" customFormat="1">
      <c r="A306" s="165"/>
      <c r="B306" s="47"/>
      <c r="C306" s="47"/>
      <c r="D306" s="47"/>
      <c r="E306" s="859"/>
      <c r="F306" s="859"/>
      <c r="G306" s="130"/>
      <c r="H306" s="859"/>
      <c r="I306" s="21"/>
      <c r="J306" s="231"/>
      <c r="K306" s="231"/>
      <c r="L306" s="231"/>
      <c r="M306" s="231"/>
      <c r="N306" s="231"/>
      <c r="O306" s="231"/>
      <c r="P306" s="231"/>
      <c r="Q306" s="231"/>
      <c r="R306" s="231"/>
      <c r="S306" s="231"/>
      <c r="T306" s="231"/>
      <c r="U306" s="231"/>
      <c r="V306" s="231"/>
      <c r="W306" s="231"/>
      <c r="X306" s="231"/>
      <c r="Y306" s="231"/>
      <c r="Z306" s="231"/>
      <c r="AA306" s="231"/>
      <c r="AB306" s="231"/>
      <c r="AC306" s="231"/>
      <c r="AD306" s="231"/>
      <c r="AE306" s="231"/>
      <c r="AF306" s="231"/>
      <c r="AG306" s="231"/>
      <c r="AH306" s="231"/>
      <c r="AI306" s="231"/>
    </row>
    <row r="307" spans="1:35" s="203" customFormat="1" ht="12.75" customHeight="1">
      <c r="A307" s="109"/>
      <c r="B307" s="174"/>
      <c r="C307" s="174"/>
      <c r="D307" s="174"/>
      <c r="E307" s="859"/>
      <c r="F307" s="859"/>
      <c r="G307" s="130"/>
      <c r="H307" s="859"/>
      <c r="I307" s="21"/>
      <c r="J307" s="231"/>
      <c r="K307" s="231"/>
      <c r="L307" s="231"/>
      <c r="M307" s="231"/>
      <c r="N307" s="231"/>
      <c r="O307" s="231"/>
      <c r="P307" s="231"/>
      <c r="Q307" s="231"/>
      <c r="R307" s="231"/>
      <c r="S307" s="231"/>
      <c r="T307" s="231"/>
      <c r="U307" s="231"/>
      <c r="V307" s="231"/>
      <c r="W307" s="231"/>
      <c r="X307" s="231"/>
      <c r="Y307" s="231"/>
      <c r="Z307" s="231"/>
      <c r="AA307" s="231"/>
      <c r="AB307" s="231"/>
      <c r="AC307" s="231"/>
      <c r="AD307" s="231"/>
      <c r="AE307" s="231"/>
      <c r="AF307" s="231"/>
      <c r="AG307" s="231"/>
      <c r="AH307" s="231"/>
      <c r="AI307" s="231"/>
    </row>
    <row r="308" spans="1:35" s="203" customFormat="1">
      <c r="A308" s="154" t="s">
        <v>233</v>
      </c>
      <c r="B308" s="47"/>
      <c r="C308" s="47"/>
      <c r="D308" s="47"/>
      <c r="E308" s="859"/>
      <c r="F308" s="859"/>
      <c r="G308" s="130"/>
      <c r="H308" s="859"/>
      <c r="I308" s="21"/>
      <c r="J308" s="231"/>
      <c r="K308" s="231"/>
      <c r="L308" s="231"/>
      <c r="M308" s="231"/>
      <c r="N308" s="231"/>
      <c r="O308" s="231"/>
      <c r="P308" s="231"/>
      <c r="Q308" s="231"/>
      <c r="R308" s="231"/>
      <c r="S308" s="231"/>
      <c r="T308" s="231"/>
      <c r="U308" s="231"/>
      <c r="V308" s="231"/>
      <c r="W308" s="231"/>
      <c r="X308" s="231"/>
      <c r="Y308" s="231"/>
      <c r="Z308" s="231"/>
      <c r="AA308" s="231"/>
      <c r="AB308" s="231"/>
      <c r="AC308" s="231"/>
      <c r="AD308" s="231"/>
      <c r="AE308" s="231"/>
      <c r="AF308" s="231"/>
      <c r="AG308" s="231"/>
      <c r="AH308" s="231"/>
      <c r="AI308" s="231"/>
    </row>
    <row r="309" spans="1:35" s="203" customFormat="1">
      <c r="A309" s="109" t="s">
        <v>83</v>
      </c>
      <c r="B309" s="174"/>
      <c r="C309" s="174"/>
      <c r="D309" s="174"/>
      <c r="E309" s="860"/>
      <c r="F309" s="860"/>
      <c r="G309" s="130"/>
      <c r="H309" s="860"/>
      <c r="I309" s="21"/>
      <c r="J309" s="231"/>
      <c r="K309" s="231"/>
      <c r="L309" s="231"/>
      <c r="M309" s="231"/>
      <c r="N309" s="231"/>
      <c r="O309" s="231"/>
      <c r="P309" s="231"/>
      <c r="Q309" s="231"/>
      <c r="R309" s="231"/>
      <c r="S309" s="231"/>
      <c r="T309" s="231"/>
      <c r="U309" s="231"/>
      <c r="V309" s="231"/>
      <c r="W309" s="231"/>
      <c r="X309" s="231"/>
      <c r="Y309" s="231"/>
      <c r="Z309" s="231"/>
      <c r="AA309" s="231"/>
      <c r="AB309" s="231"/>
      <c r="AC309" s="231"/>
      <c r="AD309" s="231"/>
      <c r="AE309" s="231"/>
      <c r="AF309" s="231"/>
      <c r="AG309" s="231"/>
      <c r="AH309" s="231"/>
      <c r="AI309" s="231"/>
    </row>
    <row r="310" spans="1:35" s="203" customFormat="1">
      <c r="A310" s="110" t="s">
        <v>84</v>
      </c>
      <c r="B310" s="116"/>
      <c r="C310" s="116"/>
      <c r="D310" s="116"/>
      <c r="E310" s="262"/>
      <c r="F310" s="146"/>
      <c r="G310" s="118"/>
      <c r="H310" s="146"/>
      <c r="I310" s="21"/>
      <c r="J310" s="231"/>
      <c r="K310" s="231"/>
      <c r="L310" s="231"/>
      <c r="M310" s="231"/>
      <c r="N310" s="231"/>
      <c r="O310" s="231"/>
      <c r="P310" s="231"/>
      <c r="Q310" s="231"/>
      <c r="R310" s="231"/>
      <c r="S310" s="231"/>
      <c r="T310" s="231"/>
      <c r="U310" s="231"/>
      <c r="V310" s="231"/>
      <c r="W310" s="231"/>
      <c r="X310" s="231"/>
      <c r="Y310" s="231"/>
      <c r="Z310" s="231"/>
      <c r="AA310" s="231"/>
      <c r="AB310" s="231"/>
      <c r="AC310" s="231"/>
      <c r="AD310" s="231"/>
      <c r="AE310" s="231"/>
      <c r="AF310" s="231"/>
      <c r="AG310" s="231"/>
      <c r="AH310" s="231"/>
      <c r="AI310" s="231"/>
    </row>
    <row r="311" spans="1:35" s="203" customFormat="1">
      <c r="A311" s="120">
        <v>1</v>
      </c>
      <c r="B311" s="47" t="s">
        <v>258</v>
      </c>
      <c r="C311" s="47"/>
      <c r="D311" s="186"/>
      <c r="E311" s="74">
        <v>0</v>
      </c>
      <c r="F311" s="52">
        <v>0</v>
      </c>
      <c r="G311" s="43"/>
      <c r="H311" s="52">
        <v>0</v>
      </c>
      <c r="I311" s="21"/>
      <c r="J311" s="231"/>
      <c r="K311" s="231"/>
      <c r="L311" s="231"/>
      <c r="M311" s="231"/>
      <c r="N311" s="231"/>
      <c r="O311" s="231"/>
      <c r="P311" s="231"/>
      <c r="Q311" s="231"/>
      <c r="R311" s="231"/>
      <c r="S311" s="231"/>
      <c r="T311" s="231"/>
      <c r="U311" s="231"/>
      <c r="V311" s="231"/>
      <c r="W311" s="231"/>
      <c r="X311" s="231"/>
      <c r="Y311" s="231"/>
      <c r="Z311" s="231"/>
      <c r="AA311" s="231"/>
      <c r="AB311" s="231"/>
      <c r="AC311" s="231"/>
      <c r="AD311" s="231"/>
      <c r="AE311" s="231"/>
      <c r="AF311" s="231"/>
      <c r="AG311" s="231"/>
      <c r="AH311" s="231"/>
      <c r="AI311" s="231"/>
    </row>
    <row r="312" spans="1:35" s="203" customFormat="1">
      <c r="A312" s="120">
        <v>2</v>
      </c>
      <c r="B312" s="47" t="s">
        <v>234</v>
      </c>
      <c r="C312" s="47"/>
      <c r="D312" s="186"/>
      <c r="E312" s="114">
        <v>0</v>
      </c>
      <c r="F312" s="52">
        <v>17</v>
      </c>
      <c r="G312" s="43"/>
      <c r="H312" s="52">
        <v>0</v>
      </c>
      <c r="I312" s="21"/>
      <c r="J312" s="231"/>
      <c r="K312" s="231"/>
      <c r="L312" s="231"/>
      <c r="M312" s="231"/>
      <c r="N312" s="231"/>
      <c r="O312" s="231"/>
      <c r="P312" s="231"/>
      <c r="Q312" s="231"/>
      <c r="R312" s="231"/>
      <c r="S312" s="231"/>
      <c r="T312" s="231"/>
      <c r="U312" s="231"/>
      <c r="V312" s="231"/>
      <c r="W312" s="231"/>
      <c r="X312" s="231"/>
      <c r="Y312" s="231"/>
      <c r="Z312" s="231"/>
      <c r="AA312" s="231"/>
      <c r="AB312" s="231"/>
      <c r="AC312" s="231"/>
      <c r="AD312" s="231"/>
      <c r="AE312" s="231"/>
      <c r="AF312" s="231"/>
      <c r="AG312" s="231"/>
      <c r="AH312" s="231"/>
      <c r="AI312" s="231"/>
    </row>
    <row r="313" spans="1:35" s="203" customFormat="1">
      <c r="A313" s="120">
        <v>3</v>
      </c>
      <c r="B313" s="47" t="s">
        <v>259</v>
      </c>
      <c r="C313" s="47"/>
      <c r="D313" s="186"/>
      <c r="E313" s="114">
        <v>-199</v>
      </c>
      <c r="F313" s="52">
        <v>-525</v>
      </c>
      <c r="G313" s="43"/>
      <c r="H313" s="52">
        <v>239</v>
      </c>
      <c r="I313" s="21"/>
      <c r="J313" s="231"/>
      <c r="K313" s="231"/>
      <c r="L313" s="231"/>
      <c r="M313" s="231"/>
      <c r="N313" s="231"/>
      <c r="O313" s="231"/>
      <c r="P313" s="231"/>
      <c r="Q313" s="231"/>
      <c r="R313" s="231"/>
      <c r="S313" s="231"/>
      <c r="T313" s="231"/>
      <c r="U313" s="231"/>
      <c r="V313" s="231"/>
      <c r="W313" s="231"/>
      <c r="X313" s="231"/>
      <c r="Y313" s="231"/>
      <c r="Z313" s="231"/>
      <c r="AA313" s="231"/>
      <c r="AB313" s="231"/>
      <c r="AC313" s="231"/>
      <c r="AD313" s="231"/>
      <c r="AE313" s="231"/>
      <c r="AF313" s="231"/>
      <c r="AG313" s="231"/>
      <c r="AH313" s="231"/>
      <c r="AI313" s="231"/>
    </row>
    <row r="314" spans="1:35" s="203" customFormat="1">
      <c r="A314" s="120">
        <v>4</v>
      </c>
      <c r="B314" s="47" t="s">
        <v>235</v>
      </c>
      <c r="C314" s="47"/>
      <c r="D314" s="186"/>
      <c r="E314" s="114">
        <v>802</v>
      </c>
      <c r="F314" s="52">
        <v>776</v>
      </c>
      <c r="G314" s="43"/>
      <c r="H314" s="52">
        <v>906</v>
      </c>
      <c r="I314" s="21"/>
      <c r="J314" s="231"/>
      <c r="K314" s="231"/>
      <c r="L314" s="231"/>
      <c r="M314" s="231"/>
      <c r="N314" s="231"/>
      <c r="O314" s="231"/>
      <c r="P314" s="231"/>
      <c r="Q314" s="231"/>
      <c r="R314" s="231"/>
      <c r="S314" s="231"/>
      <c r="T314" s="231"/>
      <c r="U314" s="231"/>
      <c r="V314" s="231"/>
      <c r="W314" s="231"/>
      <c r="X314" s="231"/>
      <c r="Y314" s="231"/>
      <c r="Z314" s="231"/>
      <c r="AA314" s="231"/>
      <c r="AB314" s="231"/>
      <c r="AC314" s="231"/>
      <c r="AD314" s="231"/>
      <c r="AE314" s="231"/>
      <c r="AF314" s="231"/>
      <c r="AG314" s="231"/>
      <c r="AH314" s="231"/>
      <c r="AI314" s="231"/>
    </row>
    <row r="315" spans="1:35" s="203" customFormat="1">
      <c r="A315" s="120">
        <v>5</v>
      </c>
      <c r="B315" s="47" t="s">
        <v>236</v>
      </c>
      <c r="C315" s="47"/>
      <c r="D315" s="186"/>
      <c r="E315" s="114">
        <v>237</v>
      </c>
      <c r="F315" s="52">
        <v>281</v>
      </c>
      <c r="G315" s="43"/>
      <c r="H315" s="52">
        <v>87</v>
      </c>
      <c r="I315" s="21"/>
      <c r="J315" s="231"/>
      <c r="K315" s="231"/>
      <c r="L315" s="231"/>
      <c r="M315" s="231"/>
      <c r="N315" s="231"/>
      <c r="O315" s="231"/>
      <c r="P315" s="231"/>
      <c r="Q315" s="231"/>
      <c r="R315" s="231"/>
      <c r="S315" s="231"/>
      <c r="T315" s="231"/>
      <c r="U315" s="231"/>
      <c r="V315" s="231"/>
      <c r="W315" s="231"/>
      <c r="X315" s="231"/>
      <c r="Y315" s="231"/>
      <c r="Z315" s="231"/>
      <c r="AA315" s="231"/>
      <c r="AB315" s="231"/>
      <c r="AC315" s="231"/>
      <c r="AD315" s="231"/>
      <c r="AE315" s="231"/>
      <c r="AF315" s="231"/>
      <c r="AG315" s="231"/>
      <c r="AH315" s="231"/>
      <c r="AI315" s="231"/>
    </row>
    <row r="316" spans="1:35" s="203" customFormat="1">
      <c r="A316" s="120">
        <v>6</v>
      </c>
      <c r="B316" s="47" t="s">
        <v>237</v>
      </c>
      <c r="C316" s="47"/>
      <c r="D316" s="186"/>
      <c r="E316" s="114">
        <v>1403</v>
      </c>
      <c r="F316" s="52">
        <v>1176</v>
      </c>
      <c r="G316" s="43"/>
      <c r="H316" s="52">
        <v>833</v>
      </c>
      <c r="I316" s="21"/>
      <c r="J316" s="231"/>
      <c r="K316" s="231"/>
      <c r="L316" s="231"/>
      <c r="M316" s="231"/>
      <c r="N316" s="231"/>
      <c r="O316" s="231"/>
      <c r="P316" s="231"/>
      <c r="Q316" s="231"/>
      <c r="R316" s="231"/>
      <c r="S316" s="231"/>
      <c r="T316" s="231"/>
      <c r="U316" s="231"/>
      <c r="V316" s="231"/>
      <c r="W316" s="231"/>
      <c r="X316" s="231"/>
      <c r="Y316" s="231"/>
      <c r="Z316" s="231"/>
      <c r="AA316" s="231"/>
      <c r="AB316" s="231"/>
      <c r="AC316" s="231"/>
      <c r="AD316" s="231"/>
      <c r="AE316" s="231"/>
      <c r="AF316" s="231"/>
      <c r="AG316" s="231"/>
      <c r="AH316" s="231"/>
      <c r="AI316" s="231"/>
    </row>
    <row r="317" spans="1:35" s="203" customFormat="1">
      <c r="A317" s="120">
        <v>7</v>
      </c>
      <c r="B317" s="47" t="s">
        <v>238</v>
      </c>
      <c r="C317" s="47"/>
      <c r="D317" s="186"/>
      <c r="E317" s="114">
        <v>0</v>
      </c>
      <c r="F317" s="52">
        <v>0</v>
      </c>
      <c r="G317" s="43"/>
      <c r="H317" s="52">
        <v>0</v>
      </c>
      <c r="I317" s="21"/>
      <c r="J317" s="231"/>
      <c r="K317" s="231"/>
      <c r="L317" s="231"/>
      <c r="M317" s="231"/>
      <c r="N317" s="231"/>
      <c r="O317" s="231"/>
      <c r="P317" s="231"/>
      <c r="Q317" s="231"/>
      <c r="R317" s="231"/>
      <c r="S317" s="231"/>
      <c r="T317" s="231"/>
      <c r="U317" s="231"/>
      <c r="V317" s="231"/>
      <c r="W317" s="231"/>
      <c r="X317" s="231"/>
      <c r="Y317" s="231"/>
      <c r="Z317" s="231"/>
      <c r="AA317" s="231"/>
      <c r="AB317" s="231"/>
      <c r="AC317" s="231"/>
      <c r="AD317" s="231"/>
      <c r="AE317" s="231"/>
      <c r="AF317" s="231"/>
      <c r="AG317" s="231"/>
      <c r="AH317" s="231"/>
      <c r="AI317" s="231"/>
    </row>
    <row r="318" spans="1:35" s="203" customFormat="1">
      <c r="A318" s="120">
        <v>8</v>
      </c>
      <c r="B318" s="47" t="s">
        <v>239</v>
      </c>
      <c r="C318" s="47"/>
      <c r="D318" s="186"/>
      <c r="E318" s="114">
        <v>18</v>
      </c>
      <c r="F318" s="52">
        <v>18</v>
      </c>
      <c r="G318" s="43"/>
      <c r="H318" s="52">
        <v>16</v>
      </c>
      <c r="I318" s="21"/>
      <c r="J318" s="231"/>
      <c r="K318" s="231"/>
      <c r="L318" s="231"/>
      <c r="M318" s="231"/>
      <c r="N318" s="231"/>
      <c r="O318" s="231"/>
      <c r="P318" s="231"/>
      <c r="Q318" s="231"/>
      <c r="R318" s="231"/>
      <c r="S318" s="231"/>
      <c r="T318" s="231"/>
      <c r="U318" s="231"/>
      <c r="V318" s="231"/>
      <c r="W318" s="231"/>
      <c r="X318" s="231"/>
      <c r="Y318" s="231"/>
      <c r="Z318" s="231"/>
      <c r="AA318" s="231"/>
      <c r="AB318" s="231"/>
      <c r="AC318" s="231"/>
      <c r="AD318" s="231"/>
      <c r="AE318" s="231"/>
      <c r="AF318" s="231"/>
      <c r="AG318" s="231"/>
      <c r="AH318" s="231"/>
      <c r="AI318" s="231"/>
    </row>
    <row r="319" spans="1:35" s="203" customFormat="1">
      <c r="A319" s="429">
        <v>9</v>
      </c>
      <c r="B319" s="90" t="s">
        <v>260</v>
      </c>
      <c r="C319" s="47"/>
      <c r="D319" s="47"/>
      <c r="E319" s="114">
        <v>767</v>
      </c>
      <c r="F319" s="188"/>
      <c r="G319" s="43"/>
      <c r="H319" s="189">
        <f>751-17</f>
        <v>734</v>
      </c>
      <c r="I319" s="21"/>
      <c r="J319" s="231"/>
      <c r="K319" s="231"/>
      <c r="L319" s="231"/>
      <c r="M319" s="231"/>
      <c r="N319" s="231"/>
      <c r="O319" s="231"/>
      <c r="P319" s="231"/>
      <c r="Q319" s="231"/>
      <c r="R319" s="231"/>
      <c r="S319" s="231"/>
      <c r="T319" s="231"/>
      <c r="U319" s="231"/>
      <c r="V319" s="231"/>
      <c r="W319" s="231"/>
      <c r="X319" s="231"/>
      <c r="Y319" s="231"/>
      <c r="Z319" s="231"/>
      <c r="AA319" s="231"/>
      <c r="AB319" s="231"/>
      <c r="AC319" s="231"/>
      <c r="AD319" s="231"/>
      <c r="AE319" s="231"/>
      <c r="AF319" s="231"/>
      <c r="AG319" s="231"/>
      <c r="AH319" s="231"/>
      <c r="AI319" s="231"/>
    </row>
    <row r="320" spans="1:35" s="203" customFormat="1">
      <c r="A320" s="124">
        <v>10</v>
      </c>
      <c r="B320" s="94" t="s">
        <v>62</v>
      </c>
      <c r="C320" s="94"/>
      <c r="D320" s="94"/>
      <c r="E320" s="159">
        <v>3028</v>
      </c>
      <c r="F320" s="61">
        <f>F311+F312+F313+F314+F315+F316+F317+F318</f>
        <v>1743</v>
      </c>
      <c r="G320" s="43"/>
      <c r="H320" s="61">
        <f>H311+H312+H313+H314+H315+H316+H317+H318+H319</f>
        <v>2815</v>
      </c>
      <c r="I320" s="183"/>
      <c r="J320" s="231"/>
      <c r="K320" s="231"/>
      <c r="L320" s="231"/>
      <c r="M320" s="231"/>
      <c r="N320" s="231"/>
      <c r="O320" s="231"/>
      <c r="P320" s="231"/>
      <c r="Q320" s="231"/>
      <c r="R320" s="231"/>
      <c r="S320" s="231"/>
      <c r="T320" s="231"/>
      <c r="U320" s="231"/>
      <c r="V320" s="231"/>
      <c r="W320" s="231"/>
      <c r="X320" s="231"/>
      <c r="Y320" s="231"/>
      <c r="Z320" s="231"/>
      <c r="AA320" s="231"/>
      <c r="AB320" s="231"/>
      <c r="AC320" s="231"/>
      <c r="AD320" s="231"/>
      <c r="AE320" s="231"/>
      <c r="AF320" s="231"/>
      <c r="AG320" s="231"/>
      <c r="AH320" s="231"/>
      <c r="AI320" s="231"/>
    </row>
    <row r="321" spans="1:35" s="203" customFormat="1">
      <c r="A321" s="179"/>
      <c r="B321" s="180"/>
      <c r="C321" s="180"/>
      <c r="D321" s="180"/>
      <c r="E321" s="180"/>
      <c r="F321" s="183"/>
      <c r="G321" s="21"/>
      <c r="H321" s="183"/>
      <c r="I321" s="183"/>
      <c r="J321" s="231"/>
      <c r="K321" s="231"/>
      <c r="L321" s="231"/>
      <c r="M321" s="231"/>
      <c r="N321" s="231"/>
      <c r="O321" s="231"/>
      <c r="P321" s="231"/>
      <c r="Q321" s="231"/>
      <c r="R321" s="231"/>
      <c r="S321" s="231"/>
      <c r="T321" s="231"/>
      <c r="U321" s="231"/>
      <c r="V321" s="231"/>
      <c r="W321" s="231"/>
      <c r="X321" s="231"/>
      <c r="Y321" s="231"/>
      <c r="Z321" s="231"/>
      <c r="AA321" s="231"/>
      <c r="AB321" s="231"/>
      <c r="AC321" s="231"/>
      <c r="AD321" s="231"/>
      <c r="AE321" s="231"/>
      <c r="AF321" s="231"/>
      <c r="AG321" s="231"/>
      <c r="AH321" s="231"/>
      <c r="AI321" s="231"/>
    </row>
    <row r="322" spans="1:35" s="203" customFormat="1">
      <c r="A322" s="148"/>
      <c r="B322" s="207"/>
      <c r="C322" s="207"/>
      <c r="D322" s="29"/>
      <c r="E322" s="29"/>
      <c r="F322" s="29"/>
      <c r="G322" s="29"/>
      <c r="H322" s="31" t="s">
        <v>27</v>
      </c>
      <c r="I322" s="2"/>
      <c r="J322" s="231"/>
      <c r="K322" s="231"/>
      <c r="L322" s="231"/>
      <c r="M322" s="231"/>
      <c r="N322" s="231"/>
      <c r="O322" s="231"/>
      <c r="P322" s="231"/>
      <c r="Q322" s="231"/>
      <c r="R322" s="231"/>
      <c r="S322" s="231"/>
      <c r="T322" s="231"/>
      <c r="U322" s="231"/>
      <c r="V322" s="231"/>
      <c r="W322" s="231"/>
      <c r="X322" s="231"/>
      <c r="Y322" s="231"/>
      <c r="Z322" s="231"/>
      <c r="AA322" s="231"/>
      <c r="AB322" s="231"/>
      <c r="AC322" s="231"/>
      <c r="AD322" s="231"/>
      <c r="AE322" s="231"/>
      <c r="AF322" s="231"/>
      <c r="AG322" s="231"/>
      <c r="AH322" s="231"/>
      <c r="AI322" s="231"/>
    </row>
    <row r="323" spans="1:35" s="203" customFormat="1">
      <c r="A323" s="190" t="s">
        <v>240</v>
      </c>
      <c r="B323" s="263"/>
      <c r="C323" s="861" t="s">
        <v>405</v>
      </c>
      <c r="D323" s="862"/>
      <c r="E323" s="862"/>
      <c r="F323" s="862"/>
      <c r="G323" s="862"/>
      <c r="H323" s="863"/>
      <c r="I323" s="210"/>
      <c r="J323" s="231"/>
      <c r="K323" s="231"/>
      <c r="L323" s="231"/>
      <c r="M323" s="231"/>
      <c r="N323" s="231"/>
      <c r="O323" s="231"/>
      <c r="P323" s="231"/>
      <c r="Q323" s="231"/>
      <c r="R323" s="231"/>
      <c r="S323" s="231"/>
      <c r="T323" s="231"/>
      <c r="U323" s="231"/>
      <c r="V323" s="231"/>
      <c r="W323" s="231"/>
      <c r="X323" s="231"/>
      <c r="Y323" s="231"/>
      <c r="Z323" s="231"/>
      <c r="AA323" s="231"/>
      <c r="AB323" s="231"/>
      <c r="AC323" s="231"/>
      <c r="AD323" s="231"/>
      <c r="AE323" s="231"/>
      <c r="AF323" s="231"/>
      <c r="AG323" s="231"/>
      <c r="AH323" s="231"/>
      <c r="AI323" s="231"/>
    </row>
    <row r="324" spans="1:35" s="203" customFormat="1" ht="39" thickBot="1">
      <c r="A324" s="110" t="s">
        <v>84</v>
      </c>
      <c r="B324" s="116"/>
      <c r="C324" s="35" t="s">
        <v>52</v>
      </c>
      <c r="D324" s="35" t="s">
        <v>53</v>
      </c>
      <c r="E324" s="37" t="s">
        <v>54</v>
      </c>
      <c r="F324" s="37" t="s">
        <v>55</v>
      </c>
      <c r="G324" s="37" t="s">
        <v>241</v>
      </c>
      <c r="H324" s="35" t="s">
        <v>121</v>
      </c>
      <c r="I324" s="29"/>
      <c r="J324" s="231"/>
      <c r="K324" s="231"/>
      <c r="L324" s="231"/>
      <c r="M324" s="231"/>
      <c r="N324" s="231"/>
      <c r="O324" s="231"/>
      <c r="P324" s="231"/>
      <c r="Q324" s="231"/>
      <c r="R324" s="231"/>
      <c r="S324" s="231"/>
      <c r="T324" s="231"/>
      <c r="U324" s="231"/>
      <c r="V324" s="231"/>
      <c r="W324" s="231"/>
      <c r="X324" s="231"/>
      <c r="Y324" s="231"/>
      <c r="Z324" s="231"/>
      <c r="AA324" s="231"/>
      <c r="AB324" s="231"/>
      <c r="AC324" s="231"/>
      <c r="AD324" s="231"/>
      <c r="AE324" s="231"/>
      <c r="AF324" s="231"/>
      <c r="AG324" s="231"/>
      <c r="AH324" s="231"/>
      <c r="AI324" s="231"/>
    </row>
    <row r="325" spans="1:35" s="203" customFormat="1" ht="13.5" thickBot="1">
      <c r="A325" s="429">
        <v>1</v>
      </c>
      <c r="B325" s="116" t="s">
        <v>242</v>
      </c>
      <c r="C325" s="193">
        <f t="shared" ref="C325:H325" si="0">SUM(C326:C329)</f>
        <v>3765</v>
      </c>
      <c r="D325" s="193">
        <f t="shared" si="0"/>
        <v>0</v>
      </c>
      <c r="E325" s="193">
        <v>0</v>
      </c>
      <c r="F325" s="193">
        <f t="shared" si="0"/>
        <v>0</v>
      </c>
      <c r="G325" s="193">
        <f>SUM(G326:G329)</f>
        <v>0</v>
      </c>
      <c r="H325" s="193">
        <f t="shared" si="0"/>
        <v>0</v>
      </c>
      <c r="I325" s="207"/>
      <c r="J325" s="231"/>
      <c r="K325" s="231"/>
      <c r="L325" s="231"/>
      <c r="M325" s="231"/>
      <c r="N325" s="231"/>
      <c r="O325" s="231"/>
      <c r="P325" s="231"/>
      <c r="Q325" s="231"/>
      <c r="R325" s="231"/>
      <c r="S325" s="231"/>
      <c r="T325" s="231"/>
      <c r="U325" s="231"/>
      <c r="V325" s="231"/>
      <c r="W325" s="231"/>
      <c r="X325" s="231"/>
      <c r="Y325" s="231"/>
      <c r="Z325" s="231"/>
      <c r="AA325" s="231"/>
      <c r="AB325" s="231"/>
      <c r="AC325" s="231"/>
      <c r="AD325" s="231"/>
      <c r="AE325" s="231"/>
      <c r="AF325" s="231"/>
      <c r="AG325" s="231"/>
      <c r="AH325" s="231"/>
      <c r="AI325" s="231"/>
    </row>
    <row r="326" spans="1:35" s="203" customFormat="1">
      <c r="A326" s="429">
        <v>2</v>
      </c>
      <c r="B326" s="47" t="s">
        <v>243</v>
      </c>
      <c r="C326" s="169">
        <v>248</v>
      </c>
      <c r="D326" s="169">
        <v>0</v>
      </c>
      <c r="E326" s="169">
        <v>0</v>
      </c>
      <c r="F326" s="169">
        <v>0</v>
      </c>
      <c r="G326" s="169">
        <v>0</v>
      </c>
      <c r="H326" s="169">
        <v>0</v>
      </c>
      <c r="I326" s="207"/>
      <c r="J326" s="231"/>
      <c r="K326" s="231"/>
      <c r="L326" s="231"/>
      <c r="M326" s="231"/>
      <c r="N326" s="231"/>
      <c r="O326" s="231"/>
      <c r="P326" s="231"/>
      <c r="Q326" s="231"/>
      <c r="R326" s="231"/>
      <c r="S326" s="231"/>
      <c r="T326" s="231"/>
      <c r="U326" s="231"/>
      <c r="V326" s="231"/>
      <c r="W326" s="231"/>
      <c r="X326" s="231"/>
      <c r="Y326" s="231"/>
      <c r="Z326" s="231"/>
      <c r="AA326" s="231"/>
      <c r="AB326" s="231"/>
      <c r="AC326" s="231"/>
      <c r="AD326" s="231"/>
      <c r="AE326" s="231"/>
      <c r="AF326" s="231"/>
      <c r="AG326" s="231"/>
      <c r="AH326" s="231"/>
      <c r="AI326" s="231"/>
    </row>
    <row r="327" spans="1:35" s="203" customFormat="1">
      <c r="A327" s="429">
        <v>3</v>
      </c>
      <c r="B327" s="47" t="s">
        <v>244</v>
      </c>
      <c r="C327" s="99">
        <v>2352</v>
      </c>
      <c r="D327" s="99">
        <v>0</v>
      </c>
      <c r="E327" s="99">
        <v>0</v>
      </c>
      <c r="F327" s="99">
        <v>0</v>
      </c>
      <c r="G327" s="99">
        <v>0</v>
      </c>
      <c r="H327" s="99">
        <v>0</v>
      </c>
      <c r="I327" s="207"/>
      <c r="J327" s="231"/>
      <c r="K327" s="231"/>
      <c r="L327" s="231"/>
      <c r="M327" s="231"/>
      <c r="N327" s="231"/>
      <c r="O327" s="231"/>
      <c r="P327" s="231"/>
      <c r="Q327" s="231"/>
      <c r="R327" s="231"/>
      <c r="S327" s="231"/>
      <c r="T327" s="231"/>
      <c r="U327" s="231"/>
      <c r="V327" s="231"/>
      <c r="W327" s="231"/>
      <c r="X327" s="231"/>
      <c r="Y327" s="231"/>
      <c r="Z327" s="231"/>
      <c r="AA327" s="231"/>
      <c r="AB327" s="231"/>
      <c r="AC327" s="231"/>
      <c r="AD327" s="231"/>
      <c r="AE327" s="231"/>
      <c r="AF327" s="231"/>
      <c r="AG327" s="231"/>
      <c r="AH327" s="231"/>
      <c r="AI327" s="231"/>
    </row>
    <row r="328" spans="1:35" s="203" customFormat="1">
      <c r="A328" s="429">
        <v>4</v>
      </c>
      <c r="B328" s="47" t="s">
        <v>245</v>
      </c>
      <c r="C328" s="99">
        <v>1165</v>
      </c>
      <c r="D328" s="99">
        <v>0</v>
      </c>
      <c r="E328" s="99">
        <v>0</v>
      </c>
      <c r="F328" s="99">
        <v>0</v>
      </c>
      <c r="G328" s="99">
        <v>0</v>
      </c>
      <c r="H328" s="99">
        <v>0</v>
      </c>
      <c r="I328" s="207"/>
      <c r="J328" s="231"/>
      <c r="K328" s="231"/>
      <c r="L328" s="231"/>
      <c r="M328" s="231"/>
      <c r="N328" s="231"/>
      <c r="O328" s="231"/>
      <c r="P328" s="231"/>
      <c r="Q328" s="231"/>
      <c r="R328" s="231"/>
      <c r="S328" s="231"/>
      <c r="T328" s="231"/>
      <c r="U328" s="231"/>
      <c r="V328" s="231"/>
      <c r="W328" s="231"/>
      <c r="X328" s="231"/>
      <c r="Y328" s="231"/>
      <c r="Z328" s="231"/>
      <c r="AA328" s="231"/>
      <c r="AB328" s="231"/>
      <c r="AC328" s="231"/>
      <c r="AD328" s="231"/>
      <c r="AE328" s="231"/>
      <c r="AF328" s="231"/>
      <c r="AG328" s="231"/>
      <c r="AH328" s="231"/>
      <c r="AI328" s="231"/>
    </row>
    <row r="329" spans="1:35" s="203" customFormat="1">
      <c r="A329" s="430">
        <v>5</v>
      </c>
      <c r="B329" s="54" t="s">
        <v>246</v>
      </c>
      <c r="C329" s="100">
        <v>0</v>
      </c>
      <c r="D329" s="100">
        <v>0</v>
      </c>
      <c r="E329" s="100">
        <v>0</v>
      </c>
      <c r="F329" s="100">
        <v>0</v>
      </c>
      <c r="G329" s="100">
        <v>0</v>
      </c>
      <c r="H329" s="100">
        <v>0</v>
      </c>
      <c r="I329" s="207"/>
      <c r="J329" s="231"/>
      <c r="K329" s="231"/>
      <c r="L329" s="231"/>
      <c r="M329" s="231"/>
      <c r="N329" s="231"/>
      <c r="O329" s="231"/>
      <c r="P329" s="231"/>
      <c r="Q329" s="231"/>
      <c r="R329" s="231"/>
      <c r="S329" s="231"/>
      <c r="T329" s="231"/>
      <c r="U329" s="231"/>
      <c r="V329" s="231"/>
      <c r="W329" s="231"/>
      <c r="X329" s="231"/>
      <c r="Y329" s="231"/>
      <c r="Z329" s="231"/>
      <c r="AA329" s="231"/>
      <c r="AB329" s="231"/>
      <c r="AC329" s="231"/>
      <c r="AD329" s="231"/>
      <c r="AE329" s="231"/>
      <c r="AF329" s="231"/>
      <c r="AG329" s="231"/>
      <c r="AH329" s="231"/>
      <c r="AI329" s="231"/>
    </row>
    <row r="330" spans="1:35" s="203" customFormat="1">
      <c r="A330" s="429"/>
      <c r="B330" s="47"/>
      <c r="C330" s="864" t="s">
        <v>404</v>
      </c>
      <c r="D330" s="865"/>
      <c r="E330" s="865"/>
      <c r="F330" s="865"/>
      <c r="G330" s="865"/>
      <c r="H330" s="866"/>
      <c r="I330" s="207"/>
      <c r="J330" s="231"/>
      <c r="K330" s="231"/>
      <c r="L330" s="231"/>
      <c r="M330" s="231"/>
      <c r="N330" s="231"/>
      <c r="O330" s="231"/>
      <c r="P330" s="231"/>
      <c r="Q330" s="231"/>
      <c r="R330" s="231"/>
      <c r="S330" s="231"/>
      <c r="T330" s="231"/>
      <c r="U330" s="231"/>
      <c r="V330" s="231"/>
      <c r="W330" s="231"/>
      <c r="X330" s="231"/>
      <c r="Y330" s="231"/>
      <c r="Z330" s="231"/>
      <c r="AA330" s="231"/>
      <c r="AB330" s="231"/>
      <c r="AC330" s="231"/>
      <c r="AD330" s="231"/>
      <c r="AE330" s="231"/>
      <c r="AF330" s="231"/>
      <c r="AG330" s="231"/>
      <c r="AH330" s="231"/>
      <c r="AI330" s="231"/>
    </row>
    <row r="331" spans="1:35" s="203" customFormat="1" ht="39" thickBot="1">
      <c r="A331" s="110" t="s">
        <v>84</v>
      </c>
      <c r="B331" s="116"/>
      <c r="C331" s="35" t="s">
        <v>52</v>
      </c>
      <c r="D331" s="35" t="s">
        <v>53</v>
      </c>
      <c r="E331" s="37" t="s">
        <v>54</v>
      </c>
      <c r="F331" s="37" t="s">
        <v>55</v>
      </c>
      <c r="G331" s="37" t="s">
        <v>241</v>
      </c>
      <c r="H331" s="35" t="s">
        <v>121</v>
      </c>
      <c r="I331" s="207"/>
      <c r="J331" s="231"/>
      <c r="K331" s="231"/>
      <c r="L331" s="231"/>
      <c r="M331" s="231"/>
      <c r="N331" s="231"/>
      <c r="O331" s="231"/>
      <c r="P331" s="231"/>
      <c r="Q331" s="231"/>
      <c r="R331" s="231"/>
      <c r="S331" s="231"/>
      <c r="T331" s="231"/>
      <c r="U331" s="231"/>
      <c r="V331" s="231"/>
      <c r="W331" s="231"/>
      <c r="X331" s="231"/>
      <c r="Y331" s="231"/>
      <c r="Z331" s="231"/>
      <c r="AA331" s="231"/>
      <c r="AB331" s="231"/>
      <c r="AC331" s="231"/>
      <c r="AD331" s="231"/>
      <c r="AE331" s="231"/>
      <c r="AF331" s="231"/>
      <c r="AG331" s="231"/>
      <c r="AH331" s="231"/>
      <c r="AI331" s="231"/>
    </row>
    <row r="332" spans="1:35" s="203" customFormat="1" ht="13.5" thickBot="1">
      <c r="A332" s="429">
        <v>1</v>
      </c>
      <c r="B332" s="116" t="s">
        <v>242</v>
      </c>
      <c r="C332" s="193">
        <f t="shared" ref="C332:H332" si="1">SUM(C333:C336)</f>
        <v>3778</v>
      </c>
      <c r="D332" s="193">
        <f t="shared" si="1"/>
        <v>0</v>
      </c>
      <c r="E332" s="193">
        <v>0</v>
      </c>
      <c r="F332" s="193">
        <f t="shared" si="1"/>
        <v>0</v>
      </c>
      <c r="G332" s="193">
        <f>SUM(G333:G336)</f>
        <v>0</v>
      </c>
      <c r="H332" s="193">
        <f t="shared" si="1"/>
        <v>0</v>
      </c>
      <c r="I332" s="207"/>
      <c r="J332" s="231"/>
      <c r="K332" s="231"/>
      <c r="L332" s="231"/>
      <c r="M332" s="231"/>
      <c r="N332" s="231"/>
      <c r="O332" s="231"/>
      <c r="P332" s="231"/>
      <c r="Q332" s="231"/>
      <c r="R332" s="231"/>
      <c r="S332" s="231"/>
      <c r="T332" s="231"/>
      <c r="U332" s="231"/>
      <c r="V332" s="231"/>
      <c r="W332" s="231"/>
      <c r="X332" s="231"/>
      <c r="Y332" s="231"/>
      <c r="Z332" s="231"/>
      <c r="AA332" s="231"/>
      <c r="AB332" s="231"/>
      <c r="AC332" s="231"/>
      <c r="AD332" s="231"/>
      <c r="AE332" s="231"/>
      <c r="AF332" s="231"/>
      <c r="AG332" s="231"/>
      <c r="AH332" s="231"/>
      <c r="AI332" s="231"/>
    </row>
    <row r="333" spans="1:35" s="203" customFormat="1">
      <c r="A333" s="429">
        <v>2</v>
      </c>
      <c r="B333" s="47" t="s">
        <v>243</v>
      </c>
      <c r="C333" s="169">
        <v>258</v>
      </c>
      <c r="D333" s="169">
        <v>0</v>
      </c>
      <c r="E333" s="169">
        <v>0</v>
      </c>
      <c r="F333" s="169">
        <v>0</v>
      </c>
      <c r="G333" s="169">
        <v>0</v>
      </c>
      <c r="H333" s="169">
        <v>0</v>
      </c>
      <c r="I333" s="207"/>
      <c r="J333" s="231"/>
      <c r="K333" s="231"/>
      <c r="L333" s="231"/>
      <c r="M333" s="231"/>
      <c r="N333" s="231"/>
      <c r="O333" s="231"/>
      <c r="P333" s="231"/>
      <c r="Q333" s="231"/>
      <c r="R333" s="231"/>
      <c r="S333" s="231"/>
      <c r="T333" s="231"/>
      <c r="U333" s="231"/>
      <c r="V333" s="231"/>
      <c r="W333" s="231"/>
      <c r="X333" s="231"/>
      <c r="Y333" s="231"/>
      <c r="Z333" s="231"/>
      <c r="AA333" s="231"/>
      <c r="AB333" s="231"/>
      <c r="AC333" s="231"/>
      <c r="AD333" s="231"/>
      <c r="AE333" s="231"/>
      <c r="AF333" s="231"/>
      <c r="AG333" s="231"/>
      <c r="AH333" s="231"/>
      <c r="AI333" s="231"/>
    </row>
    <row r="334" spans="1:35" s="203" customFormat="1">
      <c r="A334" s="429">
        <v>3</v>
      </c>
      <c r="B334" s="47" t="s">
        <v>244</v>
      </c>
      <c r="C334" s="99">
        <v>2297</v>
      </c>
      <c r="D334" s="99">
        <v>0</v>
      </c>
      <c r="E334" s="99">
        <v>0</v>
      </c>
      <c r="F334" s="99">
        <v>0</v>
      </c>
      <c r="G334" s="99">
        <v>0</v>
      </c>
      <c r="H334" s="99">
        <v>0</v>
      </c>
      <c r="I334" s="207"/>
      <c r="J334" s="231"/>
      <c r="K334" s="231"/>
      <c r="L334" s="231"/>
      <c r="M334" s="231"/>
      <c r="N334" s="231"/>
      <c r="O334" s="231"/>
      <c r="P334" s="231"/>
      <c r="Q334" s="231"/>
      <c r="R334" s="231"/>
      <c r="S334" s="231"/>
      <c r="T334" s="231"/>
      <c r="U334" s="231"/>
      <c r="V334" s="231"/>
      <c r="W334" s="231"/>
      <c r="X334" s="231"/>
      <c r="Y334" s="231"/>
      <c r="Z334" s="231"/>
      <c r="AA334" s="231"/>
      <c r="AB334" s="231"/>
      <c r="AC334" s="231"/>
      <c r="AD334" s="231"/>
      <c r="AE334" s="231"/>
      <c r="AF334" s="231"/>
      <c r="AG334" s="231"/>
      <c r="AH334" s="231"/>
      <c r="AI334" s="231"/>
    </row>
    <row r="335" spans="1:35" s="203" customFormat="1">
      <c r="A335" s="429">
        <v>4</v>
      </c>
      <c r="B335" s="47" t="s">
        <v>245</v>
      </c>
      <c r="C335" s="99">
        <v>1223</v>
      </c>
      <c r="D335" s="99">
        <v>0</v>
      </c>
      <c r="E335" s="99">
        <v>0</v>
      </c>
      <c r="F335" s="99">
        <v>0</v>
      </c>
      <c r="G335" s="99">
        <v>0</v>
      </c>
      <c r="H335" s="99">
        <v>0</v>
      </c>
      <c r="I335" s="207"/>
      <c r="J335" s="231"/>
      <c r="K335" s="231"/>
      <c r="L335" s="231"/>
      <c r="M335" s="231"/>
      <c r="N335" s="231"/>
      <c r="O335" s="231"/>
      <c r="P335" s="231"/>
      <c r="Q335" s="231"/>
      <c r="R335" s="231"/>
      <c r="S335" s="231"/>
      <c r="T335" s="231"/>
      <c r="U335" s="231"/>
      <c r="V335" s="231"/>
      <c r="W335" s="231"/>
      <c r="X335" s="231"/>
      <c r="Y335" s="231"/>
      <c r="Z335" s="231"/>
      <c r="AA335" s="231"/>
      <c r="AB335" s="231"/>
      <c r="AC335" s="231"/>
      <c r="AD335" s="231"/>
      <c r="AE335" s="231"/>
      <c r="AF335" s="231"/>
      <c r="AG335" s="231"/>
      <c r="AH335" s="231"/>
      <c r="AI335" s="231"/>
    </row>
    <row r="336" spans="1:35" s="203" customFormat="1">
      <c r="A336" s="430">
        <v>5</v>
      </c>
      <c r="B336" s="54" t="s">
        <v>246</v>
      </c>
      <c r="C336" s="100">
        <v>0</v>
      </c>
      <c r="D336" s="100">
        <v>0</v>
      </c>
      <c r="E336" s="100">
        <v>0</v>
      </c>
      <c r="F336" s="100">
        <v>0</v>
      </c>
      <c r="G336" s="100">
        <v>0</v>
      </c>
      <c r="H336" s="100">
        <v>0</v>
      </c>
      <c r="I336" s="207"/>
      <c r="J336" s="231"/>
      <c r="K336" s="231"/>
      <c r="L336" s="231"/>
      <c r="M336" s="231"/>
      <c r="N336" s="231"/>
      <c r="O336" s="231"/>
      <c r="P336" s="231"/>
      <c r="Q336" s="231"/>
      <c r="R336" s="231"/>
      <c r="S336" s="231"/>
      <c r="T336" s="231"/>
      <c r="U336" s="231"/>
      <c r="V336" s="231"/>
      <c r="W336" s="231"/>
      <c r="X336" s="231"/>
      <c r="Y336" s="231"/>
      <c r="Z336" s="231"/>
      <c r="AA336" s="231"/>
      <c r="AB336" s="231"/>
      <c r="AC336" s="231"/>
      <c r="AD336" s="231"/>
      <c r="AE336" s="231"/>
      <c r="AF336" s="231"/>
      <c r="AG336" s="231"/>
      <c r="AH336" s="231"/>
      <c r="AI336" s="231"/>
    </row>
    <row r="337" spans="1:35" s="203" customFormat="1">
      <c r="A337" s="23"/>
      <c r="B337" s="207"/>
      <c r="C337" s="207"/>
      <c r="D337" s="207"/>
      <c r="E337" s="207"/>
      <c r="F337" s="207"/>
      <c r="G337" s="207"/>
      <c r="H337" s="21"/>
      <c r="I337" s="21"/>
      <c r="J337" s="231"/>
      <c r="K337" s="231"/>
      <c r="L337" s="231"/>
      <c r="M337" s="231"/>
      <c r="N337" s="231"/>
      <c r="O337" s="231"/>
      <c r="P337" s="231"/>
      <c r="Q337" s="231"/>
      <c r="R337" s="231"/>
      <c r="S337" s="231"/>
      <c r="T337" s="231"/>
      <c r="U337" s="231"/>
      <c r="V337" s="231"/>
      <c r="W337" s="231"/>
      <c r="X337" s="231"/>
      <c r="Y337" s="231"/>
      <c r="Z337" s="231"/>
      <c r="AA337" s="231"/>
      <c r="AB337" s="231"/>
      <c r="AC337" s="231"/>
      <c r="AD337" s="231"/>
      <c r="AE337" s="231"/>
      <c r="AF337" s="231"/>
      <c r="AG337" s="231"/>
      <c r="AH337" s="231"/>
      <c r="AI337" s="231"/>
    </row>
    <row r="338" spans="1:35" s="203" customFormat="1" ht="12.75" customHeight="1">
      <c r="A338" s="23"/>
      <c r="B338" s="207"/>
      <c r="C338" s="207"/>
      <c r="D338" s="207"/>
      <c r="E338" s="207"/>
      <c r="F338" s="207"/>
      <c r="G338" s="207"/>
      <c r="H338" s="21"/>
      <c r="I338" s="21"/>
      <c r="J338" s="231"/>
      <c r="K338" s="231"/>
      <c r="L338" s="231"/>
      <c r="M338" s="231"/>
      <c r="N338" s="231"/>
      <c r="O338" s="231"/>
      <c r="P338" s="231"/>
      <c r="Q338" s="231"/>
      <c r="R338" s="231"/>
      <c r="S338" s="231"/>
      <c r="T338" s="231"/>
      <c r="U338" s="231"/>
      <c r="V338" s="231"/>
      <c r="W338" s="231"/>
      <c r="X338" s="231"/>
      <c r="Y338" s="231"/>
      <c r="Z338" s="231"/>
      <c r="AA338" s="231"/>
      <c r="AB338" s="231"/>
      <c r="AC338" s="231"/>
      <c r="AD338" s="231"/>
      <c r="AE338" s="231"/>
      <c r="AF338" s="231"/>
      <c r="AG338" s="231"/>
      <c r="AH338" s="231"/>
      <c r="AI338" s="231"/>
    </row>
    <row r="339" spans="1:35" s="203" customFormat="1">
      <c r="A339" s="23"/>
      <c r="B339" s="207"/>
      <c r="C339" s="207"/>
      <c r="D339" s="207"/>
      <c r="E339" s="207"/>
      <c r="F339" s="207"/>
      <c r="G339" s="207"/>
      <c r="H339" s="21"/>
      <c r="I339" s="21"/>
      <c r="J339" s="231"/>
      <c r="K339" s="231"/>
      <c r="L339" s="231"/>
      <c r="M339" s="231"/>
      <c r="N339" s="231"/>
      <c r="O339" s="231"/>
      <c r="P339" s="231"/>
      <c r="Q339" s="231"/>
      <c r="R339" s="231"/>
      <c r="S339" s="231"/>
      <c r="T339" s="231"/>
      <c r="U339" s="231"/>
      <c r="V339" s="231"/>
      <c r="W339" s="231"/>
      <c r="X339" s="231"/>
      <c r="Y339" s="231"/>
      <c r="Z339" s="231"/>
      <c r="AA339" s="231"/>
      <c r="AB339" s="231"/>
      <c r="AC339" s="231"/>
      <c r="AD339" s="231"/>
      <c r="AE339" s="231"/>
      <c r="AF339" s="231"/>
      <c r="AG339" s="231"/>
      <c r="AH339" s="231"/>
      <c r="AI339" s="231"/>
    </row>
    <row r="340" spans="1:35" s="203" customFormat="1">
      <c r="A340" s="23"/>
      <c r="B340" s="207"/>
      <c r="C340" s="207"/>
      <c r="D340" s="207"/>
      <c r="E340" s="207"/>
      <c r="F340" s="207"/>
      <c r="G340" s="207"/>
      <c r="H340" s="131" t="s">
        <v>27</v>
      </c>
      <c r="I340" s="21"/>
      <c r="J340" s="231"/>
      <c r="K340" s="231"/>
      <c r="L340" s="231"/>
      <c r="M340" s="231"/>
      <c r="N340" s="231"/>
      <c r="O340" s="231"/>
      <c r="P340" s="231"/>
      <c r="Q340" s="231"/>
      <c r="R340" s="231"/>
      <c r="S340" s="231"/>
      <c r="T340" s="231"/>
      <c r="U340" s="231"/>
      <c r="V340" s="231"/>
      <c r="W340" s="231"/>
      <c r="X340" s="231"/>
      <c r="Y340" s="231"/>
      <c r="Z340" s="231"/>
      <c r="AA340" s="231"/>
      <c r="AB340" s="231"/>
      <c r="AC340" s="231"/>
      <c r="AD340" s="231"/>
      <c r="AE340" s="231"/>
      <c r="AF340" s="231"/>
      <c r="AG340" s="231"/>
      <c r="AH340" s="231"/>
      <c r="AI340" s="231"/>
    </row>
    <row r="341" spans="1:35" s="203" customFormat="1">
      <c r="A341" s="197"/>
      <c r="B341" s="69"/>
      <c r="C341" s="69"/>
      <c r="D341" s="69"/>
      <c r="E341" s="856" t="s">
        <v>377</v>
      </c>
      <c r="F341" s="853" t="s">
        <v>402</v>
      </c>
      <c r="G341" s="207"/>
      <c r="H341" s="856" t="s">
        <v>403</v>
      </c>
      <c r="I341" s="21"/>
      <c r="J341" s="231"/>
      <c r="K341" s="231"/>
      <c r="L341" s="231"/>
      <c r="M341" s="231"/>
      <c r="N341" s="231"/>
      <c r="O341" s="231"/>
      <c r="P341" s="231"/>
      <c r="Q341" s="231"/>
      <c r="R341" s="231"/>
      <c r="S341" s="231"/>
      <c r="T341" s="231"/>
      <c r="U341" s="231"/>
      <c r="V341" s="231"/>
      <c r="W341" s="231"/>
      <c r="X341" s="231"/>
      <c r="Y341" s="231"/>
      <c r="Z341" s="231"/>
      <c r="AA341" s="231"/>
      <c r="AB341" s="231"/>
      <c r="AC341" s="231"/>
      <c r="AD341" s="231"/>
      <c r="AE341" s="231"/>
      <c r="AF341" s="231"/>
      <c r="AG341" s="231"/>
      <c r="AH341" s="231"/>
      <c r="AI341" s="231"/>
    </row>
    <row r="342" spans="1:35" s="203" customFormat="1">
      <c r="A342" s="144" t="s">
        <v>261</v>
      </c>
      <c r="B342" s="116"/>
      <c r="C342" s="116"/>
      <c r="D342" s="116"/>
      <c r="E342" s="859"/>
      <c r="F342" s="854"/>
      <c r="G342" s="207"/>
      <c r="H342" s="857"/>
      <c r="I342" s="21"/>
      <c r="J342" s="231"/>
      <c r="K342" s="231"/>
      <c r="L342" s="231"/>
      <c r="M342" s="231"/>
      <c r="N342" s="231"/>
      <c r="O342" s="231"/>
      <c r="P342" s="231"/>
      <c r="Q342" s="231"/>
      <c r="R342" s="231"/>
      <c r="S342" s="231"/>
      <c r="T342" s="231"/>
      <c r="U342" s="231"/>
      <c r="V342" s="231"/>
      <c r="W342" s="231"/>
      <c r="X342" s="231"/>
      <c r="Y342" s="231"/>
      <c r="Z342" s="231"/>
      <c r="AA342" s="231"/>
      <c r="AB342" s="231"/>
      <c r="AC342" s="231"/>
      <c r="AD342" s="231"/>
      <c r="AE342" s="231"/>
      <c r="AF342" s="231"/>
      <c r="AG342" s="231"/>
      <c r="AH342" s="231"/>
      <c r="AI342" s="231"/>
    </row>
    <row r="343" spans="1:35" s="203" customFormat="1">
      <c r="A343" s="119"/>
      <c r="B343" s="116"/>
      <c r="C343" s="116"/>
      <c r="D343" s="116"/>
      <c r="E343" s="859"/>
      <c r="F343" s="854"/>
      <c r="G343" s="207"/>
      <c r="H343" s="857"/>
      <c r="I343" s="21"/>
      <c r="J343" s="231"/>
      <c r="K343" s="231"/>
      <c r="L343" s="231"/>
      <c r="M343" s="231"/>
      <c r="N343" s="231"/>
      <c r="O343" s="231"/>
      <c r="P343" s="231"/>
      <c r="Q343" s="231"/>
      <c r="R343" s="231"/>
      <c r="S343" s="231"/>
      <c r="T343" s="231"/>
      <c r="U343" s="231"/>
      <c r="V343" s="231"/>
      <c r="W343" s="231"/>
      <c r="X343" s="231"/>
      <c r="Y343" s="231"/>
      <c r="Z343" s="231"/>
      <c r="AA343" s="231"/>
      <c r="AB343" s="231"/>
      <c r="AC343" s="231"/>
      <c r="AD343" s="231"/>
      <c r="AE343" s="231"/>
      <c r="AF343" s="231"/>
      <c r="AG343" s="231"/>
      <c r="AH343" s="231"/>
      <c r="AI343" s="231"/>
    </row>
    <row r="344" spans="1:35" s="203" customFormat="1">
      <c r="A344" s="198" t="s">
        <v>262</v>
      </c>
      <c r="B344" s="116"/>
      <c r="C344" s="116"/>
      <c r="D344" s="116"/>
      <c r="E344" s="859"/>
      <c r="F344" s="854"/>
      <c r="G344" s="207"/>
      <c r="H344" s="857"/>
      <c r="I344" s="21"/>
      <c r="J344" s="231"/>
      <c r="K344" s="231"/>
      <c r="L344" s="231"/>
      <c r="M344" s="231"/>
      <c r="N344" s="231"/>
      <c r="O344" s="231"/>
      <c r="P344" s="231"/>
      <c r="Q344" s="231"/>
      <c r="R344" s="231"/>
      <c r="S344" s="231"/>
      <c r="T344" s="231"/>
      <c r="U344" s="231"/>
      <c r="V344" s="231"/>
      <c r="W344" s="231"/>
      <c r="X344" s="231"/>
      <c r="Y344" s="231"/>
      <c r="Z344" s="231"/>
      <c r="AA344" s="231"/>
      <c r="AB344" s="231"/>
      <c r="AC344" s="231"/>
      <c r="AD344" s="231"/>
      <c r="AE344" s="231"/>
      <c r="AF344" s="231"/>
      <c r="AG344" s="231"/>
      <c r="AH344" s="231"/>
      <c r="AI344" s="231"/>
    </row>
    <row r="345" spans="1:35" s="203" customFormat="1">
      <c r="A345" s="198" t="s">
        <v>330</v>
      </c>
      <c r="B345" s="116"/>
      <c r="C345" s="116"/>
      <c r="D345" s="116"/>
      <c r="E345" s="860"/>
      <c r="F345" s="855"/>
      <c r="G345" s="207"/>
      <c r="H345" s="858"/>
      <c r="I345" s="21"/>
      <c r="J345" s="231"/>
      <c r="K345" s="231"/>
      <c r="L345" s="231"/>
      <c r="M345" s="231"/>
      <c r="N345" s="231"/>
      <c r="O345" s="231"/>
      <c r="P345" s="231"/>
      <c r="Q345" s="231"/>
      <c r="R345" s="231"/>
      <c r="S345" s="231"/>
      <c r="T345" s="231"/>
      <c r="U345" s="231"/>
      <c r="V345" s="231"/>
      <c r="W345" s="231"/>
      <c r="X345" s="231"/>
      <c r="Y345" s="231"/>
      <c r="Z345" s="231"/>
      <c r="AA345" s="231"/>
      <c r="AB345" s="231"/>
      <c r="AC345" s="231"/>
      <c r="AD345" s="231"/>
      <c r="AE345" s="231"/>
      <c r="AF345" s="231"/>
      <c r="AG345" s="231"/>
      <c r="AH345" s="231"/>
      <c r="AI345" s="231"/>
    </row>
    <row r="346" spans="1:35" s="203" customFormat="1">
      <c r="A346" s="119"/>
      <c r="B346" s="47"/>
      <c r="C346" s="116"/>
      <c r="D346" s="116"/>
      <c r="E346" s="178"/>
      <c r="F346" s="146"/>
      <c r="G346" s="23"/>
      <c r="H346" s="264"/>
      <c r="I346" s="21"/>
      <c r="J346" s="231"/>
      <c r="K346" s="231"/>
      <c r="L346" s="231"/>
      <c r="M346" s="231"/>
      <c r="N346" s="231"/>
      <c r="O346" s="231"/>
      <c r="P346" s="231"/>
      <c r="Q346" s="231"/>
      <c r="R346" s="231"/>
      <c r="S346" s="231"/>
      <c r="T346" s="231"/>
      <c r="U346" s="231"/>
      <c r="V346" s="231"/>
      <c r="W346" s="231"/>
      <c r="X346" s="231"/>
      <c r="Y346" s="231"/>
      <c r="Z346" s="231"/>
      <c r="AA346" s="231"/>
      <c r="AB346" s="231"/>
      <c r="AC346" s="231"/>
      <c r="AD346" s="231"/>
      <c r="AE346" s="231"/>
      <c r="AF346" s="231"/>
      <c r="AG346" s="231"/>
      <c r="AH346" s="231"/>
      <c r="AI346" s="231"/>
    </row>
    <row r="347" spans="1:35" s="203" customFormat="1">
      <c r="A347" s="429">
        <v>1</v>
      </c>
      <c r="B347" s="47" t="s">
        <v>263</v>
      </c>
      <c r="C347" s="116"/>
      <c r="D347" s="116"/>
      <c r="E347" s="354">
        <v>660</v>
      </c>
      <c r="F347" s="265">
        <v>660</v>
      </c>
      <c r="G347" s="43"/>
      <c r="H347" s="126">
        <v>686</v>
      </c>
      <c r="I347" s="86"/>
      <c r="J347" s="231"/>
      <c r="K347" s="231"/>
      <c r="L347" s="231"/>
      <c r="M347" s="231"/>
      <c r="N347" s="231"/>
      <c r="O347" s="231"/>
      <c r="P347" s="231"/>
      <c r="Q347" s="231"/>
      <c r="R347" s="231"/>
      <c r="S347" s="231"/>
      <c r="T347" s="231"/>
      <c r="U347" s="231"/>
      <c r="V347" s="231"/>
      <c r="W347" s="231"/>
      <c r="X347" s="231"/>
      <c r="Y347" s="231"/>
      <c r="Z347" s="231"/>
      <c r="AA347" s="231"/>
      <c r="AB347" s="231"/>
      <c r="AC347" s="231"/>
      <c r="AD347" s="231"/>
      <c r="AE347" s="231"/>
      <c r="AF347" s="231"/>
      <c r="AG347" s="231"/>
      <c r="AH347" s="231"/>
      <c r="AI347" s="231"/>
    </row>
    <row r="348" spans="1:35" s="203" customFormat="1">
      <c r="A348" s="429"/>
      <c r="B348" s="47"/>
      <c r="C348" s="116"/>
      <c r="D348" s="116"/>
      <c r="E348" s="355"/>
      <c r="F348" s="188"/>
      <c r="G348" s="43"/>
      <c r="H348" s="188"/>
      <c r="I348" s="86"/>
      <c r="J348" s="231"/>
      <c r="K348" s="231"/>
      <c r="L348" s="231"/>
      <c r="M348" s="231"/>
      <c r="N348" s="231"/>
      <c r="O348" s="231"/>
      <c r="P348" s="231"/>
      <c r="Q348" s="231"/>
      <c r="R348" s="231"/>
      <c r="S348" s="231"/>
      <c r="T348" s="231"/>
      <c r="U348" s="231"/>
      <c r="V348" s="231"/>
      <c r="W348" s="231"/>
      <c r="X348" s="231"/>
      <c r="Y348" s="231"/>
      <c r="Z348" s="231"/>
      <c r="AA348" s="231"/>
      <c r="AB348" s="231"/>
      <c r="AC348" s="231"/>
      <c r="AD348" s="231"/>
      <c r="AE348" s="231"/>
      <c r="AF348" s="231"/>
      <c r="AG348" s="231"/>
      <c r="AH348" s="231"/>
      <c r="AI348" s="231"/>
    </row>
    <row r="349" spans="1:35" s="203" customFormat="1">
      <c r="A349" s="108" t="s">
        <v>378</v>
      </c>
      <c r="B349" s="47"/>
      <c r="C349" s="116"/>
      <c r="D349" s="116"/>
      <c r="E349" s="355"/>
      <c r="F349" s="188"/>
      <c r="G349" s="43"/>
      <c r="H349" s="188"/>
      <c r="I349" s="86"/>
      <c r="J349" s="231"/>
      <c r="K349" s="231"/>
      <c r="L349" s="231"/>
      <c r="M349" s="231"/>
      <c r="N349" s="231"/>
      <c r="O349" s="231"/>
      <c r="P349" s="231"/>
      <c r="Q349" s="231"/>
      <c r="R349" s="231"/>
      <c r="S349" s="231"/>
      <c r="T349" s="231"/>
      <c r="U349" s="231"/>
      <c r="V349" s="231"/>
      <c r="W349" s="231"/>
      <c r="X349" s="231"/>
      <c r="Y349" s="231"/>
      <c r="Z349" s="231"/>
      <c r="AA349" s="231"/>
      <c r="AB349" s="231"/>
      <c r="AC349" s="231"/>
      <c r="AD349" s="231"/>
      <c r="AE349" s="231"/>
      <c r="AF349" s="231"/>
      <c r="AG349" s="231"/>
      <c r="AH349" s="231"/>
      <c r="AI349" s="231"/>
    </row>
    <row r="350" spans="1:35" s="203" customFormat="1">
      <c r="A350" s="429"/>
      <c r="B350" s="47"/>
      <c r="C350" s="116"/>
      <c r="D350" s="116"/>
      <c r="E350" s="355"/>
      <c r="F350" s="188"/>
      <c r="G350" s="43"/>
      <c r="H350" s="188"/>
      <c r="I350" s="86"/>
      <c r="J350" s="231"/>
      <c r="K350" s="231"/>
      <c r="L350" s="231"/>
      <c r="M350" s="231"/>
      <c r="N350" s="231"/>
      <c r="O350" s="231"/>
      <c r="P350" s="231"/>
      <c r="Q350" s="231"/>
      <c r="R350" s="231"/>
      <c r="S350" s="231"/>
      <c r="T350" s="231"/>
      <c r="U350" s="231"/>
      <c r="V350" s="231"/>
      <c r="W350" s="231"/>
      <c r="X350" s="231"/>
      <c r="Y350" s="231"/>
      <c r="Z350" s="231"/>
      <c r="AA350" s="231"/>
      <c r="AB350" s="231"/>
      <c r="AC350" s="231"/>
      <c r="AD350" s="231"/>
      <c r="AE350" s="231"/>
      <c r="AF350" s="231"/>
      <c r="AG350" s="231"/>
      <c r="AH350" s="231"/>
      <c r="AI350" s="231"/>
    </row>
    <row r="351" spans="1:35" s="203" customFormat="1">
      <c r="A351" s="198" t="s">
        <v>379</v>
      </c>
      <c r="B351" s="47"/>
      <c r="C351" s="116"/>
      <c r="D351" s="116"/>
      <c r="E351" s="355"/>
      <c r="F351" s="188"/>
      <c r="G351" s="43"/>
      <c r="H351" s="188"/>
      <c r="I351" s="86"/>
      <c r="J351" s="231"/>
      <c r="K351" s="231"/>
      <c r="L351" s="231"/>
      <c r="M351" s="231"/>
      <c r="N351" s="231"/>
      <c r="O351" s="231"/>
      <c r="P351" s="231"/>
      <c r="Q351" s="231"/>
      <c r="R351" s="231"/>
      <c r="S351" s="231"/>
      <c r="T351" s="231"/>
      <c r="U351" s="231"/>
      <c r="V351" s="231"/>
      <c r="W351" s="231"/>
      <c r="X351" s="231"/>
      <c r="Y351" s="231"/>
      <c r="Z351" s="231"/>
      <c r="AA351" s="231"/>
      <c r="AB351" s="231"/>
      <c r="AC351" s="231"/>
      <c r="AD351" s="231"/>
      <c r="AE351" s="231"/>
      <c r="AF351" s="231"/>
      <c r="AG351" s="231"/>
      <c r="AH351" s="231"/>
      <c r="AI351" s="231"/>
    </row>
    <row r="352" spans="1:35" s="203" customFormat="1">
      <c r="A352" s="429"/>
      <c r="B352" s="47"/>
      <c r="C352" s="116"/>
      <c r="D352" s="116"/>
      <c r="E352" s="355"/>
      <c r="F352" s="188"/>
      <c r="G352" s="43"/>
      <c r="H352" s="188"/>
      <c r="I352" s="86"/>
      <c r="J352" s="231"/>
      <c r="K352" s="231"/>
      <c r="L352" s="231"/>
      <c r="M352" s="231"/>
      <c r="N352" s="231"/>
      <c r="O352" s="231"/>
      <c r="P352" s="231"/>
      <c r="Q352" s="231"/>
      <c r="R352" s="231"/>
      <c r="S352" s="231"/>
      <c r="T352" s="231"/>
      <c r="U352" s="231"/>
      <c r="V352" s="231"/>
      <c r="W352" s="231"/>
      <c r="X352" s="231"/>
      <c r="Y352" s="231"/>
      <c r="Z352" s="231"/>
      <c r="AA352" s="231"/>
      <c r="AB352" s="231"/>
      <c r="AC352" s="231"/>
      <c r="AD352" s="231"/>
      <c r="AE352" s="231"/>
      <c r="AF352" s="231"/>
      <c r="AG352" s="231"/>
      <c r="AH352" s="231"/>
      <c r="AI352" s="231"/>
    </row>
    <row r="353" spans="1:35" s="203" customFormat="1">
      <c r="A353" s="429">
        <v>2</v>
      </c>
      <c r="B353" s="47" t="s">
        <v>52</v>
      </c>
      <c r="C353" s="116"/>
      <c r="D353" s="116"/>
      <c r="E353" s="74">
        <v>0</v>
      </c>
      <c r="F353" s="265">
        <v>0</v>
      </c>
      <c r="G353" s="43"/>
      <c r="H353" s="126">
        <v>0</v>
      </c>
      <c r="I353" s="86"/>
      <c r="J353" s="231"/>
      <c r="K353" s="231"/>
      <c r="L353" s="231"/>
      <c r="M353" s="231"/>
      <c r="N353" s="231"/>
      <c r="O353" s="231"/>
      <c r="P353" s="231"/>
      <c r="Q353" s="231"/>
      <c r="R353" s="231"/>
      <c r="S353" s="231"/>
      <c r="T353" s="231"/>
      <c r="U353" s="231"/>
      <c r="V353" s="231"/>
      <c r="W353" s="231"/>
      <c r="X353" s="231"/>
      <c r="Y353" s="231"/>
      <c r="Z353" s="231"/>
      <c r="AA353" s="231"/>
      <c r="AB353" s="231"/>
      <c r="AC353" s="231"/>
      <c r="AD353" s="231"/>
      <c r="AE353" s="231"/>
      <c r="AF353" s="231"/>
      <c r="AG353" s="231"/>
      <c r="AH353" s="231"/>
      <c r="AI353" s="231"/>
    </row>
    <row r="354" spans="1:35" s="203" customFormat="1">
      <c r="A354" s="429">
        <v>3</v>
      </c>
      <c r="B354" s="47" t="s">
        <v>53</v>
      </c>
      <c r="C354" s="116"/>
      <c r="D354" s="116"/>
      <c r="E354" s="49">
        <v>0</v>
      </c>
      <c r="F354" s="265">
        <v>0</v>
      </c>
      <c r="G354" s="43"/>
      <c r="H354" s="126">
        <v>0</v>
      </c>
      <c r="I354" s="86"/>
      <c r="J354" s="231"/>
      <c r="K354" s="231"/>
      <c r="L354" s="231"/>
      <c r="M354" s="231"/>
      <c r="N354" s="231"/>
      <c r="O354" s="231"/>
      <c r="P354" s="231"/>
      <c r="Q354" s="231"/>
      <c r="R354" s="231"/>
      <c r="S354" s="231"/>
      <c r="T354" s="231"/>
      <c r="U354" s="231"/>
      <c r="V354" s="231"/>
      <c r="W354" s="231"/>
      <c r="X354" s="231"/>
      <c r="Y354" s="231"/>
      <c r="Z354" s="231"/>
      <c r="AA354" s="231"/>
      <c r="AB354" s="231"/>
      <c r="AC354" s="231"/>
      <c r="AD354" s="231"/>
      <c r="AE354" s="231"/>
      <c r="AF354" s="231"/>
      <c r="AG354" s="231"/>
      <c r="AH354" s="231"/>
      <c r="AI354" s="231"/>
    </row>
    <row r="355" spans="1:35" s="203" customFormat="1">
      <c r="A355" s="429">
        <v>4</v>
      </c>
      <c r="B355" s="47" t="s">
        <v>54</v>
      </c>
      <c r="C355" s="116"/>
      <c r="D355" s="116"/>
      <c r="E355" s="49">
        <v>0</v>
      </c>
      <c r="F355" s="265">
        <v>17</v>
      </c>
      <c r="G355" s="43"/>
      <c r="H355" s="126">
        <v>0</v>
      </c>
      <c r="I355" s="86"/>
      <c r="J355" s="231"/>
      <c r="K355" s="231"/>
      <c r="L355" s="231"/>
      <c r="M355" s="231"/>
      <c r="N355" s="231"/>
      <c r="O355" s="231"/>
      <c r="P355" s="231"/>
      <c r="Q355" s="231"/>
      <c r="R355" s="231"/>
      <c r="S355" s="231"/>
      <c r="T355" s="231"/>
      <c r="U355" s="231"/>
      <c r="V355" s="231"/>
      <c r="W355" s="231"/>
      <c r="X355" s="231"/>
      <c r="Y355" s="231"/>
      <c r="Z355" s="231"/>
      <c r="AA355" s="231"/>
      <c r="AB355" s="231"/>
      <c r="AC355" s="231"/>
      <c r="AD355" s="231"/>
      <c r="AE355" s="231"/>
      <c r="AF355" s="231"/>
      <c r="AG355" s="231"/>
      <c r="AH355" s="231"/>
      <c r="AI355" s="231"/>
    </row>
    <row r="356" spans="1:35" s="203" customFormat="1">
      <c r="A356" s="429">
        <v>5</v>
      </c>
      <c r="B356" s="47" t="s">
        <v>55</v>
      </c>
      <c r="C356" s="116"/>
      <c r="D356" s="116"/>
      <c r="E356" s="49">
        <v>0</v>
      </c>
      <c r="F356" s="265">
        <v>0</v>
      </c>
      <c r="G356" s="43"/>
      <c r="H356" s="126">
        <v>0</v>
      </c>
      <c r="I356" s="86"/>
      <c r="J356" s="231"/>
      <c r="K356" s="231"/>
      <c r="L356" s="231"/>
      <c r="M356" s="231"/>
      <c r="N356" s="231"/>
      <c r="O356" s="231"/>
      <c r="P356" s="231"/>
      <c r="Q356" s="231"/>
      <c r="R356" s="231"/>
      <c r="S356" s="231"/>
      <c r="T356" s="231"/>
      <c r="U356" s="231"/>
      <c r="V356" s="231"/>
      <c r="W356" s="231"/>
      <c r="X356" s="231"/>
      <c r="Y356" s="231"/>
      <c r="Z356" s="231"/>
      <c r="AA356" s="231"/>
      <c r="AB356" s="231"/>
      <c r="AC356" s="231"/>
      <c r="AD356" s="231"/>
      <c r="AE356" s="231"/>
      <c r="AF356" s="231"/>
      <c r="AG356" s="231"/>
      <c r="AH356" s="231"/>
      <c r="AI356" s="231"/>
    </row>
    <row r="357" spans="1:35" s="203" customFormat="1">
      <c r="A357" s="429">
        <v>6</v>
      </c>
      <c r="B357" s="47" t="s">
        <v>56</v>
      </c>
      <c r="C357" s="116"/>
      <c r="D357" s="116"/>
      <c r="E357" s="49">
        <v>0</v>
      </c>
      <c r="F357" s="265">
        <v>0</v>
      </c>
      <c r="G357" s="43"/>
      <c r="H357" s="126">
        <v>0</v>
      </c>
      <c r="I357" s="86"/>
      <c r="J357" s="231"/>
      <c r="K357" s="231"/>
      <c r="L357" s="231"/>
      <c r="M357" s="231"/>
      <c r="N357" s="231"/>
      <c r="O357" s="231"/>
      <c r="P357" s="231"/>
      <c r="Q357" s="231"/>
      <c r="R357" s="231"/>
      <c r="S357" s="231"/>
      <c r="T357" s="231"/>
      <c r="U357" s="231"/>
      <c r="V357" s="231"/>
      <c r="W357" s="231"/>
      <c r="X357" s="231"/>
      <c r="Y357" s="231"/>
      <c r="Z357" s="231"/>
      <c r="AA357" s="231"/>
      <c r="AB357" s="231"/>
      <c r="AC357" s="231"/>
      <c r="AD357" s="231"/>
      <c r="AE357" s="231"/>
      <c r="AF357" s="231"/>
      <c r="AG357" s="231"/>
      <c r="AH357" s="231"/>
      <c r="AI357" s="231"/>
    </row>
    <row r="358" spans="1:35" s="203" customFormat="1">
      <c r="A358" s="429">
        <v>7</v>
      </c>
      <c r="B358" s="47" t="s">
        <v>57</v>
      </c>
      <c r="C358" s="116"/>
      <c r="D358" s="116"/>
      <c r="E358" s="49">
        <v>0</v>
      </c>
      <c r="F358" s="265">
        <v>0</v>
      </c>
      <c r="G358" s="43"/>
      <c r="H358" s="126">
        <v>0</v>
      </c>
      <c r="I358" s="86"/>
      <c r="J358" s="231"/>
      <c r="K358" s="231"/>
      <c r="L358" s="231"/>
      <c r="M358" s="231"/>
      <c r="N358" s="231"/>
      <c r="O358" s="231"/>
      <c r="P358" s="231"/>
      <c r="Q358" s="231"/>
      <c r="R358" s="231"/>
      <c r="S358" s="231"/>
      <c r="T358" s="231"/>
      <c r="U358" s="231"/>
      <c r="V358" s="231"/>
      <c r="W358" s="231"/>
      <c r="X358" s="231"/>
      <c r="Y358" s="231"/>
      <c r="Z358" s="231"/>
      <c r="AA358" s="231"/>
      <c r="AB358" s="231"/>
      <c r="AC358" s="231"/>
      <c r="AD358" s="231"/>
      <c r="AE358" s="231"/>
      <c r="AF358" s="231"/>
      <c r="AG358" s="231"/>
      <c r="AH358" s="231"/>
      <c r="AI358" s="231"/>
    </row>
    <row r="359" spans="1:35" s="203" customFormat="1">
      <c r="A359" s="429">
        <v>8</v>
      </c>
      <c r="B359" s="47" t="s">
        <v>58</v>
      </c>
      <c r="C359" s="116"/>
      <c r="D359" s="116"/>
      <c r="E359" s="49">
        <v>0</v>
      </c>
      <c r="F359" s="265">
        <v>0</v>
      </c>
      <c r="G359" s="43"/>
      <c r="H359" s="126">
        <v>0</v>
      </c>
      <c r="I359" s="86"/>
      <c r="J359" s="231"/>
      <c r="K359" s="231"/>
      <c r="L359" s="231"/>
      <c r="M359" s="231"/>
      <c r="N359" s="231"/>
      <c r="O359" s="231"/>
      <c r="P359" s="231"/>
      <c r="Q359" s="231"/>
      <c r="R359" s="231"/>
      <c r="S359" s="231"/>
      <c r="T359" s="231"/>
      <c r="U359" s="231"/>
      <c r="V359" s="231"/>
      <c r="W359" s="231"/>
      <c r="X359" s="231"/>
      <c r="Y359" s="231"/>
      <c r="Z359" s="231"/>
      <c r="AA359" s="231"/>
      <c r="AB359" s="231"/>
      <c r="AC359" s="231"/>
      <c r="AD359" s="231"/>
      <c r="AE359" s="231"/>
      <c r="AF359" s="231"/>
      <c r="AG359" s="231"/>
      <c r="AH359" s="231"/>
      <c r="AI359" s="231"/>
    </row>
    <row r="360" spans="1:35" s="203" customFormat="1">
      <c r="A360" s="429">
        <v>9</v>
      </c>
      <c r="B360" s="47" t="s">
        <v>59</v>
      </c>
      <c r="C360" s="116"/>
      <c r="D360" s="116"/>
      <c r="E360" s="49">
        <v>0</v>
      </c>
      <c r="F360" s="265">
        <v>0</v>
      </c>
      <c r="G360" s="43"/>
      <c r="H360" s="126">
        <v>0</v>
      </c>
      <c r="I360" s="86"/>
      <c r="J360" s="231"/>
      <c r="K360" s="231"/>
      <c r="L360" s="231"/>
      <c r="M360" s="231"/>
      <c r="N360" s="231"/>
      <c r="O360" s="231"/>
      <c r="P360" s="231"/>
      <c r="Q360" s="231"/>
      <c r="R360" s="231"/>
      <c r="S360" s="231"/>
      <c r="T360" s="231"/>
      <c r="U360" s="231"/>
      <c r="V360" s="231"/>
      <c r="W360" s="231"/>
      <c r="X360" s="231"/>
      <c r="Y360" s="231"/>
      <c r="Z360" s="231"/>
      <c r="AA360" s="231"/>
      <c r="AB360" s="231"/>
      <c r="AC360" s="231"/>
      <c r="AD360" s="231"/>
      <c r="AE360" s="231"/>
      <c r="AF360" s="231"/>
      <c r="AG360" s="231"/>
      <c r="AH360" s="231"/>
      <c r="AI360" s="231"/>
    </row>
    <row r="361" spans="1:35" s="203" customFormat="1">
      <c r="A361" s="429">
        <v>10</v>
      </c>
      <c r="B361" s="47" t="s">
        <v>60</v>
      </c>
      <c r="C361" s="116"/>
      <c r="D361" s="116"/>
      <c r="E361" s="49">
        <v>0</v>
      </c>
      <c r="F361" s="265">
        <v>0</v>
      </c>
      <c r="G361" s="43"/>
      <c r="H361" s="126">
        <v>0</v>
      </c>
      <c r="I361" s="86"/>
      <c r="J361" s="231"/>
      <c r="K361" s="231"/>
      <c r="L361" s="231"/>
      <c r="M361" s="231"/>
      <c r="N361" s="231"/>
      <c r="O361" s="231"/>
      <c r="P361" s="231"/>
      <c r="Q361" s="231"/>
      <c r="R361" s="231"/>
      <c r="S361" s="231"/>
      <c r="T361" s="231"/>
      <c r="U361" s="231"/>
      <c r="V361" s="231"/>
      <c r="W361" s="231"/>
      <c r="X361" s="231"/>
      <c r="Y361" s="231"/>
      <c r="Z361" s="231"/>
      <c r="AA361" s="231"/>
      <c r="AB361" s="231"/>
      <c r="AC361" s="231"/>
      <c r="AD361" s="231"/>
      <c r="AE361" s="231"/>
      <c r="AF361" s="231"/>
      <c r="AG361" s="231"/>
      <c r="AH361" s="231"/>
      <c r="AI361" s="231"/>
    </row>
    <row r="362" spans="1:35" s="203" customFormat="1">
      <c r="A362" s="429">
        <v>11</v>
      </c>
      <c r="B362" s="47" t="s">
        <v>61</v>
      </c>
      <c r="C362" s="116"/>
      <c r="D362" s="116"/>
      <c r="E362" s="49">
        <v>0</v>
      </c>
      <c r="F362" s="265">
        <v>0</v>
      </c>
      <c r="G362" s="43"/>
      <c r="H362" s="126">
        <v>0</v>
      </c>
      <c r="I362" s="86"/>
      <c r="J362" s="231"/>
      <c r="K362" s="231"/>
      <c r="L362" s="231"/>
      <c r="M362" s="231"/>
      <c r="N362" s="231"/>
      <c r="O362" s="231"/>
      <c r="P362" s="231"/>
      <c r="Q362" s="231"/>
      <c r="R362" s="231"/>
      <c r="S362" s="231"/>
      <c r="T362" s="231"/>
      <c r="U362" s="231"/>
      <c r="V362" s="231"/>
      <c r="W362" s="231"/>
      <c r="X362" s="231"/>
      <c r="Y362" s="231"/>
      <c r="Z362" s="231"/>
      <c r="AA362" s="231"/>
      <c r="AB362" s="231"/>
      <c r="AC362" s="231"/>
      <c r="AD362" s="231"/>
      <c r="AE362" s="231"/>
      <c r="AF362" s="231"/>
      <c r="AG362" s="231"/>
      <c r="AH362" s="231"/>
      <c r="AI362" s="231"/>
    </row>
    <row r="363" spans="1:35" s="203" customFormat="1">
      <c r="A363" s="430">
        <v>12</v>
      </c>
      <c r="B363" s="54" t="s">
        <v>380</v>
      </c>
      <c r="C363" s="94"/>
      <c r="D363" s="94"/>
      <c r="E363" s="135">
        <v>0</v>
      </c>
      <c r="F363" s="61">
        <f>SUM(F353:F362)</f>
        <v>17</v>
      </c>
      <c r="G363" s="43"/>
      <c r="H363" s="61">
        <f>SUM(H353:H362)</f>
        <v>0</v>
      </c>
      <c r="I363" s="86"/>
      <c r="J363" s="231"/>
      <c r="K363" s="231"/>
      <c r="L363" s="231"/>
      <c r="M363" s="231"/>
      <c r="N363" s="231"/>
      <c r="O363" s="231"/>
      <c r="P363" s="231"/>
      <c r="Q363" s="231"/>
      <c r="R363" s="231"/>
      <c r="S363" s="231"/>
      <c r="T363" s="231"/>
      <c r="U363" s="231"/>
      <c r="V363" s="231"/>
      <c r="W363" s="231"/>
      <c r="X363" s="231"/>
      <c r="Y363" s="231"/>
      <c r="Z363" s="231"/>
      <c r="AA363" s="231"/>
      <c r="AB363" s="231"/>
      <c r="AC363" s="231"/>
      <c r="AD363" s="231"/>
      <c r="AE363" s="231"/>
      <c r="AF363" s="231"/>
      <c r="AG363" s="231"/>
      <c r="AH363" s="231"/>
      <c r="AI363" s="231"/>
    </row>
    <row r="364" spans="1:35" s="203" customFormat="1">
      <c r="A364" s="199"/>
      <c r="B364" s="15"/>
      <c r="C364" s="15"/>
      <c r="D364" s="15"/>
      <c r="E364" s="15"/>
      <c r="F364" s="15"/>
      <c r="G364" s="15"/>
      <c r="H364" s="15"/>
      <c r="I364" s="86"/>
      <c r="J364" s="231"/>
      <c r="K364" s="231"/>
      <c r="L364" s="231"/>
      <c r="M364" s="231"/>
      <c r="N364" s="231"/>
      <c r="O364" s="231"/>
      <c r="P364" s="231"/>
      <c r="Q364" s="231"/>
      <c r="R364" s="231"/>
      <c r="S364" s="231"/>
      <c r="T364" s="231"/>
      <c r="U364" s="231"/>
      <c r="V364" s="231"/>
      <c r="W364" s="231"/>
      <c r="X364" s="231"/>
      <c r="Y364" s="231"/>
      <c r="Z364" s="231"/>
      <c r="AA364" s="231"/>
      <c r="AB364" s="231"/>
      <c r="AC364" s="231"/>
      <c r="AD364" s="231"/>
      <c r="AE364" s="231"/>
      <c r="AF364" s="231"/>
      <c r="AG364" s="231"/>
      <c r="AH364" s="231"/>
      <c r="AI364" s="231"/>
    </row>
    <row r="365" spans="1:35" s="203" customFormat="1">
      <c r="A365" s="199"/>
      <c r="B365" s="15"/>
      <c r="C365" s="15"/>
      <c r="D365" s="15"/>
      <c r="E365" s="15"/>
      <c r="F365" s="15"/>
      <c r="G365" s="15"/>
      <c r="H365" s="86"/>
      <c r="I365" s="86"/>
      <c r="J365" s="231"/>
      <c r="K365" s="231"/>
      <c r="L365" s="231"/>
      <c r="M365" s="231"/>
      <c r="N365" s="231"/>
      <c r="O365" s="231"/>
      <c r="P365" s="231"/>
      <c r="Q365" s="231"/>
      <c r="R365" s="231"/>
      <c r="S365" s="231"/>
      <c r="T365" s="231"/>
      <c r="U365" s="231"/>
      <c r="V365" s="231"/>
      <c r="W365" s="231"/>
      <c r="X365" s="231"/>
      <c r="Y365" s="231"/>
      <c r="Z365" s="231"/>
      <c r="AA365" s="231"/>
      <c r="AB365" s="231"/>
      <c r="AC365" s="231"/>
      <c r="AD365" s="231"/>
      <c r="AE365" s="231"/>
      <c r="AF365" s="231"/>
      <c r="AG365" s="231"/>
      <c r="AH365" s="231"/>
      <c r="AI365" s="231"/>
    </row>
    <row r="366" spans="1:35" s="203" customFormat="1">
      <c r="A366" s="199"/>
      <c r="B366" s="15"/>
      <c r="C366" s="15"/>
      <c r="D366" s="15"/>
      <c r="E366" s="15"/>
      <c r="F366" s="15"/>
      <c r="G366" s="15"/>
      <c r="H366" s="86"/>
      <c r="I366" s="86"/>
      <c r="J366" s="231"/>
      <c r="K366" s="231"/>
      <c r="L366" s="231"/>
      <c r="M366" s="231"/>
      <c r="N366" s="231"/>
      <c r="O366" s="231"/>
      <c r="P366" s="231"/>
      <c r="Q366" s="231"/>
      <c r="R366" s="231"/>
      <c r="S366" s="231"/>
      <c r="T366" s="231"/>
      <c r="U366" s="231"/>
      <c r="V366" s="231"/>
      <c r="W366" s="231"/>
      <c r="X366" s="231"/>
      <c r="Y366" s="231"/>
      <c r="Z366" s="231"/>
      <c r="AA366" s="231"/>
      <c r="AB366" s="231"/>
      <c r="AC366" s="231"/>
      <c r="AD366" s="231"/>
      <c r="AE366" s="231"/>
      <c r="AF366" s="231"/>
      <c r="AG366" s="231"/>
      <c r="AH366" s="231"/>
      <c r="AI366" s="231"/>
    </row>
    <row r="367" spans="1:35" s="8" customFormat="1"/>
    <row r="368" spans="1:35" s="8" customFormat="1"/>
    <row r="369" s="8" customFormat="1"/>
    <row r="370" s="8" customFormat="1"/>
    <row r="371" s="8" customFormat="1"/>
    <row r="372" s="8" customFormat="1"/>
    <row r="373" s="8" customFormat="1"/>
    <row r="374" s="8" customFormat="1"/>
    <row r="375" s="8" customFormat="1"/>
    <row r="376" s="8" customFormat="1"/>
    <row r="377" s="8" customFormat="1"/>
    <row r="378" s="8" customFormat="1"/>
    <row r="379" s="8" customFormat="1"/>
    <row r="380" s="8" customFormat="1"/>
    <row r="381" s="8" customFormat="1"/>
    <row r="382" s="8" customFormat="1"/>
    <row r="383" s="8" customFormat="1"/>
    <row r="384" s="8" customFormat="1"/>
    <row r="385" spans="1:9" s="8" customFormat="1"/>
    <row r="386" spans="1:9" s="8" customFormat="1"/>
    <row r="387" spans="1:9" s="8" customFormat="1"/>
    <row r="388" spans="1:9" s="8" customFormat="1"/>
    <row r="389" spans="1:9" s="8" customFormat="1"/>
    <row r="390" spans="1:9" s="8" customFormat="1"/>
    <row r="391" spans="1:9" s="8" customFormat="1"/>
    <row r="392" spans="1:9" s="8" customFormat="1"/>
    <row r="393" spans="1:9" s="8" customFormat="1"/>
    <row r="394" spans="1:9" s="8" customFormat="1"/>
    <row r="395" spans="1:9" s="8" customFormat="1"/>
    <row r="396" spans="1:9" s="8" customFormat="1"/>
    <row r="397" spans="1:9" s="8" customFormat="1"/>
    <row r="398" spans="1:9" s="8" customFormat="1"/>
    <row r="399" spans="1:9" s="8" customFormat="1"/>
    <row r="400" spans="1:9">
      <c r="A400" s="8"/>
      <c r="B400" s="8"/>
      <c r="C400" s="8"/>
      <c r="D400" s="8"/>
      <c r="E400" s="8"/>
      <c r="F400" s="8"/>
      <c r="G400" s="8"/>
      <c r="H400" s="8"/>
      <c r="I400" s="8"/>
    </row>
    <row r="401" spans="1:9">
      <c r="A401" s="8"/>
      <c r="B401" s="8"/>
      <c r="C401" s="8"/>
      <c r="D401" s="8"/>
      <c r="E401" s="8"/>
      <c r="F401" s="8"/>
      <c r="G401" s="8"/>
      <c r="H401" s="8"/>
      <c r="I401" s="8"/>
    </row>
    <row r="402" spans="1:9">
      <c r="A402" s="8"/>
      <c r="B402" s="8"/>
      <c r="C402" s="8"/>
      <c r="D402" s="8"/>
      <c r="E402" s="8"/>
      <c r="F402" s="8"/>
      <c r="G402" s="8"/>
      <c r="H402" s="8"/>
      <c r="I402" s="8"/>
    </row>
    <row r="403" spans="1:9">
      <c r="A403" s="8"/>
      <c r="B403" s="8"/>
      <c r="C403" s="8"/>
      <c r="D403" s="8"/>
      <c r="E403" s="8"/>
      <c r="F403" s="8"/>
      <c r="G403" s="8"/>
      <c r="H403" s="8"/>
      <c r="I403" s="8"/>
    </row>
    <row r="404" spans="1:9">
      <c r="A404" s="8"/>
      <c r="B404" s="8"/>
      <c r="C404" s="8"/>
      <c r="D404" s="8"/>
      <c r="E404" s="8"/>
      <c r="F404" s="8"/>
      <c r="G404" s="8"/>
      <c r="H404" s="8"/>
      <c r="I404" s="8"/>
    </row>
    <row r="405" spans="1:9">
      <c r="A405" s="8"/>
      <c r="B405" s="8"/>
      <c r="C405" s="8"/>
      <c r="D405" s="8"/>
      <c r="E405" s="8"/>
      <c r="F405" s="8"/>
      <c r="G405" s="8"/>
      <c r="H405" s="8"/>
      <c r="I405" s="8"/>
    </row>
    <row r="406" spans="1:9">
      <c r="A406" s="8"/>
      <c r="B406" s="8"/>
      <c r="C406" s="8"/>
      <c r="D406" s="8"/>
      <c r="E406" s="8"/>
      <c r="F406" s="8"/>
      <c r="G406" s="8"/>
      <c r="H406" s="8"/>
      <c r="I406" s="8"/>
    </row>
    <row r="407" spans="1:9">
      <c r="A407" s="8"/>
      <c r="B407" s="8"/>
      <c r="C407" s="8"/>
      <c r="D407" s="8"/>
      <c r="E407" s="8"/>
      <c r="F407" s="8"/>
      <c r="G407" s="8"/>
      <c r="H407" s="8"/>
      <c r="I407" s="8"/>
    </row>
    <row r="408" spans="1:9">
      <c r="A408" s="8"/>
      <c r="B408" s="8"/>
      <c r="C408" s="8"/>
      <c r="D408" s="8"/>
      <c r="E408" s="8"/>
      <c r="F408" s="8"/>
      <c r="G408" s="8"/>
      <c r="H408" s="8"/>
      <c r="I408" s="8"/>
    </row>
    <row r="409" spans="1:9">
      <c r="A409" s="8"/>
      <c r="B409" s="8"/>
      <c r="C409" s="8"/>
      <c r="D409" s="8"/>
      <c r="E409" s="8"/>
      <c r="F409" s="8"/>
      <c r="G409" s="8"/>
      <c r="H409" s="8"/>
      <c r="I409" s="8"/>
    </row>
    <row r="410" spans="1:9">
      <c r="A410" s="8"/>
      <c r="B410" s="8"/>
      <c r="C410" s="8"/>
      <c r="D410" s="8"/>
      <c r="E410" s="8"/>
      <c r="F410" s="8"/>
      <c r="G410" s="8"/>
      <c r="H410" s="8"/>
      <c r="I410" s="8"/>
    </row>
    <row r="411" spans="1:9">
      <c r="A411" s="8"/>
      <c r="B411" s="8"/>
      <c r="C411" s="8"/>
      <c r="D411" s="8"/>
      <c r="E411" s="8"/>
      <c r="F411" s="8"/>
      <c r="G411" s="8"/>
      <c r="H411" s="8"/>
      <c r="I411" s="8"/>
    </row>
    <row r="412" spans="1:9">
      <c r="A412" s="8"/>
      <c r="B412" s="8"/>
      <c r="C412" s="8"/>
      <c r="D412" s="8"/>
      <c r="E412" s="8"/>
      <c r="F412" s="8"/>
      <c r="G412" s="8"/>
      <c r="H412" s="8"/>
      <c r="I412" s="8"/>
    </row>
    <row r="413" spans="1:9">
      <c r="A413" s="8"/>
      <c r="B413" s="8"/>
      <c r="C413" s="8"/>
      <c r="D413" s="8"/>
      <c r="E413" s="8"/>
      <c r="F413" s="8"/>
      <c r="G413" s="8"/>
      <c r="H413" s="8"/>
      <c r="I413" s="8"/>
    </row>
    <row r="414" spans="1:9">
      <c r="A414" s="8"/>
      <c r="B414" s="8"/>
      <c r="C414" s="8"/>
      <c r="D414" s="8"/>
      <c r="E414" s="8"/>
      <c r="F414" s="8"/>
      <c r="G414" s="8"/>
      <c r="H414" s="8"/>
      <c r="I414" s="8"/>
    </row>
  </sheetData>
  <mergeCells count="59">
    <mergeCell ref="C19:F19"/>
    <mergeCell ref="B3:B4"/>
    <mergeCell ref="C3:D4"/>
    <mergeCell ref="A5:B5"/>
    <mergeCell ref="D6:H6"/>
    <mergeCell ref="A9:I9"/>
    <mergeCell ref="D10:F10"/>
    <mergeCell ref="C14:F14"/>
    <mergeCell ref="C15:F15"/>
    <mergeCell ref="C16:F16"/>
    <mergeCell ref="C17:F17"/>
    <mergeCell ref="C18:F18"/>
    <mergeCell ref="A23:D24"/>
    <mergeCell ref="E23:E24"/>
    <mergeCell ref="F23:F24"/>
    <mergeCell ref="H23:H24"/>
    <mergeCell ref="A25:A27"/>
    <mergeCell ref="B25:D27"/>
    <mergeCell ref="E25:E27"/>
    <mergeCell ref="F25:F27"/>
    <mergeCell ref="H25:H27"/>
    <mergeCell ref="A40:D41"/>
    <mergeCell ref="E40:E41"/>
    <mergeCell ref="F40:F41"/>
    <mergeCell ref="H40:H41"/>
    <mergeCell ref="E66:E70"/>
    <mergeCell ref="F66:F70"/>
    <mergeCell ref="G66:G70"/>
    <mergeCell ref="H66:H70"/>
    <mergeCell ref="I66:I70"/>
    <mergeCell ref="F91:F95"/>
    <mergeCell ref="H91:H95"/>
    <mergeCell ref="E193:E197"/>
    <mergeCell ref="F193:F197"/>
    <mergeCell ref="H193:H197"/>
    <mergeCell ref="E153:E157"/>
    <mergeCell ref="F153:F157"/>
    <mergeCell ref="H153:H157"/>
    <mergeCell ref="E91:E95"/>
    <mergeCell ref="E221:E225"/>
    <mergeCell ref="F221:F225"/>
    <mergeCell ref="H221:H225"/>
    <mergeCell ref="E234:E238"/>
    <mergeCell ref="F234:F238"/>
    <mergeCell ref="H234:H238"/>
    <mergeCell ref="E261:E265"/>
    <mergeCell ref="F261:F265"/>
    <mergeCell ref="H261:H265"/>
    <mergeCell ref="E280:E284"/>
    <mergeCell ref="F280:F284"/>
    <mergeCell ref="H280:H284"/>
    <mergeCell ref="E341:E345"/>
    <mergeCell ref="F341:F345"/>
    <mergeCell ref="H341:H345"/>
    <mergeCell ref="E305:E309"/>
    <mergeCell ref="F305:F309"/>
    <mergeCell ref="H305:H309"/>
    <mergeCell ref="C323:H323"/>
    <mergeCell ref="C330:H330"/>
  </mergeCells>
  <phoneticPr fontId="10" type="noConversion"/>
  <conditionalFormatting sqref="F71:F76 F286:F301 F311:F318 F80:F88 F96:F97 F103:F104 F106 F110:F114 F118:F124 F128:F134 F138:F142 F146:F149 F159:F162 F166:F168 F171:F172 F175:F177 F183:F190 F199:F200 F204:F206 F210:F213 F217:F218 F226:F230 F240:F241 F245:F246 F250:F253 F256 F267:F276 H250">
    <cfRule type="expression" dxfId="12" priority="297" stopIfTrue="1">
      <formula>ISBLANK(F71)</formula>
    </cfRule>
    <cfRule type="expression" dxfId="11" priority="298" stopIfTrue="1">
      <formula>IF(AND(OR(F71-E71&gt;500,F71-E71&lt;-500),OR(#REF!&gt;0.1,#REF!&lt;-0.1)),TRUE,FALSE)</formula>
    </cfRule>
  </conditionalFormatting>
  <dataValidations count="1">
    <dataValidation type="list" errorStyle="information" allowBlank="1" showInputMessage="1" showErrorMessage="1" errorTitle="POBE 2006" error="Please select from the drop-down menu..." prompt="Please select your Authority from the drop-down menu..." sqref="C3:D4">
      <formula1>#REF!</formula1>
    </dataValidation>
  </dataValidations>
  <hyperlinks>
    <hyperlink ref="F7" r:id="rId1" display="lgfstats@scotland.gsi.gov.uk"/>
    <hyperlink ref="D6" r:id="rId2"/>
    <hyperlink ref="D10" r:id="rId3" display="^lgfstats@gov.scot"/>
    <hyperlink ref="B14" location="'POBE 2017'!A28" display="PART 1 - Expenditure"/>
    <hyperlink ref="C19:F19" location="'POBE 2017'!A323" display="Sheet 10. - PUBLIC PRIVATE PARTNERSHIPS/PRIVATE FINANCE INITIATIVES"/>
    <hyperlink ref="B15" location="'POBE 2017'!A40" display="PART 2 - Income and Balances"/>
    <hyperlink ref="B16" location="'POBE 2017'!A66" display="Sheet 1. EDUCATION"/>
    <hyperlink ref="B17" location="'POBE 2017'!A91" display="Sheet 2. SOCIAL WORK"/>
    <hyperlink ref="B18" location="'POBE 2017'!A153" display="Sheet 3. ROADS AND TRANSPORT"/>
    <hyperlink ref="B19" location="'POBE 2017'!A193" display="Sheet 4. ENVIRONMENTAL SERVICES"/>
    <hyperlink ref="C14:F14" location="'POBE 2017'!A221" display="Sheet 5. PLANNING AND DEVELOPMENT SERVICES"/>
    <hyperlink ref="C15:F15" location="'POBE 2017'!A234" display="Sheet 6. CULTURAL AND RELATED SERVICES"/>
    <hyperlink ref="C16:F16" location="'POBE 2017'!A261" display="Sheet 7. HOUSING"/>
    <hyperlink ref="C17:F17" location="'POBE 2017'!A280" display="Sheet 8. CENTRAL SERVICES"/>
    <hyperlink ref="C18:F18" location="'POBE 2017'!A305" display="Sheet 9. OTHER EXPENDITURE"/>
  </hyperlinks>
  <pageMargins left="0.75" right="0.75" top="1" bottom="1" header="0.5" footer="0.5"/>
  <pageSetup paperSize="9" orientation="portrait" r:id="rId4"/>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AQ413"/>
  <sheetViews>
    <sheetView topLeftCell="A101" zoomScale="80" zoomScaleNormal="80" workbookViewId="0">
      <selection activeCell="I1" sqref="I1"/>
    </sheetView>
  </sheetViews>
  <sheetFormatPr defaultColWidth="9.140625" defaultRowHeight="12.75"/>
  <cols>
    <col min="1" max="1" width="10.5703125" style="1" customWidth="1"/>
    <col min="2" max="2" width="43" style="1" customWidth="1"/>
    <col min="3" max="3" width="24.5703125" style="1" customWidth="1"/>
    <col min="4" max="4" width="14.7109375" style="1" customWidth="1"/>
    <col min="5" max="5" width="21.5703125" style="1" customWidth="1"/>
    <col min="6" max="6" width="19.140625" style="1" customWidth="1"/>
    <col min="7" max="7" width="17.42578125" style="1" customWidth="1"/>
    <col min="8" max="8" width="19.28515625" style="1" customWidth="1"/>
    <col min="9" max="9" width="17.85546875" style="1" customWidth="1"/>
    <col min="10" max="25" width="9.140625" style="8" customWidth="1"/>
    <col min="26" max="36" width="9.140625" style="8"/>
    <col min="37" max="37" width="0" style="8" hidden="1" customWidth="1"/>
    <col min="38" max="43" width="9.140625" style="8"/>
    <col min="44" max="16384" width="9.140625" style="1"/>
  </cols>
  <sheetData>
    <row r="1" spans="1:43" s="203" customFormat="1" ht="51" customHeight="1">
      <c r="A1" s="3" t="s">
        <v>410</v>
      </c>
      <c r="B1" s="4"/>
      <c r="C1" s="224"/>
      <c r="D1" s="224"/>
      <c r="E1" s="224"/>
      <c r="F1" s="224"/>
      <c r="G1" s="225"/>
      <c r="H1" s="226"/>
      <c r="I1" s="227"/>
      <c r="J1" s="231"/>
      <c r="K1" s="231"/>
      <c r="L1" s="231"/>
      <c r="M1" s="231"/>
      <c r="N1" s="231"/>
      <c r="O1" s="231"/>
      <c r="P1" s="231"/>
      <c r="Q1" s="231"/>
      <c r="R1" s="231"/>
      <c r="S1" s="231"/>
      <c r="T1" s="231"/>
      <c r="U1" s="231"/>
      <c r="V1" s="231"/>
      <c r="W1" s="231"/>
      <c r="X1" s="231"/>
      <c r="Y1" s="231"/>
      <c r="Z1" s="231"/>
      <c r="AA1" s="231"/>
      <c r="AB1" s="231"/>
      <c r="AC1" s="231"/>
      <c r="AD1" s="231"/>
      <c r="AE1" s="231"/>
      <c r="AF1" s="231"/>
      <c r="AG1" s="231"/>
      <c r="AH1" s="231"/>
      <c r="AI1" s="231"/>
      <c r="AJ1" s="231"/>
      <c r="AK1" s="231"/>
      <c r="AL1" s="231"/>
      <c r="AM1" s="231"/>
      <c r="AN1" s="231"/>
      <c r="AO1" s="231"/>
      <c r="AP1" s="231"/>
      <c r="AQ1" s="231"/>
    </row>
    <row r="2" spans="1:43" s="203" customFormat="1" ht="35.25">
      <c r="A2" s="9"/>
      <c r="B2" s="10"/>
      <c r="C2" s="232"/>
      <c r="D2" s="232"/>
      <c r="E2" s="232"/>
      <c r="F2" s="11"/>
      <c r="G2" s="11"/>
      <c r="H2" s="11"/>
      <c r="I2" s="11"/>
      <c r="J2" s="231"/>
      <c r="K2" s="231"/>
      <c r="L2" s="231"/>
      <c r="M2" s="231"/>
      <c r="N2" s="231"/>
      <c r="O2" s="231"/>
      <c r="P2" s="231"/>
      <c r="Q2" s="231"/>
      <c r="R2" s="231"/>
      <c r="S2" s="231"/>
      <c r="T2" s="231"/>
      <c r="U2" s="231"/>
      <c r="V2" s="231"/>
      <c r="W2" s="231"/>
      <c r="X2" s="231"/>
      <c r="Y2" s="231"/>
      <c r="Z2" s="231"/>
      <c r="AA2" s="231"/>
      <c r="AB2" s="231"/>
      <c r="AC2" s="231"/>
      <c r="AD2" s="231"/>
      <c r="AE2" s="231"/>
      <c r="AF2" s="231"/>
      <c r="AG2" s="231"/>
      <c r="AH2" s="231"/>
      <c r="AI2" s="231"/>
      <c r="AJ2" s="231"/>
      <c r="AK2" s="231"/>
      <c r="AL2" s="231"/>
      <c r="AM2" s="231"/>
      <c r="AN2" s="231"/>
      <c r="AO2" s="231"/>
      <c r="AP2" s="231"/>
      <c r="AQ2" s="231"/>
    </row>
    <row r="3" spans="1:43" s="203" customFormat="1" ht="15">
      <c r="A3" s="12"/>
      <c r="B3" s="882" t="s">
        <v>0</v>
      </c>
      <c r="C3" s="884" t="s">
        <v>43</v>
      </c>
      <c r="D3" s="885"/>
      <c r="E3" s="13"/>
      <c r="F3" s="14"/>
      <c r="G3" s="14"/>
      <c r="H3" s="15"/>
      <c r="I3" s="14"/>
      <c r="J3" s="231"/>
      <c r="K3" s="231"/>
      <c r="L3" s="231"/>
      <c r="M3" s="231"/>
      <c r="N3" s="231"/>
      <c r="O3" s="231"/>
      <c r="P3" s="231"/>
      <c r="Q3" s="231"/>
      <c r="R3" s="231"/>
      <c r="S3" s="231"/>
      <c r="T3" s="231"/>
      <c r="U3" s="231"/>
      <c r="V3" s="231"/>
      <c r="W3" s="231"/>
      <c r="X3" s="231"/>
      <c r="Y3" s="231"/>
      <c r="Z3" s="231"/>
      <c r="AA3" s="231"/>
      <c r="AB3" s="231"/>
      <c r="AC3" s="231"/>
      <c r="AD3" s="231"/>
      <c r="AE3" s="231"/>
      <c r="AF3" s="231"/>
      <c r="AG3" s="231"/>
      <c r="AH3" s="231"/>
      <c r="AI3" s="231"/>
      <c r="AJ3" s="231"/>
      <c r="AK3" s="231"/>
      <c r="AL3" s="231"/>
      <c r="AM3" s="231"/>
      <c r="AN3" s="231"/>
      <c r="AO3" s="231"/>
      <c r="AP3" s="231"/>
      <c r="AQ3" s="231"/>
    </row>
    <row r="4" spans="1:43" s="203" customFormat="1" ht="15">
      <c r="A4" s="17"/>
      <c r="B4" s="883"/>
      <c r="C4" s="886"/>
      <c r="D4" s="887"/>
      <c r="E4" s="13"/>
      <c r="F4" s="14"/>
      <c r="G4" s="14"/>
      <c r="H4" s="15"/>
      <c r="I4" s="14"/>
      <c r="J4" s="231"/>
      <c r="K4" s="231"/>
      <c r="L4" s="231"/>
      <c r="M4" s="231"/>
      <c r="N4" s="231"/>
      <c r="O4" s="231"/>
      <c r="P4" s="231"/>
      <c r="Q4" s="231"/>
      <c r="R4" s="231"/>
      <c r="S4" s="231"/>
      <c r="T4" s="231"/>
      <c r="U4" s="231"/>
      <c r="V4" s="231"/>
      <c r="W4" s="231"/>
      <c r="X4" s="231"/>
      <c r="Y4" s="231"/>
      <c r="Z4" s="231"/>
      <c r="AA4" s="231"/>
      <c r="AB4" s="231"/>
      <c r="AC4" s="231"/>
      <c r="AD4" s="231"/>
      <c r="AE4" s="231"/>
      <c r="AF4" s="231"/>
      <c r="AG4" s="231"/>
      <c r="AH4" s="231"/>
      <c r="AI4" s="231"/>
      <c r="AJ4" s="231"/>
      <c r="AK4" s="231"/>
      <c r="AL4" s="231"/>
      <c r="AM4" s="231"/>
      <c r="AN4" s="231"/>
      <c r="AO4" s="231"/>
      <c r="AP4" s="231"/>
      <c r="AQ4" s="231"/>
    </row>
    <row r="5" spans="1:43" s="203" customFormat="1" ht="15">
      <c r="A5" s="888"/>
      <c r="B5" s="889"/>
      <c r="C5" s="18"/>
      <c r="D5" s="206"/>
      <c r="E5" s="206"/>
      <c r="F5" s="14"/>
      <c r="G5" s="14"/>
      <c r="H5" s="14"/>
      <c r="I5" s="234"/>
      <c r="J5" s="231"/>
      <c r="K5" s="231"/>
      <c r="L5" s="231"/>
      <c r="M5" s="231"/>
      <c r="N5" s="231"/>
      <c r="O5" s="231"/>
      <c r="P5" s="231"/>
      <c r="Q5" s="231"/>
      <c r="R5" s="231"/>
      <c r="S5" s="231"/>
      <c r="T5" s="231"/>
      <c r="U5" s="231"/>
      <c r="V5" s="231"/>
      <c r="W5" s="231"/>
      <c r="X5" s="231"/>
      <c r="Y5" s="231"/>
      <c r="Z5" s="231"/>
      <c r="AA5" s="231"/>
      <c r="AB5" s="231"/>
      <c r="AC5" s="231"/>
      <c r="AD5" s="231"/>
      <c r="AE5" s="231"/>
      <c r="AF5" s="231"/>
      <c r="AG5" s="231"/>
      <c r="AH5" s="231"/>
      <c r="AI5" s="231"/>
      <c r="AJ5" s="231"/>
      <c r="AK5" s="231"/>
      <c r="AL5" s="231"/>
      <c r="AM5" s="231"/>
      <c r="AN5" s="231"/>
      <c r="AO5" s="231"/>
      <c r="AP5" s="231"/>
      <c r="AQ5" s="231"/>
    </row>
    <row r="6" spans="1:43" s="203" customFormat="1" ht="23.25" customHeight="1">
      <c r="A6" s="19" t="s">
        <v>1</v>
      </c>
      <c r="B6" s="207"/>
      <c r="C6" s="20"/>
      <c r="D6" s="890" t="s">
        <v>249</v>
      </c>
      <c r="E6" s="890"/>
      <c r="F6" s="890"/>
      <c r="G6" s="890"/>
      <c r="H6" s="890"/>
      <c r="I6" s="29"/>
      <c r="J6" s="231"/>
      <c r="K6" s="231"/>
      <c r="L6" s="231"/>
      <c r="M6" s="231"/>
      <c r="N6" s="231"/>
      <c r="O6" s="231"/>
      <c r="P6" s="231"/>
      <c r="Q6" s="231"/>
      <c r="R6" s="231"/>
      <c r="S6" s="231"/>
      <c r="T6" s="231"/>
      <c r="U6" s="231"/>
      <c r="V6" s="231"/>
      <c r="W6" s="231"/>
      <c r="X6" s="231"/>
      <c r="Y6" s="231"/>
      <c r="Z6" s="231"/>
      <c r="AA6" s="231"/>
      <c r="AB6" s="231"/>
      <c r="AC6" s="231"/>
      <c r="AD6" s="231"/>
      <c r="AE6" s="231"/>
      <c r="AF6" s="231"/>
      <c r="AG6" s="231"/>
      <c r="AH6" s="231"/>
      <c r="AI6" s="231"/>
      <c r="AJ6" s="231"/>
      <c r="AK6" s="231"/>
      <c r="AL6" s="231"/>
      <c r="AM6" s="231"/>
      <c r="AN6" s="231"/>
      <c r="AO6" s="231"/>
      <c r="AP6" s="231"/>
      <c r="AQ6" s="231"/>
    </row>
    <row r="7" spans="1:43" s="203" customFormat="1" ht="18.75" customHeight="1">
      <c r="A7" s="19" t="s">
        <v>419</v>
      </c>
      <c r="B7" s="207"/>
      <c r="C7" s="207"/>
      <c r="D7" s="207"/>
      <c r="E7" s="207"/>
      <c r="F7" s="362" t="s">
        <v>250</v>
      </c>
      <c r="G7" s="1"/>
      <c r="H7" s="21"/>
      <c r="I7" s="29"/>
      <c r="J7" s="231"/>
      <c r="K7" s="231"/>
      <c r="L7" s="231"/>
      <c r="M7" s="231"/>
      <c r="N7" s="231"/>
      <c r="O7" s="231"/>
      <c r="P7" s="231"/>
      <c r="Q7" s="231"/>
      <c r="R7" s="231"/>
      <c r="S7" s="231"/>
      <c r="T7" s="231"/>
      <c r="U7" s="231"/>
      <c r="V7" s="231"/>
      <c r="W7" s="231"/>
      <c r="X7" s="231"/>
      <c r="Y7" s="231"/>
      <c r="Z7" s="231"/>
      <c r="AA7" s="231"/>
      <c r="AB7" s="231"/>
      <c r="AC7" s="231"/>
      <c r="AD7" s="231"/>
      <c r="AE7" s="231"/>
      <c r="AF7" s="231"/>
      <c r="AG7" s="231"/>
      <c r="AH7" s="231"/>
      <c r="AI7" s="231"/>
      <c r="AJ7" s="231"/>
      <c r="AK7" s="231"/>
      <c r="AL7" s="231"/>
      <c r="AM7" s="231"/>
      <c r="AN7" s="231"/>
      <c r="AO7" s="231"/>
      <c r="AP7" s="231"/>
      <c r="AQ7" s="231"/>
    </row>
    <row r="8" spans="1:43" s="203" customFormat="1" ht="24" customHeight="1">
      <c r="A8" s="22" t="s">
        <v>408</v>
      </c>
      <c r="B8" s="207"/>
      <c r="C8" s="207"/>
      <c r="D8" s="207"/>
      <c r="E8" s="207"/>
      <c r="F8" s="207"/>
      <c r="G8" s="791"/>
      <c r="H8" s="21"/>
      <c r="I8" s="29"/>
      <c r="J8" s="231"/>
      <c r="K8" s="231"/>
      <c r="L8" s="231"/>
      <c r="M8" s="231"/>
      <c r="N8" s="231"/>
      <c r="O8" s="231"/>
      <c r="P8" s="231"/>
      <c r="Q8" s="231"/>
      <c r="R8" s="231"/>
      <c r="S8" s="231"/>
      <c r="T8" s="231"/>
      <c r="U8" s="231"/>
      <c r="V8" s="231"/>
      <c r="W8" s="231"/>
      <c r="X8" s="231"/>
      <c r="Y8" s="231"/>
      <c r="Z8" s="231"/>
      <c r="AA8" s="231"/>
      <c r="AB8" s="231"/>
      <c r="AC8" s="231"/>
      <c r="AD8" s="231"/>
      <c r="AE8" s="231"/>
      <c r="AF8" s="231"/>
      <c r="AG8" s="231"/>
      <c r="AH8" s="231"/>
      <c r="AI8" s="231"/>
      <c r="AJ8" s="231"/>
      <c r="AK8" s="231"/>
      <c r="AL8" s="231"/>
      <c r="AM8" s="231"/>
      <c r="AN8" s="231"/>
      <c r="AO8" s="231"/>
      <c r="AP8" s="231"/>
      <c r="AQ8" s="231"/>
    </row>
    <row r="9" spans="1:43" s="203" customFormat="1" ht="30.75" customHeight="1">
      <c r="A9" s="891" t="s">
        <v>420</v>
      </c>
      <c r="B9" s="892"/>
      <c r="C9" s="892"/>
      <c r="D9" s="892"/>
      <c r="E9" s="892"/>
      <c r="F9" s="892"/>
      <c r="G9" s="892"/>
      <c r="H9" s="892"/>
      <c r="I9" s="892"/>
      <c r="J9" s="231"/>
      <c r="K9" s="231"/>
      <c r="L9" s="231"/>
      <c r="M9" s="231"/>
      <c r="N9" s="231"/>
      <c r="O9" s="231"/>
      <c r="P9" s="231"/>
      <c r="Q9" s="231"/>
      <c r="R9" s="231"/>
      <c r="S9" s="231"/>
      <c r="T9" s="231"/>
      <c r="U9" s="231"/>
      <c r="V9" s="231"/>
      <c r="W9" s="231"/>
      <c r="X9" s="231"/>
      <c r="Y9" s="231"/>
      <c r="Z9" s="231"/>
      <c r="AA9" s="231"/>
      <c r="AB9" s="231"/>
      <c r="AC9" s="231"/>
      <c r="AD9" s="231"/>
      <c r="AE9" s="231"/>
      <c r="AF9" s="231"/>
      <c r="AG9" s="231"/>
      <c r="AH9" s="231"/>
      <c r="AI9" s="231"/>
      <c r="AJ9" s="231"/>
      <c r="AK9" s="231"/>
      <c r="AL9" s="231"/>
      <c r="AM9" s="231"/>
      <c r="AN9" s="231"/>
      <c r="AO9" s="231"/>
      <c r="AP9" s="231"/>
      <c r="AQ9" s="231"/>
    </row>
    <row r="10" spans="1:43" s="203" customFormat="1" ht="12.75" customHeight="1">
      <c r="A10" s="22" t="s">
        <v>409</v>
      </c>
      <c r="B10" s="19"/>
      <c r="C10" s="1"/>
      <c r="D10" s="880" t="s">
        <v>250</v>
      </c>
      <c r="E10" s="881"/>
      <c r="F10" s="881"/>
      <c r="G10" s="207"/>
      <c r="H10" s="207"/>
      <c r="I10" s="29"/>
      <c r="J10" s="231"/>
      <c r="K10" s="231"/>
      <c r="L10" s="231"/>
      <c r="M10" s="231"/>
      <c r="N10" s="231"/>
      <c r="O10" s="231"/>
      <c r="P10" s="231"/>
      <c r="Q10" s="231"/>
      <c r="R10" s="231"/>
      <c r="S10" s="231"/>
      <c r="T10" s="231"/>
      <c r="U10" s="231"/>
      <c r="V10" s="231"/>
      <c r="W10" s="231"/>
      <c r="X10" s="231"/>
      <c r="Y10" s="231"/>
      <c r="Z10" s="231"/>
      <c r="AA10" s="231"/>
      <c r="AB10" s="231"/>
      <c r="AC10" s="231"/>
      <c r="AD10" s="231"/>
      <c r="AE10" s="231"/>
      <c r="AF10" s="231"/>
      <c r="AG10" s="231"/>
      <c r="AH10" s="231"/>
      <c r="AI10" s="231"/>
      <c r="AJ10" s="231"/>
      <c r="AK10" s="231"/>
      <c r="AL10" s="231"/>
      <c r="AM10" s="231"/>
      <c r="AN10" s="231"/>
      <c r="AO10" s="231"/>
      <c r="AP10" s="231"/>
      <c r="AQ10" s="231"/>
    </row>
    <row r="11" spans="1:43" s="203" customFormat="1">
      <c r="A11" s="23"/>
      <c r="B11" s="207"/>
      <c r="C11" s="207"/>
      <c r="D11" s="207"/>
      <c r="E11" s="207"/>
      <c r="F11" s="207"/>
      <c r="G11" s="21"/>
      <c r="H11" s="21"/>
      <c r="I11" s="29"/>
      <c r="J11" s="231"/>
      <c r="K11" s="231"/>
      <c r="L11" s="231"/>
      <c r="M11" s="231"/>
      <c r="N11" s="231"/>
      <c r="O11" s="231"/>
      <c r="P11" s="231"/>
      <c r="Q11" s="231"/>
      <c r="R11" s="231"/>
      <c r="S11" s="231"/>
      <c r="T11" s="231"/>
      <c r="U11" s="231"/>
      <c r="V11" s="231"/>
      <c r="W11" s="231"/>
      <c r="X11" s="231"/>
      <c r="Y11" s="231"/>
      <c r="Z11" s="231"/>
      <c r="AA11" s="231"/>
      <c r="AB11" s="231"/>
      <c r="AC11" s="231"/>
      <c r="AD11" s="231"/>
      <c r="AE11" s="231"/>
      <c r="AF11" s="231"/>
      <c r="AG11" s="231"/>
      <c r="AH11" s="231"/>
      <c r="AI11" s="231"/>
      <c r="AJ11" s="231"/>
      <c r="AK11" s="231"/>
      <c r="AL11" s="231"/>
      <c r="AM11" s="231"/>
      <c r="AN11" s="231"/>
      <c r="AO11" s="231"/>
      <c r="AP11" s="231"/>
      <c r="AQ11" s="231"/>
    </row>
    <row r="12" spans="1:43" s="203" customFormat="1">
      <c r="A12" s="24"/>
      <c r="B12" s="25" t="s">
        <v>7</v>
      </c>
      <c r="C12" s="26"/>
      <c r="D12" s="356"/>
      <c r="E12" s="356"/>
      <c r="F12" s="357"/>
      <c r="G12" s="21"/>
      <c r="H12" s="21"/>
      <c r="I12" s="29"/>
      <c r="J12" s="231"/>
      <c r="K12" s="231"/>
      <c r="L12" s="231"/>
      <c r="M12" s="231"/>
      <c r="N12" s="231"/>
      <c r="O12" s="231"/>
      <c r="P12" s="231"/>
      <c r="Q12" s="231"/>
      <c r="R12" s="231"/>
      <c r="S12" s="231"/>
      <c r="T12" s="231"/>
      <c r="U12" s="231"/>
      <c r="V12" s="231"/>
      <c r="W12" s="231"/>
      <c r="X12" s="231"/>
      <c r="Y12" s="231"/>
      <c r="Z12" s="231"/>
      <c r="AA12" s="231"/>
      <c r="AB12" s="231"/>
      <c r="AC12" s="231"/>
      <c r="AD12" s="231"/>
      <c r="AE12" s="231"/>
      <c r="AF12" s="231"/>
      <c r="AG12" s="231"/>
      <c r="AH12" s="231"/>
      <c r="AI12" s="231"/>
      <c r="AJ12" s="231"/>
      <c r="AK12" s="231"/>
      <c r="AL12" s="231"/>
      <c r="AM12" s="231"/>
      <c r="AN12" s="231"/>
      <c r="AO12" s="231"/>
      <c r="AP12" s="231"/>
      <c r="AQ12" s="231"/>
    </row>
    <row r="13" spans="1:43" s="203" customFormat="1">
      <c r="A13" s="23"/>
      <c r="B13" s="27"/>
      <c r="C13" s="358"/>
      <c r="D13" s="15"/>
      <c r="E13" s="15"/>
      <c r="F13" s="359"/>
      <c r="G13" s="207"/>
      <c r="H13" s="21"/>
      <c r="I13" s="29"/>
      <c r="J13" s="231"/>
      <c r="K13" s="231"/>
      <c r="L13" s="231"/>
      <c r="M13" s="231"/>
      <c r="N13" s="231"/>
      <c r="O13" s="231"/>
      <c r="P13" s="231"/>
      <c r="Q13" s="231"/>
      <c r="R13" s="231"/>
      <c r="S13" s="231"/>
      <c r="T13" s="231"/>
      <c r="U13" s="231"/>
      <c r="V13" s="231"/>
      <c r="W13" s="231"/>
      <c r="X13" s="231"/>
      <c r="Y13" s="231"/>
      <c r="Z13" s="231"/>
      <c r="AA13" s="231"/>
      <c r="AB13" s="231"/>
      <c r="AC13" s="231"/>
      <c r="AD13" s="231"/>
      <c r="AE13" s="231"/>
      <c r="AF13" s="231"/>
      <c r="AG13" s="231"/>
      <c r="AH13" s="231"/>
      <c r="AI13" s="231"/>
      <c r="AJ13" s="231"/>
      <c r="AK13" s="231"/>
      <c r="AL13" s="231"/>
      <c r="AM13" s="231"/>
      <c r="AN13" s="231"/>
      <c r="AO13" s="231"/>
      <c r="AP13" s="231"/>
      <c r="AQ13" s="231"/>
    </row>
    <row r="14" spans="1:43" s="203" customFormat="1">
      <c r="A14" s="23"/>
      <c r="B14" s="363" t="s">
        <v>328</v>
      </c>
      <c r="C14" s="870" t="s">
        <v>10</v>
      </c>
      <c r="D14" s="870"/>
      <c r="E14" s="870"/>
      <c r="F14" s="871"/>
      <c r="G14" s="207"/>
      <c r="H14" s="21"/>
      <c r="I14" s="29"/>
      <c r="J14" s="231"/>
      <c r="K14" s="231"/>
      <c r="L14" s="231"/>
      <c r="M14" s="231"/>
      <c r="N14" s="231"/>
      <c r="O14" s="231"/>
      <c r="P14" s="231"/>
      <c r="Q14" s="231"/>
      <c r="R14" s="231"/>
      <c r="S14" s="231"/>
      <c r="T14" s="231"/>
      <c r="U14" s="231"/>
      <c r="V14" s="231"/>
      <c r="W14" s="231"/>
      <c r="X14" s="231"/>
      <c r="Y14" s="231"/>
      <c r="Z14" s="231"/>
      <c r="AA14" s="231"/>
      <c r="AB14" s="231"/>
      <c r="AC14" s="231"/>
      <c r="AD14" s="231"/>
      <c r="AE14" s="231"/>
      <c r="AF14" s="231"/>
      <c r="AG14" s="231"/>
      <c r="AH14" s="231"/>
      <c r="AI14" s="231"/>
      <c r="AJ14" s="231"/>
      <c r="AK14" s="231"/>
      <c r="AL14" s="231"/>
      <c r="AM14" s="231"/>
      <c r="AN14" s="231"/>
      <c r="AO14" s="231"/>
      <c r="AP14" s="231"/>
      <c r="AQ14" s="231"/>
    </row>
    <row r="15" spans="1:43" s="203" customFormat="1">
      <c r="A15" s="23"/>
      <c r="B15" s="363" t="s">
        <v>329</v>
      </c>
      <c r="C15" s="870" t="s">
        <v>12</v>
      </c>
      <c r="D15" s="870"/>
      <c r="E15" s="870"/>
      <c r="F15" s="871"/>
      <c r="G15" s="207"/>
      <c r="H15" s="21"/>
      <c r="I15" s="29"/>
      <c r="J15" s="231"/>
      <c r="K15" s="231"/>
      <c r="L15" s="231"/>
      <c r="M15" s="231"/>
      <c r="N15" s="231"/>
      <c r="O15" s="231"/>
      <c r="P15" s="231"/>
      <c r="Q15" s="231"/>
      <c r="R15" s="231"/>
      <c r="S15" s="231"/>
      <c r="T15" s="231"/>
      <c r="U15" s="231"/>
      <c r="V15" s="231"/>
      <c r="W15" s="231"/>
      <c r="X15" s="231"/>
      <c r="Y15" s="231"/>
      <c r="Z15" s="231"/>
      <c r="AA15" s="231"/>
      <c r="AB15" s="231"/>
      <c r="AC15" s="231"/>
      <c r="AD15" s="231"/>
      <c r="AE15" s="231"/>
      <c r="AF15" s="231"/>
      <c r="AG15" s="231"/>
      <c r="AH15" s="231"/>
      <c r="AI15" s="231"/>
      <c r="AJ15" s="231"/>
      <c r="AK15" s="231"/>
      <c r="AL15" s="231"/>
      <c r="AM15" s="231"/>
      <c r="AN15" s="231"/>
      <c r="AO15" s="231"/>
      <c r="AP15" s="231"/>
      <c r="AQ15" s="231"/>
    </row>
    <row r="16" spans="1:43" s="203" customFormat="1">
      <c r="A16" s="23"/>
      <c r="B16" s="360" t="s">
        <v>14</v>
      </c>
      <c r="C16" s="870" t="s">
        <v>15</v>
      </c>
      <c r="D16" s="870"/>
      <c r="E16" s="870"/>
      <c r="F16" s="871"/>
      <c r="G16" s="207"/>
      <c r="H16" s="21"/>
      <c r="I16" s="29"/>
      <c r="J16" s="231"/>
      <c r="K16" s="231"/>
      <c r="L16" s="231"/>
      <c r="M16" s="231"/>
      <c r="N16" s="231"/>
      <c r="O16" s="231"/>
      <c r="P16" s="231"/>
      <c r="Q16" s="231"/>
      <c r="R16" s="231"/>
      <c r="S16" s="231"/>
      <c r="T16" s="231"/>
      <c r="U16" s="231"/>
      <c r="V16" s="231"/>
      <c r="W16" s="231"/>
      <c r="X16" s="231"/>
      <c r="Y16" s="231"/>
      <c r="Z16" s="231"/>
      <c r="AA16" s="231"/>
      <c r="AB16" s="231"/>
      <c r="AC16" s="231"/>
      <c r="AD16" s="231"/>
      <c r="AE16" s="231"/>
      <c r="AF16" s="231"/>
      <c r="AG16" s="231"/>
      <c r="AH16" s="231"/>
      <c r="AI16" s="231"/>
      <c r="AJ16" s="231"/>
      <c r="AK16" s="231"/>
      <c r="AL16" s="231"/>
      <c r="AM16" s="231"/>
      <c r="AN16" s="231"/>
      <c r="AO16" s="231"/>
      <c r="AP16" s="231"/>
      <c r="AQ16" s="231"/>
    </row>
    <row r="17" spans="1:43" s="203" customFormat="1">
      <c r="A17" s="23"/>
      <c r="B17" s="360" t="s">
        <v>17</v>
      </c>
      <c r="C17" s="870" t="s">
        <v>18</v>
      </c>
      <c r="D17" s="870"/>
      <c r="E17" s="870"/>
      <c r="F17" s="871"/>
      <c r="G17" s="207"/>
      <c r="H17" s="21"/>
      <c r="I17" s="29"/>
      <c r="J17" s="231"/>
      <c r="K17" s="231"/>
      <c r="L17" s="231"/>
      <c r="M17" s="231"/>
      <c r="N17" s="231"/>
      <c r="O17" s="231"/>
      <c r="P17" s="231"/>
      <c r="Q17" s="231"/>
      <c r="R17" s="231"/>
      <c r="S17" s="231"/>
      <c r="T17" s="231"/>
      <c r="U17" s="231"/>
      <c r="V17" s="231"/>
      <c r="W17" s="231"/>
      <c r="X17" s="231"/>
      <c r="Y17" s="231"/>
      <c r="Z17" s="231"/>
      <c r="AA17" s="231"/>
      <c r="AB17" s="231"/>
      <c r="AC17" s="231"/>
      <c r="AD17" s="231"/>
      <c r="AE17" s="231"/>
      <c r="AF17" s="231"/>
      <c r="AG17" s="231"/>
      <c r="AH17" s="231"/>
      <c r="AI17" s="231"/>
      <c r="AJ17" s="231"/>
      <c r="AK17" s="231"/>
      <c r="AL17" s="231"/>
      <c r="AM17" s="231"/>
      <c r="AN17" s="231"/>
      <c r="AO17" s="231"/>
      <c r="AP17" s="231"/>
      <c r="AQ17" s="231"/>
    </row>
    <row r="18" spans="1:43" s="203" customFormat="1">
      <c r="A18" s="23"/>
      <c r="B18" s="360" t="s">
        <v>20</v>
      </c>
      <c r="C18" s="870" t="s">
        <v>21</v>
      </c>
      <c r="D18" s="870"/>
      <c r="E18" s="870"/>
      <c r="F18" s="871"/>
      <c r="G18" s="207"/>
      <c r="H18" s="21"/>
      <c r="I18" s="29"/>
      <c r="J18" s="231"/>
      <c r="K18" s="231"/>
      <c r="L18" s="231"/>
      <c r="M18" s="231"/>
      <c r="N18" s="231"/>
      <c r="O18" s="231"/>
      <c r="P18" s="231"/>
      <c r="Q18" s="231"/>
      <c r="R18" s="231"/>
      <c r="S18" s="231"/>
      <c r="T18" s="231"/>
      <c r="U18" s="231"/>
      <c r="V18" s="231"/>
      <c r="W18" s="231"/>
      <c r="X18" s="231"/>
      <c r="Y18" s="231"/>
      <c r="Z18" s="231"/>
      <c r="AA18" s="231"/>
      <c r="AB18" s="231"/>
      <c r="AC18" s="231"/>
      <c r="AD18" s="231"/>
      <c r="AE18" s="231"/>
      <c r="AF18" s="231"/>
      <c r="AG18" s="231"/>
      <c r="AH18" s="231"/>
      <c r="AI18" s="231"/>
      <c r="AJ18" s="231"/>
      <c r="AK18" s="231"/>
      <c r="AL18" s="231"/>
      <c r="AM18" s="231"/>
      <c r="AN18" s="231"/>
      <c r="AO18" s="231"/>
      <c r="AP18" s="231"/>
      <c r="AQ18" s="231"/>
    </row>
    <row r="19" spans="1:43" s="203" customFormat="1">
      <c r="A19" s="23"/>
      <c r="B19" s="361" t="s">
        <v>23</v>
      </c>
      <c r="C19" s="872" t="s">
        <v>24</v>
      </c>
      <c r="D19" s="872"/>
      <c r="E19" s="872"/>
      <c r="F19" s="873"/>
      <c r="G19" s="21"/>
      <c r="H19" s="21"/>
      <c r="I19" s="29"/>
      <c r="J19" s="231"/>
      <c r="K19" s="231"/>
      <c r="L19" s="231"/>
      <c r="M19" s="231"/>
      <c r="N19" s="231"/>
      <c r="O19" s="231"/>
      <c r="P19" s="231"/>
      <c r="Q19" s="231"/>
      <c r="R19" s="231"/>
      <c r="S19" s="231"/>
      <c r="T19" s="231"/>
      <c r="U19" s="231"/>
      <c r="V19" s="231"/>
      <c r="W19" s="231"/>
      <c r="X19" s="231"/>
      <c r="Y19" s="231"/>
      <c r="Z19" s="231"/>
      <c r="AA19" s="231"/>
      <c r="AB19" s="231"/>
      <c r="AC19" s="231"/>
      <c r="AD19" s="231"/>
      <c r="AE19" s="231"/>
      <c r="AF19" s="231"/>
      <c r="AG19" s="231"/>
      <c r="AH19" s="231"/>
      <c r="AI19" s="231"/>
      <c r="AJ19" s="231"/>
      <c r="AK19" s="231"/>
      <c r="AL19" s="231"/>
      <c r="AM19" s="231"/>
      <c r="AN19" s="231"/>
      <c r="AO19" s="231"/>
      <c r="AP19" s="231"/>
      <c r="AQ19" s="231"/>
    </row>
    <row r="20" spans="1:43" s="203" customFormat="1">
      <c r="A20" s="236"/>
      <c r="B20" s="206"/>
      <c r="C20" s="206"/>
      <c r="D20" s="206"/>
      <c r="E20" s="206"/>
      <c r="F20" s="206"/>
      <c r="G20" s="206"/>
      <c r="H20" s="206"/>
      <c r="I20" s="206"/>
      <c r="J20" s="231"/>
      <c r="K20" s="231"/>
      <c r="L20" s="231"/>
      <c r="M20" s="231"/>
      <c r="N20" s="231"/>
      <c r="O20" s="231"/>
      <c r="P20" s="231"/>
      <c r="Q20" s="231"/>
      <c r="R20" s="231"/>
      <c r="S20" s="231"/>
      <c r="T20" s="231"/>
      <c r="U20" s="231"/>
      <c r="V20" s="231"/>
      <c r="W20" s="231"/>
      <c r="X20" s="231"/>
      <c r="Y20" s="231"/>
      <c r="Z20" s="231"/>
      <c r="AA20" s="231"/>
      <c r="AB20" s="231"/>
      <c r="AC20" s="231"/>
      <c r="AD20" s="231"/>
      <c r="AE20" s="231"/>
      <c r="AF20" s="231"/>
      <c r="AG20" s="231"/>
      <c r="AH20" s="231"/>
      <c r="AI20" s="231"/>
      <c r="AJ20" s="231"/>
      <c r="AK20" s="231"/>
      <c r="AL20" s="231"/>
      <c r="AM20" s="231"/>
      <c r="AN20" s="231"/>
      <c r="AO20" s="231"/>
      <c r="AP20" s="231"/>
      <c r="AQ20" s="231"/>
    </row>
    <row r="21" spans="1:43" s="203" customFormat="1" ht="19.5">
      <c r="A21" s="30"/>
      <c r="B21" s="13"/>
      <c r="C21" s="13"/>
      <c r="D21" s="13"/>
      <c r="E21" s="13"/>
      <c r="F21" s="13"/>
      <c r="G21" s="13"/>
      <c r="H21" s="31" t="s">
        <v>27</v>
      </c>
      <c r="I21" s="237"/>
      <c r="J21" s="231"/>
      <c r="K21" s="231"/>
      <c r="L21" s="231"/>
      <c r="M21" s="231"/>
      <c r="N21" s="231"/>
      <c r="O21" s="231"/>
      <c r="P21" s="231"/>
      <c r="Q21" s="231"/>
      <c r="R21" s="231"/>
      <c r="S21" s="231"/>
      <c r="T21" s="231"/>
      <c r="U21" s="231"/>
      <c r="V21" s="231"/>
      <c r="W21" s="231"/>
      <c r="X21" s="231"/>
      <c r="Y21" s="231"/>
      <c r="Z21" s="231"/>
      <c r="AA21" s="231"/>
      <c r="AB21" s="231"/>
      <c r="AC21" s="231"/>
      <c r="AD21" s="231"/>
      <c r="AE21" s="231"/>
      <c r="AF21" s="231"/>
      <c r="AG21" s="231"/>
      <c r="AH21" s="231"/>
      <c r="AI21" s="231"/>
      <c r="AJ21" s="231"/>
      <c r="AK21" s="231"/>
      <c r="AL21" s="231"/>
      <c r="AM21" s="231"/>
      <c r="AN21" s="231"/>
      <c r="AO21" s="231"/>
      <c r="AP21" s="231"/>
      <c r="AQ21" s="231"/>
    </row>
    <row r="22" spans="1:43" s="203" customFormat="1" ht="18.75" customHeight="1">
      <c r="A22" s="32"/>
      <c r="B22" s="29"/>
      <c r="C22" s="29"/>
      <c r="D22" s="29"/>
      <c r="E22" s="29"/>
      <c r="F22" s="33">
        <v>1</v>
      </c>
      <c r="G22" s="34"/>
      <c r="H22" s="33">
        <v>2</v>
      </c>
      <c r="I22" s="34"/>
      <c r="J22" s="231"/>
      <c r="K22" s="231"/>
      <c r="L22" s="231"/>
      <c r="M22" s="231"/>
      <c r="N22" s="231"/>
      <c r="O22" s="231"/>
      <c r="P22" s="231"/>
      <c r="Q22" s="231"/>
      <c r="R22" s="231"/>
      <c r="S22" s="231"/>
      <c r="T22" s="231"/>
      <c r="U22" s="231"/>
      <c r="V22" s="231"/>
      <c r="W22" s="231"/>
      <c r="X22" s="231"/>
      <c r="Y22" s="231"/>
      <c r="Z22" s="231"/>
      <c r="AA22" s="231"/>
      <c r="AB22" s="231"/>
      <c r="AC22" s="231"/>
      <c r="AD22" s="231"/>
      <c r="AE22" s="231"/>
      <c r="AF22" s="231"/>
      <c r="AG22" s="231"/>
      <c r="AH22" s="231"/>
      <c r="AI22" s="231"/>
      <c r="AJ22" s="231"/>
      <c r="AK22" s="231"/>
      <c r="AL22" s="231"/>
      <c r="AM22" s="231"/>
      <c r="AN22" s="231"/>
      <c r="AO22" s="231"/>
      <c r="AP22" s="231"/>
      <c r="AQ22" s="231"/>
    </row>
    <row r="23" spans="1:43" s="203" customFormat="1" ht="21.95" customHeight="1">
      <c r="A23" s="874" t="s">
        <v>30</v>
      </c>
      <c r="B23" s="875"/>
      <c r="C23" s="875"/>
      <c r="D23" s="875"/>
      <c r="E23" s="878" t="s">
        <v>376</v>
      </c>
      <c r="F23" s="856" t="s">
        <v>407</v>
      </c>
      <c r="G23" s="36"/>
      <c r="H23" s="878" t="s">
        <v>406</v>
      </c>
      <c r="I23" s="36"/>
      <c r="J23" s="231"/>
      <c r="K23" s="231"/>
      <c r="L23" s="231"/>
      <c r="M23" s="231"/>
      <c r="N23" s="231"/>
      <c r="O23" s="231"/>
      <c r="P23" s="231"/>
      <c r="Q23" s="231"/>
      <c r="R23" s="231"/>
      <c r="S23" s="231"/>
      <c r="T23" s="231"/>
      <c r="U23" s="231"/>
      <c r="V23" s="231"/>
      <c r="W23" s="231"/>
      <c r="X23" s="231"/>
      <c r="Y23" s="231"/>
      <c r="Z23" s="231"/>
      <c r="AA23" s="231"/>
      <c r="AB23" s="231"/>
      <c r="AC23" s="231"/>
      <c r="AD23" s="231"/>
      <c r="AE23" s="231"/>
      <c r="AF23" s="231"/>
      <c r="AG23" s="231"/>
      <c r="AH23" s="231"/>
      <c r="AI23" s="231"/>
      <c r="AJ23" s="231"/>
      <c r="AK23" s="231"/>
      <c r="AL23" s="231"/>
      <c r="AM23" s="231"/>
      <c r="AN23" s="231"/>
      <c r="AO23" s="231"/>
      <c r="AP23" s="231"/>
      <c r="AQ23" s="231"/>
    </row>
    <row r="24" spans="1:43" s="203" customFormat="1" ht="21.95" customHeight="1">
      <c r="A24" s="876"/>
      <c r="B24" s="877"/>
      <c r="C24" s="877"/>
      <c r="D24" s="877"/>
      <c r="E24" s="879"/>
      <c r="F24" s="860"/>
      <c r="G24" s="23"/>
      <c r="H24" s="879"/>
      <c r="I24" s="36"/>
      <c r="J24" s="231"/>
      <c r="K24" s="231"/>
      <c r="L24" s="231"/>
      <c r="M24" s="231"/>
      <c r="N24" s="231"/>
      <c r="O24" s="231"/>
      <c r="P24" s="231"/>
      <c r="Q24" s="231"/>
      <c r="R24" s="231"/>
      <c r="S24" s="231"/>
      <c r="T24" s="231"/>
      <c r="U24" s="231"/>
      <c r="V24" s="231"/>
      <c r="W24" s="231"/>
      <c r="X24" s="231"/>
      <c r="Y24" s="231"/>
      <c r="Z24" s="231"/>
      <c r="AA24" s="231"/>
      <c r="AB24" s="231"/>
      <c r="AC24" s="231"/>
      <c r="AD24" s="231"/>
      <c r="AE24" s="231"/>
      <c r="AF24" s="231"/>
      <c r="AG24" s="231"/>
      <c r="AH24" s="231"/>
      <c r="AI24" s="231"/>
      <c r="AJ24" s="231"/>
      <c r="AK24" s="231"/>
      <c r="AL24" s="231"/>
      <c r="AM24" s="231"/>
      <c r="AN24" s="231"/>
      <c r="AO24" s="231"/>
      <c r="AP24" s="231"/>
      <c r="AQ24" s="231"/>
    </row>
    <row r="25" spans="1:43" s="203" customFormat="1" ht="21.95" customHeight="1">
      <c r="A25" s="898" t="s">
        <v>48</v>
      </c>
      <c r="B25" s="901" t="s">
        <v>49</v>
      </c>
      <c r="C25" s="901"/>
      <c r="D25" s="902"/>
      <c r="E25" s="907" t="s">
        <v>50</v>
      </c>
      <c r="F25" s="909" t="s">
        <v>51</v>
      </c>
      <c r="G25" s="34"/>
      <c r="H25" s="907" t="s">
        <v>50</v>
      </c>
      <c r="I25" s="36"/>
      <c r="J25" s="231"/>
      <c r="K25" s="231"/>
      <c r="L25" s="231"/>
      <c r="M25" s="231"/>
      <c r="N25" s="231"/>
      <c r="O25" s="231"/>
      <c r="P25" s="231"/>
      <c r="Q25" s="231"/>
      <c r="R25" s="231"/>
      <c r="S25" s="231"/>
      <c r="T25" s="231"/>
      <c r="U25" s="231"/>
      <c r="V25" s="231"/>
      <c r="W25" s="231"/>
      <c r="X25" s="231"/>
      <c r="Y25" s="231"/>
      <c r="Z25" s="231"/>
      <c r="AA25" s="231"/>
      <c r="AB25" s="231"/>
      <c r="AC25" s="231"/>
      <c r="AD25" s="231"/>
      <c r="AE25" s="231"/>
      <c r="AF25" s="231"/>
      <c r="AG25" s="231"/>
      <c r="AH25" s="231"/>
      <c r="AI25" s="231"/>
      <c r="AJ25" s="231"/>
      <c r="AK25" s="231"/>
      <c r="AL25" s="231"/>
      <c r="AM25" s="231"/>
      <c r="AN25" s="231"/>
      <c r="AO25" s="231"/>
      <c r="AP25" s="231"/>
      <c r="AQ25" s="231"/>
    </row>
    <row r="26" spans="1:43" s="203" customFormat="1" ht="21.95" customHeight="1">
      <c r="A26" s="899"/>
      <c r="B26" s="903"/>
      <c r="C26" s="903"/>
      <c r="D26" s="904"/>
      <c r="E26" s="908"/>
      <c r="F26" s="859"/>
      <c r="G26" s="34"/>
      <c r="H26" s="908"/>
      <c r="I26" s="36"/>
      <c r="J26" s="231"/>
      <c r="K26" s="231"/>
      <c r="L26" s="231"/>
      <c r="M26" s="231"/>
      <c r="N26" s="231"/>
      <c r="O26" s="231"/>
      <c r="P26" s="231"/>
      <c r="Q26" s="231"/>
      <c r="R26" s="231"/>
      <c r="S26" s="231"/>
      <c r="T26" s="231"/>
      <c r="U26" s="231"/>
      <c r="V26" s="231"/>
      <c r="W26" s="231"/>
      <c r="X26" s="231"/>
      <c r="Y26" s="231"/>
      <c r="Z26" s="231"/>
      <c r="AA26" s="231"/>
      <c r="AB26" s="231"/>
      <c r="AC26" s="231"/>
      <c r="AD26" s="231"/>
      <c r="AE26" s="231"/>
      <c r="AF26" s="231"/>
      <c r="AG26" s="231"/>
      <c r="AH26" s="231"/>
      <c r="AI26" s="231"/>
      <c r="AJ26" s="231"/>
      <c r="AK26" s="231"/>
      <c r="AL26" s="231"/>
      <c r="AM26" s="231"/>
      <c r="AN26" s="231"/>
      <c r="AO26" s="231"/>
      <c r="AP26" s="231"/>
      <c r="AQ26" s="231"/>
    </row>
    <row r="27" spans="1:43" s="203" customFormat="1" ht="21.95" customHeight="1">
      <c r="A27" s="900"/>
      <c r="B27" s="905"/>
      <c r="C27" s="905"/>
      <c r="D27" s="906"/>
      <c r="E27" s="879"/>
      <c r="F27" s="860"/>
      <c r="G27" s="34"/>
      <c r="H27" s="879"/>
      <c r="I27" s="36"/>
      <c r="J27" s="231"/>
      <c r="K27" s="231"/>
      <c r="L27" s="231"/>
      <c r="M27" s="231"/>
      <c r="N27" s="231"/>
      <c r="O27" s="231"/>
      <c r="P27" s="231"/>
      <c r="Q27" s="231"/>
      <c r="R27" s="231"/>
      <c r="S27" s="231"/>
      <c r="T27" s="231"/>
      <c r="U27" s="231"/>
      <c r="V27" s="231"/>
      <c r="W27" s="231"/>
      <c r="X27" s="231"/>
      <c r="Y27" s="231"/>
      <c r="Z27" s="231"/>
      <c r="AA27" s="231"/>
      <c r="AB27" s="231"/>
      <c r="AC27" s="231"/>
      <c r="AD27" s="231"/>
      <c r="AE27" s="231"/>
      <c r="AF27" s="231"/>
      <c r="AG27" s="231"/>
      <c r="AH27" s="231"/>
      <c r="AI27" s="231"/>
      <c r="AJ27" s="231"/>
      <c r="AK27" s="231"/>
      <c r="AL27" s="231"/>
      <c r="AM27" s="231"/>
      <c r="AN27" s="231"/>
      <c r="AO27" s="231"/>
      <c r="AP27" s="231"/>
      <c r="AQ27" s="231"/>
    </row>
    <row r="28" spans="1:43" s="203" customFormat="1">
      <c r="A28" s="38">
        <v>1</v>
      </c>
      <c r="B28" s="39" t="s">
        <v>52</v>
      </c>
      <c r="C28" s="39"/>
      <c r="D28" s="40"/>
      <c r="E28" s="41">
        <v>106793</v>
      </c>
      <c r="F28" s="42">
        <f>F77</f>
        <v>106403</v>
      </c>
      <c r="G28" s="43"/>
      <c r="H28" s="44">
        <f>H77</f>
        <v>117889</v>
      </c>
      <c r="I28" s="43"/>
      <c r="J28" s="231"/>
      <c r="K28" s="231"/>
      <c r="L28" s="231"/>
      <c r="M28" s="231"/>
      <c r="N28" s="231"/>
      <c r="O28" s="231"/>
      <c r="P28" s="231"/>
      <c r="Q28" s="231"/>
      <c r="R28" s="231"/>
      <c r="S28" s="231"/>
      <c r="T28" s="231"/>
      <c r="U28" s="231"/>
      <c r="V28" s="231"/>
      <c r="W28" s="231"/>
      <c r="X28" s="231"/>
      <c r="Y28" s="231"/>
      <c r="Z28" s="231"/>
      <c r="AA28" s="231"/>
      <c r="AB28" s="231"/>
      <c r="AC28" s="231"/>
      <c r="AD28" s="231"/>
      <c r="AE28" s="231"/>
      <c r="AF28" s="231"/>
      <c r="AG28" s="231"/>
      <c r="AH28" s="231"/>
      <c r="AI28" s="231"/>
      <c r="AJ28" s="231"/>
      <c r="AK28" s="231"/>
      <c r="AL28" s="231"/>
      <c r="AM28" s="231"/>
      <c r="AN28" s="231"/>
      <c r="AO28" s="231"/>
      <c r="AP28" s="231"/>
      <c r="AQ28" s="231"/>
    </row>
    <row r="29" spans="1:43" s="203" customFormat="1">
      <c r="A29" s="46">
        <v>2</v>
      </c>
      <c r="B29" s="47" t="s">
        <v>53</v>
      </c>
      <c r="C29" s="47"/>
      <c r="D29" s="48"/>
      <c r="E29" s="49">
        <v>75135</v>
      </c>
      <c r="F29" s="50">
        <f>F105</f>
        <v>78306</v>
      </c>
      <c r="G29" s="43"/>
      <c r="H29" s="51">
        <f>H105</f>
        <v>78635</v>
      </c>
      <c r="I29" s="43"/>
      <c r="J29" s="231"/>
      <c r="K29" s="231"/>
      <c r="L29" s="231"/>
      <c r="M29" s="231"/>
      <c r="N29" s="231"/>
      <c r="O29" s="231"/>
      <c r="P29" s="231"/>
      <c r="Q29" s="231"/>
      <c r="R29" s="231"/>
      <c r="S29" s="231"/>
      <c r="T29" s="231"/>
      <c r="U29" s="231"/>
      <c r="V29" s="231"/>
      <c r="W29" s="231"/>
      <c r="X29" s="231"/>
      <c r="Y29" s="231"/>
      <c r="Z29" s="231"/>
      <c r="AA29" s="231"/>
      <c r="AB29" s="231"/>
      <c r="AC29" s="231"/>
      <c r="AD29" s="231"/>
      <c r="AE29" s="231"/>
      <c r="AF29" s="231"/>
      <c r="AG29" s="231"/>
      <c r="AH29" s="231"/>
      <c r="AI29" s="231"/>
      <c r="AJ29" s="231"/>
      <c r="AK29" s="231"/>
      <c r="AL29" s="231"/>
      <c r="AM29" s="231"/>
      <c r="AN29" s="231"/>
      <c r="AO29" s="231"/>
      <c r="AP29" s="231"/>
      <c r="AQ29" s="231"/>
    </row>
    <row r="30" spans="1:43" s="203" customFormat="1">
      <c r="A30" s="46">
        <v>3</v>
      </c>
      <c r="B30" s="47" t="s">
        <v>54</v>
      </c>
      <c r="C30" s="47"/>
      <c r="D30" s="48"/>
      <c r="E30" s="49">
        <v>9901</v>
      </c>
      <c r="F30" s="50">
        <f>F180</f>
        <v>10345</v>
      </c>
      <c r="G30" s="43"/>
      <c r="H30" s="51">
        <f>H180</f>
        <v>9355</v>
      </c>
      <c r="I30" s="43"/>
      <c r="J30" s="231"/>
      <c r="K30" s="231"/>
      <c r="L30" s="231"/>
      <c r="M30" s="231"/>
      <c r="N30" s="231"/>
      <c r="O30" s="231"/>
      <c r="P30" s="231"/>
      <c r="Q30" s="231"/>
      <c r="R30" s="231"/>
      <c r="S30" s="231"/>
      <c r="T30" s="231"/>
      <c r="U30" s="231"/>
      <c r="V30" s="231"/>
      <c r="W30" s="231"/>
      <c r="X30" s="231"/>
      <c r="Y30" s="231"/>
      <c r="Z30" s="231"/>
      <c r="AA30" s="231"/>
      <c r="AB30" s="231"/>
      <c r="AC30" s="231"/>
      <c r="AD30" s="231"/>
      <c r="AE30" s="231"/>
      <c r="AF30" s="231"/>
      <c r="AG30" s="231"/>
      <c r="AH30" s="231"/>
      <c r="AI30" s="231"/>
      <c r="AJ30" s="231"/>
      <c r="AK30" s="231"/>
      <c r="AL30" s="231"/>
      <c r="AM30" s="231"/>
      <c r="AN30" s="231"/>
      <c r="AO30" s="231"/>
      <c r="AP30" s="231"/>
      <c r="AQ30" s="231"/>
    </row>
    <row r="31" spans="1:43" s="203" customFormat="1">
      <c r="A31" s="46">
        <v>4</v>
      </c>
      <c r="B31" s="47" t="s">
        <v>55</v>
      </c>
      <c r="C31" s="47"/>
      <c r="D31" s="48"/>
      <c r="E31" s="49">
        <v>15049</v>
      </c>
      <c r="F31" s="50">
        <f>F214</f>
        <v>15172</v>
      </c>
      <c r="G31" s="43"/>
      <c r="H31" s="51">
        <f>H214</f>
        <v>14433</v>
      </c>
      <c r="I31" s="43"/>
      <c r="J31" s="231"/>
      <c r="K31" s="231"/>
      <c r="L31" s="231"/>
      <c r="M31" s="231"/>
      <c r="N31" s="231"/>
      <c r="O31" s="231"/>
      <c r="P31" s="231"/>
      <c r="Q31" s="231"/>
      <c r="R31" s="231"/>
      <c r="S31" s="231"/>
      <c r="T31" s="231"/>
      <c r="U31" s="231"/>
      <c r="V31" s="231"/>
      <c r="W31" s="231"/>
      <c r="X31" s="231"/>
      <c r="Y31" s="231"/>
      <c r="Z31" s="231"/>
      <c r="AA31" s="231"/>
      <c r="AB31" s="231"/>
      <c r="AC31" s="231"/>
      <c r="AD31" s="231"/>
      <c r="AE31" s="231"/>
      <c r="AF31" s="231"/>
      <c r="AG31" s="231"/>
      <c r="AH31" s="231"/>
      <c r="AI31" s="231"/>
      <c r="AJ31" s="231"/>
      <c r="AK31" s="231"/>
      <c r="AL31" s="231"/>
      <c r="AM31" s="231"/>
      <c r="AN31" s="231"/>
      <c r="AO31" s="231"/>
      <c r="AP31" s="231"/>
      <c r="AQ31" s="231"/>
    </row>
    <row r="32" spans="1:43" s="203" customFormat="1">
      <c r="A32" s="46">
        <v>5</v>
      </c>
      <c r="B32" s="47" t="s">
        <v>56</v>
      </c>
      <c r="C32" s="47"/>
      <c r="D32" s="48"/>
      <c r="E32" s="49">
        <v>5419</v>
      </c>
      <c r="F32" s="50">
        <f>F231</f>
        <v>5205</v>
      </c>
      <c r="G32" s="43"/>
      <c r="H32" s="51">
        <f>H231</f>
        <v>4294</v>
      </c>
      <c r="I32" s="43"/>
      <c r="J32" s="231"/>
      <c r="K32" s="231"/>
      <c r="L32" s="231"/>
      <c r="M32" s="231"/>
      <c r="N32" s="231"/>
      <c r="O32" s="231"/>
      <c r="P32" s="231"/>
      <c r="Q32" s="231"/>
      <c r="R32" s="231"/>
      <c r="S32" s="231"/>
      <c r="T32" s="231"/>
      <c r="U32" s="231"/>
      <c r="V32" s="231"/>
      <c r="W32" s="231"/>
      <c r="X32" s="231"/>
      <c r="Y32" s="231"/>
      <c r="Z32" s="231"/>
      <c r="AA32" s="231"/>
      <c r="AB32" s="231"/>
      <c r="AC32" s="231"/>
      <c r="AD32" s="231"/>
      <c r="AE32" s="231"/>
      <c r="AF32" s="231"/>
      <c r="AG32" s="231"/>
      <c r="AH32" s="231"/>
      <c r="AI32" s="231"/>
      <c r="AJ32" s="231"/>
      <c r="AK32" s="231"/>
      <c r="AL32" s="231"/>
      <c r="AM32" s="231"/>
      <c r="AN32" s="231"/>
      <c r="AO32" s="231"/>
      <c r="AP32" s="231"/>
      <c r="AQ32" s="231"/>
    </row>
    <row r="33" spans="1:43" s="203" customFormat="1">
      <c r="A33" s="46">
        <v>6</v>
      </c>
      <c r="B33" s="47" t="s">
        <v>57</v>
      </c>
      <c r="C33" s="47"/>
      <c r="D33" s="48"/>
      <c r="E33" s="49">
        <v>11015</v>
      </c>
      <c r="F33" s="50">
        <f>F257</f>
        <v>10925</v>
      </c>
      <c r="G33" s="43"/>
      <c r="H33" s="51">
        <f>H257</f>
        <v>10916</v>
      </c>
      <c r="I33" s="43"/>
      <c r="J33" s="231"/>
      <c r="K33" s="231"/>
      <c r="L33" s="231"/>
      <c r="M33" s="231"/>
      <c r="N33" s="231"/>
      <c r="O33" s="231"/>
      <c r="P33" s="231"/>
      <c r="Q33" s="231"/>
      <c r="R33" s="231"/>
      <c r="S33" s="231"/>
      <c r="T33" s="231"/>
      <c r="U33" s="231"/>
      <c r="V33" s="231"/>
      <c r="W33" s="231"/>
      <c r="X33" s="231"/>
      <c r="Y33" s="231"/>
      <c r="Z33" s="231"/>
      <c r="AA33" s="231"/>
      <c r="AB33" s="231"/>
      <c r="AC33" s="231"/>
      <c r="AD33" s="231"/>
      <c r="AE33" s="231"/>
      <c r="AF33" s="231"/>
      <c r="AG33" s="231"/>
      <c r="AH33" s="231"/>
      <c r="AI33" s="231"/>
      <c r="AJ33" s="231"/>
      <c r="AK33" s="231"/>
      <c r="AL33" s="231"/>
      <c r="AM33" s="231"/>
      <c r="AN33" s="231"/>
      <c r="AO33" s="231"/>
      <c r="AP33" s="231"/>
      <c r="AQ33" s="231"/>
    </row>
    <row r="34" spans="1:43" s="203" customFormat="1">
      <c r="A34" s="46">
        <v>7</v>
      </c>
      <c r="B34" s="47" t="s">
        <v>58</v>
      </c>
      <c r="C34" s="47"/>
      <c r="D34" s="48"/>
      <c r="E34" s="49">
        <v>5915</v>
      </c>
      <c r="F34" s="50">
        <f>F277</f>
        <v>5619</v>
      </c>
      <c r="G34" s="43"/>
      <c r="H34" s="50">
        <f>H277</f>
        <v>5491</v>
      </c>
      <c r="I34" s="43"/>
      <c r="J34" s="231"/>
      <c r="K34" s="231"/>
      <c r="L34" s="231"/>
      <c r="M34" s="231"/>
      <c r="N34" s="231"/>
      <c r="O34" s="231"/>
      <c r="P34" s="231"/>
      <c r="Q34" s="231"/>
      <c r="R34" s="231"/>
      <c r="S34" s="231"/>
      <c r="T34" s="231"/>
      <c r="U34" s="231"/>
      <c r="V34" s="231"/>
      <c r="W34" s="231"/>
      <c r="X34" s="231"/>
      <c r="Y34" s="231"/>
      <c r="Z34" s="231"/>
      <c r="AA34" s="231"/>
      <c r="AB34" s="231"/>
      <c r="AC34" s="231"/>
      <c r="AD34" s="231"/>
      <c r="AE34" s="231"/>
      <c r="AF34" s="231"/>
      <c r="AG34" s="231"/>
      <c r="AH34" s="231"/>
      <c r="AI34" s="231"/>
      <c r="AJ34" s="231"/>
      <c r="AK34" s="231"/>
      <c r="AL34" s="231"/>
      <c r="AM34" s="231"/>
      <c r="AN34" s="231"/>
      <c r="AO34" s="231"/>
      <c r="AP34" s="231"/>
      <c r="AQ34" s="231"/>
    </row>
    <row r="35" spans="1:43" s="203" customFormat="1">
      <c r="A35" s="46">
        <v>8</v>
      </c>
      <c r="B35" s="47" t="s">
        <v>59</v>
      </c>
      <c r="C35" s="47"/>
      <c r="D35" s="48"/>
      <c r="E35" s="49">
        <v>10031</v>
      </c>
      <c r="F35" s="50">
        <f>F302</f>
        <v>10050</v>
      </c>
      <c r="G35" s="43"/>
      <c r="H35" s="50">
        <f>H302</f>
        <v>9824</v>
      </c>
      <c r="I35" s="21"/>
      <c r="J35" s="231"/>
      <c r="K35" s="231"/>
      <c r="L35" s="231"/>
      <c r="M35" s="231"/>
      <c r="N35" s="231"/>
      <c r="O35" s="231"/>
      <c r="P35" s="231"/>
      <c r="Q35" s="231"/>
      <c r="R35" s="231"/>
      <c r="S35" s="231"/>
      <c r="T35" s="231"/>
      <c r="U35" s="231"/>
      <c r="V35" s="231"/>
      <c r="W35" s="231"/>
      <c r="X35" s="231"/>
      <c r="Y35" s="231"/>
      <c r="Z35" s="231"/>
      <c r="AA35" s="231"/>
      <c r="AB35" s="231"/>
      <c r="AC35" s="231"/>
      <c r="AD35" s="231"/>
      <c r="AE35" s="231"/>
      <c r="AF35" s="231"/>
      <c r="AG35" s="231"/>
      <c r="AH35" s="231"/>
      <c r="AI35" s="231"/>
      <c r="AJ35" s="231"/>
      <c r="AK35" s="231"/>
      <c r="AL35" s="231"/>
      <c r="AM35" s="231"/>
      <c r="AN35" s="231"/>
      <c r="AO35" s="231"/>
      <c r="AP35" s="231"/>
      <c r="AQ35" s="231"/>
    </row>
    <row r="36" spans="1:43" s="203" customFormat="1">
      <c r="A36" s="46">
        <v>9</v>
      </c>
      <c r="B36" s="47" t="s">
        <v>60</v>
      </c>
      <c r="C36" s="47"/>
      <c r="D36" s="48"/>
      <c r="E36" s="49">
        <v>64</v>
      </c>
      <c r="F36" s="52"/>
      <c r="G36" s="43"/>
      <c r="H36" s="52">
        <v>64</v>
      </c>
      <c r="I36" s="21"/>
      <c r="J36" s="231"/>
      <c r="K36" s="231"/>
      <c r="L36" s="231"/>
      <c r="M36" s="231"/>
      <c r="N36" s="231"/>
      <c r="O36" s="231"/>
      <c r="P36" s="231"/>
      <c r="Q36" s="231"/>
      <c r="R36" s="231"/>
      <c r="S36" s="231"/>
      <c r="T36" s="231"/>
      <c r="U36" s="231"/>
      <c r="V36" s="231"/>
      <c r="W36" s="231"/>
      <c r="X36" s="231"/>
      <c r="Y36" s="231"/>
      <c r="Z36" s="231"/>
      <c r="AA36" s="231"/>
      <c r="AB36" s="231"/>
      <c r="AC36" s="231"/>
      <c r="AD36" s="231"/>
      <c r="AE36" s="231"/>
      <c r="AF36" s="231"/>
      <c r="AG36" s="231"/>
      <c r="AH36" s="231"/>
      <c r="AI36" s="231"/>
      <c r="AJ36" s="231"/>
      <c r="AK36" s="231"/>
      <c r="AL36" s="231"/>
      <c r="AM36" s="231"/>
      <c r="AN36" s="231"/>
      <c r="AO36" s="231"/>
      <c r="AP36" s="231"/>
      <c r="AQ36" s="231"/>
    </row>
    <row r="37" spans="1:43" s="203" customFormat="1">
      <c r="A37" s="53">
        <v>10</v>
      </c>
      <c r="B37" s="54" t="s">
        <v>61</v>
      </c>
      <c r="C37" s="54"/>
      <c r="D37" s="55"/>
      <c r="E37" s="56">
        <v>23636</v>
      </c>
      <c r="F37" s="57">
        <f>F320</f>
        <v>21384</v>
      </c>
      <c r="G37" s="43"/>
      <c r="H37" s="57">
        <f>H320</f>
        <v>22633</v>
      </c>
      <c r="I37" s="21"/>
      <c r="J37" s="231"/>
      <c r="K37" s="231"/>
      <c r="L37" s="231"/>
      <c r="M37" s="231"/>
      <c r="N37" s="231"/>
      <c r="O37" s="231"/>
      <c r="P37" s="231"/>
      <c r="Q37" s="231"/>
      <c r="R37" s="231"/>
      <c r="S37" s="231"/>
      <c r="T37" s="231"/>
      <c r="U37" s="231"/>
      <c r="V37" s="231"/>
      <c r="W37" s="231"/>
      <c r="X37" s="231"/>
      <c r="Y37" s="231"/>
      <c r="Z37" s="231"/>
      <c r="AA37" s="231"/>
      <c r="AB37" s="231"/>
      <c r="AC37" s="231"/>
      <c r="AD37" s="231"/>
      <c r="AE37" s="231"/>
      <c r="AF37" s="231"/>
      <c r="AG37" s="231"/>
      <c r="AH37" s="231"/>
      <c r="AI37" s="231"/>
      <c r="AJ37" s="231"/>
      <c r="AK37" s="231"/>
      <c r="AL37" s="231"/>
      <c r="AM37" s="231"/>
      <c r="AN37" s="231"/>
      <c r="AO37" s="231"/>
      <c r="AP37" s="231"/>
      <c r="AQ37" s="231"/>
    </row>
    <row r="38" spans="1:43" s="203" customFormat="1">
      <c r="A38" s="33">
        <v>11</v>
      </c>
      <c r="B38" s="58" t="s">
        <v>62</v>
      </c>
      <c r="C38" s="58"/>
      <c r="D38" s="59"/>
      <c r="E38" s="60">
        <v>262958</v>
      </c>
      <c r="F38" s="61">
        <f>SUM(F28:F37)</f>
        <v>263409</v>
      </c>
      <c r="G38" s="43"/>
      <c r="H38" s="61">
        <f>SUM(H28:H37)</f>
        <v>273534</v>
      </c>
      <c r="I38" s="68"/>
      <c r="J38" s="231"/>
      <c r="K38" s="231"/>
      <c r="L38" s="231"/>
      <c r="M38" s="231"/>
      <c r="N38" s="231"/>
      <c r="O38" s="231"/>
      <c r="P38" s="231"/>
      <c r="Q38" s="231"/>
      <c r="R38" s="231"/>
      <c r="S38" s="231"/>
      <c r="T38" s="231"/>
      <c r="U38" s="231"/>
      <c r="V38" s="231"/>
      <c r="W38" s="231"/>
      <c r="X38" s="231"/>
      <c r="Y38" s="231"/>
      <c r="Z38" s="231"/>
      <c r="AA38" s="231"/>
      <c r="AB38" s="231"/>
      <c r="AC38" s="231"/>
      <c r="AD38" s="231"/>
      <c r="AE38" s="231"/>
      <c r="AF38" s="231"/>
      <c r="AG38" s="231"/>
      <c r="AH38" s="231"/>
      <c r="AI38" s="231"/>
      <c r="AJ38" s="231"/>
      <c r="AK38" s="231"/>
      <c r="AL38" s="231"/>
      <c r="AM38" s="231"/>
      <c r="AN38" s="231"/>
      <c r="AO38" s="231"/>
      <c r="AP38" s="231"/>
      <c r="AQ38" s="231"/>
    </row>
    <row r="39" spans="1:43" s="203" customFormat="1" ht="12.75" customHeight="1">
      <c r="A39" s="63"/>
      <c r="B39" s="64"/>
      <c r="C39" s="64"/>
      <c r="D39" s="65"/>
      <c r="E39" s="66"/>
      <c r="F39" s="67"/>
      <c r="G39" s="21"/>
      <c r="H39" s="67"/>
      <c r="I39" s="68"/>
      <c r="J39" s="231"/>
      <c r="K39" s="231"/>
      <c r="L39" s="231"/>
      <c r="M39" s="231"/>
      <c r="N39" s="231"/>
      <c r="O39" s="231"/>
      <c r="P39" s="231"/>
      <c r="Q39" s="231"/>
      <c r="R39" s="231"/>
      <c r="S39" s="231"/>
      <c r="T39" s="231"/>
      <c r="U39" s="231"/>
      <c r="V39" s="231"/>
      <c r="W39" s="231"/>
      <c r="X39" s="231"/>
      <c r="Y39" s="231"/>
      <c r="Z39" s="231"/>
      <c r="AA39" s="231"/>
      <c r="AB39" s="231"/>
      <c r="AC39" s="231"/>
      <c r="AD39" s="231"/>
      <c r="AE39" s="231"/>
      <c r="AF39" s="231"/>
      <c r="AG39" s="231"/>
      <c r="AH39" s="231"/>
      <c r="AI39" s="231"/>
      <c r="AJ39" s="231"/>
      <c r="AK39" s="231"/>
      <c r="AL39" s="231"/>
      <c r="AM39" s="231"/>
      <c r="AN39" s="231"/>
      <c r="AO39" s="231"/>
      <c r="AP39" s="231"/>
      <c r="AQ39" s="231"/>
    </row>
    <row r="40" spans="1:43" s="203" customFormat="1" ht="12.75" customHeight="1">
      <c r="A40" s="893" t="s">
        <v>63</v>
      </c>
      <c r="B40" s="894"/>
      <c r="C40" s="894"/>
      <c r="D40" s="895"/>
      <c r="E40" s="878" t="s">
        <v>376</v>
      </c>
      <c r="F40" s="856" t="s">
        <v>407</v>
      </c>
      <c r="G40" s="36"/>
      <c r="H40" s="878" t="s">
        <v>406</v>
      </c>
      <c r="I40" s="43"/>
      <c r="J40" s="231"/>
      <c r="K40" s="231"/>
      <c r="L40" s="231"/>
      <c r="M40" s="231"/>
      <c r="N40" s="231"/>
      <c r="O40" s="231"/>
      <c r="P40" s="231"/>
      <c r="Q40" s="231"/>
      <c r="R40" s="231"/>
      <c r="S40" s="231"/>
      <c r="T40" s="231"/>
      <c r="U40" s="231"/>
      <c r="V40" s="231"/>
      <c r="W40" s="231"/>
      <c r="X40" s="231"/>
      <c r="Y40" s="231"/>
      <c r="Z40" s="231"/>
      <c r="AA40" s="231"/>
      <c r="AB40" s="231"/>
      <c r="AC40" s="231"/>
      <c r="AD40" s="231"/>
      <c r="AE40" s="231"/>
      <c r="AF40" s="231"/>
      <c r="AG40" s="231"/>
      <c r="AH40" s="231"/>
      <c r="AI40" s="231"/>
      <c r="AJ40" s="231"/>
      <c r="AK40" s="231"/>
      <c r="AL40" s="231"/>
      <c r="AM40" s="231"/>
      <c r="AN40" s="231"/>
      <c r="AO40" s="231"/>
      <c r="AP40" s="231"/>
      <c r="AQ40" s="231"/>
    </row>
    <row r="41" spans="1:43" s="203" customFormat="1" ht="27.75" customHeight="1">
      <c r="A41" s="876"/>
      <c r="B41" s="877"/>
      <c r="C41" s="877"/>
      <c r="D41" s="896"/>
      <c r="E41" s="879"/>
      <c r="F41" s="860"/>
      <c r="G41" s="23"/>
      <c r="H41" s="879"/>
      <c r="I41" s="43"/>
      <c r="J41" s="231"/>
      <c r="K41" s="231"/>
      <c r="L41" s="231"/>
      <c r="M41" s="231"/>
      <c r="N41" s="231"/>
      <c r="O41" s="231"/>
      <c r="P41" s="231"/>
      <c r="Q41" s="231"/>
      <c r="R41" s="231"/>
      <c r="S41" s="231"/>
      <c r="T41" s="231"/>
      <c r="U41" s="231"/>
      <c r="V41" s="231"/>
      <c r="W41" s="231"/>
      <c r="X41" s="231"/>
      <c r="Y41" s="231"/>
      <c r="Z41" s="231"/>
      <c r="AA41" s="231"/>
      <c r="AB41" s="231"/>
      <c r="AC41" s="231"/>
      <c r="AD41" s="231"/>
      <c r="AE41" s="231"/>
      <c r="AF41" s="231"/>
      <c r="AG41" s="231"/>
      <c r="AH41" s="231"/>
      <c r="AI41" s="231"/>
      <c r="AJ41" s="231"/>
      <c r="AK41" s="231"/>
      <c r="AL41" s="231"/>
      <c r="AM41" s="231"/>
      <c r="AN41" s="231"/>
      <c r="AO41" s="231"/>
      <c r="AP41" s="231"/>
      <c r="AQ41" s="231"/>
    </row>
    <row r="42" spans="1:43" s="203" customFormat="1">
      <c r="A42" s="787" t="s">
        <v>64</v>
      </c>
      <c r="B42" s="69" t="s">
        <v>65</v>
      </c>
      <c r="C42" s="69"/>
      <c r="D42" s="70"/>
      <c r="E42" s="71"/>
      <c r="F42" s="72" t="str">
        <f>IF(OR(F43&lt;0,F44&lt;0,F47&lt;0,F48&lt;0,H43&lt;0,H44&lt;0,H47&lt;0,H48&lt;0),"Funding should be recorded as positive figures",".")</f>
        <v>.</v>
      </c>
      <c r="G42" s="45"/>
      <c r="H42" s="73"/>
      <c r="I42" s="43"/>
      <c r="J42" s="231"/>
      <c r="K42" s="231"/>
      <c r="L42" s="231"/>
      <c r="M42" s="231"/>
      <c r="N42" s="231"/>
      <c r="O42" s="231"/>
      <c r="P42" s="231"/>
      <c r="Q42" s="231"/>
      <c r="R42" s="231"/>
      <c r="S42" s="231"/>
      <c r="T42" s="231"/>
      <c r="U42" s="231"/>
      <c r="V42" s="231"/>
      <c r="W42" s="231"/>
      <c r="X42" s="231"/>
      <c r="Y42" s="231"/>
      <c r="Z42" s="231"/>
      <c r="AA42" s="231"/>
      <c r="AB42" s="231"/>
      <c r="AC42" s="231"/>
      <c r="AD42" s="231"/>
      <c r="AE42" s="231"/>
      <c r="AF42" s="231"/>
      <c r="AG42" s="231"/>
      <c r="AH42" s="231"/>
      <c r="AI42" s="231"/>
      <c r="AJ42" s="231"/>
      <c r="AK42" s="231"/>
      <c r="AL42" s="231"/>
      <c r="AM42" s="231"/>
      <c r="AN42" s="231"/>
      <c r="AO42" s="231"/>
      <c r="AP42" s="231"/>
      <c r="AQ42" s="231"/>
    </row>
    <row r="43" spans="1:43" s="203" customFormat="1">
      <c r="A43" s="46">
        <v>1</v>
      </c>
      <c r="B43" s="47" t="s">
        <v>66</v>
      </c>
      <c r="C43" s="47"/>
      <c r="D43" s="48"/>
      <c r="E43" s="74">
        <v>159613</v>
      </c>
      <c r="F43" s="241">
        <v>158918</v>
      </c>
      <c r="G43" s="45"/>
      <c r="H43" s="75">
        <v>158842</v>
      </c>
      <c r="I43" s="43"/>
      <c r="J43" s="231"/>
      <c r="K43" s="231"/>
      <c r="L43" s="231"/>
      <c r="M43" s="231"/>
      <c r="N43" s="231"/>
      <c r="O43" s="231"/>
      <c r="P43" s="231"/>
      <c r="Q43" s="231"/>
      <c r="R43" s="231"/>
      <c r="S43" s="231"/>
      <c r="T43" s="231"/>
      <c r="U43" s="231"/>
      <c r="V43" s="231"/>
      <c r="W43" s="231"/>
      <c r="X43" s="231"/>
      <c r="Y43" s="231"/>
      <c r="Z43" s="231"/>
      <c r="AA43" s="231"/>
      <c r="AB43" s="231"/>
      <c r="AC43" s="231"/>
      <c r="AD43" s="231"/>
      <c r="AE43" s="231"/>
      <c r="AF43" s="231"/>
      <c r="AG43" s="231"/>
      <c r="AH43" s="231"/>
      <c r="AI43" s="231"/>
      <c r="AJ43" s="231"/>
      <c r="AK43" s="231"/>
      <c r="AL43" s="231"/>
      <c r="AM43" s="231"/>
      <c r="AN43" s="231"/>
      <c r="AO43" s="231"/>
      <c r="AP43" s="231"/>
      <c r="AQ43" s="231"/>
    </row>
    <row r="44" spans="1:43" s="203" customFormat="1">
      <c r="A44" s="46">
        <v>2</v>
      </c>
      <c r="B44" s="47" t="s">
        <v>67</v>
      </c>
      <c r="C44" s="47"/>
      <c r="D44" s="48"/>
      <c r="E44" s="49">
        <v>38299</v>
      </c>
      <c r="F44" s="241">
        <v>38299</v>
      </c>
      <c r="G44" s="45"/>
      <c r="H44" s="75">
        <v>42462</v>
      </c>
      <c r="I44" s="43"/>
      <c r="J44" s="231"/>
      <c r="K44" s="231"/>
      <c r="L44" s="231"/>
      <c r="M44" s="231"/>
      <c r="N44" s="231"/>
      <c r="O44" s="231"/>
      <c r="P44" s="231"/>
      <c r="Q44" s="231"/>
      <c r="R44" s="231"/>
      <c r="S44" s="231"/>
      <c r="T44" s="231"/>
      <c r="U44" s="231"/>
      <c r="V44" s="231"/>
      <c r="W44" s="231"/>
      <c r="X44" s="231"/>
      <c r="Y44" s="231"/>
      <c r="Z44" s="231"/>
      <c r="AA44" s="231"/>
      <c r="AB44" s="231"/>
      <c r="AC44" s="231"/>
      <c r="AD44" s="231"/>
      <c r="AE44" s="231"/>
      <c r="AF44" s="231"/>
      <c r="AG44" s="231"/>
      <c r="AH44" s="231"/>
      <c r="AI44" s="231"/>
      <c r="AJ44" s="231"/>
      <c r="AK44" s="231"/>
      <c r="AL44" s="231"/>
      <c r="AM44" s="231"/>
      <c r="AN44" s="231"/>
      <c r="AO44" s="231"/>
      <c r="AP44" s="231"/>
      <c r="AQ44" s="231"/>
    </row>
    <row r="45" spans="1:43" s="203" customFormat="1">
      <c r="A45" s="46">
        <v>3</v>
      </c>
      <c r="B45" s="47" t="s">
        <v>68</v>
      </c>
      <c r="C45" s="47"/>
      <c r="D45" s="48"/>
      <c r="E45" s="49">
        <v>0</v>
      </c>
      <c r="F45" s="52"/>
      <c r="G45" s="45"/>
      <c r="H45" s="75"/>
      <c r="I45" s="43"/>
      <c r="J45" s="231"/>
      <c r="K45" s="231"/>
      <c r="L45" s="231"/>
      <c r="M45" s="231"/>
      <c r="N45" s="231"/>
      <c r="O45" s="231"/>
      <c r="P45" s="231"/>
      <c r="Q45" s="231"/>
      <c r="R45" s="231"/>
      <c r="S45" s="231"/>
      <c r="T45" s="231"/>
      <c r="U45" s="231"/>
      <c r="V45" s="231"/>
      <c r="W45" s="231"/>
      <c r="X45" s="231"/>
      <c r="Y45" s="231"/>
      <c r="Z45" s="231"/>
      <c r="AA45" s="231"/>
      <c r="AB45" s="231"/>
      <c r="AC45" s="231"/>
      <c r="AD45" s="231"/>
      <c r="AE45" s="231"/>
      <c r="AF45" s="231"/>
      <c r="AG45" s="231"/>
      <c r="AH45" s="231"/>
      <c r="AI45" s="231"/>
      <c r="AJ45" s="231"/>
      <c r="AK45" s="231"/>
      <c r="AL45" s="231"/>
      <c r="AM45" s="231"/>
      <c r="AN45" s="231"/>
      <c r="AO45" s="231"/>
      <c r="AP45" s="231"/>
      <c r="AQ45" s="231"/>
    </row>
    <row r="46" spans="1:43" s="203" customFormat="1">
      <c r="A46" s="46">
        <v>4</v>
      </c>
      <c r="B46" s="47" t="s">
        <v>70</v>
      </c>
      <c r="C46" s="47"/>
      <c r="D46" s="48"/>
      <c r="E46" s="49">
        <v>0</v>
      </c>
      <c r="F46" s="52"/>
      <c r="G46" s="45"/>
      <c r="H46" s="75"/>
      <c r="I46" s="43"/>
      <c r="J46" s="231"/>
      <c r="K46" s="231"/>
      <c r="L46" s="231"/>
      <c r="M46" s="231"/>
      <c r="N46" s="231"/>
      <c r="O46" s="231"/>
      <c r="P46" s="231"/>
      <c r="Q46" s="231"/>
      <c r="R46" s="231"/>
      <c r="S46" s="231"/>
      <c r="T46" s="231"/>
      <c r="U46" s="231"/>
      <c r="V46" s="231"/>
      <c r="W46" s="231"/>
      <c r="X46" s="231"/>
      <c r="Y46" s="231"/>
      <c r="Z46" s="231"/>
      <c r="AA46" s="231"/>
      <c r="AB46" s="231"/>
      <c r="AC46" s="231"/>
      <c r="AD46" s="231"/>
      <c r="AE46" s="231"/>
      <c r="AF46" s="231"/>
      <c r="AG46" s="231"/>
      <c r="AH46" s="231"/>
      <c r="AI46" s="231"/>
      <c r="AJ46" s="231"/>
      <c r="AK46" s="231"/>
      <c r="AL46" s="231"/>
      <c r="AM46" s="231"/>
      <c r="AN46" s="231"/>
      <c r="AO46" s="231"/>
      <c r="AP46" s="231"/>
      <c r="AQ46" s="231"/>
    </row>
    <row r="47" spans="1:43" s="203" customFormat="1">
      <c r="A47" s="46">
        <v>5</v>
      </c>
      <c r="B47" s="47" t="s">
        <v>69</v>
      </c>
      <c r="C47" s="47"/>
      <c r="D47" s="48"/>
      <c r="E47" s="49">
        <v>5751</v>
      </c>
      <c r="F47" s="52">
        <v>5047</v>
      </c>
      <c r="G47" s="45"/>
      <c r="H47" s="76">
        <v>9221</v>
      </c>
      <c r="I47" s="43"/>
      <c r="J47" s="231"/>
      <c r="K47" s="231"/>
      <c r="L47" s="231"/>
      <c r="M47" s="231"/>
      <c r="N47" s="231"/>
      <c r="O47" s="231"/>
      <c r="P47" s="231"/>
      <c r="Q47" s="231"/>
      <c r="R47" s="231"/>
      <c r="S47" s="231"/>
      <c r="T47" s="231"/>
      <c r="U47" s="231"/>
      <c r="V47" s="231"/>
      <c r="W47" s="231"/>
      <c r="X47" s="231"/>
      <c r="Y47" s="231"/>
      <c r="Z47" s="231"/>
      <c r="AA47" s="231"/>
      <c r="AB47" s="231"/>
      <c r="AC47" s="231"/>
      <c r="AD47" s="231"/>
      <c r="AE47" s="231"/>
      <c r="AF47" s="231"/>
      <c r="AG47" s="231"/>
      <c r="AH47" s="231"/>
      <c r="AI47" s="231"/>
      <c r="AJ47" s="231"/>
      <c r="AK47" s="231"/>
      <c r="AL47" s="231"/>
      <c r="AM47" s="231"/>
      <c r="AN47" s="231"/>
      <c r="AO47" s="231"/>
      <c r="AP47" s="231"/>
      <c r="AQ47" s="231"/>
    </row>
    <row r="48" spans="1:43" s="203" customFormat="1">
      <c r="A48" s="46">
        <v>6</v>
      </c>
      <c r="B48" s="90" t="s">
        <v>253</v>
      </c>
      <c r="C48" s="47"/>
      <c r="D48" s="195"/>
      <c r="E48" s="49">
        <v>53765</v>
      </c>
      <c r="F48" s="52">
        <v>54157</v>
      </c>
      <c r="G48" s="45"/>
      <c r="H48" s="52">
        <v>57025</v>
      </c>
      <c r="I48" s="43"/>
      <c r="J48" s="231"/>
      <c r="K48" s="231"/>
      <c r="L48" s="231"/>
      <c r="M48" s="231"/>
      <c r="N48" s="231"/>
      <c r="O48" s="231"/>
      <c r="P48" s="231"/>
      <c r="Q48" s="231"/>
      <c r="R48" s="231"/>
      <c r="S48" s="231"/>
      <c r="T48" s="231"/>
      <c r="U48" s="231"/>
      <c r="V48" s="231"/>
      <c r="W48" s="231"/>
      <c r="X48" s="231"/>
      <c r="Y48" s="231"/>
      <c r="Z48" s="231"/>
      <c r="AA48" s="231"/>
      <c r="AB48" s="231"/>
      <c r="AC48" s="231"/>
      <c r="AD48" s="231"/>
      <c r="AE48" s="231"/>
      <c r="AF48" s="231"/>
      <c r="AG48" s="231"/>
      <c r="AH48" s="231"/>
      <c r="AI48" s="231"/>
      <c r="AJ48" s="231"/>
      <c r="AK48" s="231"/>
      <c r="AL48" s="231"/>
      <c r="AM48" s="231"/>
      <c r="AN48" s="231"/>
      <c r="AO48" s="231"/>
      <c r="AP48" s="231"/>
      <c r="AQ48" s="231"/>
    </row>
    <row r="49" spans="1:43" s="203" customFormat="1">
      <c r="A49" s="77">
        <v>7</v>
      </c>
      <c r="B49" s="78" t="s">
        <v>71</v>
      </c>
      <c r="C49" s="58"/>
      <c r="D49" s="79"/>
      <c r="E49" s="80">
        <v>257428</v>
      </c>
      <c r="F49" s="81">
        <f>SUM(F43:F48)</f>
        <v>256421</v>
      </c>
      <c r="G49" s="82"/>
      <c r="H49" s="62">
        <f>SUM(H43:H48)</f>
        <v>267550</v>
      </c>
      <c r="I49" s="242"/>
      <c r="J49" s="231"/>
      <c r="K49" s="231"/>
      <c r="L49" s="231"/>
      <c r="M49" s="231"/>
      <c r="N49" s="231"/>
      <c r="O49" s="231"/>
      <c r="P49" s="231"/>
      <c r="Q49" s="231"/>
      <c r="R49" s="231"/>
      <c r="S49" s="231"/>
      <c r="T49" s="231"/>
      <c r="U49" s="231"/>
      <c r="V49" s="231"/>
      <c r="W49" s="231"/>
      <c r="X49" s="231"/>
      <c r="Y49" s="231"/>
      <c r="Z49" s="231"/>
      <c r="AA49" s="231"/>
      <c r="AB49" s="231"/>
      <c r="AC49" s="231"/>
      <c r="AD49" s="231"/>
      <c r="AE49" s="231"/>
      <c r="AF49" s="231"/>
      <c r="AG49" s="231"/>
      <c r="AH49" s="231"/>
      <c r="AI49" s="231"/>
      <c r="AJ49" s="231"/>
      <c r="AK49" s="231"/>
      <c r="AL49" s="231"/>
      <c r="AM49" s="231"/>
      <c r="AN49" s="231"/>
      <c r="AO49" s="231"/>
      <c r="AP49" s="231"/>
      <c r="AQ49" s="231"/>
    </row>
    <row r="50" spans="1:43" s="203" customFormat="1">
      <c r="A50" s="83"/>
      <c r="B50" s="244"/>
      <c r="C50" s="244"/>
      <c r="D50" s="244"/>
      <c r="E50" s="85"/>
      <c r="F50" s="244"/>
      <c r="G50" s="86"/>
      <c r="H50" s="86"/>
      <c r="I50" s="21"/>
      <c r="J50" s="231"/>
      <c r="K50" s="231"/>
      <c r="L50" s="231"/>
      <c r="M50" s="231"/>
      <c r="N50" s="231"/>
      <c r="O50" s="231"/>
      <c r="P50" s="231"/>
      <c r="Q50" s="231"/>
      <c r="R50" s="231"/>
      <c r="S50" s="231"/>
      <c r="T50" s="231"/>
      <c r="U50" s="231"/>
      <c r="V50" s="231"/>
      <c r="W50" s="231"/>
      <c r="X50" s="231"/>
      <c r="Y50" s="231"/>
      <c r="Z50" s="231"/>
      <c r="AA50" s="231"/>
      <c r="AB50" s="231"/>
      <c r="AC50" s="231"/>
      <c r="AD50" s="231"/>
      <c r="AE50" s="231"/>
      <c r="AF50" s="231"/>
      <c r="AG50" s="231"/>
      <c r="AH50" s="231"/>
      <c r="AI50" s="231"/>
      <c r="AJ50" s="231"/>
      <c r="AK50" s="231"/>
      <c r="AL50" s="231"/>
      <c r="AM50" s="231"/>
      <c r="AN50" s="231"/>
      <c r="AO50" s="231"/>
      <c r="AP50" s="231"/>
      <c r="AQ50" s="231"/>
    </row>
    <row r="51" spans="1:43" s="203" customFormat="1">
      <c r="A51" s="787" t="s">
        <v>72</v>
      </c>
      <c r="B51" s="196" t="s">
        <v>254</v>
      </c>
      <c r="C51" s="69"/>
      <c r="D51" s="70"/>
      <c r="E51" s="87"/>
      <c r="F51" s="88"/>
      <c r="G51" s="45"/>
      <c r="H51" s="89"/>
      <c r="I51" s="43"/>
      <c r="J51" s="231"/>
      <c r="K51" s="231"/>
      <c r="L51" s="231"/>
      <c r="M51" s="231"/>
      <c r="N51" s="231"/>
      <c r="O51" s="231"/>
      <c r="P51" s="231"/>
      <c r="Q51" s="231"/>
      <c r="R51" s="231"/>
      <c r="S51" s="231"/>
      <c r="T51" s="231"/>
      <c r="U51" s="231"/>
      <c r="V51" s="231"/>
      <c r="W51" s="231"/>
      <c r="X51" s="231"/>
      <c r="Y51" s="231"/>
      <c r="Z51" s="231"/>
      <c r="AA51" s="231"/>
      <c r="AB51" s="231"/>
      <c r="AC51" s="231"/>
      <c r="AD51" s="231"/>
      <c r="AE51" s="231"/>
      <c r="AF51" s="231"/>
      <c r="AG51" s="231"/>
      <c r="AH51" s="231"/>
      <c r="AI51" s="231"/>
      <c r="AJ51" s="231"/>
      <c r="AK51" s="231"/>
      <c r="AL51" s="231"/>
      <c r="AM51" s="231"/>
      <c r="AN51" s="231"/>
      <c r="AO51" s="231"/>
      <c r="AP51" s="231"/>
      <c r="AQ51" s="231"/>
    </row>
    <row r="52" spans="1:43" s="203" customFormat="1">
      <c r="A52" s="46">
        <v>8</v>
      </c>
      <c r="B52" s="90" t="s">
        <v>73</v>
      </c>
      <c r="C52" s="47"/>
      <c r="D52" s="48"/>
      <c r="E52" s="74">
        <v>262958</v>
      </c>
      <c r="F52" s="50">
        <f>F38</f>
        <v>263409</v>
      </c>
      <c r="G52" s="45"/>
      <c r="H52" s="91">
        <f>H38</f>
        <v>273534</v>
      </c>
      <c r="I52" s="43"/>
      <c r="J52" s="231"/>
      <c r="K52" s="231"/>
      <c r="L52" s="231"/>
      <c r="M52" s="231"/>
      <c r="N52" s="231"/>
      <c r="O52" s="231"/>
      <c r="P52" s="231"/>
      <c r="Q52" s="231"/>
      <c r="R52" s="231"/>
      <c r="S52" s="231"/>
      <c r="T52" s="231"/>
      <c r="U52" s="231"/>
      <c r="V52" s="231"/>
      <c r="W52" s="231"/>
      <c r="X52" s="231"/>
      <c r="Y52" s="231"/>
      <c r="Z52" s="231"/>
      <c r="AA52" s="231"/>
      <c r="AB52" s="231"/>
      <c r="AC52" s="231"/>
      <c r="AD52" s="231"/>
      <c r="AE52" s="231"/>
      <c r="AF52" s="231"/>
      <c r="AG52" s="231"/>
      <c r="AH52" s="231"/>
      <c r="AI52" s="231"/>
      <c r="AJ52" s="231"/>
      <c r="AK52" s="231"/>
      <c r="AL52" s="231"/>
      <c r="AM52" s="231"/>
      <c r="AN52" s="231"/>
      <c r="AO52" s="231"/>
      <c r="AP52" s="231"/>
      <c r="AQ52" s="231"/>
    </row>
    <row r="53" spans="1:43" s="203" customFormat="1">
      <c r="A53" s="46">
        <v>9</v>
      </c>
      <c r="B53" s="90" t="s">
        <v>74</v>
      </c>
      <c r="C53" s="47"/>
      <c r="D53" s="48"/>
      <c r="E53" s="49">
        <v>257428</v>
      </c>
      <c r="F53" s="92">
        <f>F49</f>
        <v>256421</v>
      </c>
      <c r="G53" s="45"/>
      <c r="H53" s="91">
        <f>H49</f>
        <v>267550</v>
      </c>
      <c r="I53" s="43"/>
      <c r="J53" s="231"/>
      <c r="K53" s="231"/>
      <c r="L53" s="231"/>
      <c r="M53" s="231"/>
      <c r="N53" s="231"/>
      <c r="O53" s="231"/>
      <c r="P53" s="231"/>
      <c r="Q53" s="231"/>
      <c r="R53" s="231"/>
      <c r="S53" s="231"/>
      <c r="T53" s="231"/>
      <c r="U53" s="231"/>
      <c r="V53" s="231"/>
      <c r="W53" s="231"/>
      <c r="X53" s="231"/>
      <c r="Y53" s="231"/>
      <c r="Z53" s="231"/>
      <c r="AA53" s="231"/>
      <c r="AB53" s="231"/>
      <c r="AC53" s="231"/>
      <c r="AD53" s="231"/>
      <c r="AE53" s="231"/>
      <c r="AF53" s="231"/>
      <c r="AG53" s="231"/>
      <c r="AH53" s="231"/>
      <c r="AI53" s="231"/>
      <c r="AJ53" s="231"/>
      <c r="AK53" s="231"/>
      <c r="AL53" s="231"/>
      <c r="AM53" s="231"/>
      <c r="AN53" s="231"/>
      <c r="AO53" s="231"/>
      <c r="AP53" s="231"/>
      <c r="AQ53" s="231"/>
    </row>
    <row r="54" spans="1:43" s="203" customFormat="1">
      <c r="A54" s="789">
        <v>10</v>
      </c>
      <c r="B54" s="93" t="s">
        <v>255</v>
      </c>
      <c r="C54" s="94"/>
      <c r="D54" s="55"/>
      <c r="E54" s="95">
        <v>-5530</v>
      </c>
      <c r="F54" s="96">
        <f>F53-F52</f>
        <v>-6988</v>
      </c>
      <c r="G54" s="45"/>
      <c r="H54" s="97">
        <f>H53-H52</f>
        <v>-5984</v>
      </c>
      <c r="I54" s="43"/>
      <c r="J54" s="231"/>
      <c r="K54" s="231"/>
      <c r="L54" s="231"/>
      <c r="M54" s="231"/>
      <c r="N54" s="231"/>
      <c r="O54" s="231"/>
      <c r="P54" s="231"/>
      <c r="Q54" s="231"/>
      <c r="R54" s="231"/>
      <c r="S54" s="231"/>
      <c r="T54" s="231"/>
      <c r="U54" s="231"/>
      <c r="V54" s="231"/>
      <c r="W54" s="231"/>
      <c r="X54" s="231"/>
      <c r="Y54" s="231"/>
      <c r="Z54" s="231"/>
      <c r="AA54" s="231"/>
      <c r="AB54" s="231"/>
      <c r="AC54" s="231"/>
      <c r="AD54" s="231"/>
      <c r="AE54" s="231"/>
      <c r="AF54" s="231"/>
      <c r="AG54" s="231"/>
      <c r="AH54" s="231"/>
      <c r="AI54" s="231"/>
      <c r="AJ54" s="231"/>
      <c r="AK54" s="231"/>
      <c r="AL54" s="231"/>
      <c r="AM54" s="231"/>
      <c r="AN54" s="231"/>
      <c r="AO54" s="231"/>
      <c r="AP54" s="231"/>
      <c r="AQ54" s="231"/>
    </row>
    <row r="55" spans="1:43" s="203" customFormat="1">
      <c r="A55" s="83"/>
      <c r="B55" s="244"/>
      <c r="C55" s="244"/>
      <c r="D55" s="244"/>
      <c r="E55" s="85"/>
      <c r="F55" s="244"/>
      <c r="G55" s="86"/>
      <c r="H55" s="86"/>
      <c r="I55" s="21"/>
      <c r="J55" s="231"/>
      <c r="K55" s="231"/>
      <c r="L55" s="231"/>
      <c r="M55" s="231"/>
      <c r="N55" s="231"/>
      <c r="O55" s="231"/>
      <c r="P55" s="231"/>
      <c r="Q55" s="231"/>
      <c r="R55" s="231"/>
      <c r="S55" s="231"/>
      <c r="T55" s="231"/>
      <c r="U55" s="231"/>
      <c r="V55" s="231"/>
      <c r="W55" s="231"/>
      <c r="X55" s="231"/>
      <c r="Y55" s="231"/>
      <c r="Z55" s="231"/>
      <c r="AA55" s="231"/>
      <c r="AB55" s="231"/>
      <c r="AC55" s="231"/>
      <c r="AD55" s="231"/>
      <c r="AE55" s="231"/>
      <c r="AF55" s="231"/>
      <c r="AG55" s="231"/>
      <c r="AH55" s="231"/>
      <c r="AI55" s="231"/>
      <c r="AJ55" s="231"/>
      <c r="AK55" s="231"/>
      <c r="AL55" s="231"/>
      <c r="AM55" s="231"/>
      <c r="AN55" s="231"/>
      <c r="AO55" s="231"/>
      <c r="AP55" s="231"/>
      <c r="AQ55" s="231"/>
    </row>
    <row r="56" spans="1:43" s="203" customFormat="1">
      <c r="A56" s="787" t="s">
        <v>75</v>
      </c>
      <c r="B56" s="69" t="s">
        <v>256</v>
      </c>
      <c r="C56" s="69"/>
      <c r="D56" s="70"/>
      <c r="E56" s="87"/>
      <c r="F56" s="88"/>
      <c r="G56" s="45"/>
      <c r="H56" s="89"/>
      <c r="I56" s="43"/>
      <c r="J56" s="231"/>
      <c r="K56" s="231"/>
      <c r="L56" s="231"/>
      <c r="M56" s="231"/>
      <c r="N56" s="231"/>
      <c r="O56" s="231"/>
      <c r="P56" s="231"/>
      <c r="Q56" s="231"/>
      <c r="R56" s="231"/>
      <c r="S56" s="231"/>
      <c r="T56" s="231"/>
      <c r="U56" s="231"/>
      <c r="V56" s="231"/>
      <c r="W56" s="231"/>
      <c r="X56" s="231"/>
      <c r="Y56" s="231"/>
      <c r="Z56" s="231"/>
      <c r="AA56" s="231"/>
      <c r="AB56" s="231"/>
      <c r="AC56" s="231"/>
      <c r="AD56" s="231"/>
      <c r="AE56" s="231"/>
      <c r="AF56" s="231"/>
      <c r="AG56" s="231"/>
      <c r="AH56" s="231"/>
      <c r="AI56" s="231"/>
      <c r="AJ56" s="231"/>
      <c r="AK56" s="231"/>
      <c r="AL56" s="231"/>
      <c r="AM56" s="231"/>
      <c r="AN56" s="231"/>
      <c r="AO56" s="231"/>
      <c r="AP56" s="231"/>
      <c r="AQ56" s="231"/>
    </row>
    <row r="57" spans="1:43" s="203" customFormat="1">
      <c r="A57" s="46">
        <v>11</v>
      </c>
      <c r="B57" s="47" t="s">
        <v>76</v>
      </c>
      <c r="C57" s="47"/>
      <c r="D57" s="48"/>
      <c r="E57" s="74">
        <v>25989</v>
      </c>
      <c r="F57" s="52">
        <v>27774</v>
      </c>
      <c r="G57" s="45"/>
      <c r="H57" s="91">
        <f>F61</f>
        <v>20786</v>
      </c>
      <c r="I57" s="43"/>
      <c r="J57" s="231"/>
      <c r="K57" s="231"/>
      <c r="L57" s="231"/>
      <c r="M57" s="231"/>
      <c r="N57" s="231"/>
      <c r="O57" s="231"/>
      <c r="P57" s="231"/>
      <c r="Q57" s="231"/>
      <c r="R57" s="231"/>
      <c r="S57" s="231"/>
      <c r="T57" s="231"/>
      <c r="U57" s="231"/>
      <c r="V57" s="231"/>
      <c r="W57" s="231"/>
      <c r="X57" s="231"/>
      <c r="Y57" s="231"/>
      <c r="Z57" s="231"/>
      <c r="AA57" s="231"/>
      <c r="AB57" s="231"/>
      <c r="AC57" s="231"/>
      <c r="AD57" s="231"/>
      <c r="AE57" s="231"/>
      <c r="AF57" s="231"/>
      <c r="AG57" s="231"/>
      <c r="AH57" s="231"/>
      <c r="AI57" s="231"/>
      <c r="AJ57" s="231"/>
      <c r="AK57" s="231"/>
      <c r="AL57" s="231"/>
      <c r="AM57" s="231"/>
      <c r="AN57" s="231"/>
      <c r="AO57" s="231"/>
      <c r="AP57" s="231"/>
      <c r="AQ57" s="231"/>
    </row>
    <row r="58" spans="1:43" s="203" customFormat="1">
      <c r="A58" s="46">
        <v>12</v>
      </c>
      <c r="B58" s="90" t="s">
        <v>257</v>
      </c>
      <c r="C58" s="47"/>
      <c r="D58" s="48"/>
      <c r="E58" s="49">
        <v>-5530</v>
      </c>
      <c r="F58" s="92">
        <f>F54</f>
        <v>-6988</v>
      </c>
      <c r="G58" s="45"/>
      <c r="H58" s="98">
        <f>H54</f>
        <v>-5984</v>
      </c>
      <c r="I58" s="43"/>
      <c r="J58" s="231"/>
      <c r="K58" s="231"/>
      <c r="L58" s="231"/>
      <c r="M58" s="231"/>
      <c r="N58" s="231"/>
      <c r="O58" s="231"/>
      <c r="P58" s="231"/>
      <c r="Q58" s="231"/>
      <c r="R58" s="231"/>
      <c r="S58" s="231"/>
      <c r="T58" s="231"/>
      <c r="U58" s="231"/>
      <c r="V58" s="231"/>
      <c r="W58" s="231"/>
      <c r="X58" s="231"/>
      <c r="Y58" s="231"/>
      <c r="Z58" s="231"/>
      <c r="AA58" s="231"/>
      <c r="AB58" s="231"/>
      <c r="AC58" s="231"/>
      <c r="AD58" s="231"/>
      <c r="AE58" s="231"/>
      <c r="AF58" s="231"/>
      <c r="AG58" s="231"/>
      <c r="AH58" s="231"/>
      <c r="AI58" s="231"/>
      <c r="AJ58" s="231"/>
      <c r="AK58" s="231"/>
      <c r="AL58" s="231"/>
      <c r="AM58" s="231"/>
      <c r="AN58" s="231"/>
      <c r="AO58" s="231"/>
      <c r="AP58" s="231"/>
      <c r="AQ58" s="231"/>
    </row>
    <row r="59" spans="1:43" s="203" customFormat="1">
      <c r="A59" s="46">
        <v>13</v>
      </c>
      <c r="B59" s="47" t="s">
        <v>77</v>
      </c>
      <c r="C59" s="47"/>
      <c r="D59" s="48"/>
      <c r="E59" s="49">
        <v>0</v>
      </c>
      <c r="F59" s="52"/>
      <c r="G59" s="45"/>
      <c r="H59" s="99"/>
      <c r="I59" s="43"/>
      <c r="J59" s="231"/>
      <c r="K59" s="231"/>
      <c r="L59" s="231"/>
      <c r="M59" s="231"/>
      <c r="N59" s="231"/>
      <c r="O59" s="231"/>
      <c r="P59" s="231"/>
      <c r="Q59" s="231"/>
      <c r="R59" s="231"/>
      <c r="S59" s="231"/>
      <c r="T59" s="231"/>
      <c r="U59" s="231"/>
      <c r="V59" s="231"/>
      <c r="W59" s="231"/>
      <c r="X59" s="231"/>
      <c r="Y59" s="231"/>
      <c r="Z59" s="231"/>
      <c r="AA59" s="231"/>
      <c r="AB59" s="231"/>
      <c r="AC59" s="231"/>
      <c r="AD59" s="231"/>
      <c r="AE59" s="231"/>
      <c r="AF59" s="231"/>
      <c r="AG59" s="231"/>
      <c r="AH59" s="231"/>
      <c r="AI59" s="231"/>
      <c r="AJ59" s="231"/>
      <c r="AK59" s="231"/>
      <c r="AL59" s="231"/>
      <c r="AM59" s="231"/>
      <c r="AN59" s="231"/>
      <c r="AO59" s="231"/>
      <c r="AP59" s="231"/>
      <c r="AQ59" s="231"/>
    </row>
    <row r="60" spans="1:43" s="203" customFormat="1">
      <c r="A60" s="46">
        <v>14</v>
      </c>
      <c r="B60" s="47" t="s">
        <v>78</v>
      </c>
      <c r="C60" s="47"/>
      <c r="D60" s="48"/>
      <c r="E60" s="49">
        <v>0</v>
      </c>
      <c r="F60" s="52"/>
      <c r="G60" s="45"/>
      <c r="H60" s="100"/>
      <c r="I60" s="43"/>
      <c r="J60" s="231"/>
      <c r="K60" s="231"/>
      <c r="L60" s="231"/>
      <c r="M60" s="231"/>
      <c r="N60" s="231"/>
      <c r="O60" s="231"/>
      <c r="P60" s="231"/>
      <c r="Q60" s="231"/>
      <c r="R60" s="231"/>
      <c r="S60" s="231"/>
      <c r="T60" s="231"/>
      <c r="U60" s="231"/>
      <c r="V60" s="231"/>
      <c r="W60" s="231"/>
      <c r="X60" s="231"/>
      <c r="Y60" s="231"/>
      <c r="Z60" s="231"/>
      <c r="AA60" s="231"/>
      <c r="AB60" s="231"/>
      <c r="AC60" s="231"/>
      <c r="AD60" s="231"/>
      <c r="AE60" s="231"/>
      <c r="AF60" s="231"/>
      <c r="AG60" s="231"/>
      <c r="AH60" s="231"/>
      <c r="AI60" s="231"/>
      <c r="AJ60" s="231"/>
      <c r="AK60" s="231"/>
      <c r="AL60" s="231"/>
      <c r="AM60" s="231"/>
      <c r="AN60" s="231"/>
      <c r="AO60" s="231"/>
      <c r="AP60" s="231"/>
      <c r="AQ60" s="231"/>
    </row>
    <row r="61" spans="1:43" s="203" customFormat="1">
      <c r="A61" s="53">
        <v>15</v>
      </c>
      <c r="B61" s="54" t="s">
        <v>79</v>
      </c>
      <c r="C61" s="54"/>
      <c r="D61" s="55"/>
      <c r="E61" s="56">
        <v>20459</v>
      </c>
      <c r="F61" s="96">
        <f>F57+F58+F59+F60</f>
        <v>20786</v>
      </c>
      <c r="G61" s="45"/>
      <c r="H61" s="101">
        <f>H57+H58+H59+H60</f>
        <v>14802</v>
      </c>
      <c r="I61" s="43"/>
      <c r="J61" s="231"/>
      <c r="K61" s="231"/>
      <c r="L61" s="231"/>
      <c r="M61" s="231"/>
      <c r="N61" s="231"/>
      <c r="O61" s="231"/>
      <c r="P61" s="231"/>
      <c r="Q61" s="231"/>
      <c r="R61" s="231"/>
      <c r="S61" s="231"/>
      <c r="T61" s="231"/>
      <c r="U61" s="231"/>
      <c r="V61" s="231"/>
      <c r="W61" s="231"/>
      <c r="X61" s="231"/>
      <c r="Y61" s="231"/>
      <c r="Z61" s="231"/>
      <c r="AA61" s="231"/>
      <c r="AB61" s="231"/>
      <c r="AC61" s="231"/>
      <c r="AD61" s="231"/>
      <c r="AE61" s="231"/>
      <c r="AF61" s="231"/>
      <c r="AG61" s="231"/>
      <c r="AH61" s="231"/>
      <c r="AI61" s="231"/>
      <c r="AJ61" s="231"/>
      <c r="AK61" s="231"/>
      <c r="AL61" s="231"/>
      <c r="AM61" s="231"/>
      <c r="AN61" s="231"/>
      <c r="AO61" s="231"/>
      <c r="AP61" s="231"/>
      <c r="AQ61" s="231"/>
    </row>
    <row r="62" spans="1:43" s="203" customFormat="1">
      <c r="A62" s="102"/>
      <c r="B62" s="207"/>
      <c r="C62" s="207"/>
      <c r="D62" s="207"/>
      <c r="E62" s="103"/>
      <c r="F62" s="21"/>
      <c r="G62" s="21"/>
      <c r="H62" s="21"/>
      <c r="I62" s="21"/>
      <c r="J62" s="231"/>
      <c r="K62" s="231"/>
      <c r="L62" s="231"/>
      <c r="M62" s="231"/>
      <c r="N62" s="231"/>
      <c r="O62" s="231"/>
      <c r="P62" s="231"/>
      <c r="Q62" s="231"/>
      <c r="R62" s="231"/>
      <c r="S62" s="231"/>
      <c r="T62" s="231"/>
      <c r="U62" s="231"/>
      <c r="V62" s="231"/>
      <c r="W62" s="231"/>
      <c r="X62" s="231"/>
      <c r="Y62" s="231"/>
      <c r="Z62" s="231"/>
      <c r="AA62" s="231"/>
      <c r="AB62" s="231"/>
      <c r="AC62" s="231"/>
      <c r="AD62" s="231"/>
      <c r="AE62" s="231"/>
      <c r="AF62" s="231"/>
      <c r="AG62" s="231"/>
      <c r="AH62" s="231"/>
      <c r="AI62" s="231"/>
      <c r="AJ62" s="231"/>
      <c r="AK62" s="231"/>
      <c r="AL62" s="231"/>
      <c r="AM62" s="231"/>
      <c r="AN62" s="231"/>
      <c r="AO62" s="231"/>
      <c r="AP62" s="231"/>
      <c r="AQ62" s="231"/>
    </row>
    <row r="63" spans="1:43" s="203" customFormat="1" ht="12.75" customHeight="1">
      <c r="A63" s="23"/>
      <c r="B63" s="207"/>
      <c r="C63" s="207"/>
      <c r="D63" s="207"/>
      <c r="E63" s="15"/>
      <c r="F63" s="207"/>
      <c r="G63" s="207"/>
      <c r="H63" s="21"/>
      <c r="I63" s="21"/>
      <c r="J63" s="231"/>
      <c r="K63" s="231"/>
      <c r="L63" s="231"/>
      <c r="M63" s="231"/>
      <c r="N63" s="231"/>
      <c r="O63" s="231"/>
      <c r="P63" s="231"/>
      <c r="Q63" s="231"/>
      <c r="R63" s="231"/>
      <c r="S63" s="231"/>
      <c r="T63" s="231"/>
      <c r="U63" s="231"/>
      <c r="V63" s="231"/>
      <c r="W63" s="231"/>
      <c r="X63" s="231"/>
      <c r="Y63" s="231"/>
      <c r="Z63" s="231"/>
      <c r="AA63" s="231"/>
      <c r="AB63" s="231"/>
      <c r="AC63" s="231"/>
      <c r="AD63" s="231"/>
      <c r="AE63" s="231"/>
      <c r="AF63" s="231"/>
      <c r="AG63" s="231"/>
      <c r="AH63" s="231"/>
      <c r="AI63" s="231"/>
      <c r="AJ63" s="231"/>
      <c r="AK63" s="231"/>
      <c r="AL63" s="231"/>
      <c r="AM63" s="231"/>
      <c r="AN63" s="231"/>
      <c r="AO63" s="231"/>
      <c r="AP63" s="231"/>
      <c r="AQ63" s="231"/>
    </row>
    <row r="64" spans="1:43" s="203" customFormat="1" ht="15">
      <c r="A64" s="104" t="s">
        <v>80</v>
      </c>
      <c r="B64" s="29"/>
      <c r="C64" s="29"/>
      <c r="D64" s="29"/>
      <c r="E64" s="15"/>
      <c r="F64" s="29"/>
      <c r="G64" s="29"/>
      <c r="H64" s="29"/>
      <c r="I64" s="29"/>
      <c r="J64" s="231"/>
      <c r="K64" s="231"/>
      <c r="L64" s="231"/>
      <c r="M64" s="231"/>
      <c r="N64" s="231"/>
      <c r="O64" s="231"/>
      <c r="P64" s="231"/>
      <c r="Q64" s="231"/>
      <c r="R64" s="231"/>
      <c r="S64" s="231"/>
      <c r="T64" s="231"/>
      <c r="U64" s="231"/>
      <c r="V64" s="231"/>
      <c r="W64" s="231"/>
      <c r="X64" s="231"/>
      <c r="Y64" s="231"/>
      <c r="Z64" s="231"/>
      <c r="AA64" s="231"/>
      <c r="AB64" s="231"/>
      <c r="AC64" s="231"/>
      <c r="AD64" s="231"/>
      <c r="AE64" s="231"/>
      <c r="AF64" s="231"/>
      <c r="AG64" s="231"/>
      <c r="AH64" s="231"/>
      <c r="AI64" s="231"/>
      <c r="AJ64" s="231"/>
      <c r="AK64" s="231"/>
      <c r="AL64" s="231"/>
      <c r="AM64" s="231"/>
      <c r="AN64" s="231"/>
      <c r="AO64" s="231"/>
      <c r="AP64" s="231"/>
      <c r="AQ64" s="231"/>
    </row>
    <row r="65" spans="1:43" s="203" customFormat="1">
      <c r="A65" s="32"/>
      <c r="B65" s="29"/>
      <c r="C65" s="29"/>
      <c r="D65" s="29"/>
      <c r="E65" s="105"/>
      <c r="F65" s="29"/>
      <c r="G65" s="29"/>
      <c r="H65" s="29"/>
      <c r="I65" s="131" t="s">
        <v>27</v>
      </c>
      <c r="J65" s="231"/>
      <c r="K65" s="231"/>
      <c r="L65" s="231"/>
      <c r="M65" s="231"/>
      <c r="N65" s="231"/>
      <c r="O65" s="231"/>
      <c r="P65" s="231"/>
      <c r="Q65" s="231"/>
      <c r="R65" s="231"/>
      <c r="S65" s="231"/>
      <c r="T65" s="231"/>
      <c r="U65" s="231"/>
      <c r="V65" s="231"/>
      <c r="W65" s="231"/>
      <c r="X65" s="231"/>
      <c r="Y65" s="231"/>
      <c r="Z65" s="231"/>
      <c r="AA65" s="231"/>
      <c r="AB65" s="231"/>
      <c r="AC65" s="231"/>
      <c r="AD65" s="231"/>
      <c r="AE65" s="231"/>
      <c r="AF65" s="231"/>
      <c r="AG65" s="231"/>
      <c r="AH65" s="231"/>
      <c r="AI65" s="231"/>
      <c r="AJ65" s="231"/>
      <c r="AK65" s="231"/>
      <c r="AL65" s="231"/>
      <c r="AM65" s="231"/>
      <c r="AN65" s="231"/>
      <c r="AO65" s="231"/>
      <c r="AP65" s="231"/>
      <c r="AQ65" s="231"/>
    </row>
    <row r="66" spans="1:43" s="203" customFormat="1">
      <c r="A66" s="106" t="s">
        <v>14</v>
      </c>
      <c r="B66" s="107"/>
      <c r="C66" s="107"/>
      <c r="D66" s="107"/>
      <c r="E66" s="856" t="s">
        <v>377</v>
      </c>
      <c r="F66" s="962" t="s">
        <v>402</v>
      </c>
      <c r="G66" s="867" t="s">
        <v>81</v>
      </c>
      <c r="H66" s="962" t="s">
        <v>403</v>
      </c>
      <c r="I66" s="867" t="s">
        <v>81</v>
      </c>
      <c r="J66" s="231"/>
      <c r="K66" s="231"/>
      <c r="L66" s="231"/>
      <c r="M66" s="231"/>
      <c r="N66" s="231"/>
      <c r="O66" s="231"/>
      <c r="P66" s="231"/>
      <c r="Q66" s="231"/>
      <c r="R66" s="231"/>
      <c r="S66" s="231"/>
      <c r="T66" s="231"/>
      <c r="U66" s="231"/>
      <c r="V66" s="231"/>
      <c r="W66" s="231"/>
      <c r="X66" s="231"/>
      <c r="Y66" s="231"/>
      <c r="Z66" s="231"/>
      <c r="AA66" s="231"/>
      <c r="AB66" s="231"/>
      <c r="AC66" s="231"/>
      <c r="AD66" s="231"/>
      <c r="AE66" s="231"/>
      <c r="AF66" s="231"/>
      <c r="AG66" s="231"/>
      <c r="AH66" s="231"/>
      <c r="AI66" s="231"/>
      <c r="AJ66" s="231"/>
      <c r="AK66" s="231"/>
      <c r="AL66" s="231"/>
      <c r="AM66" s="231"/>
      <c r="AN66" s="231"/>
      <c r="AO66" s="231"/>
      <c r="AP66" s="231"/>
      <c r="AQ66" s="231"/>
    </row>
    <row r="67" spans="1:43" s="203" customFormat="1" ht="21" customHeight="1">
      <c r="A67" s="108"/>
      <c r="B67" s="47"/>
      <c r="C67" s="47"/>
      <c r="D67" s="47"/>
      <c r="E67" s="859"/>
      <c r="F67" s="963"/>
      <c r="G67" s="868"/>
      <c r="H67" s="963"/>
      <c r="I67" s="868"/>
      <c r="J67" s="231"/>
      <c r="K67" s="231"/>
      <c r="L67" s="231"/>
      <c r="M67" s="231"/>
      <c r="N67" s="231"/>
      <c r="O67" s="231"/>
      <c r="P67" s="231"/>
      <c r="Q67" s="231"/>
      <c r="R67" s="231"/>
      <c r="S67" s="231"/>
      <c r="T67" s="231"/>
      <c r="U67" s="231"/>
      <c r="V67" s="231"/>
      <c r="W67" s="231"/>
      <c r="X67" s="231"/>
      <c r="Y67" s="231"/>
      <c r="Z67" s="231"/>
      <c r="AA67" s="231"/>
      <c r="AB67" s="231"/>
      <c r="AC67" s="231"/>
      <c r="AD67" s="231"/>
      <c r="AE67" s="231"/>
      <c r="AF67" s="231"/>
      <c r="AG67" s="231"/>
      <c r="AH67" s="231"/>
      <c r="AI67" s="231"/>
      <c r="AJ67" s="231"/>
      <c r="AK67" s="231"/>
      <c r="AL67" s="231"/>
      <c r="AM67" s="231"/>
      <c r="AN67" s="231"/>
      <c r="AO67" s="231"/>
      <c r="AP67" s="231"/>
      <c r="AQ67" s="231"/>
    </row>
    <row r="68" spans="1:43" s="203" customFormat="1">
      <c r="A68" s="109" t="s">
        <v>82</v>
      </c>
      <c r="B68" s="47"/>
      <c r="C68" s="47"/>
      <c r="D68" s="47"/>
      <c r="E68" s="859"/>
      <c r="F68" s="963"/>
      <c r="G68" s="868"/>
      <c r="H68" s="963"/>
      <c r="I68" s="868"/>
      <c r="J68" s="231"/>
      <c r="K68" s="231"/>
      <c r="L68" s="231"/>
      <c r="M68" s="231"/>
      <c r="N68" s="231"/>
      <c r="O68" s="231"/>
      <c r="P68" s="231"/>
      <c r="Q68" s="231"/>
      <c r="R68" s="231"/>
      <c r="S68" s="231"/>
      <c r="T68" s="231"/>
      <c r="U68" s="231"/>
      <c r="V68" s="231"/>
      <c r="W68" s="231"/>
      <c r="X68" s="231"/>
      <c r="Y68" s="231"/>
      <c r="Z68" s="231"/>
      <c r="AA68" s="231"/>
      <c r="AB68" s="231"/>
      <c r="AC68" s="231"/>
      <c r="AD68" s="231"/>
      <c r="AE68" s="231"/>
      <c r="AF68" s="231"/>
      <c r="AG68" s="231"/>
      <c r="AH68" s="231"/>
      <c r="AI68" s="231"/>
      <c r="AJ68" s="231"/>
      <c r="AK68" s="231"/>
      <c r="AL68" s="231"/>
      <c r="AM68" s="231"/>
      <c r="AN68" s="231"/>
      <c r="AO68" s="231"/>
      <c r="AP68" s="231"/>
      <c r="AQ68" s="231"/>
    </row>
    <row r="69" spans="1:43" s="203" customFormat="1">
      <c r="A69" s="109" t="s">
        <v>83</v>
      </c>
      <c r="B69" s="47"/>
      <c r="C69" s="47"/>
      <c r="D69" s="47"/>
      <c r="E69" s="859"/>
      <c r="F69" s="963"/>
      <c r="G69" s="868"/>
      <c r="H69" s="963"/>
      <c r="I69" s="868"/>
      <c r="J69" s="231"/>
      <c r="K69" s="231"/>
      <c r="L69" s="231"/>
      <c r="M69" s="231"/>
      <c r="N69" s="231"/>
      <c r="O69" s="231"/>
      <c r="P69" s="231"/>
      <c r="Q69" s="231"/>
      <c r="R69" s="231"/>
      <c r="S69" s="231"/>
      <c r="T69" s="231"/>
      <c r="U69" s="231"/>
      <c r="V69" s="231"/>
      <c r="W69" s="231"/>
      <c r="X69" s="231"/>
      <c r="Y69" s="231"/>
      <c r="Z69" s="231"/>
      <c r="AA69" s="231"/>
      <c r="AB69" s="231"/>
      <c r="AC69" s="231"/>
      <c r="AD69" s="231"/>
      <c r="AE69" s="231"/>
      <c r="AF69" s="231"/>
      <c r="AG69" s="231"/>
      <c r="AH69" s="231"/>
      <c r="AI69" s="231"/>
      <c r="AJ69" s="231"/>
      <c r="AK69" s="231"/>
      <c r="AL69" s="231"/>
      <c r="AM69" s="231"/>
      <c r="AN69" s="231"/>
      <c r="AO69" s="231"/>
      <c r="AP69" s="231"/>
      <c r="AQ69" s="231"/>
    </row>
    <row r="70" spans="1:43" s="203" customFormat="1">
      <c r="A70" s="110" t="s">
        <v>84</v>
      </c>
      <c r="B70" s="47"/>
      <c r="C70" s="47"/>
      <c r="D70" s="47"/>
      <c r="E70" s="860"/>
      <c r="F70" s="964"/>
      <c r="G70" s="869"/>
      <c r="H70" s="964"/>
      <c r="I70" s="869"/>
      <c r="J70" s="231"/>
      <c r="K70" s="231"/>
      <c r="L70" s="231"/>
      <c r="M70" s="231"/>
      <c r="N70" s="231"/>
      <c r="O70" s="231"/>
      <c r="P70" s="231"/>
      <c r="Q70" s="231"/>
      <c r="R70" s="231"/>
      <c r="S70" s="231"/>
      <c r="T70" s="231"/>
      <c r="U70" s="231"/>
      <c r="V70" s="231"/>
      <c r="W70" s="231"/>
      <c r="X70" s="231"/>
      <c r="Y70" s="231"/>
      <c r="Z70" s="231"/>
      <c r="AA70" s="231"/>
      <c r="AB70" s="231"/>
      <c r="AC70" s="231"/>
      <c r="AD70" s="231"/>
      <c r="AE70" s="231"/>
      <c r="AF70" s="231"/>
      <c r="AG70" s="231"/>
      <c r="AH70" s="231"/>
      <c r="AI70" s="231"/>
      <c r="AJ70" s="231"/>
      <c r="AK70" s="231"/>
      <c r="AL70" s="231"/>
      <c r="AM70" s="231"/>
      <c r="AN70" s="231"/>
      <c r="AO70" s="231"/>
      <c r="AP70" s="231"/>
      <c r="AQ70" s="231"/>
    </row>
    <row r="71" spans="1:43" s="203" customFormat="1">
      <c r="A71" s="111">
        <v>1</v>
      </c>
      <c r="B71" s="47" t="s">
        <v>85</v>
      </c>
      <c r="C71" s="47"/>
      <c r="D71" s="47"/>
      <c r="E71" s="41">
        <v>10021</v>
      </c>
      <c r="F71" s="247">
        <f>8624+85+988</f>
        <v>9697</v>
      </c>
      <c r="G71" s="112">
        <v>6839</v>
      </c>
      <c r="H71" s="248">
        <v>13355</v>
      </c>
      <c r="I71" s="112">
        <v>9398</v>
      </c>
      <c r="J71" s="231"/>
      <c r="K71" s="231"/>
      <c r="L71" s="231"/>
      <c r="M71" s="231"/>
      <c r="N71" s="231"/>
      <c r="O71" s="231"/>
      <c r="P71" s="231"/>
      <c r="Q71" s="231"/>
      <c r="R71" s="231"/>
      <c r="S71" s="231"/>
      <c r="T71" s="231"/>
      <c r="U71" s="231"/>
      <c r="V71" s="231"/>
      <c r="W71" s="231"/>
      <c r="X71" s="231"/>
      <c r="Y71" s="231"/>
      <c r="Z71" s="231"/>
      <c r="AA71" s="231"/>
      <c r="AB71" s="231"/>
      <c r="AC71" s="231"/>
      <c r="AD71" s="231"/>
      <c r="AE71" s="231"/>
      <c r="AF71" s="231"/>
      <c r="AG71" s="231"/>
      <c r="AH71" s="231"/>
      <c r="AI71" s="231"/>
      <c r="AJ71" s="231"/>
      <c r="AK71" s="231"/>
      <c r="AL71" s="231"/>
      <c r="AM71" s="231"/>
      <c r="AN71" s="231"/>
      <c r="AO71" s="231"/>
      <c r="AP71" s="231"/>
      <c r="AQ71" s="231"/>
    </row>
    <row r="72" spans="1:43" s="203" customFormat="1">
      <c r="A72" s="111">
        <v>2</v>
      </c>
      <c r="B72" s="47" t="s">
        <v>86</v>
      </c>
      <c r="C72" s="47"/>
      <c r="D72" s="47"/>
      <c r="E72" s="49">
        <v>41973</v>
      </c>
      <c r="F72" s="247">
        <f>36198-36+4073+1827</f>
        <v>42062</v>
      </c>
      <c r="G72" s="113">
        <v>31502</v>
      </c>
      <c r="H72" s="123">
        <v>44781</v>
      </c>
      <c r="I72" s="113">
        <v>36228</v>
      </c>
      <c r="J72" s="231"/>
      <c r="K72" s="231"/>
      <c r="L72" s="231"/>
      <c r="M72" s="231"/>
      <c r="N72" s="231"/>
      <c r="O72" s="231"/>
      <c r="P72" s="231"/>
      <c r="Q72" s="231"/>
      <c r="R72" s="231"/>
      <c r="S72" s="231"/>
      <c r="T72" s="231"/>
      <c r="U72" s="231"/>
      <c r="V72" s="231"/>
      <c r="W72" s="231"/>
      <c r="X72" s="231"/>
      <c r="Y72" s="231"/>
      <c r="Z72" s="231"/>
      <c r="AA72" s="231"/>
      <c r="AB72" s="231"/>
      <c r="AC72" s="231"/>
      <c r="AD72" s="231"/>
      <c r="AE72" s="231"/>
      <c r="AF72" s="231"/>
      <c r="AG72" s="231"/>
      <c r="AH72" s="231"/>
      <c r="AI72" s="231"/>
      <c r="AJ72" s="231"/>
      <c r="AK72" s="231"/>
      <c r="AL72" s="231"/>
      <c r="AM72" s="231"/>
      <c r="AN72" s="231"/>
      <c r="AO72" s="231"/>
      <c r="AP72" s="231"/>
      <c r="AQ72" s="231"/>
    </row>
    <row r="73" spans="1:43" s="203" customFormat="1">
      <c r="A73" s="111">
        <v>3</v>
      </c>
      <c r="B73" s="47" t="s">
        <v>87</v>
      </c>
      <c r="C73" s="47"/>
      <c r="D73" s="47"/>
      <c r="E73" s="114">
        <v>41964</v>
      </c>
      <c r="F73" s="247">
        <f>36695-39+2204+469</f>
        <v>39329</v>
      </c>
      <c r="G73" s="113">
        <v>32484</v>
      </c>
      <c r="H73" s="123">
        <v>46491</v>
      </c>
      <c r="I73" s="113">
        <v>38382</v>
      </c>
      <c r="J73" s="231"/>
      <c r="K73" s="231"/>
      <c r="L73" s="231"/>
      <c r="M73" s="231"/>
      <c r="N73" s="231"/>
      <c r="O73" s="231"/>
      <c r="P73" s="231"/>
      <c r="Q73" s="231"/>
      <c r="R73" s="231"/>
      <c r="S73" s="231"/>
      <c r="T73" s="231"/>
      <c r="U73" s="231"/>
      <c r="V73" s="231"/>
      <c r="W73" s="231"/>
      <c r="X73" s="231"/>
      <c r="Y73" s="231"/>
      <c r="Z73" s="231"/>
      <c r="AA73" s="231"/>
      <c r="AB73" s="231"/>
      <c r="AC73" s="231"/>
      <c r="AD73" s="231"/>
      <c r="AE73" s="231"/>
      <c r="AF73" s="231"/>
      <c r="AG73" s="231"/>
      <c r="AH73" s="231"/>
      <c r="AI73" s="231"/>
      <c r="AJ73" s="231"/>
      <c r="AK73" s="231"/>
      <c r="AL73" s="231"/>
      <c r="AM73" s="231"/>
      <c r="AN73" s="231"/>
      <c r="AO73" s="231"/>
      <c r="AP73" s="231"/>
      <c r="AQ73" s="231"/>
    </row>
    <row r="74" spans="1:43" s="203" customFormat="1">
      <c r="A74" s="111">
        <v>4</v>
      </c>
      <c r="B74" s="47" t="s">
        <v>88</v>
      </c>
      <c r="C74" s="47"/>
      <c r="D74" s="47"/>
      <c r="E74" s="114">
        <v>9602</v>
      </c>
      <c r="F74" s="247">
        <f>9791+2561+200+80</f>
        <v>12632</v>
      </c>
      <c r="G74" s="113">
        <v>2045</v>
      </c>
      <c r="H74" s="123">
        <v>10038</v>
      </c>
      <c r="I74" s="113">
        <v>2463</v>
      </c>
      <c r="J74" s="231"/>
      <c r="K74" s="231"/>
      <c r="L74" s="231"/>
      <c r="M74" s="231"/>
      <c r="N74" s="231"/>
      <c r="O74" s="231"/>
      <c r="P74" s="231"/>
      <c r="Q74" s="231"/>
      <c r="R74" s="231"/>
      <c r="S74" s="231"/>
      <c r="T74" s="231"/>
      <c r="U74" s="231"/>
      <c r="V74" s="231"/>
      <c r="W74" s="231"/>
      <c r="X74" s="231"/>
      <c r="Y74" s="231"/>
      <c r="Z74" s="231"/>
      <c r="AA74" s="231"/>
      <c r="AB74" s="231"/>
      <c r="AC74" s="231"/>
      <c r="AD74" s="231"/>
      <c r="AE74" s="231"/>
      <c r="AF74" s="231"/>
      <c r="AG74" s="231"/>
      <c r="AH74" s="231"/>
      <c r="AI74" s="231"/>
      <c r="AJ74" s="231"/>
      <c r="AK74" s="231"/>
      <c r="AL74" s="231"/>
      <c r="AM74" s="231"/>
      <c r="AN74" s="231"/>
      <c r="AO74" s="231"/>
      <c r="AP74" s="231"/>
      <c r="AQ74" s="231"/>
    </row>
    <row r="75" spans="1:43" s="203" customFormat="1">
      <c r="A75" s="111">
        <v>5</v>
      </c>
      <c r="B75" s="47" t="s">
        <v>89</v>
      </c>
      <c r="C75" s="47" t="s">
        <v>90</v>
      </c>
      <c r="D75" s="47"/>
      <c r="E75" s="114">
        <v>3227</v>
      </c>
      <c r="F75" s="247">
        <f>2085+592</f>
        <v>2677</v>
      </c>
      <c r="G75" s="113"/>
      <c r="H75" s="123">
        <v>3218</v>
      </c>
      <c r="I75" s="113"/>
      <c r="J75" s="231"/>
      <c r="K75" s="231"/>
      <c r="L75" s="231"/>
      <c r="M75" s="231"/>
      <c r="N75" s="231"/>
      <c r="O75" s="231"/>
      <c r="P75" s="231"/>
      <c r="Q75" s="231"/>
      <c r="R75" s="231"/>
      <c r="S75" s="231"/>
      <c r="T75" s="231"/>
      <c r="U75" s="231"/>
      <c r="V75" s="231"/>
      <c r="W75" s="231"/>
      <c r="X75" s="231"/>
      <c r="Y75" s="231"/>
      <c r="Z75" s="231"/>
      <c r="AA75" s="231"/>
      <c r="AB75" s="231"/>
      <c r="AC75" s="231"/>
      <c r="AD75" s="231"/>
      <c r="AE75" s="231"/>
      <c r="AF75" s="231"/>
      <c r="AG75" s="231"/>
      <c r="AH75" s="231"/>
      <c r="AI75" s="231"/>
      <c r="AJ75" s="231"/>
      <c r="AK75" s="231"/>
      <c r="AL75" s="231"/>
      <c r="AM75" s="231"/>
      <c r="AN75" s="231"/>
      <c r="AO75" s="231"/>
      <c r="AP75" s="231"/>
      <c r="AQ75" s="231"/>
    </row>
    <row r="76" spans="1:43" s="203" customFormat="1">
      <c r="A76" s="788"/>
      <c r="B76" s="790"/>
      <c r="C76" s="47" t="s">
        <v>91</v>
      </c>
      <c r="D76" s="47"/>
      <c r="E76" s="114">
        <v>6</v>
      </c>
      <c r="F76" s="247">
        <f>6</f>
        <v>6</v>
      </c>
      <c r="G76" s="115"/>
      <c r="H76" s="249">
        <v>6</v>
      </c>
      <c r="I76" s="115"/>
      <c r="J76" s="231"/>
      <c r="K76" s="231"/>
      <c r="L76" s="231"/>
      <c r="M76" s="231"/>
      <c r="N76" s="231"/>
      <c r="O76" s="231"/>
      <c r="P76" s="231"/>
      <c r="Q76" s="231"/>
      <c r="R76" s="231"/>
      <c r="S76" s="231"/>
      <c r="T76" s="231"/>
      <c r="U76" s="231"/>
      <c r="V76" s="231"/>
      <c r="W76" s="231"/>
      <c r="X76" s="231"/>
      <c r="Y76" s="231"/>
      <c r="Z76" s="231"/>
      <c r="AA76" s="231"/>
      <c r="AB76" s="231"/>
      <c r="AC76" s="231"/>
      <c r="AD76" s="231"/>
      <c r="AE76" s="231"/>
      <c r="AF76" s="231"/>
      <c r="AG76" s="231"/>
      <c r="AH76" s="231"/>
      <c r="AI76" s="231"/>
      <c r="AJ76" s="231"/>
      <c r="AK76" s="231"/>
      <c r="AL76" s="231"/>
      <c r="AM76" s="231"/>
      <c r="AN76" s="231"/>
      <c r="AO76" s="231"/>
      <c r="AP76" s="231"/>
      <c r="AQ76" s="231"/>
    </row>
    <row r="77" spans="1:43" s="203" customFormat="1">
      <c r="A77" s="111">
        <v>6</v>
      </c>
      <c r="B77" s="116" t="s">
        <v>92</v>
      </c>
      <c r="C77" s="116"/>
      <c r="D77" s="47"/>
      <c r="E77" s="80">
        <v>106793</v>
      </c>
      <c r="F77" s="250">
        <f>SUM(F71:F76)</f>
        <v>106403</v>
      </c>
      <c r="G77" s="251">
        <f>SUM(G71:G76)</f>
        <v>72870</v>
      </c>
      <c r="H77" s="252">
        <f>SUM(H71:H76)</f>
        <v>117889</v>
      </c>
      <c r="I77" s="251">
        <f>SUM(I71:I76)</f>
        <v>86471</v>
      </c>
      <c r="J77" s="231"/>
      <c r="K77" s="231"/>
      <c r="L77" s="231"/>
      <c r="M77" s="231"/>
      <c r="N77" s="231"/>
      <c r="O77" s="231"/>
      <c r="P77" s="231"/>
      <c r="Q77" s="231"/>
      <c r="R77" s="231"/>
      <c r="S77" s="231"/>
      <c r="T77" s="231"/>
      <c r="U77" s="231"/>
      <c r="V77" s="231"/>
      <c r="W77" s="231"/>
      <c r="X77" s="231"/>
      <c r="Y77" s="231"/>
      <c r="Z77" s="231"/>
      <c r="AA77" s="231"/>
      <c r="AB77" s="231"/>
      <c r="AC77" s="231"/>
      <c r="AD77" s="231"/>
      <c r="AE77" s="231"/>
      <c r="AF77" s="231"/>
      <c r="AG77" s="231"/>
      <c r="AH77" s="231"/>
      <c r="AI77" s="231"/>
      <c r="AJ77" s="231"/>
      <c r="AK77" s="231"/>
      <c r="AL77" s="231"/>
      <c r="AM77" s="231"/>
      <c r="AN77" s="231"/>
      <c r="AO77" s="231"/>
      <c r="AP77" s="231"/>
      <c r="AQ77" s="231"/>
    </row>
    <row r="78" spans="1:43" s="203" customFormat="1">
      <c r="A78" s="788"/>
      <c r="B78" s="47"/>
      <c r="C78" s="47"/>
      <c r="D78" s="47"/>
      <c r="E78" s="117"/>
      <c r="F78" s="118"/>
      <c r="G78" s="118"/>
      <c r="H78" s="118"/>
      <c r="I78" s="118"/>
      <c r="J78" s="231"/>
      <c r="K78" s="231"/>
      <c r="L78" s="231"/>
      <c r="M78" s="231"/>
      <c r="N78" s="231"/>
      <c r="O78" s="231"/>
      <c r="P78" s="231"/>
      <c r="Q78" s="231"/>
      <c r="R78" s="231"/>
      <c r="S78" s="231"/>
      <c r="T78" s="231"/>
      <c r="U78" s="231"/>
      <c r="V78" s="231"/>
      <c r="W78" s="231"/>
      <c r="X78" s="231"/>
      <c r="Y78" s="231"/>
      <c r="Z78" s="231"/>
      <c r="AA78" s="231"/>
      <c r="AB78" s="231"/>
      <c r="AC78" s="231"/>
      <c r="AD78" s="231"/>
      <c r="AE78" s="231"/>
      <c r="AF78" s="231"/>
      <c r="AG78" s="231"/>
      <c r="AH78" s="231"/>
      <c r="AI78" s="231"/>
      <c r="AJ78" s="231"/>
      <c r="AK78" s="231"/>
      <c r="AL78" s="231"/>
      <c r="AM78" s="231"/>
      <c r="AN78" s="231"/>
      <c r="AO78" s="231"/>
      <c r="AP78" s="231"/>
      <c r="AQ78" s="231"/>
    </row>
    <row r="79" spans="1:43" s="203" customFormat="1">
      <c r="A79" s="119" t="s">
        <v>93</v>
      </c>
      <c r="B79" s="116"/>
      <c r="C79" s="116"/>
      <c r="D79" s="116"/>
      <c r="E79" s="117"/>
      <c r="F79" s="118"/>
      <c r="G79" s="118"/>
      <c r="H79" s="118"/>
      <c r="I79" s="118"/>
      <c r="J79" s="231"/>
      <c r="K79" s="231"/>
      <c r="L79" s="231"/>
      <c r="M79" s="231"/>
      <c r="N79" s="231"/>
      <c r="O79" s="231"/>
      <c r="P79" s="231"/>
      <c r="Q79" s="231"/>
      <c r="R79" s="231"/>
      <c r="S79" s="231"/>
      <c r="T79" s="231"/>
      <c r="U79" s="231"/>
      <c r="V79" s="231"/>
      <c r="W79" s="231"/>
      <c r="X79" s="231"/>
      <c r="Y79" s="231"/>
      <c r="Z79" s="231"/>
      <c r="AA79" s="231"/>
      <c r="AB79" s="231"/>
      <c r="AC79" s="231"/>
      <c r="AD79" s="231"/>
      <c r="AE79" s="231"/>
      <c r="AF79" s="231"/>
      <c r="AG79" s="231"/>
      <c r="AH79" s="231"/>
      <c r="AI79" s="231"/>
      <c r="AJ79" s="231"/>
      <c r="AK79" s="231"/>
      <c r="AL79" s="231"/>
      <c r="AM79" s="231"/>
      <c r="AN79" s="231"/>
      <c r="AO79" s="231"/>
      <c r="AP79" s="231"/>
      <c r="AQ79" s="231"/>
    </row>
    <row r="80" spans="1:43" s="203" customFormat="1">
      <c r="A80" s="120">
        <v>7</v>
      </c>
      <c r="B80" s="47" t="s">
        <v>94</v>
      </c>
      <c r="C80" s="47"/>
      <c r="D80" s="47"/>
      <c r="E80" s="41">
        <v>1526</v>
      </c>
      <c r="F80" s="253">
        <v>1323</v>
      </c>
      <c r="G80" s="112">
        <v>1069</v>
      </c>
      <c r="H80" s="248">
        <v>1469</v>
      </c>
      <c r="I80" s="112">
        <v>1425</v>
      </c>
      <c r="J80" s="231"/>
      <c r="K80" s="231"/>
      <c r="L80" s="231"/>
      <c r="M80" s="231"/>
      <c r="N80" s="231"/>
      <c r="O80" s="231"/>
      <c r="P80" s="231"/>
      <c r="Q80" s="231"/>
      <c r="R80" s="231"/>
      <c r="S80" s="231"/>
      <c r="T80" s="231"/>
      <c r="U80" s="231"/>
      <c r="V80" s="231"/>
      <c r="W80" s="231"/>
      <c r="X80" s="231"/>
      <c r="Y80" s="231"/>
      <c r="Z80" s="231"/>
      <c r="AA80" s="231"/>
      <c r="AB80" s="231"/>
      <c r="AC80" s="231"/>
      <c r="AD80" s="231"/>
      <c r="AE80" s="231"/>
      <c r="AF80" s="231"/>
      <c r="AG80" s="231"/>
      <c r="AH80" s="231"/>
      <c r="AI80" s="231"/>
      <c r="AJ80" s="231"/>
      <c r="AK80" s="231"/>
      <c r="AL80" s="231"/>
      <c r="AM80" s="231"/>
      <c r="AN80" s="231"/>
      <c r="AO80" s="231"/>
      <c r="AP80" s="231"/>
      <c r="AQ80" s="231"/>
    </row>
    <row r="81" spans="1:43" s="203" customFormat="1">
      <c r="A81" s="120">
        <v>8</v>
      </c>
      <c r="B81" s="47" t="s">
        <v>95</v>
      </c>
      <c r="C81" s="47"/>
      <c r="D81" s="47"/>
      <c r="E81" s="49">
        <v>23888</v>
      </c>
      <c r="F81" s="247">
        <v>23738</v>
      </c>
      <c r="G81" s="113">
        <v>23124</v>
      </c>
      <c r="H81" s="123">
        <v>27572</v>
      </c>
      <c r="I81" s="113">
        <v>26682</v>
      </c>
      <c r="J81" s="231"/>
      <c r="K81" s="231"/>
      <c r="L81" s="231"/>
      <c r="M81" s="231"/>
      <c r="N81" s="231"/>
      <c r="O81" s="231"/>
      <c r="P81" s="231"/>
      <c r="Q81" s="231"/>
      <c r="R81" s="231"/>
      <c r="S81" s="231"/>
      <c r="T81" s="231"/>
      <c r="U81" s="231"/>
      <c r="V81" s="231"/>
      <c r="W81" s="231"/>
      <c r="X81" s="231"/>
      <c r="Y81" s="231"/>
      <c r="Z81" s="231"/>
      <c r="AA81" s="231"/>
      <c r="AB81" s="231"/>
      <c r="AC81" s="231"/>
      <c r="AD81" s="231"/>
      <c r="AE81" s="231"/>
      <c r="AF81" s="231"/>
      <c r="AG81" s="231"/>
      <c r="AH81" s="231"/>
      <c r="AI81" s="231"/>
      <c r="AJ81" s="231"/>
      <c r="AK81" s="231"/>
      <c r="AL81" s="231"/>
      <c r="AM81" s="231"/>
      <c r="AN81" s="231"/>
      <c r="AO81" s="231"/>
      <c r="AP81" s="231"/>
      <c r="AQ81" s="231"/>
    </row>
    <row r="82" spans="1:43" s="203" customFormat="1">
      <c r="A82" s="120">
        <v>9</v>
      </c>
      <c r="B82" s="47" t="s">
        <v>96</v>
      </c>
      <c r="C82" s="47"/>
      <c r="D82" s="47"/>
      <c r="E82" s="49">
        <v>24392</v>
      </c>
      <c r="F82" s="247">
        <v>24296</v>
      </c>
      <c r="G82" s="113">
        <v>23923</v>
      </c>
      <c r="H82" s="123">
        <v>27676</v>
      </c>
      <c r="I82" s="113">
        <v>27478</v>
      </c>
      <c r="J82" s="231"/>
      <c r="K82" s="231"/>
      <c r="L82" s="231"/>
      <c r="M82" s="231"/>
      <c r="N82" s="231"/>
      <c r="O82" s="231"/>
      <c r="P82" s="231"/>
      <c r="Q82" s="231"/>
      <c r="R82" s="231"/>
      <c r="S82" s="231"/>
      <c r="T82" s="231"/>
      <c r="U82" s="231"/>
      <c r="V82" s="231"/>
      <c r="W82" s="231"/>
      <c r="X82" s="231"/>
      <c r="Y82" s="231"/>
      <c r="Z82" s="231"/>
      <c r="AA82" s="231"/>
      <c r="AB82" s="231"/>
      <c r="AC82" s="231"/>
      <c r="AD82" s="231"/>
      <c r="AE82" s="231"/>
      <c r="AF82" s="231"/>
      <c r="AG82" s="231"/>
      <c r="AH82" s="231"/>
      <c r="AI82" s="231"/>
      <c r="AJ82" s="231"/>
      <c r="AK82" s="231"/>
      <c r="AL82" s="231"/>
      <c r="AM82" s="231"/>
      <c r="AN82" s="231"/>
      <c r="AO82" s="231"/>
      <c r="AP82" s="231"/>
      <c r="AQ82" s="231"/>
    </row>
    <row r="83" spans="1:43" s="203" customFormat="1">
      <c r="A83" s="120">
        <v>10</v>
      </c>
      <c r="B83" s="90" t="s">
        <v>97</v>
      </c>
      <c r="C83" s="47"/>
      <c r="D83" s="47"/>
      <c r="E83" s="49">
        <v>10227</v>
      </c>
      <c r="F83" s="247">
        <f>9644+2561</f>
        <v>12205</v>
      </c>
      <c r="G83" s="113">
        <v>3309</v>
      </c>
      <c r="H83" s="123">
        <v>10659</v>
      </c>
      <c r="I83" s="113">
        <v>2463</v>
      </c>
      <c r="J83" s="231"/>
      <c r="K83" s="231"/>
      <c r="L83" s="231"/>
      <c r="M83" s="231"/>
      <c r="N83" s="231"/>
      <c r="O83" s="231"/>
      <c r="P83" s="231"/>
      <c r="Q83" s="231"/>
      <c r="R83" s="231"/>
      <c r="S83" s="231"/>
      <c r="T83" s="231"/>
      <c r="U83" s="231"/>
      <c r="V83" s="231"/>
      <c r="W83" s="231"/>
      <c r="X83" s="231"/>
      <c r="Y83" s="231"/>
      <c r="Z83" s="231"/>
      <c r="AA83" s="231"/>
      <c r="AB83" s="231"/>
      <c r="AC83" s="231"/>
      <c r="AD83" s="231"/>
      <c r="AE83" s="231"/>
      <c r="AF83" s="231"/>
      <c r="AG83" s="231"/>
      <c r="AH83" s="231"/>
      <c r="AI83" s="231"/>
      <c r="AJ83" s="231"/>
      <c r="AK83" s="231"/>
      <c r="AL83" s="231"/>
      <c r="AM83" s="231"/>
      <c r="AN83" s="231"/>
      <c r="AO83" s="231"/>
      <c r="AP83" s="231"/>
      <c r="AQ83" s="231"/>
    </row>
    <row r="84" spans="1:43" s="203" customFormat="1">
      <c r="A84" s="120">
        <v>11</v>
      </c>
      <c r="B84" s="90" t="s">
        <v>98</v>
      </c>
      <c r="C84" s="47"/>
      <c r="D84" s="47"/>
      <c r="E84" s="49">
        <v>3352</v>
      </c>
      <c r="F84" s="247">
        <v>3365</v>
      </c>
      <c r="G84" s="113"/>
      <c r="H84" s="123">
        <v>3302</v>
      </c>
      <c r="I84" s="113"/>
      <c r="J84" s="231"/>
      <c r="K84" s="231"/>
      <c r="L84" s="231"/>
      <c r="M84" s="231"/>
      <c r="N84" s="231"/>
      <c r="O84" s="231"/>
      <c r="P84" s="231"/>
      <c r="Q84" s="231"/>
      <c r="R84" s="231"/>
      <c r="S84" s="231"/>
      <c r="T84" s="231"/>
      <c r="U84" s="231"/>
      <c r="V84" s="231"/>
      <c r="W84" s="231"/>
      <c r="X84" s="231"/>
      <c r="Y84" s="231"/>
      <c r="Z84" s="231"/>
      <c r="AA84" s="231"/>
      <c r="AB84" s="231"/>
      <c r="AC84" s="231"/>
      <c r="AD84" s="231"/>
      <c r="AE84" s="231"/>
      <c r="AF84" s="231"/>
      <c r="AG84" s="231"/>
      <c r="AH84" s="231"/>
      <c r="AI84" s="231"/>
      <c r="AJ84" s="231"/>
      <c r="AK84" s="231"/>
      <c r="AL84" s="231"/>
      <c r="AM84" s="231"/>
      <c r="AN84" s="231"/>
      <c r="AO84" s="231"/>
      <c r="AP84" s="231"/>
      <c r="AQ84" s="231"/>
    </row>
    <row r="85" spans="1:43" s="203" customFormat="1">
      <c r="A85" s="120">
        <v>12</v>
      </c>
      <c r="B85" s="47" t="s">
        <v>99</v>
      </c>
      <c r="C85" s="47"/>
      <c r="D85" s="47"/>
      <c r="E85" s="49">
        <v>3364</v>
      </c>
      <c r="F85" s="247">
        <v>2654</v>
      </c>
      <c r="G85" s="113"/>
      <c r="H85" s="123">
        <v>3446</v>
      </c>
      <c r="I85" s="113"/>
      <c r="J85" s="231"/>
      <c r="K85" s="231"/>
      <c r="L85" s="231"/>
      <c r="M85" s="231"/>
      <c r="N85" s="231"/>
      <c r="O85" s="231"/>
      <c r="P85" s="231"/>
      <c r="Q85" s="231"/>
      <c r="R85" s="231"/>
      <c r="S85" s="231"/>
      <c r="T85" s="231"/>
      <c r="U85" s="231"/>
      <c r="V85" s="231"/>
      <c r="W85" s="231"/>
      <c r="X85" s="231"/>
      <c r="Y85" s="231"/>
      <c r="Z85" s="231"/>
      <c r="AA85" s="231"/>
      <c r="AB85" s="231"/>
      <c r="AC85" s="231"/>
      <c r="AD85" s="231"/>
      <c r="AE85" s="231"/>
      <c r="AF85" s="231"/>
      <c r="AG85" s="231"/>
      <c r="AH85" s="231"/>
      <c r="AI85" s="231"/>
      <c r="AJ85" s="231"/>
      <c r="AK85" s="231"/>
      <c r="AL85" s="231"/>
      <c r="AM85" s="231"/>
      <c r="AN85" s="231"/>
      <c r="AO85" s="231"/>
      <c r="AP85" s="231"/>
      <c r="AQ85" s="231"/>
    </row>
    <row r="86" spans="1:43" s="203" customFormat="1">
      <c r="A86" s="120">
        <v>13</v>
      </c>
      <c r="B86" s="47" t="s">
        <v>100</v>
      </c>
      <c r="C86" s="47"/>
      <c r="D86" s="47"/>
      <c r="E86" s="49">
        <v>18712</v>
      </c>
      <c r="F86" s="247">
        <f>15916+2961</f>
        <v>18877</v>
      </c>
      <c r="G86" s="113">
        <f>13228</f>
        <v>13228</v>
      </c>
      <c r="H86" s="123">
        <v>19218</v>
      </c>
      <c r="I86" s="113">
        <v>12946</v>
      </c>
      <c r="J86" s="231"/>
      <c r="K86" s="231"/>
      <c r="L86" s="231"/>
      <c r="M86" s="231"/>
      <c r="N86" s="231"/>
      <c r="O86" s="231"/>
      <c r="P86" s="231"/>
      <c r="Q86" s="231"/>
      <c r="R86" s="231"/>
      <c r="S86" s="231"/>
      <c r="T86" s="231"/>
      <c r="U86" s="231"/>
      <c r="V86" s="231"/>
      <c r="W86" s="231"/>
      <c r="X86" s="231"/>
      <c r="Y86" s="231"/>
      <c r="Z86" s="231"/>
      <c r="AA86" s="231"/>
      <c r="AB86" s="231"/>
      <c r="AC86" s="231"/>
      <c r="AD86" s="231"/>
      <c r="AE86" s="231"/>
      <c r="AF86" s="231"/>
      <c r="AG86" s="231"/>
      <c r="AH86" s="231"/>
      <c r="AI86" s="231"/>
      <c r="AJ86" s="231"/>
      <c r="AK86" s="231"/>
      <c r="AL86" s="231"/>
      <c r="AM86" s="231"/>
      <c r="AN86" s="231"/>
      <c r="AO86" s="231"/>
      <c r="AP86" s="231"/>
      <c r="AQ86" s="231"/>
    </row>
    <row r="87" spans="1:43" s="203" customFormat="1">
      <c r="A87" s="120">
        <v>14</v>
      </c>
      <c r="B87" s="47" t="s">
        <v>101</v>
      </c>
      <c r="C87" s="47"/>
      <c r="D87" s="47"/>
      <c r="E87" s="49">
        <v>0</v>
      </c>
      <c r="F87" s="247"/>
      <c r="G87" s="113"/>
      <c r="H87" s="123"/>
      <c r="I87" s="113"/>
      <c r="J87" s="231"/>
      <c r="K87" s="231"/>
      <c r="L87" s="231"/>
      <c r="M87" s="231"/>
      <c r="N87" s="231"/>
      <c r="O87" s="231"/>
      <c r="P87" s="231"/>
      <c r="Q87" s="231"/>
      <c r="R87" s="231"/>
      <c r="S87" s="231"/>
      <c r="T87" s="231"/>
      <c r="U87" s="231"/>
      <c r="V87" s="231"/>
      <c r="W87" s="231"/>
      <c r="X87" s="231"/>
      <c r="Y87" s="231"/>
      <c r="Z87" s="231"/>
      <c r="AA87" s="231"/>
      <c r="AB87" s="231"/>
      <c r="AC87" s="231"/>
      <c r="AD87" s="231"/>
      <c r="AE87" s="231"/>
      <c r="AF87" s="231"/>
      <c r="AG87" s="231"/>
      <c r="AH87" s="231"/>
      <c r="AI87" s="231"/>
      <c r="AJ87" s="231"/>
      <c r="AK87" s="231"/>
      <c r="AL87" s="231"/>
      <c r="AM87" s="231"/>
      <c r="AN87" s="231"/>
      <c r="AO87" s="231"/>
      <c r="AP87" s="231"/>
      <c r="AQ87" s="231"/>
    </row>
    <row r="88" spans="1:43" s="203" customFormat="1">
      <c r="A88" s="124">
        <v>15</v>
      </c>
      <c r="B88" s="125" t="s">
        <v>102</v>
      </c>
      <c r="C88" s="54"/>
      <c r="D88" s="54"/>
      <c r="E88" s="56">
        <v>0</v>
      </c>
      <c r="F88" s="254"/>
      <c r="G88" s="127"/>
      <c r="H88" s="255"/>
      <c r="I88" s="127"/>
      <c r="J88" s="231"/>
      <c r="K88" s="231"/>
      <c r="L88" s="231"/>
      <c r="M88" s="231"/>
      <c r="N88" s="231"/>
      <c r="O88" s="231"/>
      <c r="P88" s="231"/>
      <c r="Q88" s="231"/>
      <c r="R88" s="231"/>
      <c r="S88" s="231"/>
      <c r="T88" s="231"/>
      <c r="U88" s="231"/>
      <c r="V88" s="231"/>
      <c r="W88" s="231"/>
      <c r="X88" s="231"/>
      <c r="Y88" s="231"/>
      <c r="Z88" s="231"/>
      <c r="AA88" s="231"/>
      <c r="AB88" s="231"/>
      <c r="AC88" s="231"/>
      <c r="AD88" s="231"/>
      <c r="AE88" s="231"/>
      <c r="AF88" s="231"/>
      <c r="AG88" s="231"/>
      <c r="AH88" s="231"/>
      <c r="AI88" s="231"/>
      <c r="AJ88" s="231"/>
      <c r="AK88" s="231"/>
      <c r="AL88" s="231"/>
      <c r="AM88" s="231"/>
      <c r="AN88" s="231"/>
      <c r="AO88" s="231"/>
      <c r="AP88" s="231"/>
      <c r="AQ88" s="231"/>
    </row>
    <row r="89" spans="1:43" s="203" customFormat="1">
      <c r="A89" s="128"/>
      <c r="B89" s="129"/>
      <c r="C89" s="129"/>
      <c r="D89" s="129"/>
      <c r="E89" s="15"/>
      <c r="F89" s="130"/>
      <c r="G89" s="29"/>
      <c r="H89" s="207"/>
      <c r="I89" s="29"/>
      <c r="J89" s="231"/>
      <c r="K89" s="231"/>
      <c r="L89" s="231"/>
      <c r="M89" s="231"/>
      <c r="N89" s="231"/>
      <c r="O89" s="231"/>
      <c r="P89" s="231"/>
      <c r="Q89" s="231"/>
      <c r="R89" s="231"/>
      <c r="S89" s="231"/>
      <c r="T89" s="231"/>
      <c r="U89" s="231"/>
      <c r="V89" s="231"/>
      <c r="W89" s="231"/>
      <c r="X89" s="231"/>
      <c r="Y89" s="231"/>
      <c r="Z89" s="231"/>
      <c r="AA89" s="231"/>
      <c r="AB89" s="231"/>
      <c r="AC89" s="231"/>
      <c r="AD89" s="231"/>
      <c r="AE89" s="231"/>
      <c r="AF89" s="231"/>
      <c r="AG89" s="231"/>
      <c r="AH89" s="231"/>
      <c r="AI89" s="231"/>
      <c r="AJ89" s="231"/>
      <c r="AK89" s="231"/>
      <c r="AL89" s="231"/>
      <c r="AM89" s="231"/>
      <c r="AN89" s="231"/>
      <c r="AO89" s="231"/>
      <c r="AP89" s="231"/>
      <c r="AQ89" s="231"/>
    </row>
    <row r="90" spans="1:43" s="203" customFormat="1">
      <c r="A90" s="128"/>
      <c r="B90" s="129"/>
      <c r="C90" s="129"/>
      <c r="D90" s="129"/>
      <c r="E90" s="105"/>
      <c r="F90" s="130"/>
      <c r="G90" s="29"/>
      <c r="H90" s="131" t="s">
        <v>27</v>
      </c>
      <c r="I90" s="29"/>
      <c r="J90" s="231"/>
      <c r="K90" s="231"/>
      <c r="L90" s="231"/>
      <c r="M90" s="231"/>
      <c r="N90" s="231"/>
      <c r="O90" s="231"/>
      <c r="P90" s="231"/>
      <c r="Q90" s="231"/>
      <c r="R90" s="231"/>
      <c r="S90" s="231"/>
      <c r="T90" s="231"/>
      <c r="U90" s="231"/>
      <c r="V90" s="231"/>
      <c r="W90" s="231"/>
      <c r="X90" s="231"/>
      <c r="Y90" s="231"/>
      <c r="Z90" s="231"/>
      <c r="AA90" s="231"/>
      <c r="AB90" s="231"/>
      <c r="AC90" s="231"/>
      <c r="AD90" s="231"/>
      <c r="AE90" s="231"/>
      <c r="AF90" s="231"/>
      <c r="AG90" s="231"/>
      <c r="AH90" s="231"/>
      <c r="AI90" s="231"/>
      <c r="AJ90" s="231"/>
      <c r="AK90" s="231"/>
      <c r="AL90" s="231"/>
      <c r="AM90" s="231"/>
      <c r="AN90" s="231"/>
      <c r="AO90" s="231"/>
      <c r="AP90" s="231"/>
      <c r="AQ90" s="231"/>
    </row>
    <row r="91" spans="1:43" s="203" customFormat="1">
      <c r="A91" s="106" t="s">
        <v>17</v>
      </c>
      <c r="B91" s="107"/>
      <c r="C91" s="107"/>
      <c r="D91" s="107"/>
      <c r="E91" s="856" t="s">
        <v>421</v>
      </c>
      <c r="F91" s="856" t="s">
        <v>402</v>
      </c>
      <c r="G91" s="257"/>
      <c r="H91" s="856" t="s">
        <v>403</v>
      </c>
      <c r="I91" s="29"/>
      <c r="J91" s="231"/>
      <c r="K91" s="231"/>
      <c r="L91" s="231"/>
      <c r="M91" s="231"/>
      <c r="N91" s="231"/>
      <c r="O91" s="231"/>
      <c r="P91" s="231"/>
      <c r="Q91" s="231"/>
      <c r="R91" s="231"/>
      <c r="S91" s="231"/>
      <c r="T91" s="231"/>
      <c r="U91" s="231"/>
      <c r="V91" s="231"/>
      <c r="W91" s="231"/>
      <c r="X91" s="231"/>
      <c r="Y91" s="231"/>
      <c r="Z91" s="231"/>
      <c r="AA91" s="231"/>
      <c r="AB91" s="231"/>
      <c r="AC91" s="231"/>
      <c r="AD91" s="231"/>
      <c r="AE91" s="231"/>
      <c r="AF91" s="231"/>
      <c r="AG91" s="231"/>
      <c r="AH91" s="231"/>
      <c r="AI91" s="231"/>
      <c r="AJ91" s="231"/>
      <c r="AK91" s="231"/>
      <c r="AL91" s="231"/>
      <c r="AM91" s="231"/>
      <c r="AN91" s="231"/>
      <c r="AO91" s="231"/>
      <c r="AP91" s="231"/>
      <c r="AQ91" s="231"/>
    </row>
    <row r="92" spans="1:43" s="203" customFormat="1" ht="12.75" customHeight="1">
      <c r="A92" s="109"/>
      <c r="B92" s="132"/>
      <c r="C92" s="132"/>
      <c r="D92" s="132"/>
      <c r="E92" s="859"/>
      <c r="F92" s="859"/>
      <c r="G92" s="29"/>
      <c r="H92" s="859"/>
      <c r="I92" s="29"/>
      <c r="J92" s="231"/>
      <c r="K92" s="231"/>
      <c r="L92" s="231"/>
      <c r="M92" s="231"/>
      <c r="N92" s="231"/>
      <c r="O92" s="231"/>
      <c r="P92" s="231"/>
      <c r="Q92" s="231"/>
      <c r="R92" s="231"/>
      <c r="S92" s="231"/>
      <c r="T92" s="231"/>
      <c r="U92" s="231"/>
      <c r="V92" s="231"/>
      <c r="W92" s="231"/>
      <c r="X92" s="231"/>
      <c r="Y92" s="231"/>
      <c r="Z92" s="231"/>
      <c r="AA92" s="231"/>
      <c r="AB92" s="231"/>
      <c r="AC92" s="231"/>
      <c r="AD92" s="231"/>
      <c r="AE92" s="231"/>
      <c r="AF92" s="231"/>
      <c r="AG92" s="231"/>
      <c r="AH92" s="231"/>
      <c r="AI92" s="231"/>
      <c r="AJ92" s="231"/>
      <c r="AK92" s="231"/>
      <c r="AL92" s="231"/>
      <c r="AM92" s="231"/>
      <c r="AN92" s="231"/>
      <c r="AO92" s="231"/>
      <c r="AP92" s="231"/>
      <c r="AQ92" s="231"/>
    </row>
    <row r="93" spans="1:43" s="203" customFormat="1">
      <c r="A93" s="109" t="s">
        <v>103</v>
      </c>
      <c r="B93" s="132"/>
      <c r="C93" s="132"/>
      <c r="D93" s="132"/>
      <c r="E93" s="859"/>
      <c r="F93" s="859"/>
      <c r="G93" s="29"/>
      <c r="H93" s="859"/>
      <c r="I93" s="29"/>
      <c r="J93" s="231"/>
      <c r="K93" s="231"/>
      <c r="L93" s="231"/>
      <c r="M93" s="231"/>
      <c r="N93" s="231"/>
      <c r="O93" s="231"/>
      <c r="P93" s="231"/>
      <c r="Q93" s="231"/>
      <c r="R93" s="231"/>
      <c r="S93" s="231"/>
      <c r="T93" s="231"/>
      <c r="U93" s="231"/>
      <c r="V93" s="231"/>
      <c r="W93" s="231"/>
      <c r="X93" s="231"/>
      <c r="Y93" s="231"/>
      <c r="Z93" s="231"/>
      <c r="AA93" s="231"/>
      <c r="AB93" s="231"/>
      <c r="AC93" s="231"/>
      <c r="AD93" s="231"/>
      <c r="AE93" s="231"/>
      <c r="AF93" s="231"/>
      <c r="AG93" s="231"/>
      <c r="AH93" s="231"/>
      <c r="AI93" s="231"/>
      <c r="AJ93" s="231"/>
      <c r="AK93" s="231"/>
      <c r="AL93" s="231"/>
      <c r="AM93" s="231"/>
      <c r="AN93" s="231"/>
      <c r="AO93" s="231"/>
      <c r="AP93" s="231"/>
      <c r="AQ93" s="231"/>
    </row>
    <row r="94" spans="1:43" s="203" customFormat="1">
      <c r="A94" s="109" t="s">
        <v>83</v>
      </c>
      <c r="B94" s="132"/>
      <c r="C94" s="132"/>
      <c r="D94" s="132"/>
      <c r="E94" s="859"/>
      <c r="F94" s="859"/>
      <c r="G94" s="130"/>
      <c r="H94" s="859"/>
      <c r="I94" s="29"/>
      <c r="J94" s="231"/>
      <c r="K94" s="231"/>
      <c r="L94" s="231"/>
      <c r="M94" s="231"/>
      <c r="N94" s="231"/>
      <c r="O94" s="231"/>
      <c r="P94" s="231"/>
      <c r="Q94" s="231"/>
      <c r="R94" s="231"/>
      <c r="S94" s="231"/>
      <c r="T94" s="231"/>
      <c r="U94" s="231"/>
      <c r="V94" s="231"/>
      <c r="W94" s="231"/>
      <c r="X94" s="231"/>
      <c r="Y94" s="231"/>
      <c r="Z94" s="231"/>
      <c r="AA94" s="231"/>
      <c r="AB94" s="231"/>
      <c r="AC94" s="231"/>
      <c r="AD94" s="231"/>
      <c r="AE94" s="231"/>
      <c r="AF94" s="231"/>
      <c r="AG94" s="231"/>
      <c r="AH94" s="231"/>
      <c r="AI94" s="231"/>
      <c r="AJ94" s="231"/>
      <c r="AK94" s="231"/>
      <c r="AL94" s="231"/>
      <c r="AM94" s="231"/>
      <c r="AN94" s="231"/>
      <c r="AO94" s="231"/>
      <c r="AP94" s="231"/>
      <c r="AQ94" s="231"/>
    </row>
    <row r="95" spans="1:43" s="203" customFormat="1">
      <c r="A95" s="110" t="s">
        <v>84</v>
      </c>
      <c r="B95" s="132"/>
      <c r="C95" s="132"/>
      <c r="D95" s="132"/>
      <c r="E95" s="860"/>
      <c r="F95" s="860"/>
      <c r="G95" s="130"/>
      <c r="H95" s="860"/>
      <c r="I95" s="130"/>
      <c r="J95" s="231"/>
      <c r="K95" s="231"/>
      <c r="L95" s="231"/>
      <c r="M95" s="231"/>
      <c r="N95" s="231"/>
      <c r="O95" s="231"/>
      <c r="P95" s="231"/>
      <c r="Q95" s="231"/>
      <c r="R95" s="231"/>
      <c r="S95" s="231"/>
      <c r="T95" s="231"/>
      <c r="U95" s="231"/>
      <c r="V95" s="231"/>
      <c r="W95" s="231"/>
      <c r="X95" s="231"/>
      <c r="Y95" s="231"/>
      <c r="Z95" s="231"/>
      <c r="AA95" s="231"/>
      <c r="AB95" s="231"/>
      <c r="AC95" s="231"/>
      <c r="AD95" s="231"/>
      <c r="AE95" s="231"/>
      <c r="AF95" s="231"/>
      <c r="AG95" s="231"/>
      <c r="AH95" s="231"/>
      <c r="AI95" s="231"/>
      <c r="AJ95" s="231"/>
      <c r="AK95" s="231"/>
      <c r="AL95" s="231"/>
      <c r="AM95" s="231"/>
      <c r="AN95" s="231"/>
      <c r="AO95" s="231"/>
      <c r="AP95" s="231"/>
      <c r="AQ95" s="231"/>
    </row>
    <row r="96" spans="1:43" s="203" customFormat="1">
      <c r="A96" s="120">
        <v>1</v>
      </c>
      <c r="B96" s="47" t="s">
        <v>104</v>
      </c>
      <c r="C96" s="47"/>
      <c r="D96" s="47"/>
      <c r="E96" s="41">
        <v>196</v>
      </c>
      <c r="F96" s="52">
        <f>211</f>
        <v>211</v>
      </c>
      <c r="G96" s="118"/>
      <c r="H96" s="133">
        <v>195</v>
      </c>
      <c r="I96" s="139"/>
      <c r="J96" s="231"/>
      <c r="K96" s="231"/>
      <c r="L96" s="231"/>
      <c r="M96" s="231"/>
      <c r="N96" s="231"/>
      <c r="O96" s="231"/>
      <c r="P96" s="231"/>
      <c r="Q96" s="231"/>
      <c r="R96" s="231"/>
      <c r="S96" s="231"/>
      <c r="T96" s="231"/>
      <c r="U96" s="231"/>
      <c r="V96" s="231"/>
      <c r="W96" s="231"/>
      <c r="X96" s="231"/>
      <c r="Y96" s="231"/>
      <c r="Z96" s="231"/>
      <c r="AA96" s="231"/>
      <c r="AB96" s="231"/>
      <c r="AC96" s="231"/>
      <c r="AD96" s="231"/>
      <c r="AE96" s="231"/>
      <c r="AF96" s="231"/>
      <c r="AG96" s="231"/>
      <c r="AH96" s="231"/>
      <c r="AI96" s="231"/>
      <c r="AJ96" s="231"/>
      <c r="AK96" s="231"/>
      <c r="AL96" s="231"/>
      <c r="AM96" s="231"/>
      <c r="AN96" s="231"/>
      <c r="AO96" s="231"/>
      <c r="AP96" s="231"/>
      <c r="AQ96" s="231"/>
    </row>
    <row r="97" spans="1:43" s="203" customFormat="1">
      <c r="A97" s="120">
        <v>2</v>
      </c>
      <c r="B97" s="47" t="s">
        <v>105</v>
      </c>
      <c r="C97" s="47"/>
      <c r="D97" s="47"/>
      <c r="E97" s="49">
        <v>80</v>
      </c>
      <c r="F97" s="52">
        <v>80</v>
      </c>
      <c r="G97" s="118"/>
      <c r="H97" s="122">
        <v>80</v>
      </c>
      <c r="I97" s="139"/>
      <c r="J97" s="231"/>
      <c r="K97" s="231"/>
      <c r="L97" s="231"/>
      <c r="M97" s="231"/>
      <c r="N97" s="231"/>
      <c r="O97" s="231"/>
      <c r="P97" s="231"/>
      <c r="Q97" s="231"/>
      <c r="R97" s="231"/>
      <c r="S97" s="231"/>
      <c r="T97" s="231"/>
      <c r="U97" s="231"/>
      <c r="V97" s="231"/>
      <c r="W97" s="231"/>
      <c r="X97" s="231"/>
      <c r="Y97" s="231"/>
      <c r="Z97" s="231"/>
      <c r="AA97" s="231"/>
      <c r="AB97" s="231"/>
      <c r="AC97" s="231"/>
      <c r="AD97" s="231"/>
      <c r="AE97" s="231"/>
      <c r="AF97" s="231"/>
      <c r="AG97" s="231"/>
      <c r="AH97" s="231"/>
      <c r="AI97" s="231"/>
      <c r="AJ97" s="231"/>
      <c r="AK97" s="231"/>
      <c r="AL97" s="231"/>
      <c r="AM97" s="231"/>
      <c r="AN97" s="231"/>
      <c r="AO97" s="231"/>
      <c r="AP97" s="231"/>
      <c r="AQ97" s="231"/>
    </row>
    <row r="98" spans="1:43" s="203" customFormat="1">
      <c r="A98" s="120">
        <v>3</v>
      </c>
      <c r="B98" s="47" t="s">
        <v>106</v>
      </c>
      <c r="C98" s="47"/>
      <c r="D98" s="47"/>
      <c r="E98" s="114">
        <v>16649</v>
      </c>
      <c r="F98" s="50">
        <f>F115</f>
        <v>17433</v>
      </c>
      <c r="G98" s="118"/>
      <c r="H98" s="50">
        <f>H115</f>
        <v>16862</v>
      </c>
      <c r="I98" s="139"/>
      <c r="J98" s="231"/>
      <c r="K98" s="231"/>
      <c r="L98" s="231"/>
      <c r="M98" s="231"/>
      <c r="N98" s="231"/>
      <c r="O98" s="231"/>
      <c r="P98" s="231"/>
      <c r="Q98" s="231"/>
      <c r="R98" s="231"/>
      <c r="S98" s="231"/>
      <c r="T98" s="231"/>
      <c r="U98" s="231"/>
      <c r="V98" s="231"/>
      <c r="W98" s="231"/>
      <c r="X98" s="231"/>
      <c r="Y98" s="231"/>
      <c r="Z98" s="231"/>
      <c r="AA98" s="231"/>
      <c r="AB98" s="231"/>
      <c r="AC98" s="231"/>
      <c r="AD98" s="231"/>
      <c r="AE98" s="231"/>
      <c r="AF98" s="231"/>
      <c r="AG98" s="231"/>
      <c r="AH98" s="231"/>
      <c r="AI98" s="231"/>
      <c r="AJ98" s="231"/>
      <c r="AK98" s="231"/>
      <c r="AL98" s="231"/>
      <c r="AM98" s="231"/>
      <c r="AN98" s="231"/>
      <c r="AO98" s="231"/>
      <c r="AP98" s="231"/>
      <c r="AQ98" s="231"/>
    </row>
    <row r="99" spans="1:43" s="203" customFormat="1">
      <c r="A99" s="120">
        <v>4</v>
      </c>
      <c r="B99" s="47" t="s">
        <v>107</v>
      </c>
      <c r="C99" s="47"/>
      <c r="D99" s="47"/>
      <c r="E99" s="114">
        <v>32810</v>
      </c>
      <c r="F99" s="50">
        <f>F125</f>
        <v>35191</v>
      </c>
      <c r="G99" s="118"/>
      <c r="H99" s="50">
        <f>H125</f>
        <v>34123</v>
      </c>
      <c r="I99" s="139"/>
      <c r="J99" s="231"/>
      <c r="K99" s="231"/>
      <c r="L99" s="231"/>
      <c r="M99" s="231"/>
      <c r="N99" s="231"/>
      <c r="O99" s="231"/>
      <c r="P99" s="231"/>
      <c r="Q99" s="231"/>
      <c r="R99" s="231"/>
      <c r="S99" s="231"/>
      <c r="T99" s="231"/>
      <c r="U99" s="231"/>
      <c r="V99" s="231"/>
      <c r="W99" s="231"/>
      <c r="X99" s="231"/>
      <c r="Y99" s="231"/>
      <c r="Z99" s="231"/>
      <c r="AA99" s="231"/>
      <c r="AB99" s="231"/>
      <c r="AC99" s="231"/>
      <c r="AD99" s="231"/>
      <c r="AE99" s="231"/>
      <c r="AF99" s="231"/>
      <c r="AG99" s="231"/>
      <c r="AH99" s="231"/>
      <c r="AI99" s="231"/>
      <c r="AJ99" s="231"/>
      <c r="AK99" s="231"/>
      <c r="AL99" s="231"/>
      <c r="AM99" s="231"/>
      <c r="AN99" s="231"/>
      <c r="AO99" s="231"/>
      <c r="AP99" s="231"/>
      <c r="AQ99" s="231"/>
    </row>
    <row r="100" spans="1:43" s="203" customFormat="1">
      <c r="A100" s="120">
        <v>5</v>
      </c>
      <c r="B100" s="47" t="s">
        <v>108</v>
      </c>
      <c r="C100" s="47"/>
      <c r="D100" s="47"/>
      <c r="E100" s="114">
        <v>3286</v>
      </c>
      <c r="F100" s="50">
        <f>F135</f>
        <v>3406</v>
      </c>
      <c r="G100" s="118"/>
      <c r="H100" s="50">
        <f>H135</f>
        <v>3423</v>
      </c>
      <c r="I100" s="139"/>
      <c r="J100" s="231"/>
      <c r="K100" s="231"/>
      <c r="L100" s="231"/>
      <c r="M100" s="231"/>
      <c r="N100" s="231"/>
      <c r="O100" s="231"/>
      <c r="P100" s="231"/>
      <c r="Q100" s="231"/>
      <c r="R100" s="231"/>
      <c r="S100" s="231"/>
      <c r="T100" s="231"/>
      <c r="U100" s="231"/>
      <c r="V100" s="231"/>
      <c r="W100" s="231"/>
      <c r="X100" s="231"/>
      <c r="Y100" s="231"/>
      <c r="Z100" s="231"/>
      <c r="AA100" s="231"/>
      <c r="AB100" s="231"/>
      <c r="AC100" s="231"/>
      <c r="AD100" s="231"/>
      <c r="AE100" s="231"/>
      <c r="AF100" s="231"/>
      <c r="AG100" s="231"/>
      <c r="AH100" s="231"/>
      <c r="AI100" s="231"/>
      <c r="AJ100" s="231"/>
      <c r="AK100" s="231"/>
      <c r="AL100" s="231"/>
      <c r="AM100" s="231"/>
      <c r="AN100" s="231"/>
      <c r="AO100" s="231"/>
      <c r="AP100" s="231"/>
      <c r="AQ100" s="231"/>
    </row>
    <row r="101" spans="1:43" s="203" customFormat="1">
      <c r="A101" s="120">
        <v>6</v>
      </c>
      <c r="B101" s="47" t="s">
        <v>109</v>
      </c>
      <c r="C101" s="47"/>
      <c r="D101" s="47"/>
      <c r="E101" s="114">
        <v>16807</v>
      </c>
      <c r="F101" s="50">
        <f>F143</f>
        <v>17106</v>
      </c>
      <c r="G101" s="118"/>
      <c r="H101" s="50">
        <f>H143</f>
        <v>18218</v>
      </c>
      <c r="I101" s="139"/>
      <c r="J101" s="231"/>
      <c r="K101" s="231"/>
      <c r="L101" s="231"/>
      <c r="M101" s="231"/>
      <c r="N101" s="231"/>
      <c r="O101" s="231"/>
      <c r="P101" s="231"/>
      <c r="Q101" s="231"/>
      <c r="R101" s="231"/>
      <c r="S101" s="231"/>
      <c r="T101" s="231"/>
      <c r="U101" s="231"/>
      <c r="V101" s="231"/>
      <c r="W101" s="231"/>
      <c r="X101" s="231"/>
      <c r="Y101" s="231"/>
      <c r="Z101" s="231"/>
      <c r="AA101" s="231"/>
      <c r="AB101" s="231"/>
      <c r="AC101" s="231"/>
      <c r="AD101" s="231"/>
      <c r="AE101" s="231"/>
      <c r="AF101" s="231"/>
      <c r="AG101" s="231"/>
      <c r="AH101" s="231"/>
      <c r="AI101" s="231"/>
      <c r="AJ101" s="231"/>
      <c r="AK101" s="231"/>
      <c r="AL101" s="231"/>
      <c r="AM101" s="231"/>
      <c r="AN101" s="231"/>
      <c r="AO101" s="231"/>
      <c r="AP101" s="231"/>
      <c r="AQ101" s="231"/>
    </row>
    <row r="102" spans="1:43" s="203" customFormat="1">
      <c r="A102" s="120">
        <v>7</v>
      </c>
      <c r="B102" s="47" t="s">
        <v>110</v>
      </c>
      <c r="C102" s="47"/>
      <c r="D102" s="47"/>
      <c r="E102" s="114">
        <v>3101</v>
      </c>
      <c r="F102" s="50">
        <f>F150</f>
        <v>2998</v>
      </c>
      <c r="G102" s="118"/>
      <c r="H102" s="50">
        <f>H150</f>
        <v>3441</v>
      </c>
      <c r="I102" s="139"/>
      <c r="J102" s="231"/>
      <c r="K102" s="231"/>
      <c r="L102" s="231"/>
      <c r="M102" s="231"/>
      <c r="N102" s="231"/>
      <c r="O102" s="231"/>
      <c r="P102" s="231"/>
      <c r="Q102" s="231"/>
      <c r="R102" s="231"/>
      <c r="S102" s="231"/>
      <c r="T102" s="231"/>
      <c r="U102" s="231"/>
      <c r="V102" s="231"/>
      <c r="W102" s="231"/>
      <c r="X102" s="231"/>
      <c r="Y102" s="231"/>
      <c r="Z102" s="231"/>
      <c r="AA102" s="231"/>
      <c r="AB102" s="231"/>
      <c r="AC102" s="231"/>
      <c r="AD102" s="231"/>
      <c r="AE102" s="231"/>
      <c r="AF102" s="231"/>
      <c r="AG102" s="231"/>
      <c r="AH102" s="231"/>
      <c r="AI102" s="231"/>
      <c r="AJ102" s="231"/>
      <c r="AK102" s="231"/>
      <c r="AL102" s="231"/>
      <c r="AM102" s="231"/>
      <c r="AN102" s="231"/>
      <c r="AO102" s="231"/>
      <c r="AP102" s="231"/>
      <c r="AQ102" s="231"/>
    </row>
    <row r="103" spans="1:43" s="203" customFormat="1">
      <c r="A103" s="120">
        <v>8</v>
      </c>
      <c r="B103" s="47" t="s">
        <v>111</v>
      </c>
      <c r="C103" s="47"/>
      <c r="D103" s="47"/>
      <c r="E103" s="114">
        <v>223</v>
      </c>
      <c r="F103" s="52">
        <f>194</f>
        <v>194</v>
      </c>
      <c r="G103" s="118"/>
      <c r="H103" s="122">
        <v>255</v>
      </c>
      <c r="I103" s="139"/>
      <c r="J103" s="231"/>
      <c r="K103" s="231"/>
      <c r="L103" s="231"/>
      <c r="M103" s="231"/>
      <c r="N103" s="231"/>
      <c r="O103" s="231"/>
      <c r="P103" s="231"/>
      <c r="Q103" s="231"/>
      <c r="R103" s="231"/>
      <c r="S103" s="231"/>
      <c r="T103" s="231"/>
      <c r="U103" s="231"/>
      <c r="V103" s="231"/>
      <c r="W103" s="231"/>
      <c r="X103" s="231"/>
      <c r="Y103" s="231"/>
      <c r="Z103" s="231"/>
      <c r="AA103" s="231"/>
      <c r="AB103" s="231"/>
      <c r="AC103" s="231"/>
      <c r="AD103" s="231"/>
      <c r="AE103" s="231"/>
      <c r="AF103" s="231"/>
      <c r="AG103" s="231"/>
      <c r="AH103" s="231"/>
      <c r="AI103" s="231"/>
      <c r="AJ103" s="231"/>
      <c r="AK103" s="231"/>
      <c r="AL103" s="231"/>
      <c r="AM103" s="231"/>
      <c r="AN103" s="231"/>
      <c r="AO103" s="231"/>
      <c r="AP103" s="231"/>
      <c r="AQ103" s="231"/>
    </row>
    <row r="104" spans="1:43" s="203" customFormat="1">
      <c r="A104" s="120">
        <v>9</v>
      </c>
      <c r="B104" s="47" t="s">
        <v>112</v>
      </c>
      <c r="C104" s="47"/>
      <c r="D104" s="47"/>
      <c r="E104" s="114">
        <v>1983</v>
      </c>
      <c r="F104" s="52">
        <f>17+1670</f>
        <v>1687</v>
      </c>
      <c r="G104" s="118"/>
      <c r="H104" s="122">
        <v>2038</v>
      </c>
      <c r="I104" s="139"/>
      <c r="J104" s="231"/>
      <c r="K104" s="231"/>
      <c r="L104" s="231"/>
      <c r="M104" s="231"/>
      <c r="N104" s="231"/>
      <c r="O104" s="231"/>
      <c r="P104" s="231"/>
      <c r="Q104" s="231"/>
      <c r="R104" s="231"/>
      <c r="S104" s="231"/>
      <c r="T104" s="231"/>
      <c r="U104" s="231"/>
      <c r="V104" s="231"/>
      <c r="W104" s="231"/>
      <c r="X104" s="231"/>
      <c r="Y104" s="231"/>
      <c r="Z104" s="231"/>
      <c r="AA104" s="231"/>
      <c r="AB104" s="231"/>
      <c r="AC104" s="231"/>
      <c r="AD104" s="231"/>
      <c r="AE104" s="231"/>
      <c r="AF104" s="231"/>
      <c r="AG104" s="231"/>
      <c r="AH104" s="231"/>
      <c r="AI104" s="231"/>
      <c r="AJ104" s="231"/>
      <c r="AK104" s="231"/>
      <c r="AL104" s="231"/>
      <c r="AM104" s="231"/>
      <c r="AN104" s="231"/>
      <c r="AO104" s="231"/>
      <c r="AP104" s="231"/>
      <c r="AQ104" s="231"/>
    </row>
    <row r="105" spans="1:43" s="203" customFormat="1">
      <c r="A105" s="111" t="s">
        <v>113</v>
      </c>
      <c r="B105" s="116" t="s">
        <v>114</v>
      </c>
      <c r="C105" s="116"/>
      <c r="D105" s="47"/>
      <c r="E105" s="134">
        <v>75135</v>
      </c>
      <c r="F105" s="61">
        <f>SUM(F96:F104)</f>
        <v>78306</v>
      </c>
      <c r="G105" s="118"/>
      <c r="H105" s="61">
        <f>SUM(H96:H104)</f>
        <v>78635</v>
      </c>
      <c r="I105" s="139"/>
      <c r="J105" s="231"/>
      <c r="K105" s="231"/>
      <c r="L105" s="231"/>
      <c r="M105" s="231"/>
      <c r="N105" s="231"/>
      <c r="O105" s="231"/>
      <c r="P105" s="231"/>
      <c r="Q105" s="231"/>
      <c r="R105" s="231"/>
      <c r="S105" s="231"/>
      <c r="T105" s="231"/>
      <c r="U105" s="231"/>
      <c r="V105" s="231"/>
      <c r="W105" s="231"/>
      <c r="X105" s="231"/>
      <c r="Y105" s="231"/>
      <c r="Z105" s="231"/>
      <c r="AA105" s="231"/>
      <c r="AB105" s="231"/>
      <c r="AC105" s="231"/>
      <c r="AD105" s="231"/>
      <c r="AE105" s="231"/>
      <c r="AF105" s="231"/>
      <c r="AG105" s="231"/>
      <c r="AH105" s="231"/>
      <c r="AI105" s="231"/>
      <c r="AJ105" s="231"/>
      <c r="AK105" s="231"/>
      <c r="AL105" s="231"/>
      <c r="AM105" s="231"/>
      <c r="AN105" s="231"/>
      <c r="AO105" s="231"/>
      <c r="AP105" s="231"/>
      <c r="AQ105" s="231"/>
    </row>
    <row r="106" spans="1:43" s="203" customFormat="1">
      <c r="A106" s="120">
        <v>11</v>
      </c>
      <c r="B106" s="90" t="s">
        <v>115</v>
      </c>
      <c r="C106" s="47"/>
      <c r="D106" s="47"/>
      <c r="E106" s="135">
        <v>0</v>
      </c>
      <c r="F106" s="136"/>
      <c r="G106" s="118"/>
      <c r="H106" s="137"/>
      <c r="I106" s="139"/>
      <c r="J106" s="231"/>
      <c r="K106" s="231"/>
      <c r="L106" s="231"/>
      <c r="M106" s="231"/>
      <c r="N106" s="231"/>
      <c r="O106" s="231"/>
      <c r="P106" s="231"/>
      <c r="Q106" s="231"/>
      <c r="R106" s="231"/>
      <c r="S106" s="231"/>
      <c r="T106" s="231"/>
      <c r="U106" s="231"/>
      <c r="V106" s="231"/>
      <c r="W106" s="231"/>
      <c r="X106" s="231"/>
      <c r="Y106" s="231"/>
      <c r="Z106" s="231"/>
      <c r="AA106" s="231"/>
      <c r="AB106" s="231"/>
      <c r="AC106" s="231"/>
      <c r="AD106" s="231"/>
      <c r="AE106" s="231"/>
      <c r="AF106" s="231"/>
      <c r="AG106" s="231"/>
      <c r="AH106" s="231"/>
      <c r="AI106" s="231"/>
      <c r="AJ106" s="231"/>
      <c r="AK106" s="231"/>
      <c r="AL106" s="231"/>
      <c r="AM106" s="231"/>
      <c r="AN106" s="231"/>
      <c r="AO106" s="231"/>
      <c r="AP106" s="231"/>
      <c r="AQ106" s="231"/>
    </row>
    <row r="107" spans="1:43" s="203" customFormat="1">
      <c r="A107" s="111"/>
      <c r="B107" s="47"/>
      <c r="C107" s="47"/>
      <c r="D107" s="138"/>
      <c r="E107" s="117"/>
      <c r="F107" s="139"/>
      <c r="G107" s="139"/>
      <c r="H107" s="139"/>
      <c r="I107" s="139"/>
      <c r="J107" s="231"/>
      <c r="K107" s="231"/>
      <c r="L107" s="231"/>
      <c r="M107" s="231"/>
      <c r="N107" s="231"/>
      <c r="O107" s="231"/>
      <c r="P107" s="231"/>
      <c r="Q107" s="231"/>
      <c r="R107" s="231"/>
      <c r="S107" s="231"/>
      <c r="T107" s="231"/>
      <c r="U107" s="231"/>
      <c r="V107" s="231"/>
      <c r="W107" s="231"/>
      <c r="X107" s="231"/>
      <c r="Y107" s="231"/>
      <c r="Z107" s="231"/>
      <c r="AA107" s="231"/>
      <c r="AB107" s="231"/>
      <c r="AC107" s="231"/>
      <c r="AD107" s="231"/>
      <c r="AE107" s="231"/>
      <c r="AF107" s="231"/>
      <c r="AG107" s="231"/>
      <c r="AH107" s="231"/>
      <c r="AI107" s="231"/>
      <c r="AJ107" s="231"/>
      <c r="AK107" s="231"/>
      <c r="AL107" s="231"/>
      <c r="AM107" s="231"/>
      <c r="AN107" s="231"/>
      <c r="AO107" s="231"/>
      <c r="AP107" s="231"/>
      <c r="AQ107" s="231"/>
    </row>
    <row r="108" spans="1:43" s="203" customFormat="1">
      <c r="A108" s="119" t="s">
        <v>116</v>
      </c>
      <c r="B108" s="47"/>
      <c r="C108" s="47"/>
      <c r="D108" s="47"/>
      <c r="E108" s="117"/>
      <c r="F108" s="139"/>
      <c r="G108" s="139"/>
      <c r="H108" s="139"/>
      <c r="I108" s="139"/>
      <c r="J108" s="231"/>
      <c r="K108" s="231"/>
      <c r="L108" s="231"/>
      <c r="M108" s="231"/>
      <c r="N108" s="231"/>
      <c r="O108" s="231"/>
      <c r="P108" s="231"/>
      <c r="Q108" s="231"/>
      <c r="R108" s="231"/>
      <c r="S108" s="231"/>
      <c r="T108" s="231"/>
      <c r="U108" s="231"/>
      <c r="V108" s="231"/>
      <c r="W108" s="231"/>
      <c r="X108" s="231"/>
      <c r="Y108" s="231"/>
      <c r="Z108" s="231"/>
      <c r="AA108" s="231"/>
      <c r="AB108" s="231"/>
      <c r="AC108" s="231"/>
      <c r="AD108" s="231"/>
      <c r="AE108" s="231"/>
      <c r="AF108" s="231"/>
      <c r="AG108" s="231"/>
      <c r="AH108" s="231"/>
      <c r="AI108" s="231"/>
      <c r="AJ108" s="231"/>
      <c r="AK108" s="231"/>
      <c r="AL108" s="231"/>
      <c r="AM108" s="231"/>
      <c r="AN108" s="231"/>
      <c r="AO108" s="231"/>
      <c r="AP108" s="231"/>
      <c r="AQ108" s="231"/>
    </row>
    <row r="109" spans="1:43" s="203" customFormat="1">
      <c r="A109" s="119" t="s">
        <v>106</v>
      </c>
      <c r="B109" s="47"/>
      <c r="C109" s="47"/>
      <c r="D109" s="47"/>
      <c r="E109" s="140"/>
      <c r="F109" s="141"/>
      <c r="G109" s="139"/>
      <c r="H109" s="141"/>
      <c r="I109" s="139"/>
      <c r="J109" s="231"/>
      <c r="K109" s="231"/>
      <c r="L109" s="231"/>
      <c r="M109" s="231"/>
      <c r="N109" s="231"/>
      <c r="O109" s="231"/>
      <c r="P109" s="231"/>
      <c r="Q109" s="231"/>
      <c r="R109" s="231"/>
      <c r="S109" s="231"/>
      <c r="T109" s="231"/>
      <c r="U109" s="231"/>
      <c r="V109" s="231"/>
      <c r="W109" s="231"/>
      <c r="X109" s="231"/>
      <c r="Y109" s="231"/>
      <c r="Z109" s="231"/>
      <c r="AA109" s="231"/>
      <c r="AB109" s="231"/>
      <c r="AC109" s="231"/>
      <c r="AD109" s="231"/>
      <c r="AE109" s="231"/>
      <c r="AF109" s="231"/>
      <c r="AG109" s="231"/>
      <c r="AH109" s="231"/>
      <c r="AI109" s="231"/>
      <c r="AJ109" s="231"/>
      <c r="AK109" s="231"/>
      <c r="AL109" s="231"/>
      <c r="AM109" s="231"/>
      <c r="AN109" s="231"/>
      <c r="AO109" s="231"/>
      <c r="AP109" s="231"/>
      <c r="AQ109" s="231"/>
    </row>
    <row r="110" spans="1:43" s="203" customFormat="1">
      <c r="A110" s="120">
        <v>12</v>
      </c>
      <c r="B110" s="47" t="s">
        <v>117</v>
      </c>
      <c r="C110" s="47"/>
      <c r="D110" s="47"/>
      <c r="E110" s="49">
        <v>2871</v>
      </c>
      <c r="F110" s="52">
        <f>3149+40</f>
        <v>3189</v>
      </c>
      <c r="G110" s="118"/>
      <c r="H110" s="122">
        <v>3214</v>
      </c>
      <c r="I110" s="139"/>
      <c r="J110" s="231"/>
      <c r="K110" s="231"/>
      <c r="L110" s="231"/>
      <c r="M110" s="231"/>
      <c r="N110" s="231"/>
      <c r="O110" s="231"/>
      <c r="P110" s="231"/>
      <c r="Q110" s="231"/>
      <c r="R110" s="231"/>
      <c r="S110" s="231"/>
      <c r="T110" s="231"/>
      <c r="U110" s="231"/>
      <c r="V110" s="231"/>
      <c r="W110" s="231"/>
      <c r="X110" s="231"/>
      <c r="Y110" s="231"/>
      <c r="Z110" s="231"/>
      <c r="AA110" s="231"/>
      <c r="AB110" s="231"/>
      <c r="AC110" s="231"/>
      <c r="AD110" s="231"/>
      <c r="AE110" s="231"/>
      <c r="AF110" s="231"/>
      <c r="AG110" s="231"/>
      <c r="AH110" s="231"/>
      <c r="AI110" s="231"/>
      <c r="AJ110" s="231"/>
      <c r="AK110" s="231"/>
      <c r="AL110" s="231"/>
      <c r="AM110" s="231"/>
      <c r="AN110" s="231"/>
      <c r="AO110" s="231"/>
      <c r="AP110" s="231"/>
      <c r="AQ110" s="231"/>
    </row>
    <row r="111" spans="1:43" s="203" customFormat="1">
      <c r="A111" s="120">
        <v>13</v>
      </c>
      <c r="B111" s="47" t="s">
        <v>118</v>
      </c>
      <c r="C111" s="47"/>
      <c r="D111" s="47"/>
      <c r="E111" s="49">
        <v>5836</v>
      </c>
      <c r="F111" s="52">
        <f>5085</f>
        <v>5085</v>
      </c>
      <c r="G111" s="118"/>
      <c r="H111" s="122">
        <v>5813</v>
      </c>
      <c r="I111" s="139"/>
      <c r="J111" s="231"/>
      <c r="K111" s="231"/>
      <c r="L111" s="231"/>
      <c r="M111" s="231"/>
      <c r="N111" s="231"/>
      <c r="O111" s="231"/>
      <c r="P111" s="231"/>
      <c r="Q111" s="231"/>
      <c r="R111" s="231"/>
      <c r="S111" s="231"/>
      <c r="T111" s="231"/>
      <c r="U111" s="231"/>
      <c r="V111" s="231"/>
      <c r="W111" s="231"/>
      <c r="X111" s="231"/>
      <c r="Y111" s="231"/>
      <c r="Z111" s="231"/>
      <c r="AA111" s="231"/>
      <c r="AB111" s="231"/>
      <c r="AC111" s="231"/>
      <c r="AD111" s="231"/>
      <c r="AE111" s="231"/>
      <c r="AF111" s="231"/>
      <c r="AG111" s="231"/>
      <c r="AH111" s="231"/>
      <c r="AI111" s="231"/>
      <c r="AJ111" s="231"/>
      <c r="AK111" s="231"/>
      <c r="AL111" s="231"/>
      <c r="AM111" s="231"/>
      <c r="AN111" s="231"/>
      <c r="AO111" s="231"/>
      <c r="AP111" s="231"/>
      <c r="AQ111" s="231"/>
    </row>
    <row r="112" spans="1:43" s="203" customFormat="1">
      <c r="A112" s="120">
        <v>14</v>
      </c>
      <c r="B112" s="47" t="s">
        <v>119</v>
      </c>
      <c r="C112" s="47"/>
      <c r="D112" s="47"/>
      <c r="E112" s="49">
        <v>5734</v>
      </c>
      <c r="F112" s="52">
        <f>6733+68</f>
        <v>6801</v>
      </c>
      <c r="G112" s="118"/>
      <c r="H112" s="122">
        <v>5630</v>
      </c>
      <c r="I112" s="139"/>
      <c r="J112" s="231"/>
      <c r="K112" s="231"/>
      <c r="L112" s="231"/>
      <c r="M112" s="231"/>
      <c r="N112" s="231"/>
      <c r="O112" s="231"/>
      <c r="P112" s="231"/>
      <c r="Q112" s="231"/>
      <c r="R112" s="231"/>
      <c r="S112" s="231"/>
      <c r="T112" s="231"/>
      <c r="U112" s="231"/>
      <c r="V112" s="231"/>
      <c r="W112" s="231"/>
      <c r="X112" s="231"/>
      <c r="Y112" s="231"/>
      <c r="Z112" s="231"/>
      <c r="AA112" s="231"/>
      <c r="AB112" s="231"/>
      <c r="AC112" s="231"/>
      <c r="AD112" s="231"/>
      <c r="AE112" s="231"/>
      <c r="AF112" s="231"/>
      <c r="AG112" s="231"/>
      <c r="AH112" s="231"/>
      <c r="AI112" s="231"/>
      <c r="AJ112" s="231"/>
      <c r="AK112" s="231"/>
      <c r="AL112" s="231"/>
      <c r="AM112" s="231"/>
      <c r="AN112" s="231"/>
      <c r="AO112" s="231"/>
      <c r="AP112" s="231"/>
      <c r="AQ112" s="231"/>
    </row>
    <row r="113" spans="1:43" s="203" customFormat="1">
      <c r="A113" s="120">
        <v>15</v>
      </c>
      <c r="B113" s="47" t="s">
        <v>120</v>
      </c>
      <c r="C113" s="47"/>
      <c r="D113" s="47"/>
      <c r="E113" s="49">
        <v>202</v>
      </c>
      <c r="F113" s="52">
        <f>197+66</f>
        <v>263</v>
      </c>
      <c r="G113" s="118"/>
      <c r="H113" s="122">
        <v>202</v>
      </c>
      <c r="I113" s="139"/>
      <c r="J113" s="231"/>
      <c r="K113" s="231"/>
      <c r="L113" s="231"/>
      <c r="M113" s="231"/>
      <c r="N113" s="231"/>
      <c r="O113" s="231"/>
      <c r="P113" s="231"/>
      <c r="Q113" s="231"/>
      <c r="R113" s="231"/>
      <c r="S113" s="231"/>
      <c r="T113" s="231"/>
      <c r="U113" s="231"/>
      <c r="V113" s="231"/>
      <c r="W113" s="231"/>
      <c r="X113" s="231"/>
      <c r="Y113" s="231"/>
      <c r="Z113" s="231"/>
      <c r="AA113" s="231"/>
      <c r="AB113" s="231"/>
      <c r="AC113" s="231"/>
      <c r="AD113" s="231"/>
      <c r="AE113" s="231"/>
      <c r="AF113" s="231"/>
      <c r="AG113" s="231"/>
      <c r="AH113" s="231"/>
      <c r="AI113" s="231"/>
      <c r="AJ113" s="231"/>
      <c r="AK113" s="231"/>
      <c r="AL113" s="231"/>
      <c r="AM113" s="231"/>
      <c r="AN113" s="231"/>
      <c r="AO113" s="231"/>
      <c r="AP113" s="231"/>
      <c r="AQ113" s="231"/>
    </row>
    <row r="114" spans="1:43" s="203" customFormat="1">
      <c r="A114" s="120">
        <v>16</v>
      </c>
      <c r="B114" s="47" t="s">
        <v>121</v>
      </c>
      <c r="C114" s="47"/>
      <c r="D114" s="47"/>
      <c r="E114" s="49">
        <v>2006</v>
      </c>
      <c r="F114" s="52">
        <f>2083+12</f>
        <v>2095</v>
      </c>
      <c r="G114" s="118"/>
      <c r="H114" s="100">
        <v>2003</v>
      </c>
      <c r="I114" s="139"/>
      <c r="J114" s="231"/>
      <c r="K114" s="231"/>
      <c r="L114" s="231"/>
      <c r="M114" s="231"/>
      <c r="N114" s="231"/>
      <c r="O114" s="231"/>
      <c r="P114" s="231"/>
      <c r="Q114" s="231"/>
      <c r="R114" s="231"/>
      <c r="S114" s="231"/>
      <c r="T114" s="231"/>
      <c r="U114" s="231"/>
      <c r="V114" s="231"/>
      <c r="W114" s="231"/>
      <c r="X114" s="231"/>
      <c r="Y114" s="231"/>
      <c r="Z114" s="231"/>
      <c r="AA114" s="231"/>
      <c r="AB114" s="231"/>
      <c r="AC114" s="231"/>
      <c r="AD114" s="231"/>
      <c r="AE114" s="231"/>
      <c r="AF114" s="231"/>
      <c r="AG114" s="231"/>
      <c r="AH114" s="231"/>
      <c r="AI114" s="231"/>
      <c r="AJ114" s="231"/>
      <c r="AK114" s="231"/>
      <c r="AL114" s="231"/>
      <c r="AM114" s="231"/>
      <c r="AN114" s="231"/>
      <c r="AO114" s="231"/>
      <c r="AP114" s="231"/>
      <c r="AQ114" s="231"/>
    </row>
    <row r="115" spans="1:43" s="203" customFormat="1">
      <c r="A115" s="120">
        <v>17</v>
      </c>
      <c r="B115" s="116" t="s">
        <v>122</v>
      </c>
      <c r="C115" s="116"/>
      <c r="D115" s="116"/>
      <c r="E115" s="80">
        <v>16649</v>
      </c>
      <c r="F115" s="142">
        <f>SUM(F110:F114)</f>
        <v>17433</v>
      </c>
      <c r="G115" s="118"/>
      <c r="H115" s="142">
        <f>SUM(H110:H114)</f>
        <v>16862</v>
      </c>
      <c r="I115" s="139"/>
      <c r="J115" s="231"/>
      <c r="K115" s="231"/>
      <c r="L115" s="231"/>
      <c r="M115" s="231"/>
      <c r="N115" s="231"/>
      <c r="O115" s="231"/>
      <c r="P115" s="231"/>
      <c r="Q115" s="231"/>
      <c r="R115" s="231"/>
      <c r="S115" s="231"/>
      <c r="T115" s="231"/>
      <c r="U115" s="231"/>
      <c r="V115" s="231"/>
      <c r="W115" s="231"/>
      <c r="X115" s="231"/>
      <c r="Y115" s="231"/>
      <c r="Z115" s="231"/>
      <c r="AA115" s="231"/>
      <c r="AB115" s="231"/>
      <c r="AC115" s="231"/>
      <c r="AD115" s="231"/>
      <c r="AE115" s="231"/>
      <c r="AF115" s="231"/>
      <c r="AG115" s="231"/>
      <c r="AH115" s="231"/>
      <c r="AI115" s="231"/>
      <c r="AJ115" s="231"/>
      <c r="AK115" s="231"/>
      <c r="AL115" s="231"/>
      <c r="AM115" s="231"/>
      <c r="AN115" s="231"/>
      <c r="AO115" s="231"/>
      <c r="AP115" s="231"/>
      <c r="AQ115" s="231"/>
    </row>
    <row r="116" spans="1:43" s="203" customFormat="1">
      <c r="A116" s="111"/>
      <c r="B116" s="116"/>
      <c r="C116" s="116"/>
      <c r="D116" s="116"/>
      <c r="E116" s="143"/>
      <c r="F116" s="118"/>
      <c r="G116" s="118"/>
      <c r="H116" s="118"/>
      <c r="I116" s="139"/>
      <c r="J116" s="231"/>
      <c r="K116" s="231"/>
      <c r="L116" s="231"/>
      <c r="M116" s="231"/>
      <c r="N116" s="231"/>
      <c r="O116" s="231"/>
      <c r="P116" s="231"/>
      <c r="Q116" s="231"/>
      <c r="R116" s="231"/>
      <c r="S116" s="231"/>
      <c r="T116" s="231"/>
      <c r="U116" s="231"/>
      <c r="V116" s="231"/>
      <c r="W116" s="231"/>
      <c r="X116" s="231"/>
      <c r="Y116" s="231"/>
      <c r="Z116" s="231"/>
      <c r="AA116" s="231"/>
      <c r="AB116" s="231"/>
      <c r="AC116" s="231"/>
      <c r="AD116" s="231"/>
      <c r="AE116" s="231"/>
      <c r="AF116" s="231"/>
      <c r="AG116" s="231"/>
      <c r="AH116" s="231"/>
      <c r="AI116" s="231"/>
      <c r="AJ116" s="231"/>
      <c r="AK116" s="231"/>
      <c r="AL116" s="231"/>
      <c r="AM116" s="231"/>
      <c r="AN116" s="231"/>
      <c r="AO116" s="231"/>
      <c r="AP116" s="231"/>
      <c r="AQ116" s="231"/>
    </row>
    <row r="117" spans="1:43" s="203" customFormat="1">
      <c r="A117" s="144" t="s">
        <v>107</v>
      </c>
      <c r="B117" s="116"/>
      <c r="C117" s="116"/>
      <c r="D117" s="116"/>
      <c r="E117" s="145"/>
      <c r="F117" s="146"/>
      <c r="G117" s="118"/>
      <c r="H117" s="146"/>
      <c r="I117" s="139"/>
      <c r="J117" s="231"/>
      <c r="K117" s="231"/>
      <c r="L117" s="231"/>
      <c r="M117" s="231"/>
      <c r="N117" s="231"/>
      <c r="O117" s="231"/>
      <c r="P117" s="231"/>
      <c r="Q117" s="231"/>
      <c r="R117" s="231"/>
      <c r="S117" s="231"/>
      <c r="T117" s="231"/>
      <c r="U117" s="231"/>
      <c r="V117" s="231"/>
      <c r="W117" s="231"/>
      <c r="X117" s="231"/>
      <c r="Y117" s="231"/>
      <c r="Z117" s="231"/>
      <c r="AA117" s="231"/>
      <c r="AB117" s="231"/>
      <c r="AC117" s="231"/>
      <c r="AD117" s="231"/>
      <c r="AE117" s="231"/>
      <c r="AF117" s="231"/>
      <c r="AG117" s="231"/>
      <c r="AH117" s="231"/>
      <c r="AI117" s="231"/>
      <c r="AJ117" s="231"/>
      <c r="AK117" s="231"/>
      <c r="AL117" s="231"/>
      <c r="AM117" s="231"/>
      <c r="AN117" s="231"/>
      <c r="AO117" s="231"/>
      <c r="AP117" s="231"/>
      <c r="AQ117" s="231"/>
    </row>
    <row r="118" spans="1:43" s="203" customFormat="1">
      <c r="A118" s="120">
        <v>18</v>
      </c>
      <c r="B118" s="47" t="s">
        <v>123</v>
      </c>
      <c r="C118" s="47"/>
      <c r="D118" s="47"/>
      <c r="E118" s="49">
        <v>2825</v>
      </c>
      <c r="F118" s="52">
        <f>2840</f>
        <v>2840</v>
      </c>
      <c r="G118" s="118"/>
      <c r="H118" s="122">
        <v>3201</v>
      </c>
      <c r="I118" s="139"/>
      <c r="J118" s="231"/>
      <c r="K118" s="231"/>
      <c r="L118" s="231"/>
      <c r="M118" s="231"/>
      <c r="N118" s="231"/>
      <c r="O118" s="231"/>
      <c r="P118" s="231"/>
      <c r="Q118" s="231"/>
      <c r="R118" s="231"/>
      <c r="S118" s="231"/>
      <c r="T118" s="231"/>
      <c r="U118" s="231"/>
      <c r="V118" s="231"/>
      <c r="W118" s="231"/>
      <c r="X118" s="231"/>
      <c r="Y118" s="231"/>
      <c r="Z118" s="231"/>
      <c r="AA118" s="231"/>
      <c r="AB118" s="231"/>
      <c r="AC118" s="231"/>
      <c r="AD118" s="231"/>
      <c r="AE118" s="231"/>
      <c r="AF118" s="231"/>
      <c r="AG118" s="231"/>
      <c r="AH118" s="231"/>
      <c r="AI118" s="231"/>
      <c r="AJ118" s="231"/>
      <c r="AK118" s="231"/>
      <c r="AL118" s="231"/>
      <c r="AM118" s="231"/>
      <c r="AN118" s="231"/>
      <c r="AO118" s="231"/>
      <c r="AP118" s="231"/>
      <c r="AQ118" s="231"/>
    </row>
    <row r="119" spans="1:43" s="203" customFormat="1">
      <c r="A119" s="120">
        <v>19</v>
      </c>
      <c r="B119" s="47" t="s">
        <v>124</v>
      </c>
      <c r="C119" s="47"/>
      <c r="D119" s="47"/>
      <c r="E119" s="49">
        <v>11976</v>
      </c>
      <c r="F119" s="52">
        <f>13472</f>
        <v>13472</v>
      </c>
      <c r="G119" s="118"/>
      <c r="H119" s="122">
        <v>12460</v>
      </c>
      <c r="I119" s="139"/>
      <c r="J119" s="231"/>
      <c r="K119" s="231"/>
      <c r="L119" s="231"/>
      <c r="M119" s="231"/>
      <c r="N119" s="231"/>
      <c r="O119" s="231"/>
      <c r="P119" s="231"/>
      <c r="Q119" s="231"/>
      <c r="R119" s="231"/>
      <c r="S119" s="231"/>
      <c r="T119" s="231"/>
      <c r="U119" s="231"/>
      <c r="V119" s="231"/>
      <c r="W119" s="231"/>
      <c r="X119" s="231"/>
      <c r="Y119" s="231"/>
      <c r="Z119" s="231"/>
      <c r="AA119" s="231"/>
      <c r="AB119" s="231"/>
      <c r="AC119" s="231"/>
      <c r="AD119" s="231"/>
      <c r="AE119" s="231"/>
      <c r="AF119" s="231"/>
      <c r="AG119" s="231"/>
      <c r="AH119" s="231"/>
      <c r="AI119" s="231"/>
      <c r="AJ119" s="231"/>
      <c r="AK119" s="231"/>
      <c r="AL119" s="231"/>
      <c r="AM119" s="231"/>
      <c r="AN119" s="231"/>
      <c r="AO119" s="231"/>
      <c r="AP119" s="231"/>
      <c r="AQ119" s="231"/>
    </row>
    <row r="120" spans="1:43" s="203" customFormat="1">
      <c r="A120" s="120">
        <v>20</v>
      </c>
      <c r="B120" s="47" t="s">
        <v>119</v>
      </c>
      <c r="C120" s="47"/>
      <c r="D120" s="47"/>
      <c r="E120" s="49">
        <v>15749</v>
      </c>
      <c r="F120" s="52">
        <f>16472+283</f>
        <v>16755</v>
      </c>
      <c r="G120" s="118"/>
      <c r="H120" s="122">
        <v>16298</v>
      </c>
      <c r="I120" s="139"/>
      <c r="J120" s="231"/>
      <c r="K120" s="231"/>
      <c r="L120" s="231"/>
      <c r="M120" s="231"/>
      <c r="N120" s="231"/>
      <c r="O120" s="231"/>
      <c r="P120" s="231"/>
      <c r="Q120" s="231"/>
      <c r="R120" s="231"/>
      <c r="S120" s="231"/>
      <c r="T120" s="231"/>
      <c r="U120" s="231"/>
      <c r="V120" s="231"/>
      <c r="W120" s="231"/>
      <c r="X120" s="231"/>
      <c r="Y120" s="231"/>
      <c r="Z120" s="231"/>
      <c r="AA120" s="231"/>
      <c r="AB120" s="231"/>
      <c r="AC120" s="231"/>
      <c r="AD120" s="231"/>
      <c r="AE120" s="231"/>
      <c r="AF120" s="231"/>
      <c r="AG120" s="231"/>
      <c r="AH120" s="231"/>
      <c r="AI120" s="231"/>
      <c r="AJ120" s="231"/>
      <c r="AK120" s="231"/>
      <c r="AL120" s="231"/>
      <c r="AM120" s="231"/>
      <c r="AN120" s="231"/>
      <c r="AO120" s="231"/>
      <c r="AP120" s="231"/>
      <c r="AQ120" s="231"/>
    </row>
    <row r="121" spans="1:43" s="203" customFormat="1">
      <c r="A121" s="120">
        <v>21</v>
      </c>
      <c r="B121" s="47" t="s">
        <v>120</v>
      </c>
      <c r="C121" s="47"/>
      <c r="D121" s="47"/>
      <c r="E121" s="49">
        <v>1262</v>
      </c>
      <c r="F121" s="52">
        <f>1036+70</f>
        <v>1106</v>
      </c>
      <c r="G121" s="118"/>
      <c r="H121" s="122">
        <v>1043</v>
      </c>
      <c r="I121" s="139"/>
      <c r="J121" s="231"/>
      <c r="K121" s="231"/>
      <c r="L121" s="231"/>
      <c r="M121" s="231"/>
      <c r="N121" s="231"/>
      <c r="O121" s="231"/>
      <c r="P121" s="231"/>
      <c r="Q121" s="231"/>
      <c r="R121" s="231"/>
      <c r="S121" s="231"/>
      <c r="T121" s="231"/>
      <c r="U121" s="231"/>
      <c r="V121" s="231"/>
      <c r="W121" s="231"/>
      <c r="X121" s="231"/>
      <c r="Y121" s="231"/>
      <c r="Z121" s="231"/>
      <c r="AA121" s="231"/>
      <c r="AB121" s="231"/>
      <c r="AC121" s="231"/>
      <c r="AD121" s="231"/>
      <c r="AE121" s="231"/>
      <c r="AF121" s="231"/>
      <c r="AG121" s="231"/>
      <c r="AH121" s="231"/>
      <c r="AI121" s="231"/>
      <c r="AJ121" s="231"/>
      <c r="AK121" s="231"/>
      <c r="AL121" s="231"/>
      <c r="AM121" s="231"/>
      <c r="AN121" s="231"/>
      <c r="AO121" s="231"/>
      <c r="AP121" s="231"/>
      <c r="AQ121" s="231"/>
    </row>
    <row r="122" spans="1:43" s="203" customFormat="1">
      <c r="A122" s="120">
        <v>22</v>
      </c>
      <c r="B122" s="47" t="s">
        <v>125</v>
      </c>
      <c r="C122" s="47"/>
      <c r="D122" s="47"/>
      <c r="E122" s="49">
        <v>130</v>
      </c>
      <c r="F122" s="52">
        <f>113</f>
        <v>113</v>
      </c>
      <c r="G122" s="118"/>
      <c r="H122" s="122">
        <v>130</v>
      </c>
      <c r="I122" s="139"/>
      <c r="J122" s="231"/>
      <c r="K122" s="231"/>
      <c r="L122" s="231"/>
      <c r="M122" s="231"/>
      <c r="N122" s="231"/>
      <c r="O122" s="231"/>
      <c r="P122" s="231"/>
      <c r="Q122" s="231"/>
      <c r="R122" s="231"/>
      <c r="S122" s="231"/>
      <c r="T122" s="231"/>
      <c r="U122" s="231"/>
      <c r="V122" s="231"/>
      <c r="W122" s="231"/>
      <c r="X122" s="231"/>
      <c r="Y122" s="231"/>
      <c r="Z122" s="231"/>
      <c r="AA122" s="231"/>
      <c r="AB122" s="231"/>
      <c r="AC122" s="231"/>
      <c r="AD122" s="231"/>
      <c r="AE122" s="231"/>
      <c r="AF122" s="231"/>
      <c r="AG122" s="231"/>
      <c r="AH122" s="231"/>
      <c r="AI122" s="231"/>
      <c r="AJ122" s="231"/>
      <c r="AK122" s="231"/>
      <c r="AL122" s="231"/>
      <c r="AM122" s="231"/>
      <c r="AN122" s="231"/>
      <c r="AO122" s="231"/>
      <c r="AP122" s="231"/>
      <c r="AQ122" s="231"/>
    </row>
    <row r="123" spans="1:43" s="203" customFormat="1">
      <c r="A123" s="120">
        <v>23</v>
      </c>
      <c r="B123" s="90" t="s">
        <v>126</v>
      </c>
      <c r="C123" s="47"/>
      <c r="D123" s="47"/>
      <c r="E123" s="49">
        <v>484</v>
      </c>
      <c r="F123" s="52">
        <f>503</f>
        <v>503</v>
      </c>
      <c r="G123" s="118"/>
      <c r="H123" s="99">
        <v>506</v>
      </c>
      <c r="I123" s="139"/>
      <c r="J123" s="231"/>
      <c r="K123" s="231"/>
      <c r="L123" s="231"/>
      <c r="M123" s="231"/>
      <c r="N123" s="231"/>
      <c r="O123" s="231"/>
      <c r="P123" s="231"/>
      <c r="Q123" s="231"/>
      <c r="R123" s="231"/>
      <c r="S123" s="231"/>
      <c r="T123" s="231"/>
      <c r="U123" s="231"/>
      <c r="V123" s="231"/>
      <c r="W123" s="231"/>
      <c r="X123" s="231"/>
      <c r="Y123" s="231"/>
      <c r="Z123" s="231"/>
      <c r="AA123" s="231"/>
      <c r="AB123" s="231"/>
      <c r="AC123" s="231"/>
      <c r="AD123" s="231"/>
      <c r="AE123" s="231"/>
      <c r="AF123" s="231"/>
      <c r="AG123" s="231"/>
      <c r="AH123" s="231"/>
      <c r="AI123" s="231"/>
      <c r="AJ123" s="231"/>
      <c r="AK123" s="231"/>
      <c r="AL123" s="231"/>
      <c r="AM123" s="231"/>
      <c r="AN123" s="231"/>
      <c r="AO123" s="231"/>
      <c r="AP123" s="231"/>
      <c r="AQ123" s="231"/>
    </row>
    <row r="124" spans="1:43" s="203" customFormat="1">
      <c r="A124" s="120">
        <v>24</v>
      </c>
      <c r="B124" s="47" t="s">
        <v>121</v>
      </c>
      <c r="C124" s="47"/>
      <c r="D124" s="47"/>
      <c r="E124" s="49">
        <v>384</v>
      </c>
      <c r="F124" s="52">
        <f>402</f>
        <v>402</v>
      </c>
      <c r="G124" s="118"/>
      <c r="H124" s="100">
        <v>485</v>
      </c>
      <c r="I124" s="139"/>
      <c r="J124" s="231"/>
      <c r="K124" s="231"/>
      <c r="L124" s="231"/>
      <c r="M124" s="231"/>
      <c r="N124" s="231"/>
      <c r="O124" s="231"/>
      <c r="P124" s="231"/>
      <c r="Q124" s="231"/>
      <c r="R124" s="231"/>
      <c r="S124" s="231"/>
      <c r="T124" s="231"/>
      <c r="U124" s="231"/>
      <c r="V124" s="231"/>
      <c r="W124" s="231"/>
      <c r="X124" s="231"/>
      <c r="Y124" s="231"/>
      <c r="Z124" s="231"/>
      <c r="AA124" s="231"/>
      <c r="AB124" s="231"/>
      <c r="AC124" s="231"/>
      <c r="AD124" s="231"/>
      <c r="AE124" s="231"/>
      <c r="AF124" s="231"/>
      <c r="AG124" s="231"/>
      <c r="AH124" s="231"/>
      <c r="AI124" s="231"/>
      <c r="AJ124" s="231"/>
      <c r="AK124" s="231"/>
      <c r="AL124" s="231"/>
      <c r="AM124" s="231"/>
      <c r="AN124" s="231"/>
      <c r="AO124" s="231"/>
      <c r="AP124" s="231"/>
      <c r="AQ124" s="231"/>
    </row>
    <row r="125" spans="1:43" s="203" customFormat="1">
      <c r="A125" s="120">
        <v>25</v>
      </c>
      <c r="B125" s="147" t="s">
        <v>127</v>
      </c>
      <c r="C125" s="147"/>
      <c r="D125" s="147"/>
      <c r="E125" s="80">
        <v>32810</v>
      </c>
      <c r="F125" s="142">
        <f>SUM(F118:F124)</f>
        <v>35191</v>
      </c>
      <c r="G125" s="118"/>
      <c r="H125" s="142">
        <f>SUM(H118:H124)</f>
        <v>34123</v>
      </c>
      <c r="I125" s="139"/>
      <c r="J125" s="231"/>
      <c r="K125" s="231"/>
      <c r="L125" s="231"/>
      <c r="M125" s="231"/>
      <c r="N125" s="231"/>
      <c r="O125" s="231"/>
      <c r="P125" s="231"/>
      <c r="Q125" s="231"/>
      <c r="R125" s="231"/>
      <c r="S125" s="231"/>
      <c r="T125" s="231"/>
      <c r="U125" s="231"/>
      <c r="V125" s="231"/>
      <c r="W125" s="231"/>
      <c r="X125" s="231"/>
      <c r="Y125" s="231"/>
      <c r="Z125" s="231"/>
      <c r="AA125" s="231"/>
      <c r="AB125" s="231"/>
      <c r="AC125" s="231"/>
      <c r="AD125" s="231"/>
      <c r="AE125" s="231"/>
      <c r="AF125" s="231"/>
      <c r="AG125" s="231"/>
      <c r="AH125" s="231"/>
      <c r="AI125" s="231"/>
      <c r="AJ125" s="231"/>
      <c r="AK125" s="231"/>
      <c r="AL125" s="231"/>
      <c r="AM125" s="231"/>
      <c r="AN125" s="231"/>
      <c r="AO125" s="231"/>
      <c r="AP125" s="231"/>
      <c r="AQ125" s="231"/>
    </row>
    <row r="126" spans="1:43" s="203" customFormat="1">
      <c r="A126" s="111"/>
      <c r="B126" s="47"/>
      <c r="C126" s="47"/>
      <c r="D126" s="47"/>
      <c r="E126" s="117"/>
      <c r="F126" s="118"/>
      <c r="G126" s="118"/>
      <c r="H126" s="118"/>
      <c r="I126" s="139"/>
      <c r="J126" s="231"/>
      <c r="K126" s="231"/>
      <c r="L126" s="231"/>
      <c r="M126" s="231"/>
      <c r="N126" s="231"/>
      <c r="O126" s="231"/>
      <c r="P126" s="231"/>
      <c r="Q126" s="231"/>
      <c r="R126" s="231"/>
      <c r="S126" s="231"/>
      <c r="T126" s="231"/>
      <c r="U126" s="231"/>
      <c r="V126" s="231"/>
      <c r="W126" s="231"/>
      <c r="X126" s="231"/>
      <c r="Y126" s="231"/>
      <c r="Z126" s="231"/>
      <c r="AA126" s="231"/>
      <c r="AB126" s="231"/>
      <c r="AC126" s="231"/>
      <c r="AD126" s="231"/>
      <c r="AE126" s="231"/>
      <c r="AF126" s="231"/>
      <c r="AG126" s="231"/>
      <c r="AH126" s="231"/>
      <c r="AI126" s="231"/>
      <c r="AJ126" s="231"/>
      <c r="AK126" s="231"/>
      <c r="AL126" s="231"/>
      <c r="AM126" s="231"/>
      <c r="AN126" s="231"/>
      <c r="AO126" s="231"/>
      <c r="AP126" s="231"/>
      <c r="AQ126" s="231"/>
    </row>
    <row r="127" spans="1:43" s="203" customFormat="1">
      <c r="A127" s="119" t="s">
        <v>108</v>
      </c>
      <c r="B127" s="147"/>
      <c r="C127" s="147"/>
      <c r="D127" s="147"/>
      <c r="E127" s="140"/>
      <c r="F127" s="146"/>
      <c r="G127" s="118"/>
      <c r="H127" s="146"/>
      <c r="I127" s="139"/>
      <c r="J127" s="231"/>
      <c r="K127" s="231"/>
      <c r="L127" s="231"/>
      <c r="M127" s="231"/>
      <c r="N127" s="231"/>
      <c r="O127" s="231"/>
      <c r="P127" s="231"/>
      <c r="Q127" s="231"/>
      <c r="R127" s="231"/>
      <c r="S127" s="231"/>
      <c r="T127" s="231"/>
      <c r="U127" s="231"/>
      <c r="V127" s="231"/>
      <c r="W127" s="231"/>
      <c r="X127" s="231"/>
      <c r="Y127" s="231"/>
      <c r="Z127" s="231"/>
      <c r="AA127" s="231"/>
      <c r="AB127" s="231"/>
      <c r="AC127" s="231"/>
      <c r="AD127" s="231"/>
      <c r="AE127" s="231"/>
      <c r="AF127" s="231"/>
      <c r="AG127" s="231"/>
      <c r="AH127" s="231"/>
      <c r="AI127" s="231"/>
      <c r="AJ127" s="231"/>
      <c r="AK127" s="231"/>
      <c r="AL127" s="231"/>
      <c r="AM127" s="231"/>
      <c r="AN127" s="231"/>
      <c r="AO127" s="231"/>
      <c r="AP127" s="231"/>
      <c r="AQ127" s="231"/>
    </row>
    <row r="128" spans="1:43" s="203" customFormat="1">
      <c r="A128" s="120">
        <v>26</v>
      </c>
      <c r="B128" s="47" t="s">
        <v>123</v>
      </c>
      <c r="C128" s="47"/>
      <c r="D128" s="47"/>
      <c r="E128" s="74">
        <v>1073</v>
      </c>
      <c r="F128" s="52">
        <f>1066+2</f>
        <v>1068</v>
      </c>
      <c r="G128" s="118"/>
      <c r="H128" s="122">
        <v>1118</v>
      </c>
      <c r="I128" s="139"/>
      <c r="J128" s="231"/>
      <c r="K128" s="231"/>
      <c r="L128" s="231"/>
      <c r="M128" s="231"/>
      <c r="N128" s="231"/>
      <c r="O128" s="231"/>
      <c r="P128" s="231"/>
      <c r="Q128" s="231"/>
      <c r="R128" s="231"/>
      <c r="S128" s="231"/>
      <c r="T128" s="231"/>
      <c r="U128" s="231"/>
      <c r="V128" s="231"/>
      <c r="W128" s="231"/>
      <c r="X128" s="231"/>
      <c r="Y128" s="231"/>
      <c r="Z128" s="231"/>
      <c r="AA128" s="231"/>
      <c r="AB128" s="231"/>
      <c r="AC128" s="231"/>
      <c r="AD128" s="231"/>
      <c r="AE128" s="231"/>
      <c r="AF128" s="231"/>
      <c r="AG128" s="231"/>
      <c r="AH128" s="231"/>
      <c r="AI128" s="231"/>
      <c r="AJ128" s="231"/>
      <c r="AK128" s="231"/>
      <c r="AL128" s="231"/>
      <c r="AM128" s="231"/>
      <c r="AN128" s="231"/>
      <c r="AO128" s="231"/>
      <c r="AP128" s="231"/>
      <c r="AQ128" s="231"/>
    </row>
    <row r="129" spans="1:43" s="203" customFormat="1">
      <c r="A129" s="120">
        <v>27</v>
      </c>
      <c r="B129" s="47" t="s">
        <v>124</v>
      </c>
      <c r="C129" s="47"/>
      <c r="D129" s="47"/>
      <c r="E129" s="49">
        <v>708</v>
      </c>
      <c r="F129" s="52">
        <f>708</f>
        <v>708</v>
      </c>
      <c r="G129" s="118"/>
      <c r="H129" s="122">
        <v>768</v>
      </c>
      <c r="I129" s="139"/>
      <c r="J129" s="231"/>
      <c r="K129" s="231"/>
      <c r="L129" s="231"/>
      <c r="M129" s="231"/>
      <c r="N129" s="231"/>
      <c r="O129" s="231"/>
      <c r="P129" s="231"/>
      <c r="Q129" s="231"/>
      <c r="R129" s="231"/>
      <c r="S129" s="231"/>
      <c r="T129" s="231"/>
      <c r="U129" s="231"/>
      <c r="V129" s="231"/>
      <c r="W129" s="231"/>
      <c r="X129" s="231"/>
      <c r="Y129" s="231"/>
      <c r="Z129" s="231"/>
      <c r="AA129" s="231"/>
      <c r="AB129" s="231"/>
      <c r="AC129" s="231"/>
      <c r="AD129" s="231"/>
      <c r="AE129" s="231"/>
      <c r="AF129" s="231"/>
      <c r="AG129" s="231"/>
      <c r="AH129" s="231"/>
      <c r="AI129" s="231"/>
      <c r="AJ129" s="231"/>
      <c r="AK129" s="231"/>
      <c r="AL129" s="231"/>
      <c r="AM129" s="231"/>
      <c r="AN129" s="231"/>
      <c r="AO129" s="231"/>
      <c r="AP129" s="231"/>
      <c r="AQ129" s="231"/>
    </row>
    <row r="130" spans="1:43" s="203" customFormat="1">
      <c r="A130" s="120">
        <v>28</v>
      </c>
      <c r="B130" s="47" t="s">
        <v>119</v>
      </c>
      <c r="C130" s="47"/>
      <c r="D130" s="47"/>
      <c r="E130" s="49">
        <v>642</v>
      </c>
      <c r="F130" s="52">
        <f>781</f>
        <v>781</v>
      </c>
      <c r="G130" s="118"/>
      <c r="H130" s="122">
        <v>652</v>
      </c>
      <c r="I130" s="139"/>
      <c r="J130" s="231"/>
      <c r="K130" s="231"/>
      <c r="L130" s="231"/>
      <c r="M130" s="231"/>
      <c r="N130" s="231"/>
      <c r="O130" s="231"/>
      <c r="P130" s="231"/>
      <c r="Q130" s="231"/>
      <c r="R130" s="231"/>
      <c r="S130" s="231"/>
      <c r="T130" s="231"/>
      <c r="U130" s="231"/>
      <c r="V130" s="231"/>
      <c r="W130" s="231"/>
      <c r="X130" s="231"/>
      <c r="Y130" s="231"/>
      <c r="Z130" s="231"/>
      <c r="AA130" s="231"/>
      <c r="AB130" s="231"/>
      <c r="AC130" s="231"/>
      <c r="AD130" s="231"/>
      <c r="AE130" s="231"/>
      <c r="AF130" s="231"/>
      <c r="AG130" s="231"/>
      <c r="AH130" s="231"/>
      <c r="AI130" s="231"/>
      <c r="AJ130" s="231"/>
      <c r="AK130" s="231"/>
      <c r="AL130" s="231"/>
      <c r="AM130" s="231"/>
      <c r="AN130" s="231"/>
      <c r="AO130" s="231"/>
      <c r="AP130" s="231"/>
      <c r="AQ130" s="231"/>
    </row>
    <row r="131" spans="1:43" s="203" customFormat="1">
      <c r="A131" s="120">
        <v>29</v>
      </c>
      <c r="B131" s="47" t="s">
        <v>120</v>
      </c>
      <c r="C131" s="47"/>
      <c r="D131" s="47"/>
      <c r="E131" s="49">
        <v>0</v>
      </c>
      <c r="F131" s="52"/>
      <c r="G131" s="118"/>
      <c r="H131" s="122"/>
      <c r="I131" s="139"/>
      <c r="J131" s="231"/>
      <c r="K131" s="231"/>
      <c r="L131" s="231"/>
      <c r="M131" s="231"/>
      <c r="N131" s="231"/>
      <c r="O131" s="231"/>
      <c r="P131" s="231"/>
      <c r="Q131" s="231"/>
      <c r="R131" s="231"/>
      <c r="S131" s="231"/>
      <c r="T131" s="231"/>
      <c r="U131" s="231"/>
      <c r="V131" s="231"/>
      <c r="W131" s="231"/>
      <c r="X131" s="231"/>
      <c r="Y131" s="231"/>
      <c r="Z131" s="231"/>
      <c r="AA131" s="231"/>
      <c r="AB131" s="231"/>
      <c r="AC131" s="231"/>
      <c r="AD131" s="231"/>
      <c r="AE131" s="231"/>
      <c r="AF131" s="231"/>
      <c r="AG131" s="231"/>
      <c r="AH131" s="231"/>
      <c r="AI131" s="231"/>
      <c r="AJ131" s="231"/>
      <c r="AK131" s="231"/>
      <c r="AL131" s="231"/>
      <c r="AM131" s="231"/>
      <c r="AN131" s="231"/>
      <c r="AO131" s="231"/>
      <c r="AP131" s="231"/>
      <c r="AQ131" s="231"/>
    </row>
    <row r="132" spans="1:43" s="203" customFormat="1">
      <c r="A132" s="120">
        <v>30</v>
      </c>
      <c r="B132" s="47" t="s">
        <v>125</v>
      </c>
      <c r="C132" s="47"/>
      <c r="D132" s="47"/>
      <c r="E132" s="49">
        <v>363</v>
      </c>
      <c r="F132" s="52">
        <f>296</f>
        <v>296</v>
      </c>
      <c r="G132" s="118"/>
      <c r="H132" s="122">
        <v>362</v>
      </c>
      <c r="I132" s="139"/>
      <c r="J132" s="231"/>
      <c r="K132" s="231"/>
      <c r="L132" s="231"/>
      <c r="M132" s="231"/>
      <c r="N132" s="231"/>
      <c r="O132" s="231"/>
      <c r="P132" s="231"/>
      <c r="Q132" s="231"/>
      <c r="R132" s="231"/>
      <c r="S132" s="231"/>
      <c r="T132" s="231"/>
      <c r="U132" s="231"/>
      <c r="V132" s="231"/>
      <c r="W132" s="231"/>
      <c r="X132" s="231"/>
      <c r="Y132" s="231"/>
      <c r="Z132" s="231"/>
      <c r="AA132" s="231"/>
      <c r="AB132" s="231"/>
      <c r="AC132" s="231"/>
      <c r="AD132" s="231"/>
      <c r="AE132" s="231"/>
      <c r="AF132" s="231"/>
      <c r="AG132" s="231"/>
      <c r="AH132" s="231"/>
      <c r="AI132" s="231"/>
      <c r="AJ132" s="231"/>
      <c r="AK132" s="231"/>
      <c r="AL132" s="231"/>
      <c r="AM132" s="231"/>
      <c r="AN132" s="231"/>
      <c r="AO132" s="231"/>
      <c r="AP132" s="231"/>
      <c r="AQ132" s="231"/>
    </row>
    <row r="133" spans="1:43" s="203" customFormat="1">
      <c r="A133" s="120">
        <v>31</v>
      </c>
      <c r="B133" s="90" t="s">
        <v>126</v>
      </c>
      <c r="C133" s="47"/>
      <c r="D133" s="47"/>
      <c r="E133" s="49">
        <v>472</v>
      </c>
      <c r="F133" s="52">
        <f>524</f>
        <v>524</v>
      </c>
      <c r="G133" s="118"/>
      <c r="H133" s="122">
        <v>483</v>
      </c>
      <c r="I133" s="139"/>
      <c r="J133" s="231"/>
      <c r="K133" s="231"/>
      <c r="L133" s="231"/>
      <c r="M133" s="231"/>
      <c r="N133" s="231"/>
      <c r="O133" s="231"/>
      <c r="P133" s="231"/>
      <c r="Q133" s="231"/>
      <c r="R133" s="231"/>
      <c r="S133" s="231"/>
      <c r="T133" s="231"/>
      <c r="U133" s="231"/>
      <c r="V133" s="231"/>
      <c r="W133" s="231"/>
      <c r="X133" s="231"/>
      <c r="Y133" s="231"/>
      <c r="Z133" s="231"/>
      <c r="AA133" s="231"/>
      <c r="AB133" s="231"/>
      <c r="AC133" s="231"/>
      <c r="AD133" s="231"/>
      <c r="AE133" s="231"/>
      <c r="AF133" s="231"/>
      <c r="AG133" s="231"/>
      <c r="AH133" s="231"/>
      <c r="AI133" s="231"/>
      <c r="AJ133" s="231"/>
      <c r="AK133" s="231"/>
      <c r="AL133" s="231"/>
      <c r="AM133" s="231"/>
      <c r="AN133" s="231"/>
      <c r="AO133" s="231"/>
      <c r="AP133" s="231"/>
      <c r="AQ133" s="231"/>
    </row>
    <row r="134" spans="1:43" s="203" customFormat="1">
      <c r="A134" s="120">
        <v>32</v>
      </c>
      <c r="B134" s="47" t="s">
        <v>121</v>
      </c>
      <c r="C134" s="47"/>
      <c r="D134" s="47"/>
      <c r="E134" s="49">
        <v>28</v>
      </c>
      <c r="F134" s="52">
        <f>29</f>
        <v>29</v>
      </c>
      <c r="G134" s="118"/>
      <c r="H134" s="100">
        <v>40</v>
      </c>
      <c r="I134" s="139"/>
      <c r="J134" s="231"/>
      <c r="K134" s="231"/>
      <c r="L134" s="231"/>
      <c r="M134" s="231"/>
      <c r="N134" s="231"/>
      <c r="O134" s="231"/>
      <c r="P134" s="231"/>
      <c r="Q134" s="231"/>
      <c r="R134" s="231"/>
      <c r="S134" s="231"/>
      <c r="T134" s="231"/>
      <c r="U134" s="231"/>
      <c r="V134" s="231"/>
      <c r="W134" s="231"/>
      <c r="X134" s="231"/>
      <c r="Y134" s="231"/>
      <c r="Z134" s="231"/>
      <c r="AA134" s="231"/>
      <c r="AB134" s="231"/>
      <c r="AC134" s="231"/>
      <c r="AD134" s="231"/>
      <c r="AE134" s="231"/>
      <c r="AF134" s="231"/>
      <c r="AG134" s="231"/>
      <c r="AH134" s="231"/>
      <c r="AI134" s="231"/>
      <c r="AJ134" s="231"/>
      <c r="AK134" s="231"/>
      <c r="AL134" s="231"/>
      <c r="AM134" s="231"/>
      <c r="AN134" s="231"/>
      <c r="AO134" s="231"/>
      <c r="AP134" s="231"/>
      <c r="AQ134" s="231"/>
    </row>
    <row r="135" spans="1:43" s="203" customFormat="1">
      <c r="A135" s="120">
        <v>33</v>
      </c>
      <c r="B135" s="116" t="s">
        <v>128</v>
      </c>
      <c r="C135" s="116"/>
      <c r="D135" s="116"/>
      <c r="E135" s="80">
        <v>3286</v>
      </c>
      <c r="F135" s="142">
        <f>SUM(F128:F134)</f>
        <v>3406</v>
      </c>
      <c r="G135" s="118"/>
      <c r="H135" s="142">
        <f>SUM(H128:H134)</f>
        <v>3423</v>
      </c>
      <c r="I135" s="139"/>
      <c r="J135" s="231"/>
      <c r="K135" s="231"/>
      <c r="L135" s="231"/>
      <c r="M135" s="231"/>
      <c r="N135" s="231"/>
      <c r="O135" s="231"/>
      <c r="P135" s="231"/>
      <c r="Q135" s="231"/>
      <c r="R135" s="231"/>
      <c r="S135" s="231"/>
      <c r="T135" s="231"/>
      <c r="U135" s="231"/>
      <c r="V135" s="231"/>
      <c r="W135" s="231"/>
      <c r="X135" s="231"/>
      <c r="Y135" s="231"/>
      <c r="Z135" s="231"/>
      <c r="AA135" s="231"/>
      <c r="AB135" s="231"/>
      <c r="AC135" s="231"/>
      <c r="AD135" s="231"/>
      <c r="AE135" s="231"/>
      <c r="AF135" s="231"/>
      <c r="AG135" s="231"/>
      <c r="AH135" s="231"/>
      <c r="AI135" s="231"/>
      <c r="AJ135" s="231"/>
      <c r="AK135" s="231"/>
      <c r="AL135" s="231"/>
      <c r="AM135" s="231"/>
      <c r="AN135" s="231"/>
      <c r="AO135" s="231"/>
      <c r="AP135" s="231"/>
      <c r="AQ135" s="231"/>
    </row>
    <row r="136" spans="1:43" s="203" customFormat="1">
      <c r="A136" s="111"/>
      <c r="B136" s="47"/>
      <c r="C136" s="47"/>
      <c r="D136" s="138"/>
      <c r="E136" s="117"/>
      <c r="F136" s="118"/>
      <c r="G136" s="118"/>
      <c r="H136" s="118"/>
      <c r="I136" s="139"/>
      <c r="J136" s="231"/>
      <c r="K136" s="231"/>
      <c r="L136" s="231"/>
      <c r="M136" s="231"/>
      <c r="N136" s="231"/>
      <c r="O136" s="231"/>
      <c r="P136" s="231"/>
      <c r="Q136" s="231"/>
      <c r="R136" s="231"/>
      <c r="S136" s="231"/>
      <c r="T136" s="231"/>
      <c r="U136" s="231"/>
      <c r="V136" s="231"/>
      <c r="W136" s="231"/>
      <c r="X136" s="231"/>
      <c r="Y136" s="231"/>
      <c r="Z136" s="231"/>
      <c r="AA136" s="231"/>
      <c r="AB136" s="231"/>
      <c r="AC136" s="231"/>
      <c r="AD136" s="231"/>
      <c r="AE136" s="231"/>
      <c r="AF136" s="231"/>
      <c r="AG136" s="231"/>
      <c r="AH136" s="231"/>
      <c r="AI136" s="231"/>
      <c r="AJ136" s="231"/>
      <c r="AK136" s="231"/>
      <c r="AL136" s="231"/>
      <c r="AM136" s="231"/>
      <c r="AN136" s="231"/>
      <c r="AO136" s="231"/>
      <c r="AP136" s="231"/>
      <c r="AQ136" s="231"/>
    </row>
    <row r="137" spans="1:43" s="203" customFormat="1">
      <c r="A137" s="119" t="s">
        <v>109</v>
      </c>
      <c r="B137" s="116"/>
      <c r="C137" s="116"/>
      <c r="D137" s="116"/>
      <c r="E137" s="140"/>
      <c r="F137" s="146"/>
      <c r="G137" s="118"/>
      <c r="H137" s="146"/>
      <c r="I137" s="139"/>
      <c r="J137" s="231"/>
      <c r="K137" s="231"/>
      <c r="L137" s="231"/>
      <c r="M137" s="231"/>
      <c r="N137" s="231"/>
      <c r="O137" s="231"/>
      <c r="P137" s="231"/>
      <c r="Q137" s="231"/>
      <c r="R137" s="231"/>
      <c r="S137" s="231"/>
      <c r="T137" s="231"/>
      <c r="U137" s="231"/>
      <c r="V137" s="231"/>
      <c r="W137" s="231"/>
      <c r="X137" s="231"/>
      <c r="Y137" s="231"/>
      <c r="Z137" s="231"/>
      <c r="AA137" s="231"/>
      <c r="AB137" s="231"/>
      <c r="AC137" s="231"/>
      <c r="AD137" s="231"/>
      <c r="AE137" s="231"/>
      <c r="AF137" s="231"/>
      <c r="AG137" s="231"/>
      <c r="AH137" s="231"/>
      <c r="AI137" s="231"/>
      <c r="AJ137" s="231"/>
      <c r="AK137" s="231"/>
      <c r="AL137" s="231"/>
      <c r="AM137" s="231"/>
      <c r="AN137" s="231"/>
      <c r="AO137" s="231"/>
      <c r="AP137" s="231"/>
      <c r="AQ137" s="231"/>
    </row>
    <row r="138" spans="1:43" s="203" customFormat="1">
      <c r="A138" s="120">
        <v>34</v>
      </c>
      <c r="B138" s="47" t="s">
        <v>123</v>
      </c>
      <c r="C138" s="47"/>
      <c r="D138" s="47"/>
      <c r="E138" s="49">
        <v>537</v>
      </c>
      <c r="F138" s="52">
        <f>688</f>
        <v>688</v>
      </c>
      <c r="G138" s="118"/>
      <c r="H138" s="122">
        <v>636</v>
      </c>
      <c r="I138" s="139"/>
      <c r="J138" s="231"/>
      <c r="K138" s="231"/>
      <c r="L138" s="231"/>
      <c r="M138" s="231"/>
      <c r="N138" s="231"/>
      <c r="O138" s="231"/>
      <c r="P138" s="231"/>
      <c r="Q138" s="231"/>
      <c r="R138" s="231"/>
      <c r="S138" s="231"/>
      <c r="T138" s="231"/>
      <c r="U138" s="231"/>
      <c r="V138" s="231"/>
      <c r="W138" s="231"/>
      <c r="X138" s="231"/>
      <c r="Y138" s="231"/>
      <c r="Z138" s="231"/>
      <c r="AA138" s="231"/>
      <c r="AB138" s="231"/>
      <c r="AC138" s="231"/>
      <c r="AD138" s="231"/>
      <c r="AE138" s="231"/>
      <c r="AF138" s="231"/>
      <c r="AG138" s="231"/>
      <c r="AH138" s="231"/>
      <c r="AI138" s="231"/>
      <c r="AJ138" s="231"/>
      <c r="AK138" s="231"/>
      <c r="AL138" s="231"/>
      <c r="AM138" s="231"/>
      <c r="AN138" s="231"/>
      <c r="AO138" s="231"/>
      <c r="AP138" s="231"/>
      <c r="AQ138" s="231"/>
    </row>
    <row r="139" spans="1:43" s="203" customFormat="1">
      <c r="A139" s="120">
        <v>35</v>
      </c>
      <c r="B139" s="47" t="s">
        <v>119</v>
      </c>
      <c r="C139" s="47"/>
      <c r="D139" s="47"/>
      <c r="E139" s="49">
        <v>2481</v>
      </c>
      <c r="F139" s="52">
        <f>2490</f>
        <v>2490</v>
      </c>
      <c r="G139" s="118"/>
      <c r="H139" s="122">
        <v>2857</v>
      </c>
      <c r="I139" s="139"/>
      <c r="J139" s="231"/>
      <c r="K139" s="231"/>
      <c r="L139" s="231"/>
      <c r="M139" s="231"/>
      <c r="N139" s="231"/>
      <c r="O139" s="231"/>
      <c r="P139" s="231"/>
      <c r="Q139" s="231"/>
      <c r="R139" s="231"/>
      <c r="S139" s="231"/>
      <c r="T139" s="231"/>
      <c r="U139" s="231"/>
      <c r="V139" s="231"/>
      <c r="W139" s="231"/>
      <c r="X139" s="231"/>
      <c r="Y139" s="231"/>
      <c r="Z139" s="231"/>
      <c r="AA139" s="231"/>
      <c r="AB139" s="231"/>
      <c r="AC139" s="231"/>
      <c r="AD139" s="231"/>
      <c r="AE139" s="231"/>
      <c r="AF139" s="231"/>
      <c r="AG139" s="231"/>
      <c r="AH139" s="231"/>
      <c r="AI139" s="231"/>
      <c r="AJ139" s="231"/>
      <c r="AK139" s="231"/>
      <c r="AL139" s="231"/>
      <c r="AM139" s="231"/>
      <c r="AN139" s="231"/>
      <c r="AO139" s="231"/>
      <c r="AP139" s="231"/>
      <c r="AQ139" s="231"/>
    </row>
    <row r="140" spans="1:43" s="203" customFormat="1">
      <c r="A140" s="120">
        <v>36</v>
      </c>
      <c r="B140" s="47" t="s">
        <v>120</v>
      </c>
      <c r="C140" s="47"/>
      <c r="D140" s="47"/>
      <c r="E140" s="49">
        <v>1069</v>
      </c>
      <c r="F140" s="52">
        <f>1064+69</f>
        <v>1133</v>
      </c>
      <c r="G140" s="118"/>
      <c r="H140" s="122">
        <v>953</v>
      </c>
      <c r="I140" s="139"/>
      <c r="J140" s="231"/>
      <c r="K140" s="231"/>
      <c r="L140" s="231"/>
      <c r="M140" s="231"/>
      <c r="N140" s="231"/>
      <c r="O140" s="231"/>
      <c r="P140" s="231"/>
      <c r="Q140" s="231"/>
      <c r="R140" s="231"/>
      <c r="S140" s="231"/>
      <c r="T140" s="231"/>
      <c r="U140" s="231"/>
      <c r="V140" s="231"/>
      <c r="W140" s="231"/>
      <c r="X140" s="231"/>
      <c r="Y140" s="231"/>
      <c r="Z140" s="231"/>
      <c r="AA140" s="231"/>
      <c r="AB140" s="231"/>
      <c r="AC140" s="231"/>
      <c r="AD140" s="231"/>
      <c r="AE140" s="231"/>
      <c r="AF140" s="231"/>
      <c r="AG140" s="231"/>
      <c r="AH140" s="231"/>
      <c r="AI140" s="231"/>
      <c r="AJ140" s="231"/>
      <c r="AK140" s="231"/>
      <c r="AL140" s="231"/>
      <c r="AM140" s="231"/>
      <c r="AN140" s="231"/>
      <c r="AO140" s="231"/>
      <c r="AP140" s="231"/>
      <c r="AQ140" s="231"/>
    </row>
    <row r="141" spans="1:43" s="203" customFormat="1">
      <c r="A141" s="120">
        <v>37</v>
      </c>
      <c r="B141" s="90" t="s">
        <v>126</v>
      </c>
      <c r="C141" s="47"/>
      <c r="D141" s="47"/>
      <c r="E141" s="49">
        <v>660</v>
      </c>
      <c r="F141" s="52">
        <f>754</f>
        <v>754</v>
      </c>
      <c r="G141" s="118"/>
      <c r="H141" s="99">
        <v>680</v>
      </c>
      <c r="I141" s="139"/>
      <c r="J141" s="231"/>
      <c r="K141" s="231"/>
      <c r="L141" s="231"/>
      <c r="M141" s="231"/>
      <c r="N141" s="231"/>
      <c r="O141" s="231"/>
      <c r="P141" s="231"/>
      <c r="Q141" s="231"/>
      <c r="R141" s="231"/>
      <c r="S141" s="231"/>
      <c r="T141" s="231"/>
      <c r="U141" s="231"/>
      <c r="V141" s="231"/>
      <c r="W141" s="231"/>
      <c r="X141" s="231"/>
      <c r="Y141" s="231"/>
      <c r="Z141" s="231"/>
      <c r="AA141" s="231"/>
      <c r="AB141" s="231"/>
      <c r="AC141" s="231"/>
      <c r="AD141" s="231"/>
      <c r="AE141" s="231"/>
      <c r="AF141" s="231"/>
      <c r="AG141" s="231"/>
      <c r="AH141" s="231"/>
      <c r="AI141" s="231"/>
      <c r="AJ141" s="231"/>
      <c r="AK141" s="231"/>
      <c r="AL141" s="231"/>
      <c r="AM141" s="231"/>
      <c r="AN141" s="231"/>
      <c r="AO141" s="231"/>
      <c r="AP141" s="231"/>
      <c r="AQ141" s="231"/>
    </row>
    <row r="142" spans="1:43" s="203" customFormat="1">
      <c r="A142" s="120">
        <v>38</v>
      </c>
      <c r="B142" s="47" t="s">
        <v>121</v>
      </c>
      <c r="C142" s="47"/>
      <c r="D142" s="47"/>
      <c r="E142" s="49">
        <v>12060</v>
      </c>
      <c r="F142" s="52">
        <f>12041</f>
        <v>12041</v>
      </c>
      <c r="G142" s="118"/>
      <c r="H142" s="100">
        <v>13092</v>
      </c>
      <c r="I142" s="139"/>
      <c r="J142" s="231"/>
      <c r="K142" s="231"/>
      <c r="L142" s="231"/>
      <c r="M142" s="231"/>
      <c r="N142" s="231"/>
      <c r="O142" s="231"/>
      <c r="P142" s="231"/>
      <c r="Q142" s="231"/>
      <c r="R142" s="231"/>
      <c r="S142" s="231"/>
      <c r="T142" s="231"/>
      <c r="U142" s="231"/>
      <c r="V142" s="231"/>
      <c r="W142" s="231"/>
      <c r="X142" s="231"/>
      <c r="Y142" s="231"/>
      <c r="Z142" s="231"/>
      <c r="AA142" s="231"/>
      <c r="AB142" s="231"/>
      <c r="AC142" s="231"/>
      <c r="AD142" s="231"/>
      <c r="AE142" s="231"/>
      <c r="AF142" s="231"/>
      <c r="AG142" s="231"/>
      <c r="AH142" s="231"/>
      <c r="AI142" s="231"/>
      <c r="AJ142" s="231"/>
      <c r="AK142" s="231"/>
      <c r="AL142" s="231"/>
      <c r="AM142" s="231"/>
      <c r="AN142" s="231"/>
      <c r="AO142" s="231"/>
      <c r="AP142" s="231"/>
      <c r="AQ142" s="231"/>
    </row>
    <row r="143" spans="1:43" s="203" customFormat="1">
      <c r="A143" s="120">
        <v>39</v>
      </c>
      <c r="B143" s="116" t="s">
        <v>129</v>
      </c>
      <c r="C143" s="116"/>
      <c r="D143" s="116"/>
      <c r="E143" s="80">
        <v>16807</v>
      </c>
      <c r="F143" s="142">
        <f>SUM(F138:F142)</f>
        <v>17106</v>
      </c>
      <c r="G143" s="118"/>
      <c r="H143" s="142">
        <f>SUM(H138:H142)</f>
        <v>18218</v>
      </c>
      <c r="I143" s="139"/>
      <c r="J143" s="231"/>
      <c r="K143" s="231"/>
      <c r="L143" s="231"/>
      <c r="M143" s="231"/>
      <c r="N143" s="231"/>
      <c r="O143" s="231"/>
      <c r="P143" s="231"/>
      <c r="Q143" s="231"/>
      <c r="R143" s="231"/>
      <c r="S143" s="231"/>
      <c r="T143" s="231"/>
      <c r="U143" s="231"/>
      <c r="V143" s="231"/>
      <c r="W143" s="231"/>
      <c r="X143" s="231"/>
      <c r="Y143" s="231"/>
      <c r="Z143" s="231"/>
      <c r="AA143" s="231"/>
      <c r="AB143" s="231"/>
      <c r="AC143" s="231"/>
      <c r="AD143" s="231"/>
      <c r="AE143" s="231"/>
      <c r="AF143" s="231"/>
      <c r="AG143" s="231"/>
      <c r="AH143" s="231"/>
      <c r="AI143" s="231"/>
      <c r="AJ143" s="231"/>
      <c r="AK143" s="231"/>
      <c r="AL143" s="231"/>
      <c r="AM143" s="231"/>
      <c r="AN143" s="231"/>
      <c r="AO143" s="231"/>
      <c r="AP143" s="231"/>
      <c r="AQ143" s="231"/>
    </row>
    <row r="144" spans="1:43" s="203" customFormat="1">
      <c r="A144" s="111"/>
      <c r="B144" s="47"/>
      <c r="C144" s="47"/>
      <c r="D144" s="47"/>
      <c r="E144" s="117"/>
      <c r="F144" s="118"/>
      <c r="G144" s="118"/>
      <c r="H144" s="118"/>
      <c r="I144" s="139"/>
      <c r="J144" s="231"/>
      <c r="K144" s="231"/>
      <c r="L144" s="231"/>
      <c r="M144" s="231"/>
      <c r="N144" s="231"/>
      <c r="O144" s="231"/>
      <c r="P144" s="231"/>
      <c r="Q144" s="231"/>
      <c r="R144" s="231"/>
      <c r="S144" s="231"/>
      <c r="T144" s="231"/>
      <c r="U144" s="231"/>
      <c r="V144" s="231"/>
      <c r="W144" s="231"/>
      <c r="X144" s="231"/>
      <c r="Y144" s="231"/>
      <c r="Z144" s="231"/>
      <c r="AA144" s="231"/>
      <c r="AB144" s="231"/>
      <c r="AC144" s="231"/>
      <c r="AD144" s="231"/>
      <c r="AE144" s="231"/>
      <c r="AF144" s="231"/>
      <c r="AG144" s="231"/>
      <c r="AH144" s="231"/>
      <c r="AI144" s="231"/>
      <c r="AJ144" s="231"/>
      <c r="AK144" s="231"/>
      <c r="AL144" s="231"/>
      <c r="AM144" s="231"/>
      <c r="AN144" s="231"/>
      <c r="AO144" s="231"/>
      <c r="AP144" s="231"/>
      <c r="AQ144" s="231"/>
    </row>
    <row r="145" spans="1:43" s="203" customFormat="1">
      <c r="A145" s="119" t="s">
        <v>110</v>
      </c>
      <c r="B145" s="116"/>
      <c r="C145" s="116"/>
      <c r="D145" s="116"/>
      <c r="E145" s="140"/>
      <c r="F145" s="146"/>
      <c r="G145" s="118"/>
      <c r="H145" s="146"/>
      <c r="I145" s="139"/>
      <c r="J145" s="231"/>
      <c r="K145" s="231"/>
      <c r="L145" s="231"/>
      <c r="M145" s="231"/>
      <c r="N145" s="231"/>
      <c r="O145" s="231"/>
      <c r="P145" s="231"/>
      <c r="Q145" s="231"/>
      <c r="R145" s="231"/>
      <c r="S145" s="231"/>
      <c r="T145" s="231"/>
      <c r="U145" s="231"/>
      <c r="V145" s="231"/>
      <c r="W145" s="231"/>
      <c r="X145" s="231"/>
      <c r="Y145" s="231"/>
      <c r="Z145" s="231"/>
      <c r="AA145" s="231"/>
      <c r="AB145" s="231"/>
      <c r="AC145" s="231"/>
      <c r="AD145" s="231"/>
      <c r="AE145" s="231"/>
      <c r="AF145" s="231"/>
      <c r="AG145" s="231"/>
      <c r="AH145" s="231"/>
      <c r="AI145" s="231"/>
      <c r="AJ145" s="231"/>
      <c r="AK145" s="231"/>
      <c r="AL145" s="231"/>
      <c r="AM145" s="231"/>
      <c r="AN145" s="231"/>
      <c r="AO145" s="231"/>
      <c r="AP145" s="231"/>
      <c r="AQ145" s="231"/>
    </row>
    <row r="146" spans="1:43" s="203" customFormat="1">
      <c r="A146" s="120">
        <v>40</v>
      </c>
      <c r="B146" s="47" t="s">
        <v>123</v>
      </c>
      <c r="C146" s="47"/>
      <c r="D146" s="47"/>
      <c r="E146" s="49">
        <v>432</v>
      </c>
      <c r="F146" s="52">
        <f>472</f>
        <v>472</v>
      </c>
      <c r="G146" s="118"/>
      <c r="H146" s="122">
        <v>451</v>
      </c>
      <c r="I146" s="139"/>
      <c r="J146" s="231"/>
      <c r="K146" s="231"/>
      <c r="L146" s="231"/>
      <c r="M146" s="231"/>
      <c r="N146" s="231"/>
      <c r="O146" s="231"/>
      <c r="P146" s="231"/>
      <c r="Q146" s="231"/>
      <c r="R146" s="231"/>
      <c r="S146" s="231"/>
      <c r="T146" s="231"/>
      <c r="U146" s="231"/>
      <c r="V146" s="231"/>
      <c r="W146" s="231"/>
      <c r="X146" s="231"/>
      <c r="Y146" s="231"/>
      <c r="Z146" s="231"/>
      <c r="AA146" s="231"/>
      <c r="AB146" s="231"/>
      <c r="AC146" s="231"/>
      <c r="AD146" s="231"/>
      <c r="AE146" s="231"/>
      <c r="AF146" s="231"/>
      <c r="AG146" s="231"/>
      <c r="AH146" s="231"/>
      <c r="AI146" s="231"/>
      <c r="AJ146" s="231"/>
      <c r="AK146" s="231"/>
      <c r="AL146" s="231"/>
      <c r="AM146" s="231"/>
      <c r="AN146" s="231"/>
      <c r="AO146" s="231"/>
      <c r="AP146" s="231"/>
      <c r="AQ146" s="231"/>
    </row>
    <row r="147" spans="1:43" s="203" customFormat="1">
      <c r="A147" s="120">
        <v>41</v>
      </c>
      <c r="B147" s="47" t="s">
        <v>119</v>
      </c>
      <c r="C147" s="47"/>
      <c r="D147" s="47"/>
      <c r="E147" s="49">
        <v>297</v>
      </c>
      <c r="F147" s="52">
        <f>491</f>
        <v>491</v>
      </c>
      <c r="G147" s="118"/>
      <c r="H147" s="122">
        <v>596</v>
      </c>
      <c r="I147" s="139"/>
      <c r="J147" s="231"/>
      <c r="K147" s="231"/>
      <c r="L147" s="231"/>
      <c r="M147" s="231"/>
      <c r="N147" s="231"/>
      <c r="O147" s="231"/>
      <c r="P147" s="231"/>
      <c r="Q147" s="231"/>
      <c r="R147" s="231"/>
      <c r="S147" s="231"/>
      <c r="T147" s="231"/>
      <c r="U147" s="231"/>
      <c r="V147" s="231"/>
      <c r="W147" s="231"/>
      <c r="X147" s="231"/>
      <c r="Y147" s="231"/>
      <c r="Z147" s="231"/>
      <c r="AA147" s="231"/>
      <c r="AB147" s="231"/>
      <c r="AC147" s="231"/>
      <c r="AD147" s="231"/>
      <c r="AE147" s="231"/>
      <c r="AF147" s="231"/>
      <c r="AG147" s="231"/>
      <c r="AH147" s="231"/>
      <c r="AI147" s="231"/>
      <c r="AJ147" s="231"/>
      <c r="AK147" s="231"/>
      <c r="AL147" s="231"/>
      <c r="AM147" s="231"/>
      <c r="AN147" s="231"/>
      <c r="AO147" s="231"/>
      <c r="AP147" s="231"/>
      <c r="AQ147" s="231"/>
    </row>
    <row r="148" spans="1:43" s="203" customFormat="1">
      <c r="A148" s="120">
        <v>42</v>
      </c>
      <c r="B148" s="47" t="s">
        <v>120</v>
      </c>
      <c r="C148" s="47"/>
      <c r="D148" s="47"/>
      <c r="E148" s="49">
        <v>188</v>
      </c>
      <c r="F148" s="52">
        <f>195</f>
        <v>195</v>
      </c>
      <c r="G148" s="118"/>
      <c r="H148" s="122">
        <v>187</v>
      </c>
      <c r="I148" s="139"/>
      <c r="J148" s="231"/>
      <c r="K148" s="231"/>
      <c r="L148" s="231"/>
      <c r="M148" s="231"/>
      <c r="N148" s="231"/>
      <c r="O148" s="231"/>
      <c r="P148" s="231"/>
      <c r="Q148" s="231"/>
      <c r="R148" s="231"/>
      <c r="S148" s="231"/>
      <c r="T148" s="231"/>
      <c r="U148" s="231"/>
      <c r="V148" s="231"/>
      <c r="W148" s="231"/>
      <c r="X148" s="231"/>
      <c r="Y148" s="231"/>
      <c r="Z148" s="231"/>
      <c r="AA148" s="231"/>
      <c r="AB148" s="231"/>
      <c r="AC148" s="231"/>
      <c r="AD148" s="231"/>
      <c r="AE148" s="231"/>
      <c r="AF148" s="231"/>
      <c r="AG148" s="231"/>
      <c r="AH148" s="231"/>
      <c r="AI148" s="231"/>
      <c r="AJ148" s="231"/>
      <c r="AK148" s="231"/>
      <c r="AL148" s="231"/>
      <c r="AM148" s="231"/>
      <c r="AN148" s="231"/>
      <c r="AO148" s="231"/>
      <c r="AP148" s="231"/>
      <c r="AQ148" s="231"/>
    </row>
    <row r="149" spans="1:43" s="203" customFormat="1">
      <c r="A149" s="120">
        <v>43</v>
      </c>
      <c r="B149" s="47" t="s">
        <v>121</v>
      </c>
      <c r="C149" s="47"/>
      <c r="D149" s="47"/>
      <c r="E149" s="49">
        <v>2184</v>
      </c>
      <c r="F149" s="52">
        <f>1840</f>
        <v>1840</v>
      </c>
      <c r="G149" s="118"/>
      <c r="H149" s="100">
        <v>2207</v>
      </c>
      <c r="I149" s="139"/>
      <c r="J149" s="231"/>
      <c r="K149" s="231"/>
      <c r="L149" s="231"/>
      <c r="M149" s="231"/>
      <c r="N149" s="231"/>
      <c r="O149" s="231"/>
      <c r="P149" s="231"/>
      <c r="Q149" s="231"/>
      <c r="R149" s="231"/>
      <c r="S149" s="231"/>
      <c r="T149" s="231"/>
      <c r="U149" s="231"/>
      <c r="V149" s="231"/>
      <c r="W149" s="231"/>
      <c r="X149" s="231"/>
      <c r="Y149" s="231"/>
      <c r="Z149" s="231"/>
      <c r="AA149" s="231"/>
      <c r="AB149" s="231"/>
      <c r="AC149" s="231"/>
      <c r="AD149" s="231"/>
      <c r="AE149" s="231"/>
      <c r="AF149" s="231"/>
      <c r="AG149" s="231"/>
      <c r="AH149" s="231"/>
      <c r="AI149" s="231"/>
      <c r="AJ149" s="231"/>
      <c r="AK149" s="231"/>
      <c r="AL149" s="231"/>
      <c r="AM149" s="231"/>
      <c r="AN149" s="231"/>
      <c r="AO149" s="231"/>
      <c r="AP149" s="231"/>
      <c r="AQ149" s="231"/>
    </row>
    <row r="150" spans="1:43" s="203" customFormat="1">
      <c r="A150" s="124">
        <v>44</v>
      </c>
      <c r="B150" s="94" t="s">
        <v>130</v>
      </c>
      <c r="C150" s="94"/>
      <c r="D150" s="94"/>
      <c r="E150" s="80">
        <v>3101</v>
      </c>
      <c r="F150" s="142">
        <f>SUM(F146:F149)</f>
        <v>2998</v>
      </c>
      <c r="G150" s="259"/>
      <c r="H150" s="142">
        <f>SUM(H146:H149)</f>
        <v>3441</v>
      </c>
      <c r="I150" s="139"/>
      <c r="J150" s="231"/>
      <c r="K150" s="231"/>
      <c r="L150" s="231"/>
      <c r="M150" s="231"/>
      <c r="N150" s="231"/>
      <c r="O150" s="231"/>
      <c r="P150" s="231"/>
      <c r="Q150" s="231"/>
      <c r="R150" s="231"/>
      <c r="S150" s="231"/>
      <c r="T150" s="231"/>
      <c r="U150" s="231"/>
      <c r="V150" s="231"/>
      <c r="W150" s="231"/>
      <c r="X150" s="231"/>
      <c r="Y150" s="231"/>
      <c r="Z150" s="231"/>
      <c r="AA150" s="231"/>
      <c r="AB150" s="231"/>
      <c r="AC150" s="231"/>
      <c r="AD150" s="231"/>
      <c r="AE150" s="231"/>
      <c r="AF150" s="231"/>
      <c r="AG150" s="231"/>
      <c r="AH150" s="231"/>
      <c r="AI150" s="231"/>
      <c r="AJ150" s="231"/>
      <c r="AK150" s="231"/>
      <c r="AL150" s="231"/>
      <c r="AM150" s="231"/>
      <c r="AN150" s="231"/>
      <c r="AO150" s="231"/>
      <c r="AP150" s="231"/>
      <c r="AQ150" s="231"/>
    </row>
    <row r="151" spans="1:43" s="203" customFormat="1">
      <c r="A151" s="148"/>
      <c r="B151" s="129"/>
      <c r="C151" s="129"/>
      <c r="D151" s="149"/>
      <c r="E151" s="150"/>
      <c r="F151" s="29"/>
      <c r="G151" s="29"/>
      <c r="H151" s="207"/>
      <c r="I151" s="29"/>
      <c r="J151" s="231"/>
      <c r="K151" s="231"/>
      <c r="L151" s="231"/>
      <c r="M151" s="231"/>
      <c r="N151" s="231"/>
      <c r="O151" s="231"/>
      <c r="P151" s="231"/>
      <c r="Q151" s="231"/>
      <c r="R151" s="231"/>
      <c r="S151" s="231"/>
      <c r="T151" s="231"/>
      <c r="U151" s="231"/>
      <c r="V151" s="231"/>
      <c r="W151" s="231"/>
      <c r="X151" s="231"/>
      <c r="Y151" s="231"/>
      <c r="Z151" s="231"/>
      <c r="AA151" s="231"/>
      <c r="AB151" s="231"/>
      <c r="AC151" s="231"/>
      <c r="AD151" s="231"/>
      <c r="AE151" s="231"/>
      <c r="AF151" s="231"/>
      <c r="AG151" s="231"/>
      <c r="AH151" s="231"/>
      <c r="AI151" s="231"/>
      <c r="AJ151" s="231"/>
      <c r="AK151" s="231"/>
      <c r="AL151" s="231"/>
      <c r="AM151" s="231"/>
      <c r="AN151" s="231"/>
      <c r="AO151" s="231"/>
      <c r="AP151" s="231"/>
      <c r="AQ151" s="231"/>
    </row>
    <row r="152" spans="1:43" s="203" customFormat="1">
      <c r="A152" s="148"/>
      <c r="B152" s="129"/>
      <c r="C152" s="129"/>
      <c r="D152" s="151"/>
      <c r="E152" s="152"/>
      <c r="F152" s="29"/>
      <c r="G152" s="29"/>
      <c r="H152" s="131" t="s">
        <v>27</v>
      </c>
      <c r="I152" s="29"/>
      <c r="J152" s="231"/>
      <c r="K152" s="231"/>
      <c r="L152" s="231"/>
      <c r="M152" s="231"/>
      <c r="N152" s="231"/>
      <c r="O152" s="231"/>
      <c r="P152" s="231"/>
      <c r="Q152" s="231"/>
      <c r="R152" s="231"/>
      <c r="S152" s="231"/>
      <c r="T152" s="231"/>
      <c r="U152" s="231"/>
      <c r="V152" s="231"/>
      <c r="W152" s="231"/>
      <c r="X152" s="231"/>
      <c r="Y152" s="231"/>
      <c r="Z152" s="231"/>
      <c r="AA152" s="231"/>
      <c r="AB152" s="231"/>
      <c r="AC152" s="231"/>
      <c r="AD152" s="231"/>
      <c r="AE152" s="231"/>
      <c r="AF152" s="231"/>
      <c r="AG152" s="231"/>
      <c r="AH152" s="231"/>
      <c r="AI152" s="231"/>
      <c r="AJ152" s="231"/>
      <c r="AK152" s="231"/>
      <c r="AL152" s="231"/>
      <c r="AM152" s="231"/>
      <c r="AN152" s="231"/>
      <c r="AO152" s="231"/>
      <c r="AP152" s="231"/>
      <c r="AQ152" s="231"/>
    </row>
    <row r="153" spans="1:43" s="203" customFormat="1">
      <c r="A153" s="106" t="s">
        <v>20</v>
      </c>
      <c r="B153" s="107"/>
      <c r="C153" s="107"/>
      <c r="D153" s="107"/>
      <c r="E153" s="856" t="s">
        <v>377</v>
      </c>
      <c r="F153" s="856" t="s">
        <v>402</v>
      </c>
      <c r="G153" s="130"/>
      <c r="H153" s="856" t="s">
        <v>403</v>
      </c>
      <c r="I153" s="130"/>
      <c r="J153" s="231"/>
      <c r="K153" s="231"/>
      <c r="L153" s="231"/>
      <c r="M153" s="231"/>
      <c r="N153" s="231"/>
      <c r="O153" s="231"/>
      <c r="P153" s="231"/>
      <c r="Q153" s="231"/>
      <c r="R153" s="231"/>
      <c r="S153" s="231"/>
      <c r="T153" s="231"/>
      <c r="U153" s="231"/>
      <c r="V153" s="231"/>
      <c r="W153" s="231"/>
      <c r="X153" s="231"/>
      <c r="Y153" s="231"/>
      <c r="Z153" s="231"/>
      <c r="AA153" s="231"/>
      <c r="AB153" s="231"/>
      <c r="AC153" s="231"/>
      <c r="AD153" s="231"/>
      <c r="AE153" s="231"/>
      <c r="AF153" s="231"/>
      <c r="AG153" s="231"/>
      <c r="AH153" s="231"/>
      <c r="AI153" s="231"/>
      <c r="AJ153" s="231"/>
      <c r="AK153" s="231"/>
      <c r="AL153" s="231"/>
      <c r="AM153" s="231"/>
      <c r="AN153" s="231"/>
      <c r="AO153" s="231"/>
      <c r="AP153" s="231"/>
      <c r="AQ153" s="231"/>
    </row>
    <row r="154" spans="1:43" s="203" customFormat="1">
      <c r="A154" s="153"/>
      <c r="B154" s="132"/>
      <c r="C154" s="132"/>
      <c r="D154" s="132"/>
      <c r="E154" s="859"/>
      <c r="F154" s="859"/>
      <c r="G154" s="130"/>
      <c r="H154" s="859"/>
      <c r="I154" s="130"/>
      <c r="J154" s="231"/>
      <c r="K154" s="231"/>
      <c r="L154" s="231"/>
      <c r="M154" s="231"/>
      <c r="N154" s="231"/>
      <c r="O154" s="231"/>
      <c r="P154" s="231"/>
      <c r="Q154" s="231"/>
      <c r="R154" s="231"/>
      <c r="S154" s="231"/>
      <c r="T154" s="231"/>
      <c r="U154" s="231"/>
      <c r="V154" s="231"/>
      <c r="W154" s="231"/>
      <c r="X154" s="231"/>
      <c r="Y154" s="231"/>
      <c r="Z154" s="231"/>
      <c r="AA154" s="231"/>
      <c r="AB154" s="231"/>
      <c r="AC154" s="231"/>
      <c r="AD154" s="231"/>
      <c r="AE154" s="231"/>
      <c r="AF154" s="231"/>
      <c r="AG154" s="231"/>
      <c r="AH154" s="231"/>
      <c r="AI154" s="231"/>
      <c r="AJ154" s="231"/>
      <c r="AK154" s="231"/>
      <c r="AL154" s="231"/>
      <c r="AM154" s="231"/>
      <c r="AN154" s="231"/>
      <c r="AO154" s="231"/>
      <c r="AP154" s="231"/>
      <c r="AQ154" s="231"/>
    </row>
    <row r="155" spans="1:43" s="203" customFormat="1">
      <c r="A155" s="154" t="s">
        <v>131</v>
      </c>
      <c r="B155" s="116"/>
      <c r="C155" s="116"/>
      <c r="D155" s="116"/>
      <c r="E155" s="859"/>
      <c r="F155" s="859"/>
      <c r="G155" s="130"/>
      <c r="H155" s="859"/>
      <c r="I155" s="130"/>
      <c r="J155" s="231"/>
      <c r="K155" s="231"/>
      <c r="L155" s="231"/>
      <c r="M155" s="231"/>
      <c r="N155" s="231"/>
      <c r="O155" s="231"/>
      <c r="P155" s="231"/>
      <c r="Q155" s="231"/>
      <c r="R155" s="231"/>
      <c r="S155" s="231"/>
      <c r="T155" s="231"/>
      <c r="U155" s="231"/>
      <c r="V155" s="231"/>
      <c r="W155" s="231"/>
      <c r="X155" s="231"/>
      <c r="Y155" s="231"/>
      <c r="Z155" s="231"/>
      <c r="AA155" s="231"/>
      <c r="AB155" s="231"/>
      <c r="AC155" s="231"/>
      <c r="AD155" s="231"/>
      <c r="AE155" s="231"/>
      <c r="AF155" s="231"/>
      <c r="AG155" s="231"/>
      <c r="AH155" s="231"/>
      <c r="AI155" s="231"/>
      <c r="AJ155" s="231"/>
      <c r="AK155" s="231"/>
      <c r="AL155" s="231"/>
      <c r="AM155" s="231"/>
      <c r="AN155" s="231"/>
      <c r="AO155" s="231"/>
      <c r="AP155" s="231"/>
      <c r="AQ155" s="231"/>
    </row>
    <row r="156" spans="1:43" s="203" customFormat="1" ht="12.75" customHeight="1">
      <c r="A156" s="109" t="s">
        <v>83</v>
      </c>
      <c r="B156" s="47"/>
      <c r="C156" s="47"/>
      <c r="D156" s="47"/>
      <c r="E156" s="859"/>
      <c r="F156" s="859"/>
      <c r="G156" s="130"/>
      <c r="H156" s="859"/>
      <c r="I156" s="130"/>
      <c r="J156" s="231"/>
      <c r="K156" s="231"/>
      <c r="L156" s="231"/>
      <c r="M156" s="231"/>
      <c r="N156" s="231"/>
      <c r="O156" s="231"/>
      <c r="P156" s="231"/>
      <c r="Q156" s="231"/>
      <c r="R156" s="231"/>
      <c r="S156" s="231"/>
      <c r="T156" s="231"/>
      <c r="U156" s="231"/>
      <c r="V156" s="231"/>
      <c r="W156" s="231"/>
      <c r="X156" s="231"/>
      <c r="Y156" s="231"/>
      <c r="Z156" s="231"/>
      <c r="AA156" s="231"/>
      <c r="AB156" s="231"/>
      <c r="AC156" s="231"/>
      <c r="AD156" s="231"/>
      <c r="AE156" s="231"/>
      <c r="AF156" s="231"/>
      <c r="AG156" s="231"/>
      <c r="AH156" s="231"/>
      <c r="AI156" s="231"/>
      <c r="AJ156" s="231"/>
      <c r="AK156" s="231"/>
      <c r="AL156" s="231"/>
      <c r="AM156" s="231"/>
      <c r="AN156" s="231"/>
      <c r="AO156" s="231"/>
      <c r="AP156" s="231"/>
      <c r="AQ156" s="231"/>
    </row>
    <row r="157" spans="1:43" s="203" customFormat="1">
      <c r="A157" s="110" t="s">
        <v>84</v>
      </c>
      <c r="B157" s="132"/>
      <c r="C157" s="132"/>
      <c r="D157" s="132"/>
      <c r="E157" s="860"/>
      <c r="F157" s="860"/>
      <c r="G157" s="130"/>
      <c r="H157" s="860"/>
      <c r="I157" s="130"/>
      <c r="J157" s="231"/>
      <c r="K157" s="231"/>
      <c r="L157" s="231"/>
      <c r="M157" s="231"/>
      <c r="N157" s="231"/>
      <c r="O157" s="231"/>
      <c r="P157" s="231"/>
      <c r="Q157" s="231"/>
      <c r="R157" s="231"/>
      <c r="S157" s="231"/>
      <c r="T157" s="231"/>
      <c r="U157" s="231"/>
      <c r="V157" s="231"/>
      <c r="W157" s="231"/>
      <c r="X157" s="231"/>
      <c r="Y157" s="231"/>
      <c r="Z157" s="231"/>
      <c r="AA157" s="231"/>
      <c r="AB157" s="231"/>
      <c r="AC157" s="231"/>
      <c r="AD157" s="231"/>
      <c r="AE157" s="231"/>
      <c r="AF157" s="231"/>
      <c r="AG157" s="231"/>
      <c r="AH157" s="231"/>
      <c r="AI157" s="231"/>
      <c r="AJ157" s="231"/>
      <c r="AK157" s="231"/>
      <c r="AL157" s="231"/>
      <c r="AM157" s="231"/>
      <c r="AN157" s="231"/>
      <c r="AO157" s="231"/>
      <c r="AP157" s="231"/>
      <c r="AQ157" s="231"/>
    </row>
    <row r="158" spans="1:43" s="203" customFormat="1">
      <c r="A158" s="119" t="s">
        <v>132</v>
      </c>
      <c r="B158" s="47"/>
      <c r="C158" s="47"/>
      <c r="D158" s="47"/>
      <c r="E158" s="155"/>
      <c r="F158" s="146" t="s">
        <v>133</v>
      </c>
      <c r="G158" s="118"/>
      <c r="H158" s="146"/>
      <c r="I158" s="29"/>
      <c r="J158" s="231"/>
      <c r="K158" s="231"/>
      <c r="L158" s="231"/>
      <c r="M158" s="231"/>
      <c r="N158" s="231"/>
      <c r="O158" s="231"/>
      <c r="P158" s="231"/>
      <c r="Q158" s="231"/>
      <c r="R158" s="231"/>
      <c r="S158" s="231"/>
      <c r="T158" s="231"/>
      <c r="U158" s="231"/>
      <c r="V158" s="231"/>
      <c r="W158" s="231"/>
      <c r="X158" s="231"/>
      <c r="Y158" s="231"/>
      <c r="Z158" s="231"/>
      <c r="AA158" s="231"/>
      <c r="AB158" s="231"/>
      <c r="AC158" s="231"/>
      <c r="AD158" s="231"/>
      <c r="AE158" s="231"/>
      <c r="AF158" s="231"/>
      <c r="AG158" s="231"/>
      <c r="AH158" s="231"/>
      <c r="AI158" s="231"/>
      <c r="AJ158" s="231"/>
      <c r="AK158" s="231"/>
      <c r="AL158" s="231"/>
      <c r="AM158" s="231"/>
      <c r="AN158" s="231"/>
      <c r="AO158" s="231"/>
      <c r="AP158" s="231"/>
      <c r="AQ158" s="231"/>
    </row>
    <row r="159" spans="1:43" s="203" customFormat="1">
      <c r="A159" s="120">
        <v>1</v>
      </c>
      <c r="B159" s="47" t="s">
        <v>134</v>
      </c>
      <c r="C159" s="47"/>
      <c r="D159" s="47"/>
      <c r="E159" s="74">
        <v>0</v>
      </c>
      <c r="F159" s="52"/>
      <c r="G159" s="118"/>
      <c r="H159" s="122"/>
      <c r="I159" s="29"/>
      <c r="J159" s="231"/>
      <c r="K159" s="231"/>
      <c r="L159" s="231"/>
      <c r="M159" s="231"/>
      <c r="N159" s="231"/>
      <c r="O159" s="231"/>
      <c r="P159" s="231"/>
      <c r="Q159" s="231"/>
      <c r="R159" s="231"/>
      <c r="S159" s="231"/>
      <c r="T159" s="231"/>
      <c r="U159" s="231"/>
      <c r="V159" s="231"/>
      <c r="W159" s="231"/>
      <c r="X159" s="231"/>
      <c r="Y159" s="231"/>
      <c r="Z159" s="231"/>
      <c r="AA159" s="231"/>
      <c r="AB159" s="231"/>
      <c r="AC159" s="231"/>
      <c r="AD159" s="231"/>
      <c r="AE159" s="231"/>
      <c r="AF159" s="231"/>
      <c r="AG159" s="231"/>
      <c r="AH159" s="231"/>
      <c r="AI159" s="231"/>
      <c r="AJ159" s="231"/>
      <c r="AK159" s="231"/>
      <c r="AL159" s="231"/>
      <c r="AM159" s="231"/>
      <c r="AN159" s="231"/>
      <c r="AO159" s="231"/>
      <c r="AP159" s="231"/>
      <c r="AQ159" s="231"/>
    </row>
    <row r="160" spans="1:43" s="203" customFormat="1">
      <c r="A160" s="120">
        <v>2</v>
      </c>
      <c r="B160" s="47" t="s">
        <v>135</v>
      </c>
      <c r="C160" s="47"/>
      <c r="D160" s="47"/>
      <c r="E160" s="49">
        <v>921</v>
      </c>
      <c r="F160" s="52">
        <v>669</v>
      </c>
      <c r="G160" s="118"/>
      <c r="H160" s="122">
        <v>896</v>
      </c>
      <c r="I160" s="29"/>
      <c r="J160" s="231"/>
      <c r="K160" s="231"/>
      <c r="L160" s="231"/>
      <c r="M160" s="231"/>
      <c r="N160" s="231"/>
      <c r="O160" s="231"/>
      <c r="P160" s="231"/>
      <c r="Q160" s="231"/>
      <c r="R160" s="231"/>
      <c r="S160" s="231"/>
      <c r="T160" s="231"/>
      <c r="U160" s="231"/>
      <c r="V160" s="231"/>
      <c r="W160" s="231"/>
      <c r="X160" s="231"/>
      <c r="Y160" s="231"/>
      <c r="Z160" s="231"/>
      <c r="AA160" s="231"/>
      <c r="AB160" s="231"/>
      <c r="AC160" s="231"/>
      <c r="AD160" s="231"/>
      <c r="AE160" s="231"/>
      <c r="AF160" s="231"/>
      <c r="AG160" s="231"/>
      <c r="AH160" s="231"/>
      <c r="AI160" s="231"/>
      <c r="AJ160" s="231"/>
      <c r="AK160" s="231"/>
      <c r="AL160" s="231"/>
      <c r="AM160" s="231"/>
      <c r="AN160" s="231"/>
      <c r="AO160" s="231"/>
      <c r="AP160" s="231"/>
      <c r="AQ160" s="231"/>
    </row>
    <row r="161" spans="1:43" s="203" customFormat="1">
      <c r="A161" s="120">
        <v>3</v>
      </c>
      <c r="B161" s="47" t="s">
        <v>136</v>
      </c>
      <c r="C161" s="47"/>
      <c r="D161" s="47"/>
      <c r="E161" s="114">
        <v>4586</v>
      </c>
      <c r="F161" s="52">
        <v>5363</v>
      </c>
      <c r="G161" s="118"/>
      <c r="H161" s="122">
        <v>4074</v>
      </c>
      <c r="I161" s="29"/>
      <c r="J161" s="231"/>
      <c r="K161" s="231"/>
      <c r="L161" s="231"/>
      <c r="M161" s="231"/>
      <c r="N161" s="231"/>
      <c r="O161" s="231"/>
      <c r="P161" s="231"/>
      <c r="Q161" s="231"/>
      <c r="R161" s="231"/>
      <c r="S161" s="231"/>
      <c r="T161" s="231"/>
      <c r="U161" s="231"/>
      <c r="V161" s="231"/>
      <c r="W161" s="231"/>
      <c r="X161" s="231"/>
      <c r="Y161" s="231"/>
      <c r="Z161" s="231"/>
      <c r="AA161" s="231"/>
      <c r="AB161" s="231"/>
      <c r="AC161" s="231"/>
      <c r="AD161" s="231"/>
      <c r="AE161" s="231"/>
      <c r="AF161" s="231"/>
      <c r="AG161" s="231"/>
      <c r="AH161" s="231"/>
      <c r="AI161" s="231"/>
      <c r="AJ161" s="231"/>
      <c r="AK161" s="231"/>
      <c r="AL161" s="231"/>
      <c r="AM161" s="231"/>
      <c r="AN161" s="231"/>
      <c r="AO161" s="231"/>
      <c r="AP161" s="231"/>
      <c r="AQ161" s="231"/>
    </row>
    <row r="162" spans="1:43" s="203" customFormat="1">
      <c r="A162" s="120">
        <v>4</v>
      </c>
      <c r="B162" s="47" t="s">
        <v>137</v>
      </c>
      <c r="C162" s="47"/>
      <c r="D162" s="47"/>
      <c r="E162" s="114">
        <v>1803</v>
      </c>
      <c r="F162" s="52">
        <v>1733</v>
      </c>
      <c r="G162" s="118"/>
      <c r="H162" s="100">
        <v>1619</v>
      </c>
      <c r="I162" s="29"/>
      <c r="J162" s="231"/>
      <c r="K162" s="231"/>
      <c r="L162" s="231"/>
      <c r="M162" s="231"/>
      <c r="N162" s="231"/>
      <c r="O162" s="231"/>
      <c r="P162" s="231"/>
      <c r="Q162" s="231"/>
      <c r="R162" s="231"/>
      <c r="S162" s="231"/>
      <c r="T162" s="231"/>
      <c r="U162" s="231"/>
      <c r="V162" s="231"/>
      <c r="W162" s="231"/>
      <c r="X162" s="231"/>
      <c r="Y162" s="231"/>
      <c r="Z162" s="231"/>
      <c r="AA162" s="231"/>
      <c r="AB162" s="231"/>
      <c r="AC162" s="231"/>
      <c r="AD162" s="231"/>
      <c r="AE162" s="231"/>
      <c r="AF162" s="231"/>
      <c r="AG162" s="231"/>
      <c r="AH162" s="231"/>
      <c r="AI162" s="231"/>
      <c r="AJ162" s="231"/>
      <c r="AK162" s="231"/>
      <c r="AL162" s="231"/>
      <c r="AM162" s="231"/>
      <c r="AN162" s="231"/>
      <c r="AO162" s="231"/>
      <c r="AP162" s="231"/>
      <c r="AQ162" s="231"/>
    </row>
    <row r="163" spans="1:43" s="203" customFormat="1">
      <c r="A163" s="120">
        <v>5</v>
      </c>
      <c r="B163" s="116" t="s">
        <v>138</v>
      </c>
      <c r="C163" s="116"/>
      <c r="D163" s="116"/>
      <c r="E163" s="80">
        <v>7310</v>
      </c>
      <c r="F163" s="142">
        <f>SUM(F159:F162)</f>
        <v>7765</v>
      </c>
      <c r="G163" s="118"/>
      <c r="H163" s="142">
        <f>SUM(H159:H162)</f>
        <v>6589</v>
      </c>
      <c r="I163" s="29"/>
      <c r="J163" s="231"/>
      <c r="K163" s="231"/>
      <c r="L163" s="231"/>
      <c r="M163" s="231"/>
      <c r="N163" s="231"/>
      <c r="O163" s="231"/>
      <c r="P163" s="231"/>
      <c r="Q163" s="231"/>
      <c r="R163" s="231"/>
      <c r="S163" s="231"/>
      <c r="T163" s="231"/>
      <c r="U163" s="231"/>
      <c r="V163" s="231"/>
      <c r="W163" s="231"/>
      <c r="X163" s="231"/>
      <c r="Y163" s="231"/>
      <c r="Z163" s="231"/>
      <c r="AA163" s="231"/>
      <c r="AB163" s="231"/>
      <c r="AC163" s="231"/>
      <c r="AD163" s="231"/>
      <c r="AE163" s="231"/>
      <c r="AF163" s="231"/>
      <c r="AG163" s="231"/>
      <c r="AH163" s="231"/>
      <c r="AI163" s="231"/>
      <c r="AJ163" s="231"/>
      <c r="AK163" s="231"/>
      <c r="AL163" s="231"/>
      <c r="AM163" s="231"/>
      <c r="AN163" s="231"/>
      <c r="AO163" s="231"/>
      <c r="AP163" s="231"/>
      <c r="AQ163" s="231"/>
    </row>
    <row r="164" spans="1:43" s="203" customFormat="1">
      <c r="A164" s="46"/>
      <c r="B164" s="132"/>
      <c r="C164" s="132"/>
      <c r="D164" s="132"/>
      <c r="E164" s="156"/>
      <c r="F164" s="139"/>
      <c r="G164" s="139"/>
      <c r="H164" s="139"/>
      <c r="I164" s="29"/>
      <c r="J164" s="231"/>
      <c r="K164" s="231"/>
      <c r="L164" s="231"/>
      <c r="M164" s="231"/>
      <c r="N164" s="231"/>
      <c r="O164" s="231"/>
      <c r="P164" s="231"/>
      <c r="Q164" s="231"/>
      <c r="R164" s="231"/>
      <c r="S164" s="231"/>
      <c r="T164" s="231"/>
      <c r="U164" s="231"/>
      <c r="V164" s="231"/>
      <c r="W164" s="231"/>
      <c r="X164" s="231"/>
      <c r="Y164" s="231"/>
      <c r="Z164" s="231"/>
      <c r="AA164" s="231"/>
      <c r="AB164" s="231"/>
      <c r="AC164" s="231"/>
      <c r="AD164" s="231"/>
      <c r="AE164" s="231"/>
      <c r="AF164" s="231"/>
      <c r="AG164" s="231"/>
      <c r="AH164" s="231"/>
      <c r="AI164" s="231"/>
      <c r="AJ164" s="231"/>
      <c r="AK164" s="231"/>
      <c r="AL164" s="231"/>
      <c r="AM164" s="231"/>
      <c r="AN164" s="231"/>
      <c r="AO164" s="231"/>
      <c r="AP164" s="231"/>
      <c r="AQ164" s="231"/>
    </row>
    <row r="165" spans="1:43" s="203" customFormat="1">
      <c r="A165" s="119" t="s">
        <v>139</v>
      </c>
      <c r="B165" s="47"/>
      <c r="C165" s="47"/>
      <c r="D165" s="47"/>
      <c r="E165" s="140"/>
      <c r="F165" s="146"/>
      <c r="G165" s="118"/>
      <c r="H165" s="146"/>
      <c r="I165" s="29"/>
      <c r="J165" s="231"/>
      <c r="K165" s="231"/>
      <c r="L165" s="231"/>
      <c r="M165" s="231"/>
      <c r="N165" s="231"/>
      <c r="O165" s="231"/>
      <c r="P165" s="231"/>
      <c r="Q165" s="231"/>
      <c r="R165" s="231"/>
      <c r="S165" s="231"/>
      <c r="T165" s="231"/>
      <c r="U165" s="231"/>
      <c r="V165" s="231"/>
      <c r="W165" s="231"/>
      <c r="X165" s="231"/>
      <c r="Y165" s="231"/>
      <c r="Z165" s="231"/>
      <c r="AA165" s="231"/>
      <c r="AB165" s="231"/>
      <c r="AC165" s="231"/>
      <c r="AD165" s="231"/>
      <c r="AE165" s="231"/>
      <c r="AF165" s="231"/>
      <c r="AG165" s="231"/>
      <c r="AH165" s="231"/>
      <c r="AI165" s="231"/>
      <c r="AJ165" s="231"/>
      <c r="AK165" s="231"/>
      <c r="AL165" s="231"/>
      <c r="AM165" s="231"/>
      <c r="AN165" s="231"/>
      <c r="AO165" s="231"/>
      <c r="AP165" s="231"/>
      <c r="AQ165" s="231"/>
    </row>
    <row r="166" spans="1:43" s="203" customFormat="1">
      <c r="A166" s="120">
        <v>6</v>
      </c>
      <c r="B166" s="47" t="s">
        <v>140</v>
      </c>
      <c r="C166" s="47"/>
      <c r="D166" s="47"/>
      <c r="E166" s="74">
        <v>143</v>
      </c>
      <c r="F166" s="52">
        <v>145</v>
      </c>
      <c r="G166" s="118"/>
      <c r="H166" s="122">
        <v>148</v>
      </c>
      <c r="I166" s="29"/>
      <c r="J166" s="231"/>
      <c r="K166" s="231"/>
      <c r="L166" s="231"/>
      <c r="M166" s="231"/>
      <c r="N166" s="231"/>
      <c r="O166" s="231"/>
      <c r="P166" s="231"/>
      <c r="Q166" s="231"/>
      <c r="R166" s="231"/>
      <c r="S166" s="231"/>
      <c r="T166" s="231"/>
      <c r="U166" s="231"/>
      <c r="V166" s="231"/>
      <c r="W166" s="231"/>
      <c r="X166" s="231"/>
      <c r="Y166" s="231"/>
      <c r="Z166" s="231"/>
      <c r="AA166" s="231"/>
      <c r="AB166" s="231"/>
      <c r="AC166" s="231"/>
      <c r="AD166" s="231"/>
      <c r="AE166" s="231"/>
      <c r="AF166" s="231"/>
      <c r="AG166" s="231"/>
      <c r="AH166" s="231"/>
      <c r="AI166" s="231"/>
      <c r="AJ166" s="231"/>
      <c r="AK166" s="231"/>
      <c r="AL166" s="231"/>
      <c r="AM166" s="231"/>
      <c r="AN166" s="231"/>
      <c r="AO166" s="231"/>
      <c r="AP166" s="231"/>
      <c r="AQ166" s="231"/>
    </row>
    <row r="167" spans="1:43" s="203" customFormat="1">
      <c r="A167" s="120">
        <v>7</v>
      </c>
      <c r="B167" s="47" t="s">
        <v>141</v>
      </c>
      <c r="C167" s="47"/>
      <c r="D167" s="47"/>
      <c r="E167" s="49">
        <v>715</v>
      </c>
      <c r="F167" s="52">
        <v>756</v>
      </c>
      <c r="G167" s="118"/>
      <c r="H167" s="122">
        <v>715</v>
      </c>
      <c r="I167" s="29"/>
      <c r="J167" s="231"/>
      <c r="K167" s="231"/>
      <c r="L167" s="231"/>
      <c r="M167" s="231"/>
      <c r="N167" s="231"/>
      <c r="O167" s="231"/>
      <c r="P167" s="231"/>
      <c r="Q167" s="231"/>
      <c r="R167" s="231"/>
      <c r="S167" s="231"/>
      <c r="T167" s="231"/>
      <c r="U167" s="231"/>
      <c r="V167" s="231"/>
      <c r="W167" s="231"/>
      <c r="X167" s="231"/>
      <c r="Y167" s="231"/>
      <c r="Z167" s="231"/>
      <c r="AA167" s="231"/>
      <c r="AB167" s="231"/>
      <c r="AC167" s="231"/>
      <c r="AD167" s="231"/>
      <c r="AE167" s="231"/>
      <c r="AF167" s="231"/>
      <c r="AG167" s="231"/>
      <c r="AH167" s="231"/>
      <c r="AI167" s="231"/>
      <c r="AJ167" s="231"/>
      <c r="AK167" s="231"/>
      <c r="AL167" s="231"/>
      <c r="AM167" s="231"/>
      <c r="AN167" s="231"/>
      <c r="AO167" s="231"/>
      <c r="AP167" s="231"/>
      <c r="AQ167" s="231"/>
    </row>
    <row r="168" spans="1:43" s="203" customFormat="1">
      <c r="A168" s="120">
        <v>8</v>
      </c>
      <c r="B168" s="47" t="s">
        <v>121</v>
      </c>
      <c r="C168" s="47"/>
      <c r="D168" s="47"/>
      <c r="E168" s="49">
        <v>107</v>
      </c>
      <c r="F168" s="52">
        <v>192</v>
      </c>
      <c r="G168" s="118"/>
      <c r="H168" s="100">
        <v>107</v>
      </c>
      <c r="I168" s="29"/>
      <c r="J168" s="231"/>
      <c r="K168" s="231"/>
      <c r="L168" s="231"/>
      <c r="M168" s="231"/>
      <c r="N168" s="231"/>
      <c r="O168" s="231"/>
      <c r="P168" s="231"/>
      <c r="Q168" s="231"/>
      <c r="R168" s="231"/>
      <c r="S168" s="231"/>
      <c r="T168" s="231"/>
      <c r="U168" s="231"/>
      <c r="V168" s="231"/>
      <c r="W168" s="231"/>
      <c r="X168" s="231"/>
      <c r="Y168" s="231"/>
      <c r="Z168" s="231"/>
      <c r="AA168" s="231"/>
      <c r="AB168" s="231"/>
      <c r="AC168" s="231"/>
      <c r="AD168" s="231"/>
      <c r="AE168" s="231"/>
      <c r="AF168" s="231"/>
      <c r="AG168" s="231"/>
      <c r="AH168" s="231"/>
      <c r="AI168" s="231"/>
      <c r="AJ168" s="231"/>
      <c r="AK168" s="231"/>
      <c r="AL168" s="231"/>
      <c r="AM168" s="231"/>
      <c r="AN168" s="231"/>
      <c r="AO168" s="231"/>
      <c r="AP168" s="231"/>
      <c r="AQ168" s="231"/>
    </row>
    <row r="169" spans="1:43" s="203" customFormat="1">
      <c r="A169" s="120">
        <v>9</v>
      </c>
      <c r="B169" s="116" t="s">
        <v>142</v>
      </c>
      <c r="C169" s="116"/>
      <c r="D169" s="116"/>
      <c r="E169" s="80">
        <v>965</v>
      </c>
      <c r="F169" s="142">
        <f>SUM(F166:F168)</f>
        <v>1093</v>
      </c>
      <c r="G169" s="118"/>
      <c r="H169" s="142">
        <f>SUM(H166:H168)</f>
        <v>970</v>
      </c>
      <c r="I169" s="29"/>
      <c r="J169" s="231"/>
      <c r="K169" s="231"/>
      <c r="L169" s="231"/>
      <c r="M169" s="231"/>
      <c r="N169" s="231"/>
      <c r="O169" s="231"/>
      <c r="P169" s="231"/>
      <c r="Q169" s="231"/>
      <c r="R169" s="231"/>
      <c r="S169" s="231"/>
      <c r="T169" s="231"/>
      <c r="U169" s="231"/>
      <c r="V169" s="231"/>
      <c r="W169" s="231"/>
      <c r="X169" s="231"/>
      <c r="Y169" s="231"/>
      <c r="Z169" s="231"/>
      <c r="AA169" s="231"/>
      <c r="AB169" s="231"/>
      <c r="AC169" s="231"/>
      <c r="AD169" s="231"/>
      <c r="AE169" s="231"/>
      <c r="AF169" s="231"/>
      <c r="AG169" s="231"/>
      <c r="AH169" s="231"/>
      <c r="AI169" s="231"/>
      <c r="AJ169" s="231"/>
      <c r="AK169" s="231"/>
      <c r="AL169" s="231"/>
      <c r="AM169" s="231"/>
      <c r="AN169" s="231"/>
      <c r="AO169" s="231"/>
      <c r="AP169" s="231"/>
      <c r="AQ169" s="231"/>
    </row>
    <row r="170" spans="1:43" s="203" customFormat="1">
      <c r="A170" s="46"/>
      <c r="B170" s="132"/>
      <c r="C170" s="132"/>
      <c r="D170" s="132"/>
      <c r="E170" s="156"/>
      <c r="F170" s="139"/>
      <c r="G170" s="139"/>
      <c r="H170" s="139"/>
      <c r="I170" s="29"/>
      <c r="J170" s="231"/>
      <c r="K170" s="231"/>
      <c r="L170" s="231"/>
      <c r="M170" s="231"/>
      <c r="N170" s="231"/>
      <c r="O170" s="231"/>
      <c r="P170" s="231"/>
      <c r="Q170" s="231"/>
      <c r="R170" s="231"/>
      <c r="S170" s="231"/>
      <c r="T170" s="231"/>
      <c r="U170" s="231"/>
      <c r="V170" s="231"/>
      <c r="W170" s="231"/>
      <c r="X170" s="231"/>
      <c r="Y170" s="231"/>
      <c r="Z170" s="231"/>
      <c r="AA170" s="231"/>
      <c r="AB170" s="231"/>
      <c r="AC170" s="231"/>
      <c r="AD170" s="231"/>
      <c r="AE170" s="231"/>
      <c r="AF170" s="231"/>
      <c r="AG170" s="231"/>
      <c r="AH170" s="231"/>
      <c r="AI170" s="231"/>
      <c r="AJ170" s="231"/>
      <c r="AK170" s="231"/>
      <c r="AL170" s="231"/>
      <c r="AM170" s="231"/>
      <c r="AN170" s="231"/>
      <c r="AO170" s="231"/>
      <c r="AP170" s="231"/>
      <c r="AQ170" s="231"/>
    </row>
    <row r="171" spans="1:43" s="203" customFormat="1">
      <c r="A171" s="120">
        <v>10</v>
      </c>
      <c r="B171" s="47" t="s">
        <v>143</v>
      </c>
      <c r="C171" s="47"/>
      <c r="D171" s="47"/>
      <c r="E171" s="41">
        <v>-365</v>
      </c>
      <c r="F171" s="121">
        <v>-503</v>
      </c>
      <c r="G171" s="118"/>
      <c r="H171" s="133">
        <v>-395</v>
      </c>
      <c r="I171" s="29"/>
      <c r="J171" s="231"/>
      <c r="K171" s="231"/>
      <c r="L171" s="231"/>
      <c r="M171" s="231"/>
      <c r="N171" s="231"/>
      <c r="O171" s="231"/>
      <c r="P171" s="231"/>
      <c r="Q171" s="231"/>
      <c r="R171" s="231"/>
      <c r="S171" s="231"/>
      <c r="T171" s="231"/>
      <c r="U171" s="231"/>
      <c r="V171" s="231"/>
      <c r="W171" s="231"/>
      <c r="X171" s="231"/>
      <c r="Y171" s="231"/>
      <c r="Z171" s="231"/>
      <c r="AA171" s="231"/>
      <c r="AB171" s="231"/>
      <c r="AC171" s="231"/>
      <c r="AD171" s="231"/>
      <c r="AE171" s="231"/>
      <c r="AF171" s="231"/>
      <c r="AG171" s="231"/>
      <c r="AH171" s="231"/>
      <c r="AI171" s="231"/>
      <c r="AJ171" s="231"/>
      <c r="AK171" s="231"/>
      <c r="AL171" s="231"/>
      <c r="AM171" s="231"/>
      <c r="AN171" s="231"/>
      <c r="AO171" s="231"/>
      <c r="AP171" s="231"/>
      <c r="AQ171" s="231"/>
    </row>
    <row r="172" spans="1:43" s="203" customFormat="1">
      <c r="A172" s="120">
        <v>11</v>
      </c>
      <c r="B172" s="47" t="s">
        <v>144</v>
      </c>
      <c r="C172" s="47"/>
      <c r="D172" s="47"/>
      <c r="E172" s="56">
        <v>0</v>
      </c>
      <c r="F172" s="126"/>
      <c r="G172" s="118"/>
      <c r="H172" s="100"/>
      <c r="I172" s="29"/>
      <c r="J172" s="231"/>
      <c r="K172" s="231"/>
      <c r="L172" s="231"/>
      <c r="M172" s="231"/>
      <c r="N172" s="231"/>
      <c r="O172" s="231"/>
      <c r="P172" s="231"/>
      <c r="Q172" s="231"/>
      <c r="R172" s="231"/>
      <c r="S172" s="231"/>
      <c r="T172" s="231"/>
      <c r="U172" s="231"/>
      <c r="V172" s="231"/>
      <c r="W172" s="231"/>
      <c r="X172" s="231"/>
      <c r="Y172" s="231"/>
      <c r="Z172" s="231"/>
      <c r="AA172" s="231"/>
      <c r="AB172" s="231"/>
      <c r="AC172" s="231"/>
      <c r="AD172" s="231"/>
      <c r="AE172" s="231"/>
      <c r="AF172" s="231"/>
      <c r="AG172" s="231"/>
      <c r="AH172" s="231"/>
      <c r="AI172" s="231"/>
      <c r="AJ172" s="231"/>
      <c r="AK172" s="231"/>
      <c r="AL172" s="231"/>
      <c r="AM172" s="231"/>
      <c r="AN172" s="231"/>
      <c r="AO172" s="231"/>
      <c r="AP172" s="231"/>
      <c r="AQ172" s="231"/>
    </row>
    <row r="173" spans="1:43" s="203" customFormat="1">
      <c r="A173" s="46"/>
      <c r="B173" s="132"/>
      <c r="C173" s="132"/>
      <c r="D173" s="132"/>
      <c r="E173" s="156"/>
      <c r="F173" s="139"/>
      <c r="G173" s="139"/>
      <c r="H173" s="139"/>
      <c r="I173" s="29"/>
      <c r="J173" s="231"/>
      <c r="K173" s="231"/>
      <c r="L173" s="231"/>
      <c r="M173" s="231"/>
      <c r="N173" s="231"/>
      <c r="O173" s="231"/>
      <c r="P173" s="231"/>
      <c r="Q173" s="231"/>
      <c r="R173" s="231"/>
      <c r="S173" s="231"/>
      <c r="T173" s="231"/>
      <c r="U173" s="231"/>
      <c r="V173" s="231"/>
      <c r="W173" s="231"/>
      <c r="X173" s="231"/>
      <c r="Y173" s="231"/>
      <c r="Z173" s="231"/>
      <c r="AA173" s="231"/>
      <c r="AB173" s="231"/>
      <c r="AC173" s="231"/>
      <c r="AD173" s="231"/>
      <c r="AE173" s="231"/>
      <c r="AF173" s="231"/>
      <c r="AG173" s="231"/>
      <c r="AH173" s="231"/>
      <c r="AI173" s="231"/>
      <c r="AJ173" s="231"/>
      <c r="AK173" s="231"/>
      <c r="AL173" s="231"/>
      <c r="AM173" s="231"/>
      <c r="AN173" s="231"/>
      <c r="AO173" s="231"/>
      <c r="AP173" s="231"/>
      <c r="AQ173" s="231"/>
    </row>
    <row r="174" spans="1:43" s="203" customFormat="1">
      <c r="A174" s="119" t="s">
        <v>145</v>
      </c>
      <c r="B174" s="47"/>
      <c r="C174" s="47"/>
      <c r="D174" s="47"/>
      <c r="E174" s="157"/>
      <c r="F174" s="146"/>
      <c r="G174" s="118"/>
      <c r="H174" s="146"/>
      <c r="I174" s="29"/>
      <c r="J174" s="231"/>
      <c r="K174" s="231"/>
      <c r="L174" s="231"/>
      <c r="M174" s="231"/>
      <c r="N174" s="231"/>
      <c r="O174" s="231"/>
      <c r="P174" s="231"/>
      <c r="Q174" s="231"/>
      <c r="R174" s="231"/>
      <c r="S174" s="231"/>
      <c r="T174" s="231"/>
      <c r="U174" s="231"/>
      <c r="V174" s="231"/>
      <c r="W174" s="231"/>
      <c r="X174" s="231"/>
      <c r="Y174" s="231"/>
      <c r="Z174" s="231"/>
      <c r="AA174" s="231"/>
      <c r="AB174" s="231"/>
      <c r="AC174" s="231"/>
      <c r="AD174" s="231"/>
      <c r="AE174" s="231"/>
      <c r="AF174" s="231"/>
      <c r="AG174" s="231"/>
      <c r="AH174" s="231"/>
      <c r="AI174" s="231"/>
      <c r="AJ174" s="231"/>
      <c r="AK174" s="231"/>
      <c r="AL174" s="231"/>
      <c r="AM174" s="231"/>
      <c r="AN174" s="231"/>
      <c r="AO174" s="231"/>
      <c r="AP174" s="231"/>
      <c r="AQ174" s="231"/>
    </row>
    <row r="175" spans="1:43" s="203" customFormat="1">
      <c r="A175" s="120">
        <v>12</v>
      </c>
      <c r="B175" s="47" t="s">
        <v>146</v>
      </c>
      <c r="C175" s="47"/>
      <c r="D175" s="47"/>
      <c r="E175" s="74">
        <v>259</v>
      </c>
      <c r="F175" s="52">
        <f>259</f>
        <v>259</v>
      </c>
      <c r="G175" s="118"/>
      <c r="H175" s="122">
        <v>394</v>
      </c>
      <c r="I175" s="29"/>
      <c r="J175" s="231"/>
      <c r="K175" s="231"/>
      <c r="L175" s="231"/>
      <c r="M175" s="231"/>
      <c r="N175" s="231"/>
      <c r="O175" s="231"/>
      <c r="P175" s="231"/>
      <c r="Q175" s="231"/>
      <c r="R175" s="231"/>
      <c r="S175" s="231"/>
      <c r="T175" s="231"/>
      <c r="U175" s="231"/>
      <c r="V175" s="231"/>
      <c r="W175" s="231"/>
      <c r="X175" s="231"/>
      <c r="Y175" s="231"/>
      <c r="Z175" s="231"/>
      <c r="AA175" s="231"/>
      <c r="AB175" s="231"/>
      <c r="AC175" s="231"/>
      <c r="AD175" s="231"/>
      <c r="AE175" s="231"/>
      <c r="AF175" s="231"/>
      <c r="AG175" s="231"/>
      <c r="AH175" s="231"/>
      <c r="AI175" s="231"/>
      <c r="AJ175" s="231"/>
      <c r="AK175" s="231"/>
      <c r="AL175" s="231"/>
      <c r="AM175" s="231"/>
      <c r="AN175" s="231"/>
      <c r="AO175" s="231"/>
      <c r="AP175" s="231"/>
      <c r="AQ175" s="231"/>
    </row>
    <row r="176" spans="1:43" s="203" customFormat="1">
      <c r="A176" s="120">
        <v>13</v>
      </c>
      <c r="B176" s="47" t="s">
        <v>147</v>
      </c>
      <c r="C176" s="47"/>
      <c r="D176" s="47"/>
      <c r="E176" s="49">
        <v>1534</v>
      </c>
      <c r="F176" s="52">
        <f>1565+7</f>
        <v>1572</v>
      </c>
      <c r="G176" s="118"/>
      <c r="H176" s="122">
        <v>1640</v>
      </c>
      <c r="I176" s="29"/>
      <c r="J176" s="231"/>
      <c r="K176" s="231"/>
      <c r="L176" s="231"/>
      <c r="M176" s="231"/>
      <c r="N176" s="231"/>
      <c r="O176" s="231"/>
      <c r="P176" s="231"/>
      <c r="Q176" s="231"/>
      <c r="R176" s="231"/>
      <c r="S176" s="231"/>
      <c r="T176" s="231"/>
      <c r="U176" s="231"/>
      <c r="V176" s="231"/>
      <c r="W176" s="231"/>
      <c r="X176" s="231"/>
      <c r="Y176" s="231"/>
      <c r="Z176" s="231"/>
      <c r="AA176" s="231"/>
      <c r="AB176" s="231"/>
      <c r="AC176" s="231"/>
      <c r="AD176" s="231"/>
      <c r="AE176" s="231"/>
      <c r="AF176" s="231"/>
      <c r="AG176" s="231"/>
      <c r="AH176" s="231"/>
      <c r="AI176" s="231"/>
      <c r="AJ176" s="231"/>
      <c r="AK176" s="231"/>
      <c r="AL176" s="231"/>
      <c r="AM176" s="231"/>
      <c r="AN176" s="231"/>
      <c r="AO176" s="231"/>
      <c r="AP176" s="231"/>
      <c r="AQ176" s="231"/>
    </row>
    <row r="177" spans="1:43" s="203" customFormat="1">
      <c r="A177" s="120">
        <v>14</v>
      </c>
      <c r="B177" s="47" t="s">
        <v>148</v>
      </c>
      <c r="C177" s="47"/>
      <c r="D177" s="47"/>
      <c r="E177" s="56">
        <v>198</v>
      </c>
      <c r="F177" s="52">
        <f>158+1</f>
        <v>159</v>
      </c>
      <c r="G177" s="118"/>
      <c r="H177" s="100">
        <v>157</v>
      </c>
      <c r="I177" s="29"/>
      <c r="J177" s="231"/>
      <c r="K177" s="231"/>
      <c r="L177" s="231"/>
      <c r="M177" s="231"/>
      <c r="N177" s="231"/>
      <c r="O177" s="231"/>
      <c r="P177" s="231"/>
      <c r="Q177" s="231"/>
      <c r="R177" s="231"/>
      <c r="S177" s="231"/>
      <c r="T177" s="231"/>
      <c r="U177" s="231"/>
      <c r="V177" s="231"/>
      <c r="W177" s="231"/>
      <c r="X177" s="231"/>
      <c r="Y177" s="231"/>
      <c r="Z177" s="231"/>
      <c r="AA177" s="231"/>
      <c r="AB177" s="231"/>
      <c r="AC177" s="231"/>
      <c r="AD177" s="231"/>
      <c r="AE177" s="231"/>
      <c r="AF177" s="231"/>
      <c r="AG177" s="231"/>
      <c r="AH177" s="231"/>
      <c r="AI177" s="231"/>
      <c r="AJ177" s="231"/>
      <c r="AK177" s="231"/>
      <c r="AL177" s="231"/>
      <c r="AM177" s="231"/>
      <c r="AN177" s="231"/>
      <c r="AO177" s="231"/>
      <c r="AP177" s="231"/>
      <c r="AQ177" s="231"/>
    </row>
    <row r="178" spans="1:43" s="203" customFormat="1">
      <c r="A178" s="120">
        <v>15</v>
      </c>
      <c r="B178" s="116" t="s">
        <v>149</v>
      </c>
      <c r="C178" s="116"/>
      <c r="D178" s="116"/>
      <c r="E178" s="80">
        <v>1991</v>
      </c>
      <c r="F178" s="142">
        <f>SUM(F175:F177)</f>
        <v>1990</v>
      </c>
      <c r="G178" s="118"/>
      <c r="H178" s="142">
        <f>SUM(H175:H177)</f>
        <v>2191</v>
      </c>
      <c r="I178" s="29"/>
      <c r="J178" s="231"/>
      <c r="K178" s="231"/>
      <c r="L178" s="231"/>
      <c r="M178" s="231"/>
      <c r="N178" s="231"/>
      <c r="O178" s="231"/>
      <c r="P178" s="231"/>
      <c r="Q178" s="231"/>
      <c r="R178" s="231"/>
      <c r="S178" s="231"/>
      <c r="T178" s="231"/>
      <c r="U178" s="231"/>
      <c r="V178" s="231"/>
      <c r="W178" s="231"/>
      <c r="X178" s="231"/>
      <c r="Y178" s="231"/>
      <c r="Z178" s="231"/>
      <c r="AA178" s="231"/>
      <c r="AB178" s="231"/>
      <c r="AC178" s="231"/>
      <c r="AD178" s="231"/>
      <c r="AE178" s="231"/>
      <c r="AF178" s="231"/>
      <c r="AG178" s="231"/>
      <c r="AH178" s="231"/>
      <c r="AI178" s="231"/>
      <c r="AJ178" s="231"/>
      <c r="AK178" s="231"/>
      <c r="AL178" s="231"/>
      <c r="AM178" s="231"/>
      <c r="AN178" s="231"/>
      <c r="AO178" s="231"/>
      <c r="AP178" s="231"/>
      <c r="AQ178" s="231"/>
    </row>
    <row r="179" spans="1:43" s="203" customFormat="1">
      <c r="A179" s="120">
        <v>16</v>
      </c>
      <c r="B179" s="116" t="s">
        <v>150</v>
      </c>
      <c r="C179" s="116"/>
      <c r="D179" s="116"/>
      <c r="E179" s="80">
        <v>1991</v>
      </c>
      <c r="F179" s="158">
        <f>F172+F178</f>
        <v>1990</v>
      </c>
      <c r="G179" s="118"/>
      <c r="H179" s="158">
        <f>H172+H178</f>
        <v>2191</v>
      </c>
      <c r="I179" s="29"/>
      <c r="J179" s="231"/>
      <c r="K179" s="231"/>
      <c r="L179" s="231"/>
      <c r="M179" s="231"/>
      <c r="N179" s="231"/>
      <c r="O179" s="231"/>
      <c r="P179" s="231"/>
      <c r="Q179" s="231"/>
      <c r="R179" s="231"/>
      <c r="S179" s="231"/>
      <c r="T179" s="231"/>
      <c r="U179" s="231"/>
      <c r="V179" s="231"/>
      <c r="W179" s="231"/>
      <c r="X179" s="231"/>
      <c r="Y179" s="231"/>
      <c r="Z179" s="231"/>
      <c r="AA179" s="231"/>
      <c r="AB179" s="231"/>
      <c r="AC179" s="231"/>
      <c r="AD179" s="231"/>
      <c r="AE179" s="231"/>
      <c r="AF179" s="231"/>
      <c r="AG179" s="231"/>
      <c r="AH179" s="231"/>
      <c r="AI179" s="231"/>
      <c r="AJ179" s="231"/>
      <c r="AK179" s="231"/>
      <c r="AL179" s="231"/>
      <c r="AM179" s="231"/>
      <c r="AN179" s="231"/>
      <c r="AO179" s="231"/>
      <c r="AP179" s="231"/>
      <c r="AQ179" s="231"/>
    </row>
    <row r="180" spans="1:43" s="203" customFormat="1">
      <c r="A180" s="120">
        <v>17</v>
      </c>
      <c r="B180" s="116" t="s">
        <v>151</v>
      </c>
      <c r="C180" s="116"/>
      <c r="D180" s="116"/>
      <c r="E180" s="159">
        <v>9901</v>
      </c>
      <c r="F180" s="61">
        <f>SUM(F163+F169+F171+F179)</f>
        <v>10345</v>
      </c>
      <c r="G180" s="118"/>
      <c r="H180" s="61">
        <f>SUM(H163+H169+H171+H179)</f>
        <v>9355</v>
      </c>
      <c r="I180" s="29"/>
      <c r="J180" s="231"/>
      <c r="K180" s="231"/>
      <c r="L180" s="231"/>
      <c r="M180" s="231"/>
      <c r="N180" s="231"/>
      <c r="O180" s="231"/>
      <c r="P180" s="231"/>
      <c r="Q180" s="231"/>
      <c r="R180" s="231"/>
      <c r="S180" s="231"/>
      <c r="T180" s="231"/>
      <c r="U180" s="231"/>
      <c r="V180" s="231"/>
      <c r="W180" s="231"/>
      <c r="X180" s="231"/>
      <c r="Y180" s="231"/>
      <c r="Z180" s="231"/>
      <c r="AA180" s="231"/>
      <c r="AB180" s="231"/>
      <c r="AC180" s="231"/>
      <c r="AD180" s="231"/>
      <c r="AE180" s="231"/>
      <c r="AF180" s="231"/>
      <c r="AG180" s="231"/>
      <c r="AH180" s="231"/>
      <c r="AI180" s="231"/>
      <c r="AJ180" s="231"/>
      <c r="AK180" s="231"/>
      <c r="AL180" s="231"/>
      <c r="AM180" s="231"/>
      <c r="AN180" s="231"/>
      <c r="AO180" s="231"/>
      <c r="AP180" s="231"/>
      <c r="AQ180" s="231"/>
    </row>
    <row r="181" spans="1:43" s="203" customFormat="1">
      <c r="A181" s="46"/>
      <c r="B181" s="132"/>
      <c r="C181" s="132"/>
      <c r="D181" s="132"/>
      <c r="E181" s="156"/>
      <c r="F181" s="139"/>
      <c r="G181" s="139"/>
      <c r="H181" s="139"/>
      <c r="I181" s="29"/>
      <c r="J181" s="231"/>
      <c r="K181" s="231"/>
      <c r="L181" s="231"/>
      <c r="M181" s="231"/>
      <c r="N181" s="231"/>
      <c r="O181" s="231"/>
      <c r="P181" s="231"/>
      <c r="Q181" s="231"/>
      <c r="R181" s="231"/>
      <c r="S181" s="231"/>
      <c r="T181" s="231"/>
      <c r="U181" s="231"/>
      <c r="V181" s="231"/>
      <c r="W181" s="231"/>
      <c r="X181" s="231"/>
      <c r="Y181" s="231"/>
      <c r="Z181" s="231"/>
      <c r="AA181" s="231"/>
      <c r="AB181" s="231"/>
      <c r="AC181" s="231"/>
      <c r="AD181" s="231"/>
      <c r="AE181" s="231"/>
      <c r="AF181" s="231"/>
      <c r="AG181" s="231"/>
      <c r="AH181" s="231"/>
      <c r="AI181" s="231"/>
      <c r="AJ181" s="231"/>
      <c r="AK181" s="231"/>
      <c r="AL181" s="231"/>
      <c r="AM181" s="231"/>
      <c r="AN181" s="231"/>
      <c r="AO181" s="231"/>
      <c r="AP181" s="231"/>
      <c r="AQ181" s="231"/>
    </row>
    <row r="182" spans="1:43" s="203" customFormat="1">
      <c r="A182" s="119" t="s">
        <v>152</v>
      </c>
      <c r="B182" s="47"/>
      <c r="C182" s="47"/>
      <c r="D182" s="116"/>
      <c r="E182" s="117"/>
      <c r="F182" s="118"/>
      <c r="G182" s="118"/>
      <c r="H182" s="118"/>
      <c r="I182" s="29"/>
      <c r="J182" s="231"/>
      <c r="K182" s="231"/>
      <c r="L182" s="231"/>
      <c r="M182" s="231"/>
      <c r="N182" s="231"/>
      <c r="O182" s="231"/>
      <c r="P182" s="231"/>
      <c r="Q182" s="231"/>
      <c r="R182" s="231"/>
      <c r="S182" s="231"/>
      <c r="T182" s="231"/>
      <c r="U182" s="231"/>
      <c r="V182" s="231"/>
      <c r="W182" s="231"/>
      <c r="X182" s="231"/>
      <c r="Y182" s="231"/>
      <c r="Z182" s="231"/>
      <c r="AA182" s="231"/>
      <c r="AB182" s="231"/>
      <c r="AC182" s="231"/>
      <c r="AD182" s="231"/>
      <c r="AE182" s="231"/>
      <c r="AF182" s="231"/>
      <c r="AG182" s="231"/>
      <c r="AH182" s="231"/>
      <c r="AI182" s="231"/>
      <c r="AJ182" s="231"/>
      <c r="AK182" s="231"/>
      <c r="AL182" s="231"/>
      <c r="AM182" s="231"/>
      <c r="AN182" s="231"/>
      <c r="AO182" s="231"/>
      <c r="AP182" s="231"/>
      <c r="AQ182" s="231"/>
    </row>
    <row r="183" spans="1:43" s="203" customFormat="1">
      <c r="A183" s="120">
        <v>18</v>
      </c>
      <c r="B183" s="47" t="s">
        <v>153</v>
      </c>
      <c r="C183" s="47"/>
      <c r="D183" s="47"/>
      <c r="E183" s="41">
        <v>592</v>
      </c>
      <c r="F183" s="121">
        <f>574+3</f>
        <v>577</v>
      </c>
      <c r="G183" s="118"/>
      <c r="H183" s="133">
        <v>654</v>
      </c>
      <c r="I183" s="29"/>
      <c r="J183" s="231"/>
      <c r="K183" s="231"/>
      <c r="L183" s="231"/>
      <c r="M183" s="231"/>
      <c r="N183" s="231"/>
      <c r="O183" s="231"/>
      <c r="P183" s="231"/>
      <c r="Q183" s="231"/>
      <c r="R183" s="231"/>
      <c r="S183" s="231"/>
      <c r="T183" s="231"/>
      <c r="U183" s="231"/>
      <c r="V183" s="231"/>
      <c r="W183" s="231"/>
      <c r="X183" s="231"/>
      <c r="Y183" s="231"/>
      <c r="Z183" s="231"/>
      <c r="AA183" s="231"/>
      <c r="AB183" s="231"/>
      <c r="AC183" s="231"/>
      <c r="AD183" s="231"/>
      <c r="AE183" s="231"/>
      <c r="AF183" s="231"/>
      <c r="AG183" s="231"/>
      <c r="AH183" s="231"/>
      <c r="AI183" s="231"/>
      <c r="AJ183" s="231"/>
      <c r="AK183" s="231"/>
      <c r="AL183" s="231"/>
      <c r="AM183" s="231"/>
      <c r="AN183" s="231"/>
      <c r="AO183" s="231"/>
      <c r="AP183" s="231"/>
      <c r="AQ183" s="231"/>
    </row>
    <row r="184" spans="1:43" s="203" customFormat="1">
      <c r="A184" s="120">
        <v>19</v>
      </c>
      <c r="B184" s="47" t="s">
        <v>154</v>
      </c>
      <c r="C184" s="47"/>
      <c r="D184" s="47"/>
      <c r="E184" s="49">
        <v>198</v>
      </c>
      <c r="F184" s="52">
        <f>158+1</f>
        <v>159</v>
      </c>
      <c r="G184" s="118"/>
      <c r="H184" s="122">
        <v>157</v>
      </c>
      <c r="I184" s="29"/>
      <c r="J184" s="231"/>
      <c r="K184" s="231"/>
      <c r="L184" s="231"/>
      <c r="M184" s="231"/>
      <c r="N184" s="231"/>
      <c r="O184" s="231"/>
      <c r="P184" s="231"/>
      <c r="Q184" s="231"/>
      <c r="R184" s="231"/>
      <c r="S184" s="231"/>
      <c r="T184" s="231"/>
      <c r="U184" s="231"/>
      <c r="V184" s="231"/>
      <c r="W184" s="231"/>
      <c r="X184" s="231"/>
      <c r="Y184" s="231"/>
      <c r="Z184" s="231"/>
      <c r="AA184" s="231"/>
      <c r="AB184" s="231"/>
      <c r="AC184" s="231"/>
      <c r="AD184" s="231"/>
      <c r="AE184" s="231"/>
      <c r="AF184" s="231"/>
      <c r="AG184" s="231"/>
      <c r="AH184" s="231"/>
      <c r="AI184" s="231"/>
      <c r="AJ184" s="231"/>
      <c r="AK184" s="231"/>
      <c r="AL184" s="231"/>
      <c r="AM184" s="231"/>
      <c r="AN184" s="231"/>
      <c r="AO184" s="231"/>
      <c r="AP184" s="231"/>
      <c r="AQ184" s="231"/>
    </row>
    <row r="185" spans="1:43" s="203" customFormat="1">
      <c r="A185" s="120">
        <v>20</v>
      </c>
      <c r="B185" s="47" t="s">
        <v>155</v>
      </c>
      <c r="C185" s="47"/>
      <c r="D185" s="47"/>
      <c r="E185" s="49">
        <v>0</v>
      </c>
      <c r="F185" s="52"/>
      <c r="G185" s="118"/>
      <c r="H185" s="122"/>
      <c r="I185" s="29"/>
      <c r="J185" s="231"/>
      <c r="K185" s="231"/>
      <c r="L185" s="231"/>
      <c r="M185" s="231"/>
      <c r="N185" s="231"/>
      <c r="O185" s="231"/>
      <c r="P185" s="231"/>
      <c r="Q185" s="231"/>
      <c r="R185" s="231"/>
      <c r="S185" s="231"/>
      <c r="T185" s="231"/>
      <c r="U185" s="231"/>
      <c r="V185" s="231"/>
      <c r="W185" s="231"/>
      <c r="X185" s="231"/>
      <c r="Y185" s="231"/>
      <c r="Z185" s="231"/>
      <c r="AA185" s="231"/>
      <c r="AB185" s="231"/>
      <c r="AC185" s="231"/>
      <c r="AD185" s="231"/>
      <c r="AE185" s="231"/>
      <c r="AF185" s="231"/>
      <c r="AG185" s="231"/>
      <c r="AH185" s="231"/>
      <c r="AI185" s="231"/>
      <c r="AJ185" s="231"/>
      <c r="AK185" s="231"/>
      <c r="AL185" s="231"/>
      <c r="AM185" s="231"/>
      <c r="AN185" s="231"/>
      <c r="AO185" s="231"/>
      <c r="AP185" s="231"/>
      <c r="AQ185" s="231"/>
    </row>
    <row r="186" spans="1:43" s="203" customFormat="1">
      <c r="A186" s="120">
        <v>21</v>
      </c>
      <c r="B186" s="47" t="s">
        <v>156</v>
      </c>
      <c r="C186" s="47"/>
      <c r="D186" s="47"/>
      <c r="E186" s="49">
        <v>17</v>
      </c>
      <c r="F186" s="52">
        <f>17</f>
        <v>17</v>
      </c>
      <c r="G186" s="118"/>
      <c r="H186" s="122">
        <v>17</v>
      </c>
      <c r="I186" s="29"/>
      <c r="J186" s="231"/>
      <c r="K186" s="231"/>
      <c r="L186" s="231"/>
      <c r="M186" s="231"/>
      <c r="N186" s="231"/>
      <c r="O186" s="231"/>
      <c r="P186" s="231"/>
      <c r="Q186" s="231"/>
      <c r="R186" s="231"/>
      <c r="S186" s="231"/>
      <c r="T186" s="231"/>
      <c r="U186" s="231"/>
      <c r="V186" s="231"/>
      <c r="W186" s="231"/>
      <c r="X186" s="231"/>
      <c r="Y186" s="231"/>
      <c r="Z186" s="231"/>
      <c r="AA186" s="231"/>
      <c r="AB186" s="231"/>
      <c r="AC186" s="231"/>
      <c r="AD186" s="231"/>
      <c r="AE186" s="231"/>
      <c r="AF186" s="231"/>
      <c r="AG186" s="231"/>
      <c r="AH186" s="231"/>
      <c r="AI186" s="231"/>
      <c r="AJ186" s="231"/>
      <c r="AK186" s="231"/>
      <c r="AL186" s="231"/>
      <c r="AM186" s="231"/>
      <c r="AN186" s="231"/>
      <c r="AO186" s="231"/>
      <c r="AP186" s="231"/>
      <c r="AQ186" s="231"/>
    </row>
    <row r="187" spans="1:43" s="203" customFormat="1">
      <c r="A187" s="120">
        <v>22</v>
      </c>
      <c r="B187" s="47" t="s">
        <v>157</v>
      </c>
      <c r="C187" s="47"/>
      <c r="D187" s="47"/>
      <c r="E187" s="49">
        <v>530</v>
      </c>
      <c r="F187" s="52">
        <f>629+3</f>
        <v>632</v>
      </c>
      <c r="G187" s="118"/>
      <c r="H187" s="122">
        <v>595</v>
      </c>
      <c r="I187" s="29"/>
      <c r="J187" s="231"/>
      <c r="K187" s="231"/>
      <c r="L187" s="231"/>
      <c r="M187" s="231"/>
      <c r="N187" s="231"/>
      <c r="O187" s="231"/>
      <c r="P187" s="231"/>
      <c r="Q187" s="231"/>
      <c r="R187" s="231"/>
      <c r="S187" s="231"/>
      <c r="T187" s="231"/>
      <c r="U187" s="231"/>
      <c r="V187" s="231"/>
      <c r="W187" s="231"/>
      <c r="X187" s="231"/>
      <c r="Y187" s="231"/>
      <c r="Z187" s="231"/>
      <c r="AA187" s="231"/>
      <c r="AB187" s="231"/>
      <c r="AC187" s="231"/>
      <c r="AD187" s="231"/>
      <c r="AE187" s="231"/>
      <c r="AF187" s="231"/>
      <c r="AG187" s="231"/>
      <c r="AH187" s="231"/>
      <c r="AI187" s="231"/>
      <c r="AJ187" s="231"/>
      <c r="AK187" s="231"/>
      <c r="AL187" s="231"/>
      <c r="AM187" s="231"/>
      <c r="AN187" s="231"/>
      <c r="AO187" s="231"/>
      <c r="AP187" s="231"/>
      <c r="AQ187" s="231"/>
    </row>
    <row r="188" spans="1:43" s="203" customFormat="1">
      <c r="A188" s="120">
        <v>23</v>
      </c>
      <c r="B188" s="47" t="s">
        <v>158</v>
      </c>
      <c r="C188" s="47"/>
      <c r="D188" s="47"/>
      <c r="E188" s="49">
        <v>0</v>
      </c>
      <c r="F188" s="52"/>
      <c r="G188" s="118"/>
      <c r="H188" s="122"/>
      <c r="I188" s="29"/>
      <c r="J188" s="231"/>
      <c r="K188" s="231"/>
      <c r="L188" s="231"/>
      <c r="M188" s="231"/>
      <c r="N188" s="231"/>
      <c r="O188" s="231"/>
      <c r="P188" s="231"/>
      <c r="Q188" s="231"/>
      <c r="R188" s="231"/>
      <c r="S188" s="231"/>
      <c r="T188" s="231"/>
      <c r="U188" s="231"/>
      <c r="V188" s="231"/>
      <c r="W188" s="231"/>
      <c r="X188" s="231"/>
      <c r="Y188" s="231"/>
      <c r="Z188" s="231"/>
      <c r="AA188" s="231"/>
      <c r="AB188" s="231"/>
      <c r="AC188" s="231"/>
      <c r="AD188" s="231"/>
      <c r="AE188" s="231"/>
      <c r="AF188" s="231"/>
      <c r="AG188" s="231"/>
      <c r="AH188" s="231"/>
      <c r="AI188" s="231"/>
      <c r="AJ188" s="231"/>
      <c r="AK188" s="231"/>
      <c r="AL188" s="231"/>
      <c r="AM188" s="231"/>
      <c r="AN188" s="231"/>
      <c r="AO188" s="231"/>
      <c r="AP188" s="231"/>
      <c r="AQ188" s="231"/>
    </row>
    <row r="189" spans="1:43" s="203" customFormat="1">
      <c r="A189" s="120">
        <v>24</v>
      </c>
      <c r="B189" s="47" t="s">
        <v>159</v>
      </c>
      <c r="C189" s="47"/>
      <c r="D189" s="47"/>
      <c r="E189" s="49">
        <v>0</v>
      </c>
      <c r="F189" s="52"/>
      <c r="G189" s="118"/>
      <c r="H189" s="122"/>
      <c r="I189" s="29"/>
      <c r="J189" s="231"/>
      <c r="K189" s="231"/>
      <c r="L189" s="231"/>
      <c r="M189" s="231"/>
      <c r="N189" s="231"/>
      <c r="O189" s="231"/>
      <c r="P189" s="231"/>
      <c r="Q189" s="231"/>
      <c r="R189" s="231"/>
      <c r="S189" s="231"/>
      <c r="T189" s="231"/>
      <c r="U189" s="231"/>
      <c r="V189" s="231"/>
      <c r="W189" s="231"/>
      <c r="X189" s="231"/>
      <c r="Y189" s="231"/>
      <c r="Z189" s="231"/>
      <c r="AA189" s="231"/>
      <c r="AB189" s="231"/>
      <c r="AC189" s="231"/>
      <c r="AD189" s="231"/>
      <c r="AE189" s="231"/>
      <c r="AF189" s="231"/>
      <c r="AG189" s="231"/>
      <c r="AH189" s="231"/>
      <c r="AI189" s="231"/>
      <c r="AJ189" s="231"/>
      <c r="AK189" s="231"/>
      <c r="AL189" s="231"/>
      <c r="AM189" s="231"/>
      <c r="AN189" s="231"/>
      <c r="AO189" s="231"/>
      <c r="AP189" s="231"/>
      <c r="AQ189" s="231"/>
    </row>
    <row r="190" spans="1:43" s="203" customFormat="1">
      <c r="A190" s="124">
        <v>25</v>
      </c>
      <c r="B190" s="54" t="s">
        <v>160</v>
      </c>
      <c r="C190" s="54"/>
      <c r="D190" s="54"/>
      <c r="E190" s="56">
        <v>395</v>
      </c>
      <c r="F190" s="126">
        <f>345+2</f>
        <v>347</v>
      </c>
      <c r="G190" s="118"/>
      <c r="H190" s="100">
        <v>374</v>
      </c>
      <c r="I190" s="24"/>
      <c r="J190" s="231"/>
      <c r="K190" s="231"/>
      <c r="L190" s="231"/>
      <c r="M190" s="231"/>
      <c r="N190" s="231"/>
      <c r="O190" s="231"/>
      <c r="P190" s="231"/>
      <c r="Q190" s="231"/>
      <c r="R190" s="231"/>
      <c r="S190" s="231"/>
      <c r="T190" s="231"/>
      <c r="U190" s="231"/>
      <c r="V190" s="231"/>
      <c r="W190" s="231"/>
      <c r="X190" s="231"/>
      <c r="Y190" s="231"/>
      <c r="Z190" s="231"/>
      <c r="AA190" s="231"/>
      <c r="AB190" s="231"/>
      <c r="AC190" s="231"/>
      <c r="AD190" s="231"/>
      <c r="AE190" s="231"/>
      <c r="AF190" s="231"/>
      <c r="AG190" s="231"/>
      <c r="AH190" s="231"/>
      <c r="AI190" s="231"/>
      <c r="AJ190" s="231"/>
      <c r="AK190" s="231"/>
      <c r="AL190" s="231"/>
      <c r="AM190" s="231"/>
      <c r="AN190" s="231"/>
      <c r="AO190" s="231"/>
      <c r="AP190" s="231"/>
      <c r="AQ190" s="231"/>
    </row>
    <row r="191" spans="1:43" s="203" customFormat="1">
      <c r="A191" s="161"/>
      <c r="B191" s="129"/>
      <c r="C191" s="129"/>
      <c r="D191" s="149"/>
      <c r="E191" s="162"/>
      <c r="F191" s="29"/>
      <c r="G191" s="29"/>
      <c r="H191" s="207"/>
      <c r="I191" s="29"/>
      <c r="J191" s="231"/>
      <c r="K191" s="231"/>
      <c r="L191" s="231"/>
      <c r="M191" s="231"/>
      <c r="N191" s="231"/>
      <c r="O191" s="231"/>
      <c r="P191" s="231"/>
      <c r="Q191" s="231"/>
      <c r="R191" s="231"/>
      <c r="S191" s="231"/>
      <c r="T191" s="231"/>
      <c r="U191" s="231"/>
      <c r="V191" s="231"/>
      <c r="W191" s="231"/>
      <c r="X191" s="231"/>
      <c r="Y191" s="231"/>
      <c r="Z191" s="231"/>
      <c r="AA191" s="231"/>
      <c r="AB191" s="231"/>
      <c r="AC191" s="231"/>
      <c r="AD191" s="231"/>
      <c r="AE191" s="231"/>
      <c r="AF191" s="231"/>
      <c r="AG191" s="231"/>
      <c r="AH191" s="231"/>
      <c r="AI191" s="231"/>
      <c r="AJ191" s="231"/>
      <c r="AK191" s="231"/>
      <c r="AL191" s="231"/>
      <c r="AM191" s="231"/>
      <c r="AN191" s="231"/>
      <c r="AO191" s="231"/>
      <c r="AP191" s="231"/>
      <c r="AQ191" s="231"/>
    </row>
    <row r="192" spans="1:43" s="203" customFormat="1">
      <c r="A192" s="161"/>
      <c r="B192" s="129"/>
      <c r="C192" s="129"/>
      <c r="D192" s="151"/>
      <c r="E192" s="163"/>
      <c r="F192" s="29"/>
      <c r="G192" s="29"/>
      <c r="H192" s="131" t="s">
        <v>27</v>
      </c>
      <c r="I192" s="29"/>
      <c r="J192" s="231"/>
      <c r="K192" s="231"/>
      <c r="L192" s="231"/>
      <c r="M192" s="231"/>
      <c r="N192" s="231"/>
      <c r="O192" s="231"/>
      <c r="P192" s="231"/>
      <c r="Q192" s="231"/>
      <c r="R192" s="231"/>
      <c r="S192" s="231"/>
      <c r="T192" s="231"/>
      <c r="U192" s="231"/>
      <c r="V192" s="231"/>
      <c r="W192" s="231"/>
      <c r="X192" s="231"/>
      <c r="Y192" s="231"/>
      <c r="Z192" s="231"/>
      <c r="AA192" s="231"/>
      <c r="AB192" s="231"/>
      <c r="AC192" s="231"/>
      <c r="AD192" s="231"/>
      <c r="AE192" s="231"/>
      <c r="AF192" s="231"/>
      <c r="AG192" s="231"/>
      <c r="AH192" s="231"/>
      <c r="AI192" s="231"/>
      <c r="AJ192" s="231"/>
      <c r="AK192" s="231"/>
      <c r="AL192" s="231"/>
      <c r="AM192" s="231"/>
      <c r="AN192" s="231"/>
      <c r="AO192" s="231"/>
      <c r="AP192" s="231"/>
      <c r="AQ192" s="231"/>
    </row>
    <row r="193" spans="1:43" s="203" customFormat="1" ht="12.75" customHeight="1">
      <c r="A193" s="106" t="s">
        <v>23</v>
      </c>
      <c r="B193" s="164"/>
      <c r="C193" s="164"/>
      <c r="D193" s="164"/>
      <c r="E193" s="856" t="s">
        <v>377</v>
      </c>
      <c r="F193" s="856" t="s">
        <v>402</v>
      </c>
      <c r="G193" s="130"/>
      <c r="H193" s="856" t="s">
        <v>403</v>
      </c>
      <c r="I193" s="130"/>
      <c r="J193" s="231"/>
      <c r="K193" s="231"/>
      <c r="L193" s="231"/>
      <c r="M193" s="231"/>
      <c r="N193" s="231"/>
      <c r="O193" s="231"/>
      <c r="P193" s="231"/>
      <c r="Q193" s="231"/>
      <c r="R193" s="231"/>
      <c r="S193" s="231"/>
      <c r="T193" s="231"/>
      <c r="U193" s="231"/>
      <c r="V193" s="231"/>
      <c r="W193" s="231"/>
      <c r="X193" s="231"/>
      <c r="Y193" s="231"/>
      <c r="Z193" s="231"/>
      <c r="AA193" s="231"/>
      <c r="AB193" s="231"/>
      <c r="AC193" s="231"/>
      <c r="AD193" s="231"/>
      <c r="AE193" s="231"/>
      <c r="AF193" s="231"/>
      <c r="AG193" s="231"/>
      <c r="AH193" s="231"/>
      <c r="AI193" s="231"/>
      <c r="AJ193" s="231"/>
      <c r="AK193" s="231"/>
      <c r="AL193" s="231"/>
      <c r="AM193" s="231"/>
      <c r="AN193" s="231"/>
      <c r="AO193" s="231"/>
      <c r="AP193" s="231"/>
      <c r="AQ193" s="231"/>
    </row>
    <row r="194" spans="1:43" s="203" customFormat="1" ht="23.25" customHeight="1">
      <c r="A194" s="165"/>
      <c r="B194" s="132"/>
      <c r="C194" s="132"/>
      <c r="D194" s="132"/>
      <c r="E194" s="859"/>
      <c r="F194" s="859"/>
      <c r="G194" s="130"/>
      <c r="H194" s="859"/>
      <c r="I194" s="130"/>
      <c r="J194" s="231"/>
      <c r="K194" s="231"/>
      <c r="L194" s="231"/>
      <c r="M194" s="231"/>
      <c r="N194" s="231"/>
      <c r="O194" s="231"/>
      <c r="P194" s="231"/>
      <c r="Q194" s="231"/>
      <c r="R194" s="231"/>
      <c r="S194" s="231"/>
      <c r="T194" s="231"/>
      <c r="U194" s="231"/>
      <c r="V194" s="231"/>
      <c r="W194" s="231"/>
      <c r="X194" s="231"/>
      <c r="Y194" s="231"/>
      <c r="Z194" s="231"/>
      <c r="AA194" s="231"/>
      <c r="AB194" s="231"/>
      <c r="AC194" s="231"/>
      <c r="AD194" s="231"/>
      <c r="AE194" s="231"/>
      <c r="AF194" s="231"/>
      <c r="AG194" s="231"/>
      <c r="AH194" s="231"/>
      <c r="AI194" s="231"/>
      <c r="AJ194" s="231"/>
      <c r="AK194" s="231"/>
      <c r="AL194" s="231"/>
      <c r="AM194" s="231"/>
      <c r="AN194" s="231"/>
      <c r="AO194" s="231"/>
      <c r="AP194" s="231"/>
      <c r="AQ194" s="231"/>
    </row>
    <row r="195" spans="1:43" s="203" customFormat="1">
      <c r="A195" s="154" t="s">
        <v>161</v>
      </c>
      <c r="B195" s="116"/>
      <c r="C195" s="116"/>
      <c r="D195" s="116"/>
      <c r="E195" s="859"/>
      <c r="F195" s="859"/>
      <c r="G195" s="130"/>
      <c r="H195" s="859"/>
      <c r="I195" s="130"/>
      <c r="J195" s="231"/>
      <c r="K195" s="231"/>
      <c r="L195" s="231"/>
      <c r="M195" s="231"/>
      <c r="N195" s="231"/>
      <c r="O195" s="231"/>
      <c r="P195" s="231"/>
      <c r="Q195" s="231"/>
      <c r="R195" s="231"/>
      <c r="S195" s="231"/>
      <c r="T195" s="231"/>
      <c r="U195" s="231"/>
      <c r="V195" s="231"/>
      <c r="W195" s="231"/>
      <c r="X195" s="231"/>
      <c r="Y195" s="231"/>
      <c r="Z195" s="231"/>
      <c r="AA195" s="231"/>
      <c r="AB195" s="231"/>
      <c r="AC195" s="231"/>
      <c r="AD195" s="231"/>
      <c r="AE195" s="231"/>
      <c r="AF195" s="231"/>
      <c r="AG195" s="231"/>
      <c r="AH195" s="231"/>
      <c r="AI195" s="231"/>
      <c r="AJ195" s="231"/>
      <c r="AK195" s="231"/>
      <c r="AL195" s="231"/>
      <c r="AM195" s="231"/>
      <c r="AN195" s="231"/>
      <c r="AO195" s="231"/>
      <c r="AP195" s="231"/>
      <c r="AQ195" s="231"/>
    </row>
    <row r="196" spans="1:43" s="203" customFormat="1">
      <c r="A196" s="109" t="s">
        <v>83</v>
      </c>
      <c r="B196" s="47"/>
      <c r="C196" s="47"/>
      <c r="D196" s="47"/>
      <c r="E196" s="859"/>
      <c r="F196" s="859"/>
      <c r="G196" s="130"/>
      <c r="H196" s="859"/>
      <c r="I196" s="130"/>
      <c r="J196" s="231"/>
      <c r="K196" s="231"/>
      <c r="L196" s="231"/>
      <c r="M196" s="231"/>
      <c r="N196" s="231"/>
      <c r="O196" s="231"/>
      <c r="P196" s="231"/>
      <c r="Q196" s="231"/>
      <c r="R196" s="231"/>
      <c r="S196" s="231"/>
      <c r="T196" s="231"/>
      <c r="U196" s="231"/>
      <c r="V196" s="231"/>
      <c r="W196" s="231"/>
      <c r="X196" s="231"/>
      <c r="Y196" s="231"/>
      <c r="Z196" s="231"/>
      <c r="AA196" s="231"/>
      <c r="AB196" s="231"/>
      <c r="AC196" s="231"/>
      <c r="AD196" s="231"/>
      <c r="AE196" s="231"/>
      <c r="AF196" s="231"/>
      <c r="AG196" s="231"/>
      <c r="AH196" s="231"/>
      <c r="AI196" s="231"/>
      <c r="AJ196" s="231"/>
      <c r="AK196" s="231"/>
      <c r="AL196" s="231"/>
      <c r="AM196" s="231"/>
      <c r="AN196" s="231"/>
      <c r="AO196" s="231"/>
      <c r="AP196" s="231"/>
      <c r="AQ196" s="231"/>
    </row>
    <row r="197" spans="1:43" s="203" customFormat="1">
      <c r="A197" s="110" t="s">
        <v>84</v>
      </c>
      <c r="B197" s="132"/>
      <c r="C197" s="132"/>
      <c r="D197" s="132"/>
      <c r="E197" s="860"/>
      <c r="F197" s="860"/>
      <c r="G197" s="130"/>
      <c r="H197" s="860"/>
      <c r="I197" s="130"/>
      <c r="J197" s="231"/>
      <c r="K197" s="231"/>
      <c r="L197" s="231"/>
      <c r="M197" s="231"/>
      <c r="N197" s="231"/>
      <c r="O197" s="231"/>
      <c r="P197" s="231"/>
      <c r="Q197" s="231"/>
      <c r="R197" s="231"/>
      <c r="S197" s="231"/>
      <c r="T197" s="231"/>
      <c r="U197" s="231"/>
      <c r="V197" s="231"/>
      <c r="W197" s="231"/>
      <c r="X197" s="231"/>
      <c r="Y197" s="231"/>
      <c r="Z197" s="231"/>
      <c r="AA197" s="231"/>
      <c r="AB197" s="231"/>
      <c r="AC197" s="231"/>
      <c r="AD197" s="231"/>
      <c r="AE197" s="231"/>
      <c r="AF197" s="231"/>
      <c r="AG197" s="231"/>
      <c r="AH197" s="231"/>
      <c r="AI197" s="231"/>
      <c r="AJ197" s="231"/>
      <c r="AK197" s="231"/>
      <c r="AL197" s="231"/>
      <c r="AM197" s="231"/>
      <c r="AN197" s="231"/>
      <c r="AO197" s="231"/>
      <c r="AP197" s="231"/>
      <c r="AQ197" s="231"/>
    </row>
    <row r="198" spans="1:43" s="203" customFormat="1">
      <c r="A198" s="153" t="s">
        <v>162</v>
      </c>
      <c r="B198" s="166"/>
      <c r="C198" s="166"/>
      <c r="D198" s="166"/>
      <c r="E198" s="167"/>
      <c r="F198" s="146"/>
      <c r="G198" s="118"/>
      <c r="H198" s="146"/>
      <c r="I198" s="29"/>
      <c r="J198" s="231"/>
      <c r="K198" s="231"/>
      <c r="L198" s="231"/>
      <c r="M198" s="231"/>
      <c r="N198" s="231"/>
      <c r="O198" s="231"/>
      <c r="P198" s="231"/>
      <c r="Q198" s="231"/>
      <c r="R198" s="231"/>
      <c r="S198" s="231"/>
      <c r="T198" s="231"/>
      <c r="U198" s="231"/>
      <c r="V198" s="231"/>
      <c r="W198" s="231"/>
      <c r="X198" s="231"/>
      <c r="Y198" s="231"/>
      <c r="Z198" s="231"/>
      <c r="AA198" s="231"/>
      <c r="AB198" s="231"/>
      <c r="AC198" s="231"/>
      <c r="AD198" s="231"/>
      <c r="AE198" s="231"/>
      <c r="AF198" s="231"/>
      <c r="AG198" s="231"/>
      <c r="AH198" s="231"/>
      <c r="AI198" s="231"/>
      <c r="AJ198" s="231"/>
      <c r="AK198" s="231"/>
      <c r="AL198" s="231"/>
      <c r="AM198" s="231"/>
      <c r="AN198" s="231"/>
      <c r="AO198" s="231"/>
      <c r="AP198" s="231"/>
      <c r="AQ198" s="231"/>
    </row>
    <row r="199" spans="1:43" s="203" customFormat="1">
      <c r="A199" s="120">
        <v>1</v>
      </c>
      <c r="B199" s="47" t="s">
        <v>163</v>
      </c>
      <c r="C199" s="47"/>
      <c r="D199" s="47"/>
      <c r="E199" s="74">
        <v>0</v>
      </c>
      <c r="F199" s="52"/>
      <c r="G199" s="118"/>
      <c r="H199" s="122">
        <v>3</v>
      </c>
      <c r="I199" s="29"/>
      <c r="J199" s="231"/>
      <c r="K199" s="231"/>
      <c r="L199" s="231"/>
      <c r="M199" s="231"/>
      <c r="N199" s="231"/>
      <c r="O199" s="231"/>
      <c r="P199" s="231"/>
      <c r="Q199" s="231"/>
      <c r="R199" s="231"/>
      <c r="S199" s="231"/>
      <c r="T199" s="231"/>
      <c r="U199" s="231"/>
      <c r="V199" s="231"/>
      <c r="W199" s="231"/>
      <c r="X199" s="231"/>
      <c r="Y199" s="231"/>
      <c r="Z199" s="231"/>
      <c r="AA199" s="231"/>
      <c r="AB199" s="231"/>
      <c r="AC199" s="231"/>
      <c r="AD199" s="231"/>
      <c r="AE199" s="231"/>
      <c r="AF199" s="231"/>
      <c r="AG199" s="231"/>
      <c r="AH199" s="231"/>
      <c r="AI199" s="231"/>
      <c r="AJ199" s="231"/>
      <c r="AK199" s="231"/>
      <c r="AL199" s="231"/>
      <c r="AM199" s="231"/>
      <c r="AN199" s="231"/>
      <c r="AO199" s="231"/>
      <c r="AP199" s="231"/>
      <c r="AQ199" s="231"/>
    </row>
    <row r="200" spans="1:43" s="203" customFormat="1">
      <c r="A200" s="120">
        <v>2</v>
      </c>
      <c r="B200" s="47" t="s">
        <v>164</v>
      </c>
      <c r="C200" s="47"/>
      <c r="D200" s="47"/>
      <c r="E200" s="56">
        <v>980</v>
      </c>
      <c r="F200" s="52">
        <f>9+846</f>
        <v>855</v>
      </c>
      <c r="G200" s="118"/>
      <c r="H200" s="100">
        <v>931</v>
      </c>
      <c r="I200" s="29"/>
      <c r="J200" s="231"/>
      <c r="K200" s="231"/>
      <c r="L200" s="231"/>
      <c r="M200" s="231"/>
      <c r="N200" s="231"/>
      <c r="O200" s="231"/>
      <c r="P200" s="231"/>
      <c r="Q200" s="231"/>
      <c r="R200" s="231"/>
      <c r="S200" s="231"/>
      <c r="T200" s="231"/>
      <c r="U200" s="231"/>
      <c r="V200" s="231"/>
      <c r="W200" s="231"/>
      <c r="X200" s="231"/>
      <c r="Y200" s="231"/>
      <c r="Z200" s="231"/>
      <c r="AA200" s="231"/>
      <c r="AB200" s="231"/>
      <c r="AC200" s="231"/>
      <c r="AD200" s="231"/>
      <c r="AE200" s="231"/>
      <c r="AF200" s="231"/>
      <c r="AG200" s="231"/>
      <c r="AH200" s="231"/>
      <c r="AI200" s="231"/>
      <c r="AJ200" s="231"/>
      <c r="AK200" s="231"/>
      <c r="AL200" s="231"/>
      <c r="AM200" s="231"/>
      <c r="AN200" s="231"/>
      <c r="AO200" s="231"/>
      <c r="AP200" s="231"/>
      <c r="AQ200" s="231"/>
    </row>
    <row r="201" spans="1:43" s="203" customFormat="1">
      <c r="A201" s="120">
        <v>3</v>
      </c>
      <c r="B201" s="116" t="s">
        <v>165</v>
      </c>
      <c r="C201" s="116"/>
      <c r="D201" s="116"/>
      <c r="E201" s="80">
        <v>980</v>
      </c>
      <c r="F201" s="142">
        <f>SUM(F199:F200)</f>
        <v>855</v>
      </c>
      <c r="G201" s="118"/>
      <c r="H201" s="142">
        <f>SUM(H199:H200)</f>
        <v>934</v>
      </c>
      <c r="I201" s="29"/>
      <c r="J201" s="231"/>
      <c r="K201" s="231"/>
      <c r="L201" s="231"/>
      <c r="M201" s="231"/>
      <c r="N201" s="231"/>
      <c r="O201" s="231"/>
      <c r="P201" s="231"/>
      <c r="Q201" s="231"/>
      <c r="R201" s="231"/>
      <c r="S201" s="231"/>
      <c r="T201" s="231"/>
      <c r="U201" s="231"/>
      <c r="V201" s="231"/>
      <c r="W201" s="231"/>
      <c r="X201" s="231"/>
      <c r="Y201" s="231"/>
      <c r="Z201" s="231"/>
      <c r="AA201" s="231"/>
      <c r="AB201" s="231"/>
      <c r="AC201" s="231"/>
      <c r="AD201" s="231"/>
      <c r="AE201" s="231"/>
      <c r="AF201" s="231"/>
      <c r="AG201" s="231"/>
      <c r="AH201" s="231"/>
      <c r="AI201" s="231"/>
      <c r="AJ201" s="231"/>
      <c r="AK201" s="231"/>
      <c r="AL201" s="231"/>
      <c r="AM201" s="231"/>
      <c r="AN201" s="231"/>
      <c r="AO201" s="231"/>
      <c r="AP201" s="231"/>
      <c r="AQ201" s="231"/>
    </row>
    <row r="202" spans="1:43" s="203" customFormat="1">
      <c r="A202" s="46"/>
      <c r="B202" s="132"/>
      <c r="C202" s="132"/>
      <c r="D202" s="132"/>
      <c r="E202" s="156"/>
      <c r="F202" s="139"/>
      <c r="G202" s="139"/>
      <c r="H202" s="139"/>
      <c r="I202" s="29"/>
      <c r="J202" s="231"/>
      <c r="K202" s="231"/>
      <c r="L202" s="231"/>
      <c r="M202" s="231"/>
      <c r="N202" s="231"/>
      <c r="O202" s="231"/>
      <c r="P202" s="231"/>
      <c r="Q202" s="231"/>
      <c r="R202" s="231"/>
      <c r="S202" s="231"/>
      <c r="T202" s="231"/>
      <c r="U202" s="231"/>
      <c r="V202" s="231"/>
      <c r="W202" s="231"/>
      <c r="X202" s="231"/>
      <c r="Y202" s="231"/>
      <c r="Z202" s="231"/>
      <c r="AA202" s="231"/>
      <c r="AB202" s="231"/>
      <c r="AC202" s="231"/>
      <c r="AD202" s="231"/>
      <c r="AE202" s="231"/>
      <c r="AF202" s="231"/>
      <c r="AG202" s="231"/>
      <c r="AH202" s="231"/>
      <c r="AI202" s="231"/>
      <c r="AJ202" s="231"/>
      <c r="AK202" s="231"/>
      <c r="AL202" s="231"/>
      <c r="AM202" s="231"/>
      <c r="AN202" s="231"/>
      <c r="AO202" s="231"/>
      <c r="AP202" s="231"/>
      <c r="AQ202" s="231"/>
    </row>
    <row r="203" spans="1:43" s="203" customFormat="1">
      <c r="A203" s="153" t="s">
        <v>166</v>
      </c>
      <c r="B203" s="116"/>
      <c r="C203" s="116"/>
      <c r="D203" s="116"/>
      <c r="E203" s="140"/>
      <c r="F203" s="146"/>
      <c r="G203" s="118"/>
      <c r="H203" s="146"/>
      <c r="I203" s="29"/>
      <c r="J203" s="231"/>
      <c r="K203" s="231"/>
      <c r="L203" s="231"/>
      <c r="M203" s="231"/>
      <c r="N203" s="231"/>
      <c r="O203" s="231"/>
      <c r="P203" s="231"/>
      <c r="Q203" s="231"/>
      <c r="R203" s="231"/>
      <c r="S203" s="231"/>
      <c r="T203" s="231"/>
      <c r="U203" s="231"/>
      <c r="V203" s="231"/>
      <c r="W203" s="231"/>
      <c r="X203" s="231"/>
      <c r="Y203" s="231"/>
      <c r="Z203" s="231"/>
      <c r="AA203" s="231"/>
      <c r="AB203" s="231"/>
      <c r="AC203" s="231"/>
      <c r="AD203" s="231"/>
      <c r="AE203" s="231"/>
      <c r="AF203" s="231"/>
      <c r="AG203" s="231"/>
      <c r="AH203" s="231"/>
      <c r="AI203" s="231"/>
      <c r="AJ203" s="231"/>
      <c r="AK203" s="231"/>
      <c r="AL203" s="231"/>
      <c r="AM203" s="231"/>
      <c r="AN203" s="231"/>
      <c r="AO203" s="231"/>
      <c r="AP203" s="231"/>
      <c r="AQ203" s="231"/>
    </row>
    <row r="204" spans="1:43" s="203" customFormat="1">
      <c r="A204" s="120">
        <v>4</v>
      </c>
      <c r="B204" s="47" t="s">
        <v>167</v>
      </c>
      <c r="C204" s="47"/>
      <c r="D204" s="47"/>
      <c r="E204" s="74">
        <v>3289</v>
      </c>
      <c r="F204" s="52">
        <f>3748</f>
        <v>3748</v>
      </c>
      <c r="G204" s="118"/>
      <c r="H204" s="122">
        <v>3253</v>
      </c>
      <c r="I204" s="29"/>
      <c r="J204" s="231"/>
      <c r="K204" s="231"/>
      <c r="L204" s="231"/>
      <c r="M204" s="231"/>
      <c r="N204" s="231"/>
      <c r="O204" s="231"/>
      <c r="P204" s="231"/>
      <c r="Q204" s="231"/>
      <c r="R204" s="231"/>
      <c r="S204" s="231"/>
      <c r="T204" s="231"/>
      <c r="U204" s="231"/>
      <c r="V204" s="231"/>
      <c r="W204" s="231"/>
      <c r="X204" s="231"/>
      <c r="Y204" s="231"/>
      <c r="Z204" s="231"/>
      <c r="AA204" s="231"/>
      <c r="AB204" s="231"/>
      <c r="AC204" s="231"/>
      <c r="AD204" s="231"/>
      <c r="AE204" s="231"/>
      <c r="AF204" s="231"/>
      <c r="AG204" s="231"/>
      <c r="AH204" s="231"/>
      <c r="AI204" s="231"/>
      <c r="AJ204" s="231"/>
      <c r="AK204" s="231"/>
      <c r="AL204" s="231"/>
      <c r="AM204" s="231"/>
      <c r="AN204" s="231"/>
      <c r="AO204" s="231"/>
      <c r="AP204" s="231"/>
      <c r="AQ204" s="231"/>
    </row>
    <row r="205" spans="1:43" s="203" customFormat="1">
      <c r="A205" s="120">
        <v>5</v>
      </c>
      <c r="B205" s="47" t="s">
        <v>168</v>
      </c>
      <c r="C205" s="47"/>
      <c r="D205" s="47"/>
      <c r="E205" s="49">
        <v>5979</v>
      </c>
      <c r="F205" s="52">
        <v>6058</v>
      </c>
      <c r="G205" s="118"/>
      <c r="H205" s="122">
        <v>5634</v>
      </c>
      <c r="I205" s="29"/>
      <c r="J205" s="231"/>
      <c r="K205" s="231"/>
      <c r="L205" s="231"/>
      <c r="M205" s="231"/>
      <c r="N205" s="231"/>
      <c r="O205" s="231"/>
      <c r="P205" s="231"/>
      <c r="Q205" s="231"/>
      <c r="R205" s="231"/>
      <c r="S205" s="231"/>
      <c r="T205" s="231"/>
      <c r="U205" s="231"/>
      <c r="V205" s="231"/>
      <c r="W205" s="231"/>
      <c r="X205" s="231"/>
      <c r="Y205" s="231"/>
      <c r="Z205" s="231"/>
      <c r="AA205" s="231"/>
      <c r="AB205" s="231"/>
      <c r="AC205" s="231"/>
      <c r="AD205" s="231"/>
      <c r="AE205" s="231"/>
      <c r="AF205" s="231"/>
      <c r="AG205" s="231"/>
      <c r="AH205" s="231"/>
      <c r="AI205" s="231"/>
      <c r="AJ205" s="231"/>
      <c r="AK205" s="231"/>
      <c r="AL205" s="231"/>
      <c r="AM205" s="231"/>
      <c r="AN205" s="231"/>
      <c r="AO205" s="231"/>
      <c r="AP205" s="231"/>
      <c r="AQ205" s="231"/>
    </row>
    <row r="206" spans="1:43" s="203" customFormat="1">
      <c r="A206" s="120">
        <v>6</v>
      </c>
      <c r="B206" s="47" t="s">
        <v>169</v>
      </c>
      <c r="C206" s="47"/>
      <c r="D206" s="47"/>
      <c r="E206" s="49">
        <v>3359</v>
      </c>
      <c r="F206" s="52">
        <v>3366</v>
      </c>
      <c r="G206" s="118"/>
      <c r="H206" s="100">
        <v>3359</v>
      </c>
      <c r="I206" s="29"/>
      <c r="J206" s="231"/>
      <c r="K206" s="231"/>
      <c r="L206" s="231"/>
      <c r="M206" s="231"/>
      <c r="N206" s="231"/>
      <c r="O206" s="231"/>
      <c r="P206" s="231"/>
      <c r="Q206" s="231"/>
      <c r="R206" s="231"/>
      <c r="S206" s="231"/>
      <c r="T206" s="231"/>
      <c r="U206" s="231"/>
      <c r="V206" s="231"/>
      <c r="W206" s="231"/>
      <c r="X206" s="231"/>
      <c r="Y206" s="231"/>
      <c r="Z206" s="231"/>
      <c r="AA206" s="231"/>
      <c r="AB206" s="231"/>
      <c r="AC206" s="231"/>
      <c r="AD206" s="231"/>
      <c r="AE206" s="231"/>
      <c r="AF206" s="231"/>
      <c r="AG206" s="231"/>
      <c r="AH206" s="231"/>
      <c r="AI206" s="231"/>
      <c r="AJ206" s="231"/>
      <c r="AK206" s="231"/>
      <c r="AL206" s="231"/>
      <c r="AM206" s="231"/>
      <c r="AN206" s="231"/>
      <c r="AO206" s="231"/>
      <c r="AP206" s="231"/>
      <c r="AQ206" s="231"/>
    </row>
    <row r="207" spans="1:43" s="203" customFormat="1">
      <c r="A207" s="120">
        <v>7</v>
      </c>
      <c r="B207" s="116" t="s">
        <v>170</v>
      </c>
      <c r="C207" s="116"/>
      <c r="D207" s="116"/>
      <c r="E207" s="80">
        <v>12627</v>
      </c>
      <c r="F207" s="142">
        <f>SUM(F204:F206)</f>
        <v>13172</v>
      </c>
      <c r="G207" s="118"/>
      <c r="H207" s="142">
        <f>SUM(H204:H206)</f>
        <v>12246</v>
      </c>
      <c r="I207" s="29"/>
      <c r="J207" s="231"/>
      <c r="K207" s="231"/>
      <c r="L207" s="231"/>
      <c r="M207" s="231"/>
      <c r="N207" s="231"/>
      <c r="O207" s="231"/>
      <c r="P207" s="231"/>
      <c r="Q207" s="231"/>
      <c r="R207" s="231"/>
      <c r="S207" s="231"/>
      <c r="T207" s="231"/>
      <c r="U207" s="231"/>
      <c r="V207" s="231"/>
      <c r="W207" s="231"/>
      <c r="X207" s="231"/>
      <c r="Y207" s="231"/>
      <c r="Z207" s="231"/>
      <c r="AA207" s="231"/>
      <c r="AB207" s="231"/>
      <c r="AC207" s="231"/>
      <c r="AD207" s="231"/>
      <c r="AE207" s="231"/>
      <c r="AF207" s="231"/>
      <c r="AG207" s="231"/>
      <c r="AH207" s="231"/>
      <c r="AI207" s="231"/>
      <c r="AJ207" s="231"/>
      <c r="AK207" s="231"/>
      <c r="AL207" s="231"/>
      <c r="AM207" s="231"/>
      <c r="AN207" s="231"/>
      <c r="AO207" s="231"/>
      <c r="AP207" s="231"/>
      <c r="AQ207" s="231"/>
    </row>
    <row r="208" spans="1:43" s="203" customFormat="1">
      <c r="A208" s="46"/>
      <c r="B208" s="132"/>
      <c r="C208" s="132"/>
      <c r="D208" s="132"/>
      <c r="E208" s="156"/>
      <c r="F208" s="139"/>
      <c r="G208" s="139"/>
      <c r="H208" s="139"/>
      <c r="I208" s="29"/>
      <c r="J208" s="231"/>
      <c r="K208" s="231"/>
      <c r="L208" s="231"/>
      <c r="M208" s="231"/>
      <c r="N208" s="231"/>
      <c r="O208" s="231"/>
      <c r="P208" s="231"/>
      <c r="Q208" s="231"/>
      <c r="R208" s="231"/>
      <c r="S208" s="231"/>
      <c r="T208" s="231"/>
      <c r="U208" s="231"/>
      <c r="V208" s="231"/>
      <c r="W208" s="231"/>
      <c r="X208" s="231"/>
      <c r="Y208" s="231"/>
      <c r="Z208" s="231"/>
      <c r="AA208" s="231"/>
      <c r="AB208" s="231"/>
      <c r="AC208" s="231"/>
      <c r="AD208" s="231"/>
      <c r="AE208" s="231"/>
      <c r="AF208" s="231"/>
      <c r="AG208" s="231"/>
      <c r="AH208" s="231"/>
      <c r="AI208" s="231"/>
      <c r="AJ208" s="231"/>
      <c r="AK208" s="231"/>
      <c r="AL208" s="231"/>
      <c r="AM208" s="231"/>
      <c r="AN208" s="231"/>
      <c r="AO208" s="231"/>
      <c r="AP208" s="231"/>
      <c r="AQ208" s="231"/>
    </row>
    <row r="209" spans="1:43" s="203" customFormat="1">
      <c r="A209" s="153" t="s">
        <v>121</v>
      </c>
      <c r="B209" s="168"/>
      <c r="C209" s="168"/>
      <c r="D209" s="168"/>
      <c r="E209" s="140"/>
      <c r="F209" s="146"/>
      <c r="G209" s="118"/>
      <c r="H209" s="146"/>
      <c r="I209" s="29"/>
      <c r="J209" s="231"/>
      <c r="K209" s="231"/>
      <c r="L209" s="231"/>
      <c r="M209" s="231"/>
      <c r="N209" s="231"/>
      <c r="O209" s="231"/>
      <c r="P209" s="231"/>
      <c r="Q209" s="231"/>
      <c r="R209" s="231"/>
      <c r="S209" s="231"/>
      <c r="T209" s="231"/>
      <c r="U209" s="231"/>
      <c r="V209" s="231"/>
      <c r="W209" s="231"/>
      <c r="X209" s="231"/>
      <c r="Y209" s="231"/>
      <c r="Z209" s="231"/>
      <c r="AA209" s="231"/>
      <c r="AB209" s="231"/>
      <c r="AC209" s="231"/>
      <c r="AD209" s="231"/>
      <c r="AE209" s="231"/>
      <c r="AF209" s="231"/>
      <c r="AG209" s="231"/>
      <c r="AH209" s="231"/>
      <c r="AI209" s="231"/>
      <c r="AJ209" s="231"/>
      <c r="AK209" s="231"/>
      <c r="AL209" s="231"/>
      <c r="AM209" s="231"/>
      <c r="AN209" s="231"/>
      <c r="AO209" s="231"/>
      <c r="AP209" s="231"/>
      <c r="AQ209" s="231"/>
    </row>
    <row r="210" spans="1:43" s="203" customFormat="1">
      <c r="A210" s="120">
        <v>8</v>
      </c>
      <c r="B210" s="47" t="s">
        <v>171</v>
      </c>
      <c r="C210" s="47"/>
      <c r="D210" s="47"/>
      <c r="E210" s="74">
        <v>-191</v>
      </c>
      <c r="F210" s="52">
        <v>-319</v>
      </c>
      <c r="G210" s="118"/>
      <c r="H210" s="122">
        <v>-330</v>
      </c>
      <c r="I210" s="29"/>
      <c r="J210" s="231"/>
      <c r="K210" s="231"/>
      <c r="L210" s="231"/>
      <c r="M210" s="231"/>
      <c r="N210" s="231"/>
      <c r="O210" s="231"/>
      <c r="P210" s="231"/>
      <c r="Q210" s="231"/>
      <c r="R210" s="231"/>
      <c r="S210" s="231"/>
      <c r="T210" s="231"/>
      <c r="U210" s="231"/>
      <c r="V210" s="231"/>
      <c r="W210" s="231"/>
      <c r="X210" s="231"/>
      <c r="Y210" s="231"/>
      <c r="Z210" s="231"/>
      <c r="AA210" s="231"/>
      <c r="AB210" s="231"/>
      <c r="AC210" s="231"/>
      <c r="AD210" s="231"/>
      <c r="AE210" s="231"/>
      <c r="AF210" s="231"/>
      <c r="AG210" s="231"/>
      <c r="AH210" s="231"/>
      <c r="AI210" s="231"/>
      <c r="AJ210" s="231"/>
      <c r="AK210" s="231"/>
      <c r="AL210" s="231"/>
      <c r="AM210" s="231"/>
      <c r="AN210" s="231"/>
      <c r="AO210" s="231"/>
      <c r="AP210" s="231"/>
      <c r="AQ210" s="231"/>
    </row>
    <row r="211" spans="1:43" s="203" customFormat="1">
      <c r="A211" s="120">
        <v>9</v>
      </c>
      <c r="B211" s="47" t="s">
        <v>172</v>
      </c>
      <c r="C211" s="47"/>
      <c r="D211" s="47"/>
      <c r="E211" s="49">
        <v>125</v>
      </c>
      <c r="F211" s="52">
        <v>125</v>
      </c>
      <c r="G211" s="118"/>
      <c r="H211" s="122">
        <v>120</v>
      </c>
      <c r="I211" s="29"/>
      <c r="J211" s="231"/>
      <c r="K211" s="231"/>
      <c r="L211" s="231"/>
      <c r="M211" s="231"/>
      <c r="N211" s="231"/>
      <c r="O211" s="231"/>
      <c r="P211" s="231"/>
      <c r="Q211" s="231"/>
      <c r="R211" s="231"/>
      <c r="S211" s="231"/>
      <c r="T211" s="231"/>
      <c r="U211" s="231"/>
      <c r="V211" s="231"/>
      <c r="W211" s="231"/>
      <c r="X211" s="231"/>
      <c r="Y211" s="231"/>
      <c r="Z211" s="231"/>
      <c r="AA211" s="231"/>
      <c r="AB211" s="231"/>
      <c r="AC211" s="231"/>
      <c r="AD211" s="231"/>
      <c r="AE211" s="231"/>
      <c r="AF211" s="231"/>
      <c r="AG211" s="231"/>
      <c r="AH211" s="231"/>
      <c r="AI211" s="231"/>
      <c r="AJ211" s="231"/>
      <c r="AK211" s="231"/>
      <c r="AL211" s="231"/>
      <c r="AM211" s="231"/>
      <c r="AN211" s="231"/>
      <c r="AO211" s="231"/>
      <c r="AP211" s="231"/>
      <c r="AQ211" s="231"/>
    </row>
    <row r="212" spans="1:43" s="203" customFormat="1">
      <c r="A212" s="120">
        <v>10</v>
      </c>
      <c r="B212" s="47" t="s">
        <v>173</v>
      </c>
      <c r="C212" s="47"/>
      <c r="D212" s="47"/>
      <c r="E212" s="49">
        <v>7</v>
      </c>
      <c r="F212" s="52">
        <f>7</f>
        <v>7</v>
      </c>
      <c r="G212" s="118"/>
      <c r="H212" s="122">
        <v>7</v>
      </c>
      <c r="I212" s="29"/>
      <c r="J212" s="231"/>
      <c r="K212" s="231"/>
      <c r="L212" s="231"/>
      <c r="M212" s="231"/>
      <c r="N212" s="231"/>
      <c r="O212" s="231"/>
      <c r="P212" s="231"/>
      <c r="Q212" s="231"/>
      <c r="R212" s="231"/>
      <c r="S212" s="231"/>
      <c r="T212" s="231"/>
      <c r="U212" s="231"/>
      <c r="V212" s="231"/>
      <c r="W212" s="231"/>
      <c r="X212" s="231"/>
      <c r="Y212" s="231"/>
      <c r="Z212" s="231"/>
      <c r="AA212" s="231"/>
      <c r="AB212" s="231"/>
      <c r="AC212" s="231"/>
      <c r="AD212" s="231"/>
      <c r="AE212" s="231"/>
      <c r="AF212" s="231"/>
      <c r="AG212" s="231"/>
      <c r="AH212" s="231"/>
      <c r="AI212" s="231"/>
      <c r="AJ212" s="231"/>
      <c r="AK212" s="231"/>
      <c r="AL212" s="231"/>
      <c r="AM212" s="231"/>
      <c r="AN212" s="231"/>
      <c r="AO212" s="231"/>
      <c r="AP212" s="231"/>
      <c r="AQ212" s="231"/>
    </row>
    <row r="213" spans="1:43" s="203" customFormat="1">
      <c r="A213" s="120">
        <v>11</v>
      </c>
      <c r="B213" s="47" t="s">
        <v>174</v>
      </c>
      <c r="C213" s="47"/>
      <c r="D213" s="47"/>
      <c r="E213" s="49">
        <v>1501</v>
      </c>
      <c r="F213" s="52">
        <f>390+942</f>
        <v>1332</v>
      </c>
      <c r="G213" s="118"/>
      <c r="H213" s="99">
        <v>1456</v>
      </c>
      <c r="I213" s="29"/>
      <c r="J213" s="231"/>
      <c r="K213" s="231"/>
      <c r="L213" s="231"/>
      <c r="M213" s="231"/>
      <c r="N213" s="231"/>
      <c r="O213" s="231"/>
      <c r="P213" s="231"/>
      <c r="Q213" s="231"/>
      <c r="R213" s="231"/>
      <c r="S213" s="231"/>
      <c r="T213" s="231"/>
      <c r="U213" s="231"/>
      <c r="V213" s="231"/>
      <c r="W213" s="231"/>
      <c r="X213" s="231"/>
      <c r="Y213" s="231"/>
      <c r="Z213" s="231"/>
      <c r="AA213" s="231"/>
      <c r="AB213" s="231"/>
      <c r="AC213" s="231"/>
      <c r="AD213" s="231"/>
      <c r="AE213" s="231"/>
      <c r="AF213" s="231"/>
      <c r="AG213" s="231"/>
      <c r="AH213" s="231"/>
      <c r="AI213" s="231"/>
      <c r="AJ213" s="231"/>
      <c r="AK213" s="231"/>
      <c r="AL213" s="231"/>
      <c r="AM213" s="231"/>
      <c r="AN213" s="231"/>
      <c r="AO213" s="231"/>
      <c r="AP213" s="231"/>
      <c r="AQ213" s="231"/>
    </row>
    <row r="214" spans="1:43" s="203" customFormat="1">
      <c r="A214" s="120">
        <v>12</v>
      </c>
      <c r="B214" s="116" t="s">
        <v>175</v>
      </c>
      <c r="C214" s="116"/>
      <c r="D214" s="116"/>
      <c r="E214" s="159">
        <v>15049</v>
      </c>
      <c r="F214" s="61">
        <f>F201+F207+SUM(F210:F213)</f>
        <v>15172</v>
      </c>
      <c r="G214" s="118"/>
      <c r="H214" s="61">
        <f>H201+H207+SUM(H210:H213)</f>
        <v>14433</v>
      </c>
      <c r="I214" s="29"/>
      <c r="J214" s="231"/>
      <c r="K214" s="231"/>
      <c r="L214" s="231"/>
      <c r="M214" s="231"/>
      <c r="N214" s="231"/>
      <c r="O214" s="231"/>
      <c r="P214" s="231"/>
      <c r="Q214" s="231"/>
      <c r="R214" s="231"/>
      <c r="S214" s="231"/>
      <c r="T214" s="231"/>
      <c r="U214" s="231"/>
      <c r="V214" s="231"/>
      <c r="W214" s="231"/>
      <c r="X214" s="231"/>
      <c r="Y214" s="231"/>
      <c r="Z214" s="231"/>
      <c r="AA214" s="231"/>
      <c r="AB214" s="231"/>
      <c r="AC214" s="231"/>
      <c r="AD214" s="231"/>
      <c r="AE214" s="231"/>
      <c r="AF214" s="231"/>
      <c r="AG214" s="231"/>
      <c r="AH214" s="231"/>
      <c r="AI214" s="231"/>
      <c r="AJ214" s="231"/>
      <c r="AK214" s="231"/>
      <c r="AL214" s="231"/>
      <c r="AM214" s="231"/>
      <c r="AN214" s="231"/>
      <c r="AO214" s="231"/>
      <c r="AP214" s="231"/>
      <c r="AQ214" s="231"/>
    </row>
    <row r="215" spans="1:43" s="203" customFormat="1">
      <c r="A215" s="111"/>
      <c r="B215" s="47"/>
      <c r="C215" s="47"/>
      <c r="D215" s="47"/>
      <c r="E215" s="117"/>
      <c r="F215" s="118"/>
      <c r="G215" s="118"/>
      <c r="H215" s="118"/>
      <c r="I215" s="29"/>
      <c r="J215" s="231"/>
      <c r="K215" s="231"/>
      <c r="L215" s="231"/>
      <c r="M215" s="231"/>
      <c r="N215" s="231"/>
      <c r="O215" s="231"/>
      <c r="P215" s="231"/>
      <c r="Q215" s="231"/>
      <c r="R215" s="231"/>
      <c r="S215" s="231"/>
      <c r="T215" s="231"/>
      <c r="U215" s="231"/>
      <c r="V215" s="231"/>
      <c r="W215" s="231"/>
      <c r="X215" s="231"/>
      <c r="Y215" s="231"/>
      <c r="Z215" s="231"/>
      <c r="AA215" s="231"/>
      <c r="AB215" s="231"/>
      <c r="AC215" s="231"/>
      <c r="AD215" s="231"/>
      <c r="AE215" s="231"/>
      <c r="AF215" s="231"/>
      <c r="AG215" s="231"/>
      <c r="AH215" s="231"/>
      <c r="AI215" s="231"/>
      <c r="AJ215" s="231"/>
      <c r="AK215" s="231"/>
      <c r="AL215" s="231"/>
      <c r="AM215" s="231"/>
      <c r="AN215" s="231"/>
      <c r="AO215" s="231"/>
      <c r="AP215" s="231"/>
      <c r="AQ215" s="231"/>
    </row>
    <row r="216" spans="1:43" s="203" customFormat="1">
      <c r="A216" s="119" t="s">
        <v>176</v>
      </c>
      <c r="B216" s="116"/>
      <c r="C216" s="116"/>
      <c r="D216" s="116"/>
      <c r="E216" s="117"/>
      <c r="F216" s="160"/>
      <c r="G216" s="118"/>
      <c r="H216" s="160"/>
      <c r="I216" s="29"/>
      <c r="J216" s="231"/>
      <c r="K216" s="231"/>
      <c r="L216" s="231"/>
      <c r="M216" s="231"/>
      <c r="N216" s="231"/>
      <c r="O216" s="231"/>
      <c r="P216" s="231"/>
      <c r="Q216" s="231"/>
      <c r="R216" s="231"/>
      <c r="S216" s="231"/>
      <c r="T216" s="231"/>
      <c r="U216" s="231"/>
      <c r="V216" s="231"/>
      <c r="W216" s="231"/>
      <c r="X216" s="231"/>
      <c r="Y216" s="231"/>
      <c r="Z216" s="231"/>
      <c r="AA216" s="231"/>
      <c r="AB216" s="231"/>
      <c r="AC216" s="231"/>
      <c r="AD216" s="231"/>
      <c r="AE216" s="231"/>
      <c r="AF216" s="231"/>
      <c r="AG216" s="231"/>
      <c r="AH216" s="231"/>
      <c r="AI216" s="231"/>
      <c r="AJ216" s="231"/>
      <c r="AK216" s="231"/>
      <c r="AL216" s="231"/>
      <c r="AM216" s="231"/>
      <c r="AN216" s="231"/>
      <c r="AO216" s="231"/>
      <c r="AP216" s="231"/>
      <c r="AQ216" s="231"/>
    </row>
    <row r="217" spans="1:43" s="203" customFormat="1">
      <c r="A217" s="120">
        <v>13</v>
      </c>
      <c r="B217" s="47" t="s">
        <v>177</v>
      </c>
      <c r="C217" s="47"/>
      <c r="D217" s="47"/>
      <c r="E217" s="41">
        <v>350</v>
      </c>
      <c r="F217" s="121">
        <f>411</f>
        <v>411</v>
      </c>
      <c r="G217" s="118"/>
      <c r="H217" s="169">
        <v>336</v>
      </c>
      <c r="I217" s="29"/>
      <c r="J217" s="231"/>
      <c r="K217" s="231"/>
      <c r="L217" s="231"/>
      <c r="M217" s="231"/>
      <c r="N217" s="231"/>
      <c r="O217" s="231"/>
      <c r="P217" s="231"/>
      <c r="Q217" s="231"/>
      <c r="R217" s="231"/>
      <c r="S217" s="231"/>
      <c r="T217" s="231"/>
      <c r="U217" s="231"/>
      <c r="V217" s="231"/>
      <c r="W217" s="231"/>
      <c r="X217" s="231"/>
      <c r="Y217" s="231"/>
      <c r="Z217" s="231"/>
      <c r="AA217" s="231"/>
      <c r="AB217" s="231"/>
      <c r="AC217" s="231"/>
      <c r="AD217" s="231"/>
      <c r="AE217" s="231"/>
      <c r="AF217" s="231"/>
      <c r="AG217" s="231"/>
      <c r="AH217" s="231"/>
      <c r="AI217" s="231"/>
      <c r="AJ217" s="231"/>
      <c r="AK217" s="231"/>
      <c r="AL217" s="231"/>
      <c r="AM217" s="231"/>
      <c r="AN217" s="231"/>
      <c r="AO217" s="231"/>
      <c r="AP217" s="231"/>
      <c r="AQ217" s="231"/>
    </row>
    <row r="218" spans="1:43" s="203" customFormat="1">
      <c r="A218" s="124">
        <v>14</v>
      </c>
      <c r="B218" s="54" t="s">
        <v>178</v>
      </c>
      <c r="C218" s="54"/>
      <c r="D218" s="54"/>
      <c r="E218" s="56">
        <v>1490</v>
      </c>
      <c r="F218" s="126">
        <f>1582</f>
        <v>1582</v>
      </c>
      <c r="G218" s="118"/>
      <c r="H218" s="100">
        <v>1507</v>
      </c>
      <c r="I218" s="29"/>
      <c r="J218" s="231"/>
      <c r="K218" s="231"/>
      <c r="L218" s="231"/>
      <c r="M218" s="231"/>
      <c r="N218" s="231"/>
      <c r="O218" s="231"/>
      <c r="P218" s="231"/>
      <c r="Q218" s="231"/>
      <c r="R218" s="231"/>
      <c r="S218" s="231"/>
      <c r="T218" s="231"/>
      <c r="U218" s="231"/>
      <c r="V218" s="231"/>
      <c r="W218" s="231"/>
      <c r="X218" s="231"/>
      <c r="Y218" s="231"/>
      <c r="Z218" s="231"/>
      <c r="AA218" s="231"/>
      <c r="AB218" s="231"/>
      <c r="AC218" s="231"/>
      <c r="AD218" s="231"/>
      <c r="AE218" s="231"/>
      <c r="AF218" s="231"/>
      <c r="AG218" s="231"/>
      <c r="AH218" s="231"/>
      <c r="AI218" s="231"/>
      <c r="AJ218" s="231"/>
      <c r="AK218" s="231"/>
      <c r="AL218" s="231"/>
      <c r="AM218" s="231"/>
      <c r="AN218" s="231"/>
      <c r="AO218" s="231"/>
      <c r="AP218" s="231"/>
      <c r="AQ218" s="231"/>
    </row>
    <row r="219" spans="1:43" s="203" customFormat="1">
      <c r="A219" s="148"/>
      <c r="B219" s="29"/>
      <c r="C219" s="29"/>
      <c r="D219" s="170"/>
      <c r="E219" s="171"/>
      <c r="F219" s="29"/>
      <c r="G219" s="29"/>
      <c r="H219" s="207"/>
      <c r="I219" s="29"/>
      <c r="J219" s="231"/>
      <c r="K219" s="231"/>
      <c r="L219" s="231"/>
      <c r="M219" s="231"/>
      <c r="N219" s="231"/>
      <c r="O219" s="231"/>
      <c r="P219" s="231"/>
      <c r="Q219" s="231"/>
      <c r="R219" s="231"/>
      <c r="S219" s="231"/>
      <c r="T219" s="231"/>
      <c r="U219" s="231"/>
      <c r="V219" s="231"/>
      <c r="W219" s="231"/>
      <c r="X219" s="231"/>
      <c r="Y219" s="231"/>
      <c r="Z219" s="231"/>
      <c r="AA219" s="231"/>
      <c r="AB219" s="231"/>
      <c r="AC219" s="231"/>
      <c r="AD219" s="231"/>
      <c r="AE219" s="231"/>
      <c r="AF219" s="231"/>
      <c r="AG219" s="231"/>
      <c r="AH219" s="231"/>
      <c r="AI219" s="231"/>
      <c r="AJ219" s="231"/>
      <c r="AK219" s="231"/>
      <c r="AL219" s="231"/>
      <c r="AM219" s="231"/>
      <c r="AN219" s="231"/>
      <c r="AO219" s="231"/>
      <c r="AP219" s="231"/>
      <c r="AQ219" s="231"/>
    </row>
    <row r="220" spans="1:43" s="203" customFormat="1">
      <c r="A220" s="148"/>
      <c r="B220" s="29"/>
      <c r="C220" s="29"/>
      <c r="D220" s="172"/>
      <c r="E220" s="152"/>
      <c r="F220" s="29"/>
      <c r="G220" s="29"/>
      <c r="H220" s="131" t="s">
        <v>27</v>
      </c>
      <c r="I220" s="29"/>
      <c r="J220" s="231"/>
      <c r="K220" s="231"/>
      <c r="L220" s="231"/>
      <c r="M220" s="231"/>
      <c r="N220" s="231"/>
      <c r="O220" s="231"/>
      <c r="P220" s="231"/>
      <c r="Q220" s="231"/>
      <c r="R220" s="231"/>
      <c r="S220" s="231"/>
      <c r="T220" s="231"/>
      <c r="U220" s="231"/>
      <c r="V220" s="231"/>
      <c r="W220" s="231"/>
      <c r="X220" s="231"/>
      <c r="Y220" s="231"/>
      <c r="Z220" s="231"/>
      <c r="AA220" s="231"/>
      <c r="AB220" s="231"/>
      <c r="AC220" s="231"/>
      <c r="AD220" s="231"/>
      <c r="AE220" s="231"/>
      <c r="AF220" s="231"/>
      <c r="AG220" s="231"/>
      <c r="AH220" s="231"/>
      <c r="AI220" s="231"/>
      <c r="AJ220" s="231"/>
      <c r="AK220" s="231"/>
      <c r="AL220" s="231"/>
      <c r="AM220" s="231"/>
      <c r="AN220" s="231"/>
      <c r="AO220" s="231"/>
      <c r="AP220" s="231"/>
      <c r="AQ220" s="231"/>
    </row>
    <row r="221" spans="1:43" s="203" customFormat="1" ht="12.75" customHeight="1">
      <c r="A221" s="106" t="s">
        <v>10</v>
      </c>
      <c r="B221" s="164"/>
      <c r="C221" s="164"/>
      <c r="D221" s="164"/>
      <c r="E221" s="856" t="s">
        <v>377</v>
      </c>
      <c r="F221" s="856" t="s">
        <v>402</v>
      </c>
      <c r="G221" s="130"/>
      <c r="H221" s="856" t="s">
        <v>403</v>
      </c>
      <c r="I221" s="130"/>
      <c r="J221" s="231"/>
      <c r="K221" s="231"/>
      <c r="L221" s="231"/>
      <c r="M221" s="231"/>
      <c r="N221" s="231"/>
      <c r="O221" s="231"/>
      <c r="P221" s="231"/>
      <c r="Q221" s="231"/>
      <c r="R221" s="231"/>
      <c r="S221" s="231"/>
      <c r="T221" s="231"/>
      <c r="U221" s="231"/>
      <c r="V221" s="231"/>
      <c r="W221" s="231"/>
      <c r="X221" s="231"/>
      <c r="Y221" s="231"/>
      <c r="Z221" s="231"/>
      <c r="AA221" s="231"/>
      <c r="AB221" s="231"/>
      <c r="AC221" s="231"/>
      <c r="AD221" s="231"/>
      <c r="AE221" s="231"/>
      <c r="AF221" s="231"/>
      <c r="AG221" s="231"/>
      <c r="AH221" s="231"/>
      <c r="AI221" s="231"/>
      <c r="AJ221" s="231"/>
      <c r="AK221" s="231"/>
      <c r="AL221" s="231"/>
      <c r="AM221" s="231"/>
      <c r="AN221" s="231"/>
      <c r="AO221" s="231"/>
      <c r="AP221" s="231"/>
      <c r="AQ221" s="231"/>
    </row>
    <row r="222" spans="1:43" s="203" customFormat="1">
      <c r="A222" s="109"/>
      <c r="B222" s="132"/>
      <c r="C222" s="132"/>
      <c r="D222" s="132"/>
      <c r="E222" s="859"/>
      <c r="F222" s="859"/>
      <c r="G222" s="130"/>
      <c r="H222" s="859"/>
      <c r="I222" s="130"/>
      <c r="J222" s="231"/>
      <c r="K222" s="231"/>
      <c r="L222" s="231"/>
      <c r="M222" s="231"/>
      <c r="N222" s="231"/>
      <c r="O222" s="231"/>
      <c r="P222" s="231"/>
      <c r="Q222" s="231"/>
      <c r="R222" s="231"/>
      <c r="S222" s="231"/>
      <c r="T222" s="231"/>
      <c r="U222" s="231"/>
      <c r="V222" s="231"/>
      <c r="W222" s="231"/>
      <c r="X222" s="231"/>
      <c r="Y222" s="231"/>
      <c r="Z222" s="231"/>
      <c r="AA222" s="231"/>
      <c r="AB222" s="231"/>
      <c r="AC222" s="231"/>
      <c r="AD222" s="231"/>
      <c r="AE222" s="231"/>
      <c r="AF222" s="231"/>
      <c r="AG222" s="231"/>
      <c r="AH222" s="231"/>
      <c r="AI222" s="231"/>
      <c r="AJ222" s="231"/>
      <c r="AK222" s="231"/>
      <c r="AL222" s="231"/>
      <c r="AM222" s="231"/>
      <c r="AN222" s="231"/>
      <c r="AO222" s="231"/>
      <c r="AP222" s="231"/>
      <c r="AQ222" s="231"/>
    </row>
    <row r="223" spans="1:43" s="203" customFormat="1">
      <c r="A223" s="154" t="s">
        <v>179</v>
      </c>
      <c r="B223" s="116"/>
      <c r="C223" s="116"/>
      <c r="D223" s="116"/>
      <c r="E223" s="859"/>
      <c r="F223" s="859"/>
      <c r="G223" s="130"/>
      <c r="H223" s="859"/>
      <c r="I223" s="130"/>
      <c r="J223" s="231"/>
      <c r="K223" s="231"/>
      <c r="L223" s="231"/>
      <c r="M223" s="231"/>
      <c r="N223" s="231"/>
      <c r="O223" s="231"/>
      <c r="P223" s="231"/>
      <c r="Q223" s="231"/>
      <c r="R223" s="231"/>
      <c r="S223" s="231"/>
      <c r="T223" s="231"/>
      <c r="U223" s="231"/>
      <c r="V223" s="231"/>
      <c r="W223" s="231"/>
      <c r="X223" s="231"/>
      <c r="Y223" s="231"/>
      <c r="Z223" s="231"/>
      <c r="AA223" s="231"/>
      <c r="AB223" s="231"/>
      <c r="AC223" s="231"/>
      <c r="AD223" s="231"/>
      <c r="AE223" s="231"/>
      <c r="AF223" s="231"/>
      <c r="AG223" s="231"/>
      <c r="AH223" s="231"/>
      <c r="AI223" s="231"/>
      <c r="AJ223" s="231"/>
      <c r="AK223" s="231"/>
      <c r="AL223" s="231"/>
      <c r="AM223" s="231"/>
      <c r="AN223" s="231"/>
      <c r="AO223" s="231"/>
      <c r="AP223" s="231"/>
      <c r="AQ223" s="231"/>
    </row>
    <row r="224" spans="1:43" s="203" customFormat="1">
      <c r="A224" s="109" t="s">
        <v>83</v>
      </c>
      <c r="B224" s="47"/>
      <c r="C224" s="47"/>
      <c r="D224" s="47"/>
      <c r="E224" s="859"/>
      <c r="F224" s="859"/>
      <c r="G224" s="130"/>
      <c r="H224" s="859"/>
      <c r="I224" s="130"/>
      <c r="J224" s="231"/>
      <c r="K224" s="231"/>
      <c r="L224" s="231"/>
      <c r="M224" s="231"/>
      <c r="N224" s="231"/>
      <c r="O224" s="231"/>
      <c r="P224" s="231"/>
      <c r="Q224" s="231"/>
      <c r="R224" s="231"/>
      <c r="S224" s="231"/>
      <c r="T224" s="231"/>
      <c r="U224" s="231"/>
      <c r="V224" s="231"/>
      <c r="W224" s="231"/>
      <c r="X224" s="231"/>
      <c r="Y224" s="231"/>
      <c r="Z224" s="231"/>
      <c r="AA224" s="231"/>
      <c r="AB224" s="231"/>
      <c r="AC224" s="231"/>
      <c r="AD224" s="231"/>
      <c r="AE224" s="231"/>
      <c r="AF224" s="231"/>
      <c r="AG224" s="231"/>
      <c r="AH224" s="231"/>
      <c r="AI224" s="231"/>
      <c r="AJ224" s="231"/>
      <c r="AK224" s="231"/>
      <c r="AL224" s="231"/>
      <c r="AM224" s="231"/>
      <c r="AN224" s="231"/>
      <c r="AO224" s="231"/>
      <c r="AP224" s="231"/>
      <c r="AQ224" s="231"/>
    </row>
    <row r="225" spans="1:43" s="203" customFormat="1">
      <c r="A225" s="110" t="s">
        <v>84</v>
      </c>
      <c r="B225" s="132"/>
      <c r="C225" s="132"/>
      <c r="D225" s="132"/>
      <c r="E225" s="860"/>
      <c r="F225" s="860"/>
      <c r="G225" s="130"/>
      <c r="H225" s="860"/>
      <c r="I225" s="130"/>
      <c r="J225" s="231"/>
      <c r="K225" s="231"/>
      <c r="L225" s="231"/>
      <c r="M225" s="231"/>
      <c r="N225" s="231"/>
      <c r="O225" s="231"/>
      <c r="P225" s="231"/>
      <c r="Q225" s="231"/>
      <c r="R225" s="231"/>
      <c r="S225" s="231"/>
      <c r="T225" s="231"/>
      <c r="U225" s="231"/>
      <c r="V225" s="231"/>
      <c r="W225" s="231"/>
      <c r="X225" s="231"/>
      <c r="Y225" s="231"/>
      <c r="Z225" s="231"/>
      <c r="AA225" s="231"/>
      <c r="AB225" s="231"/>
      <c r="AC225" s="231"/>
      <c r="AD225" s="231"/>
      <c r="AE225" s="231"/>
      <c r="AF225" s="231"/>
      <c r="AG225" s="231"/>
      <c r="AH225" s="231"/>
      <c r="AI225" s="231"/>
      <c r="AJ225" s="231"/>
      <c r="AK225" s="231"/>
      <c r="AL225" s="231"/>
      <c r="AM225" s="231"/>
      <c r="AN225" s="231"/>
      <c r="AO225" s="231"/>
      <c r="AP225" s="231"/>
      <c r="AQ225" s="231"/>
    </row>
    <row r="226" spans="1:43" s="203" customFormat="1">
      <c r="A226" s="120">
        <v>1</v>
      </c>
      <c r="B226" s="47" t="s">
        <v>180</v>
      </c>
      <c r="C226" s="47"/>
      <c r="D226" s="47"/>
      <c r="E226" s="41">
        <v>407</v>
      </c>
      <c r="F226" s="52">
        <v>350</v>
      </c>
      <c r="G226" s="118"/>
      <c r="H226" s="133">
        <v>380</v>
      </c>
      <c r="I226" s="29"/>
      <c r="J226" s="231"/>
      <c r="K226" s="231"/>
      <c r="L226" s="231"/>
      <c r="M226" s="231"/>
      <c r="N226" s="231"/>
      <c r="O226" s="231"/>
      <c r="P226" s="231"/>
      <c r="Q226" s="231"/>
      <c r="R226" s="231"/>
      <c r="S226" s="231"/>
      <c r="T226" s="231"/>
      <c r="U226" s="231"/>
      <c r="V226" s="231"/>
      <c r="W226" s="231"/>
      <c r="X226" s="231"/>
      <c r="Y226" s="231"/>
      <c r="Z226" s="231"/>
      <c r="AA226" s="231"/>
      <c r="AB226" s="231"/>
      <c r="AC226" s="231"/>
      <c r="AD226" s="231"/>
      <c r="AE226" s="231"/>
      <c r="AF226" s="231"/>
      <c r="AG226" s="231"/>
      <c r="AH226" s="231"/>
      <c r="AI226" s="231"/>
      <c r="AJ226" s="231"/>
      <c r="AK226" s="231"/>
      <c r="AL226" s="231"/>
      <c r="AM226" s="231"/>
      <c r="AN226" s="231"/>
      <c r="AO226" s="231"/>
      <c r="AP226" s="231"/>
      <c r="AQ226" s="231"/>
    </row>
    <row r="227" spans="1:43" s="203" customFormat="1">
      <c r="A227" s="120">
        <v>2</v>
      </c>
      <c r="B227" s="47" t="s">
        <v>181</v>
      </c>
      <c r="C227" s="47"/>
      <c r="D227" s="47"/>
      <c r="E227" s="49">
        <v>56</v>
      </c>
      <c r="F227" s="52">
        <v>308</v>
      </c>
      <c r="G227" s="118"/>
      <c r="H227" s="122">
        <v>55</v>
      </c>
      <c r="I227" s="29"/>
      <c r="J227" s="231"/>
      <c r="K227" s="231"/>
      <c r="L227" s="231"/>
      <c r="M227" s="231"/>
      <c r="N227" s="231"/>
      <c r="O227" s="231"/>
      <c r="P227" s="231"/>
      <c r="Q227" s="231"/>
      <c r="R227" s="231"/>
      <c r="S227" s="231"/>
      <c r="T227" s="231"/>
      <c r="U227" s="231"/>
      <c r="V227" s="231"/>
      <c r="W227" s="231"/>
      <c r="X227" s="231"/>
      <c r="Y227" s="231"/>
      <c r="Z227" s="231"/>
      <c r="AA227" s="231"/>
      <c r="AB227" s="231"/>
      <c r="AC227" s="231"/>
      <c r="AD227" s="231"/>
      <c r="AE227" s="231"/>
      <c r="AF227" s="231"/>
      <c r="AG227" s="231"/>
      <c r="AH227" s="231"/>
      <c r="AI227" s="231"/>
      <c r="AJ227" s="231"/>
      <c r="AK227" s="231"/>
      <c r="AL227" s="231"/>
      <c r="AM227" s="231"/>
      <c r="AN227" s="231"/>
      <c r="AO227" s="231"/>
      <c r="AP227" s="231"/>
      <c r="AQ227" s="231"/>
    </row>
    <row r="228" spans="1:43" s="203" customFormat="1">
      <c r="A228" s="120">
        <v>3</v>
      </c>
      <c r="B228" s="47" t="s">
        <v>182</v>
      </c>
      <c r="C228" s="47"/>
      <c r="D228" s="47"/>
      <c r="E228" s="114">
        <v>637</v>
      </c>
      <c r="F228" s="52">
        <v>664</v>
      </c>
      <c r="G228" s="118"/>
      <c r="H228" s="122">
        <v>586</v>
      </c>
      <c r="I228" s="29"/>
      <c r="J228" s="231"/>
      <c r="K228" s="231"/>
      <c r="L228" s="231"/>
      <c r="M228" s="231"/>
      <c r="N228" s="231"/>
      <c r="O228" s="231"/>
      <c r="P228" s="231"/>
      <c r="Q228" s="231"/>
      <c r="R228" s="231"/>
      <c r="S228" s="231"/>
      <c r="T228" s="231"/>
      <c r="U228" s="231"/>
      <c r="V228" s="231"/>
      <c r="W228" s="231"/>
      <c r="X228" s="231"/>
      <c r="Y228" s="231"/>
      <c r="Z228" s="231"/>
      <c r="AA228" s="231"/>
      <c r="AB228" s="231"/>
      <c r="AC228" s="231"/>
      <c r="AD228" s="231"/>
      <c r="AE228" s="231"/>
      <c r="AF228" s="231"/>
      <c r="AG228" s="231"/>
      <c r="AH228" s="231"/>
      <c r="AI228" s="231"/>
      <c r="AJ228" s="231"/>
      <c r="AK228" s="231"/>
      <c r="AL228" s="231"/>
      <c r="AM228" s="231"/>
      <c r="AN228" s="231"/>
      <c r="AO228" s="231"/>
      <c r="AP228" s="231"/>
      <c r="AQ228" s="231"/>
    </row>
    <row r="229" spans="1:43" s="203" customFormat="1">
      <c r="A229" s="120">
        <v>4</v>
      </c>
      <c r="B229" s="47" t="s">
        <v>183</v>
      </c>
      <c r="C229" s="47"/>
      <c r="D229" s="47"/>
      <c r="E229" s="114">
        <v>564</v>
      </c>
      <c r="F229" s="52">
        <v>646</v>
      </c>
      <c r="G229" s="118"/>
      <c r="H229" s="122">
        <v>174</v>
      </c>
      <c r="I229" s="29"/>
      <c r="J229" s="231"/>
      <c r="K229" s="231"/>
      <c r="L229" s="231"/>
      <c r="M229" s="231"/>
      <c r="N229" s="231"/>
      <c r="O229" s="231"/>
      <c r="P229" s="231"/>
      <c r="Q229" s="231"/>
      <c r="R229" s="231"/>
      <c r="S229" s="231"/>
      <c r="T229" s="231"/>
      <c r="U229" s="231"/>
      <c r="V229" s="231"/>
      <c r="W229" s="231"/>
      <c r="X229" s="231"/>
      <c r="Y229" s="231"/>
      <c r="Z229" s="231"/>
      <c r="AA229" s="231"/>
      <c r="AB229" s="231"/>
      <c r="AC229" s="231"/>
      <c r="AD229" s="231"/>
      <c r="AE229" s="231"/>
      <c r="AF229" s="231"/>
      <c r="AG229" s="231"/>
      <c r="AH229" s="231"/>
      <c r="AI229" s="231"/>
      <c r="AJ229" s="231"/>
      <c r="AK229" s="231"/>
      <c r="AL229" s="231"/>
      <c r="AM229" s="231"/>
      <c r="AN229" s="231"/>
      <c r="AO229" s="231"/>
      <c r="AP229" s="231"/>
      <c r="AQ229" s="231"/>
    </row>
    <row r="230" spans="1:43" s="203" customFormat="1">
      <c r="A230" s="120">
        <v>5</v>
      </c>
      <c r="B230" s="47" t="s">
        <v>184</v>
      </c>
      <c r="C230" s="47"/>
      <c r="D230" s="47"/>
      <c r="E230" s="114">
        <v>3755</v>
      </c>
      <c r="F230" s="52">
        <f>210+957+1427-957+1600</f>
        <v>3237</v>
      </c>
      <c r="G230" s="118"/>
      <c r="H230" s="99">
        <v>3099</v>
      </c>
      <c r="I230" s="29"/>
      <c r="J230" s="231"/>
      <c r="K230" s="231"/>
      <c r="L230" s="231"/>
      <c r="M230" s="231"/>
      <c r="N230" s="231"/>
      <c r="O230" s="231"/>
      <c r="P230" s="231"/>
      <c r="Q230" s="231"/>
      <c r="R230" s="231"/>
      <c r="S230" s="231"/>
      <c r="T230" s="231"/>
      <c r="U230" s="231"/>
      <c r="V230" s="231"/>
      <c r="W230" s="231"/>
      <c r="X230" s="231"/>
      <c r="Y230" s="231"/>
      <c r="Z230" s="231"/>
      <c r="AA230" s="231"/>
      <c r="AB230" s="231"/>
      <c r="AC230" s="231"/>
      <c r="AD230" s="231"/>
      <c r="AE230" s="231"/>
      <c r="AF230" s="231"/>
      <c r="AG230" s="231"/>
      <c r="AH230" s="231"/>
      <c r="AI230" s="231"/>
      <c r="AJ230" s="231"/>
      <c r="AK230" s="231"/>
      <c r="AL230" s="231"/>
      <c r="AM230" s="231"/>
      <c r="AN230" s="231"/>
      <c r="AO230" s="231"/>
      <c r="AP230" s="231"/>
      <c r="AQ230" s="231"/>
    </row>
    <row r="231" spans="1:43" s="203" customFormat="1">
      <c r="A231" s="124">
        <v>6</v>
      </c>
      <c r="B231" s="173" t="s">
        <v>185</v>
      </c>
      <c r="C231" s="173"/>
      <c r="D231" s="173"/>
      <c r="E231" s="159">
        <v>5419</v>
      </c>
      <c r="F231" s="61">
        <f>SUM(F226:F230)</f>
        <v>5205</v>
      </c>
      <c r="G231" s="118"/>
      <c r="H231" s="61">
        <f>SUM(H226:H230)</f>
        <v>4294</v>
      </c>
      <c r="I231" s="29"/>
      <c r="J231" s="231"/>
      <c r="K231" s="231"/>
      <c r="L231" s="231"/>
      <c r="M231" s="231"/>
      <c r="N231" s="231"/>
      <c r="O231" s="231"/>
      <c r="P231" s="231"/>
      <c r="Q231" s="231"/>
      <c r="R231" s="231"/>
      <c r="S231" s="231"/>
      <c r="T231" s="231"/>
      <c r="U231" s="231"/>
      <c r="V231" s="231"/>
      <c r="W231" s="231"/>
      <c r="X231" s="231"/>
      <c r="Y231" s="231"/>
      <c r="Z231" s="231"/>
      <c r="AA231" s="231"/>
      <c r="AB231" s="231"/>
      <c r="AC231" s="231"/>
      <c r="AD231" s="231"/>
      <c r="AE231" s="231"/>
      <c r="AF231" s="231"/>
      <c r="AG231" s="231"/>
      <c r="AH231" s="231"/>
      <c r="AI231" s="231"/>
      <c r="AJ231" s="231"/>
      <c r="AK231" s="231"/>
      <c r="AL231" s="231"/>
      <c r="AM231" s="231"/>
      <c r="AN231" s="231"/>
      <c r="AO231" s="231"/>
      <c r="AP231" s="231"/>
      <c r="AQ231" s="231"/>
    </row>
    <row r="232" spans="1:43" s="203" customFormat="1">
      <c r="A232" s="148"/>
      <c r="B232" s="29"/>
      <c r="C232" s="29"/>
      <c r="D232" s="170"/>
      <c r="E232" s="150"/>
      <c r="F232" s="29"/>
      <c r="G232" s="29"/>
      <c r="H232" s="207"/>
      <c r="I232" s="29"/>
      <c r="J232" s="231"/>
      <c r="K232" s="231"/>
      <c r="L232" s="231"/>
      <c r="M232" s="231"/>
      <c r="N232" s="231"/>
      <c r="O232" s="231"/>
      <c r="P232" s="231"/>
      <c r="Q232" s="231"/>
      <c r="R232" s="231"/>
      <c r="S232" s="231"/>
      <c r="T232" s="231"/>
      <c r="U232" s="231"/>
      <c r="V232" s="231"/>
      <c r="W232" s="231"/>
      <c r="X232" s="231"/>
      <c r="Y232" s="231"/>
      <c r="Z232" s="231"/>
      <c r="AA232" s="231"/>
      <c r="AB232" s="231"/>
      <c r="AC232" s="231"/>
      <c r="AD232" s="231"/>
      <c r="AE232" s="231"/>
      <c r="AF232" s="231"/>
      <c r="AG232" s="231"/>
      <c r="AH232" s="231"/>
      <c r="AI232" s="231"/>
      <c r="AJ232" s="231"/>
      <c r="AK232" s="231"/>
      <c r="AL232" s="231"/>
      <c r="AM232" s="231"/>
      <c r="AN232" s="231"/>
      <c r="AO232" s="231"/>
      <c r="AP232" s="231"/>
      <c r="AQ232" s="231"/>
    </row>
    <row r="233" spans="1:43" s="203" customFormat="1">
      <c r="A233" s="148"/>
      <c r="B233" s="29"/>
      <c r="C233" s="29"/>
      <c r="D233" s="172"/>
      <c r="E233" s="152"/>
      <c r="F233" s="29"/>
      <c r="G233" s="29"/>
      <c r="H233" s="131" t="s">
        <v>27</v>
      </c>
      <c r="I233" s="29"/>
      <c r="J233" s="231"/>
      <c r="K233" s="231"/>
      <c r="L233" s="231"/>
      <c r="M233" s="231"/>
      <c r="N233" s="231"/>
      <c r="O233" s="231"/>
      <c r="P233" s="231"/>
      <c r="Q233" s="231"/>
      <c r="R233" s="231"/>
      <c r="S233" s="231"/>
      <c r="T233" s="231"/>
      <c r="U233" s="231"/>
      <c r="V233" s="231"/>
      <c r="W233" s="231"/>
      <c r="X233" s="231"/>
      <c r="Y233" s="231"/>
      <c r="Z233" s="231"/>
      <c r="AA233" s="231"/>
      <c r="AB233" s="231"/>
      <c r="AC233" s="231"/>
      <c r="AD233" s="231"/>
      <c r="AE233" s="231"/>
      <c r="AF233" s="231"/>
      <c r="AG233" s="231"/>
      <c r="AH233" s="231"/>
      <c r="AI233" s="231"/>
      <c r="AJ233" s="231"/>
      <c r="AK233" s="231"/>
      <c r="AL233" s="231"/>
      <c r="AM233" s="231"/>
      <c r="AN233" s="231"/>
      <c r="AO233" s="231"/>
      <c r="AP233" s="231"/>
      <c r="AQ233" s="231"/>
    </row>
    <row r="234" spans="1:43" s="203" customFormat="1" ht="12.75" customHeight="1">
      <c r="A234" s="106" t="s">
        <v>12</v>
      </c>
      <c r="B234" s="164"/>
      <c r="C234" s="164"/>
      <c r="D234" s="164"/>
      <c r="E234" s="856" t="s">
        <v>377</v>
      </c>
      <c r="F234" s="856" t="s">
        <v>402</v>
      </c>
      <c r="G234" s="130"/>
      <c r="H234" s="856" t="s">
        <v>403</v>
      </c>
      <c r="I234" s="130"/>
      <c r="J234" s="231"/>
      <c r="K234" s="231"/>
      <c r="L234" s="231"/>
      <c r="M234" s="231"/>
      <c r="N234" s="231"/>
      <c r="O234" s="231"/>
      <c r="P234" s="231"/>
      <c r="Q234" s="231"/>
      <c r="R234" s="231"/>
      <c r="S234" s="231"/>
      <c r="T234" s="231"/>
      <c r="U234" s="231"/>
      <c r="V234" s="231"/>
      <c r="W234" s="231"/>
      <c r="X234" s="231"/>
      <c r="Y234" s="231"/>
      <c r="Z234" s="231"/>
      <c r="AA234" s="231"/>
      <c r="AB234" s="231"/>
      <c r="AC234" s="231"/>
      <c r="AD234" s="231"/>
      <c r="AE234" s="231"/>
      <c r="AF234" s="231"/>
      <c r="AG234" s="231"/>
      <c r="AH234" s="231"/>
      <c r="AI234" s="231"/>
      <c r="AJ234" s="231"/>
      <c r="AK234" s="231"/>
      <c r="AL234" s="231"/>
      <c r="AM234" s="231"/>
      <c r="AN234" s="231"/>
      <c r="AO234" s="231"/>
      <c r="AP234" s="231"/>
      <c r="AQ234" s="231"/>
    </row>
    <row r="235" spans="1:43" s="203" customFormat="1">
      <c r="A235" s="165"/>
      <c r="B235" s="47"/>
      <c r="C235" s="47"/>
      <c r="D235" s="47"/>
      <c r="E235" s="859"/>
      <c r="F235" s="859"/>
      <c r="G235" s="130"/>
      <c r="H235" s="859"/>
      <c r="I235" s="130"/>
      <c r="J235" s="231"/>
      <c r="K235" s="231"/>
      <c r="L235" s="231"/>
      <c r="M235" s="231"/>
      <c r="N235" s="231"/>
      <c r="O235" s="231"/>
      <c r="P235" s="231"/>
      <c r="Q235" s="231"/>
      <c r="R235" s="231"/>
      <c r="S235" s="231"/>
      <c r="T235" s="231"/>
      <c r="U235" s="231"/>
      <c r="V235" s="231"/>
      <c r="W235" s="231"/>
      <c r="X235" s="231"/>
      <c r="Y235" s="231"/>
      <c r="Z235" s="231"/>
      <c r="AA235" s="231"/>
      <c r="AB235" s="231"/>
      <c r="AC235" s="231"/>
      <c r="AD235" s="231"/>
      <c r="AE235" s="231"/>
      <c r="AF235" s="231"/>
      <c r="AG235" s="231"/>
      <c r="AH235" s="231"/>
      <c r="AI235" s="231"/>
      <c r="AJ235" s="231"/>
      <c r="AK235" s="231"/>
      <c r="AL235" s="231"/>
      <c r="AM235" s="231"/>
      <c r="AN235" s="231"/>
      <c r="AO235" s="231"/>
      <c r="AP235" s="231"/>
      <c r="AQ235" s="231"/>
    </row>
    <row r="236" spans="1:43" s="203" customFormat="1">
      <c r="A236" s="154" t="s">
        <v>186</v>
      </c>
      <c r="B236" s="174"/>
      <c r="C236" s="174"/>
      <c r="D236" s="174"/>
      <c r="E236" s="859"/>
      <c r="F236" s="859"/>
      <c r="G236" s="130"/>
      <c r="H236" s="859"/>
      <c r="I236" s="130"/>
      <c r="J236" s="231"/>
      <c r="K236" s="231"/>
      <c r="L236" s="231"/>
      <c r="M236" s="231"/>
      <c r="N236" s="231"/>
      <c r="O236" s="231"/>
      <c r="P236" s="231"/>
      <c r="Q236" s="231"/>
      <c r="R236" s="231"/>
      <c r="S236" s="231"/>
      <c r="T236" s="231"/>
      <c r="U236" s="231"/>
      <c r="V236" s="231"/>
      <c r="W236" s="231"/>
      <c r="X236" s="231"/>
      <c r="Y236" s="231"/>
      <c r="Z236" s="231"/>
      <c r="AA236" s="231"/>
      <c r="AB236" s="231"/>
      <c r="AC236" s="231"/>
      <c r="AD236" s="231"/>
      <c r="AE236" s="231"/>
      <c r="AF236" s="231"/>
      <c r="AG236" s="231"/>
      <c r="AH236" s="231"/>
      <c r="AI236" s="231"/>
      <c r="AJ236" s="231"/>
      <c r="AK236" s="231"/>
      <c r="AL236" s="231"/>
      <c r="AM236" s="231"/>
      <c r="AN236" s="231"/>
      <c r="AO236" s="231"/>
      <c r="AP236" s="231"/>
      <c r="AQ236" s="231"/>
    </row>
    <row r="237" spans="1:43" s="203" customFormat="1">
      <c r="A237" s="109" t="s">
        <v>83</v>
      </c>
      <c r="B237" s="47"/>
      <c r="C237" s="47"/>
      <c r="D237" s="47"/>
      <c r="E237" s="859"/>
      <c r="F237" s="859"/>
      <c r="G237" s="130"/>
      <c r="H237" s="859"/>
      <c r="I237" s="130"/>
      <c r="J237" s="231"/>
      <c r="K237" s="231"/>
      <c r="L237" s="231"/>
      <c r="M237" s="231"/>
      <c r="N237" s="231"/>
      <c r="O237" s="231"/>
      <c r="P237" s="231"/>
      <c r="Q237" s="231"/>
      <c r="R237" s="231"/>
      <c r="S237" s="231"/>
      <c r="T237" s="231"/>
      <c r="U237" s="231"/>
      <c r="V237" s="231"/>
      <c r="W237" s="231"/>
      <c r="X237" s="231"/>
      <c r="Y237" s="231"/>
      <c r="Z237" s="231"/>
      <c r="AA237" s="231"/>
      <c r="AB237" s="231"/>
      <c r="AC237" s="231"/>
      <c r="AD237" s="231"/>
      <c r="AE237" s="231"/>
      <c r="AF237" s="231"/>
      <c r="AG237" s="231"/>
      <c r="AH237" s="231"/>
      <c r="AI237" s="231"/>
      <c r="AJ237" s="231"/>
      <c r="AK237" s="231"/>
      <c r="AL237" s="231"/>
      <c r="AM237" s="231"/>
      <c r="AN237" s="231"/>
      <c r="AO237" s="231"/>
      <c r="AP237" s="231"/>
      <c r="AQ237" s="231"/>
    </row>
    <row r="238" spans="1:43" s="203" customFormat="1">
      <c r="A238" s="110" t="s">
        <v>84</v>
      </c>
      <c r="B238" s="174"/>
      <c r="C238" s="174"/>
      <c r="D238" s="174"/>
      <c r="E238" s="860"/>
      <c r="F238" s="860"/>
      <c r="G238" s="130"/>
      <c r="H238" s="860"/>
      <c r="I238" s="130"/>
      <c r="J238" s="231"/>
      <c r="K238" s="231"/>
      <c r="L238" s="231"/>
      <c r="M238" s="231"/>
      <c r="N238" s="231"/>
      <c r="O238" s="231"/>
      <c r="P238" s="231"/>
      <c r="Q238" s="231"/>
      <c r="R238" s="231"/>
      <c r="S238" s="231"/>
      <c r="T238" s="231"/>
      <c r="U238" s="231"/>
      <c r="V238" s="231"/>
      <c r="W238" s="231"/>
      <c r="X238" s="231"/>
      <c r="Y238" s="231"/>
      <c r="Z238" s="231"/>
      <c r="AA238" s="231"/>
      <c r="AB238" s="231"/>
      <c r="AC238" s="231"/>
      <c r="AD238" s="231"/>
      <c r="AE238" s="231"/>
      <c r="AF238" s="231"/>
      <c r="AG238" s="231"/>
      <c r="AH238" s="231"/>
      <c r="AI238" s="231"/>
      <c r="AJ238" s="231"/>
      <c r="AK238" s="231"/>
      <c r="AL238" s="231"/>
      <c r="AM238" s="231"/>
      <c r="AN238" s="231"/>
      <c r="AO238" s="231"/>
      <c r="AP238" s="231"/>
      <c r="AQ238" s="231"/>
    </row>
    <row r="239" spans="1:43" s="203" customFormat="1">
      <c r="A239" s="153" t="s">
        <v>187</v>
      </c>
      <c r="B239" s="116"/>
      <c r="C239" s="116"/>
      <c r="D239" s="116"/>
      <c r="E239" s="167"/>
      <c r="F239" s="146"/>
      <c r="G239" s="118"/>
      <c r="H239" s="146"/>
      <c r="I239" s="29"/>
      <c r="J239" s="231"/>
      <c r="K239" s="231"/>
      <c r="L239" s="231"/>
      <c r="M239" s="231"/>
      <c r="N239" s="231"/>
      <c r="O239" s="231"/>
      <c r="P239" s="231"/>
      <c r="Q239" s="231"/>
      <c r="R239" s="231"/>
      <c r="S239" s="231"/>
      <c r="T239" s="231"/>
      <c r="U239" s="231"/>
      <c r="V239" s="231"/>
      <c r="W239" s="231"/>
      <c r="X239" s="231"/>
      <c r="Y239" s="231"/>
      <c r="Z239" s="231"/>
      <c r="AA239" s="231"/>
      <c r="AB239" s="231"/>
      <c r="AC239" s="231"/>
      <c r="AD239" s="231"/>
      <c r="AE239" s="231"/>
      <c r="AF239" s="231"/>
      <c r="AG239" s="231"/>
      <c r="AH239" s="231"/>
      <c r="AI239" s="231"/>
      <c r="AJ239" s="231"/>
      <c r="AK239" s="231"/>
      <c r="AL239" s="231"/>
      <c r="AM239" s="231"/>
      <c r="AN239" s="231"/>
      <c r="AO239" s="231"/>
      <c r="AP239" s="231"/>
      <c r="AQ239" s="231"/>
    </row>
    <row r="240" spans="1:43" s="203" customFormat="1">
      <c r="A240" s="120">
        <v>1</v>
      </c>
      <c r="B240" s="47" t="s">
        <v>188</v>
      </c>
      <c r="C240" s="47"/>
      <c r="D240" s="47"/>
      <c r="E240" s="74">
        <v>499</v>
      </c>
      <c r="F240" s="52">
        <f>444+12</f>
        <v>456</v>
      </c>
      <c r="G240" s="118"/>
      <c r="H240" s="122">
        <v>526</v>
      </c>
      <c r="I240" s="29"/>
      <c r="J240" s="231"/>
      <c r="K240" s="231"/>
      <c r="L240" s="231"/>
      <c r="M240" s="231"/>
      <c r="N240" s="231"/>
      <c r="O240" s="231"/>
      <c r="P240" s="231"/>
      <c r="Q240" s="231"/>
      <c r="R240" s="231"/>
      <c r="S240" s="231"/>
      <c r="T240" s="231"/>
      <c r="U240" s="231"/>
      <c r="V240" s="231"/>
      <c r="W240" s="231"/>
      <c r="X240" s="231"/>
      <c r="Y240" s="231"/>
      <c r="Z240" s="231"/>
      <c r="AA240" s="231"/>
      <c r="AB240" s="231"/>
      <c r="AC240" s="231"/>
      <c r="AD240" s="231"/>
      <c r="AE240" s="231"/>
      <c r="AF240" s="231"/>
      <c r="AG240" s="231"/>
      <c r="AH240" s="231"/>
      <c r="AI240" s="231"/>
      <c r="AJ240" s="231"/>
      <c r="AK240" s="231"/>
      <c r="AL240" s="231"/>
      <c r="AM240" s="231"/>
      <c r="AN240" s="231"/>
      <c r="AO240" s="231"/>
      <c r="AP240" s="231"/>
      <c r="AQ240" s="231"/>
    </row>
    <row r="241" spans="1:43" s="203" customFormat="1">
      <c r="A241" s="788">
        <v>2</v>
      </c>
      <c r="B241" s="47" t="s">
        <v>189</v>
      </c>
      <c r="C241" s="47"/>
      <c r="D241" s="47"/>
      <c r="E241" s="114">
        <v>513</v>
      </c>
      <c r="F241" s="52">
        <f>166+320</f>
        <v>486</v>
      </c>
      <c r="G241" s="118"/>
      <c r="H241" s="100">
        <v>689</v>
      </c>
      <c r="I241" s="29"/>
      <c r="J241" s="231"/>
      <c r="K241" s="231"/>
      <c r="L241" s="231"/>
      <c r="M241" s="231"/>
      <c r="N241" s="231"/>
      <c r="O241" s="231"/>
      <c r="P241" s="231"/>
      <c r="Q241" s="231"/>
      <c r="R241" s="231"/>
      <c r="S241" s="231"/>
      <c r="T241" s="231"/>
      <c r="U241" s="231"/>
      <c r="V241" s="231"/>
      <c r="W241" s="231"/>
      <c r="X241" s="231"/>
      <c r="Y241" s="231"/>
      <c r="Z241" s="231"/>
      <c r="AA241" s="231"/>
      <c r="AB241" s="231"/>
      <c r="AC241" s="231"/>
      <c r="AD241" s="231"/>
      <c r="AE241" s="231"/>
      <c r="AF241" s="231"/>
      <c r="AG241" s="231"/>
      <c r="AH241" s="231"/>
      <c r="AI241" s="231"/>
      <c r="AJ241" s="231"/>
      <c r="AK241" s="231"/>
      <c r="AL241" s="231"/>
      <c r="AM241" s="231"/>
      <c r="AN241" s="231"/>
      <c r="AO241" s="231"/>
      <c r="AP241" s="231"/>
      <c r="AQ241" s="231"/>
    </row>
    <row r="242" spans="1:43" s="203" customFormat="1">
      <c r="A242" s="788">
        <v>3</v>
      </c>
      <c r="B242" s="168" t="s">
        <v>190</v>
      </c>
      <c r="C242" s="168"/>
      <c r="D242" s="168"/>
      <c r="E242" s="80">
        <v>1012</v>
      </c>
      <c r="F242" s="142">
        <f>SUM(F240:F241)</f>
        <v>942</v>
      </c>
      <c r="G242" s="118"/>
      <c r="H242" s="142">
        <f>SUM(H240:H241)</f>
        <v>1215</v>
      </c>
      <c r="I242" s="29"/>
      <c r="J242" s="231"/>
      <c r="K242" s="231"/>
      <c r="L242" s="231"/>
      <c r="M242" s="231"/>
      <c r="N242" s="231"/>
      <c r="O242" s="231"/>
      <c r="P242" s="231"/>
      <c r="Q242" s="231"/>
      <c r="R242" s="231"/>
      <c r="S242" s="231"/>
      <c r="T242" s="231"/>
      <c r="U242" s="231"/>
      <c r="V242" s="231"/>
      <c r="W242" s="231"/>
      <c r="X242" s="231"/>
      <c r="Y242" s="231"/>
      <c r="Z242" s="231"/>
      <c r="AA242" s="231"/>
      <c r="AB242" s="231"/>
      <c r="AC242" s="231"/>
      <c r="AD242" s="231"/>
      <c r="AE242" s="231"/>
      <c r="AF242" s="231"/>
      <c r="AG242" s="231"/>
      <c r="AH242" s="231"/>
      <c r="AI242" s="231"/>
      <c r="AJ242" s="231"/>
      <c r="AK242" s="231"/>
      <c r="AL242" s="231"/>
      <c r="AM242" s="231"/>
      <c r="AN242" s="231"/>
      <c r="AO242" s="231"/>
      <c r="AP242" s="231"/>
      <c r="AQ242" s="231"/>
    </row>
    <row r="243" spans="1:43" s="203" customFormat="1">
      <c r="A243" s="788"/>
      <c r="B243" s="116"/>
      <c r="C243" s="116"/>
      <c r="D243" s="116"/>
      <c r="E243" s="117"/>
      <c r="F243" s="118"/>
      <c r="G243" s="118"/>
      <c r="H243" s="118"/>
      <c r="I243" s="29"/>
      <c r="J243" s="231"/>
      <c r="K243" s="231"/>
      <c r="L243" s="231"/>
      <c r="M243" s="231"/>
      <c r="N243" s="231"/>
      <c r="O243" s="231"/>
      <c r="P243" s="231"/>
      <c r="Q243" s="231"/>
      <c r="R243" s="231"/>
      <c r="S243" s="231"/>
      <c r="T243" s="231"/>
      <c r="U243" s="231"/>
      <c r="V243" s="231"/>
      <c r="W243" s="231"/>
      <c r="X243" s="231"/>
      <c r="Y243" s="231"/>
      <c r="Z243" s="231"/>
      <c r="AA243" s="231"/>
      <c r="AB243" s="231"/>
      <c r="AC243" s="231"/>
      <c r="AD243" s="231"/>
      <c r="AE243" s="231"/>
      <c r="AF243" s="231"/>
      <c r="AG243" s="231"/>
      <c r="AH243" s="231"/>
      <c r="AI243" s="231"/>
      <c r="AJ243" s="231"/>
      <c r="AK243" s="231"/>
      <c r="AL243" s="231"/>
      <c r="AM243" s="231"/>
      <c r="AN243" s="231"/>
      <c r="AO243" s="231"/>
      <c r="AP243" s="231"/>
      <c r="AQ243" s="231"/>
    </row>
    <row r="244" spans="1:43" s="203" customFormat="1">
      <c r="A244" s="108" t="s">
        <v>191</v>
      </c>
      <c r="B244" s="47"/>
      <c r="C244" s="47"/>
      <c r="D244" s="47"/>
      <c r="E244" s="140"/>
      <c r="F244" s="146"/>
      <c r="G244" s="118"/>
      <c r="H244" s="146"/>
      <c r="I244" s="29"/>
      <c r="J244" s="231"/>
      <c r="K244" s="231"/>
      <c r="L244" s="231"/>
      <c r="M244" s="231"/>
      <c r="N244" s="231"/>
      <c r="O244" s="231"/>
      <c r="P244" s="231"/>
      <c r="Q244" s="231"/>
      <c r="R244" s="231"/>
      <c r="S244" s="231"/>
      <c r="T244" s="231"/>
      <c r="U244" s="231"/>
      <c r="V244" s="231"/>
      <c r="W244" s="231"/>
      <c r="X244" s="231"/>
      <c r="Y244" s="231"/>
      <c r="Z244" s="231"/>
      <c r="AA244" s="231"/>
      <c r="AB244" s="231"/>
      <c r="AC244" s="231"/>
      <c r="AD244" s="231"/>
      <c r="AE244" s="231"/>
      <c r="AF244" s="231"/>
      <c r="AG244" s="231"/>
      <c r="AH244" s="231"/>
      <c r="AI244" s="231"/>
      <c r="AJ244" s="231"/>
      <c r="AK244" s="231"/>
      <c r="AL244" s="231"/>
      <c r="AM244" s="231"/>
      <c r="AN244" s="231"/>
      <c r="AO244" s="231"/>
      <c r="AP244" s="231"/>
      <c r="AQ244" s="231"/>
    </row>
    <row r="245" spans="1:43" s="203" customFormat="1">
      <c r="A245" s="788">
        <v>4</v>
      </c>
      <c r="B245" s="47" t="s">
        <v>192</v>
      </c>
      <c r="C245" s="47"/>
      <c r="D245" s="47"/>
      <c r="E245" s="74">
        <v>108</v>
      </c>
      <c r="F245" s="52">
        <v>102</v>
      </c>
      <c r="G245" s="118"/>
      <c r="H245" s="122">
        <v>103</v>
      </c>
      <c r="I245" s="29"/>
      <c r="J245" s="231"/>
      <c r="K245" s="231"/>
      <c r="L245" s="231"/>
      <c r="M245" s="231"/>
      <c r="N245" s="231"/>
      <c r="O245" s="231"/>
      <c r="P245" s="231"/>
      <c r="Q245" s="231"/>
      <c r="R245" s="231"/>
      <c r="S245" s="231"/>
      <c r="T245" s="231"/>
      <c r="U245" s="231"/>
      <c r="V245" s="231"/>
      <c r="W245" s="231"/>
      <c r="X245" s="231"/>
      <c r="Y245" s="231"/>
      <c r="Z245" s="231"/>
      <c r="AA245" s="231"/>
      <c r="AB245" s="231"/>
      <c r="AC245" s="231"/>
      <c r="AD245" s="231"/>
      <c r="AE245" s="231"/>
      <c r="AF245" s="231"/>
      <c r="AG245" s="231"/>
      <c r="AH245" s="231"/>
      <c r="AI245" s="231"/>
      <c r="AJ245" s="231"/>
      <c r="AK245" s="231"/>
      <c r="AL245" s="231"/>
      <c r="AM245" s="231"/>
      <c r="AN245" s="231"/>
      <c r="AO245" s="231"/>
      <c r="AP245" s="231"/>
      <c r="AQ245" s="231"/>
    </row>
    <row r="246" spans="1:43" s="203" customFormat="1">
      <c r="A246" s="788">
        <v>5</v>
      </c>
      <c r="B246" s="47" t="s">
        <v>193</v>
      </c>
      <c r="C246" s="47"/>
      <c r="D246" s="47"/>
      <c r="E246" s="49">
        <v>684</v>
      </c>
      <c r="F246" s="52">
        <v>854</v>
      </c>
      <c r="G246" s="118"/>
      <c r="H246" s="100">
        <v>618</v>
      </c>
      <c r="I246" s="29"/>
      <c r="J246" s="231"/>
      <c r="K246" s="231"/>
      <c r="L246" s="231"/>
      <c r="M246" s="231"/>
      <c r="N246" s="231"/>
      <c r="O246" s="231"/>
      <c r="P246" s="231"/>
      <c r="Q246" s="231"/>
      <c r="R246" s="231"/>
      <c r="S246" s="231"/>
      <c r="T246" s="231"/>
      <c r="U246" s="231"/>
      <c r="V246" s="231"/>
      <c r="W246" s="231"/>
      <c r="X246" s="231"/>
      <c r="Y246" s="231"/>
      <c r="Z246" s="231"/>
      <c r="AA246" s="231"/>
      <c r="AB246" s="231"/>
      <c r="AC246" s="231"/>
      <c r="AD246" s="231"/>
      <c r="AE246" s="231"/>
      <c r="AF246" s="231"/>
      <c r="AG246" s="231"/>
      <c r="AH246" s="231"/>
      <c r="AI246" s="231"/>
      <c r="AJ246" s="231"/>
      <c r="AK246" s="231"/>
      <c r="AL246" s="231"/>
      <c r="AM246" s="231"/>
      <c r="AN246" s="231"/>
      <c r="AO246" s="231"/>
      <c r="AP246" s="231"/>
      <c r="AQ246" s="231"/>
    </row>
    <row r="247" spans="1:43" s="203" customFormat="1">
      <c r="A247" s="788">
        <v>6</v>
      </c>
      <c r="B247" s="116" t="s">
        <v>194</v>
      </c>
      <c r="C247" s="116"/>
      <c r="D247" s="116"/>
      <c r="E247" s="80">
        <v>792</v>
      </c>
      <c r="F247" s="142">
        <f>SUM(F245:F246)</f>
        <v>956</v>
      </c>
      <c r="G247" s="118"/>
      <c r="H247" s="142">
        <f>SUM(H245:H246)</f>
        <v>721</v>
      </c>
      <c r="I247" s="29"/>
      <c r="J247" s="231"/>
      <c r="K247" s="231"/>
      <c r="L247" s="231"/>
      <c r="M247" s="231"/>
      <c r="N247" s="231"/>
      <c r="O247" s="231"/>
      <c r="P247" s="231"/>
      <c r="Q247" s="231"/>
      <c r="R247" s="231"/>
      <c r="S247" s="231"/>
      <c r="T247" s="231"/>
      <c r="U247" s="231"/>
      <c r="V247" s="231"/>
      <c r="W247" s="231"/>
      <c r="X247" s="231"/>
      <c r="Y247" s="231"/>
      <c r="Z247" s="231"/>
      <c r="AA247" s="231"/>
      <c r="AB247" s="231"/>
      <c r="AC247" s="231"/>
      <c r="AD247" s="231"/>
      <c r="AE247" s="231"/>
      <c r="AF247" s="231"/>
      <c r="AG247" s="231"/>
      <c r="AH247" s="231"/>
      <c r="AI247" s="231"/>
      <c r="AJ247" s="231"/>
      <c r="AK247" s="231"/>
      <c r="AL247" s="231"/>
      <c r="AM247" s="231"/>
      <c r="AN247" s="231"/>
      <c r="AO247" s="231"/>
      <c r="AP247" s="231"/>
      <c r="AQ247" s="231"/>
    </row>
    <row r="248" spans="1:43" s="203" customFormat="1">
      <c r="A248" s="788"/>
      <c r="B248" s="116"/>
      <c r="C248" s="116"/>
      <c r="D248" s="116"/>
      <c r="E248" s="117"/>
      <c r="F248" s="118"/>
      <c r="G248" s="118"/>
      <c r="H248" s="118"/>
      <c r="I248" s="29"/>
      <c r="J248" s="231"/>
      <c r="K248" s="231"/>
      <c r="L248" s="231"/>
      <c r="M248" s="231"/>
      <c r="N248" s="231"/>
      <c r="O248" s="231"/>
      <c r="P248" s="231"/>
      <c r="Q248" s="231"/>
      <c r="R248" s="231"/>
      <c r="S248" s="231"/>
      <c r="T248" s="231"/>
      <c r="U248" s="231"/>
      <c r="V248" s="231"/>
      <c r="W248" s="231"/>
      <c r="X248" s="231"/>
      <c r="Y248" s="231"/>
      <c r="Z248" s="231"/>
      <c r="AA248" s="231"/>
      <c r="AB248" s="231"/>
      <c r="AC248" s="231"/>
      <c r="AD248" s="231"/>
      <c r="AE248" s="231"/>
      <c r="AF248" s="231"/>
      <c r="AG248" s="231"/>
      <c r="AH248" s="231"/>
      <c r="AI248" s="231"/>
      <c r="AJ248" s="231"/>
      <c r="AK248" s="231"/>
      <c r="AL248" s="231"/>
      <c r="AM248" s="231"/>
      <c r="AN248" s="231"/>
      <c r="AO248" s="231"/>
      <c r="AP248" s="231"/>
      <c r="AQ248" s="231"/>
    </row>
    <row r="249" spans="1:43" s="203" customFormat="1">
      <c r="A249" s="108" t="s">
        <v>195</v>
      </c>
      <c r="B249" s="116"/>
      <c r="C249" s="116"/>
      <c r="D249" s="116"/>
      <c r="E249" s="140"/>
      <c r="F249" s="146"/>
      <c r="G249" s="118"/>
      <c r="H249" s="146"/>
      <c r="I249" s="29"/>
      <c r="J249" s="231"/>
      <c r="K249" s="231"/>
      <c r="L249" s="231"/>
      <c r="M249" s="231"/>
      <c r="N249" s="231"/>
      <c r="O249" s="231"/>
      <c r="P249" s="231"/>
      <c r="Q249" s="231"/>
      <c r="R249" s="231"/>
      <c r="S249" s="231"/>
      <c r="T249" s="231"/>
      <c r="U249" s="231"/>
      <c r="V249" s="231"/>
      <c r="W249" s="231"/>
      <c r="X249" s="231"/>
      <c r="Y249" s="231"/>
      <c r="Z249" s="231"/>
      <c r="AA249" s="231"/>
      <c r="AB249" s="231"/>
      <c r="AC249" s="231"/>
      <c r="AD249" s="231"/>
      <c r="AE249" s="231"/>
      <c r="AF249" s="231"/>
      <c r="AG249" s="231"/>
      <c r="AH249" s="231"/>
      <c r="AI249" s="231"/>
      <c r="AJ249" s="231"/>
      <c r="AK249" s="231"/>
      <c r="AL249" s="231"/>
      <c r="AM249" s="231"/>
      <c r="AN249" s="231"/>
      <c r="AO249" s="231"/>
      <c r="AP249" s="231"/>
      <c r="AQ249" s="231"/>
    </row>
    <row r="250" spans="1:43" s="203" customFormat="1">
      <c r="A250" s="788">
        <v>7</v>
      </c>
      <c r="B250" s="47" t="s">
        <v>196</v>
      </c>
      <c r="C250" s="47"/>
      <c r="D250" s="47"/>
      <c r="E250" s="74">
        <v>0</v>
      </c>
      <c r="F250" s="52"/>
      <c r="G250" s="118"/>
      <c r="H250" s="52"/>
      <c r="I250" s="29"/>
      <c r="J250" s="231"/>
      <c r="K250" s="231"/>
      <c r="L250" s="231"/>
      <c r="M250" s="231"/>
      <c r="N250" s="231"/>
      <c r="O250" s="231"/>
      <c r="P250" s="231"/>
      <c r="Q250" s="231"/>
      <c r="R250" s="231"/>
      <c r="S250" s="231"/>
      <c r="T250" s="231"/>
      <c r="U250" s="231"/>
      <c r="V250" s="231"/>
      <c r="W250" s="231"/>
      <c r="X250" s="231"/>
      <c r="Y250" s="231"/>
      <c r="Z250" s="231"/>
      <c r="AA250" s="231"/>
      <c r="AB250" s="231"/>
      <c r="AC250" s="231"/>
      <c r="AD250" s="231"/>
      <c r="AE250" s="231"/>
      <c r="AF250" s="231"/>
      <c r="AG250" s="231"/>
      <c r="AH250" s="231"/>
      <c r="AI250" s="231"/>
      <c r="AJ250" s="231"/>
      <c r="AK250" s="231"/>
      <c r="AL250" s="231"/>
      <c r="AM250" s="231"/>
      <c r="AN250" s="231"/>
      <c r="AO250" s="231"/>
      <c r="AP250" s="231"/>
      <c r="AQ250" s="231"/>
    </row>
    <row r="251" spans="1:43" s="203" customFormat="1">
      <c r="A251" s="788">
        <v>8</v>
      </c>
      <c r="B251" s="47" t="s">
        <v>197</v>
      </c>
      <c r="C251" s="47"/>
      <c r="D251" s="47"/>
      <c r="E251" s="49">
        <v>3371</v>
      </c>
      <c r="F251" s="52">
        <f>3116+62</f>
        <v>3178</v>
      </c>
      <c r="G251" s="118"/>
      <c r="H251" s="122">
        <v>3248</v>
      </c>
      <c r="I251" s="29"/>
      <c r="J251" s="231"/>
      <c r="K251" s="231"/>
      <c r="L251" s="231"/>
      <c r="M251" s="231"/>
      <c r="N251" s="231"/>
      <c r="O251" s="231"/>
      <c r="P251" s="231"/>
      <c r="Q251" s="231"/>
      <c r="R251" s="231"/>
      <c r="S251" s="231"/>
      <c r="T251" s="231"/>
      <c r="U251" s="231"/>
      <c r="V251" s="231"/>
      <c r="W251" s="231"/>
      <c r="X251" s="231"/>
      <c r="Y251" s="231"/>
      <c r="Z251" s="231"/>
      <c r="AA251" s="231"/>
      <c r="AB251" s="231"/>
      <c r="AC251" s="231"/>
      <c r="AD251" s="231"/>
      <c r="AE251" s="231"/>
      <c r="AF251" s="231"/>
      <c r="AG251" s="231"/>
      <c r="AH251" s="231"/>
      <c r="AI251" s="231"/>
      <c r="AJ251" s="231"/>
      <c r="AK251" s="231"/>
      <c r="AL251" s="231"/>
      <c r="AM251" s="231"/>
      <c r="AN251" s="231"/>
      <c r="AO251" s="231"/>
      <c r="AP251" s="231"/>
      <c r="AQ251" s="231"/>
    </row>
    <row r="252" spans="1:43" s="203" customFormat="1">
      <c r="A252" s="788">
        <v>9</v>
      </c>
      <c r="B252" s="47" t="s">
        <v>198</v>
      </c>
      <c r="C252" s="47"/>
      <c r="D252" s="47"/>
      <c r="E252" s="49">
        <v>3020</v>
      </c>
      <c r="F252" s="52">
        <v>3255</v>
      </c>
      <c r="G252" s="118"/>
      <c r="H252" s="122">
        <v>2962</v>
      </c>
      <c r="I252" s="29"/>
      <c r="J252" s="231"/>
      <c r="K252" s="231"/>
      <c r="L252" s="231"/>
      <c r="M252" s="231"/>
      <c r="N252" s="231"/>
      <c r="O252" s="231"/>
      <c r="P252" s="231"/>
      <c r="Q252" s="231"/>
      <c r="R252" s="231"/>
      <c r="S252" s="231"/>
      <c r="T252" s="231"/>
      <c r="U252" s="231"/>
      <c r="V252" s="231"/>
      <c r="W252" s="231"/>
      <c r="X252" s="231"/>
      <c r="Y252" s="231"/>
      <c r="Z252" s="231"/>
      <c r="AA252" s="231"/>
      <c r="AB252" s="231"/>
      <c r="AC252" s="231"/>
      <c r="AD252" s="231"/>
      <c r="AE252" s="231"/>
      <c r="AF252" s="231"/>
      <c r="AG252" s="231"/>
      <c r="AH252" s="231"/>
      <c r="AI252" s="231"/>
      <c r="AJ252" s="231"/>
      <c r="AK252" s="231"/>
      <c r="AL252" s="231"/>
      <c r="AM252" s="231"/>
      <c r="AN252" s="231"/>
      <c r="AO252" s="231"/>
      <c r="AP252" s="231"/>
      <c r="AQ252" s="231"/>
    </row>
    <row r="253" spans="1:43" s="203" customFormat="1">
      <c r="A253" s="788">
        <v>10</v>
      </c>
      <c r="B253" s="47" t="s">
        <v>199</v>
      </c>
      <c r="C253" s="47"/>
      <c r="D253" s="47"/>
      <c r="E253" s="49">
        <v>587</v>
      </c>
      <c r="F253" s="52">
        <f>233+317</f>
        <v>550</v>
      </c>
      <c r="G253" s="118"/>
      <c r="H253" s="100">
        <v>539</v>
      </c>
      <c r="I253" s="29"/>
      <c r="J253" s="231"/>
      <c r="K253" s="231"/>
      <c r="L253" s="231"/>
      <c r="M253" s="231"/>
      <c r="N253" s="231"/>
      <c r="O253" s="231"/>
      <c r="P253" s="231"/>
      <c r="Q253" s="231"/>
      <c r="R253" s="231"/>
      <c r="S253" s="231"/>
      <c r="T253" s="231"/>
      <c r="U253" s="231"/>
      <c r="V253" s="231"/>
      <c r="W253" s="231"/>
      <c r="X253" s="231"/>
      <c r="Y253" s="231"/>
      <c r="Z253" s="231"/>
      <c r="AA253" s="231"/>
      <c r="AB253" s="231"/>
      <c r="AC253" s="231"/>
      <c r="AD253" s="231"/>
      <c r="AE253" s="231"/>
      <c r="AF253" s="231"/>
      <c r="AG253" s="231"/>
      <c r="AH253" s="231"/>
      <c r="AI253" s="231"/>
      <c r="AJ253" s="231"/>
      <c r="AK253" s="231"/>
      <c r="AL253" s="231"/>
      <c r="AM253" s="231"/>
      <c r="AN253" s="231"/>
      <c r="AO253" s="231"/>
      <c r="AP253" s="231"/>
      <c r="AQ253" s="231"/>
    </row>
    <row r="254" spans="1:43" s="203" customFormat="1">
      <c r="A254" s="788">
        <v>11</v>
      </c>
      <c r="B254" s="116" t="s">
        <v>200</v>
      </c>
      <c r="C254" s="116"/>
      <c r="D254" s="116"/>
      <c r="E254" s="80">
        <v>6978</v>
      </c>
      <c r="F254" s="142">
        <f>SUM(F250:F253)</f>
        <v>6983</v>
      </c>
      <c r="G254" s="118"/>
      <c r="H254" s="142">
        <f>SUM(H250:H253)</f>
        <v>6749</v>
      </c>
      <c r="I254" s="260"/>
      <c r="J254" s="231"/>
      <c r="K254" s="231"/>
      <c r="L254" s="231"/>
      <c r="M254" s="231"/>
      <c r="N254" s="231"/>
      <c r="O254" s="231"/>
      <c r="P254" s="231"/>
      <c r="Q254" s="231"/>
      <c r="R254" s="231"/>
      <c r="S254" s="231"/>
      <c r="T254" s="231"/>
      <c r="U254" s="231"/>
      <c r="V254" s="231"/>
      <c r="W254" s="231"/>
      <c r="X254" s="231"/>
      <c r="Y254" s="231"/>
      <c r="Z254" s="231"/>
      <c r="AA254" s="231"/>
      <c r="AB254" s="231"/>
      <c r="AC254" s="231"/>
      <c r="AD254" s="231"/>
      <c r="AE254" s="231"/>
      <c r="AF254" s="231"/>
      <c r="AG254" s="231"/>
      <c r="AH254" s="231"/>
      <c r="AI254" s="231"/>
      <c r="AJ254" s="231"/>
      <c r="AK254" s="231"/>
      <c r="AL254" s="231"/>
      <c r="AM254" s="231"/>
      <c r="AN254" s="231"/>
      <c r="AO254" s="231"/>
      <c r="AP254" s="231"/>
      <c r="AQ254" s="231"/>
    </row>
    <row r="255" spans="1:43" s="203" customFormat="1">
      <c r="A255" s="788"/>
      <c r="B255" s="116"/>
      <c r="C255" s="116"/>
      <c r="D255" s="116"/>
      <c r="E255" s="117"/>
      <c r="F255" s="118"/>
      <c r="G255" s="118"/>
      <c r="H255" s="118"/>
      <c r="I255" s="29"/>
      <c r="J255" s="231"/>
      <c r="K255" s="231"/>
      <c r="L255" s="231"/>
      <c r="M255" s="231"/>
      <c r="N255" s="231"/>
      <c r="O255" s="231"/>
      <c r="P255" s="231"/>
      <c r="Q255" s="231"/>
      <c r="R255" s="231"/>
      <c r="S255" s="231"/>
      <c r="T255" s="231"/>
      <c r="U255" s="231"/>
      <c r="V255" s="231"/>
      <c r="W255" s="231"/>
      <c r="X255" s="231"/>
      <c r="Y255" s="231"/>
      <c r="Z255" s="231"/>
      <c r="AA255" s="231"/>
      <c r="AB255" s="231"/>
      <c r="AC255" s="231"/>
      <c r="AD255" s="231"/>
      <c r="AE255" s="231"/>
      <c r="AF255" s="231"/>
      <c r="AG255" s="231"/>
      <c r="AH255" s="231"/>
      <c r="AI255" s="231"/>
      <c r="AJ255" s="231"/>
      <c r="AK255" s="231"/>
      <c r="AL255" s="231"/>
      <c r="AM255" s="231"/>
      <c r="AN255" s="231"/>
      <c r="AO255" s="231"/>
      <c r="AP255" s="231"/>
      <c r="AQ255" s="231"/>
    </row>
    <row r="256" spans="1:43" s="203" customFormat="1">
      <c r="A256" s="788">
        <v>12</v>
      </c>
      <c r="B256" s="47" t="s">
        <v>201</v>
      </c>
      <c r="C256" s="47"/>
      <c r="D256" s="47"/>
      <c r="E256" s="176">
        <v>2233</v>
      </c>
      <c r="F256" s="136">
        <f>1951+93</f>
        <v>2044</v>
      </c>
      <c r="G256" s="118"/>
      <c r="H256" s="177">
        <v>2231</v>
      </c>
      <c r="I256" s="260"/>
      <c r="J256" s="231"/>
      <c r="K256" s="231"/>
      <c r="L256" s="231"/>
      <c r="M256" s="231"/>
      <c r="N256" s="231"/>
      <c r="O256" s="231"/>
      <c r="P256" s="231"/>
      <c r="Q256" s="231"/>
      <c r="R256" s="231"/>
      <c r="S256" s="231"/>
      <c r="T256" s="231"/>
      <c r="U256" s="231"/>
      <c r="V256" s="231"/>
      <c r="W256" s="231"/>
      <c r="X256" s="231"/>
      <c r="Y256" s="231"/>
      <c r="Z256" s="231"/>
      <c r="AA256" s="231"/>
      <c r="AB256" s="231"/>
      <c r="AC256" s="231"/>
      <c r="AD256" s="231"/>
      <c r="AE256" s="231"/>
      <c r="AF256" s="231"/>
      <c r="AG256" s="231"/>
      <c r="AH256" s="231"/>
      <c r="AI256" s="231"/>
      <c r="AJ256" s="231"/>
      <c r="AK256" s="231"/>
      <c r="AL256" s="231"/>
      <c r="AM256" s="231"/>
      <c r="AN256" s="231"/>
      <c r="AO256" s="231"/>
      <c r="AP256" s="231"/>
      <c r="AQ256" s="231"/>
    </row>
    <row r="257" spans="1:43" s="203" customFormat="1">
      <c r="A257" s="124">
        <v>13</v>
      </c>
      <c r="B257" s="94" t="s">
        <v>202</v>
      </c>
      <c r="C257" s="94"/>
      <c r="D257" s="94"/>
      <c r="E257" s="159">
        <v>11015</v>
      </c>
      <c r="F257" s="61">
        <f>F242+F247+F254+F256</f>
        <v>10925</v>
      </c>
      <c r="G257" s="118"/>
      <c r="H257" s="61">
        <f>H242+H247+H254+H256</f>
        <v>10916</v>
      </c>
      <c r="I257" s="21"/>
      <c r="J257" s="231"/>
      <c r="K257" s="231"/>
      <c r="L257" s="231"/>
      <c r="M257" s="231"/>
      <c r="N257" s="231"/>
      <c r="O257" s="231"/>
      <c r="P257" s="231"/>
      <c r="Q257" s="231"/>
      <c r="R257" s="231"/>
      <c r="S257" s="231"/>
      <c r="T257" s="231"/>
      <c r="U257" s="231"/>
      <c r="V257" s="231"/>
      <c r="W257" s="231"/>
      <c r="X257" s="231"/>
      <c r="Y257" s="231"/>
      <c r="Z257" s="231"/>
      <c r="AA257" s="231"/>
      <c r="AB257" s="231"/>
      <c r="AC257" s="231"/>
      <c r="AD257" s="231"/>
      <c r="AE257" s="231"/>
      <c r="AF257" s="231"/>
      <c r="AG257" s="231"/>
      <c r="AH257" s="231"/>
      <c r="AI257" s="231"/>
      <c r="AJ257" s="231"/>
      <c r="AK257" s="231"/>
      <c r="AL257" s="231"/>
      <c r="AM257" s="231"/>
      <c r="AN257" s="231"/>
      <c r="AO257" s="231"/>
      <c r="AP257" s="231"/>
      <c r="AQ257" s="231"/>
    </row>
    <row r="258" spans="1:43" s="203" customFormat="1">
      <c r="A258" s="207"/>
      <c r="B258" s="207"/>
      <c r="C258" s="207"/>
      <c r="D258" s="208"/>
      <c r="E258" s="208"/>
      <c r="F258" s="207"/>
      <c r="G258" s="207"/>
      <c r="H258" s="207"/>
      <c r="I258" s="21"/>
      <c r="J258" s="231"/>
      <c r="K258" s="231"/>
      <c r="L258" s="231"/>
      <c r="M258" s="231"/>
      <c r="N258" s="231"/>
      <c r="O258" s="231"/>
      <c r="P258" s="231"/>
      <c r="Q258" s="231"/>
      <c r="R258" s="231"/>
      <c r="S258" s="231"/>
      <c r="T258" s="231"/>
      <c r="U258" s="231"/>
      <c r="V258" s="231"/>
      <c r="W258" s="231"/>
      <c r="X258" s="231"/>
      <c r="Y258" s="231"/>
      <c r="Z258" s="231"/>
      <c r="AA258" s="231"/>
      <c r="AB258" s="231"/>
      <c r="AC258" s="231"/>
      <c r="AD258" s="231"/>
      <c r="AE258" s="231"/>
      <c r="AF258" s="231"/>
      <c r="AG258" s="231"/>
      <c r="AH258" s="231"/>
      <c r="AI258" s="231"/>
      <c r="AJ258" s="231"/>
      <c r="AK258" s="231"/>
      <c r="AL258" s="231"/>
      <c r="AM258" s="231"/>
      <c r="AN258" s="231"/>
      <c r="AO258" s="231"/>
      <c r="AP258" s="231"/>
      <c r="AQ258" s="231"/>
    </row>
    <row r="259" spans="1:43" s="203" customFormat="1">
      <c r="A259" s="23"/>
      <c r="B259" s="207"/>
      <c r="C259" s="207"/>
      <c r="D259" s="207"/>
      <c r="E259" s="207"/>
      <c r="F259" s="207"/>
      <c r="G259" s="207"/>
      <c r="H259" s="21"/>
      <c r="I259" s="21"/>
      <c r="J259" s="231"/>
      <c r="K259" s="231"/>
      <c r="L259" s="231"/>
      <c r="M259" s="231"/>
      <c r="N259" s="231"/>
      <c r="O259" s="231"/>
      <c r="P259" s="231"/>
      <c r="Q259" s="231"/>
      <c r="R259" s="231"/>
      <c r="S259" s="231"/>
      <c r="T259" s="231"/>
      <c r="U259" s="231"/>
      <c r="V259" s="231"/>
      <c r="W259" s="231"/>
      <c r="X259" s="231"/>
      <c r="Y259" s="231"/>
      <c r="Z259" s="231"/>
      <c r="AA259" s="231"/>
      <c r="AB259" s="231"/>
      <c r="AC259" s="231"/>
      <c r="AD259" s="231"/>
      <c r="AE259" s="231"/>
      <c r="AF259" s="231"/>
      <c r="AG259" s="231"/>
      <c r="AH259" s="231"/>
      <c r="AI259" s="231"/>
      <c r="AJ259" s="231"/>
      <c r="AK259" s="231"/>
      <c r="AL259" s="231"/>
      <c r="AM259" s="231"/>
      <c r="AN259" s="231"/>
      <c r="AO259" s="231"/>
      <c r="AP259" s="231"/>
      <c r="AQ259" s="231"/>
    </row>
    <row r="260" spans="1:43" s="203" customFormat="1">
      <c r="A260" s="148"/>
      <c r="B260" s="29"/>
      <c r="C260" s="29"/>
      <c r="D260" s="172"/>
      <c r="E260" s="152"/>
      <c r="F260" s="29"/>
      <c r="G260" s="29"/>
      <c r="H260" s="131" t="s">
        <v>27</v>
      </c>
      <c r="I260" s="21"/>
      <c r="J260" s="231"/>
      <c r="K260" s="231"/>
      <c r="L260" s="231"/>
      <c r="M260" s="231"/>
      <c r="N260" s="231"/>
      <c r="O260" s="231"/>
      <c r="P260" s="231"/>
      <c r="Q260" s="231"/>
      <c r="R260" s="231"/>
      <c r="S260" s="231"/>
      <c r="T260" s="231"/>
      <c r="U260" s="231"/>
      <c r="V260" s="231"/>
      <c r="W260" s="231"/>
      <c r="X260" s="231"/>
      <c r="Y260" s="231"/>
      <c r="Z260" s="231"/>
      <c r="AA260" s="231"/>
      <c r="AB260" s="231"/>
      <c r="AC260" s="231"/>
      <c r="AD260" s="231"/>
      <c r="AE260" s="231"/>
      <c r="AF260" s="231"/>
      <c r="AG260" s="231"/>
      <c r="AH260" s="231"/>
      <c r="AI260" s="231"/>
      <c r="AJ260" s="231"/>
      <c r="AK260" s="231"/>
      <c r="AL260" s="231"/>
      <c r="AM260" s="231"/>
      <c r="AN260" s="231"/>
      <c r="AO260" s="231"/>
      <c r="AP260" s="231"/>
      <c r="AQ260" s="231"/>
    </row>
    <row r="261" spans="1:43" s="203" customFormat="1" ht="12.75" customHeight="1">
      <c r="A261" s="106" t="s">
        <v>15</v>
      </c>
      <c r="B261" s="164"/>
      <c r="C261" s="164"/>
      <c r="D261" s="164"/>
      <c r="E261" s="856" t="s">
        <v>377</v>
      </c>
      <c r="F261" s="856" t="s">
        <v>402</v>
      </c>
      <c r="G261" s="130"/>
      <c r="H261" s="856" t="s">
        <v>403</v>
      </c>
      <c r="I261" s="21"/>
      <c r="J261" s="231"/>
      <c r="K261" s="231"/>
      <c r="L261" s="231"/>
      <c r="M261" s="231"/>
      <c r="N261" s="231"/>
      <c r="O261" s="231"/>
      <c r="P261" s="231"/>
      <c r="Q261" s="231"/>
      <c r="R261" s="231"/>
      <c r="S261" s="231"/>
      <c r="T261" s="231"/>
      <c r="U261" s="231"/>
      <c r="V261" s="231"/>
      <c r="W261" s="231"/>
      <c r="X261" s="231"/>
      <c r="Y261" s="231"/>
      <c r="Z261" s="231"/>
      <c r="AA261" s="231"/>
      <c r="AB261" s="231"/>
      <c r="AC261" s="231"/>
      <c r="AD261" s="231"/>
      <c r="AE261" s="231"/>
      <c r="AF261" s="231"/>
      <c r="AG261" s="231"/>
      <c r="AH261" s="231"/>
      <c r="AI261" s="231"/>
      <c r="AJ261" s="231"/>
      <c r="AK261" s="231"/>
      <c r="AL261" s="231"/>
      <c r="AM261" s="231"/>
      <c r="AN261" s="231"/>
      <c r="AO261" s="231"/>
      <c r="AP261" s="231"/>
      <c r="AQ261" s="231"/>
    </row>
    <row r="262" spans="1:43" s="203" customFormat="1">
      <c r="A262" s="165"/>
      <c r="B262" s="47"/>
      <c r="C262" s="47"/>
      <c r="D262" s="47"/>
      <c r="E262" s="859"/>
      <c r="F262" s="859"/>
      <c r="G262" s="130"/>
      <c r="H262" s="859"/>
      <c r="I262" s="21"/>
      <c r="J262" s="231"/>
      <c r="K262" s="231"/>
      <c r="L262" s="231"/>
      <c r="M262" s="231"/>
      <c r="N262" s="231"/>
      <c r="O262" s="231"/>
      <c r="P262" s="231"/>
      <c r="Q262" s="231"/>
      <c r="R262" s="231"/>
      <c r="S262" s="231"/>
      <c r="T262" s="231"/>
      <c r="U262" s="231"/>
      <c r="V262" s="231"/>
      <c r="W262" s="231"/>
      <c r="X262" s="231"/>
      <c r="Y262" s="231"/>
      <c r="Z262" s="231"/>
      <c r="AA262" s="231"/>
      <c r="AB262" s="231"/>
      <c r="AC262" s="231"/>
      <c r="AD262" s="231"/>
      <c r="AE262" s="231"/>
      <c r="AF262" s="231"/>
      <c r="AG262" s="231"/>
      <c r="AH262" s="231"/>
      <c r="AI262" s="231"/>
      <c r="AJ262" s="231"/>
      <c r="AK262" s="231"/>
      <c r="AL262" s="231"/>
      <c r="AM262" s="231"/>
      <c r="AN262" s="231"/>
      <c r="AO262" s="231"/>
      <c r="AP262" s="231"/>
      <c r="AQ262" s="231"/>
    </row>
    <row r="263" spans="1:43" s="203" customFormat="1">
      <c r="A263" s="109"/>
      <c r="B263" s="174"/>
      <c r="C263" s="174"/>
      <c r="D263" s="174"/>
      <c r="E263" s="859"/>
      <c r="F263" s="859"/>
      <c r="G263" s="130"/>
      <c r="H263" s="859"/>
      <c r="I263" s="21"/>
      <c r="J263" s="231"/>
      <c r="K263" s="231"/>
      <c r="L263" s="231"/>
      <c r="M263" s="231"/>
      <c r="N263" s="231"/>
      <c r="O263" s="231"/>
      <c r="P263" s="231"/>
      <c r="Q263" s="231"/>
      <c r="R263" s="231"/>
      <c r="S263" s="231"/>
      <c r="T263" s="231"/>
      <c r="U263" s="231"/>
      <c r="V263" s="231"/>
      <c r="W263" s="231"/>
      <c r="X263" s="231"/>
      <c r="Y263" s="231"/>
      <c r="Z263" s="231"/>
      <c r="AA263" s="231"/>
      <c r="AB263" s="231"/>
      <c r="AC263" s="231"/>
      <c r="AD263" s="231"/>
      <c r="AE263" s="231"/>
      <c r="AF263" s="231"/>
      <c r="AG263" s="231"/>
      <c r="AH263" s="231"/>
      <c r="AI263" s="231"/>
      <c r="AJ263" s="231"/>
      <c r="AK263" s="231"/>
      <c r="AL263" s="231"/>
      <c r="AM263" s="231"/>
      <c r="AN263" s="231"/>
      <c r="AO263" s="231"/>
      <c r="AP263" s="231"/>
      <c r="AQ263" s="231"/>
    </row>
    <row r="264" spans="1:43" s="203" customFormat="1">
      <c r="A264" s="154" t="s">
        <v>203</v>
      </c>
      <c r="B264" s="47"/>
      <c r="C264" s="47"/>
      <c r="D264" s="47"/>
      <c r="E264" s="859"/>
      <c r="F264" s="859"/>
      <c r="G264" s="130"/>
      <c r="H264" s="859"/>
      <c r="I264" s="21"/>
      <c r="J264" s="231"/>
      <c r="K264" s="231"/>
      <c r="L264" s="231"/>
      <c r="M264" s="231"/>
      <c r="N264" s="231"/>
      <c r="O264" s="231"/>
      <c r="P264" s="231"/>
      <c r="Q264" s="231"/>
      <c r="R264" s="231"/>
      <c r="S264" s="231"/>
      <c r="T264" s="231"/>
      <c r="U264" s="231"/>
      <c r="V264" s="231"/>
      <c r="W264" s="231"/>
      <c r="X264" s="231"/>
      <c r="Y264" s="231"/>
      <c r="Z264" s="231"/>
      <c r="AA264" s="231"/>
      <c r="AB264" s="231"/>
      <c r="AC264" s="231"/>
      <c r="AD264" s="231"/>
      <c r="AE264" s="231"/>
      <c r="AF264" s="231"/>
      <c r="AG264" s="231"/>
      <c r="AH264" s="231"/>
      <c r="AI264" s="231"/>
      <c r="AJ264" s="231"/>
      <c r="AK264" s="231"/>
      <c r="AL264" s="231"/>
      <c r="AM264" s="231"/>
      <c r="AN264" s="231"/>
      <c r="AO264" s="231"/>
      <c r="AP264" s="231"/>
      <c r="AQ264" s="231"/>
    </row>
    <row r="265" spans="1:43" s="203" customFormat="1">
      <c r="A265" s="109" t="s">
        <v>83</v>
      </c>
      <c r="B265" s="174"/>
      <c r="C265" s="174"/>
      <c r="D265" s="174"/>
      <c r="E265" s="860"/>
      <c r="F265" s="860"/>
      <c r="G265" s="130"/>
      <c r="H265" s="860"/>
      <c r="I265" s="21"/>
      <c r="J265" s="231"/>
      <c r="K265" s="231"/>
      <c r="L265" s="231"/>
      <c r="M265" s="231"/>
      <c r="N265" s="231"/>
      <c r="O265" s="231"/>
      <c r="P265" s="231"/>
      <c r="Q265" s="231"/>
      <c r="R265" s="231"/>
      <c r="S265" s="231"/>
      <c r="T265" s="231"/>
      <c r="U265" s="231"/>
      <c r="V265" s="231"/>
      <c r="W265" s="231"/>
      <c r="X265" s="231"/>
      <c r="Y265" s="231"/>
      <c r="Z265" s="231"/>
      <c r="AA265" s="231"/>
      <c r="AB265" s="231"/>
      <c r="AC265" s="231"/>
      <c r="AD265" s="231"/>
      <c r="AE265" s="231"/>
      <c r="AF265" s="231"/>
      <c r="AG265" s="231"/>
      <c r="AH265" s="231"/>
      <c r="AI265" s="231"/>
      <c r="AJ265" s="231"/>
      <c r="AK265" s="231"/>
      <c r="AL265" s="231"/>
      <c r="AM265" s="231"/>
      <c r="AN265" s="231"/>
      <c r="AO265" s="231"/>
      <c r="AP265" s="231"/>
      <c r="AQ265" s="231"/>
    </row>
    <row r="266" spans="1:43" s="203" customFormat="1">
      <c r="A266" s="110" t="s">
        <v>84</v>
      </c>
      <c r="B266" s="116"/>
      <c r="C266" s="116"/>
      <c r="D266" s="116"/>
      <c r="E266" s="178"/>
      <c r="F266" s="146"/>
      <c r="G266" s="118"/>
      <c r="H266" s="146"/>
      <c r="I266" s="21"/>
      <c r="J266" s="231"/>
      <c r="K266" s="231"/>
      <c r="L266" s="231"/>
      <c r="M266" s="231"/>
      <c r="N266" s="231"/>
      <c r="O266" s="231"/>
      <c r="P266" s="231"/>
      <c r="Q266" s="231"/>
      <c r="R266" s="231"/>
      <c r="S266" s="231"/>
      <c r="T266" s="231"/>
      <c r="U266" s="231"/>
      <c r="V266" s="231"/>
      <c r="W266" s="231"/>
      <c r="X266" s="231"/>
      <c r="Y266" s="231"/>
      <c r="Z266" s="231"/>
      <c r="AA266" s="231"/>
      <c r="AB266" s="231"/>
      <c r="AC266" s="231"/>
      <c r="AD266" s="231"/>
      <c r="AE266" s="231"/>
      <c r="AF266" s="231"/>
      <c r="AG266" s="231"/>
      <c r="AH266" s="231"/>
      <c r="AI266" s="231"/>
      <c r="AJ266" s="231"/>
      <c r="AK266" s="231"/>
      <c r="AL266" s="231"/>
      <c r="AM266" s="231"/>
      <c r="AN266" s="231"/>
      <c r="AO266" s="231"/>
      <c r="AP266" s="231"/>
      <c r="AQ266" s="231"/>
    </row>
    <row r="267" spans="1:43" s="203" customFormat="1">
      <c r="A267" s="120">
        <v>1</v>
      </c>
      <c r="B267" s="47" t="s">
        <v>204</v>
      </c>
      <c r="C267" s="47"/>
      <c r="D267" s="47"/>
      <c r="E267" s="74">
        <v>0</v>
      </c>
      <c r="F267" s="52"/>
      <c r="G267" s="118"/>
      <c r="H267" s="122"/>
      <c r="I267" s="21"/>
      <c r="J267" s="231"/>
      <c r="K267" s="231"/>
      <c r="L267" s="231"/>
      <c r="M267" s="231"/>
      <c r="N267" s="231"/>
      <c r="O267" s="231"/>
      <c r="P267" s="231"/>
      <c r="Q267" s="231"/>
      <c r="R267" s="231"/>
      <c r="S267" s="231"/>
      <c r="T267" s="231"/>
      <c r="U267" s="231"/>
      <c r="V267" s="231"/>
      <c r="W267" s="231"/>
      <c r="X267" s="231"/>
      <c r="Y267" s="231"/>
      <c r="Z267" s="231"/>
      <c r="AA267" s="231"/>
      <c r="AB267" s="231"/>
      <c r="AC267" s="231"/>
      <c r="AD267" s="231"/>
      <c r="AE267" s="231"/>
      <c r="AF267" s="231"/>
      <c r="AG267" s="231"/>
      <c r="AH267" s="231"/>
      <c r="AI267" s="231"/>
      <c r="AJ267" s="231"/>
      <c r="AK267" s="231"/>
      <c r="AL267" s="231"/>
      <c r="AM267" s="231"/>
      <c r="AN267" s="231"/>
      <c r="AO267" s="231"/>
      <c r="AP267" s="231"/>
      <c r="AQ267" s="231"/>
    </row>
    <row r="268" spans="1:43" s="203" customFormat="1">
      <c r="A268" s="788">
        <v>2</v>
      </c>
      <c r="B268" s="166" t="s">
        <v>205</v>
      </c>
      <c r="C268" s="166"/>
      <c r="D268" s="47"/>
      <c r="E268" s="114">
        <v>259</v>
      </c>
      <c r="F268" s="52">
        <f>293</f>
        <v>293</v>
      </c>
      <c r="G268" s="118"/>
      <c r="H268" s="122">
        <v>259</v>
      </c>
      <c r="I268" s="21"/>
      <c r="J268" s="231"/>
      <c r="K268" s="231"/>
      <c r="L268" s="231"/>
      <c r="M268" s="231"/>
      <c r="N268" s="231"/>
      <c r="O268" s="231"/>
      <c r="P268" s="231"/>
      <c r="Q268" s="231"/>
      <c r="R268" s="231"/>
      <c r="S268" s="231"/>
      <c r="T268" s="231"/>
      <c r="U268" s="231"/>
      <c r="V268" s="231"/>
      <c r="W268" s="231"/>
      <c r="X268" s="231"/>
      <c r="Y268" s="231"/>
      <c r="Z268" s="231"/>
      <c r="AA268" s="231"/>
      <c r="AB268" s="231"/>
      <c r="AC268" s="231"/>
      <c r="AD268" s="231"/>
      <c r="AE268" s="231"/>
      <c r="AF268" s="231"/>
      <c r="AG268" s="231"/>
      <c r="AH268" s="231"/>
      <c r="AI268" s="231"/>
      <c r="AJ268" s="231"/>
      <c r="AK268" s="231"/>
      <c r="AL268" s="231"/>
      <c r="AM268" s="231"/>
      <c r="AN268" s="231"/>
      <c r="AO268" s="231"/>
      <c r="AP268" s="231"/>
      <c r="AQ268" s="231"/>
    </row>
    <row r="269" spans="1:43" s="203" customFormat="1">
      <c r="A269" s="120">
        <v>3</v>
      </c>
      <c r="B269" s="47" t="s">
        <v>206</v>
      </c>
      <c r="C269" s="47"/>
      <c r="D269" s="168"/>
      <c r="E269" s="114">
        <v>0</v>
      </c>
      <c r="F269" s="52"/>
      <c r="G269" s="118"/>
      <c r="H269" s="122"/>
      <c r="I269" s="21"/>
      <c r="J269" s="231"/>
      <c r="K269" s="231"/>
      <c r="L269" s="231"/>
      <c r="M269" s="231"/>
      <c r="N269" s="231"/>
      <c r="O269" s="231"/>
      <c r="P269" s="231"/>
      <c r="Q269" s="231"/>
      <c r="R269" s="231"/>
      <c r="S269" s="231"/>
      <c r="T269" s="231"/>
      <c r="U269" s="231"/>
      <c r="V269" s="231"/>
      <c r="W269" s="231"/>
      <c r="X269" s="231"/>
      <c r="Y269" s="231"/>
      <c r="Z269" s="231"/>
      <c r="AA269" s="231"/>
      <c r="AB269" s="231"/>
      <c r="AC269" s="231"/>
      <c r="AD269" s="231"/>
      <c r="AE269" s="231"/>
      <c r="AF269" s="231"/>
      <c r="AG269" s="231"/>
      <c r="AH269" s="231"/>
      <c r="AI269" s="231"/>
      <c r="AJ269" s="231"/>
      <c r="AK269" s="231"/>
      <c r="AL269" s="231"/>
      <c r="AM269" s="231"/>
      <c r="AN269" s="231"/>
      <c r="AO269" s="231"/>
      <c r="AP269" s="231"/>
      <c r="AQ269" s="231"/>
    </row>
    <row r="270" spans="1:43" s="203" customFormat="1">
      <c r="A270" s="788">
        <v>4</v>
      </c>
      <c r="B270" s="47" t="s">
        <v>207</v>
      </c>
      <c r="C270" s="47"/>
      <c r="D270" s="116"/>
      <c r="E270" s="114">
        <v>0</v>
      </c>
      <c r="F270" s="52"/>
      <c r="G270" s="118"/>
      <c r="H270" s="122"/>
      <c r="I270" s="21"/>
      <c r="J270" s="231"/>
      <c r="K270" s="231"/>
      <c r="L270" s="231"/>
      <c r="M270" s="231"/>
      <c r="N270" s="231"/>
      <c r="O270" s="231"/>
      <c r="P270" s="231"/>
      <c r="Q270" s="231"/>
      <c r="R270" s="231"/>
      <c r="S270" s="231"/>
      <c r="T270" s="231"/>
      <c r="U270" s="231"/>
      <c r="V270" s="231"/>
      <c r="W270" s="231"/>
      <c r="X270" s="231"/>
      <c r="Y270" s="231"/>
      <c r="Z270" s="231"/>
      <c r="AA270" s="231"/>
      <c r="AB270" s="231"/>
      <c r="AC270" s="231"/>
      <c r="AD270" s="231"/>
      <c r="AE270" s="231"/>
      <c r="AF270" s="231"/>
      <c r="AG270" s="231"/>
      <c r="AH270" s="231"/>
      <c r="AI270" s="231"/>
      <c r="AJ270" s="231"/>
      <c r="AK270" s="231"/>
      <c r="AL270" s="231"/>
      <c r="AM270" s="231"/>
      <c r="AN270" s="231"/>
      <c r="AO270" s="231"/>
      <c r="AP270" s="231"/>
      <c r="AQ270" s="231"/>
    </row>
    <row r="271" spans="1:43" s="203" customFormat="1">
      <c r="A271" s="120">
        <v>5</v>
      </c>
      <c r="B271" s="47" t="s">
        <v>208</v>
      </c>
      <c r="C271" s="47"/>
      <c r="D271" s="47"/>
      <c r="E271" s="114">
        <v>499</v>
      </c>
      <c r="F271" s="52">
        <f>732-203</f>
        <v>529</v>
      </c>
      <c r="G271" s="118"/>
      <c r="H271" s="122">
        <v>496</v>
      </c>
      <c r="I271" s="21"/>
      <c r="J271" s="231"/>
      <c r="K271" s="231"/>
      <c r="L271" s="231"/>
      <c r="M271" s="231"/>
      <c r="N271" s="231"/>
      <c r="O271" s="231"/>
      <c r="P271" s="231"/>
      <c r="Q271" s="231"/>
      <c r="R271" s="231"/>
      <c r="S271" s="231"/>
      <c r="T271" s="231"/>
      <c r="U271" s="231"/>
      <c r="V271" s="231"/>
      <c r="W271" s="231"/>
      <c r="X271" s="231"/>
      <c r="Y271" s="231"/>
      <c r="Z271" s="231"/>
      <c r="AA271" s="231"/>
      <c r="AB271" s="231"/>
      <c r="AC271" s="231"/>
      <c r="AD271" s="231"/>
      <c r="AE271" s="231"/>
      <c r="AF271" s="231"/>
      <c r="AG271" s="231"/>
      <c r="AH271" s="231"/>
      <c r="AI271" s="231"/>
      <c r="AJ271" s="231"/>
      <c r="AK271" s="231"/>
      <c r="AL271" s="231"/>
      <c r="AM271" s="231"/>
      <c r="AN271" s="231"/>
      <c r="AO271" s="231"/>
      <c r="AP271" s="231"/>
      <c r="AQ271" s="231"/>
    </row>
    <row r="272" spans="1:43" s="203" customFormat="1">
      <c r="A272" s="788">
        <v>6</v>
      </c>
      <c r="B272" s="47" t="s">
        <v>209</v>
      </c>
      <c r="C272" s="47"/>
      <c r="D272" s="47"/>
      <c r="E272" s="114">
        <v>1221</v>
      </c>
      <c r="F272" s="52">
        <f>1791-497</f>
        <v>1294</v>
      </c>
      <c r="G272" s="118"/>
      <c r="H272" s="122">
        <v>1221</v>
      </c>
      <c r="I272" s="21"/>
      <c r="J272" s="231"/>
      <c r="K272" s="231"/>
      <c r="L272" s="231"/>
      <c r="M272" s="231"/>
      <c r="N272" s="231"/>
      <c r="O272" s="231"/>
      <c r="P272" s="231"/>
      <c r="Q272" s="231"/>
      <c r="R272" s="231"/>
      <c r="S272" s="231"/>
      <c r="T272" s="231"/>
      <c r="U272" s="231"/>
      <c r="V272" s="231"/>
      <c r="W272" s="231"/>
      <c r="X272" s="231"/>
      <c r="Y272" s="231"/>
      <c r="Z272" s="231"/>
      <c r="AA272" s="231"/>
      <c r="AB272" s="231"/>
      <c r="AC272" s="231"/>
      <c r="AD272" s="231"/>
      <c r="AE272" s="231"/>
      <c r="AF272" s="231"/>
      <c r="AG272" s="231"/>
      <c r="AH272" s="231"/>
      <c r="AI272" s="231"/>
      <c r="AJ272" s="231"/>
      <c r="AK272" s="231"/>
      <c r="AL272" s="231"/>
      <c r="AM272" s="231"/>
      <c r="AN272" s="231"/>
      <c r="AO272" s="231"/>
      <c r="AP272" s="231"/>
      <c r="AQ272" s="231"/>
    </row>
    <row r="273" spans="1:43" s="203" customFormat="1">
      <c r="A273" s="120">
        <v>7</v>
      </c>
      <c r="B273" s="47" t="s">
        <v>210</v>
      </c>
      <c r="C273" s="47"/>
      <c r="D273" s="47"/>
      <c r="E273" s="114">
        <v>1629</v>
      </c>
      <c r="F273" s="52">
        <f>286+895</f>
        <v>1181</v>
      </c>
      <c r="G273" s="118"/>
      <c r="H273" s="122">
        <v>1275</v>
      </c>
      <c r="I273" s="21"/>
      <c r="J273" s="231"/>
      <c r="K273" s="231"/>
      <c r="L273" s="231"/>
      <c r="M273" s="231"/>
      <c r="N273" s="231"/>
      <c r="O273" s="231"/>
      <c r="P273" s="231"/>
      <c r="Q273" s="231"/>
      <c r="R273" s="231"/>
      <c r="S273" s="231"/>
      <c r="T273" s="231"/>
      <c r="U273" s="231"/>
      <c r="V273" s="231"/>
      <c r="W273" s="231"/>
      <c r="X273" s="231"/>
      <c r="Y273" s="231"/>
      <c r="Z273" s="231"/>
      <c r="AA273" s="231"/>
      <c r="AB273" s="231"/>
      <c r="AC273" s="231"/>
      <c r="AD273" s="231"/>
      <c r="AE273" s="231"/>
      <c r="AF273" s="231"/>
      <c r="AG273" s="231"/>
      <c r="AH273" s="231"/>
      <c r="AI273" s="231"/>
      <c r="AJ273" s="231"/>
      <c r="AK273" s="231"/>
      <c r="AL273" s="231"/>
      <c r="AM273" s="231"/>
      <c r="AN273" s="231"/>
      <c r="AO273" s="231"/>
      <c r="AP273" s="231"/>
      <c r="AQ273" s="231"/>
    </row>
    <row r="274" spans="1:43" s="203" customFormat="1">
      <c r="A274" s="788">
        <v>8</v>
      </c>
      <c r="B274" s="47" t="s">
        <v>211</v>
      </c>
      <c r="C274" s="47"/>
      <c r="D274" s="47"/>
      <c r="E274" s="114">
        <v>1934</v>
      </c>
      <c r="F274" s="52">
        <f>1293+610</f>
        <v>1903</v>
      </c>
      <c r="G274" s="118"/>
      <c r="H274" s="122">
        <v>1869</v>
      </c>
      <c r="I274" s="21"/>
      <c r="J274" s="231"/>
      <c r="K274" s="231"/>
      <c r="L274" s="231"/>
      <c r="M274" s="231"/>
      <c r="N274" s="231"/>
      <c r="O274" s="231"/>
      <c r="P274" s="231"/>
      <c r="Q274" s="231"/>
      <c r="R274" s="231"/>
      <c r="S274" s="231"/>
      <c r="T274" s="231"/>
      <c r="U274" s="231"/>
      <c r="V274" s="231"/>
      <c r="W274" s="231"/>
      <c r="X274" s="231"/>
      <c r="Y274" s="231"/>
      <c r="Z274" s="231"/>
      <c r="AA274" s="231"/>
      <c r="AB274" s="231"/>
      <c r="AC274" s="231"/>
      <c r="AD274" s="231"/>
      <c r="AE274" s="231"/>
      <c r="AF274" s="231"/>
      <c r="AG274" s="231"/>
      <c r="AH274" s="231"/>
      <c r="AI274" s="231"/>
      <c r="AJ274" s="231"/>
      <c r="AK274" s="231"/>
      <c r="AL274" s="231"/>
      <c r="AM274" s="231"/>
      <c r="AN274" s="231"/>
      <c r="AO274" s="231"/>
      <c r="AP274" s="231"/>
      <c r="AQ274" s="231"/>
    </row>
    <row r="275" spans="1:43" s="203" customFormat="1">
      <c r="A275" s="120">
        <v>9</v>
      </c>
      <c r="B275" s="47" t="s">
        <v>212</v>
      </c>
      <c r="C275" s="47"/>
      <c r="D275" s="47"/>
      <c r="E275" s="114">
        <v>0</v>
      </c>
      <c r="F275" s="52"/>
      <c r="G275" s="118"/>
      <c r="H275" s="122"/>
      <c r="I275" s="21"/>
      <c r="J275" s="231"/>
      <c r="K275" s="231"/>
      <c r="L275" s="231"/>
      <c r="M275" s="231"/>
      <c r="N275" s="231"/>
      <c r="O275" s="231"/>
      <c r="P275" s="231"/>
      <c r="Q275" s="231"/>
      <c r="R275" s="231"/>
      <c r="S275" s="231"/>
      <c r="T275" s="231"/>
      <c r="U275" s="231"/>
      <c r="V275" s="231"/>
      <c r="W275" s="231"/>
      <c r="X275" s="231"/>
      <c r="Y275" s="231"/>
      <c r="Z275" s="231"/>
      <c r="AA275" s="231"/>
      <c r="AB275" s="231"/>
      <c r="AC275" s="231"/>
      <c r="AD275" s="231"/>
      <c r="AE275" s="231"/>
      <c r="AF275" s="231"/>
      <c r="AG275" s="231"/>
      <c r="AH275" s="231"/>
      <c r="AI275" s="231"/>
      <c r="AJ275" s="231"/>
      <c r="AK275" s="231"/>
      <c r="AL275" s="231"/>
      <c r="AM275" s="231"/>
      <c r="AN275" s="231"/>
      <c r="AO275" s="231"/>
      <c r="AP275" s="231"/>
      <c r="AQ275" s="231"/>
    </row>
    <row r="276" spans="1:43" s="203" customFormat="1">
      <c r="A276" s="788">
        <v>10</v>
      </c>
      <c r="B276" s="47" t="s">
        <v>213</v>
      </c>
      <c r="C276" s="47"/>
      <c r="D276" s="47"/>
      <c r="E276" s="114">
        <v>373</v>
      </c>
      <c r="F276" s="52">
        <f>34+385</f>
        <v>419</v>
      </c>
      <c r="G276" s="118"/>
      <c r="H276" s="99">
        <v>371</v>
      </c>
      <c r="I276" s="21"/>
      <c r="J276" s="231"/>
      <c r="K276" s="231"/>
      <c r="L276" s="231"/>
      <c r="M276" s="231"/>
      <c r="N276" s="231"/>
      <c r="O276" s="231"/>
      <c r="P276" s="231"/>
      <c r="Q276" s="231"/>
      <c r="R276" s="231"/>
      <c r="S276" s="231"/>
      <c r="T276" s="231"/>
      <c r="U276" s="231"/>
      <c r="V276" s="231"/>
      <c r="W276" s="231"/>
      <c r="X276" s="231"/>
      <c r="Y276" s="231"/>
      <c r="Z276" s="231"/>
      <c r="AA276" s="231"/>
      <c r="AB276" s="231"/>
      <c r="AC276" s="231"/>
      <c r="AD276" s="231"/>
      <c r="AE276" s="231"/>
      <c r="AF276" s="231"/>
      <c r="AG276" s="231"/>
      <c r="AH276" s="231"/>
      <c r="AI276" s="231"/>
      <c r="AJ276" s="231"/>
      <c r="AK276" s="231"/>
      <c r="AL276" s="231"/>
      <c r="AM276" s="231"/>
      <c r="AN276" s="231"/>
      <c r="AO276" s="231"/>
      <c r="AP276" s="231"/>
      <c r="AQ276" s="231"/>
    </row>
    <row r="277" spans="1:43" s="203" customFormat="1">
      <c r="A277" s="124">
        <v>11</v>
      </c>
      <c r="B277" s="94" t="s">
        <v>214</v>
      </c>
      <c r="C277" s="94"/>
      <c r="D277" s="94"/>
      <c r="E277" s="159">
        <v>5915</v>
      </c>
      <c r="F277" s="61">
        <f>SUM(F267:F276)</f>
        <v>5619</v>
      </c>
      <c r="G277" s="118"/>
      <c r="H277" s="61">
        <f>SUM(H267:H276)</f>
        <v>5491</v>
      </c>
      <c r="I277" s="21"/>
      <c r="J277" s="231"/>
      <c r="K277" s="231"/>
      <c r="L277" s="231"/>
      <c r="M277" s="231"/>
      <c r="N277" s="231"/>
      <c r="O277" s="231"/>
      <c r="P277" s="231"/>
      <c r="Q277" s="231"/>
      <c r="R277" s="231"/>
      <c r="S277" s="231"/>
      <c r="T277" s="231"/>
      <c r="U277" s="231"/>
      <c r="V277" s="231"/>
      <c r="W277" s="231"/>
      <c r="X277" s="231"/>
      <c r="Y277" s="231"/>
      <c r="Z277" s="231"/>
      <c r="AA277" s="231"/>
      <c r="AB277" s="231"/>
      <c r="AC277" s="231"/>
      <c r="AD277" s="231"/>
      <c r="AE277" s="231"/>
      <c r="AF277" s="231"/>
      <c r="AG277" s="231"/>
      <c r="AH277" s="231"/>
      <c r="AI277" s="231"/>
      <c r="AJ277" s="231"/>
      <c r="AK277" s="231"/>
      <c r="AL277" s="231"/>
      <c r="AM277" s="231"/>
      <c r="AN277" s="231"/>
      <c r="AO277" s="231"/>
      <c r="AP277" s="231"/>
      <c r="AQ277" s="231"/>
    </row>
    <row r="278" spans="1:43" s="203" customFormat="1">
      <c r="A278" s="207"/>
      <c r="B278" s="207"/>
      <c r="C278" s="207"/>
      <c r="D278" s="207"/>
      <c r="E278" s="207"/>
      <c r="F278" s="207"/>
      <c r="G278" s="207"/>
      <c r="H278" s="207"/>
      <c r="I278" s="21"/>
      <c r="J278" s="231"/>
      <c r="K278" s="231"/>
      <c r="L278" s="231"/>
      <c r="M278" s="231"/>
      <c r="N278" s="231"/>
      <c r="O278" s="231"/>
      <c r="P278" s="231"/>
      <c r="Q278" s="231"/>
      <c r="R278" s="231"/>
      <c r="S278" s="231"/>
      <c r="T278" s="231"/>
      <c r="U278" s="231"/>
      <c r="V278" s="231"/>
      <c r="W278" s="231"/>
      <c r="X278" s="231"/>
      <c r="Y278" s="231"/>
      <c r="Z278" s="231"/>
      <c r="AA278" s="231"/>
      <c r="AB278" s="231"/>
      <c r="AC278" s="231"/>
      <c r="AD278" s="231"/>
      <c r="AE278" s="231"/>
      <c r="AF278" s="231"/>
      <c r="AG278" s="231"/>
      <c r="AH278" s="231"/>
      <c r="AI278" s="231"/>
      <c r="AJ278" s="231"/>
      <c r="AK278" s="231"/>
      <c r="AL278" s="231"/>
      <c r="AM278" s="231"/>
      <c r="AN278" s="231"/>
      <c r="AO278" s="231"/>
      <c r="AP278" s="231"/>
      <c r="AQ278" s="231"/>
    </row>
    <row r="279" spans="1:43" s="203" customFormat="1">
      <c r="A279" s="207"/>
      <c r="B279" s="207"/>
      <c r="C279" s="207"/>
      <c r="D279" s="207"/>
      <c r="E279" s="207"/>
      <c r="F279" s="207"/>
      <c r="G279" s="207"/>
      <c r="H279" s="131" t="s">
        <v>27</v>
      </c>
      <c r="I279" s="21"/>
      <c r="J279" s="231"/>
      <c r="K279" s="231"/>
      <c r="L279" s="231"/>
      <c r="M279" s="231"/>
      <c r="N279" s="231"/>
      <c r="O279" s="231"/>
      <c r="P279" s="231"/>
      <c r="Q279" s="231"/>
      <c r="R279" s="231"/>
      <c r="S279" s="231"/>
      <c r="T279" s="231"/>
      <c r="U279" s="231"/>
      <c r="V279" s="231"/>
      <c r="W279" s="231"/>
      <c r="X279" s="231"/>
      <c r="Y279" s="231"/>
      <c r="Z279" s="231"/>
      <c r="AA279" s="231"/>
      <c r="AB279" s="231"/>
      <c r="AC279" s="231"/>
      <c r="AD279" s="231"/>
      <c r="AE279" s="231"/>
      <c r="AF279" s="231"/>
      <c r="AG279" s="231"/>
      <c r="AH279" s="231"/>
      <c r="AI279" s="231"/>
      <c r="AJ279" s="231"/>
      <c r="AK279" s="231"/>
      <c r="AL279" s="231"/>
      <c r="AM279" s="231"/>
      <c r="AN279" s="231"/>
      <c r="AO279" s="231"/>
      <c r="AP279" s="231"/>
      <c r="AQ279" s="231"/>
    </row>
    <row r="280" spans="1:43" s="203" customFormat="1" ht="12.75" customHeight="1">
      <c r="A280" s="106" t="s">
        <v>18</v>
      </c>
      <c r="B280" s="164"/>
      <c r="C280" s="164"/>
      <c r="D280" s="164"/>
      <c r="E280" s="856" t="s">
        <v>377</v>
      </c>
      <c r="F280" s="856" t="s">
        <v>402</v>
      </c>
      <c r="G280" s="130"/>
      <c r="H280" s="856" t="s">
        <v>403</v>
      </c>
      <c r="I280" s="21"/>
      <c r="J280" s="231"/>
      <c r="K280" s="231"/>
      <c r="L280" s="231"/>
      <c r="M280" s="231"/>
      <c r="N280" s="231"/>
      <c r="O280" s="231"/>
      <c r="P280" s="231"/>
      <c r="Q280" s="231"/>
      <c r="R280" s="231"/>
      <c r="S280" s="231"/>
      <c r="T280" s="231"/>
      <c r="U280" s="231"/>
      <c r="V280" s="231"/>
      <c r="W280" s="231"/>
      <c r="X280" s="231"/>
      <c r="Y280" s="231"/>
      <c r="Z280" s="231"/>
      <c r="AA280" s="231"/>
      <c r="AB280" s="231"/>
      <c r="AC280" s="231"/>
      <c r="AD280" s="231"/>
      <c r="AE280" s="231"/>
      <c r="AF280" s="231"/>
      <c r="AG280" s="231"/>
      <c r="AH280" s="231"/>
      <c r="AI280" s="231"/>
      <c r="AJ280" s="231"/>
      <c r="AK280" s="231"/>
      <c r="AL280" s="231"/>
      <c r="AM280" s="231"/>
      <c r="AN280" s="231"/>
      <c r="AO280" s="231"/>
      <c r="AP280" s="231"/>
      <c r="AQ280" s="231"/>
    </row>
    <row r="281" spans="1:43" s="203" customFormat="1">
      <c r="A281" s="165"/>
      <c r="B281" s="47"/>
      <c r="C281" s="47"/>
      <c r="D281" s="47"/>
      <c r="E281" s="859"/>
      <c r="F281" s="859"/>
      <c r="G281" s="130"/>
      <c r="H281" s="859"/>
      <c r="I281" s="21"/>
      <c r="J281" s="231"/>
      <c r="K281" s="231"/>
      <c r="L281" s="231"/>
      <c r="M281" s="231"/>
      <c r="N281" s="231"/>
      <c r="O281" s="231"/>
      <c r="P281" s="231"/>
      <c r="Q281" s="231"/>
      <c r="R281" s="231"/>
      <c r="S281" s="231"/>
      <c r="T281" s="231"/>
      <c r="U281" s="231"/>
      <c r="V281" s="231"/>
      <c r="W281" s="231"/>
      <c r="X281" s="231"/>
      <c r="Y281" s="231"/>
      <c r="Z281" s="231"/>
      <c r="AA281" s="231"/>
      <c r="AB281" s="231"/>
      <c r="AC281" s="231"/>
      <c r="AD281" s="231"/>
      <c r="AE281" s="231"/>
      <c r="AF281" s="231"/>
      <c r="AG281" s="231"/>
      <c r="AH281" s="231"/>
      <c r="AI281" s="231"/>
      <c r="AJ281" s="231"/>
      <c r="AK281" s="231"/>
      <c r="AL281" s="231"/>
      <c r="AM281" s="231"/>
      <c r="AN281" s="231"/>
      <c r="AO281" s="231"/>
      <c r="AP281" s="231"/>
      <c r="AQ281" s="231"/>
    </row>
    <row r="282" spans="1:43" s="203" customFormat="1" ht="21.75" customHeight="1">
      <c r="A282" s="109"/>
      <c r="B282" s="174"/>
      <c r="C282" s="174"/>
      <c r="D282" s="174"/>
      <c r="E282" s="859"/>
      <c r="F282" s="859"/>
      <c r="G282" s="130"/>
      <c r="H282" s="859"/>
      <c r="I282" s="21"/>
      <c r="J282" s="231"/>
      <c r="K282" s="231"/>
      <c r="L282" s="231"/>
      <c r="M282" s="231"/>
      <c r="N282" s="231"/>
      <c r="O282" s="231"/>
      <c r="P282" s="231"/>
      <c r="Q282" s="231"/>
      <c r="R282" s="231"/>
      <c r="S282" s="231"/>
      <c r="T282" s="231"/>
      <c r="U282" s="231"/>
      <c r="V282" s="231"/>
      <c r="W282" s="231"/>
      <c r="X282" s="231"/>
      <c r="Y282" s="231"/>
      <c r="Z282" s="231"/>
      <c r="AA282" s="231"/>
      <c r="AB282" s="231"/>
      <c r="AC282" s="231"/>
      <c r="AD282" s="231"/>
      <c r="AE282" s="231"/>
      <c r="AF282" s="231"/>
      <c r="AG282" s="231"/>
      <c r="AH282" s="231"/>
      <c r="AI282" s="231"/>
      <c r="AJ282" s="231"/>
      <c r="AK282" s="231"/>
      <c r="AL282" s="231"/>
      <c r="AM282" s="231"/>
      <c r="AN282" s="231"/>
      <c r="AO282" s="231"/>
      <c r="AP282" s="231"/>
      <c r="AQ282" s="231"/>
    </row>
    <row r="283" spans="1:43" s="203" customFormat="1">
      <c r="A283" s="154" t="s">
        <v>215</v>
      </c>
      <c r="B283" s="47"/>
      <c r="C283" s="47"/>
      <c r="D283" s="47"/>
      <c r="E283" s="859"/>
      <c r="F283" s="859"/>
      <c r="G283" s="130"/>
      <c r="H283" s="859"/>
      <c r="I283" s="21"/>
      <c r="J283" s="231"/>
      <c r="K283" s="231"/>
      <c r="L283" s="231"/>
      <c r="M283" s="231"/>
      <c r="N283" s="231"/>
      <c r="O283" s="231"/>
      <c r="P283" s="231"/>
      <c r="Q283" s="231"/>
      <c r="R283" s="231"/>
      <c r="S283" s="231"/>
      <c r="T283" s="231"/>
      <c r="U283" s="231"/>
      <c r="V283" s="231"/>
      <c r="W283" s="231"/>
      <c r="X283" s="231"/>
      <c r="Y283" s="231"/>
      <c r="Z283" s="231"/>
      <c r="AA283" s="231"/>
      <c r="AB283" s="231"/>
      <c r="AC283" s="231"/>
      <c r="AD283" s="231"/>
      <c r="AE283" s="231"/>
      <c r="AF283" s="231"/>
      <c r="AG283" s="231"/>
      <c r="AH283" s="231"/>
      <c r="AI283" s="231"/>
      <c r="AJ283" s="231"/>
      <c r="AK283" s="231"/>
      <c r="AL283" s="231"/>
      <c r="AM283" s="231"/>
      <c r="AN283" s="231"/>
      <c r="AO283" s="231"/>
      <c r="AP283" s="231"/>
      <c r="AQ283" s="231"/>
    </row>
    <row r="284" spans="1:43" s="203" customFormat="1">
      <c r="A284" s="109" t="s">
        <v>83</v>
      </c>
      <c r="B284" s="174"/>
      <c r="C284" s="174"/>
      <c r="D284" s="174"/>
      <c r="E284" s="860"/>
      <c r="F284" s="860"/>
      <c r="G284" s="130"/>
      <c r="H284" s="860"/>
      <c r="I284" s="21"/>
      <c r="J284" s="231"/>
      <c r="K284" s="231"/>
      <c r="L284" s="231"/>
      <c r="M284" s="231"/>
      <c r="N284" s="231"/>
      <c r="O284" s="231"/>
      <c r="P284" s="231"/>
      <c r="Q284" s="231"/>
      <c r="R284" s="231"/>
      <c r="S284" s="231"/>
      <c r="T284" s="231"/>
      <c r="U284" s="231"/>
      <c r="V284" s="231"/>
      <c r="W284" s="231"/>
      <c r="X284" s="231"/>
      <c r="Y284" s="231"/>
      <c r="Z284" s="231"/>
      <c r="AA284" s="231"/>
      <c r="AB284" s="231"/>
      <c r="AC284" s="231"/>
      <c r="AD284" s="231"/>
      <c r="AE284" s="231"/>
      <c r="AF284" s="231"/>
      <c r="AG284" s="231"/>
      <c r="AH284" s="231"/>
      <c r="AI284" s="231"/>
      <c r="AJ284" s="231"/>
      <c r="AK284" s="231"/>
      <c r="AL284" s="231"/>
      <c r="AM284" s="231"/>
      <c r="AN284" s="231"/>
      <c r="AO284" s="231"/>
      <c r="AP284" s="231"/>
      <c r="AQ284" s="231"/>
    </row>
    <row r="285" spans="1:43" s="203" customFormat="1">
      <c r="A285" s="110" t="s">
        <v>84</v>
      </c>
      <c r="B285" s="116"/>
      <c r="C285" s="116"/>
      <c r="D285" s="116"/>
      <c r="E285" s="178"/>
      <c r="F285" s="146"/>
      <c r="G285" s="118"/>
      <c r="H285" s="146"/>
      <c r="I285" s="21"/>
      <c r="J285" s="231"/>
      <c r="K285" s="231"/>
      <c r="L285" s="231"/>
      <c r="M285" s="231"/>
      <c r="N285" s="231"/>
      <c r="O285" s="231"/>
      <c r="P285" s="231"/>
      <c r="Q285" s="231"/>
      <c r="R285" s="231"/>
      <c r="S285" s="231"/>
      <c r="T285" s="231"/>
      <c r="U285" s="231"/>
      <c r="V285" s="231"/>
      <c r="W285" s="231"/>
      <c r="X285" s="231"/>
      <c r="Y285" s="231"/>
      <c r="Z285" s="231"/>
      <c r="AA285" s="231"/>
      <c r="AB285" s="231"/>
      <c r="AC285" s="231"/>
      <c r="AD285" s="231"/>
      <c r="AE285" s="231"/>
      <c r="AF285" s="231"/>
      <c r="AG285" s="231"/>
      <c r="AH285" s="231"/>
      <c r="AI285" s="231"/>
      <c r="AJ285" s="231"/>
      <c r="AK285" s="231"/>
      <c r="AL285" s="231"/>
      <c r="AM285" s="231"/>
      <c r="AN285" s="231"/>
      <c r="AO285" s="231"/>
      <c r="AP285" s="231"/>
      <c r="AQ285" s="231"/>
    </row>
    <row r="286" spans="1:43" s="203" customFormat="1">
      <c r="A286" s="120">
        <v>1</v>
      </c>
      <c r="B286" s="47" t="s">
        <v>216</v>
      </c>
      <c r="C286" s="47"/>
      <c r="D286" s="47"/>
      <c r="E286" s="74">
        <v>296</v>
      </c>
      <c r="F286" s="52">
        <f>276</f>
        <v>276</v>
      </c>
      <c r="G286" s="118"/>
      <c r="H286" s="122">
        <v>296</v>
      </c>
      <c r="I286" s="21"/>
      <c r="J286" s="231"/>
      <c r="K286" s="231"/>
      <c r="L286" s="231"/>
      <c r="M286" s="231"/>
      <c r="N286" s="231"/>
      <c r="O286" s="231"/>
      <c r="P286" s="231"/>
      <c r="Q286" s="231"/>
      <c r="R286" s="231"/>
      <c r="S286" s="231"/>
      <c r="T286" s="231"/>
      <c r="U286" s="231"/>
      <c r="V286" s="231"/>
      <c r="W286" s="231"/>
      <c r="X286" s="231"/>
      <c r="Y286" s="231"/>
      <c r="Z286" s="231"/>
      <c r="AA286" s="231"/>
      <c r="AB286" s="231"/>
      <c r="AC286" s="231"/>
      <c r="AD286" s="231"/>
      <c r="AE286" s="231"/>
      <c r="AF286" s="231"/>
      <c r="AG286" s="231"/>
      <c r="AH286" s="231"/>
      <c r="AI286" s="231"/>
      <c r="AJ286" s="231"/>
      <c r="AK286" s="231"/>
      <c r="AL286" s="231"/>
      <c r="AM286" s="231"/>
      <c r="AN286" s="231"/>
      <c r="AO286" s="231"/>
      <c r="AP286" s="231"/>
      <c r="AQ286" s="231"/>
    </row>
    <row r="287" spans="1:43" s="203" customFormat="1">
      <c r="A287" s="788">
        <v>2</v>
      </c>
      <c r="B287" s="47" t="s">
        <v>217</v>
      </c>
      <c r="C287" s="47"/>
      <c r="D287" s="47"/>
      <c r="E287" s="114">
        <v>296</v>
      </c>
      <c r="F287" s="52">
        <f>276</f>
        <v>276</v>
      </c>
      <c r="G287" s="118"/>
      <c r="H287" s="122">
        <v>286</v>
      </c>
      <c r="I287" s="21"/>
      <c r="J287" s="231"/>
      <c r="K287" s="231"/>
      <c r="L287" s="231"/>
      <c r="M287" s="231"/>
      <c r="N287" s="231"/>
      <c r="O287" s="231"/>
      <c r="P287" s="231"/>
      <c r="Q287" s="231"/>
      <c r="R287" s="231"/>
      <c r="S287" s="231"/>
      <c r="T287" s="231"/>
      <c r="U287" s="231"/>
      <c r="V287" s="231"/>
      <c r="W287" s="231"/>
      <c r="X287" s="231"/>
      <c r="Y287" s="231"/>
      <c r="Z287" s="231"/>
      <c r="AA287" s="231"/>
      <c r="AB287" s="231"/>
      <c r="AC287" s="231"/>
      <c r="AD287" s="231"/>
      <c r="AE287" s="231"/>
      <c r="AF287" s="231"/>
      <c r="AG287" s="231"/>
      <c r="AH287" s="231"/>
      <c r="AI287" s="231"/>
      <c r="AJ287" s="231"/>
      <c r="AK287" s="231"/>
      <c r="AL287" s="231"/>
      <c r="AM287" s="231"/>
      <c r="AN287" s="231"/>
      <c r="AO287" s="231"/>
      <c r="AP287" s="231"/>
      <c r="AQ287" s="231"/>
    </row>
    <row r="288" spans="1:43" s="203" customFormat="1">
      <c r="A288" s="120">
        <v>3</v>
      </c>
      <c r="B288" s="90" t="s">
        <v>218</v>
      </c>
      <c r="C288" s="166"/>
      <c r="D288" s="168"/>
      <c r="E288" s="114">
        <v>709</v>
      </c>
      <c r="F288" s="52">
        <f>600</f>
        <v>600</v>
      </c>
      <c r="G288" s="118"/>
      <c r="H288" s="122">
        <v>694</v>
      </c>
      <c r="I288" s="21"/>
      <c r="J288" s="231"/>
      <c r="K288" s="231"/>
      <c r="L288" s="231"/>
      <c r="M288" s="231"/>
      <c r="N288" s="231"/>
      <c r="O288" s="231"/>
      <c r="P288" s="231"/>
      <c r="Q288" s="231"/>
      <c r="R288" s="231"/>
      <c r="S288" s="231"/>
      <c r="T288" s="231"/>
      <c r="U288" s="231"/>
      <c r="V288" s="231"/>
      <c r="W288" s="231"/>
      <c r="X288" s="231"/>
      <c r="Y288" s="231"/>
      <c r="Z288" s="231"/>
      <c r="AA288" s="231"/>
      <c r="AB288" s="231"/>
      <c r="AC288" s="231"/>
      <c r="AD288" s="231"/>
      <c r="AE288" s="231"/>
      <c r="AF288" s="231"/>
      <c r="AG288" s="231"/>
      <c r="AH288" s="231"/>
      <c r="AI288" s="231"/>
      <c r="AJ288" s="231"/>
      <c r="AK288" s="231"/>
      <c r="AL288" s="231"/>
      <c r="AM288" s="231"/>
      <c r="AN288" s="231"/>
      <c r="AO288" s="231"/>
      <c r="AP288" s="231"/>
      <c r="AQ288" s="231"/>
    </row>
    <row r="289" spans="1:43" s="203" customFormat="1">
      <c r="A289" s="788">
        <v>4</v>
      </c>
      <c r="B289" s="47" t="s">
        <v>219</v>
      </c>
      <c r="C289" s="47"/>
      <c r="D289" s="116"/>
      <c r="E289" s="114">
        <v>127</v>
      </c>
      <c r="F289" s="52">
        <f>25</f>
        <v>25</v>
      </c>
      <c r="G289" s="118"/>
      <c r="H289" s="122">
        <v>123</v>
      </c>
      <c r="I289" s="21"/>
      <c r="J289" s="231"/>
      <c r="K289" s="231"/>
      <c r="L289" s="231"/>
      <c r="M289" s="231"/>
      <c r="N289" s="231"/>
      <c r="O289" s="231"/>
      <c r="P289" s="231"/>
      <c r="Q289" s="231"/>
      <c r="R289" s="231"/>
      <c r="S289" s="231"/>
      <c r="T289" s="231"/>
      <c r="U289" s="231"/>
      <c r="V289" s="231"/>
      <c r="W289" s="231"/>
      <c r="X289" s="231"/>
      <c r="Y289" s="231"/>
      <c r="Z289" s="231"/>
      <c r="AA289" s="231"/>
      <c r="AB289" s="231"/>
      <c r="AC289" s="231"/>
      <c r="AD289" s="231"/>
      <c r="AE289" s="231"/>
      <c r="AF289" s="231"/>
      <c r="AG289" s="231"/>
      <c r="AH289" s="231"/>
      <c r="AI289" s="231"/>
      <c r="AJ289" s="231"/>
      <c r="AK289" s="231"/>
      <c r="AL289" s="231"/>
      <c r="AM289" s="231"/>
      <c r="AN289" s="231"/>
      <c r="AO289" s="231"/>
      <c r="AP289" s="231"/>
      <c r="AQ289" s="231"/>
    </row>
    <row r="290" spans="1:43" s="203" customFormat="1">
      <c r="A290" s="788">
        <v>5</v>
      </c>
      <c r="B290" s="47" t="s">
        <v>220</v>
      </c>
      <c r="C290" s="47"/>
      <c r="D290" s="47"/>
      <c r="E290" s="114">
        <v>-208</v>
      </c>
      <c r="F290" s="52">
        <v>-157</v>
      </c>
      <c r="G290" s="118"/>
      <c r="H290" s="122">
        <v>-218</v>
      </c>
      <c r="I290" s="21"/>
      <c r="J290" s="231"/>
      <c r="K290" s="231"/>
      <c r="L290" s="231"/>
      <c r="M290" s="231"/>
      <c r="N290" s="231"/>
      <c r="O290" s="231"/>
      <c r="P290" s="231"/>
      <c r="Q290" s="231"/>
      <c r="R290" s="231"/>
      <c r="S290" s="231"/>
      <c r="T290" s="231"/>
      <c r="U290" s="231"/>
      <c r="V290" s="231"/>
      <c r="W290" s="231"/>
      <c r="X290" s="231"/>
      <c r="Y290" s="231"/>
      <c r="Z290" s="231"/>
      <c r="AA290" s="231"/>
      <c r="AB290" s="231"/>
      <c r="AC290" s="231"/>
      <c r="AD290" s="231"/>
      <c r="AE290" s="231"/>
      <c r="AF290" s="231"/>
      <c r="AG290" s="231"/>
      <c r="AH290" s="231"/>
      <c r="AI290" s="231"/>
      <c r="AJ290" s="231"/>
      <c r="AK290" s="231"/>
      <c r="AL290" s="231"/>
      <c r="AM290" s="231"/>
      <c r="AN290" s="231"/>
      <c r="AO290" s="231"/>
      <c r="AP290" s="231"/>
      <c r="AQ290" s="231"/>
    </row>
    <row r="291" spans="1:43" s="203" customFormat="1">
      <c r="A291" s="120">
        <v>6</v>
      </c>
      <c r="B291" s="47" t="s">
        <v>221</v>
      </c>
      <c r="C291" s="47"/>
      <c r="D291" s="47"/>
      <c r="E291" s="114">
        <v>263</v>
      </c>
      <c r="F291" s="52">
        <f>648</f>
        <v>648</v>
      </c>
      <c r="G291" s="118"/>
      <c r="H291" s="122">
        <v>263</v>
      </c>
      <c r="I291" s="21"/>
      <c r="J291" s="231"/>
      <c r="K291" s="231"/>
      <c r="L291" s="231"/>
      <c r="M291" s="231"/>
      <c r="N291" s="231"/>
      <c r="O291" s="231"/>
      <c r="P291" s="231"/>
      <c r="Q291" s="231"/>
      <c r="R291" s="231"/>
      <c r="S291" s="231"/>
      <c r="T291" s="231"/>
      <c r="U291" s="231"/>
      <c r="V291" s="231"/>
      <c r="W291" s="231"/>
      <c r="X291" s="231"/>
      <c r="Y291" s="231"/>
      <c r="Z291" s="231"/>
      <c r="AA291" s="231"/>
      <c r="AB291" s="231"/>
      <c r="AC291" s="231"/>
      <c r="AD291" s="231"/>
      <c r="AE291" s="231"/>
      <c r="AF291" s="231"/>
      <c r="AG291" s="231"/>
      <c r="AH291" s="231"/>
      <c r="AI291" s="231"/>
      <c r="AJ291" s="231"/>
      <c r="AK291" s="231"/>
      <c r="AL291" s="231"/>
      <c r="AM291" s="231"/>
      <c r="AN291" s="231"/>
      <c r="AO291" s="231"/>
      <c r="AP291" s="231"/>
      <c r="AQ291" s="231"/>
    </row>
    <row r="292" spans="1:43" s="203" customFormat="1">
      <c r="A292" s="788">
        <v>7</v>
      </c>
      <c r="B292" s="47" t="s">
        <v>222</v>
      </c>
      <c r="C292" s="47"/>
      <c r="D292" s="116"/>
      <c r="E292" s="114">
        <v>298</v>
      </c>
      <c r="F292" s="52">
        <f>297</f>
        <v>297</v>
      </c>
      <c r="G292" s="118"/>
      <c r="H292" s="122">
        <v>316</v>
      </c>
      <c r="I292" s="21"/>
      <c r="J292" s="231"/>
      <c r="K292" s="231"/>
      <c r="L292" s="231"/>
      <c r="M292" s="231"/>
      <c r="N292" s="231"/>
      <c r="O292" s="231"/>
      <c r="P292" s="231"/>
      <c r="Q292" s="231"/>
      <c r="R292" s="231"/>
      <c r="S292" s="231"/>
      <c r="T292" s="231"/>
      <c r="U292" s="231"/>
      <c r="V292" s="231"/>
      <c r="W292" s="231"/>
      <c r="X292" s="231"/>
      <c r="Y292" s="231"/>
      <c r="Z292" s="231"/>
      <c r="AA292" s="231"/>
      <c r="AB292" s="231"/>
      <c r="AC292" s="231"/>
      <c r="AD292" s="231"/>
      <c r="AE292" s="231"/>
      <c r="AF292" s="231"/>
      <c r="AG292" s="231"/>
      <c r="AH292" s="231"/>
      <c r="AI292" s="231"/>
      <c r="AJ292" s="231"/>
      <c r="AK292" s="231"/>
      <c r="AL292" s="231"/>
      <c r="AM292" s="231"/>
      <c r="AN292" s="231"/>
      <c r="AO292" s="231"/>
      <c r="AP292" s="231"/>
      <c r="AQ292" s="231"/>
    </row>
    <row r="293" spans="1:43" s="203" customFormat="1">
      <c r="A293" s="120">
        <v>8</v>
      </c>
      <c r="B293" s="47" t="s">
        <v>223</v>
      </c>
      <c r="C293" s="47"/>
      <c r="D293" s="116"/>
      <c r="E293" s="114">
        <v>260</v>
      </c>
      <c r="F293" s="52">
        <f>261</f>
        <v>261</v>
      </c>
      <c r="G293" s="118"/>
      <c r="H293" s="122">
        <v>284</v>
      </c>
      <c r="I293" s="21"/>
      <c r="J293" s="231"/>
      <c r="K293" s="231"/>
      <c r="L293" s="231"/>
      <c r="M293" s="231"/>
      <c r="N293" s="231"/>
      <c r="O293" s="231"/>
      <c r="P293" s="231"/>
      <c r="Q293" s="231"/>
      <c r="R293" s="231"/>
      <c r="S293" s="231"/>
      <c r="T293" s="231"/>
      <c r="U293" s="231"/>
      <c r="V293" s="231"/>
      <c r="W293" s="231"/>
      <c r="X293" s="231"/>
      <c r="Y293" s="231"/>
      <c r="Z293" s="231"/>
      <c r="AA293" s="231"/>
      <c r="AB293" s="231"/>
      <c r="AC293" s="231"/>
      <c r="AD293" s="231"/>
      <c r="AE293" s="231"/>
      <c r="AF293" s="231"/>
      <c r="AG293" s="231"/>
      <c r="AH293" s="231"/>
      <c r="AI293" s="231"/>
      <c r="AJ293" s="231"/>
      <c r="AK293" s="231"/>
      <c r="AL293" s="231"/>
      <c r="AM293" s="231"/>
      <c r="AN293" s="231"/>
      <c r="AO293" s="231"/>
      <c r="AP293" s="231"/>
      <c r="AQ293" s="231"/>
    </row>
    <row r="294" spans="1:43" s="203" customFormat="1">
      <c r="A294" s="788">
        <v>9</v>
      </c>
      <c r="B294" s="47" t="s">
        <v>224</v>
      </c>
      <c r="C294" s="47"/>
      <c r="D294" s="116"/>
      <c r="E294" s="114">
        <v>140</v>
      </c>
      <c r="F294" s="52">
        <f>140</f>
        <v>140</v>
      </c>
      <c r="G294" s="118"/>
      <c r="H294" s="122">
        <v>140</v>
      </c>
      <c r="I294" s="21"/>
      <c r="J294" s="231"/>
      <c r="K294" s="231"/>
      <c r="L294" s="231"/>
      <c r="M294" s="231"/>
      <c r="N294" s="231"/>
      <c r="O294" s="231"/>
      <c r="P294" s="231"/>
      <c r="Q294" s="231"/>
      <c r="R294" s="231"/>
      <c r="S294" s="231"/>
      <c r="T294" s="231"/>
      <c r="U294" s="231"/>
      <c r="V294" s="231"/>
      <c r="W294" s="231"/>
      <c r="X294" s="231"/>
      <c r="Y294" s="231"/>
      <c r="Z294" s="231"/>
      <c r="AA294" s="231"/>
      <c r="AB294" s="231"/>
      <c r="AC294" s="231"/>
      <c r="AD294" s="231"/>
      <c r="AE294" s="231"/>
      <c r="AF294" s="231"/>
      <c r="AG294" s="231"/>
      <c r="AH294" s="231"/>
      <c r="AI294" s="231"/>
      <c r="AJ294" s="231"/>
      <c r="AK294" s="231"/>
      <c r="AL294" s="231"/>
      <c r="AM294" s="231"/>
      <c r="AN294" s="231"/>
      <c r="AO294" s="231"/>
      <c r="AP294" s="231"/>
      <c r="AQ294" s="231"/>
    </row>
    <row r="295" spans="1:43" s="203" customFormat="1">
      <c r="A295" s="120">
        <v>10</v>
      </c>
      <c r="B295" s="47" t="s">
        <v>225</v>
      </c>
      <c r="C295" s="47"/>
      <c r="D295" s="47"/>
      <c r="E295" s="114">
        <v>109</v>
      </c>
      <c r="F295" s="52">
        <v>133</v>
      </c>
      <c r="G295" s="118"/>
      <c r="H295" s="122">
        <v>109</v>
      </c>
      <c r="I295" s="21"/>
      <c r="J295" s="231"/>
      <c r="K295" s="231"/>
      <c r="L295" s="231"/>
      <c r="M295" s="231"/>
      <c r="N295" s="231"/>
      <c r="O295" s="231"/>
      <c r="P295" s="231"/>
      <c r="Q295" s="231"/>
      <c r="R295" s="231"/>
      <c r="S295" s="231"/>
      <c r="T295" s="231"/>
      <c r="U295" s="231"/>
      <c r="V295" s="231"/>
      <c r="W295" s="231"/>
      <c r="X295" s="231"/>
      <c r="Y295" s="231"/>
      <c r="Z295" s="231"/>
      <c r="AA295" s="231"/>
      <c r="AB295" s="231"/>
      <c r="AC295" s="231"/>
      <c r="AD295" s="231"/>
      <c r="AE295" s="231"/>
      <c r="AF295" s="231"/>
      <c r="AG295" s="231"/>
      <c r="AH295" s="231"/>
      <c r="AI295" s="231"/>
      <c r="AJ295" s="231"/>
      <c r="AK295" s="231"/>
      <c r="AL295" s="231"/>
      <c r="AM295" s="231"/>
      <c r="AN295" s="231"/>
      <c r="AO295" s="231"/>
      <c r="AP295" s="231"/>
      <c r="AQ295" s="231"/>
    </row>
    <row r="296" spans="1:43" s="203" customFormat="1">
      <c r="A296" s="788">
        <v>11</v>
      </c>
      <c r="B296" s="47" t="s">
        <v>226</v>
      </c>
      <c r="C296" s="47"/>
      <c r="D296" s="47"/>
      <c r="E296" s="114">
        <v>1068</v>
      </c>
      <c r="F296" s="52">
        <f>601</f>
        <v>601</v>
      </c>
      <c r="G296" s="118"/>
      <c r="H296" s="122">
        <v>1038</v>
      </c>
      <c r="I296" s="21"/>
      <c r="J296" s="231"/>
      <c r="K296" s="231"/>
      <c r="L296" s="231"/>
      <c r="M296" s="231"/>
      <c r="N296" s="231"/>
      <c r="O296" s="231"/>
      <c r="P296" s="231"/>
      <c r="Q296" s="231"/>
      <c r="R296" s="231"/>
      <c r="S296" s="231"/>
      <c r="T296" s="231"/>
      <c r="U296" s="231"/>
      <c r="V296" s="231"/>
      <c r="W296" s="231"/>
      <c r="X296" s="231"/>
      <c r="Y296" s="231"/>
      <c r="Z296" s="231"/>
      <c r="AA296" s="231"/>
      <c r="AB296" s="231"/>
      <c r="AC296" s="231"/>
      <c r="AD296" s="231"/>
      <c r="AE296" s="231"/>
      <c r="AF296" s="231"/>
      <c r="AG296" s="231"/>
      <c r="AH296" s="231"/>
      <c r="AI296" s="231"/>
      <c r="AJ296" s="231"/>
      <c r="AK296" s="231"/>
      <c r="AL296" s="231"/>
      <c r="AM296" s="231"/>
      <c r="AN296" s="231"/>
      <c r="AO296" s="231"/>
      <c r="AP296" s="231"/>
      <c r="AQ296" s="231"/>
    </row>
    <row r="297" spans="1:43" s="203" customFormat="1">
      <c r="A297" s="120">
        <v>12</v>
      </c>
      <c r="B297" s="47" t="s">
        <v>227</v>
      </c>
      <c r="C297" s="47"/>
      <c r="D297" s="47"/>
      <c r="E297" s="114">
        <v>403</v>
      </c>
      <c r="F297" s="52">
        <f>6+333</f>
        <v>339</v>
      </c>
      <c r="G297" s="118"/>
      <c r="H297" s="122">
        <v>398</v>
      </c>
      <c r="I297" s="21"/>
      <c r="J297" s="231"/>
      <c r="K297" s="231"/>
      <c r="L297" s="231"/>
      <c r="M297" s="231"/>
      <c r="N297" s="231"/>
      <c r="O297" s="231"/>
      <c r="P297" s="231"/>
      <c r="Q297" s="231"/>
      <c r="R297" s="231"/>
      <c r="S297" s="231"/>
      <c r="T297" s="231"/>
      <c r="U297" s="231"/>
      <c r="V297" s="231"/>
      <c r="W297" s="231"/>
      <c r="X297" s="231"/>
      <c r="Y297" s="231"/>
      <c r="Z297" s="231"/>
      <c r="AA297" s="231"/>
      <c r="AB297" s="231"/>
      <c r="AC297" s="231"/>
      <c r="AD297" s="231"/>
      <c r="AE297" s="231"/>
      <c r="AF297" s="231"/>
      <c r="AG297" s="231"/>
      <c r="AH297" s="231"/>
      <c r="AI297" s="231"/>
      <c r="AJ297" s="231"/>
      <c r="AK297" s="231"/>
      <c r="AL297" s="231"/>
      <c r="AM297" s="231"/>
      <c r="AN297" s="231"/>
      <c r="AO297" s="231"/>
      <c r="AP297" s="231"/>
      <c r="AQ297" s="231"/>
    </row>
    <row r="298" spans="1:43" s="203" customFormat="1">
      <c r="A298" s="788">
        <v>13</v>
      </c>
      <c r="B298" s="47" t="s">
        <v>228</v>
      </c>
      <c r="C298" s="47"/>
      <c r="D298" s="47"/>
      <c r="E298" s="114">
        <v>3371</v>
      </c>
      <c r="F298" s="52">
        <f>3844</f>
        <v>3844</v>
      </c>
      <c r="G298" s="118"/>
      <c r="H298" s="122">
        <v>3315</v>
      </c>
      <c r="I298" s="21"/>
      <c r="J298" s="231"/>
      <c r="K298" s="231"/>
      <c r="L298" s="231"/>
      <c r="M298" s="231"/>
      <c r="N298" s="231"/>
      <c r="O298" s="231"/>
      <c r="P298" s="231"/>
      <c r="Q298" s="231"/>
      <c r="R298" s="231"/>
      <c r="S298" s="231"/>
      <c r="T298" s="231"/>
      <c r="U298" s="231"/>
      <c r="V298" s="231"/>
      <c r="W298" s="231"/>
      <c r="X298" s="231"/>
      <c r="Y298" s="231"/>
      <c r="Z298" s="231"/>
      <c r="AA298" s="231"/>
      <c r="AB298" s="231"/>
      <c r="AC298" s="231"/>
      <c r="AD298" s="231"/>
      <c r="AE298" s="231"/>
      <c r="AF298" s="231"/>
      <c r="AG298" s="231"/>
      <c r="AH298" s="231"/>
      <c r="AI298" s="231"/>
      <c r="AJ298" s="231"/>
      <c r="AK298" s="231"/>
      <c r="AL298" s="231"/>
      <c r="AM298" s="231"/>
      <c r="AN298" s="231"/>
      <c r="AO298" s="231"/>
      <c r="AP298" s="231"/>
      <c r="AQ298" s="231"/>
    </row>
    <row r="299" spans="1:43" s="203" customFormat="1">
      <c r="A299" s="120">
        <v>14</v>
      </c>
      <c r="B299" s="47" t="s">
        <v>229</v>
      </c>
      <c r="C299" s="47"/>
      <c r="D299" s="116"/>
      <c r="E299" s="114">
        <v>0</v>
      </c>
      <c r="F299" s="52">
        <v>1</v>
      </c>
      <c r="G299" s="118"/>
      <c r="H299" s="122"/>
      <c r="I299" s="21"/>
      <c r="J299" s="231"/>
      <c r="K299" s="231"/>
      <c r="L299" s="231"/>
      <c r="M299" s="231"/>
      <c r="N299" s="231"/>
      <c r="O299" s="231"/>
      <c r="P299" s="231"/>
      <c r="Q299" s="231"/>
      <c r="R299" s="231"/>
      <c r="S299" s="231"/>
      <c r="T299" s="231"/>
      <c r="U299" s="231"/>
      <c r="V299" s="231"/>
      <c r="W299" s="231"/>
      <c r="X299" s="231"/>
      <c r="Y299" s="231"/>
      <c r="Z299" s="231"/>
      <c r="AA299" s="231"/>
      <c r="AB299" s="231"/>
      <c r="AC299" s="231"/>
      <c r="AD299" s="231"/>
      <c r="AE299" s="231"/>
      <c r="AF299" s="231"/>
      <c r="AG299" s="231"/>
      <c r="AH299" s="231"/>
      <c r="AI299" s="231"/>
      <c r="AJ299" s="231"/>
      <c r="AK299" s="231"/>
      <c r="AL299" s="231"/>
      <c r="AM299" s="231"/>
      <c r="AN299" s="231"/>
      <c r="AO299" s="231"/>
      <c r="AP299" s="231"/>
      <c r="AQ299" s="231"/>
    </row>
    <row r="300" spans="1:43" s="203" customFormat="1">
      <c r="A300" s="788">
        <v>15</v>
      </c>
      <c r="B300" s="47" t="s">
        <v>230</v>
      </c>
      <c r="C300" s="47"/>
      <c r="D300" s="116"/>
      <c r="E300" s="114">
        <v>1110</v>
      </c>
      <c r="F300" s="52">
        <f>1020</f>
        <v>1020</v>
      </c>
      <c r="G300" s="118"/>
      <c r="H300" s="122">
        <v>1100</v>
      </c>
      <c r="I300" s="21"/>
      <c r="J300" s="231"/>
      <c r="K300" s="231"/>
      <c r="L300" s="231"/>
      <c r="M300" s="231"/>
      <c r="N300" s="231"/>
      <c r="O300" s="231"/>
      <c r="P300" s="231"/>
      <c r="Q300" s="231"/>
      <c r="R300" s="231"/>
      <c r="S300" s="231"/>
      <c r="T300" s="231"/>
      <c r="U300" s="231"/>
      <c r="V300" s="231"/>
      <c r="W300" s="231"/>
      <c r="X300" s="231"/>
      <c r="Y300" s="231"/>
      <c r="Z300" s="231"/>
      <c r="AA300" s="231"/>
      <c r="AB300" s="231"/>
      <c r="AC300" s="231"/>
      <c r="AD300" s="231"/>
      <c r="AE300" s="231"/>
      <c r="AF300" s="231"/>
      <c r="AG300" s="231"/>
      <c r="AH300" s="231"/>
      <c r="AI300" s="231"/>
      <c r="AJ300" s="231"/>
      <c r="AK300" s="231"/>
      <c r="AL300" s="231"/>
      <c r="AM300" s="231"/>
      <c r="AN300" s="231"/>
      <c r="AO300" s="231"/>
      <c r="AP300" s="231"/>
      <c r="AQ300" s="231"/>
    </row>
    <row r="301" spans="1:43" s="203" customFormat="1">
      <c r="A301" s="120">
        <v>17</v>
      </c>
      <c r="B301" s="47" t="s">
        <v>231</v>
      </c>
      <c r="C301" s="47"/>
      <c r="D301" s="47"/>
      <c r="E301" s="114">
        <v>1789</v>
      </c>
      <c r="F301" s="52">
        <f>907+405-5+700-261</f>
        <v>1746</v>
      </c>
      <c r="G301" s="118"/>
      <c r="H301" s="99">
        <v>1680</v>
      </c>
      <c r="I301" s="21"/>
      <c r="J301" s="231"/>
      <c r="K301" s="231"/>
      <c r="L301" s="231"/>
      <c r="M301" s="231"/>
      <c r="N301" s="231"/>
      <c r="O301" s="231"/>
      <c r="P301" s="231"/>
      <c r="Q301" s="231"/>
      <c r="R301" s="231"/>
      <c r="S301" s="231"/>
      <c r="T301" s="231"/>
      <c r="U301" s="231"/>
      <c r="V301" s="231"/>
      <c r="W301" s="231"/>
      <c r="X301" s="231"/>
      <c r="Y301" s="231"/>
      <c r="Z301" s="231"/>
      <c r="AA301" s="231"/>
      <c r="AB301" s="231"/>
      <c r="AC301" s="231"/>
      <c r="AD301" s="231"/>
      <c r="AE301" s="231"/>
      <c r="AF301" s="231"/>
      <c r="AG301" s="231"/>
      <c r="AH301" s="231"/>
      <c r="AI301" s="231"/>
      <c r="AJ301" s="231"/>
      <c r="AK301" s="231"/>
      <c r="AL301" s="231"/>
      <c r="AM301" s="231"/>
      <c r="AN301" s="231"/>
      <c r="AO301" s="231"/>
      <c r="AP301" s="231"/>
      <c r="AQ301" s="231"/>
    </row>
    <row r="302" spans="1:43" s="203" customFormat="1">
      <c r="A302" s="789">
        <v>18</v>
      </c>
      <c r="B302" s="94" t="s">
        <v>232</v>
      </c>
      <c r="C302" s="94"/>
      <c r="D302" s="94"/>
      <c r="E302" s="159">
        <v>10031</v>
      </c>
      <c r="F302" s="61">
        <f>SUM(F286:F301)</f>
        <v>10050</v>
      </c>
      <c r="G302" s="118"/>
      <c r="H302" s="61">
        <f>SUM(H286:H301)</f>
        <v>9824</v>
      </c>
      <c r="I302" s="21"/>
      <c r="J302" s="231"/>
      <c r="K302" s="231"/>
      <c r="L302" s="231"/>
      <c r="M302" s="231"/>
      <c r="N302" s="231"/>
      <c r="O302" s="231"/>
      <c r="P302" s="231"/>
      <c r="Q302" s="231"/>
      <c r="R302" s="231"/>
      <c r="S302" s="231"/>
      <c r="T302" s="231"/>
      <c r="U302" s="231"/>
      <c r="V302" s="231"/>
      <c r="W302" s="231"/>
      <c r="X302" s="231"/>
      <c r="Y302" s="231"/>
      <c r="Z302" s="231"/>
      <c r="AA302" s="231"/>
      <c r="AB302" s="231"/>
      <c r="AC302" s="231"/>
      <c r="AD302" s="231"/>
      <c r="AE302" s="231"/>
      <c r="AF302" s="231"/>
      <c r="AG302" s="231"/>
      <c r="AH302" s="231"/>
      <c r="AI302" s="231"/>
      <c r="AJ302" s="231"/>
      <c r="AK302" s="231"/>
      <c r="AL302" s="231"/>
      <c r="AM302" s="231"/>
      <c r="AN302" s="231"/>
      <c r="AO302" s="231"/>
      <c r="AP302" s="231"/>
      <c r="AQ302" s="231"/>
    </row>
    <row r="303" spans="1:43" s="203" customFormat="1">
      <c r="A303" s="179"/>
      <c r="B303" s="180"/>
      <c r="C303" s="180"/>
      <c r="D303" s="181"/>
      <c r="E303" s="182"/>
      <c r="F303" s="183"/>
      <c r="G303" s="21"/>
      <c r="H303" s="183"/>
      <c r="I303" s="21"/>
      <c r="J303" s="231"/>
      <c r="K303" s="231"/>
      <c r="L303" s="231"/>
      <c r="M303" s="231"/>
      <c r="N303" s="231"/>
      <c r="O303" s="231"/>
      <c r="P303" s="231"/>
      <c r="Q303" s="231"/>
      <c r="R303" s="231"/>
      <c r="S303" s="231"/>
      <c r="T303" s="231"/>
      <c r="U303" s="231"/>
      <c r="V303" s="231"/>
      <c r="W303" s="231"/>
      <c r="X303" s="231"/>
      <c r="Y303" s="231"/>
      <c r="Z303" s="231"/>
      <c r="AA303" s="231"/>
      <c r="AB303" s="231"/>
      <c r="AC303" s="231"/>
      <c r="AD303" s="231"/>
      <c r="AE303" s="231"/>
      <c r="AF303" s="231"/>
      <c r="AG303" s="231"/>
      <c r="AH303" s="231"/>
      <c r="AI303" s="231"/>
      <c r="AJ303" s="231"/>
      <c r="AK303" s="231"/>
      <c r="AL303" s="231"/>
      <c r="AM303" s="231"/>
      <c r="AN303" s="231"/>
      <c r="AO303" s="231"/>
      <c r="AP303" s="231"/>
      <c r="AQ303" s="231"/>
    </row>
    <row r="304" spans="1:43" s="203" customFormat="1">
      <c r="A304" s="184"/>
      <c r="B304" s="207"/>
      <c r="C304" s="207"/>
      <c r="D304" s="209"/>
      <c r="E304" s="185"/>
      <c r="F304" s="207"/>
      <c r="G304" s="207"/>
      <c r="H304" s="131" t="s">
        <v>27</v>
      </c>
      <c r="I304" s="21"/>
      <c r="J304" s="231"/>
      <c r="K304" s="231"/>
      <c r="L304" s="231"/>
      <c r="M304" s="231"/>
      <c r="N304" s="231"/>
      <c r="O304" s="231"/>
      <c r="P304" s="231"/>
      <c r="Q304" s="231"/>
      <c r="R304" s="231"/>
      <c r="S304" s="231"/>
      <c r="T304" s="231"/>
      <c r="U304" s="231"/>
      <c r="V304" s="231"/>
      <c r="W304" s="231"/>
      <c r="X304" s="231"/>
      <c r="Y304" s="231"/>
      <c r="Z304" s="231"/>
      <c r="AA304" s="231"/>
      <c r="AB304" s="231"/>
      <c r="AC304" s="231"/>
      <c r="AD304" s="231"/>
      <c r="AE304" s="231"/>
      <c r="AF304" s="231"/>
      <c r="AG304" s="231"/>
      <c r="AH304" s="231"/>
      <c r="AI304" s="231"/>
      <c r="AJ304" s="231"/>
      <c r="AK304" s="231"/>
      <c r="AL304" s="231"/>
      <c r="AM304" s="231"/>
      <c r="AN304" s="231"/>
      <c r="AO304" s="231"/>
      <c r="AP304" s="231"/>
      <c r="AQ304" s="231"/>
    </row>
    <row r="305" spans="1:43" s="203" customFormat="1" ht="12.75" customHeight="1">
      <c r="A305" s="106" t="s">
        <v>21</v>
      </c>
      <c r="B305" s="164"/>
      <c r="C305" s="164"/>
      <c r="D305" s="164"/>
      <c r="E305" s="856" t="s">
        <v>377</v>
      </c>
      <c r="F305" s="856" t="s">
        <v>402</v>
      </c>
      <c r="G305" s="130"/>
      <c r="H305" s="856" t="s">
        <v>403</v>
      </c>
      <c r="I305" s="21"/>
      <c r="J305" s="231"/>
      <c r="K305" s="231"/>
      <c r="L305" s="231"/>
      <c r="M305" s="231"/>
      <c r="N305" s="231"/>
      <c r="O305" s="231"/>
      <c r="P305" s="231"/>
      <c r="Q305" s="231"/>
      <c r="R305" s="231"/>
      <c r="S305" s="231"/>
      <c r="T305" s="231"/>
      <c r="U305" s="231"/>
      <c r="V305" s="231"/>
      <c r="W305" s="231"/>
      <c r="X305" s="231"/>
      <c r="Y305" s="231"/>
      <c r="Z305" s="231"/>
      <c r="AA305" s="231"/>
      <c r="AB305" s="231"/>
      <c r="AC305" s="231"/>
      <c r="AD305" s="231"/>
      <c r="AE305" s="231"/>
      <c r="AF305" s="231"/>
      <c r="AG305" s="231"/>
      <c r="AH305" s="231"/>
      <c r="AI305" s="231"/>
      <c r="AJ305" s="231"/>
      <c r="AK305" s="231"/>
      <c r="AL305" s="231"/>
      <c r="AM305" s="231"/>
      <c r="AN305" s="231"/>
      <c r="AO305" s="231"/>
      <c r="AP305" s="231"/>
      <c r="AQ305" s="231"/>
    </row>
    <row r="306" spans="1:43" s="203" customFormat="1">
      <c r="A306" s="165"/>
      <c r="B306" s="47"/>
      <c r="C306" s="47"/>
      <c r="D306" s="47"/>
      <c r="E306" s="859"/>
      <c r="F306" s="859"/>
      <c r="G306" s="130"/>
      <c r="H306" s="859"/>
      <c r="I306" s="21"/>
      <c r="J306" s="231"/>
      <c r="K306" s="231"/>
      <c r="L306" s="231"/>
      <c r="M306" s="231"/>
      <c r="N306" s="231"/>
      <c r="O306" s="231"/>
      <c r="P306" s="231"/>
      <c r="Q306" s="231"/>
      <c r="R306" s="231"/>
      <c r="S306" s="231"/>
      <c r="T306" s="231"/>
      <c r="U306" s="231"/>
      <c r="V306" s="231"/>
      <c r="W306" s="231"/>
      <c r="X306" s="231"/>
      <c r="Y306" s="231"/>
      <c r="Z306" s="231"/>
      <c r="AA306" s="231"/>
      <c r="AB306" s="231"/>
      <c r="AC306" s="231"/>
      <c r="AD306" s="231"/>
      <c r="AE306" s="231"/>
      <c r="AF306" s="231"/>
      <c r="AG306" s="231"/>
      <c r="AH306" s="231"/>
      <c r="AI306" s="231"/>
      <c r="AJ306" s="231"/>
      <c r="AK306" s="231"/>
      <c r="AL306" s="231"/>
      <c r="AM306" s="231"/>
      <c r="AN306" s="231"/>
      <c r="AO306" s="231"/>
      <c r="AP306" s="231"/>
      <c r="AQ306" s="231"/>
    </row>
    <row r="307" spans="1:43" s="203" customFormat="1" ht="12.75" customHeight="1">
      <c r="A307" s="109"/>
      <c r="B307" s="174"/>
      <c r="C307" s="174"/>
      <c r="D307" s="174"/>
      <c r="E307" s="859"/>
      <c r="F307" s="859"/>
      <c r="G307" s="130"/>
      <c r="H307" s="859"/>
      <c r="I307" s="21"/>
      <c r="J307" s="231"/>
      <c r="K307" s="231"/>
      <c r="L307" s="231"/>
      <c r="M307" s="231"/>
      <c r="N307" s="231"/>
      <c r="O307" s="231"/>
      <c r="P307" s="231"/>
      <c r="Q307" s="231"/>
      <c r="R307" s="231"/>
      <c r="S307" s="231"/>
      <c r="T307" s="231"/>
      <c r="U307" s="231"/>
      <c r="V307" s="231"/>
      <c r="W307" s="231"/>
      <c r="X307" s="231"/>
      <c r="Y307" s="231"/>
      <c r="Z307" s="231"/>
      <c r="AA307" s="231"/>
      <c r="AB307" s="231"/>
      <c r="AC307" s="231"/>
      <c r="AD307" s="231"/>
      <c r="AE307" s="231"/>
      <c r="AF307" s="231"/>
      <c r="AG307" s="231"/>
      <c r="AH307" s="231"/>
      <c r="AI307" s="231"/>
      <c r="AJ307" s="231"/>
      <c r="AK307" s="231"/>
      <c r="AL307" s="231"/>
      <c r="AM307" s="231"/>
      <c r="AN307" s="231"/>
      <c r="AO307" s="231"/>
      <c r="AP307" s="231"/>
      <c r="AQ307" s="231"/>
    </row>
    <row r="308" spans="1:43" s="203" customFormat="1">
      <c r="A308" s="154" t="s">
        <v>233</v>
      </c>
      <c r="B308" s="47"/>
      <c r="C308" s="47"/>
      <c r="D308" s="47"/>
      <c r="E308" s="859"/>
      <c r="F308" s="859"/>
      <c r="G308" s="130"/>
      <c r="H308" s="859"/>
      <c r="I308" s="21"/>
      <c r="J308" s="231"/>
      <c r="K308" s="231"/>
      <c r="L308" s="231"/>
      <c r="M308" s="231"/>
      <c r="N308" s="231"/>
      <c r="O308" s="231"/>
      <c r="P308" s="231"/>
      <c r="Q308" s="231"/>
      <c r="R308" s="231"/>
      <c r="S308" s="231"/>
      <c r="T308" s="231"/>
      <c r="U308" s="231"/>
      <c r="V308" s="231"/>
      <c r="W308" s="231"/>
      <c r="X308" s="231"/>
      <c r="Y308" s="231"/>
      <c r="Z308" s="231"/>
      <c r="AA308" s="231"/>
      <c r="AB308" s="231"/>
      <c r="AC308" s="231"/>
      <c r="AD308" s="231"/>
      <c r="AE308" s="231"/>
      <c r="AF308" s="231"/>
      <c r="AG308" s="231"/>
      <c r="AH308" s="231"/>
      <c r="AI308" s="231"/>
      <c r="AJ308" s="231"/>
      <c r="AK308" s="231"/>
      <c r="AL308" s="231"/>
      <c r="AM308" s="231"/>
      <c r="AN308" s="231"/>
      <c r="AO308" s="231"/>
      <c r="AP308" s="231"/>
      <c r="AQ308" s="231"/>
    </row>
    <row r="309" spans="1:43" s="203" customFormat="1">
      <c r="A309" s="109" t="s">
        <v>83</v>
      </c>
      <c r="B309" s="174"/>
      <c r="C309" s="174"/>
      <c r="D309" s="174"/>
      <c r="E309" s="860"/>
      <c r="F309" s="860"/>
      <c r="G309" s="130"/>
      <c r="H309" s="860"/>
      <c r="I309" s="21"/>
      <c r="J309" s="231"/>
      <c r="K309" s="231"/>
      <c r="L309" s="231"/>
      <c r="M309" s="231"/>
      <c r="N309" s="231"/>
      <c r="O309" s="231"/>
      <c r="P309" s="231"/>
      <c r="Q309" s="231"/>
      <c r="R309" s="231"/>
      <c r="S309" s="231"/>
      <c r="T309" s="231"/>
      <c r="U309" s="231"/>
      <c r="V309" s="231"/>
      <c r="W309" s="231"/>
      <c r="X309" s="231"/>
      <c r="Y309" s="231"/>
      <c r="Z309" s="231"/>
      <c r="AA309" s="231"/>
      <c r="AB309" s="231"/>
      <c r="AC309" s="231"/>
      <c r="AD309" s="231"/>
      <c r="AE309" s="231"/>
      <c r="AF309" s="231"/>
      <c r="AG309" s="231"/>
      <c r="AH309" s="231"/>
      <c r="AI309" s="231"/>
      <c r="AJ309" s="231"/>
      <c r="AK309" s="231"/>
      <c r="AL309" s="231"/>
      <c r="AM309" s="231"/>
      <c r="AN309" s="231"/>
      <c r="AO309" s="231"/>
      <c r="AP309" s="231"/>
      <c r="AQ309" s="231"/>
    </row>
    <row r="310" spans="1:43" s="203" customFormat="1">
      <c r="A310" s="110" t="s">
        <v>84</v>
      </c>
      <c r="B310" s="116"/>
      <c r="C310" s="116"/>
      <c r="D310" s="116"/>
      <c r="E310" s="262"/>
      <c r="F310" s="146"/>
      <c r="G310" s="118"/>
      <c r="H310" s="146"/>
      <c r="I310" s="21"/>
      <c r="J310" s="231"/>
      <c r="K310" s="231"/>
      <c r="L310" s="231"/>
      <c r="M310" s="231"/>
      <c r="N310" s="231"/>
      <c r="O310" s="231"/>
      <c r="P310" s="231"/>
      <c r="Q310" s="231"/>
      <c r="R310" s="231"/>
      <c r="S310" s="231"/>
      <c r="T310" s="231"/>
      <c r="U310" s="231"/>
      <c r="V310" s="231"/>
      <c r="W310" s="231"/>
      <c r="X310" s="231"/>
      <c r="Y310" s="231"/>
      <c r="Z310" s="231"/>
      <c r="AA310" s="231"/>
      <c r="AB310" s="231"/>
      <c r="AC310" s="231"/>
      <c r="AD310" s="231"/>
      <c r="AE310" s="231"/>
      <c r="AF310" s="231"/>
      <c r="AG310" s="231"/>
      <c r="AH310" s="231"/>
      <c r="AI310" s="231"/>
      <c r="AJ310" s="231"/>
      <c r="AK310" s="231"/>
      <c r="AL310" s="231"/>
      <c r="AM310" s="231"/>
      <c r="AN310" s="231"/>
      <c r="AO310" s="231"/>
      <c r="AP310" s="231"/>
      <c r="AQ310" s="231"/>
    </row>
    <row r="311" spans="1:43" s="203" customFormat="1">
      <c r="A311" s="120">
        <v>1</v>
      </c>
      <c r="B311" s="47" t="s">
        <v>258</v>
      </c>
      <c r="C311" s="47"/>
      <c r="D311" s="186"/>
      <c r="E311" s="74">
        <v>-13</v>
      </c>
      <c r="F311" s="52"/>
      <c r="G311" s="43"/>
      <c r="H311" s="52">
        <v>-8</v>
      </c>
      <c r="I311" s="21"/>
      <c r="J311" s="231"/>
      <c r="K311" s="231"/>
      <c r="L311" s="231"/>
      <c r="M311" s="231"/>
      <c r="N311" s="231"/>
      <c r="O311" s="231"/>
      <c r="P311" s="231"/>
      <c r="Q311" s="231"/>
      <c r="R311" s="231"/>
      <c r="S311" s="231"/>
      <c r="T311" s="231"/>
      <c r="U311" s="231"/>
      <c r="V311" s="231"/>
      <c r="W311" s="231"/>
      <c r="X311" s="231"/>
      <c r="Y311" s="231"/>
      <c r="Z311" s="231"/>
      <c r="AA311" s="231"/>
      <c r="AB311" s="231"/>
      <c r="AC311" s="231"/>
      <c r="AD311" s="231"/>
      <c r="AE311" s="231"/>
      <c r="AF311" s="231"/>
      <c r="AG311" s="231"/>
      <c r="AH311" s="231"/>
      <c r="AI311" s="231"/>
      <c r="AJ311" s="231"/>
      <c r="AK311" s="231"/>
      <c r="AL311" s="231"/>
      <c r="AM311" s="231"/>
      <c r="AN311" s="231"/>
      <c r="AO311" s="231"/>
      <c r="AP311" s="231"/>
      <c r="AQ311" s="231"/>
    </row>
    <row r="312" spans="1:43" s="203" customFormat="1">
      <c r="A312" s="120">
        <v>2</v>
      </c>
      <c r="B312" s="47" t="s">
        <v>234</v>
      </c>
      <c r="C312" s="47"/>
      <c r="D312" s="186"/>
      <c r="E312" s="114">
        <v>628</v>
      </c>
      <c r="F312" s="52">
        <f>634</f>
        <v>634</v>
      </c>
      <c r="G312" s="43"/>
      <c r="H312" s="52">
        <v>656</v>
      </c>
      <c r="I312" s="21"/>
      <c r="J312" s="231"/>
      <c r="K312" s="231"/>
      <c r="L312" s="231"/>
      <c r="M312" s="231"/>
      <c r="N312" s="231"/>
      <c r="O312" s="231"/>
      <c r="P312" s="231"/>
      <c r="Q312" s="231"/>
      <c r="R312" s="231"/>
      <c r="S312" s="231"/>
      <c r="T312" s="231"/>
      <c r="U312" s="231"/>
      <c r="V312" s="231"/>
      <c r="W312" s="231"/>
      <c r="X312" s="231"/>
      <c r="Y312" s="231"/>
      <c r="Z312" s="231"/>
      <c r="AA312" s="231"/>
      <c r="AB312" s="231"/>
      <c r="AC312" s="231"/>
      <c r="AD312" s="231"/>
      <c r="AE312" s="231"/>
      <c r="AF312" s="231"/>
      <c r="AG312" s="231"/>
      <c r="AH312" s="231"/>
      <c r="AI312" s="231"/>
      <c r="AJ312" s="231"/>
      <c r="AK312" s="231"/>
      <c r="AL312" s="231"/>
      <c r="AM312" s="231"/>
      <c r="AN312" s="231"/>
      <c r="AO312" s="231"/>
      <c r="AP312" s="231"/>
      <c r="AQ312" s="231"/>
    </row>
    <row r="313" spans="1:43" s="203" customFormat="1">
      <c r="A313" s="120">
        <v>3</v>
      </c>
      <c r="B313" s="47" t="s">
        <v>259</v>
      </c>
      <c r="C313" s="47"/>
      <c r="D313" s="186"/>
      <c r="E313" s="114">
        <v>-330</v>
      </c>
      <c r="F313" s="52">
        <v>-400</v>
      </c>
      <c r="G313" s="43"/>
      <c r="H313" s="52">
        <v>-174</v>
      </c>
      <c r="I313" s="21"/>
      <c r="J313" s="231"/>
      <c r="K313" s="231"/>
      <c r="L313" s="231"/>
      <c r="M313" s="231"/>
      <c r="N313" s="231"/>
      <c r="O313" s="231"/>
      <c r="P313" s="231"/>
      <c r="Q313" s="231"/>
      <c r="R313" s="231"/>
      <c r="S313" s="231"/>
      <c r="T313" s="231"/>
      <c r="U313" s="231"/>
      <c r="V313" s="231"/>
      <c r="W313" s="231"/>
      <c r="X313" s="231"/>
      <c r="Y313" s="231"/>
      <c r="Z313" s="231"/>
      <c r="AA313" s="231"/>
      <c r="AB313" s="231"/>
      <c r="AC313" s="231"/>
      <c r="AD313" s="231"/>
      <c r="AE313" s="231"/>
      <c r="AF313" s="231"/>
      <c r="AG313" s="231"/>
      <c r="AH313" s="231"/>
      <c r="AI313" s="231"/>
      <c r="AJ313" s="231"/>
      <c r="AK313" s="231"/>
      <c r="AL313" s="231"/>
      <c r="AM313" s="231"/>
      <c r="AN313" s="231"/>
      <c r="AO313" s="231"/>
      <c r="AP313" s="231"/>
      <c r="AQ313" s="231"/>
    </row>
    <row r="314" spans="1:43" s="203" customFormat="1">
      <c r="A314" s="120">
        <v>4</v>
      </c>
      <c r="B314" s="47" t="s">
        <v>235</v>
      </c>
      <c r="C314" s="47"/>
      <c r="D314" s="186"/>
      <c r="E314" s="114">
        <v>5877</v>
      </c>
      <c r="F314" s="52">
        <f>5870</f>
        <v>5870</v>
      </c>
      <c r="G314" s="43"/>
      <c r="H314" s="52">
        <v>5306</v>
      </c>
      <c r="I314" s="21"/>
      <c r="J314" s="231"/>
      <c r="K314" s="231"/>
      <c r="L314" s="231"/>
      <c r="M314" s="231"/>
      <c r="N314" s="231"/>
      <c r="O314" s="231"/>
      <c r="P314" s="231"/>
      <c r="Q314" s="231"/>
      <c r="R314" s="231"/>
      <c r="S314" s="231"/>
      <c r="T314" s="231"/>
      <c r="U314" s="231"/>
      <c r="V314" s="231"/>
      <c r="W314" s="231"/>
      <c r="X314" s="231"/>
      <c r="Y314" s="231"/>
      <c r="Z314" s="231"/>
      <c r="AA314" s="231"/>
      <c r="AB314" s="231"/>
      <c r="AC314" s="231"/>
      <c r="AD314" s="231"/>
      <c r="AE314" s="231"/>
      <c r="AF314" s="231"/>
      <c r="AG314" s="231"/>
      <c r="AH314" s="231"/>
      <c r="AI314" s="231"/>
      <c r="AJ314" s="231"/>
      <c r="AK314" s="231"/>
      <c r="AL314" s="231"/>
      <c r="AM314" s="231"/>
      <c r="AN314" s="231"/>
      <c r="AO314" s="231"/>
      <c r="AP314" s="231"/>
      <c r="AQ314" s="231"/>
    </row>
    <row r="315" spans="1:43" s="203" customFormat="1">
      <c r="A315" s="120">
        <v>5</v>
      </c>
      <c r="B315" s="47" t="s">
        <v>236</v>
      </c>
      <c r="C315" s="47"/>
      <c r="D315" s="186"/>
      <c r="E315" s="114">
        <v>2889</v>
      </c>
      <c r="F315" s="52">
        <f>2889</f>
        <v>2889</v>
      </c>
      <c r="G315" s="187"/>
      <c r="H315" s="52">
        <v>3298</v>
      </c>
      <c r="I315" s="21"/>
      <c r="J315" s="231"/>
      <c r="K315" s="231"/>
      <c r="L315" s="231"/>
      <c r="M315" s="231"/>
      <c r="N315" s="231"/>
      <c r="O315" s="231"/>
      <c r="P315" s="231"/>
      <c r="Q315" s="231"/>
      <c r="R315" s="231"/>
      <c r="S315" s="231"/>
      <c r="T315" s="231"/>
      <c r="U315" s="231"/>
      <c r="V315" s="231"/>
      <c r="W315" s="231"/>
      <c r="X315" s="231"/>
      <c r="Y315" s="231"/>
      <c r="Z315" s="231"/>
      <c r="AA315" s="231"/>
      <c r="AB315" s="231"/>
      <c r="AC315" s="231"/>
      <c r="AD315" s="231"/>
      <c r="AE315" s="231"/>
      <c r="AF315" s="231"/>
      <c r="AG315" s="231"/>
      <c r="AH315" s="231"/>
      <c r="AI315" s="231"/>
      <c r="AJ315" s="231"/>
      <c r="AK315" s="231"/>
      <c r="AL315" s="231"/>
      <c r="AM315" s="231"/>
      <c r="AN315" s="231"/>
      <c r="AO315" s="231"/>
      <c r="AP315" s="231"/>
      <c r="AQ315" s="231"/>
    </row>
    <row r="316" spans="1:43" s="203" customFormat="1">
      <c r="A316" s="120">
        <v>6</v>
      </c>
      <c r="B316" s="47" t="s">
        <v>237</v>
      </c>
      <c r="C316" s="47"/>
      <c r="D316" s="186"/>
      <c r="E316" s="114">
        <v>12880</v>
      </c>
      <c r="F316" s="52">
        <f>12202</f>
        <v>12202</v>
      </c>
      <c r="G316" s="43"/>
      <c r="H316" s="52">
        <v>12954</v>
      </c>
      <c r="I316" s="21"/>
      <c r="J316" s="231"/>
      <c r="K316" s="231"/>
      <c r="L316" s="231"/>
      <c r="M316" s="231"/>
      <c r="N316" s="231"/>
      <c r="O316" s="231"/>
      <c r="P316" s="231"/>
      <c r="Q316" s="231"/>
      <c r="R316" s="231"/>
      <c r="S316" s="231"/>
      <c r="T316" s="231"/>
      <c r="U316" s="231"/>
      <c r="V316" s="231"/>
      <c r="W316" s="231"/>
      <c r="X316" s="231"/>
      <c r="Y316" s="231"/>
      <c r="Z316" s="231"/>
      <c r="AA316" s="231"/>
      <c r="AB316" s="231"/>
      <c r="AC316" s="231"/>
      <c r="AD316" s="231"/>
      <c r="AE316" s="231"/>
      <c r="AF316" s="231"/>
      <c r="AG316" s="231"/>
      <c r="AH316" s="231"/>
      <c r="AI316" s="231"/>
      <c r="AJ316" s="231"/>
      <c r="AK316" s="231"/>
      <c r="AL316" s="231"/>
      <c r="AM316" s="231"/>
      <c r="AN316" s="231"/>
      <c r="AO316" s="231"/>
      <c r="AP316" s="231"/>
      <c r="AQ316" s="231"/>
    </row>
    <row r="317" spans="1:43" s="203" customFormat="1">
      <c r="A317" s="120">
        <v>7</v>
      </c>
      <c r="B317" s="47" t="s">
        <v>238</v>
      </c>
      <c r="C317" s="47"/>
      <c r="D317" s="186"/>
      <c r="E317" s="114">
        <v>0</v>
      </c>
      <c r="F317" s="52"/>
      <c r="G317" s="43"/>
      <c r="H317" s="52"/>
      <c r="I317" s="21"/>
      <c r="J317" s="231"/>
      <c r="K317" s="231"/>
      <c r="L317" s="231"/>
      <c r="M317" s="231"/>
      <c r="N317" s="231"/>
      <c r="O317" s="231"/>
      <c r="P317" s="231"/>
      <c r="Q317" s="231"/>
      <c r="R317" s="231"/>
      <c r="S317" s="231"/>
      <c r="T317" s="231"/>
      <c r="U317" s="231"/>
      <c r="V317" s="231"/>
      <c r="W317" s="231"/>
      <c r="X317" s="231"/>
      <c r="Y317" s="231"/>
      <c r="Z317" s="231"/>
      <c r="AA317" s="231"/>
      <c r="AB317" s="231"/>
      <c r="AC317" s="231"/>
      <c r="AD317" s="231"/>
      <c r="AE317" s="231"/>
      <c r="AF317" s="231"/>
      <c r="AG317" s="231"/>
      <c r="AH317" s="231"/>
      <c r="AI317" s="231"/>
      <c r="AJ317" s="231"/>
      <c r="AK317" s="231"/>
      <c r="AL317" s="231"/>
      <c r="AM317" s="231"/>
      <c r="AN317" s="231"/>
      <c r="AO317" s="231"/>
      <c r="AP317" s="231"/>
      <c r="AQ317" s="231"/>
    </row>
    <row r="318" spans="1:43" s="203" customFormat="1">
      <c r="A318" s="120">
        <v>8</v>
      </c>
      <c r="B318" s="47" t="s">
        <v>239</v>
      </c>
      <c r="C318" s="47"/>
      <c r="D318" s="186"/>
      <c r="E318" s="114">
        <v>178</v>
      </c>
      <c r="F318" s="52">
        <f>189</f>
        <v>189</v>
      </c>
      <c r="G318" s="43"/>
      <c r="H318" s="52">
        <v>178</v>
      </c>
      <c r="I318" s="21"/>
      <c r="J318" s="231"/>
      <c r="K318" s="231"/>
      <c r="L318" s="231"/>
      <c r="M318" s="231"/>
      <c r="N318" s="231"/>
      <c r="O318" s="231"/>
      <c r="P318" s="231"/>
      <c r="Q318" s="231"/>
      <c r="R318" s="231"/>
      <c r="S318" s="231"/>
      <c r="T318" s="231"/>
      <c r="U318" s="231"/>
      <c r="V318" s="231"/>
      <c r="W318" s="231"/>
      <c r="X318" s="231"/>
      <c r="Y318" s="231"/>
      <c r="Z318" s="231"/>
      <c r="AA318" s="231"/>
      <c r="AB318" s="231"/>
      <c r="AC318" s="231"/>
      <c r="AD318" s="231"/>
      <c r="AE318" s="231"/>
      <c r="AF318" s="231"/>
      <c r="AG318" s="231"/>
      <c r="AH318" s="231"/>
      <c r="AI318" s="231"/>
      <c r="AJ318" s="231"/>
      <c r="AK318" s="231"/>
      <c r="AL318" s="231"/>
      <c r="AM318" s="231"/>
      <c r="AN318" s="231"/>
      <c r="AO318" s="231"/>
      <c r="AP318" s="231"/>
      <c r="AQ318" s="231"/>
    </row>
    <row r="319" spans="1:43" s="203" customFormat="1">
      <c r="A319" s="788">
        <v>9</v>
      </c>
      <c r="B319" s="90" t="s">
        <v>260</v>
      </c>
      <c r="C319" s="47"/>
      <c r="D319" s="47"/>
      <c r="E319" s="114">
        <v>1527</v>
      </c>
      <c r="F319" s="188"/>
      <c r="G319" s="43"/>
      <c r="H319" s="189">
        <v>423</v>
      </c>
      <c r="I319" s="21"/>
      <c r="J319" s="231"/>
      <c r="K319" s="231"/>
      <c r="L319" s="231"/>
      <c r="M319" s="231"/>
      <c r="N319" s="231"/>
      <c r="O319" s="231"/>
      <c r="P319" s="231"/>
      <c r="Q319" s="231"/>
      <c r="R319" s="231"/>
      <c r="S319" s="231"/>
      <c r="T319" s="231"/>
      <c r="U319" s="231"/>
      <c r="V319" s="231"/>
      <c r="W319" s="231"/>
      <c r="X319" s="231"/>
      <c r="Y319" s="231"/>
      <c r="Z319" s="231"/>
      <c r="AA319" s="231"/>
      <c r="AB319" s="231"/>
      <c r="AC319" s="231"/>
      <c r="AD319" s="231"/>
      <c r="AE319" s="231"/>
      <c r="AF319" s="231"/>
      <c r="AG319" s="231"/>
      <c r="AH319" s="231"/>
      <c r="AI319" s="231"/>
      <c r="AJ319" s="231"/>
      <c r="AK319" s="231"/>
      <c r="AL319" s="231"/>
      <c r="AM319" s="231"/>
      <c r="AN319" s="231"/>
      <c r="AO319" s="231"/>
      <c r="AP319" s="231"/>
      <c r="AQ319" s="231"/>
    </row>
    <row r="320" spans="1:43" s="203" customFormat="1">
      <c r="A320" s="124">
        <v>10</v>
      </c>
      <c r="B320" s="94" t="s">
        <v>62</v>
      </c>
      <c r="C320" s="94"/>
      <c r="D320" s="94"/>
      <c r="E320" s="159">
        <v>23636</v>
      </c>
      <c r="F320" s="61">
        <f>F311+F312+F313+F314+F315+F316+F317+F318</f>
        <v>21384</v>
      </c>
      <c r="G320" s="118"/>
      <c r="H320" s="61">
        <f>H311+H312+H313+H314+H315+H316+H317+H318+H319</f>
        <v>22633</v>
      </c>
      <c r="I320" s="183"/>
      <c r="J320" s="231"/>
      <c r="K320" s="231"/>
      <c r="L320" s="231"/>
      <c r="M320" s="231"/>
      <c r="N320" s="231"/>
      <c r="O320" s="231"/>
      <c r="P320" s="231"/>
      <c r="Q320" s="231"/>
      <c r="R320" s="231"/>
      <c r="S320" s="231"/>
      <c r="T320" s="231"/>
      <c r="U320" s="231"/>
      <c r="V320" s="231"/>
      <c r="W320" s="231"/>
      <c r="X320" s="231"/>
      <c r="Y320" s="231"/>
      <c r="Z320" s="231"/>
      <c r="AA320" s="231"/>
      <c r="AB320" s="231"/>
      <c r="AC320" s="231"/>
      <c r="AD320" s="231"/>
      <c r="AE320" s="231"/>
      <c r="AF320" s="231"/>
      <c r="AG320" s="231"/>
      <c r="AH320" s="231"/>
      <c r="AI320" s="231"/>
      <c r="AJ320" s="231"/>
      <c r="AK320" s="231"/>
      <c r="AL320" s="231"/>
      <c r="AM320" s="231"/>
      <c r="AN320" s="231"/>
      <c r="AO320" s="231"/>
      <c r="AP320" s="231"/>
      <c r="AQ320" s="231"/>
    </row>
    <row r="321" spans="1:43" s="203" customFormat="1">
      <c r="A321" s="179"/>
      <c r="B321" s="180"/>
      <c r="C321" s="180"/>
      <c r="D321" s="180"/>
      <c r="E321" s="180"/>
      <c r="F321" s="183"/>
      <c r="G321" s="21"/>
      <c r="H321" s="183"/>
      <c r="I321" s="183"/>
      <c r="J321" s="231"/>
      <c r="K321" s="231"/>
      <c r="L321" s="231"/>
      <c r="M321" s="231"/>
      <c r="N321" s="231"/>
      <c r="O321" s="231"/>
      <c r="P321" s="231"/>
      <c r="Q321" s="231"/>
      <c r="R321" s="231"/>
      <c r="S321" s="231"/>
      <c r="T321" s="231"/>
      <c r="U321" s="231"/>
      <c r="V321" s="231"/>
      <c r="W321" s="231"/>
      <c r="X321" s="231"/>
      <c r="Y321" s="231"/>
      <c r="Z321" s="231"/>
      <c r="AA321" s="231"/>
      <c r="AB321" s="231"/>
      <c r="AC321" s="231"/>
      <c r="AD321" s="231"/>
      <c r="AE321" s="231"/>
      <c r="AF321" s="231"/>
      <c r="AG321" s="231"/>
      <c r="AH321" s="231"/>
      <c r="AI321" s="231"/>
      <c r="AJ321" s="231"/>
      <c r="AK321" s="231"/>
      <c r="AL321" s="231"/>
      <c r="AM321" s="231"/>
      <c r="AN321" s="231"/>
      <c r="AO321" s="231"/>
      <c r="AP321" s="231"/>
      <c r="AQ321" s="231"/>
    </row>
    <row r="322" spans="1:43" s="203" customFormat="1">
      <c r="A322" s="148"/>
      <c r="B322" s="207"/>
      <c r="C322" s="207"/>
      <c r="D322" s="29"/>
      <c r="E322" s="29"/>
      <c r="F322" s="29"/>
      <c r="G322" s="29"/>
      <c r="H322" s="31" t="s">
        <v>27</v>
      </c>
      <c r="I322" s="2"/>
      <c r="J322" s="231"/>
      <c r="K322" s="231"/>
      <c r="L322" s="231"/>
      <c r="M322" s="231"/>
      <c r="N322" s="231"/>
      <c r="O322" s="231"/>
      <c r="P322" s="231"/>
      <c r="Q322" s="231"/>
      <c r="R322" s="231"/>
      <c r="S322" s="231"/>
      <c r="T322" s="231"/>
      <c r="U322" s="231"/>
      <c r="V322" s="231"/>
      <c r="W322" s="231"/>
      <c r="X322" s="231"/>
      <c r="Y322" s="231"/>
      <c r="Z322" s="231"/>
      <c r="AA322" s="231"/>
      <c r="AB322" s="231"/>
      <c r="AC322" s="231"/>
      <c r="AD322" s="231"/>
      <c r="AE322" s="231"/>
      <c r="AF322" s="231"/>
      <c r="AG322" s="231"/>
      <c r="AH322" s="231"/>
      <c r="AI322" s="231"/>
      <c r="AJ322" s="231"/>
      <c r="AK322" s="231"/>
      <c r="AL322" s="231"/>
      <c r="AM322" s="231"/>
      <c r="AN322" s="231"/>
      <c r="AO322" s="231"/>
      <c r="AP322" s="231"/>
      <c r="AQ322" s="231"/>
    </row>
    <row r="323" spans="1:43" s="203" customFormat="1">
      <c r="A323" s="190" t="s">
        <v>240</v>
      </c>
      <c r="B323" s="263"/>
      <c r="C323" s="861" t="s">
        <v>405</v>
      </c>
      <c r="D323" s="862"/>
      <c r="E323" s="862"/>
      <c r="F323" s="862"/>
      <c r="G323" s="862"/>
      <c r="H323" s="863"/>
      <c r="I323" s="210"/>
      <c r="J323" s="231"/>
      <c r="K323" s="231"/>
      <c r="L323" s="231"/>
      <c r="M323" s="231"/>
      <c r="N323" s="231"/>
      <c r="O323" s="231"/>
      <c r="P323" s="231"/>
      <c r="Q323" s="231"/>
      <c r="R323" s="231"/>
      <c r="S323" s="231"/>
      <c r="T323" s="231"/>
      <c r="U323" s="231"/>
      <c r="V323" s="231"/>
      <c r="W323" s="231"/>
      <c r="X323" s="231"/>
      <c r="Y323" s="231"/>
      <c r="Z323" s="231"/>
      <c r="AA323" s="231"/>
      <c r="AB323" s="231"/>
      <c r="AC323" s="231"/>
      <c r="AD323" s="231"/>
      <c r="AE323" s="231"/>
      <c r="AF323" s="231"/>
      <c r="AG323" s="231"/>
      <c r="AH323" s="231"/>
      <c r="AI323" s="231"/>
      <c r="AJ323" s="231"/>
      <c r="AK323" s="231"/>
      <c r="AL323" s="231"/>
      <c r="AM323" s="231"/>
      <c r="AN323" s="231"/>
      <c r="AO323" s="231"/>
      <c r="AP323" s="231"/>
      <c r="AQ323" s="231"/>
    </row>
    <row r="324" spans="1:43" s="203" customFormat="1" ht="39" thickBot="1">
      <c r="A324" s="110" t="s">
        <v>84</v>
      </c>
      <c r="B324" s="116"/>
      <c r="C324" s="35" t="s">
        <v>52</v>
      </c>
      <c r="D324" s="35" t="s">
        <v>53</v>
      </c>
      <c r="E324" s="37" t="s">
        <v>54</v>
      </c>
      <c r="F324" s="37" t="s">
        <v>55</v>
      </c>
      <c r="G324" s="37" t="s">
        <v>241</v>
      </c>
      <c r="H324" s="35" t="s">
        <v>121</v>
      </c>
      <c r="I324" s="29"/>
      <c r="J324" s="231"/>
      <c r="K324" s="231"/>
      <c r="L324" s="231"/>
      <c r="M324" s="231"/>
      <c r="N324" s="231"/>
      <c r="O324" s="231"/>
      <c r="P324" s="231"/>
      <c r="Q324" s="231"/>
      <c r="R324" s="231"/>
      <c r="S324" s="231"/>
      <c r="T324" s="231"/>
      <c r="U324" s="231"/>
      <c r="V324" s="231"/>
      <c r="W324" s="231"/>
      <c r="X324" s="231"/>
      <c r="Y324" s="231"/>
      <c r="Z324" s="231"/>
      <c r="AA324" s="231"/>
      <c r="AB324" s="231"/>
      <c r="AC324" s="231"/>
      <c r="AD324" s="231"/>
      <c r="AE324" s="231"/>
      <c r="AF324" s="231"/>
      <c r="AG324" s="231"/>
      <c r="AH324" s="231"/>
      <c r="AI324" s="231"/>
      <c r="AJ324" s="231"/>
      <c r="AK324" s="231"/>
      <c r="AL324" s="231"/>
      <c r="AM324" s="231"/>
      <c r="AN324" s="231"/>
      <c r="AO324" s="231"/>
      <c r="AP324" s="231"/>
      <c r="AQ324" s="231"/>
    </row>
    <row r="325" spans="1:43" s="203" customFormat="1" ht="13.5" thickBot="1">
      <c r="A325" s="788">
        <v>1</v>
      </c>
      <c r="B325" s="116" t="s">
        <v>242</v>
      </c>
      <c r="C325" s="193">
        <f t="shared" ref="C325:H325" si="0">SUM(C326:C329)</f>
        <v>13548</v>
      </c>
      <c r="D325" s="193">
        <f t="shared" si="0"/>
        <v>0</v>
      </c>
      <c r="E325" s="193">
        <v>0</v>
      </c>
      <c r="F325" s="193">
        <f t="shared" si="0"/>
        <v>0</v>
      </c>
      <c r="G325" s="193">
        <f>SUM(G326:G329)</f>
        <v>0</v>
      </c>
      <c r="H325" s="193">
        <f t="shared" si="0"/>
        <v>0</v>
      </c>
      <c r="I325" s="207"/>
      <c r="J325" s="231"/>
      <c r="K325" s="231"/>
      <c r="L325" s="231"/>
      <c r="M325" s="231"/>
      <c r="N325" s="231"/>
      <c r="O325" s="231"/>
      <c r="P325" s="231"/>
      <c r="Q325" s="231"/>
      <c r="R325" s="231"/>
      <c r="S325" s="231"/>
      <c r="T325" s="231"/>
      <c r="U325" s="231"/>
      <c r="V325" s="231"/>
      <c r="W325" s="231"/>
      <c r="X325" s="231"/>
      <c r="Y325" s="231"/>
      <c r="Z325" s="231"/>
      <c r="AA325" s="231"/>
      <c r="AB325" s="231"/>
      <c r="AC325" s="231"/>
      <c r="AD325" s="231"/>
      <c r="AE325" s="231"/>
      <c r="AF325" s="231"/>
      <c r="AG325" s="231"/>
      <c r="AH325" s="231"/>
      <c r="AI325" s="231"/>
      <c r="AJ325" s="231"/>
      <c r="AK325" s="231"/>
      <c r="AL325" s="231"/>
      <c r="AM325" s="231"/>
      <c r="AN325" s="231"/>
      <c r="AO325" s="231"/>
      <c r="AP325" s="231"/>
      <c r="AQ325" s="231"/>
    </row>
    <row r="326" spans="1:43" s="203" customFormat="1">
      <c r="A326" s="788">
        <v>2</v>
      </c>
      <c r="B326" s="47" t="s">
        <v>243</v>
      </c>
      <c r="C326" s="169">
        <v>4027</v>
      </c>
      <c r="D326" s="169"/>
      <c r="E326" s="169"/>
      <c r="F326" s="169"/>
      <c r="G326" s="169"/>
      <c r="H326" s="169"/>
      <c r="I326" s="207"/>
      <c r="J326" s="231"/>
      <c r="K326" s="231"/>
      <c r="L326" s="231"/>
      <c r="M326" s="231"/>
      <c r="N326" s="231"/>
      <c r="O326" s="231"/>
      <c r="P326" s="231"/>
      <c r="Q326" s="231"/>
      <c r="R326" s="231"/>
      <c r="S326" s="231"/>
      <c r="T326" s="231"/>
      <c r="U326" s="231"/>
      <c r="V326" s="231"/>
      <c r="W326" s="231"/>
      <c r="X326" s="231"/>
      <c r="Y326" s="231"/>
      <c r="Z326" s="231"/>
      <c r="AA326" s="231"/>
      <c r="AB326" s="231"/>
      <c r="AC326" s="231"/>
      <c r="AD326" s="231"/>
      <c r="AE326" s="231"/>
      <c r="AF326" s="231"/>
      <c r="AG326" s="231"/>
      <c r="AH326" s="231"/>
      <c r="AI326" s="231"/>
      <c r="AJ326" s="231"/>
      <c r="AK326" s="231"/>
      <c r="AL326" s="231"/>
      <c r="AM326" s="231"/>
      <c r="AN326" s="231"/>
      <c r="AO326" s="231"/>
      <c r="AP326" s="231"/>
      <c r="AQ326" s="231"/>
    </row>
    <row r="327" spans="1:43" s="203" customFormat="1">
      <c r="A327" s="788">
        <v>3</v>
      </c>
      <c r="B327" s="47" t="s">
        <v>244</v>
      </c>
      <c r="C327" s="99">
        <v>5998</v>
      </c>
      <c r="D327" s="99"/>
      <c r="E327" s="99"/>
      <c r="F327" s="99"/>
      <c r="G327" s="99"/>
      <c r="H327" s="99"/>
      <c r="I327" s="207"/>
      <c r="J327" s="231"/>
      <c r="K327" s="231"/>
      <c r="L327" s="231"/>
      <c r="M327" s="231"/>
      <c r="N327" s="231"/>
      <c r="O327" s="231"/>
      <c r="P327" s="231"/>
      <c r="Q327" s="231"/>
      <c r="R327" s="231"/>
      <c r="S327" s="231"/>
      <c r="T327" s="231"/>
      <c r="U327" s="231"/>
      <c r="V327" s="231"/>
      <c r="W327" s="231"/>
      <c r="X327" s="231"/>
      <c r="Y327" s="231"/>
      <c r="Z327" s="231"/>
      <c r="AA327" s="231"/>
      <c r="AB327" s="231"/>
      <c r="AC327" s="231"/>
      <c r="AD327" s="231"/>
      <c r="AE327" s="231"/>
      <c r="AF327" s="231"/>
      <c r="AG327" s="231"/>
      <c r="AH327" s="231"/>
      <c r="AI327" s="231"/>
      <c r="AJ327" s="231"/>
      <c r="AK327" s="231"/>
      <c r="AL327" s="231"/>
      <c r="AM327" s="231"/>
      <c r="AN327" s="231"/>
      <c r="AO327" s="231"/>
      <c r="AP327" s="231"/>
      <c r="AQ327" s="231"/>
    </row>
    <row r="328" spans="1:43" s="203" customFormat="1">
      <c r="A328" s="788">
        <v>4</v>
      </c>
      <c r="B328" s="47" t="s">
        <v>245</v>
      </c>
      <c r="C328" s="99">
        <v>2889</v>
      </c>
      <c r="D328" s="99"/>
      <c r="E328" s="99"/>
      <c r="F328" s="99"/>
      <c r="G328" s="99"/>
      <c r="H328" s="99"/>
      <c r="I328" s="207"/>
      <c r="J328" s="231"/>
      <c r="K328" s="231"/>
      <c r="L328" s="231"/>
      <c r="M328" s="231"/>
      <c r="N328" s="231"/>
      <c r="O328" s="231"/>
      <c r="P328" s="231"/>
      <c r="Q328" s="231"/>
      <c r="R328" s="231"/>
      <c r="S328" s="231"/>
      <c r="T328" s="231"/>
      <c r="U328" s="231"/>
      <c r="V328" s="231"/>
      <c r="W328" s="231"/>
      <c r="X328" s="231"/>
      <c r="Y328" s="231"/>
      <c r="Z328" s="231"/>
      <c r="AA328" s="231"/>
      <c r="AB328" s="231"/>
      <c r="AC328" s="231"/>
      <c r="AD328" s="231"/>
      <c r="AE328" s="231"/>
      <c r="AF328" s="231"/>
      <c r="AG328" s="231"/>
      <c r="AH328" s="231"/>
      <c r="AI328" s="231"/>
      <c r="AJ328" s="231"/>
      <c r="AK328" s="231"/>
      <c r="AL328" s="231"/>
      <c r="AM328" s="231"/>
      <c r="AN328" s="231"/>
      <c r="AO328" s="231"/>
      <c r="AP328" s="231"/>
      <c r="AQ328" s="231"/>
    </row>
    <row r="329" spans="1:43" s="203" customFormat="1">
      <c r="A329" s="789">
        <v>5</v>
      </c>
      <c r="B329" s="54" t="s">
        <v>246</v>
      </c>
      <c r="C329" s="100">
        <v>634</v>
      </c>
      <c r="D329" s="100"/>
      <c r="E329" s="100"/>
      <c r="F329" s="100"/>
      <c r="G329" s="100"/>
      <c r="H329" s="100"/>
      <c r="I329" s="207"/>
      <c r="J329" s="231"/>
      <c r="K329" s="231"/>
      <c r="L329" s="231"/>
      <c r="M329" s="231"/>
      <c r="N329" s="231"/>
      <c r="O329" s="231"/>
      <c r="P329" s="231"/>
      <c r="Q329" s="231"/>
      <c r="R329" s="231"/>
      <c r="S329" s="231"/>
      <c r="T329" s="231"/>
      <c r="U329" s="231"/>
      <c r="V329" s="231"/>
      <c r="W329" s="231"/>
      <c r="X329" s="231"/>
      <c r="Y329" s="231"/>
      <c r="Z329" s="231"/>
      <c r="AA329" s="231"/>
      <c r="AB329" s="231"/>
      <c r="AC329" s="231"/>
      <c r="AD329" s="231"/>
      <c r="AE329" s="231"/>
      <c r="AF329" s="231"/>
      <c r="AG329" s="231"/>
      <c r="AH329" s="231"/>
      <c r="AI329" s="231"/>
      <c r="AJ329" s="231"/>
      <c r="AK329" s="231"/>
      <c r="AL329" s="231"/>
      <c r="AM329" s="231"/>
      <c r="AN329" s="231"/>
      <c r="AO329" s="231"/>
      <c r="AP329" s="231"/>
      <c r="AQ329" s="231"/>
    </row>
    <row r="330" spans="1:43" s="203" customFormat="1">
      <c r="A330" s="788"/>
      <c r="B330" s="47"/>
      <c r="C330" s="864" t="s">
        <v>404</v>
      </c>
      <c r="D330" s="865"/>
      <c r="E330" s="865"/>
      <c r="F330" s="865"/>
      <c r="G330" s="865"/>
      <c r="H330" s="866"/>
      <c r="I330" s="207"/>
      <c r="J330" s="231"/>
      <c r="K330" s="231"/>
      <c r="L330" s="231"/>
      <c r="M330" s="231"/>
      <c r="N330" s="231"/>
      <c r="O330" s="231"/>
      <c r="P330" s="231"/>
      <c r="Q330" s="231"/>
      <c r="R330" s="231"/>
      <c r="S330" s="231"/>
      <c r="T330" s="231"/>
      <c r="U330" s="231"/>
      <c r="V330" s="231"/>
      <c r="W330" s="231"/>
      <c r="X330" s="231"/>
      <c r="Y330" s="231"/>
      <c r="Z330" s="231"/>
      <c r="AA330" s="231"/>
      <c r="AB330" s="231"/>
      <c r="AC330" s="231"/>
      <c r="AD330" s="231"/>
      <c r="AE330" s="231"/>
      <c r="AF330" s="231"/>
      <c r="AG330" s="231"/>
      <c r="AH330" s="231"/>
      <c r="AI330" s="231"/>
      <c r="AJ330" s="231"/>
      <c r="AK330" s="231"/>
      <c r="AL330" s="231"/>
      <c r="AM330" s="231"/>
      <c r="AN330" s="231"/>
      <c r="AO330" s="231"/>
      <c r="AP330" s="231"/>
      <c r="AQ330" s="231"/>
    </row>
    <row r="331" spans="1:43" s="203" customFormat="1" ht="39" thickBot="1">
      <c r="A331" s="110" t="s">
        <v>84</v>
      </c>
      <c r="B331" s="116"/>
      <c r="C331" s="35" t="s">
        <v>52</v>
      </c>
      <c r="D331" s="35" t="s">
        <v>53</v>
      </c>
      <c r="E331" s="37" t="s">
        <v>54</v>
      </c>
      <c r="F331" s="37" t="s">
        <v>55</v>
      </c>
      <c r="G331" s="37" t="s">
        <v>241</v>
      </c>
      <c r="H331" s="35" t="s">
        <v>121</v>
      </c>
      <c r="I331" s="207"/>
      <c r="J331" s="231"/>
      <c r="K331" s="231"/>
      <c r="L331" s="231"/>
      <c r="M331" s="231"/>
      <c r="N331" s="231"/>
      <c r="O331" s="231"/>
      <c r="P331" s="231"/>
      <c r="Q331" s="231"/>
      <c r="R331" s="231"/>
      <c r="S331" s="231"/>
      <c r="T331" s="231"/>
      <c r="U331" s="231"/>
      <c r="V331" s="231"/>
      <c r="W331" s="231"/>
      <c r="X331" s="231"/>
      <c r="Y331" s="231"/>
      <c r="Z331" s="231"/>
      <c r="AA331" s="231"/>
      <c r="AB331" s="231"/>
      <c r="AC331" s="231"/>
      <c r="AD331" s="231"/>
      <c r="AE331" s="231"/>
      <c r="AF331" s="231"/>
      <c r="AG331" s="231"/>
      <c r="AH331" s="231"/>
      <c r="AI331" s="231"/>
      <c r="AJ331" s="231"/>
      <c r="AK331" s="231"/>
      <c r="AL331" s="231"/>
      <c r="AM331" s="231"/>
      <c r="AN331" s="231"/>
      <c r="AO331" s="231"/>
      <c r="AP331" s="231"/>
      <c r="AQ331" s="231"/>
    </row>
    <row r="332" spans="1:43" s="203" customFormat="1" ht="13.5" thickBot="1">
      <c r="A332" s="788">
        <v>1</v>
      </c>
      <c r="B332" s="116" t="s">
        <v>242</v>
      </c>
      <c r="C332" s="193">
        <f t="shared" ref="C332:H332" si="1">SUM(C333:C336)</f>
        <v>14887</v>
      </c>
      <c r="D332" s="193">
        <f t="shared" si="1"/>
        <v>0</v>
      </c>
      <c r="E332" s="193">
        <v>0</v>
      </c>
      <c r="F332" s="193">
        <f t="shared" si="1"/>
        <v>0</v>
      </c>
      <c r="G332" s="193">
        <f>SUM(G333:G336)</f>
        <v>0</v>
      </c>
      <c r="H332" s="193">
        <f t="shared" si="1"/>
        <v>0</v>
      </c>
      <c r="I332" s="207"/>
      <c r="J332" s="231"/>
      <c r="K332" s="231"/>
      <c r="L332" s="231"/>
      <c r="M332" s="231"/>
      <c r="N332" s="231"/>
      <c r="O332" s="231"/>
      <c r="P332" s="231"/>
      <c r="Q332" s="231"/>
      <c r="R332" s="231"/>
      <c r="S332" s="231"/>
      <c r="T332" s="231"/>
      <c r="U332" s="231"/>
      <c r="V332" s="231"/>
      <c r="W332" s="231"/>
      <c r="X332" s="231"/>
      <c r="Y332" s="231"/>
      <c r="Z332" s="231"/>
      <c r="AA332" s="231"/>
      <c r="AB332" s="231"/>
      <c r="AC332" s="231"/>
      <c r="AD332" s="231"/>
      <c r="AE332" s="231"/>
      <c r="AF332" s="231"/>
      <c r="AG332" s="231"/>
      <c r="AH332" s="231"/>
      <c r="AI332" s="231"/>
      <c r="AJ332" s="231"/>
      <c r="AK332" s="231"/>
      <c r="AL332" s="231"/>
      <c r="AM332" s="231"/>
      <c r="AN332" s="231"/>
      <c r="AO332" s="231"/>
      <c r="AP332" s="231"/>
      <c r="AQ332" s="231"/>
    </row>
    <row r="333" spans="1:43" s="203" customFormat="1">
      <c r="A333" s="788">
        <v>2</v>
      </c>
      <c r="B333" s="47" t="s">
        <v>243</v>
      </c>
      <c r="C333" s="169">
        <v>4292</v>
      </c>
      <c r="D333" s="169"/>
      <c r="E333" s="169"/>
      <c r="F333" s="169"/>
      <c r="G333" s="169"/>
      <c r="H333" s="169"/>
      <c r="I333" s="207"/>
      <c r="J333" s="231"/>
      <c r="K333" s="231"/>
      <c r="L333" s="231"/>
      <c r="M333" s="231"/>
      <c r="N333" s="231"/>
      <c r="O333" s="231"/>
      <c r="P333" s="231"/>
      <c r="Q333" s="231"/>
      <c r="R333" s="231"/>
      <c r="S333" s="231"/>
      <c r="T333" s="231"/>
      <c r="U333" s="231"/>
      <c r="V333" s="231"/>
      <c r="W333" s="231"/>
      <c r="X333" s="231"/>
      <c r="Y333" s="231"/>
      <c r="Z333" s="231"/>
      <c r="AA333" s="231"/>
      <c r="AB333" s="231"/>
      <c r="AC333" s="231"/>
      <c r="AD333" s="231"/>
      <c r="AE333" s="231"/>
      <c r="AF333" s="231"/>
      <c r="AG333" s="231"/>
      <c r="AH333" s="231"/>
      <c r="AI333" s="231"/>
      <c r="AJ333" s="231"/>
      <c r="AK333" s="231"/>
      <c r="AL333" s="231"/>
      <c r="AM333" s="231"/>
      <c r="AN333" s="231"/>
      <c r="AO333" s="231"/>
      <c r="AP333" s="231"/>
      <c r="AQ333" s="231"/>
    </row>
    <row r="334" spans="1:43" s="203" customFormat="1">
      <c r="A334" s="788">
        <v>3</v>
      </c>
      <c r="B334" s="47" t="s">
        <v>244</v>
      </c>
      <c r="C334" s="99">
        <v>6641</v>
      </c>
      <c r="D334" s="99"/>
      <c r="E334" s="99"/>
      <c r="F334" s="99"/>
      <c r="G334" s="99"/>
      <c r="H334" s="99"/>
      <c r="I334" s="207"/>
      <c r="J334" s="231"/>
      <c r="K334" s="231"/>
      <c r="L334" s="231"/>
      <c r="M334" s="231"/>
      <c r="N334" s="231"/>
      <c r="O334" s="231"/>
      <c r="P334" s="231"/>
      <c r="Q334" s="231"/>
      <c r="R334" s="231"/>
      <c r="S334" s="231"/>
      <c r="T334" s="231"/>
      <c r="U334" s="231"/>
      <c r="V334" s="231"/>
      <c r="W334" s="231"/>
      <c r="X334" s="231"/>
      <c r="Y334" s="231"/>
      <c r="Z334" s="231"/>
      <c r="AA334" s="231"/>
      <c r="AB334" s="231"/>
      <c r="AC334" s="231"/>
      <c r="AD334" s="231"/>
      <c r="AE334" s="231"/>
      <c r="AF334" s="231"/>
      <c r="AG334" s="231"/>
      <c r="AH334" s="231"/>
      <c r="AI334" s="231"/>
      <c r="AJ334" s="231"/>
      <c r="AK334" s="231"/>
      <c r="AL334" s="231"/>
      <c r="AM334" s="231"/>
      <c r="AN334" s="231"/>
      <c r="AO334" s="231"/>
      <c r="AP334" s="231"/>
      <c r="AQ334" s="231"/>
    </row>
    <row r="335" spans="1:43" s="203" customFormat="1">
      <c r="A335" s="788">
        <v>4</v>
      </c>
      <c r="B335" s="47" t="s">
        <v>245</v>
      </c>
      <c r="C335" s="99">
        <v>3298</v>
      </c>
      <c r="D335" s="99"/>
      <c r="E335" s="99"/>
      <c r="F335" s="99"/>
      <c r="G335" s="99"/>
      <c r="H335" s="99"/>
      <c r="I335" s="207"/>
      <c r="J335" s="231"/>
      <c r="K335" s="231"/>
      <c r="L335" s="231"/>
      <c r="M335" s="231"/>
      <c r="N335" s="231"/>
      <c r="O335" s="231"/>
      <c r="P335" s="231"/>
      <c r="Q335" s="231"/>
      <c r="R335" s="231"/>
      <c r="S335" s="231"/>
      <c r="T335" s="231"/>
      <c r="U335" s="231"/>
      <c r="V335" s="231"/>
      <c r="W335" s="231"/>
      <c r="X335" s="231"/>
      <c r="Y335" s="231"/>
      <c r="Z335" s="231"/>
      <c r="AA335" s="231"/>
      <c r="AB335" s="231"/>
      <c r="AC335" s="231"/>
      <c r="AD335" s="231"/>
      <c r="AE335" s="231"/>
      <c r="AF335" s="231"/>
      <c r="AG335" s="231"/>
      <c r="AH335" s="231"/>
      <c r="AI335" s="231"/>
      <c r="AJ335" s="231"/>
      <c r="AK335" s="231"/>
      <c r="AL335" s="231"/>
      <c r="AM335" s="231"/>
      <c r="AN335" s="231"/>
      <c r="AO335" s="231"/>
      <c r="AP335" s="231"/>
      <c r="AQ335" s="231"/>
    </row>
    <row r="336" spans="1:43" s="203" customFormat="1">
      <c r="A336" s="789">
        <v>5</v>
      </c>
      <c r="B336" s="54" t="s">
        <v>246</v>
      </c>
      <c r="C336" s="100">
        <v>656</v>
      </c>
      <c r="D336" s="100"/>
      <c r="E336" s="100"/>
      <c r="F336" s="100"/>
      <c r="G336" s="100"/>
      <c r="H336" s="100"/>
      <c r="I336" s="207"/>
      <c r="J336" s="231"/>
      <c r="K336" s="231"/>
      <c r="L336" s="231"/>
      <c r="M336" s="231"/>
      <c r="N336" s="231"/>
      <c r="O336" s="231"/>
      <c r="P336" s="231"/>
      <c r="Q336" s="231"/>
      <c r="R336" s="231"/>
      <c r="S336" s="231"/>
      <c r="T336" s="231"/>
      <c r="U336" s="231"/>
      <c r="V336" s="231"/>
      <c r="W336" s="231"/>
      <c r="X336" s="231"/>
      <c r="Y336" s="231"/>
      <c r="Z336" s="231"/>
      <c r="AA336" s="231"/>
      <c r="AB336" s="231"/>
      <c r="AC336" s="231"/>
      <c r="AD336" s="231"/>
      <c r="AE336" s="231"/>
      <c r="AF336" s="231"/>
      <c r="AG336" s="231"/>
      <c r="AH336" s="231"/>
      <c r="AI336" s="231"/>
      <c r="AJ336" s="231"/>
      <c r="AK336" s="231"/>
      <c r="AL336" s="231"/>
      <c r="AM336" s="231"/>
      <c r="AN336" s="231"/>
      <c r="AO336" s="231"/>
      <c r="AP336" s="231"/>
      <c r="AQ336" s="231"/>
    </row>
    <row r="337" spans="1:43" s="203" customFormat="1">
      <c r="A337" s="23"/>
      <c r="B337" s="207"/>
      <c r="C337" s="207"/>
      <c r="D337" s="207"/>
      <c r="E337" s="207"/>
      <c r="F337" s="207"/>
      <c r="G337" s="207"/>
      <c r="H337" s="21"/>
      <c r="I337" s="21"/>
      <c r="J337" s="231"/>
      <c r="K337" s="231"/>
      <c r="L337" s="231"/>
      <c r="M337" s="231"/>
      <c r="N337" s="231"/>
      <c r="O337" s="231"/>
      <c r="P337" s="231"/>
      <c r="Q337" s="231"/>
      <c r="R337" s="231"/>
      <c r="S337" s="231"/>
      <c r="T337" s="231"/>
      <c r="U337" s="231"/>
      <c r="V337" s="231"/>
      <c r="W337" s="231"/>
      <c r="X337" s="231"/>
      <c r="Y337" s="231"/>
      <c r="Z337" s="231"/>
      <c r="AA337" s="231"/>
      <c r="AB337" s="231"/>
      <c r="AC337" s="231"/>
      <c r="AD337" s="231"/>
      <c r="AE337" s="231"/>
      <c r="AF337" s="231"/>
      <c r="AG337" s="231"/>
      <c r="AH337" s="231"/>
      <c r="AI337" s="231"/>
      <c r="AJ337" s="231"/>
      <c r="AK337" s="231"/>
      <c r="AL337" s="231"/>
      <c r="AM337" s="231"/>
      <c r="AN337" s="231"/>
      <c r="AO337" s="231"/>
      <c r="AP337" s="231"/>
      <c r="AQ337" s="231"/>
    </row>
    <row r="338" spans="1:43" s="203" customFormat="1" ht="12.75" customHeight="1">
      <c r="A338" s="23"/>
      <c r="B338" s="207"/>
      <c r="C338" s="207"/>
      <c r="D338" s="207"/>
      <c r="E338" s="207"/>
      <c r="F338" s="207"/>
      <c r="G338" s="207"/>
      <c r="H338" s="21"/>
      <c r="I338" s="21"/>
      <c r="J338" s="231"/>
      <c r="K338" s="231"/>
      <c r="L338" s="231"/>
      <c r="M338" s="231"/>
      <c r="N338" s="231"/>
      <c r="O338" s="231"/>
      <c r="P338" s="231"/>
      <c r="Q338" s="231"/>
      <c r="R338" s="231"/>
      <c r="S338" s="231"/>
      <c r="T338" s="231"/>
      <c r="U338" s="231"/>
      <c r="V338" s="231"/>
      <c r="W338" s="231"/>
      <c r="X338" s="231"/>
      <c r="Y338" s="231"/>
      <c r="Z338" s="231"/>
      <c r="AA338" s="231"/>
      <c r="AB338" s="231"/>
      <c r="AC338" s="231"/>
      <c r="AD338" s="231"/>
      <c r="AE338" s="231"/>
      <c r="AF338" s="231"/>
      <c r="AG338" s="231"/>
      <c r="AH338" s="231"/>
      <c r="AI338" s="231"/>
      <c r="AJ338" s="231"/>
      <c r="AK338" s="231"/>
      <c r="AL338" s="231"/>
      <c r="AM338" s="231"/>
      <c r="AN338" s="231"/>
      <c r="AO338" s="231"/>
      <c r="AP338" s="231"/>
      <c r="AQ338" s="231"/>
    </row>
    <row r="339" spans="1:43" s="203" customFormat="1">
      <c r="A339" s="23"/>
      <c r="B339" s="207"/>
      <c r="C339" s="207"/>
      <c r="D339" s="207"/>
      <c r="E339" s="207"/>
      <c r="F339" s="207"/>
      <c r="G339" s="207"/>
      <c r="H339" s="21"/>
      <c r="I339" s="21"/>
      <c r="J339" s="231"/>
      <c r="K339" s="231"/>
      <c r="L339" s="231"/>
      <c r="M339" s="231"/>
      <c r="N339" s="231"/>
      <c r="O339" s="231"/>
      <c r="P339" s="231"/>
      <c r="Q339" s="231"/>
      <c r="R339" s="231"/>
      <c r="S339" s="231"/>
      <c r="T339" s="231"/>
      <c r="U339" s="231"/>
      <c r="V339" s="231"/>
      <c r="W339" s="231"/>
      <c r="X339" s="231"/>
      <c r="Y339" s="231"/>
      <c r="Z339" s="231"/>
      <c r="AA339" s="231"/>
      <c r="AB339" s="231"/>
      <c r="AC339" s="231"/>
      <c r="AD339" s="231"/>
      <c r="AE339" s="231"/>
      <c r="AF339" s="231"/>
      <c r="AG339" s="231"/>
      <c r="AH339" s="231"/>
      <c r="AI339" s="231"/>
      <c r="AJ339" s="231"/>
      <c r="AK339" s="231"/>
      <c r="AL339" s="231"/>
      <c r="AM339" s="231"/>
      <c r="AN339" s="231"/>
      <c r="AO339" s="231"/>
      <c r="AP339" s="231"/>
      <c r="AQ339" s="231"/>
    </row>
    <row r="340" spans="1:43" s="203" customFormat="1">
      <c r="A340" s="23"/>
      <c r="B340" s="207"/>
      <c r="C340" s="207"/>
      <c r="D340" s="207"/>
      <c r="E340" s="207"/>
      <c r="F340" s="207"/>
      <c r="G340" s="207"/>
      <c r="H340" s="131" t="s">
        <v>27</v>
      </c>
      <c r="I340" s="21"/>
      <c r="J340" s="231"/>
      <c r="K340" s="231"/>
      <c r="L340" s="231"/>
      <c r="M340" s="231"/>
      <c r="N340" s="231"/>
      <c r="O340" s="231"/>
      <c r="P340" s="231"/>
      <c r="Q340" s="231"/>
      <c r="R340" s="231"/>
      <c r="S340" s="231"/>
      <c r="T340" s="231"/>
      <c r="U340" s="231"/>
      <c r="V340" s="231"/>
      <c r="W340" s="231"/>
      <c r="X340" s="231"/>
      <c r="Y340" s="231"/>
      <c r="Z340" s="231"/>
      <c r="AA340" s="231"/>
      <c r="AB340" s="231"/>
      <c r="AC340" s="231"/>
      <c r="AD340" s="231"/>
      <c r="AE340" s="231"/>
      <c r="AF340" s="231"/>
      <c r="AG340" s="231"/>
      <c r="AH340" s="231"/>
      <c r="AI340" s="231"/>
      <c r="AJ340" s="231"/>
      <c r="AK340" s="231"/>
      <c r="AL340" s="231"/>
      <c r="AM340" s="231"/>
      <c r="AN340" s="231"/>
      <c r="AO340" s="231"/>
      <c r="AP340" s="231"/>
      <c r="AQ340" s="231"/>
    </row>
    <row r="341" spans="1:43" s="203" customFormat="1">
      <c r="A341" s="197"/>
      <c r="B341" s="69"/>
      <c r="C341" s="69"/>
      <c r="D341" s="69"/>
      <c r="E341" s="856" t="s">
        <v>377</v>
      </c>
      <c r="F341" s="853" t="s">
        <v>402</v>
      </c>
      <c r="G341" s="207"/>
      <c r="H341" s="856" t="s">
        <v>403</v>
      </c>
      <c r="I341" s="21"/>
      <c r="J341" s="231"/>
      <c r="K341" s="231"/>
      <c r="L341" s="231"/>
      <c r="M341" s="231"/>
      <c r="N341" s="231"/>
      <c r="O341" s="231"/>
      <c r="P341" s="231"/>
      <c r="Q341" s="231"/>
      <c r="R341" s="231"/>
      <c r="S341" s="231"/>
      <c r="T341" s="231"/>
      <c r="U341" s="231"/>
      <c r="V341" s="231"/>
      <c r="W341" s="231"/>
      <c r="X341" s="231"/>
      <c r="Y341" s="231"/>
      <c r="Z341" s="231"/>
      <c r="AA341" s="231"/>
      <c r="AB341" s="231"/>
      <c r="AC341" s="231"/>
      <c r="AD341" s="231"/>
      <c r="AE341" s="231"/>
      <c r="AF341" s="231"/>
      <c r="AG341" s="231"/>
      <c r="AH341" s="231"/>
      <c r="AI341" s="231"/>
      <c r="AJ341" s="231"/>
      <c r="AK341" s="231"/>
      <c r="AL341" s="231"/>
      <c r="AM341" s="231"/>
      <c r="AN341" s="231"/>
      <c r="AO341" s="231"/>
      <c r="AP341" s="231"/>
      <c r="AQ341" s="231"/>
    </row>
    <row r="342" spans="1:43" s="203" customFormat="1">
      <c r="A342" s="144" t="s">
        <v>261</v>
      </c>
      <c r="B342" s="116"/>
      <c r="C342" s="116"/>
      <c r="D342" s="116"/>
      <c r="E342" s="859"/>
      <c r="F342" s="854"/>
      <c r="G342" s="207"/>
      <c r="H342" s="857"/>
      <c r="I342" s="21"/>
      <c r="J342" s="231"/>
      <c r="K342" s="231"/>
      <c r="L342" s="231"/>
      <c r="M342" s="231"/>
      <c r="N342" s="231"/>
      <c r="O342" s="231"/>
      <c r="P342" s="231"/>
      <c r="Q342" s="231"/>
      <c r="R342" s="231"/>
      <c r="S342" s="231"/>
      <c r="T342" s="231"/>
      <c r="U342" s="231"/>
      <c r="V342" s="231"/>
      <c r="W342" s="231"/>
      <c r="X342" s="231"/>
      <c r="Y342" s="231"/>
      <c r="Z342" s="231"/>
      <c r="AA342" s="231"/>
      <c r="AB342" s="231"/>
      <c r="AC342" s="231"/>
      <c r="AD342" s="231"/>
      <c r="AE342" s="231"/>
      <c r="AF342" s="231"/>
      <c r="AG342" s="231"/>
      <c r="AH342" s="231"/>
      <c r="AI342" s="231"/>
      <c r="AJ342" s="231"/>
      <c r="AK342" s="231"/>
      <c r="AL342" s="231"/>
      <c r="AM342" s="231"/>
      <c r="AN342" s="231"/>
      <c r="AO342" s="231"/>
      <c r="AP342" s="231"/>
      <c r="AQ342" s="231"/>
    </row>
    <row r="343" spans="1:43" s="203" customFormat="1">
      <c r="A343" s="119"/>
      <c r="B343" s="116"/>
      <c r="C343" s="116"/>
      <c r="D343" s="116"/>
      <c r="E343" s="859"/>
      <c r="F343" s="854"/>
      <c r="G343" s="207"/>
      <c r="H343" s="857"/>
      <c r="I343" s="21"/>
      <c r="J343" s="231"/>
      <c r="K343" s="231"/>
      <c r="L343" s="231"/>
      <c r="M343" s="231"/>
      <c r="N343" s="231"/>
      <c r="O343" s="231"/>
      <c r="P343" s="231"/>
      <c r="Q343" s="231"/>
      <c r="R343" s="231"/>
      <c r="S343" s="231"/>
      <c r="T343" s="231"/>
      <c r="U343" s="231"/>
      <c r="V343" s="231"/>
      <c r="W343" s="231"/>
      <c r="X343" s="231"/>
      <c r="Y343" s="231"/>
      <c r="Z343" s="231"/>
      <c r="AA343" s="231"/>
      <c r="AB343" s="231"/>
      <c r="AC343" s="231"/>
      <c r="AD343" s="231"/>
      <c r="AE343" s="231"/>
      <c r="AF343" s="231"/>
      <c r="AG343" s="231"/>
      <c r="AH343" s="231"/>
      <c r="AI343" s="231"/>
      <c r="AJ343" s="231"/>
      <c r="AK343" s="231"/>
      <c r="AL343" s="231"/>
      <c r="AM343" s="231"/>
      <c r="AN343" s="231"/>
      <c r="AO343" s="231"/>
      <c r="AP343" s="231"/>
      <c r="AQ343" s="231"/>
    </row>
    <row r="344" spans="1:43" s="203" customFormat="1">
      <c r="A344" s="198" t="s">
        <v>262</v>
      </c>
      <c r="B344" s="116"/>
      <c r="C344" s="116"/>
      <c r="D344" s="116"/>
      <c r="E344" s="859"/>
      <c r="F344" s="854"/>
      <c r="G344" s="207"/>
      <c r="H344" s="857"/>
      <c r="I344" s="21"/>
      <c r="J344" s="231"/>
      <c r="K344" s="231"/>
      <c r="L344" s="231"/>
      <c r="M344" s="231"/>
      <c r="N344" s="231"/>
      <c r="O344" s="231"/>
      <c r="P344" s="231"/>
      <c r="Q344" s="231"/>
      <c r="R344" s="231"/>
      <c r="S344" s="231"/>
      <c r="T344" s="231"/>
      <c r="U344" s="231"/>
      <c r="V344" s="231"/>
      <c r="W344" s="231"/>
      <c r="X344" s="231"/>
      <c r="Y344" s="231"/>
      <c r="Z344" s="231"/>
      <c r="AA344" s="231"/>
      <c r="AB344" s="231"/>
      <c r="AC344" s="231"/>
      <c r="AD344" s="231"/>
      <c r="AE344" s="231"/>
      <c r="AF344" s="231"/>
      <c r="AG344" s="231"/>
      <c r="AH344" s="231"/>
      <c r="AI344" s="231"/>
      <c r="AJ344" s="231"/>
      <c r="AK344" s="231"/>
      <c r="AL344" s="231"/>
      <c r="AM344" s="231"/>
      <c r="AN344" s="231"/>
      <c r="AO344" s="231"/>
      <c r="AP344" s="231"/>
      <c r="AQ344" s="231"/>
    </row>
    <row r="345" spans="1:43" s="203" customFormat="1">
      <c r="A345" s="198" t="s">
        <v>330</v>
      </c>
      <c r="B345" s="116"/>
      <c r="C345" s="116"/>
      <c r="D345" s="116"/>
      <c r="E345" s="860"/>
      <c r="F345" s="855"/>
      <c r="G345" s="207"/>
      <c r="H345" s="858"/>
      <c r="I345" s="21"/>
      <c r="J345" s="231"/>
      <c r="K345" s="231"/>
      <c r="L345" s="231"/>
      <c r="M345" s="231"/>
      <c r="N345" s="231"/>
      <c r="O345" s="231"/>
      <c r="P345" s="231"/>
      <c r="Q345" s="231"/>
      <c r="R345" s="231"/>
      <c r="S345" s="231"/>
      <c r="T345" s="231"/>
      <c r="U345" s="231"/>
      <c r="V345" s="231"/>
      <c r="W345" s="231"/>
      <c r="X345" s="231"/>
      <c r="Y345" s="231"/>
      <c r="Z345" s="231"/>
      <c r="AA345" s="231"/>
      <c r="AB345" s="231"/>
      <c r="AC345" s="231"/>
      <c r="AD345" s="231"/>
      <c r="AE345" s="231"/>
      <c r="AF345" s="231"/>
      <c r="AG345" s="231"/>
      <c r="AH345" s="231"/>
      <c r="AI345" s="231"/>
      <c r="AJ345" s="231"/>
      <c r="AK345" s="231"/>
      <c r="AL345" s="231"/>
      <c r="AM345" s="231"/>
      <c r="AN345" s="231"/>
      <c r="AO345" s="231"/>
      <c r="AP345" s="231"/>
      <c r="AQ345" s="231"/>
    </row>
    <row r="346" spans="1:43" s="203" customFormat="1">
      <c r="A346" s="119"/>
      <c r="B346" s="47"/>
      <c r="C346" s="116"/>
      <c r="D346" s="116"/>
      <c r="E346" s="178"/>
      <c r="F346" s="146"/>
      <c r="G346" s="23"/>
      <c r="H346" s="264"/>
      <c r="I346" s="21"/>
      <c r="J346" s="231"/>
      <c r="K346" s="231"/>
      <c r="L346" s="231"/>
      <c r="M346" s="231"/>
      <c r="N346" s="231"/>
      <c r="O346" s="231"/>
      <c r="P346" s="231"/>
      <c r="Q346" s="231"/>
      <c r="R346" s="231"/>
      <c r="S346" s="231"/>
      <c r="T346" s="231"/>
      <c r="U346" s="231"/>
      <c r="V346" s="231"/>
      <c r="W346" s="231"/>
      <c r="X346" s="231"/>
      <c r="Y346" s="231"/>
      <c r="Z346" s="231"/>
      <c r="AA346" s="231"/>
      <c r="AB346" s="231"/>
      <c r="AC346" s="231"/>
      <c r="AD346" s="231"/>
      <c r="AE346" s="231"/>
      <c r="AF346" s="231"/>
      <c r="AG346" s="231"/>
      <c r="AH346" s="231"/>
      <c r="AI346" s="231"/>
      <c r="AJ346" s="231"/>
      <c r="AK346" s="231"/>
      <c r="AL346" s="231"/>
      <c r="AM346" s="231"/>
      <c r="AN346" s="231"/>
      <c r="AO346" s="231"/>
      <c r="AP346" s="231"/>
      <c r="AQ346" s="231"/>
    </row>
    <row r="347" spans="1:43" s="203" customFormat="1">
      <c r="A347" s="788">
        <v>1</v>
      </c>
      <c r="B347" s="47" t="s">
        <v>263</v>
      </c>
      <c r="C347" s="116"/>
      <c r="D347" s="116"/>
      <c r="E347" s="354">
        <v>7998</v>
      </c>
      <c r="F347" s="265">
        <v>8063</v>
      </c>
      <c r="G347" s="43"/>
      <c r="H347" s="126">
        <v>8147</v>
      </c>
      <c r="I347" s="86"/>
      <c r="J347" s="231"/>
      <c r="K347" s="231"/>
      <c r="L347" s="231"/>
      <c r="M347" s="231"/>
      <c r="N347" s="231"/>
      <c r="O347" s="231"/>
      <c r="P347" s="231"/>
      <c r="Q347" s="231"/>
      <c r="R347" s="231"/>
      <c r="S347" s="231"/>
      <c r="T347" s="231"/>
      <c r="U347" s="231"/>
      <c r="V347" s="231"/>
      <c r="W347" s="231"/>
      <c r="X347" s="231"/>
      <c r="Y347" s="231"/>
      <c r="Z347" s="231"/>
      <c r="AA347" s="231"/>
      <c r="AB347" s="231"/>
      <c r="AC347" s="231"/>
      <c r="AD347" s="231"/>
      <c r="AE347" s="231"/>
      <c r="AF347" s="231"/>
      <c r="AG347" s="231"/>
      <c r="AH347" s="231"/>
      <c r="AI347" s="231"/>
      <c r="AJ347" s="231"/>
      <c r="AK347" s="231"/>
      <c r="AL347" s="231"/>
      <c r="AM347" s="231"/>
      <c r="AN347" s="231"/>
      <c r="AO347" s="231"/>
      <c r="AP347" s="231"/>
      <c r="AQ347" s="231"/>
    </row>
    <row r="348" spans="1:43" s="203" customFormat="1">
      <c r="A348" s="788"/>
      <c r="B348" s="47"/>
      <c r="C348" s="116"/>
      <c r="D348" s="116"/>
      <c r="E348" s="355"/>
      <c r="F348" s="188"/>
      <c r="G348" s="43"/>
      <c r="H348" s="188"/>
      <c r="I348" s="86"/>
      <c r="J348" s="231"/>
      <c r="K348" s="231"/>
      <c r="L348" s="231"/>
      <c r="M348" s="231"/>
      <c r="N348" s="231"/>
      <c r="O348" s="231"/>
      <c r="P348" s="231"/>
      <c r="Q348" s="231"/>
      <c r="R348" s="231"/>
      <c r="S348" s="231"/>
      <c r="T348" s="231"/>
      <c r="U348" s="231"/>
      <c r="V348" s="231"/>
      <c r="W348" s="231"/>
      <c r="X348" s="231"/>
      <c r="Y348" s="231"/>
      <c r="Z348" s="231"/>
      <c r="AA348" s="231"/>
      <c r="AB348" s="231"/>
      <c r="AC348" s="231"/>
      <c r="AD348" s="231"/>
      <c r="AE348" s="231"/>
      <c r="AF348" s="231"/>
      <c r="AG348" s="231"/>
      <c r="AH348" s="231"/>
      <c r="AI348" s="231"/>
      <c r="AJ348" s="231"/>
      <c r="AK348" s="231"/>
      <c r="AL348" s="231"/>
      <c r="AM348" s="231"/>
      <c r="AN348" s="231"/>
      <c r="AO348" s="231"/>
      <c r="AP348" s="231"/>
      <c r="AQ348" s="231"/>
    </row>
    <row r="349" spans="1:43" s="203" customFormat="1">
      <c r="A349" s="108" t="s">
        <v>378</v>
      </c>
      <c r="B349" s="47"/>
      <c r="C349" s="116"/>
      <c r="D349" s="116"/>
      <c r="E349" s="355"/>
      <c r="F349" s="188"/>
      <c r="G349" s="43"/>
      <c r="H349" s="188"/>
      <c r="I349" s="86"/>
      <c r="J349" s="231"/>
      <c r="K349" s="231"/>
      <c r="L349" s="231"/>
      <c r="M349" s="231"/>
      <c r="N349" s="231"/>
      <c r="O349" s="231"/>
      <c r="P349" s="231"/>
      <c r="Q349" s="231"/>
      <c r="R349" s="231"/>
      <c r="S349" s="231"/>
      <c r="T349" s="231"/>
      <c r="U349" s="231"/>
      <c r="V349" s="231"/>
      <c r="W349" s="231"/>
      <c r="X349" s="231"/>
      <c r="Y349" s="231"/>
      <c r="Z349" s="231"/>
      <c r="AA349" s="231"/>
      <c r="AB349" s="231"/>
      <c r="AC349" s="231"/>
      <c r="AD349" s="231"/>
      <c r="AE349" s="231"/>
      <c r="AF349" s="231"/>
      <c r="AG349" s="231"/>
      <c r="AH349" s="231"/>
      <c r="AI349" s="231"/>
      <c r="AJ349" s="231"/>
      <c r="AK349" s="231"/>
      <c r="AL349" s="231"/>
      <c r="AM349" s="231"/>
      <c r="AN349" s="231"/>
      <c r="AO349" s="231"/>
      <c r="AP349" s="231"/>
      <c r="AQ349" s="231"/>
    </row>
    <row r="350" spans="1:43" s="203" customFormat="1">
      <c r="A350" s="788"/>
      <c r="B350" s="47"/>
      <c r="C350" s="116"/>
      <c r="D350" s="116"/>
      <c r="E350" s="355"/>
      <c r="F350" s="188"/>
      <c r="G350" s="43"/>
      <c r="H350" s="188"/>
      <c r="I350" s="86"/>
      <c r="J350" s="231"/>
      <c r="K350" s="231"/>
      <c r="L350" s="231"/>
      <c r="M350" s="231"/>
      <c r="N350" s="231"/>
      <c r="O350" s="231"/>
      <c r="P350" s="231"/>
      <c r="Q350" s="231"/>
      <c r="R350" s="231"/>
      <c r="S350" s="231"/>
      <c r="T350" s="231"/>
      <c r="U350" s="231"/>
      <c r="V350" s="231"/>
      <c r="W350" s="231"/>
      <c r="X350" s="231"/>
      <c r="Y350" s="231"/>
      <c r="Z350" s="231"/>
      <c r="AA350" s="231"/>
      <c r="AB350" s="231"/>
      <c r="AC350" s="231"/>
      <c r="AD350" s="231"/>
      <c r="AE350" s="231"/>
      <c r="AF350" s="231"/>
      <c r="AG350" s="231"/>
      <c r="AH350" s="231"/>
      <c r="AI350" s="231"/>
      <c r="AJ350" s="231"/>
      <c r="AK350" s="231"/>
      <c r="AL350" s="231"/>
      <c r="AM350" s="231"/>
      <c r="AN350" s="231"/>
      <c r="AO350" s="231"/>
      <c r="AP350" s="231"/>
      <c r="AQ350" s="231"/>
    </row>
    <row r="351" spans="1:43" s="203" customFormat="1">
      <c r="A351" s="198" t="s">
        <v>379</v>
      </c>
      <c r="B351" s="47"/>
      <c r="C351" s="116"/>
      <c r="D351" s="116"/>
      <c r="E351" s="355"/>
      <c r="F351" s="188"/>
      <c r="G351" s="43"/>
      <c r="H351" s="188"/>
      <c r="I351" s="86"/>
      <c r="J351" s="231"/>
      <c r="K351" s="231"/>
      <c r="L351" s="231"/>
      <c r="M351" s="231"/>
      <c r="N351" s="231"/>
      <c r="O351" s="231"/>
      <c r="P351" s="231"/>
      <c r="Q351" s="231"/>
      <c r="R351" s="231"/>
      <c r="S351" s="231"/>
      <c r="T351" s="231"/>
      <c r="U351" s="231"/>
      <c r="V351" s="231"/>
      <c r="W351" s="231"/>
      <c r="X351" s="231"/>
      <c r="Y351" s="231"/>
      <c r="Z351" s="231"/>
      <c r="AA351" s="231"/>
      <c r="AB351" s="231"/>
      <c r="AC351" s="231"/>
      <c r="AD351" s="231"/>
      <c r="AE351" s="231"/>
      <c r="AF351" s="231"/>
      <c r="AG351" s="231"/>
      <c r="AH351" s="231"/>
      <c r="AI351" s="231"/>
      <c r="AJ351" s="231"/>
      <c r="AK351" s="231"/>
      <c r="AL351" s="231"/>
      <c r="AM351" s="231"/>
      <c r="AN351" s="231"/>
      <c r="AO351" s="231"/>
      <c r="AP351" s="231"/>
      <c r="AQ351" s="231"/>
    </row>
    <row r="352" spans="1:43" s="203" customFormat="1">
      <c r="A352" s="788"/>
      <c r="B352" s="47"/>
      <c r="C352" s="116"/>
      <c r="D352" s="116"/>
      <c r="E352" s="355"/>
      <c r="F352" s="188"/>
      <c r="G352" s="43"/>
      <c r="H352" s="188"/>
      <c r="I352" s="86"/>
      <c r="J352" s="231"/>
      <c r="K352" s="231"/>
      <c r="L352" s="231"/>
      <c r="M352" s="231"/>
      <c r="N352" s="231"/>
      <c r="O352" s="231"/>
      <c r="P352" s="231"/>
      <c r="Q352" s="231"/>
      <c r="R352" s="231"/>
      <c r="S352" s="231"/>
      <c r="T352" s="231"/>
      <c r="U352" s="231"/>
      <c r="V352" s="231"/>
      <c r="W352" s="231"/>
      <c r="X352" s="231"/>
      <c r="Y352" s="231"/>
      <c r="Z352" s="231"/>
      <c r="AA352" s="231"/>
      <c r="AB352" s="231"/>
      <c r="AC352" s="231"/>
      <c r="AD352" s="231"/>
      <c r="AE352" s="231"/>
      <c r="AF352" s="231"/>
      <c r="AG352" s="231"/>
      <c r="AH352" s="231"/>
      <c r="AI352" s="231"/>
      <c r="AJ352" s="231"/>
      <c r="AK352" s="231"/>
      <c r="AL352" s="231"/>
      <c r="AM352" s="231"/>
      <c r="AN352" s="231"/>
      <c r="AO352" s="231"/>
      <c r="AP352" s="231"/>
      <c r="AQ352" s="231"/>
    </row>
    <row r="353" spans="1:43" s="203" customFormat="1">
      <c r="A353" s="788">
        <v>2</v>
      </c>
      <c r="B353" s="47" t="s">
        <v>52</v>
      </c>
      <c r="C353" s="116"/>
      <c r="D353" s="116"/>
      <c r="E353" s="74">
        <v>628</v>
      </c>
      <c r="F353" s="265">
        <v>634</v>
      </c>
      <c r="G353" s="43"/>
      <c r="H353" s="126">
        <v>656</v>
      </c>
      <c r="I353" s="86"/>
      <c r="J353" s="231"/>
      <c r="K353" s="231"/>
      <c r="L353" s="231"/>
      <c r="M353" s="231"/>
      <c r="N353" s="231"/>
      <c r="O353" s="231"/>
      <c r="P353" s="231"/>
      <c r="Q353" s="231"/>
      <c r="R353" s="231"/>
      <c r="S353" s="231"/>
      <c r="T353" s="231"/>
      <c r="U353" s="231"/>
      <c r="V353" s="231"/>
      <c r="W353" s="231"/>
      <c r="X353" s="231"/>
      <c r="Y353" s="231"/>
      <c r="Z353" s="231"/>
      <c r="AA353" s="231"/>
      <c r="AB353" s="231"/>
      <c r="AC353" s="231"/>
      <c r="AD353" s="231"/>
      <c r="AE353" s="231"/>
      <c r="AF353" s="231"/>
      <c r="AG353" s="231"/>
      <c r="AH353" s="231"/>
      <c r="AI353" s="231"/>
      <c r="AJ353" s="231"/>
      <c r="AK353" s="231"/>
      <c r="AL353" s="231"/>
      <c r="AM353" s="231"/>
      <c r="AN353" s="231"/>
      <c r="AO353" s="231"/>
      <c r="AP353" s="231"/>
      <c r="AQ353" s="231"/>
    </row>
    <row r="354" spans="1:43" s="203" customFormat="1">
      <c r="A354" s="788">
        <v>3</v>
      </c>
      <c r="B354" s="47" t="s">
        <v>53</v>
      </c>
      <c r="C354" s="116"/>
      <c r="D354" s="116"/>
      <c r="E354" s="49">
        <v>0</v>
      </c>
      <c r="F354" s="265"/>
      <c r="G354" s="43"/>
      <c r="H354" s="126"/>
      <c r="I354" s="86"/>
      <c r="J354" s="231"/>
      <c r="K354" s="231"/>
      <c r="L354" s="231"/>
      <c r="M354" s="231"/>
      <c r="N354" s="231"/>
      <c r="O354" s="231"/>
      <c r="P354" s="231"/>
      <c r="Q354" s="231"/>
      <c r="R354" s="231"/>
      <c r="S354" s="231"/>
      <c r="T354" s="231"/>
      <c r="U354" s="231"/>
      <c r="V354" s="231"/>
      <c r="W354" s="231"/>
      <c r="X354" s="231"/>
      <c r="Y354" s="231"/>
      <c r="Z354" s="231"/>
      <c r="AA354" s="231"/>
      <c r="AB354" s="231"/>
      <c r="AC354" s="231"/>
      <c r="AD354" s="231"/>
      <c r="AE354" s="231"/>
      <c r="AF354" s="231"/>
      <c r="AG354" s="231"/>
      <c r="AH354" s="231"/>
      <c r="AI354" s="231"/>
      <c r="AJ354" s="231"/>
      <c r="AK354" s="231"/>
      <c r="AL354" s="231"/>
      <c r="AM354" s="231"/>
      <c r="AN354" s="231"/>
      <c r="AO354" s="231"/>
      <c r="AP354" s="231"/>
      <c r="AQ354" s="231"/>
    </row>
    <row r="355" spans="1:43" s="203" customFormat="1">
      <c r="A355" s="788">
        <v>4</v>
      </c>
      <c r="B355" s="47" t="s">
        <v>54</v>
      </c>
      <c r="C355" s="116"/>
      <c r="D355" s="116"/>
      <c r="E355" s="49">
        <v>0</v>
      </c>
      <c r="F355" s="265"/>
      <c r="G355" s="43"/>
      <c r="H355" s="126"/>
      <c r="I355" s="86"/>
      <c r="J355" s="231"/>
      <c r="K355" s="231"/>
      <c r="L355" s="231"/>
      <c r="M355" s="231"/>
      <c r="N355" s="231"/>
      <c r="O355" s="231"/>
      <c r="P355" s="231"/>
      <c r="Q355" s="231"/>
      <c r="R355" s="231"/>
      <c r="S355" s="231"/>
      <c r="T355" s="231"/>
      <c r="U355" s="231"/>
      <c r="V355" s="231"/>
      <c r="W355" s="231"/>
      <c r="X355" s="231"/>
      <c r="Y355" s="231"/>
      <c r="Z355" s="231"/>
      <c r="AA355" s="231"/>
      <c r="AB355" s="231"/>
      <c r="AC355" s="231"/>
      <c r="AD355" s="231"/>
      <c r="AE355" s="231"/>
      <c r="AF355" s="231"/>
      <c r="AG355" s="231"/>
      <c r="AH355" s="231"/>
      <c r="AI355" s="231"/>
      <c r="AJ355" s="231"/>
      <c r="AK355" s="231"/>
      <c r="AL355" s="231"/>
      <c r="AM355" s="231"/>
      <c r="AN355" s="231"/>
      <c r="AO355" s="231"/>
      <c r="AP355" s="231"/>
      <c r="AQ355" s="231"/>
    </row>
    <row r="356" spans="1:43" s="203" customFormat="1">
      <c r="A356" s="788">
        <v>5</v>
      </c>
      <c r="B356" s="47" t="s">
        <v>55</v>
      </c>
      <c r="C356" s="116"/>
      <c r="D356" s="116"/>
      <c r="E356" s="49">
        <v>0</v>
      </c>
      <c r="F356" s="265"/>
      <c r="G356" s="43"/>
      <c r="H356" s="126"/>
      <c r="I356" s="86"/>
      <c r="J356" s="231"/>
      <c r="K356" s="231"/>
      <c r="L356" s="231"/>
      <c r="M356" s="231"/>
      <c r="N356" s="231"/>
      <c r="O356" s="231"/>
      <c r="P356" s="231"/>
      <c r="Q356" s="231"/>
      <c r="R356" s="231"/>
      <c r="S356" s="231"/>
      <c r="T356" s="231"/>
      <c r="U356" s="231"/>
      <c r="V356" s="231"/>
      <c r="W356" s="231"/>
      <c r="X356" s="231"/>
      <c r="Y356" s="231"/>
      <c r="Z356" s="231"/>
      <c r="AA356" s="231"/>
      <c r="AB356" s="231"/>
      <c r="AC356" s="231"/>
      <c r="AD356" s="231"/>
      <c r="AE356" s="231"/>
      <c r="AF356" s="231"/>
      <c r="AG356" s="231"/>
      <c r="AH356" s="231"/>
      <c r="AI356" s="231"/>
      <c r="AJ356" s="231"/>
      <c r="AK356" s="231"/>
      <c r="AL356" s="231"/>
      <c r="AM356" s="231"/>
      <c r="AN356" s="231"/>
      <c r="AO356" s="231"/>
      <c r="AP356" s="231"/>
      <c r="AQ356" s="231"/>
    </row>
    <row r="357" spans="1:43" s="203" customFormat="1">
      <c r="A357" s="788">
        <v>6</v>
      </c>
      <c r="B357" s="47" t="s">
        <v>56</v>
      </c>
      <c r="C357" s="116"/>
      <c r="D357" s="116"/>
      <c r="E357" s="49">
        <v>0</v>
      </c>
      <c r="F357" s="265"/>
      <c r="G357" s="43"/>
      <c r="H357" s="126"/>
      <c r="I357" s="86"/>
      <c r="J357" s="231"/>
      <c r="K357" s="231"/>
      <c r="L357" s="231"/>
      <c r="M357" s="231"/>
      <c r="N357" s="231"/>
      <c r="O357" s="231"/>
      <c r="P357" s="231"/>
      <c r="Q357" s="231"/>
      <c r="R357" s="231"/>
      <c r="S357" s="231"/>
      <c r="T357" s="231"/>
      <c r="U357" s="231"/>
      <c r="V357" s="231"/>
      <c r="W357" s="231"/>
      <c r="X357" s="231"/>
      <c r="Y357" s="231"/>
      <c r="Z357" s="231"/>
      <c r="AA357" s="231"/>
      <c r="AB357" s="231"/>
      <c r="AC357" s="231"/>
      <c r="AD357" s="231"/>
      <c r="AE357" s="231"/>
      <c r="AF357" s="231"/>
      <c r="AG357" s="231"/>
      <c r="AH357" s="231"/>
      <c r="AI357" s="231"/>
      <c r="AJ357" s="231"/>
      <c r="AK357" s="231"/>
      <c r="AL357" s="231"/>
      <c r="AM357" s="231"/>
      <c r="AN357" s="231"/>
      <c r="AO357" s="231"/>
      <c r="AP357" s="231"/>
      <c r="AQ357" s="231"/>
    </row>
    <row r="358" spans="1:43" s="203" customFormat="1">
      <c r="A358" s="788">
        <v>7</v>
      </c>
      <c r="B358" s="47" t="s">
        <v>57</v>
      </c>
      <c r="C358" s="116"/>
      <c r="D358" s="116"/>
      <c r="E358" s="49">
        <v>0</v>
      </c>
      <c r="F358" s="265"/>
      <c r="G358" s="43"/>
      <c r="H358" s="126"/>
      <c r="I358" s="86"/>
      <c r="J358" s="231"/>
      <c r="K358" s="231"/>
      <c r="L358" s="231"/>
      <c r="M358" s="231"/>
      <c r="N358" s="231"/>
      <c r="O358" s="231"/>
      <c r="P358" s="231"/>
      <c r="Q358" s="231"/>
      <c r="R358" s="231"/>
      <c r="S358" s="231"/>
      <c r="T358" s="231"/>
      <c r="U358" s="231"/>
      <c r="V358" s="231"/>
      <c r="W358" s="231"/>
      <c r="X358" s="231"/>
      <c r="Y358" s="231"/>
      <c r="Z358" s="231"/>
      <c r="AA358" s="231"/>
      <c r="AB358" s="231"/>
      <c r="AC358" s="231"/>
      <c r="AD358" s="231"/>
      <c r="AE358" s="231"/>
      <c r="AF358" s="231"/>
      <c r="AG358" s="231"/>
      <c r="AH358" s="231"/>
      <c r="AI358" s="231"/>
      <c r="AJ358" s="231"/>
      <c r="AK358" s="231"/>
      <c r="AL358" s="231"/>
      <c r="AM358" s="231"/>
      <c r="AN358" s="231"/>
      <c r="AO358" s="231"/>
      <c r="AP358" s="231"/>
      <c r="AQ358" s="231"/>
    </row>
    <row r="359" spans="1:43" s="203" customFormat="1">
      <c r="A359" s="788">
        <v>8</v>
      </c>
      <c r="B359" s="47" t="s">
        <v>58</v>
      </c>
      <c r="C359" s="116"/>
      <c r="D359" s="116"/>
      <c r="E359" s="49">
        <v>0</v>
      </c>
      <c r="F359" s="265"/>
      <c r="G359" s="43"/>
      <c r="H359" s="126"/>
      <c r="I359" s="86"/>
      <c r="J359" s="231"/>
      <c r="K359" s="231"/>
      <c r="L359" s="231"/>
      <c r="M359" s="231"/>
      <c r="N359" s="231"/>
      <c r="O359" s="231"/>
      <c r="P359" s="231"/>
      <c r="Q359" s="231"/>
      <c r="R359" s="231"/>
      <c r="S359" s="231"/>
      <c r="T359" s="231"/>
      <c r="U359" s="231"/>
      <c r="V359" s="231"/>
      <c r="W359" s="231"/>
      <c r="X359" s="231"/>
      <c r="Y359" s="231"/>
      <c r="Z359" s="231"/>
      <c r="AA359" s="231"/>
      <c r="AB359" s="231"/>
      <c r="AC359" s="231"/>
      <c r="AD359" s="231"/>
      <c r="AE359" s="231"/>
      <c r="AF359" s="231"/>
      <c r="AG359" s="231"/>
      <c r="AH359" s="231"/>
      <c r="AI359" s="231"/>
      <c r="AJ359" s="231"/>
      <c r="AK359" s="231"/>
      <c r="AL359" s="231"/>
      <c r="AM359" s="231"/>
      <c r="AN359" s="231"/>
      <c r="AO359" s="231"/>
      <c r="AP359" s="231"/>
      <c r="AQ359" s="231"/>
    </row>
    <row r="360" spans="1:43" s="203" customFormat="1">
      <c r="A360" s="788">
        <v>9</v>
      </c>
      <c r="B360" s="47" t="s">
        <v>59</v>
      </c>
      <c r="C360" s="116"/>
      <c r="D360" s="116"/>
      <c r="E360" s="49">
        <v>0</v>
      </c>
      <c r="F360" s="265"/>
      <c r="G360" s="43"/>
      <c r="H360" s="126"/>
      <c r="I360" s="86"/>
      <c r="J360" s="231"/>
      <c r="K360" s="231"/>
      <c r="L360" s="231"/>
      <c r="M360" s="231"/>
      <c r="N360" s="231"/>
      <c r="O360" s="231"/>
      <c r="P360" s="231"/>
      <c r="Q360" s="231"/>
      <c r="R360" s="231"/>
      <c r="S360" s="231"/>
      <c r="T360" s="231"/>
      <c r="U360" s="231"/>
      <c r="V360" s="231"/>
      <c r="W360" s="231"/>
      <c r="X360" s="231"/>
      <c r="Y360" s="231"/>
      <c r="Z360" s="231"/>
      <c r="AA360" s="231"/>
      <c r="AB360" s="231"/>
      <c r="AC360" s="231"/>
      <c r="AD360" s="231"/>
      <c r="AE360" s="231"/>
      <c r="AF360" s="231"/>
      <c r="AG360" s="231"/>
      <c r="AH360" s="231"/>
      <c r="AI360" s="231"/>
      <c r="AJ360" s="231"/>
      <c r="AK360" s="231"/>
      <c r="AL360" s="231"/>
      <c r="AM360" s="231"/>
      <c r="AN360" s="231"/>
      <c r="AO360" s="231"/>
      <c r="AP360" s="231"/>
      <c r="AQ360" s="231"/>
    </row>
    <row r="361" spans="1:43" s="203" customFormat="1">
      <c r="A361" s="788">
        <v>10</v>
      </c>
      <c r="B361" s="47" t="s">
        <v>60</v>
      </c>
      <c r="C361" s="116"/>
      <c r="D361" s="116"/>
      <c r="E361" s="49">
        <v>0</v>
      </c>
      <c r="F361" s="265"/>
      <c r="G361" s="43"/>
      <c r="H361" s="126"/>
      <c r="I361" s="86"/>
      <c r="J361" s="231"/>
      <c r="K361" s="231"/>
      <c r="L361" s="231"/>
      <c r="M361" s="231"/>
      <c r="N361" s="231"/>
      <c r="O361" s="231"/>
      <c r="P361" s="231"/>
      <c r="Q361" s="231"/>
      <c r="R361" s="231"/>
      <c r="S361" s="231"/>
      <c r="T361" s="231"/>
      <c r="U361" s="231"/>
      <c r="V361" s="231"/>
      <c r="W361" s="231"/>
      <c r="X361" s="231"/>
      <c r="Y361" s="231"/>
      <c r="Z361" s="231"/>
      <c r="AA361" s="231"/>
      <c r="AB361" s="231"/>
      <c r="AC361" s="231"/>
      <c r="AD361" s="231"/>
      <c r="AE361" s="231"/>
      <c r="AF361" s="231"/>
      <c r="AG361" s="231"/>
      <c r="AH361" s="231"/>
      <c r="AI361" s="231"/>
      <c r="AJ361" s="231"/>
      <c r="AK361" s="231"/>
      <c r="AL361" s="231"/>
      <c r="AM361" s="231"/>
      <c r="AN361" s="231"/>
      <c r="AO361" s="231"/>
      <c r="AP361" s="231"/>
      <c r="AQ361" s="231"/>
    </row>
    <row r="362" spans="1:43" s="203" customFormat="1">
      <c r="A362" s="788">
        <v>11</v>
      </c>
      <c r="B362" s="47" t="s">
        <v>61</v>
      </c>
      <c r="C362" s="116"/>
      <c r="D362" s="116"/>
      <c r="E362" s="49">
        <v>0</v>
      </c>
      <c r="F362" s="265"/>
      <c r="G362" s="43"/>
      <c r="H362" s="126"/>
      <c r="I362" s="86"/>
      <c r="J362" s="231"/>
      <c r="K362" s="231"/>
      <c r="L362" s="231"/>
      <c r="M362" s="231"/>
      <c r="N362" s="231"/>
      <c r="O362" s="231"/>
      <c r="P362" s="231"/>
      <c r="Q362" s="231"/>
      <c r="R362" s="231"/>
      <c r="S362" s="231"/>
      <c r="T362" s="231"/>
      <c r="U362" s="231"/>
      <c r="V362" s="231"/>
      <c r="W362" s="231"/>
      <c r="X362" s="231"/>
      <c r="Y362" s="231"/>
      <c r="Z362" s="231"/>
      <c r="AA362" s="231"/>
      <c r="AB362" s="231"/>
      <c r="AC362" s="231"/>
      <c r="AD362" s="231"/>
      <c r="AE362" s="231"/>
      <c r="AF362" s="231"/>
      <c r="AG362" s="231"/>
      <c r="AH362" s="231"/>
      <c r="AI362" s="231"/>
      <c r="AJ362" s="231"/>
      <c r="AK362" s="231"/>
      <c r="AL362" s="231"/>
      <c r="AM362" s="231"/>
      <c r="AN362" s="231"/>
      <c r="AO362" s="231"/>
      <c r="AP362" s="231"/>
      <c r="AQ362" s="231"/>
    </row>
    <row r="363" spans="1:43" s="203" customFormat="1">
      <c r="A363" s="789">
        <v>12</v>
      </c>
      <c r="B363" s="54" t="s">
        <v>380</v>
      </c>
      <c r="C363" s="94"/>
      <c r="D363" s="94"/>
      <c r="E363" s="135">
        <v>628</v>
      </c>
      <c r="F363" s="61">
        <f>SUM(F353:F362)</f>
        <v>634</v>
      </c>
      <c r="G363" s="43"/>
      <c r="H363" s="61">
        <f>SUM(H353:H362)</f>
        <v>656</v>
      </c>
      <c r="I363" s="86"/>
      <c r="J363" s="231"/>
      <c r="K363" s="231"/>
      <c r="L363" s="231"/>
      <c r="M363" s="231"/>
      <c r="N363" s="231"/>
      <c r="O363" s="231"/>
      <c r="P363" s="231"/>
      <c r="Q363" s="231"/>
      <c r="R363" s="231"/>
      <c r="S363" s="231"/>
      <c r="T363" s="231"/>
      <c r="U363" s="231"/>
      <c r="V363" s="231"/>
      <c r="W363" s="231"/>
      <c r="X363" s="231"/>
      <c r="Y363" s="231"/>
      <c r="Z363" s="231"/>
      <c r="AA363" s="231"/>
      <c r="AB363" s="231"/>
      <c r="AC363" s="231"/>
      <c r="AD363" s="231"/>
      <c r="AE363" s="231"/>
      <c r="AF363" s="231"/>
      <c r="AG363" s="231"/>
      <c r="AH363" s="231"/>
      <c r="AI363" s="231"/>
      <c r="AJ363" s="231"/>
      <c r="AK363" s="231"/>
      <c r="AL363" s="231"/>
      <c r="AM363" s="231"/>
      <c r="AN363" s="231"/>
      <c r="AO363" s="231"/>
      <c r="AP363" s="231"/>
      <c r="AQ363" s="231"/>
    </row>
    <row r="364" spans="1:43" s="203" customFormat="1">
      <c r="A364" s="199"/>
      <c r="B364" s="15"/>
      <c r="C364" s="15"/>
      <c r="D364" s="15"/>
      <c r="E364" s="15"/>
      <c r="F364" s="15"/>
      <c r="G364" s="15"/>
      <c r="H364" s="15"/>
      <c r="I364" s="86"/>
      <c r="J364" s="231"/>
      <c r="K364" s="231"/>
      <c r="L364" s="231"/>
      <c r="M364" s="231"/>
      <c r="N364" s="231"/>
      <c r="O364" s="231"/>
      <c r="P364" s="231"/>
      <c r="Q364" s="231"/>
      <c r="R364" s="231"/>
      <c r="S364" s="231"/>
      <c r="T364" s="231"/>
      <c r="U364" s="231"/>
      <c r="V364" s="231"/>
      <c r="W364" s="231"/>
      <c r="X364" s="231"/>
      <c r="Y364" s="231"/>
      <c r="Z364" s="231"/>
      <c r="AA364" s="231"/>
      <c r="AB364" s="231"/>
      <c r="AC364" s="231"/>
      <c r="AD364" s="231"/>
      <c r="AE364" s="231"/>
      <c r="AF364" s="231"/>
      <c r="AG364" s="231"/>
      <c r="AH364" s="231"/>
      <c r="AI364" s="231"/>
      <c r="AJ364" s="231"/>
      <c r="AK364" s="231"/>
      <c r="AL364" s="231"/>
      <c r="AM364" s="231"/>
      <c r="AN364" s="231"/>
      <c r="AO364" s="231"/>
      <c r="AP364" s="231"/>
      <c r="AQ364" s="231"/>
    </row>
    <row r="365" spans="1:43" s="203" customFormat="1">
      <c r="A365" s="199"/>
      <c r="B365" s="15"/>
      <c r="C365" s="15"/>
      <c r="D365" s="15"/>
      <c r="E365" s="15"/>
      <c r="F365" s="15"/>
      <c r="G365" s="15"/>
      <c r="H365" s="86"/>
      <c r="I365" s="86"/>
      <c r="J365" s="231"/>
      <c r="K365" s="231"/>
      <c r="L365" s="231"/>
      <c r="M365" s="231"/>
      <c r="N365" s="231"/>
      <c r="O365" s="231"/>
      <c r="P365" s="231"/>
      <c r="Q365" s="231"/>
      <c r="R365" s="231"/>
      <c r="S365" s="231"/>
      <c r="T365" s="231"/>
      <c r="U365" s="231"/>
      <c r="V365" s="231"/>
      <c r="W365" s="231"/>
      <c r="X365" s="231"/>
      <c r="Y365" s="231"/>
      <c r="Z365" s="231"/>
      <c r="AA365" s="231"/>
      <c r="AB365" s="231"/>
      <c r="AC365" s="231"/>
      <c r="AD365" s="231"/>
      <c r="AE365" s="231"/>
      <c r="AF365" s="231"/>
      <c r="AG365" s="231"/>
      <c r="AH365" s="231"/>
      <c r="AI365" s="231"/>
      <c r="AJ365" s="231"/>
      <c r="AK365" s="231"/>
      <c r="AL365" s="231"/>
      <c r="AM365" s="231"/>
      <c r="AN365" s="231"/>
      <c r="AO365" s="231"/>
      <c r="AP365" s="231"/>
      <c r="AQ365" s="231"/>
    </row>
    <row r="366" spans="1:43" s="203" customFormat="1">
      <c r="A366" s="199"/>
      <c r="B366" s="15"/>
      <c r="C366" s="15"/>
      <c r="D366" s="15"/>
      <c r="E366" s="15"/>
      <c r="F366" s="15"/>
      <c r="G366" s="15"/>
      <c r="H366" s="86"/>
      <c r="I366" s="86"/>
      <c r="J366" s="231"/>
      <c r="K366" s="231"/>
      <c r="L366" s="231"/>
      <c r="M366" s="231"/>
      <c r="N366" s="231"/>
      <c r="O366" s="231"/>
      <c r="P366" s="231"/>
      <c r="Q366" s="231"/>
      <c r="R366" s="231"/>
      <c r="S366" s="231"/>
      <c r="T366" s="231"/>
      <c r="U366" s="231"/>
      <c r="V366" s="231"/>
      <c r="W366" s="231"/>
      <c r="X366" s="231"/>
      <c r="Y366" s="231"/>
      <c r="Z366" s="231"/>
      <c r="AA366" s="231"/>
      <c r="AB366" s="231"/>
      <c r="AC366" s="231"/>
      <c r="AD366" s="231"/>
      <c r="AE366" s="231"/>
      <c r="AF366" s="231"/>
      <c r="AG366" s="231"/>
      <c r="AH366" s="231"/>
      <c r="AI366" s="231"/>
      <c r="AJ366" s="231"/>
      <c r="AK366" s="231"/>
      <c r="AL366" s="231"/>
      <c r="AM366" s="231"/>
      <c r="AN366" s="231"/>
      <c r="AO366" s="231"/>
      <c r="AP366" s="231"/>
      <c r="AQ366" s="231"/>
    </row>
    <row r="367" spans="1:43" s="8" customFormat="1"/>
    <row r="368" spans="1:43" s="8" customFormat="1"/>
    <row r="369" s="8" customFormat="1"/>
    <row r="370" s="8" customFormat="1"/>
    <row r="371" s="8" customFormat="1"/>
    <row r="372" s="8" customFormat="1"/>
    <row r="373" s="8" customFormat="1"/>
    <row r="374" s="8" customFormat="1"/>
    <row r="375" s="8" customFormat="1"/>
    <row r="376" s="8" customFormat="1"/>
    <row r="377" s="8" customFormat="1"/>
    <row r="378" s="8" customFormat="1"/>
    <row r="379" s="8" customFormat="1"/>
    <row r="380" s="8" customFormat="1"/>
    <row r="381" s="8" customFormat="1"/>
    <row r="382" s="8" customFormat="1"/>
    <row r="383" s="8" customFormat="1"/>
    <row r="384" s="8" customFormat="1"/>
    <row r="385" spans="1:9" s="8" customFormat="1"/>
    <row r="386" spans="1:9" s="8" customFormat="1"/>
    <row r="387" spans="1:9" s="8" customFormat="1"/>
    <row r="388" spans="1:9" s="8" customFormat="1"/>
    <row r="389" spans="1:9" s="8" customFormat="1"/>
    <row r="390" spans="1:9" s="8" customFormat="1"/>
    <row r="391" spans="1:9" s="8" customFormat="1"/>
    <row r="392" spans="1:9" s="8" customFormat="1"/>
    <row r="393" spans="1:9" s="8" customFormat="1"/>
    <row r="394" spans="1:9" s="8" customFormat="1"/>
    <row r="395" spans="1:9" s="8" customFormat="1"/>
    <row r="396" spans="1:9" s="8" customFormat="1"/>
    <row r="397" spans="1:9" s="8" customFormat="1"/>
    <row r="398" spans="1:9" s="8" customFormat="1"/>
    <row r="399" spans="1:9">
      <c r="A399" s="8"/>
      <c r="B399" s="8"/>
      <c r="C399" s="8"/>
      <c r="D399" s="8"/>
      <c r="E399" s="8"/>
      <c r="F399" s="8"/>
      <c r="G399" s="8"/>
      <c r="H399" s="8"/>
      <c r="I399" s="8"/>
    </row>
    <row r="400" spans="1:9">
      <c r="A400" s="8"/>
      <c r="B400" s="8"/>
      <c r="C400" s="8"/>
      <c r="D400" s="8"/>
      <c r="E400" s="8"/>
      <c r="F400" s="8"/>
      <c r="G400" s="8"/>
      <c r="H400" s="8"/>
      <c r="I400" s="8"/>
    </row>
    <row r="401" spans="1:9">
      <c r="A401" s="8"/>
      <c r="B401" s="8"/>
      <c r="C401" s="8"/>
      <c r="D401" s="8"/>
      <c r="E401" s="8"/>
      <c r="F401" s="8"/>
      <c r="G401" s="8"/>
      <c r="H401" s="8"/>
      <c r="I401" s="8"/>
    </row>
    <row r="402" spans="1:9">
      <c r="A402" s="8"/>
      <c r="B402" s="8"/>
      <c r="C402" s="8"/>
      <c r="D402" s="8"/>
      <c r="E402" s="8"/>
      <c r="F402" s="8"/>
      <c r="G402" s="8"/>
      <c r="H402" s="8"/>
      <c r="I402" s="8"/>
    </row>
    <row r="403" spans="1:9">
      <c r="A403" s="8"/>
      <c r="B403" s="8"/>
      <c r="C403" s="8"/>
      <c r="D403" s="8"/>
      <c r="E403" s="8"/>
      <c r="F403" s="8"/>
      <c r="G403" s="8"/>
      <c r="H403" s="8"/>
      <c r="I403" s="8"/>
    </row>
    <row r="404" spans="1:9">
      <c r="A404" s="8"/>
      <c r="B404" s="8"/>
      <c r="C404" s="8"/>
      <c r="D404" s="8"/>
      <c r="E404" s="8"/>
      <c r="F404" s="8"/>
      <c r="G404" s="8"/>
      <c r="H404" s="8"/>
      <c r="I404" s="8"/>
    </row>
    <row r="405" spans="1:9">
      <c r="A405" s="8"/>
      <c r="B405" s="8"/>
      <c r="C405" s="8"/>
      <c r="D405" s="8"/>
      <c r="E405" s="8"/>
      <c r="F405" s="8"/>
      <c r="G405" s="8"/>
      <c r="H405" s="8"/>
      <c r="I405" s="8"/>
    </row>
    <row r="406" spans="1:9">
      <c r="A406" s="8"/>
      <c r="B406" s="8"/>
      <c r="C406" s="8"/>
      <c r="D406" s="8"/>
      <c r="E406" s="8"/>
      <c r="F406" s="8"/>
      <c r="G406" s="8"/>
      <c r="H406" s="8"/>
      <c r="I406" s="8"/>
    </row>
    <row r="407" spans="1:9">
      <c r="A407" s="8"/>
      <c r="B407" s="8"/>
      <c r="C407" s="8"/>
      <c r="D407" s="8"/>
      <c r="E407" s="8"/>
      <c r="F407" s="8"/>
      <c r="G407" s="8"/>
      <c r="H407" s="8"/>
      <c r="I407" s="8"/>
    </row>
    <row r="408" spans="1:9">
      <c r="A408" s="8"/>
      <c r="B408" s="8"/>
      <c r="C408" s="8"/>
      <c r="D408" s="8"/>
      <c r="E408" s="8"/>
      <c r="F408" s="8"/>
      <c r="G408" s="8"/>
      <c r="H408" s="8"/>
      <c r="I408" s="8"/>
    </row>
    <row r="409" spans="1:9">
      <c r="A409" s="8"/>
      <c r="B409" s="8"/>
      <c r="C409" s="8"/>
      <c r="D409" s="8"/>
      <c r="E409" s="8"/>
      <c r="F409" s="8"/>
      <c r="G409" s="8"/>
      <c r="H409" s="8"/>
      <c r="I409" s="8"/>
    </row>
    <row r="410" spans="1:9">
      <c r="A410" s="8"/>
      <c r="B410" s="8"/>
      <c r="C410" s="8"/>
      <c r="D410" s="8"/>
      <c r="E410" s="8"/>
      <c r="F410" s="8"/>
      <c r="G410" s="8"/>
      <c r="H410" s="8"/>
      <c r="I410" s="8"/>
    </row>
    <row r="411" spans="1:9">
      <c r="A411" s="8"/>
      <c r="B411" s="8"/>
      <c r="C411" s="8"/>
      <c r="D411" s="8"/>
      <c r="E411" s="8"/>
      <c r="F411" s="8"/>
      <c r="G411" s="8"/>
      <c r="H411" s="8"/>
      <c r="I411" s="8"/>
    </row>
    <row r="412" spans="1:9">
      <c r="A412" s="8"/>
      <c r="B412" s="8"/>
      <c r="C412" s="8"/>
      <c r="D412" s="8"/>
      <c r="E412" s="8"/>
      <c r="F412" s="8"/>
      <c r="G412" s="8"/>
      <c r="H412" s="8"/>
      <c r="I412" s="8"/>
    </row>
    <row r="413" spans="1:9">
      <c r="A413" s="8"/>
      <c r="B413" s="8"/>
      <c r="C413" s="8"/>
      <c r="D413" s="8"/>
      <c r="E413" s="8"/>
      <c r="F413" s="8"/>
      <c r="G413" s="8"/>
      <c r="H413" s="8"/>
      <c r="I413" s="8"/>
    </row>
  </sheetData>
  <mergeCells count="59">
    <mergeCell ref="F341:F345"/>
    <mergeCell ref="H341:H345"/>
    <mergeCell ref="E261:E265"/>
    <mergeCell ref="F261:F265"/>
    <mergeCell ref="H261:H265"/>
    <mergeCell ref="E280:E284"/>
    <mergeCell ref="F280:F284"/>
    <mergeCell ref="H280:H284"/>
    <mergeCell ref="E305:E309"/>
    <mergeCell ref="F305:F309"/>
    <mergeCell ref="H305:H309"/>
    <mergeCell ref="C323:H323"/>
    <mergeCell ref="C330:H330"/>
    <mergeCell ref="E341:E345"/>
    <mergeCell ref="E221:E225"/>
    <mergeCell ref="F221:F225"/>
    <mergeCell ref="H221:H225"/>
    <mergeCell ref="E234:E238"/>
    <mergeCell ref="F234:F238"/>
    <mergeCell ref="H234:H238"/>
    <mergeCell ref="G66:G70"/>
    <mergeCell ref="H66:H70"/>
    <mergeCell ref="F91:F95"/>
    <mergeCell ref="H91:H95"/>
    <mergeCell ref="E193:E197"/>
    <mergeCell ref="F193:F197"/>
    <mergeCell ref="H193:H197"/>
    <mergeCell ref="E153:E157"/>
    <mergeCell ref="F153:F157"/>
    <mergeCell ref="H153:H157"/>
    <mergeCell ref="E91:E95"/>
    <mergeCell ref="I66:I70"/>
    <mergeCell ref="A23:D24"/>
    <mergeCell ref="E23:E24"/>
    <mergeCell ref="F23:F24"/>
    <mergeCell ref="H23:H24"/>
    <mergeCell ref="A25:A27"/>
    <mergeCell ref="B25:D27"/>
    <mergeCell ref="E25:E27"/>
    <mergeCell ref="F25:F27"/>
    <mergeCell ref="H25:H27"/>
    <mergeCell ref="A40:D41"/>
    <mergeCell ref="E40:E41"/>
    <mergeCell ref="F40:F41"/>
    <mergeCell ref="H40:H41"/>
    <mergeCell ref="E66:E70"/>
    <mergeCell ref="F66:F70"/>
    <mergeCell ref="C19:F19"/>
    <mergeCell ref="B3:B4"/>
    <mergeCell ref="C3:D4"/>
    <mergeCell ref="A5:B5"/>
    <mergeCell ref="D6:H6"/>
    <mergeCell ref="A9:I9"/>
    <mergeCell ref="D10:F10"/>
    <mergeCell ref="C14:F14"/>
    <mergeCell ref="C15:F15"/>
    <mergeCell ref="C16:F16"/>
    <mergeCell ref="C17:F17"/>
    <mergeCell ref="C18:F18"/>
  </mergeCells>
  <phoneticPr fontId="10" type="noConversion"/>
  <conditionalFormatting sqref="F71:F76 F286:F301 F311:F318 F80:F88 F96:F97 F103:F104 F106 F110:F114 F118:F124 F128:F134 F138:F142 F146:F149 F159:F162 F166:F168 F171:F172 F175:F177 F183:F190 F199:F200 F204:F206 F210:F213 F217:F218 F226:F230 F240:F241 F245:F246 F250:F253 F256 F267:F276 H250">
    <cfRule type="expression" dxfId="10" priority="299" stopIfTrue="1">
      <formula>ISBLANK(F71)</formula>
    </cfRule>
    <cfRule type="expression" dxfId="9" priority="300" stopIfTrue="1">
      <formula>IF(AND(OR(F71-E71&gt;500,F71-E71&lt;-500),OR(#REF!&gt;0.1,#REF!&lt;-0.1)),TRUE,FALSE)</formula>
    </cfRule>
  </conditionalFormatting>
  <dataValidations count="1">
    <dataValidation type="list" errorStyle="information" allowBlank="1" showInputMessage="1" showErrorMessage="1" errorTitle="POBE 2006" error="Please select from the drop-down menu..." prompt="Please select your Authority from the drop-down menu..." sqref="C3:D4">
      <formula1>#REF!</formula1>
    </dataValidation>
  </dataValidations>
  <hyperlinks>
    <hyperlink ref="F7" r:id="rId1" display="lgfstats@scotland.gsi.gov.uk"/>
    <hyperlink ref="D6" r:id="rId2"/>
    <hyperlink ref="D10" r:id="rId3" display="^lgfstats@gov.scot"/>
    <hyperlink ref="B14" location="'POBE 2017'!A28" display="PART 1 - Expenditure"/>
    <hyperlink ref="C19:F19" location="'POBE 2017'!A323" display="Sheet 10. - PUBLIC PRIVATE PARTNERSHIPS/PRIVATE FINANCE INITIATIVES"/>
    <hyperlink ref="B15" location="'POBE 2017'!A40" display="PART 2 - Income and Balances"/>
    <hyperlink ref="B16" location="'POBE 2017'!A66" display="Sheet 1. EDUCATION"/>
    <hyperlink ref="B17" location="'POBE 2017'!A91" display="Sheet 2. SOCIAL WORK"/>
    <hyperlink ref="B18" location="'POBE 2017'!A153" display="Sheet 3. ROADS AND TRANSPORT"/>
    <hyperlink ref="B19" location="'POBE 2017'!A193" display="Sheet 4. ENVIRONMENTAL SERVICES"/>
    <hyperlink ref="C14:F14" location="'POBE 2017'!A221" display="Sheet 5. PLANNING AND DEVELOPMENT SERVICES"/>
    <hyperlink ref="C15:F15" location="'POBE 2017'!A234" display="Sheet 6. CULTURAL AND RELATED SERVICES"/>
    <hyperlink ref="C16:F16" location="'POBE 2017'!A261" display="Sheet 7. HOUSING"/>
    <hyperlink ref="C17:F17" location="'POBE 2017'!A280" display="Sheet 8. CENTRAL SERVICES"/>
    <hyperlink ref="C18:F18" location="'POBE 2017'!A305" display="Sheet 9. OTHER EXPENDITURE"/>
  </hyperlinks>
  <pageMargins left="0.75" right="0.75" top="1" bottom="1" header="0.5" footer="0.5"/>
  <pageSetup paperSize="9" orientation="portrait" r:id="rId4"/>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dimension ref="A1:AO412"/>
  <sheetViews>
    <sheetView topLeftCell="A48" zoomScale="80" zoomScaleNormal="80" workbookViewId="0">
      <selection activeCell="I1" sqref="I1"/>
    </sheetView>
  </sheetViews>
  <sheetFormatPr defaultColWidth="9.140625" defaultRowHeight="12.75"/>
  <cols>
    <col min="1" max="1" width="10.5703125" style="1" customWidth="1"/>
    <col min="2" max="2" width="43" style="1" customWidth="1"/>
    <col min="3" max="3" width="24.5703125" style="1" customWidth="1"/>
    <col min="4" max="4" width="14.7109375" style="1" customWidth="1"/>
    <col min="5" max="5" width="21.5703125" style="1" customWidth="1"/>
    <col min="6" max="6" width="19.140625" style="1" customWidth="1"/>
    <col min="7" max="7" width="17.42578125" style="1" customWidth="1"/>
    <col min="8" max="8" width="19.28515625" style="1" customWidth="1"/>
    <col min="9" max="9" width="17.85546875" style="1" customWidth="1"/>
    <col min="10" max="10" width="9.140625" style="8" customWidth="1"/>
    <col min="11" max="41" width="9.140625" style="231"/>
    <col min="42" max="16384" width="9.140625" style="1"/>
  </cols>
  <sheetData>
    <row r="1" spans="1:41" s="203" customFormat="1" ht="51" customHeight="1">
      <c r="A1" s="3" t="s">
        <v>410</v>
      </c>
      <c r="B1" s="4"/>
      <c r="C1" s="224"/>
      <c r="D1" s="224"/>
      <c r="E1" s="224"/>
      <c r="F1" s="224"/>
      <c r="G1" s="225"/>
      <c r="H1" s="226"/>
      <c r="I1" s="227"/>
      <c r="J1" s="231"/>
      <c r="K1" s="231"/>
      <c r="L1" s="231"/>
      <c r="M1" s="231"/>
      <c r="N1" s="231"/>
      <c r="O1" s="231"/>
      <c r="P1" s="231"/>
      <c r="Q1" s="231"/>
      <c r="R1" s="231"/>
      <c r="S1" s="231"/>
      <c r="T1" s="231"/>
      <c r="U1" s="231"/>
      <c r="V1" s="231"/>
      <c r="W1" s="231"/>
      <c r="X1" s="231"/>
      <c r="Y1" s="231"/>
      <c r="Z1" s="231"/>
      <c r="AA1" s="231"/>
      <c r="AB1" s="231"/>
      <c r="AC1" s="231"/>
      <c r="AD1" s="231"/>
      <c r="AE1" s="231"/>
      <c r="AF1" s="231"/>
      <c r="AG1" s="231"/>
      <c r="AH1" s="231"/>
      <c r="AI1" s="231"/>
      <c r="AJ1" s="231"/>
      <c r="AK1" s="231"/>
      <c r="AL1" s="231"/>
      <c r="AM1" s="231"/>
      <c r="AN1" s="231"/>
      <c r="AO1" s="231"/>
    </row>
    <row r="2" spans="1:41" s="203" customFormat="1" ht="35.25">
      <c r="A2" s="9"/>
      <c r="B2" s="10"/>
      <c r="C2" s="232"/>
      <c r="D2" s="232"/>
      <c r="E2" s="232"/>
      <c r="F2" s="11"/>
      <c r="G2" s="11"/>
      <c r="H2" s="11"/>
      <c r="I2" s="11"/>
      <c r="J2" s="231"/>
      <c r="K2" s="231"/>
      <c r="L2" s="231"/>
      <c r="M2" s="231"/>
      <c r="N2" s="231"/>
      <c r="O2" s="231"/>
      <c r="P2" s="231"/>
      <c r="Q2" s="231"/>
      <c r="R2" s="231"/>
      <c r="S2" s="231"/>
      <c r="T2" s="231"/>
      <c r="U2" s="231"/>
      <c r="V2" s="231"/>
      <c r="W2" s="231"/>
      <c r="X2" s="231"/>
      <c r="Y2" s="231"/>
      <c r="Z2" s="231"/>
      <c r="AA2" s="231"/>
      <c r="AB2" s="231"/>
      <c r="AC2" s="231"/>
      <c r="AD2" s="231"/>
      <c r="AE2" s="231"/>
      <c r="AF2" s="231"/>
      <c r="AG2" s="231"/>
      <c r="AH2" s="231"/>
      <c r="AI2" s="231"/>
      <c r="AJ2" s="231"/>
      <c r="AK2" s="231"/>
      <c r="AL2" s="231"/>
      <c r="AM2" s="231"/>
      <c r="AN2" s="231"/>
      <c r="AO2" s="231"/>
    </row>
    <row r="3" spans="1:41" s="203" customFormat="1" ht="15">
      <c r="A3" s="12"/>
      <c r="B3" s="882" t="s">
        <v>0</v>
      </c>
      <c r="C3" s="884" t="s">
        <v>44</v>
      </c>
      <c r="D3" s="885"/>
      <c r="E3" s="13"/>
      <c r="F3" s="14"/>
      <c r="G3" s="14"/>
      <c r="H3" s="15"/>
      <c r="I3" s="14"/>
      <c r="J3" s="231"/>
      <c r="K3" s="231"/>
      <c r="L3" s="231"/>
      <c r="M3" s="231"/>
      <c r="N3" s="231"/>
      <c r="O3" s="231"/>
      <c r="P3" s="231"/>
      <c r="Q3" s="231"/>
      <c r="R3" s="231"/>
      <c r="S3" s="231"/>
      <c r="T3" s="231"/>
      <c r="U3" s="231"/>
      <c r="V3" s="231"/>
      <c r="W3" s="231"/>
      <c r="X3" s="231"/>
      <c r="Y3" s="231"/>
      <c r="Z3" s="231"/>
      <c r="AA3" s="231"/>
      <c r="AB3" s="231"/>
      <c r="AC3" s="231"/>
      <c r="AD3" s="231"/>
      <c r="AE3" s="231"/>
      <c r="AF3" s="231"/>
      <c r="AG3" s="231"/>
      <c r="AH3" s="231"/>
      <c r="AI3" s="231"/>
      <c r="AJ3" s="231"/>
      <c r="AK3" s="231"/>
      <c r="AL3" s="231"/>
      <c r="AM3" s="231"/>
      <c r="AN3" s="231"/>
      <c r="AO3" s="231"/>
    </row>
    <row r="4" spans="1:41" s="203" customFormat="1" ht="15">
      <c r="A4" s="17"/>
      <c r="B4" s="883"/>
      <c r="C4" s="886"/>
      <c r="D4" s="887"/>
      <c r="E4" s="13"/>
      <c r="F4" s="14"/>
      <c r="G4" s="14"/>
      <c r="H4" s="15"/>
      <c r="I4" s="14"/>
      <c r="J4" s="231"/>
      <c r="K4" s="231"/>
      <c r="L4" s="231"/>
      <c r="M4" s="231"/>
      <c r="N4" s="231"/>
      <c r="O4" s="231"/>
      <c r="P4" s="231"/>
      <c r="Q4" s="231"/>
      <c r="R4" s="231"/>
      <c r="S4" s="231"/>
      <c r="T4" s="231"/>
      <c r="U4" s="231"/>
      <c r="V4" s="231"/>
      <c r="W4" s="231"/>
      <c r="X4" s="231"/>
      <c r="Y4" s="231"/>
      <c r="Z4" s="231"/>
      <c r="AA4" s="231"/>
      <c r="AB4" s="231"/>
      <c r="AC4" s="231"/>
      <c r="AD4" s="231"/>
      <c r="AE4" s="231"/>
      <c r="AF4" s="231"/>
      <c r="AG4" s="231"/>
      <c r="AH4" s="231"/>
      <c r="AI4" s="231"/>
      <c r="AJ4" s="231"/>
      <c r="AK4" s="231"/>
      <c r="AL4" s="231"/>
      <c r="AM4" s="231"/>
      <c r="AN4" s="231"/>
      <c r="AO4" s="231"/>
    </row>
    <row r="5" spans="1:41" s="203" customFormat="1" ht="15">
      <c r="A5" s="888"/>
      <c r="B5" s="889"/>
      <c r="C5" s="18"/>
      <c r="D5" s="206"/>
      <c r="E5" s="206"/>
      <c r="F5" s="14"/>
      <c r="G5" s="14"/>
      <c r="H5" s="14"/>
      <c r="I5" s="234"/>
      <c r="J5" s="231"/>
      <c r="K5" s="231"/>
      <c r="L5" s="231"/>
      <c r="M5" s="231"/>
      <c r="N5" s="231"/>
      <c r="O5" s="231"/>
      <c r="P5" s="231"/>
      <c r="Q5" s="231"/>
      <c r="R5" s="231"/>
      <c r="S5" s="231"/>
      <c r="T5" s="231"/>
      <c r="U5" s="231"/>
      <c r="V5" s="231"/>
      <c r="W5" s="231"/>
      <c r="X5" s="231"/>
      <c r="Y5" s="231"/>
      <c r="Z5" s="231"/>
      <c r="AA5" s="231"/>
      <c r="AB5" s="231"/>
      <c r="AC5" s="231"/>
      <c r="AD5" s="231"/>
      <c r="AE5" s="231"/>
      <c r="AF5" s="231"/>
      <c r="AG5" s="231"/>
      <c r="AH5" s="231"/>
      <c r="AI5" s="231"/>
      <c r="AJ5" s="231"/>
      <c r="AK5" s="231"/>
      <c r="AL5" s="231"/>
      <c r="AM5" s="231"/>
      <c r="AN5" s="231"/>
      <c r="AO5" s="231"/>
    </row>
    <row r="6" spans="1:41" s="203" customFormat="1" ht="23.25" customHeight="1">
      <c r="A6" s="19" t="s">
        <v>1</v>
      </c>
      <c r="B6" s="207"/>
      <c r="C6" s="20"/>
      <c r="D6" s="890" t="s">
        <v>249</v>
      </c>
      <c r="E6" s="890"/>
      <c r="F6" s="890"/>
      <c r="G6" s="890"/>
      <c r="H6" s="890"/>
      <c r="I6" s="29"/>
      <c r="J6" s="231"/>
      <c r="K6" s="231"/>
      <c r="L6" s="231"/>
      <c r="M6" s="231"/>
      <c r="N6" s="231"/>
      <c r="O6" s="231"/>
      <c r="P6" s="231"/>
      <c r="Q6" s="231"/>
      <c r="R6" s="231"/>
      <c r="S6" s="231"/>
      <c r="T6" s="231"/>
      <c r="U6" s="231"/>
      <c r="V6" s="231"/>
      <c r="W6" s="231"/>
      <c r="X6" s="231"/>
      <c r="Y6" s="231"/>
      <c r="Z6" s="231"/>
      <c r="AA6" s="231"/>
      <c r="AB6" s="231"/>
      <c r="AC6" s="231"/>
      <c r="AD6" s="231"/>
      <c r="AE6" s="231"/>
      <c r="AF6" s="231"/>
      <c r="AG6" s="231"/>
      <c r="AH6" s="231"/>
      <c r="AI6" s="231"/>
      <c r="AJ6" s="231"/>
      <c r="AK6" s="231"/>
      <c r="AL6" s="231"/>
      <c r="AM6" s="231"/>
      <c r="AN6" s="231"/>
      <c r="AO6" s="231"/>
    </row>
    <row r="7" spans="1:41" s="203" customFormat="1" ht="18.75" customHeight="1">
      <c r="A7" s="19" t="s">
        <v>419</v>
      </c>
      <c r="B7" s="207"/>
      <c r="C7" s="207"/>
      <c r="D7" s="207"/>
      <c r="E7" s="207"/>
      <c r="F7" s="362" t="s">
        <v>250</v>
      </c>
      <c r="G7" s="1"/>
      <c r="H7" s="21"/>
      <c r="I7" s="29"/>
      <c r="J7" s="231"/>
      <c r="K7" s="231"/>
      <c r="L7" s="231"/>
      <c r="M7" s="231"/>
      <c r="N7" s="231"/>
      <c r="O7" s="231"/>
      <c r="P7" s="231"/>
      <c r="Q7" s="231"/>
      <c r="R7" s="231"/>
      <c r="S7" s="231"/>
      <c r="T7" s="231"/>
      <c r="U7" s="231"/>
      <c r="V7" s="231"/>
      <c r="W7" s="231"/>
      <c r="X7" s="231"/>
      <c r="Y7" s="231"/>
      <c r="Z7" s="231"/>
      <c r="AA7" s="231"/>
      <c r="AB7" s="231"/>
      <c r="AC7" s="231"/>
      <c r="AD7" s="231"/>
      <c r="AE7" s="231"/>
      <c r="AF7" s="231"/>
      <c r="AG7" s="231"/>
      <c r="AH7" s="231"/>
      <c r="AI7" s="231"/>
      <c r="AJ7" s="231"/>
      <c r="AK7" s="231"/>
      <c r="AL7" s="231"/>
      <c r="AM7" s="231"/>
      <c r="AN7" s="231"/>
      <c r="AO7" s="231"/>
    </row>
    <row r="8" spans="1:41" s="203" customFormat="1" ht="24" customHeight="1">
      <c r="A8" s="22" t="s">
        <v>408</v>
      </c>
      <c r="B8" s="207"/>
      <c r="C8" s="207"/>
      <c r="D8" s="207"/>
      <c r="E8" s="207"/>
      <c r="F8" s="207"/>
      <c r="G8" s="812"/>
      <c r="H8" s="21"/>
      <c r="I8" s="29"/>
      <c r="J8" s="231"/>
      <c r="K8" s="231"/>
      <c r="L8" s="231"/>
      <c r="M8" s="231"/>
      <c r="N8" s="231"/>
      <c r="O8" s="231"/>
      <c r="P8" s="231"/>
      <c r="Q8" s="231"/>
      <c r="R8" s="231"/>
      <c r="S8" s="231"/>
      <c r="T8" s="231"/>
      <c r="U8" s="231"/>
      <c r="V8" s="231"/>
      <c r="W8" s="231"/>
      <c r="X8" s="231"/>
      <c r="Y8" s="231"/>
      <c r="Z8" s="231"/>
      <c r="AA8" s="231"/>
      <c r="AB8" s="231"/>
      <c r="AC8" s="231"/>
      <c r="AD8" s="231"/>
      <c r="AE8" s="231"/>
      <c r="AF8" s="231"/>
      <c r="AG8" s="231"/>
      <c r="AH8" s="231"/>
      <c r="AI8" s="231"/>
      <c r="AJ8" s="231"/>
      <c r="AK8" s="231"/>
      <c r="AL8" s="231"/>
      <c r="AM8" s="231"/>
      <c r="AN8" s="231"/>
      <c r="AO8" s="231"/>
    </row>
    <row r="9" spans="1:41" s="203" customFormat="1" ht="30.75" customHeight="1">
      <c r="A9" s="891" t="s">
        <v>420</v>
      </c>
      <c r="B9" s="892"/>
      <c r="C9" s="892"/>
      <c r="D9" s="892"/>
      <c r="E9" s="892"/>
      <c r="F9" s="892"/>
      <c r="G9" s="892"/>
      <c r="H9" s="892"/>
      <c r="I9" s="892"/>
      <c r="J9" s="231"/>
      <c r="K9" s="231"/>
      <c r="L9" s="231"/>
      <c r="M9" s="231"/>
      <c r="N9" s="231"/>
      <c r="O9" s="231"/>
      <c r="P9" s="231"/>
      <c r="Q9" s="231"/>
      <c r="R9" s="231"/>
      <c r="S9" s="231"/>
      <c r="T9" s="231"/>
      <c r="U9" s="231"/>
      <c r="V9" s="231"/>
      <c r="W9" s="231"/>
      <c r="X9" s="231"/>
      <c r="Y9" s="231"/>
      <c r="Z9" s="231"/>
      <c r="AA9" s="231"/>
      <c r="AB9" s="231"/>
      <c r="AC9" s="231"/>
      <c r="AD9" s="231"/>
      <c r="AE9" s="231"/>
      <c r="AF9" s="231"/>
      <c r="AG9" s="231"/>
      <c r="AH9" s="231"/>
      <c r="AI9" s="231"/>
      <c r="AJ9" s="231"/>
      <c r="AK9" s="231"/>
      <c r="AL9" s="231"/>
      <c r="AM9" s="231"/>
      <c r="AN9" s="231"/>
      <c r="AO9" s="231"/>
    </row>
    <row r="10" spans="1:41" s="203" customFormat="1" ht="12.75" customHeight="1">
      <c r="A10" s="22" t="s">
        <v>409</v>
      </c>
      <c r="B10" s="19"/>
      <c r="C10" s="1"/>
      <c r="D10" s="880" t="s">
        <v>250</v>
      </c>
      <c r="E10" s="881"/>
      <c r="F10" s="881"/>
      <c r="G10" s="207"/>
      <c r="H10" s="207"/>
      <c r="I10" s="29"/>
      <c r="J10" s="231"/>
      <c r="K10" s="231"/>
      <c r="L10" s="231"/>
      <c r="M10" s="231"/>
      <c r="N10" s="231"/>
      <c r="O10" s="231"/>
      <c r="P10" s="231"/>
      <c r="Q10" s="231"/>
      <c r="R10" s="231"/>
      <c r="S10" s="231"/>
      <c r="T10" s="231"/>
      <c r="U10" s="231"/>
      <c r="V10" s="231"/>
      <c r="W10" s="231"/>
      <c r="X10" s="231"/>
      <c r="Y10" s="231"/>
      <c r="Z10" s="231"/>
      <c r="AA10" s="231"/>
      <c r="AB10" s="231"/>
      <c r="AC10" s="231"/>
      <c r="AD10" s="231"/>
      <c r="AE10" s="231"/>
      <c r="AF10" s="231"/>
      <c r="AG10" s="231"/>
      <c r="AH10" s="231"/>
      <c r="AI10" s="231"/>
      <c r="AJ10" s="231"/>
      <c r="AK10" s="231"/>
      <c r="AL10" s="231"/>
      <c r="AM10" s="231"/>
      <c r="AN10" s="231"/>
      <c r="AO10" s="231"/>
    </row>
    <row r="11" spans="1:41" s="203" customFormat="1">
      <c r="A11" s="23"/>
      <c r="B11" s="207"/>
      <c r="C11" s="207"/>
      <c r="D11" s="207"/>
      <c r="E11" s="207"/>
      <c r="F11" s="207"/>
      <c r="G11" s="21"/>
      <c r="H11" s="21"/>
      <c r="I11" s="29"/>
      <c r="J11" s="231"/>
      <c r="K11" s="231"/>
      <c r="L11" s="231"/>
      <c r="M11" s="231"/>
      <c r="N11" s="231"/>
      <c r="O11" s="231"/>
      <c r="P11" s="231"/>
      <c r="Q11" s="231"/>
      <c r="R11" s="231"/>
      <c r="S11" s="231"/>
      <c r="T11" s="231"/>
      <c r="U11" s="231"/>
      <c r="V11" s="231"/>
      <c r="W11" s="231"/>
      <c r="X11" s="231"/>
      <c r="Y11" s="231"/>
      <c r="Z11" s="231"/>
      <c r="AA11" s="231"/>
      <c r="AB11" s="231"/>
      <c r="AC11" s="231"/>
      <c r="AD11" s="231"/>
      <c r="AE11" s="231"/>
      <c r="AF11" s="231"/>
      <c r="AG11" s="231"/>
      <c r="AH11" s="231"/>
      <c r="AI11" s="231"/>
      <c r="AJ11" s="231"/>
      <c r="AK11" s="231"/>
      <c r="AL11" s="231"/>
      <c r="AM11" s="231"/>
      <c r="AN11" s="231"/>
      <c r="AO11" s="231"/>
    </row>
    <row r="12" spans="1:41" s="203" customFormat="1">
      <c r="A12" s="24"/>
      <c r="B12" s="25" t="s">
        <v>7</v>
      </c>
      <c r="C12" s="26"/>
      <c r="D12" s="356"/>
      <c r="E12" s="356"/>
      <c r="F12" s="357"/>
      <c r="G12" s="21"/>
      <c r="H12" s="21"/>
      <c r="I12" s="29"/>
      <c r="J12" s="231"/>
      <c r="K12" s="231"/>
      <c r="L12" s="231"/>
      <c r="M12" s="231"/>
      <c r="N12" s="231"/>
      <c r="O12" s="231"/>
      <c r="P12" s="231"/>
      <c r="Q12" s="231"/>
      <c r="R12" s="231"/>
      <c r="S12" s="231"/>
      <c r="T12" s="231"/>
      <c r="U12" s="231"/>
      <c r="V12" s="231"/>
      <c r="W12" s="231"/>
      <c r="X12" s="231"/>
      <c r="Y12" s="231"/>
      <c r="Z12" s="231"/>
      <c r="AA12" s="231"/>
      <c r="AB12" s="231"/>
      <c r="AC12" s="231"/>
      <c r="AD12" s="231"/>
      <c r="AE12" s="231"/>
      <c r="AF12" s="231"/>
      <c r="AG12" s="231"/>
      <c r="AH12" s="231"/>
      <c r="AI12" s="231"/>
      <c r="AJ12" s="231"/>
      <c r="AK12" s="231"/>
      <c r="AL12" s="231"/>
      <c r="AM12" s="231"/>
      <c r="AN12" s="231"/>
      <c r="AO12" s="231"/>
    </row>
    <row r="13" spans="1:41" s="203" customFormat="1">
      <c r="A13" s="23"/>
      <c r="B13" s="27"/>
      <c r="C13" s="358"/>
      <c r="D13" s="15"/>
      <c r="E13" s="15"/>
      <c r="F13" s="359"/>
      <c r="G13" s="207"/>
      <c r="H13" s="21"/>
      <c r="I13" s="29"/>
      <c r="J13" s="231"/>
      <c r="K13" s="231"/>
      <c r="L13" s="231"/>
      <c r="M13" s="231"/>
      <c r="N13" s="231"/>
      <c r="O13" s="231"/>
      <c r="P13" s="231"/>
      <c r="Q13" s="231"/>
      <c r="R13" s="231"/>
      <c r="S13" s="231"/>
      <c r="T13" s="231"/>
      <c r="U13" s="231"/>
      <c r="V13" s="231"/>
      <c r="W13" s="231"/>
      <c r="X13" s="231"/>
      <c r="Y13" s="231"/>
      <c r="Z13" s="231"/>
      <c r="AA13" s="231"/>
      <c r="AB13" s="231"/>
      <c r="AC13" s="231"/>
      <c r="AD13" s="231"/>
      <c r="AE13" s="231"/>
      <c r="AF13" s="231"/>
      <c r="AG13" s="231"/>
      <c r="AH13" s="231"/>
      <c r="AI13" s="231"/>
      <c r="AJ13" s="231"/>
      <c r="AK13" s="231"/>
      <c r="AL13" s="231"/>
      <c r="AM13" s="231"/>
      <c r="AN13" s="231"/>
      <c r="AO13" s="231"/>
    </row>
    <row r="14" spans="1:41" s="203" customFormat="1">
      <c r="A14" s="23"/>
      <c r="B14" s="363" t="s">
        <v>328</v>
      </c>
      <c r="C14" s="870" t="s">
        <v>10</v>
      </c>
      <c r="D14" s="870"/>
      <c r="E14" s="870"/>
      <c r="F14" s="871"/>
      <c r="G14" s="207"/>
      <c r="H14" s="21"/>
      <c r="I14" s="29"/>
      <c r="J14" s="231"/>
      <c r="K14" s="231"/>
      <c r="L14" s="231"/>
      <c r="M14" s="231"/>
      <c r="N14" s="231"/>
      <c r="O14" s="231"/>
      <c r="P14" s="231"/>
      <c r="Q14" s="231"/>
      <c r="R14" s="231"/>
      <c r="S14" s="231"/>
      <c r="T14" s="231"/>
      <c r="U14" s="231"/>
      <c r="V14" s="231"/>
      <c r="W14" s="231"/>
      <c r="X14" s="231"/>
      <c r="Y14" s="231"/>
      <c r="Z14" s="231"/>
      <c r="AA14" s="231"/>
      <c r="AB14" s="231"/>
      <c r="AC14" s="231"/>
      <c r="AD14" s="231"/>
      <c r="AE14" s="231"/>
      <c r="AF14" s="231"/>
      <c r="AG14" s="231"/>
      <c r="AH14" s="231"/>
      <c r="AI14" s="231"/>
      <c r="AJ14" s="231"/>
      <c r="AK14" s="231"/>
      <c r="AL14" s="231"/>
      <c r="AM14" s="231"/>
      <c r="AN14" s="231"/>
      <c r="AO14" s="231"/>
    </row>
    <row r="15" spans="1:41" s="203" customFormat="1">
      <c r="A15" s="23"/>
      <c r="B15" s="363" t="s">
        <v>329</v>
      </c>
      <c r="C15" s="870" t="s">
        <v>12</v>
      </c>
      <c r="D15" s="870"/>
      <c r="E15" s="870"/>
      <c r="F15" s="871"/>
      <c r="G15" s="207"/>
      <c r="H15" s="21"/>
      <c r="I15" s="29"/>
      <c r="J15" s="231"/>
      <c r="K15" s="231"/>
      <c r="L15" s="231"/>
      <c r="M15" s="231"/>
      <c r="N15" s="231"/>
      <c r="O15" s="231"/>
      <c r="P15" s="231"/>
      <c r="Q15" s="231"/>
      <c r="R15" s="231"/>
      <c r="S15" s="231"/>
      <c r="T15" s="231"/>
      <c r="U15" s="231"/>
      <c r="V15" s="231"/>
      <c r="W15" s="231"/>
      <c r="X15" s="231"/>
      <c r="Y15" s="231"/>
      <c r="Z15" s="231"/>
      <c r="AA15" s="231"/>
      <c r="AB15" s="231"/>
      <c r="AC15" s="231"/>
      <c r="AD15" s="231"/>
      <c r="AE15" s="231"/>
      <c r="AF15" s="231"/>
      <c r="AG15" s="231"/>
      <c r="AH15" s="231"/>
      <c r="AI15" s="231"/>
      <c r="AJ15" s="231"/>
      <c r="AK15" s="231"/>
      <c r="AL15" s="231"/>
      <c r="AM15" s="231"/>
      <c r="AN15" s="231"/>
      <c r="AO15" s="231"/>
    </row>
    <row r="16" spans="1:41" s="203" customFormat="1">
      <c r="A16" s="23"/>
      <c r="B16" s="360" t="s">
        <v>14</v>
      </c>
      <c r="C16" s="870" t="s">
        <v>15</v>
      </c>
      <c r="D16" s="870"/>
      <c r="E16" s="870"/>
      <c r="F16" s="871"/>
      <c r="G16" s="207"/>
      <c r="H16" s="21"/>
      <c r="I16" s="29"/>
      <c r="J16" s="231"/>
      <c r="K16" s="231"/>
      <c r="L16" s="231"/>
      <c r="M16" s="231"/>
      <c r="N16" s="231"/>
      <c r="O16" s="231"/>
      <c r="P16" s="231"/>
      <c r="Q16" s="231"/>
      <c r="R16" s="231"/>
      <c r="S16" s="231"/>
      <c r="T16" s="231"/>
      <c r="U16" s="231"/>
      <c r="V16" s="231"/>
      <c r="W16" s="231"/>
      <c r="X16" s="231"/>
      <c r="Y16" s="231"/>
      <c r="Z16" s="231"/>
      <c r="AA16" s="231"/>
      <c r="AB16" s="231"/>
      <c r="AC16" s="231"/>
      <c r="AD16" s="231"/>
      <c r="AE16" s="231"/>
      <c r="AF16" s="231"/>
      <c r="AG16" s="231"/>
      <c r="AH16" s="231"/>
      <c r="AI16" s="231"/>
      <c r="AJ16" s="231"/>
      <c r="AK16" s="231"/>
      <c r="AL16" s="231"/>
      <c r="AM16" s="231"/>
      <c r="AN16" s="231"/>
      <c r="AO16" s="231"/>
    </row>
    <row r="17" spans="1:41" s="203" customFormat="1">
      <c r="A17" s="23"/>
      <c r="B17" s="360" t="s">
        <v>17</v>
      </c>
      <c r="C17" s="870" t="s">
        <v>18</v>
      </c>
      <c r="D17" s="870"/>
      <c r="E17" s="870"/>
      <c r="F17" s="871"/>
      <c r="G17" s="207"/>
      <c r="H17" s="21"/>
      <c r="I17" s="29"/>
      <c r="J17" s="231"/>
      <c r="K17" s="231"/>
      <c r="L17" s="231"/>
      <c r="M17" s="231"/>
      <c r="N17" s="231"/>
      <c r="O17" s="231"/>
      <c r="P17" s="231"/>
      <c r="Q17" s="231"/>
      <c r="R17" s="231"/>
      <c r="S17" s="231"/>
      <c r="T17" s="231"/>
      <c r="U17" s="231"/>
      <c r="V17" s="231"/>
      <c r="W17" s="231"/>
      <c r="X17" s="231"/>
      <c r="Y17" s="231"/>
      <c r="Z17" s="231"/>
      <c r="AA17" s="231"/>
      <c r="AB17" s="231"/>
      <c r="AC17" s="231"/>
      <c r="AD17" s="231"/>
      <c r="AE17" s="231"/>
      <c r="AF17" s="231"/>
      <c r="AG17" s="231"/>
      <c r="AH17" s="231"/>
      <c r="AI17" s="231"/>
      <c r="AJ17" s="231"/>
      <c r="AK17" s="231"/>
      <c r="AL17" s="231"/>
      <c r="AM17" s="231"/>
      <c r="AN17" s="231"/>
      <c r="AO17" s="231"/>
    </row>
    <row r="18" spans="1:41" s="203" customFormat="1">
      <c r="A18" s="23"/>
      <c r="B18" s="360" t="s">
        <v>20</v>
      </c>
      <c r="C18" s="870" t="s">
        <v>21</v>
      </c>
      <c r="D18" s="870"/>
      <c r="E18" s="870"/>
      <c r="F18" s="871"/>
      <c r="G18" s="207"/>
      <c r="H18" s="21"/>
      <c r="I18" s="29"/>
      <c r="J18" s="231"/>
      <c r="K18" s="231"/>
      <c r="L18" s="231"/>
      <c r="M18" s="231"/>
      <c r="N18" s="231"/>
      <c r="O18" s="231"/>
      <c r="P18" s="231"/>
      <c r="Q18" s="231"/>
      <c r="R18" s="231"/>
      <c r="S18" s="231"/>
      <c r="T18" s="231"/>
      <c r="U18" s="231"/>
      <c r="V18" s="231"/>
      <c r="W18" s="231"/>
      <c r="X18" s="231"/>
      <c r="Y18" s="231"/>
      <c r="Z18" s="231"/>
      <c r="AA18" s="231"/>
      <c r="AB18" s="231"/>
      <c r="AC18" s="231"/>
      <c r="AD18" s="231"/>
      <c r="AE18" s="231"/>
      <c r="AF18" s="231"/>
      <c r="AG18" s="231"/>
      <c r="AH18" s="231"/>
      <c r="AI18" s="231"/>
      <c r="AJ18" s="231"/>
      <c r="AK18" s="231"/>
      <c r="AL18" s="231"/>
      <c r="AM18" s="231"/>
      <c r="AN18" s="231"/>
      <c r="AO18" s="231"/>
    </row>
    <row r="19" spans="1:41" s="203" customFormat="1">
      <c r="A19" s="23"/>
      <c r="B19" s="361" t="s">
        <v>23</v>
      </c>
      <c r="C19" s="872" t="s">
        <v>24</v>
      </c>
      <c r="D19" s="872"/>
      <c r="E19" s="872"/>
      <c r="F19" s="873"/>
      <c r="G19" s="21"/>
      <c r="H19" s="21"/>
      <c r="I19" s="29"/>
      <c r="J19" s="231"/>
      <c r="K19" s="231"/>
      <c r="L19" s="231"/>
      <c r="M19" s="231"/>
      <c r="N19" s="231"/>
      <c r="O19" s="231"/>
      <c r="P19" s="231"/>
      <c r="Q19" s="231"/>
      <c r="R19" s="231"/>
      <c r="S19" s="231"/>
      <c r="T19" s="231"/>
      <c r="U19" s="231"/>
      <c r="V19" s="231"/>
      <c r="W19" s="231"/>
      <c r="X19" s="231"/>
      <c r="Y19" s="231"/>
      <c r="Z19" s="231"/>
      <c r="AA19" s="231"/>
      <c r="AB19" s="231"/>
      <c r="AC19" s="231"/>
      <c r="AD19" s="231"/>
      <c r="AE19" s="231"/>
      <c r="AF19" s="231"/>
      <c r="AG19" s="231"/>
      <c r="AH19" s="231"/>
      <c r="AI19" s="231"/>
      <c r="AJ19" s="231"/>
      <c r="AK19" s="231"/>
      <c r="AL19" s="231"/>
      <c r="AM19" s="231"/>
      <c r="AN19" s="231"/>
      <c r="AO19" s="231"/>
    </row>
    <row r="20" spans="1:41" s="203" customFormat="1">
      <c r="A20" s="236"/>
      <c r="B20" s="206"/>
      <c r="C20" s="206"/>
      <c r="D20" s="206"/>
      <c r="E20" s="206"/>
      <c r="F20" s="206"/>
      <c r="G20" s="206"/>
      <c r="H20" s="206"/>
      <c r="I20" s="206"/>
      <c r="J20" s="231"/>
      <c r="K20" s="231"/>
      <c r="L20" s="231"/>
      <c r="M20" s="231"/>
      <c r="N20" s="231"/>
      <c r="O20" s="231"/>
      <c r="P20" s="231"/>
      <c r="Q20" s="231"/>
      <c r="R20" s="231"/>
      <c r="S20" s="231"/>
      <c r="T20" s="231"/>
      <c r="U20" s="231"/>
      <c r="V20" s="231"/>
      <c r="W20" s="231"/>
      <c r="X20" s="231"/>
      <c r="Y20" s="231"/>
      <c r="Z20" s="231"/>
      <c r="AA20" s="231"/>
      <c r="AB20" s="231"/>
      <c r="AC20" s="231"/>
      <c r="AD20" s="231"/>
      <c r="AE20" s="231"/>
      <c r="AF20" s="231"/>
      <c r="AG20" s="231"/>
      <c r="AH20" s="231"/>
      <c r="AI20" s="231"/>
      <c r="AJ20" s="231"/>
      <c r="AK20" s="231"/>
      <c r="AL20" s="231"/>
      <c r="AM20" s="231"/>
      <c r="AN20" s="231"/>
      <c r="AO20" s="231"/>
    </row>
    <row r="21" spans="1:41" s="203" customFormat="1" ht="19.5">
      <c r="A21" s="30"/>
      <c r="B21" s="13"/>
      <c r="C21" s="13"/>
      <c r="D21" s="13"/>
      <c r="E21" s="13"/>
      <c r="F21" s="13"/>
      <c r="G21" s="13"/>
      <c r="H21" s="31" t="s">
        <v>27</v>
      </c>
      <c r="I21" s="237"/>
      <c r="J21" s="231"/>
      <c r="K21" s="231"/>
      <c r="L21" s="231"/>
      <c r="M21" s="231"/>
      <c r="N21" s="231"/>
      <c r="O21" s="231"/>
      <c r="P21" s="231"/>
      <c r="Q21" s="231"/>
      <c r="R21" s="231"/>
      <c r="S21" s="231"/>
      <c r="T21" s="231"/>
      <c r="U21" s="231"/>
      <c r="V21" s="231"/>
      <c r="W21" s="231"/>
      <c r="X21" s="231"/>
      <c r="Y21" s="231"/>
      <c r="Z21" s="231"/>
      <c r="AA21" s="231"/>
      <c r="AB21" s="231"/>
      <c r="AC21" s="231"/>
      <c r="AD21" s="231"/>
      <c r="AE21" s="231"/>
      <c r="AF21" s="231"/>
      <c r="AG21" s="231"/>
      <c r="AH21" s="231"/>
      <c r="AI21" s="231"/>
      <c r="AJ21" s="231"/>
      <c r="AK21" s="231"/>
      <c r="AL21" s="231"/>
      <c r="AM21" s="231"/>
      <c r="AN21" s="231"/>
      <c r="AO21" s="231"/>
    </row>
    <row r="22" spans="1:41" s="203" customFormat="1" ht="18.75" customHeight="1">
      <c r="A22" s="32"/>
      <c r="B22" s="29"/>
      <c r="C22" s="29"/>
      <c r="D22" s="29"/>
      <c r="E22" s="29"/>
      <c r="F22" s="33">
        <v>1</v>
      </c>
      <c r="G22" s="34"/>
      <c r="H22" s="33">
        <v>2</v>
      </c>
      <c r="I22" s="34"/>
      <c r="J22" s="231"/>
      <c r="K22" s="231"/>
      <c r="L22" s="231"/>
      <c r="M22" s="231"/>
      <c r="N22" s="231"/>
      <c r="O22" s="231"/>
      <c r="P22" s="231"/>
      <c r="Q22" s="231"/>
      <c r="R22" s="231"/>
      <c r="S22" s="231"/>
      <c r="T22" s="231"/>
      <c r="U22" s="231"/>
      <c r="V22" s="231"/>
      <c r="W22" s="231"/>
      <c r="X22" s="231"/>
      <c r="Y22" s="231"/>
      <c r="Z22" s="231"/>
      <c r="AA22" s="231"/>
      <c r="AB22" s="231"/>
      <c r="AC22" s="231"/>
      <c r="AD22" s="231"/>
      <c r="AE22" s="231"/>
      <c r="AF22" s="231"/>
      <c r="AG22" s="231"/>
      <c r="AH22" s="231"/>
      <c r="AI22" s="231"/>
      <c r="AJ22" s="231"/>
      <c r="AK22" s="231"/>
      <c r="AL22" s="231"/>
      <c r="AM22" s="231"/>
      <c r="AN22" s="231"/>
      <c r="AO22" s="231"/>
    </row>
    <row r="23" spans="1:41" s="203" customFormat="1" ht="21.95" customHeight="1">
      <c r="A23" s="874" t="s">
        <v>30</v>
      </c>
      <c r="B23" s="875"/>
      <c r="C23" s="875"/>
      <c r="D23" s="875"/>
      <c r="E23" s="878" t="s">
        <v>376</v>
      </c>
      <c r="F23" s="856" t="s">
        <v>407</v>
      </c>
      <c r="G23" s="36"/>
      <c r="H23" s="878" t="s">
        <v>406</v>
      </c>
      <c r="I23" s="36"/>
      <c r="J23" s="231"/>
      <c r="K23" s="231"/>
      <c r="L23" s="231"/>
      <c r="M23" s="231"/>
      <c r="N23" s="231"/>
      <c r="O23" s="231"/>
      <c r="P23" s="231"/>
      <c r="Q23" s="231"/>
      <c r="R23" s="231"/>
      <c r="S23" s="231"/>
      <c r="T23" s="231"/>
      <c r="U23" s="231"/>
      <c r="V23" s="231"/>
      <c r="W23" s="231"/>
      <c r="X23" s="231"/>
      <c r="Y23" s="231"/>
      <c r="Z23" s="231"/>
      <c r="AA23" s="231"/>
      <c r="AB23" s="231"/>
      <c r="AC23" s="231"/>
      <c r="AD23" s="231"/>
      <c r="AE23" s="231"/>
      <c r="AF23" s="231"/>
      <c r="AG23" s="231"/>
      <c r="AH23" s="231"/>
      <c r="AI23" s="231"/>
      <c r="AJ23" s="231"/>
      <c r="AK23" s="231"/>
      <c r="AL23" s="231"/>
      <c r="AM23" s="231"/>
      <c r="AN23" s="231"/>
      <c r="AO23" s="231"/>
    </row>
    <row r="24" spans="1:41" s="203" customFormat="1" ht="21.95" customHeight="1">
      <c r="A24" s="876"/>
      <c r="B24" s="877"/>
      <c r="C24" s="877"/>
      <c r="D24" s="877"/>
      <c r="E24" s="879"/>
      <c r="F24" s="860"/>
      <c r="G24" s="23"/>
      <c r="H24" s="879"/>
      <c r="I24" s="36"/>
      <c r="J24" s="231"/>
      <c r="K24" s="231"/>
      <c r="L24" s="231"/>
      <c r="M24" s="231"/>
      <c r="N24" s="231"/>
      <c r="O24" s="231"/>
      <c r="P24" s="231"/>
      <c r="Q24" s="231"/>
      <c r="R24" s="231"/>
      <c r="S24" s="231"/>
      <c r="T24" s="231"/>
      <c r="U24" s="231"/>
      <c r="V24" s="231"/>
      <c r="W24" s="231"/>
      <c r="X24" s="231"/>
      <c r="Y24" s="231"/>
      <c r="Z24" s="231"/>
      <c r="AA24" s="231"/>
      <c r="AB24" s="231"/>
      <c r="AC24" s="231"/>
      <c r="AD24" s="231"/>
      <c r="AE24" s="231"/>
      <c r="AF24" s="231"/>
      <c r="AG24" s="231"/>
      <c r="AH24" s="231"/>
      <c r="AI24" s="231"/>
      <c r="AJ24" s="231"/>
      <c r="AK24" s="231"/>
      <c r="AL24" s="231"/>
      <c r="AM24" s="231"/>
      <c r="AN24" s="231"/>
      <c r="AO24" s="231"/>
    </row>
    <row r="25" spans="1:41" s="203" customFormat="1" ht="21.95" customHeight="1">
      <c r="A25" s="898" t="s">
        <v>48</v>
      </c>
      <c r="B25" s="901" t="s">
        <v>49</v>
      </c>
      <c r="C25" s="901"/>
      <c r="D25" s="902"/>
      <c r="E25" s="907" t="s">
        <v>50</v>
      </c>
      <c r="F25" s="909" t="s">
        <v>51</v>
      </c>
      <c r="G25" s="34"/>
      <c r="H25" s="907" t="s">
        <v>50</v>
      </c>
      <c r="I25" s="36"/>
      <c r="J25" s="231"/>
      <c r="K25" s="231"/>
      <c r="L25" s="231"/>
      <c r="M25" s="231"/>
      <c r="N25" s="231"/>
      <c r="O25" s="231"/>
      <c r="P25" s="231"/>
      <c r="Q25" s="231"/>
      <c r="R25" s="231"/>
      <c r="S25" s="231"/>
      <c r="T25" s="231"/>
      <c r="U25" s="231"/>
      <c r="V25" s="231"/>
      <c r="W25" s="231"/>
      <c r="X25" s="231"/>
      <c r="Y25" s="231"/>
      <c r="Z25" s="231"/>
      <c r="AA25" s="231"/>
      <c r="AB25" s="231"/>
      <c r="AC25" s="231"/>
      <c r="AD25" s="231"/>
      <c r="AE25" s="231"/>
      <c r="AF25" s="231"/>
      <c r="AG25" s="231"/>
      <c r="AH25" s="231"/>
      <c r="AI25" s="231"/>
      <c r="AJ25" s="231"/>
      <c r="AK25" s="231"/>
      <c r="AL25" s="231"/>
      <c r="AM25" s="231"/>
      <c r="AN25" s="231"/>
      <c r="AO25" s="231"/>
    </row>
    <row r="26" spans="1:41" s="203" customFormat="1" ht="21.95" customHeight="1">
      <c r="A26" s="899"/>
      <c r="B26" s="903"/>
      <c r="C26" s="903"/>
      <c r="D26" s="904"/>
      <c r="E26" s="908"/>
      <c r="F26" s="859"/>
      <c r="G26" s="34"/>
      <c r="H26" s="908"/>
      <c r="I26" s="36"/>
      <c r="J26" s="231"/>
      <c r="K26" s="231"/>
      <c r="L26" s="231"/>
      <c r="M26" s="231"/>
      <c r="N26" s="231"/>
      <c r="O26" s="231"/>
      <c r="P26" s="231"/>
      <c r="Q26" s="231"/>
      <c r="R26" s="231"/>
      <c r="S26" s="231"/>
      <c r="T26" s="231"/>
      <c r="U26" s="231"/>
      <c r="V26" s="231"/>
      <c r="W26" s="231"/>
      <c r="X26" s="231"/>
      <c r="Y26" s="231"/>
      <c r="Z26" s="231"/>
      <c r="AA26" s="231"/>
      <c r="AB26" s="231"/>
      <c r="AC26" s="231"/>
      <c r="AD26" s="231"/>
      <c r="AE26" s="231"/>
      <c r="AF26" s="231"/>
      <c r="AG26" s="231"/>
      <c r="AH26" s="231"/>
      <c r="AI26" s="231"/>
      <c r="AJ26" s="231"/>
      <c r="AK26" s="231"/>
      <c r="AL26" s="231"/>
      <c r="AM26" s="231"/>
      <c r="AN26" s="231"/>
      <c r="AO26" s="231"/>
    </row>
    <row r="27" spans="1:41" s="203" customFormat="1" ht="21.95" customHeight="1">
      <c r="A27" s="900"/>
      <c r="B27" s="905"/>
      <c r="C27" s="905"/>
      <c r="D27" s="906"/>
      <c r="E27" s="879"/>
      <c r="F27" s="860"/>
      <c r="G27" s="34"/>
      <c r="H27" s="879"/>
      <c r="I27" s="36"/>
      <c r="J27" s="231"/>
      <c r="K27" s="231"/>
      <c r="L27" s="231"/>
      <c r="M27" s="231"/>
      <c r="N27" s="231"/>
      <c r="O27" s="231"/>
      <c r="P27" s="231"/>
      <c r="Q27" s="231"/>
      <c r="R27" s="231"/>
      <c r="S27" s="231"/>
      <c r="T27" s="231"/>
      <c r="U27" s="231"/>
      <c r="V27" s="231"/>
      <c r="W27" s="231"/>
      <c r="X27" s="231"/>
      <c r="Y27" s="231"/>
      <c r="Z27" s="231"/>
      <c r="AA27" s="231"/>
      <c r="AB27" s="231"/>
      <c r="AC27" s="231"/>
      <c r="AD27" s="231"/>
      <c r="AE27" s="231"/>
      <c r="AF27" s="231"/>
      <c r="AG27" s="231"/>
      <c r="AH27" s="231"/>
      <c r="AI27" s="231"/>
      <c r="AJ27" s="231"/>
      <c r="AK27" s="231"/>
      <c r="AL27" s="231"/>
      <c r="AM27" s="231"/>
      <c r="AN27" s="231"/>
      <c r="AO27" s="231"/>
    </row>
    <row r="28" spans="1:41" s="203" customFormat="1">
      <c r="A28" s="38">
        <v>1</v>
      </c>
      <c r="B28" s="39" t="s">
        <v>52</v>
      </c>
      <c r="C28" s="39"/>
      <c r="D28" s="40"/>
      <c r="E28" s="41">
        <v>317875</v>
      </c>
      <c r="F28" s="42">
        <f>F77</f>
        <v>319103</v>
      </c>
      <c r="G28" s="43"/>
      <c r="H28" s="44">
        <f>H77</f>
        <v>344109</v>
      </c>
      <c r="I28" s="43"/>
      <c r="J28" s="231"/>
      <c r="K28" s="231"/>
      <c r="L28" s="231"/>
      <c r="M28" s="231"/>
      <c r="N28" s="231"/>
      <c r="O28" s="231"/>
      <c r="P28" s="231"/>
      <c r="Q28" s="231"/>
      <c r="R28" s="231"/>
      <c r="S28" s="231"/>
      <c r="T28" s="231"/>
      <c r="U28" s="231"/>
      <c r="V28" s="231"/>
      <c r="W28" s="231"/>
      <c r="X28" s="231"/>
      <c r="Y28" s="231"/>
      <c r="Z28" s="231"/>
      <c r="AA28" s="231"/>
      <c r="AB28" s="231"/>
      <c r="AC28" s="231"/>
      <c r="AD28" s="231"/>
      <c r="AE28" s="231"/>
      <c r="AF28" s="231"/>
      <c r="AG28" s="231"/>
      <c r="AH28" s="231"/>
      <c r="AI28" s="231"/>
      <c r="AJ28" s="231"/>
      <c r="AK28" s="231"/>
      <c r="AL28" s="231"/>
      <c r="AM28" s="231"/>
      <c r="AN28" s="231"/>
      <c r="AO28" s="231"/>
    </row>
    <row r="29" spans="1:41" s="203" customFormat="1">
      <c r="A29" s="46">
        <v>2</v>
      </c>
      <c r="B29" s="47" t="s">
        <v>53</v>
      </c>
      <c r="C29" s="47"/>
      <c r="D29" s="48"/>
      <c r="E29" s="49">
        <v>159830</v>
      </c>
      <c r="F29" s="50">
        <f>F105</f>
        <v>161029</v>
      </c>
      <c r="G29" s="43"/>
      <c r="H29" s="51">
        <f>H105</f>
        <v>169720</v>
      </c>
      <c r="I29" s="43"/>
      <c r="J29" s="231"/>
      <c r="K29" s="231"/>
      <c r="L29" s="231"/>
      <c r="M29" s="231"/>
      <c r="N29" s="231"/>
      <c r="O29" s="231"/>
      <c r="P29" s="231"/>
      <c r="Q29" s="231"/>
      <c r="R29" s="231"/>
      <c r="S29" s="231"/>
      <c r="T29" s="231"/>
      <c r="U29" s="231"/>
      <c r="V29" s="231"/>
      <c r="W29" s="231"/>
      <c r="X29" s="231"/>
      <c r="Y29" s="231"/>
      <c r="Z29" s="231"/>
      <c r="AA29" s="231"/>
      <c r="AB29" s="231"/>
      <c r="AC29" s="231"/>
      <c r="AD29" s="231"/>
      <c r="AE29" s="231"/>
      <c r="AF29" s="231"/>
      <c r="AG29" s="231"/>
      <c r="AH29" s="231"/>
      <c r="AI29" s="231"/>
      <c r="AJ29" s="231"/>
      <c r="AK29" s="231"/>
      <c r="AL29" s="231"/>
      <c r="AM29" s="231"/>
      <c r="AN29" s="231"/>
      <c r="AO29" s="231"/>
    </row>
    <row r="30" spans="1:41" s="203" customFormat="1">
      <c r="A30" s="46">
        <v>3</v>
      </c>
      <c r="B30" s="47" t="s">
        <v>54</v>
      </c>
      <c r="C30" s="47"/>
      <c r="D30" s="48"/>
      <c r="E30" s="49">
        <v>29331</v>
      </c>
      <c r="F30" s="50">
        <f>F180</f>
        <v>28537</v>
      </c>
      <c r="G30" s="43"/>
      <c r="H30" s="51">
        <f>H180</f>
        <v>29044</v>
      </c>
      <c r="I30" s="43"/>
      <c r="J30" s="231"/>
      <c r="K30" s="231"/>
      <c r="L30" s="231"/>
      <c r="M30" s="231"/>
      <c r="N30" s="231"/>
      <c r="O30" s="231"/>
      <c r="P30" s="231"/>
      <c r="Q30" s="231"/>
      <c r="R30" s="231"/>
      <c r="S30" s="231"/>
      <c r="T30" s="231"/>
      <c r="U30" s="231"/>
      <c r="V30" s="231"/>
      <c r="W30" s="231"/>
      <c r="X30" s="231"/>
      <c r="Y30" s="231"/>
      <c r="Z30" s="231"/>
      <c r="AA30" s="231"/>
      <c r="AB30" s="231"/>
      <c r="AC30" s="231"/>
      <c r="AD30" s="231"/>
      <c r="AE30" s="231"/>
      <c r="AF30" s="231"/>
      <c r="AG30" s="231"/>
      <c r="AH30" s="231"/>
      <c r="AI30" s="231"/>
      <c r="AJ30" s="231"/>
      <c r="AK30" s="231"/>
      <c r="AL30" s="231"/>
      <c r="AM30" s="231"/>
      <c r="AN30" s="231"/>
      <c r="AO30" s="231"/>
    </row>
    <row r="31" spans="1:41" s="203" customFormat="1">
      <c r="A31" s="46">
        <v>4</v>
      </c>
      <c r="B31" s="47" t="s">
        <v>55</v>
      </c>
      <c r="C31" s="47"/>
      <c r="D31" s="48"/>
      <c r="E31" s="49">
        <v>39442</v>
      </c>
      <c r="F31" s="50">
        <f>F214</f>
        <v>39557</v>
      </c>
      <c r="G31" s="43"/>
      <c r="H31" s="51">
        <f>H214</f>
        <v>39294</v>
      </c>
      <c r="I31" s="43"/>
      <c r="J31" s="231"/>
      <c r="K31" s="231"/>
      <c r="L31" s="231"/>
      <c r="M31" s="231"/>
      <c r="N31" s="231"/>
      <c r="O31" s="231"/>
      <c r="P31" s="231"/>
      <c r="Q31" s="231"/>
      <c r="R31" s="231"/>
      <c r="S31" s="231"/>
      <c r="T31" s="231"/>
      <c r="U31" s="231"/>
      <c r="V31" s="231"/>
      <c r="W31" s="231"/>
      <c r="X31" s="231"/>
      <c r="Y31" s="231"/>
      <c r="Z31" s="231"/>
      <c r="AA31" s="231"/>
      <c r="AB31" s="231"/>
      <c r="AC31" s="231"/>
      <c r="AD31" s="231"/>
      <c r="AE31" s="231"/>
      <c r="AF31" s="231"/>
      <c r="AG31" s="231"/>
      <c r="AH31" s="231"/>
      <c r="AI31" s="231"/>
      <c r="AJ31" s="231"/>
      <c r="AK31" s="231"/>
      <c r="AL31" s="231"/>
      <c r="AM31" s="231"/>
      <c r="AN31" s="231"/>
      <c r="AO31" s="231"/>
    </row>
    <row r="32" spans="1:41" s="203" customFormat="1">
      <c r="A32" s="46">
        <v>5</v>
      </c>
      <c r="B32" s="47" t="s">
        <v>56</v>
      </c>
      <c r="C32" s="47"/>
      <c r="D32" s="48"/>
      <c r="E32" s="49">
        <v>16535</v>
      </c>
      <c r="F32" s="50">
        <f>F231</f>
        <v>14440</v>
      </c>
      <c r="G32" s="43"/>
      <c r="H32" s="51">
        <f>H231</f>
        <v>16649</v>
      </c>
      <c r="I32" s="43"/>
      <c r="J32" s="231"/>
      <c r="K32" s="231"/>
      <c r="L32" s="231"/>
      <c r="M32" s="231"/>
      <c r="N32" s="231"/>
      <c r="O32" s="231"/>
      <c r="P32" s="231"/>
      <c r="Q32" s="231"/>
      <c r="R32" s="231"/>
      <c r="S32" s="231"/>
      <c r="T32" s="231"/>
      <c r="U32" s="231"/>
      <c r="V32" s="231"/>
      <c r="W32" s="231"/>
      <c r="X32" s="231"/>
      <c r="Y32" s="231"/>
      <c r="Z32" s="231"/>
      <c r="AA32" s="231"/>
      <c r="AB32" s="231"/>
      <c r="AC32" s="231"/>
      <c r="AD32" s="231"/>
      <c r="AE32" s="231"/>
      <c r="AF32" s="231"/>
      <c r="AG32" s="231"/>
      <c r="AH32" s="231"/>
      <c r="AI32" s="231"/>
      <c r="AJ32" s="231"/>
      <c r="AK32" s="231"/>
      <c r="AL32" s="231"/>
      <c r="AM32" s="231"/>
      <c r="AN32" s="231"/>
      <c r="AO32" s="231"/>
    </row>
    <row r="33" spans="1:41" s="203" customFormat="1">
      <c r="A33" s="46">
        <v>6</v>
      </c>
      <c r="B33" s="47" t="s">
        <v>57</v>
      </c>
      <c r="C33" s="47"/>
      <c r="D33" s="48"/>
      <c r="E33" s="49">
        <v>26436</v>
      </c>
      <c r="F33" s="50">
        <f>F257</f>
        <v>26893</v>
      </c>
      <c r="G33" s="43"/>
      <c r="H33" s="51">
        <f>H257</f>
        <v>26685</v>
      </c>
      <c r="I33" s="43"/>
      <c r="J33" s="231"/>
      <c r="K33" s="231"/>
      <c r="L33" s="231"/>
      <c r="M33" s="231"/>
      <c r="N33" s="231"/>
      <c r="O33" s="231"/>
      <c r="P33" s="231"/>
      <c r="Q33" s="231"/>
      <c r="R33" s="231"/>
      <c r="S33" s="231"/>
      <c r="T33" s="231"/>
      <c r="U33" s="231"/>
      <c r="V33" s="231"/>
      <c r="W33" s="231"/>
      <c r="X33" s="231"/>
      <c r="Y33" s="231"/>
      <c r="Z33" s="231"/>
      <c r="AA33" s="231"/>
      <c r="AB33" s="231"/>
      <c r="AC33" s="231"/>
      <c r="AD33" s="231"/>
      <c r="AE33" s="231"/>
      <c r="AF33" s="231"/>
      <c r="AG33" s="231"/>
      <c r="AH33" s="231"/>
      <c r="AI33" s="231"/>
      <c r="AJ33" s="231"/>
      <c r="AK33" s="231"/>
      <c r="AL33" s="231"/>
      <c r="AM33" s="231"/>
      <c r="AN33" s="231"/>
      <c r="AO33" s="231"/>
    </row>
    <row r="34" spans="1:41" s="203" customFormat="1">
      <c r="A34" s="46">
        <v>7</v>
      </c>
      <c r="B34" s="47" t="s">
        <v>58</v>
      </c>
      <c r="C34" s="47"/>
      <c r="D34" s="48"/>
      <c r="E34" s="49">
        <v>17580</v>
      </c>
      <c r="F34" s="50">
        <f>F277</f>
        <v>19104</v>
      </c>
      <c r="G34" s="43"/>
      <c r="H34" s="50">
        <f>H277</f>
        <v>17593</v>
      </c>
      <c r="I34" s="43"/>
      <c r="J34" s="231"/>
      <c r="K34" s="231"/>
      <c r="L34" s="231"/>
      <c r="M34" s="231"/>
      <c r="N34" s="231"/>
      <c r="O34" s="231"/>
      <c r="P34" s="231"/>
      <c r="Q34" s="231"/>
      <c r="R34" s="231"/>
      <c r="S34" s="231"/>
      <c r="T34" s="231"/>
      <c r="U34" s="231"/>
      <c r="V34" s="231"/>
      <c r="W34" s="231"/>
      <c r="X34" s="231"/>
      <c r="Y34" s="231"/>
      <c r="Z34" s="231"/>
      <c r="AA34" s="231"/>
      <c r="AB34" s="231"/>
      <c r="AC34" s="231"/>
      <c r="AD34" s="231"/>
      <c r="AE34" s="231"/>
      <c r="AF34" s="231"/>
      <c r="AG34" s="231"/>
      <c r="AH34" s="231"/>
      <c r="AI34" s="231"/>
      <c r="AJ34" s="231"/>
      <c r="AK34" s="231"/>
      <c r="AL34" s="231"/>
      <c r="AM34" s="231"/>
      <c r="AN34" s="231"/>
      <c r="AO34" s="231"/>
    </row>
    <row r="35" spans="1:41" s="203" customFormat="1">
      <c r="A35" s="46">
        <v>8</v>
      </c>
      <c r="B35" s="47" t="s">
        <v>59</v>
      </c>
      <c r="C35" s="47"/>
      <c r="D35" s="48"/>
      <c r="E35" s="49">
        <v>16678</v>
      </c>
      <c r="F35" s="50">
        <f>F302</f>
        <v>14032</v>
      </c>
      <c r="G35" s="43"/>
      <c r="H35" s="50">
        <f>H302</f>
        <v>15760</v>
      </c>
      <c r="I35" s="21"/>
      <c r="J35" s="231"/>
      <c r="K35" s="231"/>
      <c r="L35" s="231"/>
      <c r="M35" s="231"/>
      <c r="N35" s="231"/>
      <c r="O35" s="231"/>
      <c r="P35" s="231"/>
      <c r="Q35" s="231"/>
      <c r="R35" s="231"/>
      <c r="S35" s="231"/>
      <c r="T35" s="231"/>
      <c r="U35" s="231"/>
      <c r="V35" s="231"/>
      <c r="W35" s="231"/>
      <c r="X35" s="231"/>
      <c r="Y35" s="231"/>
      <c r="Z35" s="231"/>
      <c r="AA35" s="231"/>
      <c r="AB35" s="231"/>
      <c r="AC35" s="231"/>
      <c r="AD35" s="231"/>
      <c r="AE35" s="231"/>
      <c r="AF35" s="231"/>
      <c r="AG35" s="231"/>
      <c r="AH35" s="231"/>
      <c r="AI35" s="231"/>
      <c r="AJ35" s="231"/>
      <c r="AK35" s="231"/>
      <c r="AL35" s="231"/>
      <c r="AM35" s="231"/>
      <c r="AN35" s="231"/>
      <c r="AO35" s="231"/>
    </row>
    <row r="36" spans="1:41" s="203" customFormat="1">
      <c r="A36" s="46">
        <v>9</v>
      </c>
      <c r="B36" s="47" t="s">
        <v>60</v>
      </c>
      <c r="C36" s="47"/>
      <c r="D36" s="48"/>
      <c r="E36" s="49">
        <v>0</v>
      </c>
      <c r="F36" s="52"/>
      <c r="G36" s="43"/>
      <c r="H36" s="52"/>
      <c r="I36" s="21"/>
      <c r="J36" s="231"/>
      <c r="K36" s="231"/>
      <c r="L36" s="231"/>
      <c r="M36" s="231"/>
      <c r="N36" s="231"/>
      <c r="O36" s="231"/>
      <c r="P36" s="231"/>
      <c r="Q36" s="231"/>
      <c r="R36" s="231"/>
      <c r="S36" s="231"/>
      <c r="T36" s="231"/>
      <c r="U36" s="231"/>
      <c r="V36" s="231"/>
      <c r="W36" s="231"/>
      <c r="X36" s="231"/>
      <c r="Y36" s="231"/>
      <c r="Z36" s="231"/>
      <c r="AA36" s="231"/>
      <c r="AB36" s="231"/>
      <c r="AC36" s="231"/>
      <c r="AD36" s="231"/>
      <c r="AE36" s="231"/>
      <c r="AF36" s="231"/>
      <c r="AG36" s="231"/>
      <c r="AH36" s="231"/>
      <c r="AI36" s="231"/>
      <c r="AJ36" s="231"/>
      <c r="AK36" s="231"/>
      <c r="AL36" s="231"/>
      <c r="AM36" s="231"/>
      <c r="AN36" s="231"/>
      <c r="AO36" s="231"/>
    </row>
    <row r="37" spans="1:41" s="203" customFormat="1">
      <c r="A37" s="53">
        <v>10</v>
      </c>
      <c r="B37" s="54" t="s">
        <v>61</v>
      </c>
      <c r="C37" s="54"/>
      <c r="D37" s="55"/>
      <c r="E37" s="56">
        <v>70654</v>
      </c>
      <c r="F37" s="57">
        <f>F320</f>
        <v>66274</v>
      </c>
      <c r="G37" s="43"/>
      <c r="H37" s="57">
        <f>H320</f>
        <v>66575</v>
      </c>
      <c r="I37" s="21"/>
      <c r="J37" s="231"/>
      <c r="K37" s="231"/>
      <c r="L37" s="231"/>
      <c r="M37" s="231"/>
      <c r="N37" s="231"/>
      <c r="O37" s="231"/>
      <c r="P37" s="231"/>
      <c r="Q37" s="231"/>
      <c r="R37" s="231"/>
      <c r="S37" s="231"/>
      <c r="T37" s="231"/>
      <c r="U37" s="231"/>
      <c r="V37" s="231"/>
      <c r="W37" s="231"/>
      <c r="X37" s="231"/>
      <c r="Y37" s="231"/>
      <c r="Z37" s="231"/>
      <c r="AA37" s="231"/>
      <c r="AB37" s="231"/>
      <c r="AC37" s="231"/>
      <c r="AD37" s="231"/>
      <c r="AE37" s="231"/>
      <c r="AF37" s="231"/>
      <c r="AG37" s="231"/>
      <c r="AH37" s="231"/>
      <c r="AI37" s="231"/>
      <c r="AJ37" s="231"/>
      <c r="AK37" s="231"/>
      <c r="AL37" s="231"/>
      <c r="AM37" s="231"/>
      <c r="AN37" s="231"/>
      <c r="AO37" s="231"/>
    </row>
    <row r="38" spans="1:41" s="203" customFormat="1">
      <c r="A38" s="33">
        <v>11</v>
      </c>
      <c r="B38" s="58" t="s">
        <v>62</v>
      </c>
      <c r="C38" s="58"/>
      <c r="D38" s="59"/>
      <c r="E38" s="60">
        <v>694361</v>
      </c>
      <c r="F38" s="61">
        <f>SUM(F28:F37)</f>
        <v>688969</v>
      </c>
      <c r="G38" s="43"/>
      <c r="H38" s="61">
        <f>SUM(H28:H37)</f>
        <v>725429</v>
      </c>
      <c r="I38" s="68"/>
      <c r="J38" s="231"/>
      <c r="K38" s="231"/>
      <c r="L38" s="231"/>
      <c r="M38" s="231"/>
      <c r="N38" s="231"/>
      <c r="O38" s="231"/>
      <c r="P38" s="231"/>
      <c r="Q38" s="231"/>
      <c r="R38" s="231"/>
      <c r="S38" s="231"/>
      <c r="T38" s="231"/>
      <c r="U38" s="231"/>
      <c r="V38" s="231"/>
      <c r="W38" s="231"/>
      <c r="X38" s="231"/>
      <c r="Y38" s="231"/>
      <c r="Z38" s="231"/>
      <c r="AA38" s="231"/>
      <c r="AB38" s="231"/>
      <c r="AC38" s="231"/>
      <c r="AD38" s="231"/>
      <c r="AE38" s="231"/>
      <c r="AF38" s="231"/>
      <c r="AG38" s="231"/>
      <c r="AH38" s="231"/>
      <c r="AI38" s="231"/>
      <c r="AJ38" s="231"/>
      <c r="AK38" s="231"/>
      <c r="AL38" s="231"/>
      <c r="AM38" s="231"/>
      <c r="AN38" s="231"/>
      <c r="AO38" s="231"/>
    </row>
    <row r="39" spans="1:41" s="203" customFormat="1" ht="12.75" customHeight="1">
      <c r="A39" s="63"/>
      <c r="B39" s="64"/>
      <c r="C39" s="64"/>
      <c r="D39" s="65"/>
      <c r="E39" s="66"/>
      <c r="F39" s="67"/>
      <c r="G39" s="21"/>
      <c r="H39" s="67"/>
      <c r="I39" s="68"/>
      <c r="J39" s="231"/>
      <c r="K39" s="231"/>
      <c r="L39" s="231"/>
      <c r="M39" s="231"/>
      <c r="N39" s="231"/>
      <c r="O39" s="231"/>
      <c r="P39" s="231"/>
      <c r="Q39" s="231"/>
      <c r="R39" s="231"/>
      <c r="S39" s="231"/>
      <c r="T39" s="231"/>
      <c r="U39" s="231"/>
      <c r="V39" s="231"/>
      <c r="W39" s="231"/>
      <c r="X39" s="231"/>
      <c r="Y39" s="231"/>
      <c r="Z39" s="231"/>
      <c r="AA39" s="231"/>
      <c r="AB39" s="231"/>
      <c r="AC39" s="231"/>
      <c r="AD39" s="231"/>
      <c r="AE39" s="231"/>
      <c r="AF39" s="231"/>
      <c r="AG39" s="231"/>
      <c r="AH39" s="231"/>
      <c r="AI39" s="231"/>
      <c r="AJ39" s="231"/>
      <c r="AK39" s="231"/>
      <c r="AL39" s="231"/>
      <c r="AM39" s="231"/>
      <c r="AN39" s="231"/>
      <c r="AO39" s="231"/>
    </row>
    <row r="40" spans="1:41" s="203" customFormat="1" ht="12.75" customHeight="1">
      <c r="A40" s="893" t="s">
        <v>63</v>
      </c>
      <c r="B40" s="894"/>
      <c r="C40" s="894"/>
      <c r="D40" s="895"/>
      <c r="E40" s="878" t="s">
        <v>376</v>
      </c>
      <c r="F40" s="856" t="s">
        <v>407</v>
      </c>
      <c r="G40" s="36"/>
      <c r="H40" s="878" t="s">
        <v>406</v>
      </c>
      <c r="I40" s="43"/>
      <c r="J40" s="231"/>
      <c r="K40" s="231"/>
      <c r="L40" s="231"/>
      <c r="M40" s="231"/>
      <c r="N40" s="231"/>
      <c r="O40" s="231"/>
      <c r="P40" s="231"/>
      <c r="Q40" s="231"/>
      <c r="R40" s="231"/>
      <c r="S40" s="231"/>
      <c r="T40" s="231"/>
      <c r="U40" s="231"/>
      <c r="V40" s="231"/>
      <c r="W40" s="231"/>
      <c r="X40" s="231"/>
      <c r="Y40" s="231"/>
      <c r="Z40" s="231"/>
      <c r="AA40" s="231"/>
      <c r="AB40" s="231"/>
      <c r="AC40" s="231"/>
      <c r="AD40" s="231"/>
      <c r="AE40" s="231"/>
      <c r="AF40" s="231"/>
      <c r="AG40" s="231"/>
      <c r="AH40" s="231"/>
      <c r="AI40" s="231"/>
      <c r="AJ40" s="231"/>
      <c r="AK40" s="231"/>
      <c r="AL40" s="231"/>
      <c r="AM40" s="231"/>
      <c r="AN40" s="231"/>
      <c r="AO40" s="231"/>
    </row>
    <row r="41" spans="1:41" s="203" customFormat="1" ht="27.75" customHeight="1">
      <c r="A41" s="876"/>
      <c r="B41" s="877"/>
      <c r="C41" s="877"/>
      <c r="D41" s="896"/>
      <c r="E41" s="879"/>
      <c r="F41" s="860"/>
      <c r="G41" s="23"/>
      <c r="H41" s="879"/>
      <c r="I41" s="43"/>
      <c r="J41" s="231"/>
      <c r="K41" s="231"/>
      <c r="L41" s="231"/>
      <c r="M41" s="231"/>
      <c r="N41" s="231"/>
      <c r="O41" s="231"/>
      <c r="P41" s="231"/>
      <c r="Q41" s="231"/>
      <c r="R41" s="231"/>
      <c r="S41" s="231"/>
      <c r="T41" s="231"/>
      <c r="U41" s="231"/>
      <c r="V41" s="231"/>
      <c r="W41" s="231"/>
      <c r="X41" s="231"/>
      <c r="Y41" s="231"/>
      <c r="Z41" s="231"/>
      <c r="AA41" s="231"/>
      <c r="AB41" s="231"/>
      <c r="AC41" s="231"/>
      <c r="AD41" s="231"/>
      <c r="AE41" s="231"/>
      <c r="AF41" s="231"/>
      <c r="AG41" s="231"/>
      <c r="AH41" s="231"/>
      <c r="AI41" s="231"/>
      <c r="AJ41" s="231"/>
      <c r="AK41" s="231"/>
      <c r="AL41" s="231"/>
      <c r="AM41" s="231"/>
      <c r="AN41" s="231"/>
      <c r="AO41" s="231"/>
    </row>
    <row r="42" spans="1:41" s="203" customFormat="1">
      <c r="A42" s="808" t="s">
        <v>64</v>
      </c>
      <c r="B42" s="69" t="s">
        <v>65</v>
      </c>
      <c r="C42" s="69"/>
      <c r="D42" s="70"/>
      <c r="E42" s="71"/>
      <c r="F42" s="72" t="str">
        <f>IF(OR(F43&lt;0,F44&lt;0,F47&lt;0,F48&lt;0,H43&lt;0,H44&lt;0,H47&lt;0,H48&lt;0),"Funding should be recorded as positive figures",".")</f>
        <v>.</v>
      </c>
      <c r="G42" s="45"/>
      <c r="H42" s="73"/>
      <c r="I42" s="43"/>
      <c r="J42" s="231"/>
      <c r="K42" s="231"/>
      <c r="L42" s="231"/>
      <c r="M42" s="231"/>
      <c r="N42" s="231"/>
      <c r="O42" s="231"/>
      <c r="P42" s="231"/>
      <c r="Q42" s="231"/>
      <c r="R42" s="231"/>
      <c r="S42" s="231"/>
      <c r="T42" s="231"/>
      <c r="U42" s="231"/>
      <c r="V42" s="231"/>
      <c r="W42" s="231"/>
      <c r="X42" s="231"/>
      <c r="Y42" s="231"/>
      <c r="Z42" s="231"/>
      <c r="AA42" s="231"/>
      <c r="AB42" s="231"/>
      <c r="AC42" s="231"/>
      <c r="AD42" s="231"/>
      <c r="AE42" s="231"/>
      <c r="AF42" s="231"/>
      <c r="AG42" s="231"/>
      <c r="AH42" s="231"/>
      <c r="AI42" s="231"/>
      <c r="AJ42" s="231"/>
      <c r="AK42" s="231"/>
      <c r="AL42" s="231"/>
      <c r="AM42" s="231"/>
      <c r="AN42" s="231"/>
      <c r="AO42" s="231"/>
    </row>
    <row r="43" spans="1:41" s="203" customFormat="1">
      <c r="A43" s="46">
        <v>1</v>
      </c>
      <c r="B43" s="47" t="s">
        <v>66</v>
      </c>
      <c r="C43" s="47"/>
      <c r="D43" s="48"/>
      <c r="E43" s="74">
        <v>248728</v>
      </c>
      <c r="F43" s="241">
        <v>253433.99999999991</v>
      </c>
      <c r="G43" s="45"/>
      <c r="H43" s="75">
        <f>205888+5709</f>
        <v>211597</v>
      </c>
      <c r="I43" s="43"/>
      <c r="J43" s="231"/>
      <c r="K43" s="231"/>
      <c r="L43" s="231"/>
      <c r="M43" s="231"/>
      <c r="N43" s="231"/>
      <c r="O43" s="231"/>
      <c r="P43" s="231"/>
      <c r="Q43" s="231"/>
      <c r="R43" s="231"/>
      <c r="S43" s="231"/>
      <c r="T43" s="231"/>
      <c r="U43" s="231"/>
      <c r="V43" s="231"/>
      <c r="W43" s="231"/>
      <c r="X43" s="231"/>
      <c r="Y43" s="231"/>
      <c r="Z43" s="231"/>
      <c r="AA43" s="231"/>
      <c r="AB43" s="231"/>
      <c r="AC43" s="231"/>
      <c r="AD43" s="231"/>
      <c r="AE43" s="231"/>
      <c r="AF43" s="231"/>
      <c r="AG43" s="231"/>
      <c r="AH43" s="231"/>
      <c r="AI43" s="231"/>
      <c r="AJ43" s="231"/>
      <c r="AK43" s="231"/>
      <c r="AL43" s="231"/>
      <c r="AM43" s="231"/>
      <c r="AN43" s="231"/>
      <c r="AO43" s="231"/>
    </row>
    <row r="44" spans="1:41" s="203" customFormat="1">
      <c r="A44" s="46">
        <v>2</v>
      </c>
      <c r="B44" s="47" t="s">
        <v>67</v>
      </c>
      <c r="C44" s="47"/>
      <c r="D44" s="48"/>
      <c r="E44" s="49">
        <v>295500</v>
      </c>
      <c r="F44" s="241">
        <v>295500</v>
      </c>
      <c r="G44" s="45"/>
      <c r="H44" s="75">
        <v>341166</v>
      </c>
      <c r="I44" s="43"/>
      <c r="J44" s="231"/>
      <c r="K44" s="231"/>
      <c r="L44" s="231"/>
      <c r="M44" s="231"/>
      <c r="N44" s="231"/>
      <c r="O44" s="231"/>
      <c r="P44" s="231"/>
      <c r="Q44" s="231"/>
      <c r="R44" s="231"/>
      <c r="S44" s="231"/>
      <c r="T44" s="231"/>
      <c r="U44" s="231"/>
      <c r="V44" s="231"/>
      <c r="W44" s="231"/>
      <c r="X44" s="231"/>
      <c r="Y44" s="231"/>
      <c r="Z44" s="231"/>
      <c r="AA44" s="231"/>
      <c r="AB44" s="231"/>
      <c r="AC44" s="231"/>
      <c r="AD44" s="231"/>
      <c r="AE44" s="231"/>
      <c r="AF44" s="231"/>
      <c r="AG44" s="231"/>
      <c r="AH44" s="231"/>
      <c r="AI44" s="231"/>
      <c r="AJ44" s="231"/>
      <c r="AK44" s="231"/>
      <c r="AL44" s="231"/>
      <c r="AM44" s="231"/>
      <c r="AN44" s="231"/>
      <c r="AO44" s="231"/>
    </row>
    <row r="45" spans="1:41" s="203" customFormat="1">
      <c r="A45" s="46">
        <v>3</v>
      </c>
      <c r="B45" s="47" t="s">
        <v>68</v>
      </c>
      <c r="C45" s="47"/>
      <c r="D45" s="48"/>
      <c r="E45" s="49">
        <v>0</v>
      </c>
      <c r="F45" s="52">
        <v>0</v>
      </c>
      <c r="G45" s="45"/>
      <c r="H45" s="75"/>
      <c r="I45" s="43"/>
      <c r="J45" s="231"/>
      <c r="K45" s="231"/>
      <c r="L45" s="231"/>
      <c r="M45" s="231"/>
      <c r="N45" s="231"/>
      <c r="O45" s="231"/>
      <c r="P45" s="231"/>
      <c r="Q45" s="231"/>
      <c r="R45" s="231"/>
      <c r="S45" s="231"/>
      <c r="T45" s="231"/>
      <c r="U45" s="231"/>
      <c r="V45" s="231"/>
      <c r="W45" s="231"/>
      <c r="X45" s="231"/>
      <c r="Y45" s="231"/>
      <c r="Z45" s="231"/>
      <c r="AA45" s="231"/>
      <c r="AB45" s="231"/>
      <c r="AC45" s="231"/>
      <c r="AD45" s="231"/>
      <c r="AE45" s="231"/>
      <c r="AF45" s="231"/>
      <c r="AG45" s="231"/>
      <c r="AH45" s="231"/>
      <c r="AI45" s="231"/>
      <c r="AJ45" s="231"/>
      <c r="AK45" s="231"/>
      <c r="AL45" s="231"/>
      <c r="AM45" s="231"/>
      <c r="AN45" s="231"/>
      <c r="AO45" s="231"/>
    </row>
    <row r="46" spans="1:41" s="203" customFormat="1">
      <c r="A46" s="46">
        <v>4</v>
      </c>
      <c r="B46" s="47" t="s">
        <v>70</v>
      </c>
      <c r="C46" s="47"/>
      <c r="D46" s="48"/>
      <c r="E46" s="49">
        <v>0</v>
      </c>
      <c r="F46" s="52">
        <v>0</v>
      </c>
      <c r="G46" s="45"/>
      <c r="H46" s="75"/>
      <c r="I46" s="43"/>
      <c r="J46" s="231"/>
      <c r="K46" s="231"/>
      <c r="L46" s="231"/>
      <c r="M46" s="231"/>
      <c r="N46" s="231"/>
      <c r="O46" s="231"/>
      <c r="P46" s="231"/>
      <c r="Q46" s="231"/>
      <c r="R46" s="231"/>
      <c r="S46" s="231"/>
      <c r="T46" s="231"/>
      <c r="U46" s="231"/>
      <c r="V46" s="231"/>
      <c r="W46" s="231"/>
      <c r="X46" s="231"/>
      <c r="Y46" s="231"/>
      <c r="Z46" s="231"/>
      <c r="AA46" s="231"/>
      <c r="AB46" s="231"/>
      <c r="AC46" s="231"/>
      <c r="AD46" s="231"/>
      <c r="AE46" s="231"/>
      <c r="AF46" s="231"/>
      <c r="AG46" s="231"/>
      <c r="AH46" s="231"/>
      <c r="AI46" s="231"/>
      <c r="AJ46" s="231"/>
      <c r="AK46" s="231"/>
      <c r="AL46" s="231"/>
      <c r="AM46" s="231"/>
      <c r="AN46" s="231"/>
      <c r="AO46" s="231"/>
    </row>
    <row r="47" spans="1:41" s="203" customFormat="1">
      <c r="A47" s="46">
        <v>5</v>
      </c>
      <c r="B47" s="47" t="s">
        <v>69</v>
      </c>
      <c r="C47" s="47"/>
      <c r="D47" s="48"/>
      <c r="E47" s="49">
        <v>14756</v>
      </c>
      <c r="F47" s="52">
        <v>14756</v>
      </c>
      <c r="G47" s="45"/>
      <c r="H47" s="76">
        <v>28144</v>
      </c>
      <c r="I47" s="43"/>
      <c r="J47" s="231"/>
      <c r="K47" s="231"/>
      <c r="L47" s="231"/>
      <c r="M47" s="231"/>
      <c r="N47" s="231"/>
      <c r="O47" s="231"/>
      <c r="P47" s="231"/>
      <c r="Q47" s="231"/>
      <c r="R47" s="231"/>
      <c r="S47" s="231"/>
      <c r="T47" s="231"/>
      <c r="U47" s="231"/>
      <c r="V47" s="231"/>
      <c r="W47" s="231"/>
      <c r="X47" s="231"/>
      <c r="Y47" s="231"/>
      <c r="Z47" s="231"/>
      <c r="AA47" s="231"/>
      <c r="AB47" s="231"/>
      <c r="AC47" s="231"/>
      <c r="AD47" s="231"/>
      <c r="AE47" s="231"/>
      <c r="AF47" s="231"/>
      <c r="AG47" s="231"/>
      <c r="AH47" s="231"/>
      <c r="AI47" s="231"/>
      <c r="AJ47" s="231"/>
      <c r="AK47" s="231"/>
      <c r="AL47" s="231"/>
      <c r="AM47" s="231"/>
      <c r="AN47" s="231"/>
      <c r="AO47" s="231"/>
    </row>
    <row r="48" spans="1:41" s="203" customFormat="1">
      <c r="A48" s="46">
        <v>6</v>
      </c>
      <c r="B48" s="90" t="s">
        <v>253</v>
      </c>
      <c r="C48" s="47"/>
      <c r="D48" s="195"/>
      <c r="E48" s="49">
        <v>126388</v>
      </c>
      <c r="F48" s="52">
        <v>129094</v>
      </c>
      <c r="G48" s="45"/>
      <c r="H48" s="52">
        <v>132007</v>
      </c>
      <c r="I48" s="43"/>
      <c r="J48" s="231"/>
      <c r="K48" s="231"/>
      <c r="L48" s="231"/>
      <c r="M48" s="231"/>
      <c r="N48" s="231"/>
      <c r="O48" s="231"/>
      <c r="P48" s="231"/>
      <c r="Q48" s="231"/>
      <c r="R48" s="231"/>
      <c r="S48" s="231"/>
      <c r="T48" s="231"/>
      <c r="U48" s="231"/>
      <c r="V48" s="231"/>
      <c r="W48" s="231"/>
      <c r="X48" s="231"/>
      <c r="Y48" s="231"/>
      <c r="Z48" s="231"/>
      <c r="AA48" s="231"/>
      <c r="AB48" s="231"/>
      <c r="AC48" s="231"/>
      <c r="AD48" s="231"/>
      <c r="AE48" s="231"/>
      <c r="AF48" s="231"/>
      <c r="AG48" s="231"/>
      <c r="AH48" s="231"/>
      <c r="AI48" s="231"/>
      <c r="AJ48" s="231"/>
      <c r="AK48" s="231"/>
      <c r="AL48" s="231"/>
      <c r="AM48" s="231"/>
      <c r="AN48" s="231"/>
      <c r="AO48" s="231"/>
    </row>
    <row r="49" spans="1:41" s="203" customFormat="1">
      <c r="A49" s="77">
        <v>7</v>
      </c>
      <c r="B49" s="78" t="s">
        <v>71</v>
      </c>
      <c r="C49" s="58"/>
      <c r="D49" s="79"/>
      <c r="E49" s="80">
        <v>685372</v>
      </c>
      <c r="F49" s="81">
        <f>SUM(F43:F48)</f>
        <v>692783.99999999988</v>
      </c>
      <c r="G49" s="82"/>
      <c r="H49" s="62">
        <f>SUM(H43:H48)</f>
        <v>712914</v>
      </c>
      <c r="I49" s="242"/>
      <c r="J49" s="231"/>
      <c r="K49" s="231"/>
      <c r="L49" s="231"/>
      <c r="M49" s="231"/>
      <c r="N49" s="231"/>
      <c r="O49" s="231"/>
      <c r="P49" s="231"/>
      <c r="Q49" s="231"/>
      <c r="R49" s="231"/>
      <c r="S49" s="231"/>
      <c r="T49" s="231"/>
      <c r="U49" s="231"/>
      <c r="V49" s="231"/>
      <c r="W49" s="231"/>
      <c r="X49" s="231"/>
      <c r="Y49" s="231"/>
      <c r="Z49" s="231"/>
      <c r="AA49" s="231"/>
      <c r="AB49" s="231"/>
      <c r="AC49" s="231"/>
      <c r="AD49" s="231"/>
      <c r="AE49" s="231"/>
      <c r="AF49" s="231"/>
      <c r="AG49" s="231"/>
      <c r="AH49" s="231"/>
      <c r="AI49" s="231"/>
      <c r="AJ49" s="231"/>
      <c r="AK49" s="231"/>
      <c r="AL49" s="231"/>
      <c r="AM49" s="231"/>
      <c r="AN49" s="231"/>
      <c r="AO49" s="231"/>
    </row>
    <row r="50" spans="1:41" s="203" customFormat="1">
      <c r="A50" s="83"/>
      <c r="B50" s="244"/>
      <c r="C50" s="244"/>
      <c r="D50" s="244"/>
      <c r="E50" s="85"/>
      <c r="F50" s="244"/>
      <c r="G50" s="86"/>
      <c r="H50" s="86"/>
      <c r="I50" s="21"/>
      <c r="J50" s="231"/>
      <c r="K50" s="231"/>
      <c r="L50" s="231"/>
      <c r="M50" s="231"/>
      <c r="N50" s="231"/>
      <c r="O50" s="231"/>
      <c r="P50" s="231"/>
      <c r="Q50" s="231"/>
      <c r="R50" s="231"/>
      <c r="S50" s="231"/>
      <c r="T50" s="231"/>
      <c r="U50" s="231"/>
      <c r="V50" s="231"/>
      <c r="W50" s="231"/>
      <c r="X50" s="231"/>
      <c r="Y50" s="231"/>
      <c r="Z50" s="231"/>
      <c r="AA50" s="231"/>
      <c r="AB50" s="231"/>
      <c r="AC50" s="231"/>
      <c r="AD50" s="231"/>
      <c r="AE50" s="231"/>
      <c r="AF50" s="231"/>
      <c r="AG50" s="231"/>
      <c r="AH50" s="231"/>
      <c r="AI50" s="231"/>
      <c r="AJ50" s="231"/>
      <c r="AK50" s="231"/>
      <c r="AL50" s="231"/>
      <c r="AM50" s="231"/>
      <c r="AN50" s="231"/>
      <c r="AO50" s="231"/>
    </row>
    <row r="51" spans="1:41" s="203" customFormat="1">
      <c r="A51" s="808" t="s">
        <v>72</v>
      </c>
      <c r="B51" s="196" t="s">
        <v>254</v>
      </c>
      <c r="C51" s="69"/>
      <c r="D51" s="70"/>
      <c r="E51" s="87"/>
      <c r="F51" s="88"/>
      <c r="G51" s="45"/>
      <c r="H51" s="89"/>
      <c r="I51" s="43"/>
      <c r="J51" s="231"/>
      <c r="K51" s="231"/>
      <c r="L51" s="231"/>
      <c r="M51" s="231"/>
      <c r="N51" s="231"/>
      <c r="O51" s="231"/>
      <c r="P51" s="231"/>
      <c r="Q51" s="231"/>
      <c r="R51" s="231"/>
      <c r="S51" s="231"/>
      <c r="T51" s="231"/>
      <c r="U51" s="231"/>
      <c r="V51" s="231"/>
      <c r="W51" s="231"/>
      <c r="X51" s="231"/>
      <c r="Y51" s="231"/>
      <c r="Z51" s="231"/>
      <c r="AA51" s="231"/>
      <c r="AB51" s="231"/>
      <c r="AC51" s="231"/>
      <c r="AD51" s="231"/>
      <c r="AE51" s="231"/>
      <c r="AF51" s="231"/>
      <c r="AG51" s="231"/>
      <c r="AH51" s="231"/>
      <c r="AI51" s="231"/>
      <c r="AJ51" s="231"/>
      <c r="AK51" s="231"/>
      <c r="AL51" s="231"/>
      <c r="AM51" s="231"/>
      <c r="AN51" s="231"/>
      <c r="AO51" s="231"/>
    </row>
    <row r="52" spans="1:41" s="203" customFormat="1">
      <c r="A52" s="46">
        <v>8</v>
      </c>
      <c r="B52" s="90" t="s">
        <v>73</v>
      </c>
      <c r="C52" s="47"/>
      <c r="D52" s="48"/>
      <c r="E52" s="74">
        <v>694361</v>
      </c>
      <c r="F52" s="50">
        <f>F38</f>
        <v>688969</v>
      </c>
      <c r="G52" s="45"/>
      <c r="H52" s="91">
        <f>H38</f>
        <v>725429</v>
      </c>
      <c r="I52" s="43"/>
      <c r="J52" s="231"/>
      <c r="K52" s="231"/>
      <c r="L52" s="231"/>
      <c r="M52" s="231"/>
      <c r="N52" s="231"/>
      <c r="O52" s="231"/>
      <c r="P52" s="231"/>
      <c r="Q52" s="231"/>
      <c r="R52" s="231"/>
      <c r="S52" s="231"/>
      <c r="T52" s="231"/>
      <c r="U52" s="231"/>
      <c r="V52" s="231"/>
      <c r="W52" s="231"/>
      <c r="X52" s="231"/>
      <c r="Y52" s="231"/>
      <c r="Z52" s="231"/>
      <c r="AA52" s="231"/>
      <c r="AB52" s="231"/>
      <c r="AC52" s="231"/>
      <c r="AD52" s="231"/>
      <c r="AE52" s="231"/>
      <c r="AF52" s="231"/>
      <c r="AG52" s="231"/>
      <c r="AH52" s="231"/>
      <c r="AI52" s="231"/>
      <c r="AJ52" s="231"/>
      <c r="AK52" s="231"/>
      <c r="AL52" s="231"/>
      <c r="AM52" s="231"/>
      <c r="AN52" s="231"/>
      <c r="AO52" s="231"/>
    </row>
    <row r="53" spans="1:41" s="203" customFormat="1">
      <c r="A53" s="46">
        <v>9</v>
      </c>
      <c r="B53" s="90" t="s">
        <v>74</v>
      </c>
      <c r="C53" s="47"/>
      <c r="D53" s="48"/>
      <c r="E53" s="49">
        <v>685372</v>
      </c>
      <c r="F53" s="92">
        <f>F49</f>
        <v>692783.99999999988</v>
      </c>
      <c r="G53" s="45"/>
      <c r="H53" s="91">
        <f>H49</f>
        <v>712914</v>
      </c>
      <c r="I53" s="43"/>
      <c r="J53" s="231"/>
      <c r="K53" s="231"/>
      <c r="L53" s="231"/>
      <c r="M53" s="231"/>
      <c r="N53" s="231"/>
      <c r="O53" s="231"/>
      <c r="P53" s="231"/>
      <c r="Q53" s="231"/>
      <c r="R53" s="231"/>
      <c r="S53" s="231"/>
      <c r="T53" s="231"/>
      <c r="U53" s="231"/>
      <c r="V53" s="231"/>
      <c r="W53" s="231"/>
      <c r="X53" s="231"/>
      <c r="Y53" s="231"/>
      <c r="Z53" s="231"/>
      <c r="AA53" s="231"/>
      <c r="AB53" s="231"/>
      <c r="AC53" s="231"/>
      <c r="AD53" s="231"/>
      <c r="AE53" s="231"/>
      <c r="AF53" s="231"/>
      <c r="AG53" s="231"/>
      <c r="AH53" s="231"/>
      <c r="AI53" s="231"/>
      <c r="AJ53" s="231"/>
      <c r="AK53" s="231"/>
      <c r="AL53" s="231"/>
      <c r="AM53" s="231"/>
      <c r="AN53" s="231"/>
      <c r="AO53" s="231"/>
    </row>
    <row r="54" spans="1:41" s="203" customFormat="1">
      <c r="A54" s="810">
        <v>10</v>
      </c>
      <c r="B54" s="93" t="s">
        <v>255</v>
      </c>
      <c r="C54" s="94"/>
      <c r="D54" s="55"/>
      <c r="E54" s="95">
        <v>-8989</v>
      </c>
      <c r="F54" s="96">
        <f>F53-F52</f>
        <v>3814.9999999998836</v>
      </c>
      <c r="G54" s="45"/>
      <c r="H54" s="97">
        <f>H53-H52</f>
        <v>-12515</v>
      </c>
      <c r="I54" s="43"/>
      <c r="J54" s="231"/>
      <c r="K54" s="231"/>
      <c r="L54" s="231"/>
      <c r="M54" s="231"/>
      <c r="N54" s="231"/>
      <c r="O54" s="231"/>
      <c r="P54" s="231"/>
      <c r="Q54" s="231"/>
      <c r="R54" s="231"/>
      <c r="S54" s="231"/>
      <c r="T54" s="231"/>
      <c r="U54" s="231"/>
      <c r="V54" s="231"/>
      <c r="W54" s="231"/>
      <c r="X54" s="231"/>
      <c r="Y54" s="231"/>
      <c r="Z54" s="231"/>
      <c r="AA54" s="231"/>
      <c r="AB54" s="231"/>
      <c r="AC54" s="231"/>
      <c r="AD54" s="231"/>
      <c r="AE54" s="231"/>
      <c r="AF54" s="231"/>
      <c r="AG54" s="231"/>
      <c r="AH54" s="231"/>
      <c r="AI54" s="231"/>
      <c r="AJ54" s="231"/>
      <c r="AK54" s="231"/>
      <c r="AL54" s="231"/>
      <c r="AM54" s="231"/>
      <c r="AN54" s="231"/>
      <c r="AO54" s="231"/>
    </row>
    <row r="55" spans="1:41" s="203" customFormat="1">
      <c r="A55" s="83"/>
      <c r="B55" s="244"/>
      <c r="C55" s="244"/>
      <c r="D55" s="244"/>
      <c r="E55" s="85"/>
      <c r="F55" s="244"/>
      <c r="G55" s="86"/>
      <c r="H55" s="86"/>
      <c r="I55" s="21"/>
      <c r="J55" s="231"/>
      <c r="K55" s="231"/>
      <c r="L55" s="231"/>
      <c r="M55" s="231"/>
      <c r="N55" s="231"/>
      <c r="O55" s="231"/>
      <c r="P55" s="231"/>
      <c r="Q55" s="231"/>
      <c r="R55" s="231"/>
      <c r="S55" s="231"/>
      <c r="T55" s="231"/>
      <c r="U55" s="231"/>
      <c r="V55" s="231"/>
      <c r="W55" s="231"/>
      <c r="X55" s="231"/>
      <c r="Y55" s="231"/>
      <c r="Z55" s="231"/>
      <c r="AA55" s="231"/>
      <c r="AB55" s="231"/>
      <c r="AC55" s="231"/>
      <c r="AD55" s="231"/>
      <c r="AE55" s="231"/>
      <c r="AF55" s="231"/>
      <c r="AG55" s="231"/>
      <c r="AH55" s="231"/>
      <c r="AI55" s="231"/>
      <c r="AJ55" s="231"/>
      <c r="AK55" s="231"/>
      <c r="AL55" s="231"/>
      <c r="AM55" s="231"/>
      <c r="AN55" s="231"/>
      <c r="AO55" s="231"/>
    </row>
    <row r="56" spans="1:41" s="203" customFormat="1">
      <c r="A56" s="808" t="s">
        <v>75</v>
      </c>
      <c r="B56" s="69" t="s">
        <v>256</v>
      </c>
      <c r="C56" s="69"/>
      <c r="D56" s="70"/>
      <c r="E56" s="87"/>
      <c r="F56" s="88"/>
      <c r="G56" s="45"/>
      <c r="H56" s="89"/>
      <c r="I56" s="43"/>
      <c r="J56" s="231"/>
      <c r="K56" s="231"/>
      <c r="L56" s="231"/>
      <c r="M56" s="231"/>
      <c r="N56" s="231"/>
      <c r="O56" s="231"/>
      <c r="P56" s="231"/>
      <c r="Q56" s="231"/>
      <c r="R56" s="231"/>
      <c r="S56" s="231"/>
      <c r="T56" s="231"/>
      <c r="U56" s="231"/>
      <c r="V56" s="231"/>
      <c r="W56" s="231"/>
      <c r="X56" s="231"/>
      <c r="Y56" s="231"/>
      <c r="Z56" s="231"/>
      <c r="AA56" s="231"/>
      <c r="AB56" s="231"/>
      <c r="AC56" s="231"/>
      <c r="AD56" s="231"/>
      <c r="AE56" s="231"/>
      <c r="AF56" s="231"/>
      <c r="AG56" s="231"/>
      <c r="AH56" s="231"/>
      <c r="AI56" s="231"/>
      <c r="AJ56" s="231"/>
      <c r="AK56" s="231"/>
      <c r="AL56" s="231"/>
      <c r="AM56" s="231"/>
      <c r="AN56" s="231"/>
      <c r="AO56" s="231"/>
    </row>
    <row r="57" spans="1:41" s="203" customFormat="1">
      <c r="A57" s="46">
        <v>11</v>
      </c>
      <c r="B57" s="47" t="s">
        <v>76</v>
      </c>
      <c r="C57" s="47"/>
      <c r="D57" s="48"/>
      <c r="E57" s="74">
        <v>69842</v>
      </c>
      <c r="F57" s="52">
        <v>71040</v>
      </c>
      <c r="G57" s="45"/>
      <c r="H57" s="91">
        <f>F61</f>
        <v>79995.999999999884</v>
      </c>
      <c r="I57" s="43"/>
      <c r="J57" s="231"/>
      <c r="K57" s="231"/>
      <c r="L57" s="231"/>
      <c r="M57" s="231"/>
      <c r="N57" s="231"/>
      <c r="O57" s="231"/>
      <c r="P57" s="231"/>
      <c r="Q57" s="231"/>
      <c r="R57" s="231"/>
      <c r="S57" s="231"/>
      <c r="T57" s="231"/>
      <c r="U57" s="231"/>
      <c r="V57" s="231"/>
      <c r="W57" s="231"/>
      <c r="X57" s="231"/>
      <c r="Y57" s="231"/>
      <c r="Z57" s="231"/>
      <c r="AA57" s="231"/>
      <c r="AB57" s="231"/>
      <c r="AC57" s="231"/>
      <c r="AD57" s="231"/>
      <c r="AE57" s="231"/>
      <c r="AF57" s="231"/>
      <c r="AG57" s="231"/>
      <c r="AH57" s="231"/>
      <c r="AI57" s="231"/>
      <c r="AJ57" s="231"/>
      <c r="AK57" s="231"/>
      <c r="AL57" s="231"/>
      <c r="AM57" s="231"/>
      <c r="AN57" s="231"/>
      <c r="AO57" s="231"/>
    </row>
    <row r="58" spans="1:41" s="203" customFormat="1">
      <c r="A58" s="46">
        <v>12</v>
      </c>
      <c r="B58" s="90" t="s">
        <v>257</v>
      </c>
      <c r="C58" s="47"/>
      <c r="D58" s="48"/>
      <c r="E58" s="49">
        <v>-8989</v>
      </c>
      <c r="F58" s="92">
        <f>F54</f>
        <v>3814.9999999998836</v>
      </c>
      <c r="G58" s="45"/>
      <c r="H58" s="98">
        <f>H54</f>
        <v>-12515</v>
      </c>
      <c r="I58" s="43"/>
      <c r="J58" s="231"/>
      <c r="K58" s="231"/>
      <c r="L58" s="231"/>
      <c r="M58" s="231"/>
      <c r="N58" s="231"/>
      <c r="O58" s="231"/>
      <c r="P58" s="231"/>
      <c r="Q58" s="231"/>
      <c r="R58" s="231"/>
      <c r="S58" s="231"/>
      <c r="T58" s="231"/>
      <c r="U58" s="231"/>
      <c r="V58" s="231"/>
      <c r="W58" s="231"/>
      <c r="X58" s="231"/>
      <c r="Y58" s="231"/>
      <c r="Z58" s="231"/>
      <c r="AA58" s="231"/>
      <c r="AB58" s="231"/>
      <c r="AC58" s="231"/>
      <c r="AD58" s="231"/>
      <c r="AE58" s="231"/>
      <c r="AF58" s="231"/>
      <c r="AG58" s="231"/>
      <c r="AH58" s="231"/>
      <c r="AI58" s="231"/>
      <c r="AJ58" s="231"/>
      <c r="AK58" s="231"/>
      <c r="AL58" s="231"/>
      <c r="AM58" s="231"/>
      <c r="AN58" s="231"/>
      <c r="AO58" s="231"/>
    </row>
    <row r="59" spans="1:41" s="203" customFormat="1">
      <c r="A59" s="46">
        <v>13</v>
      </c>
      <c r="B59" s="47" t="s">
        <v>77</v>
      </c>
      <c r="C59" s="47"/>
      <c r="D59" s="48"/>
      <c r="E59" s="49">
        <v>0</v>
      </c>
      <c r="F59" s="52">
        <v>0</v>
      </c>
      <c r="G59" s="45"/>
      <c r="H59" s="99"/>
      <c r="I59" s="43"/>
      <c r="J59" s="231"/>
      <c r="K59" s="231"/>
      <c r="L59" s="231"/>
      <c r="M59" s="231"/>
      <c r="N59" s="231"/>
      <c r="O59" s="231"/>
      <c r="P59" s="231"/>
      <c r="Q59" s="231"/>
      <c r="R59" s="231"/>
      <c r="S59" s="231"/>
      <c r="T59" s="231"/>
      <c r="U59" s="231"/>
      <c r="V59" s="231"/>
      <c r="W59" s="231"/>
      <c r="X59" s="231"/>
      <c r="Y59" s="231"/>
      <c r="Z59" s="231"/>
      <c r="AA59" s="231"/>
      <c r="AB59" s="231"/>
      <c r="AC59" s="231"/>
      <c r="AD59" s="231"/>
      <c r="AE59" s="231"/>
      <c r="AF59" s="231"/>
      <c r="AG59" s="231"/>
      <c r="AH59" s="231"/>
      <c r="AI59" s="231"/>
      <c r="AJ59" s="231"/>
      <c r="AK59" s="231"/>
      <c r="AL59" s="231"/>
      <c r="AM59" s="231"/>
      <c r="AN59" s="231"/>
      <c r="AO59" s="231"/>
    </row>
    <row r="60" spans="1:41" s="203" customFormat="1">
      <c r="A60" s="46">
        <v>14</v>
      </c>
      <c r="B60" s="47" t="s">
        <v>78</v>
      </c>
      <c r="C60" s="47"/>
      <c r="D60" s="48"/>
      <c r="E60" s="49">
        <v>0</v>
      </c>
      <c r="F60" s="52">
        <f>5733-592</f>
        <v>5141</v>
      </c>
      <c r="G60" s="45"/>
      <c r="H60" s="100">
        <v>4000</v>
      </c>
      <c r="I60" s="43"/>
      <c r="J60" s="231"/>
      <c r="K60" s="231"/>
      <c r="L60" s="231"/>
      <c r="M60" s="231"/>
      <c r="N60" s="231"/>
      <c r="O60" s="231"/>
      <c r="P60" s="231"/>
      <c r="Q60" s="231"/>
      <c r="R60" s="231"/>
      <c r="S60" s="231"/>
      <c r="T60" s="231"/>
      <c r="U60" s="231"/>
      <c r="V60" s="231"/>
      <c r="W60" s="231"/>
      <c r="X60" s="231"/>
      <c r="Y60" s="231"/>
      <c r="Z60" s="231"/>
      <c r="AA60" s="231"/>
      <c r="AB60" s="231"/>
      <c r="AC60" s="231"/>
      <c r="AD60" s="231"/>
      <c r="AE60" s="231"/>
      <c r="AF60" s="231"/>
      <c r="AG60" s="231"/>
      <c r="AH60" s="231"/>
      <c r="AI60" s="231"/>
      <c r="AJ60" s="231"/>
      <c r="AK60" s="231"/>
      <c r="AL60" s="231"/>
      <c r="AM60" s="231"/>
      <c r="AN60" s="231"/>
      <c r="AO60" s="231"/>
    </row>
    <row r="61" spans="1:41" s="203" customFormat="1">
      <c r="A61" s="53">
        <v>15</v>
      </c>
      <c r="B61" s="54" t="s">
        <v>79</v>
      </c>
      <c r="C61" s="54"/>
      <c r="D61" s="55"/>
      <c r="E61" s="56">
        <v>60853</v>
      </c>
      <c r="F61" s="96">
        <f>F57+F58+F59+F60</f>
        <v>79995.999999999884</v>
      </c>
      <c r="G61" s="45"/>
      <c r="H61" s="101">
        <f>H57+H58+H59+H60</f>
        <v>71480.999999999884</v>
      </c>
      <c r="I61" s="43"/>
      <c r="J61" s="231"/>
      <c r="K61" s="231"/>
      <c r="L61" s="231"/>
      <c r="M61" s="231"/>
      <c r="N61" s="231"/>
      <c r="O61" s="231"/>
      <c r="P61" s="231"/>
      <c r="Q61" s="231"/>
      <c r="R61" s="231"/>
      <c r="S61" s="231"/>
      <c r="T61" s="231"/>
      <c r="U61" s="231"/>
      <c r="V61" s="231"/>
      <c r="W61" s="231"/>
      <c r="X61" s="231"/>
      <c r="Y61" s="231"/>
      <c r="Z61" s="231"/>
      <c r="AA61" s="231"/>
      <c r="AB61" s="231"/>
      <c r="AC61" s="231"/>
      <c r="AD61" s="231"/>
      <c r="AE61" s="231"/>
      <c r="AF61" s="231"/>
      <c r="AG61" s="231"/>
      <c r="AH61" s="231"/>
      <c r="AI61" s="231"/>
      <c r="AJ61" s="231"/>
      <c r="AK61" s="231"/>
      <c r="AL61" s="231"/>
      <c r="AM61" s="231"/>
      <c r="AN61" s="231"/>
      <c r="AO61" s="231"/>
    </row>
    <row r="62" spans="1:41" s="203" customFormat="1">
      <c r="A62" s="102"/>
      <c r="B62" s="207"/>
      <c r="C62" s="207"/>
      <c r="D62" s="207"/>
      <c r="E62" s="103"/>
      <c r="F62" s="21"/>
      <c r="G62" s="21"/>
      <c r="H62" s="21"/>
      <c r="I62" s="21"/>
      <c r="J62" s="231"/>
      <c r="K62" s="231"/>
      <c r="L62" s="231"/>
      <c r="M62" s="231"/>
      <c r="N62" s="231"/>
      <c r="O62" s="231"/>
      <c r="P62" s="231"/>
      <c r="Q62" s="231"/>
      <c r="R62" s="231"/>
      <c r="S62" s="231"/>
      <c r="T62" s="231"/>
      <c r="U62" s="231"/>
      <c r="V62" s="231"/>
      <c r="W62" s="231"/>
      <c r="X62" s="231"/>
      <c r="Y62" s="231"/>
      <c r="Z62" s="231"/>
      <c r="AA62" s="231"/>
      <c r="AB62" s="231"/>
      <c r="AC62" s="231"/>
      <c r="AD62" s="231"/>
      <c r="AE62" s="231"/>
      <c r="AF62" s="231"/>
      <c r="AG62" s="231"/>
      <c r="AH62" s="231"/>
      <c r="AI62" s="231"/>
      <c r="AJ62" s="231"/>
      <c r="AK62" s="231"/>
      <c r="AL62" s="231"/>
      <c r="AM62" s="231"/>
      <c r="AN62" s="231"/>
      <c r="AO62" s="231"/>
    </row>
    <row r="63" spans="1:41" s="203" customFormat="1" ht="12.75" customHeight="1">
      <c r="A63" s="23"/>
      <c r="B63" s="207"/>
      <c r="C63" s="207"/>
      <c r="D63" s="207"/>
      <c r="E63" s="15"/>
      <c r="F63" s="207"/>
      <c r="G63" s="207"/>
      <c r="H63" s="21"/>
      <c r="I63" s="21"/>
      <c r="J63" s="231"/>
      <c r="K63" s="231"/>
      <c r="L63" s="231"/>
      <c r="M63" s="231"/>
      <c r="N63" s="231"/>
      <c r="O63" s="231"/>
      <c r="P63" s="231"/>
      <c r="Q63" s="231"/>
      <c r="R63" s="231"/>
      <c r="S63" s="231"/>
      <c r="T63" s="231"/>
      <c r="U63" s="231"/>
      <c r="V63" s="231"/>
      <c r="W63" s="231"/>
      <c r="X63" s="231"/>
      <c r="Y63" s="231"/>
      <c r="Z63" s="231"/>
      <c r="AA63" s="231"/>
      <c r="AB63" s="231"/>
      <c r="AC63" s="231"/>
      <c r="AD63" s="231"/>
      <c r="AE63" s="231"/>
      <c r="AF63" s="231"/>
      <c r="AG63" s="231"/>
      <c r="AH63" s="231"/>
      <c r="AI63" s="231"/>
      <c r="AJ63" s="231"/>
      <c r="AK63" s="231"/>
      <c r="AL63" s="231"/>
      <c r="AM63" s="231"/>
      <c r="AN63" s="231"/>
      <c r="AO63" s="231"/>
    </row>
    <row r="64" spans="1:41" s="203" customFormat="1" ht="15">
      <c r="A64" s="104" t="s">
        <v>80</v>
      </c>
      <c r="B64" s="29"/>
      <c r="C64" s="29"/>
      <c r="D64" s="29"/>
      <c r="E64" s="15"/>
      <c r="F64" s="29"/>
      <c r="G64" s="29"/>
      <c r="H64" s="29"/>
      <c r="I64" s="29"/>
      <c r="J64" s="231"/>
      <c r="K64" s="231"/>
      <c r="L64" s="231"/>
      <c r="M64" s="231"/>
      <c r="N64" s="231"/>
      <c r="O64" s="231"/>
      <c r="P64" s="231"/>
      <c r="Q64" s="231"/>
      <c r="R64" s="231"/>
      <c r="S64" s="231"/>
      <c r="T64" s="231"/>
      <c r="U64" s="231"/>
      <c r="V64" s="231"/>
      <c r="W64" s="231"/>
      <c r="X64" s="231"/>
      <c r="Y64" s="231"/>
      <c r="Z64" s="231"/>
      <c r="AA64" s="231"/>
      <c r="AB64" s="231"/>
      <c r="AC64" s="231"/>
      <c r="AD64" s="231"/>
      <c r="AE64" s="231"/>
      <c r="AF64" s="231"/>
      <c r="AG64" s="231"/>
      <c r="AH64" s="231"/>
      <c r="AI64" s="231"/>
      <c r="AJ64" s="231"/>
      <c r="AK64" s="231"/>
      <c r="AL64" s="231"/>
      <c r="AM64" s="231"/>
      <c r="AN64" s="231"/>
      <c r="AO64" s="231"/>
    </row>
    <row r="65" spans="1:41" s="203" customFormat="1">
      <c r="A65" s="32"/>
      <c r="B65" s="29"/>
      <c r="C65" s="29"/>
      <c r="D65" s="29"/>
      <c r="E65" s="105"/>
      <c r="F65" s="29"/>
      <c r="G65" s="29"/>
      <c r="H65" s="29"/>
      <c r="I65" s="131" t="s">
        <v>27</v>
      </c>
      <c r="J65" s="231"/>
      <c r="K65" s="231"/>
      <c r="L65" s="231"/>
      <c r="M65" s="231"/>
      <c r="N65" s="231"/>
      <c r="O65" s="231"/>
      <c r="P65" s="231"/>
      <c r="Q65" s="231"/>
      <c r="R65" s="231"/>
      <c r="S65" s="231"/>
      <c r="T65" s="231"/>
      <c r="U65" s="231"/>
      <c r="V65" s="231"/>
      <c r="W65" s="231"/>
      <c r="X65" s="231"/>
      <c r="Y65" s="231"/>
      <c r="Z65" s="231"/>
      <c r="AA65" s="231"/>
      <c r="AB65" s="231"/>
      <c r="AC65" s="231"/>
      <c r="AD65" s="231"/>
      <c r="AE65" s="231"/>
      <c r="AF65" s="231"/>
      <c r="AG65" s="231"/>
      <c r="AH65" s="231"/>
      <c r="AI65" s="231"/>
      <c r="AJ65" s="231"/>
      <c r="AK65" s="231"/>
      <c r="AL65" s="231"/>
      <c r="AM65" s="231"/>
      <c r="AN65" s="231"/>
      <c r="AO65" s="231"/>
    </row>
    <row r="66" spans="1:41" s="203" customFormat="1" ht="12.75" customHeight="1">
      <c r="A66" s="106" t="s">
        <v>14</v>
      </c>
      <c r="B66" s="107"/>
      <c r="C66" s="107"/>
      <c r="D66" s="107"/>
      <c r="E66" s="856" t="s">
        <v>377</v>
      </c>
      <c r="F66" s="962" t="s">
        <v>402</v>
      </c>
      <c r="G66" s="867" t="s">
        <v>81</v>
      </c>
      <c r="H66" s="962" t="s">
        <v>403</v>
      </c>
      <c r="I66" s="867" t="s">
        <v>81</v>
      </c>
      <c r="J66" s="231"/>
      <c r="K66" s="231"/>
      <c r="L66" s="231"/>
      <c r="M66" s="231"/>
      <c r="N66" s="231"/>
      <c r="O66" s="231"/>
      <c r="P66" s="231"/>
      <c r="Q66" s="231"/>
      <c r="R66" s="231"/>
      <c r="S66" s="231"/>
      <c r="T66" s="231"/>
      <c r="U66" s="231"/>
      <c r="V66" s="231"/>
      <c r="W66" s="231"/>
      <c r="X66" s="231"/>
      <c r="Y66" s="231"/>
      <c r="Z66" s="231"/>
      <c r="AA66" s="231"/>
      <c r="AB66" s="231"/>
      <c r="AC66" s="231"/>
      <c r="AD66" s="231"/>
      <c r="AE66" s="231"/>
      <c r="AF66" s="231"/>
      <c r="AG66" s="231"/>
      <c r="AH66" s="231"/>
      <c r="AI66" s="231"/>
      <c r="AJ66" s="231"/>
      <c r="AK66" s="231"/>
      <c r="AL66" s="231"/>
      <c r="AM66" s="231"/>
      <c r="AN66" s="231"/>
      <c r="AO66" s="231"/>
    </row>
    <row r="67" spans="1:41" s="203" customFormat="1" ht="21" customHeight="1">
      <c r="A67" s="108"/>
      <c r="B67" s="47"/>
      <c r="C67" s="47"/>
      <c r="D67" s="47"/>
      <c r="E67" s="859"/>
      <c r="F67" s="963"/>
      <c r="G67" s="868"/>
      <c r="H67" s="963"/>
      <c r="I67" s="868"/>
      <c r="J67" s="231"/>
      <c r="K67" s="231"/>
      <c r="L67" s="231"/>
      <c r="M67" s="231"/>
      <c r="N67" s="231"/>
      <c r="O67" s="231"/>
      <c r="P67" s="231"/>
      <c r="Q67" s="231"/>
      <c r="R67" s="231"/>
      <c r="S67" s="231"/>
      <c r="T67" s="231"/>
      <c r="U67" s="231"/>
      <c r="V67" s="231"/>
      <c r="W67" s="231"/>
      <c r="X67" s="231"/>
      <c r="Y67" s="231"/>
      <c r="Z67" s="231"/>
      <c r="AA67" s="231"/>
      <c r="AB67" s="231"/>
      <c r="AC67" s="231"/>
      <c r="AD67" s="231"/>
      <c r="AE67" s="231"/>
      <c r="AF67" s="231"/>
      <c r="AG67" s="231"/>
      <c r="AH67" s="231"/>
      <c r="AI67" s="231"/>
      <c r="AJ67" s="231"/>
      <c r="AK67" s="231"/>
      <c r="AL67" s="231"/>
      <c r="AM67" s="231"/>
      <c r="AN67" s="231"/>
      <c r="AO67" s="231"/>
    </row>
    <row r="68" spans="1:41" s="203" customFormat="1">
      <c r="A68" s="109" t="s">
        <v>82</v>
      </c>
      <c r="B68" s="47"/>
      <c r="C68" s="47"/>
      <c r="D68" s="47"/>
      <c r="E68" s="859"/>
      <c r="F68" s="963"/>
      <c r="G68" s="868"/>
      <c r="H68" s="963"/>
      <c r="I68" s="868"/>
      <c r="J68" s="231"/>
      <c r="K68" s="231"/>
      <c r="L68" s="231"/>
      <c r="M68" s="231"/>
      <c r="N68" s="231"/>
      <c r="O68" s="231"/>
      <c r="P68" s="231"/>
      <c r="Q68" s="231"/>
      <c r="R68" s="231"/>
      <c r="S68" s="231"/>
      <c r="T68" s="231"/>
      <c r="U68" s="231"/>
      <c r="V68" s="231"/>
      <c r="W68" s="231"/>
      <c r="X68" s="231"/>
      <c r="Y68" s="231"/>
      <c r="Z68" s="231"/>
      <c r="AA68" s="231"/>
      <c r="AB68" s="231"/>
      <c r="AC68" s="231"/>
      <c r="AD68" s="231"/>
      <c r="AE68" s="231"/>
      <c r="AF68" s="231"/>
      <c r="AG68" s="231"/>
      <c r="AH68" s="231"/>
      <c r="AI68" s="231"/>
      <c r="AJ68" s="231"/>
      <c r="AK68" s="231"/>
      <c r="AL68" s="231"/>
      <c r="AM68" s="231"/>
      <c r="AN68" s="231"/>
      <c r="AO68" s="231"/>
    </row>
    <row r="69" spans="1:41" s="203" customFormat="1">
      <c r="A69" s="109" t="s">
        <v>83</v>
      </c>
      <c r="B69" s="47"/>
      <c r="C69" s="47"/>
      <c r="D69" s="47"/>
      <c r="E69" s="859"/>
      <c r="F69" s="963"/>
      <c r="G69" s="868"/>
      <c r="H69" s="963"/>
      <c r="I69" s="868"/>
      <c r="J69" s="231"/>
      <c r="K69" s="231"/>
      <c r="L69" s="231"/>
      <c r="M69" s="231"/>
      <c r="N69" s="231"/>
      <c r="O69" s="231"/>
      <c r="P69" s="231"/>
      <c r="Q69" s="231"/>
      <c r="R69" s="231"/>
      <c r="S69" s="231"/>
      <c r="T69" s="231"/>
      <c r="U69" s="231"/>
      <c r="V69" s="231"/>
      <c r="W69" s="231"/>
      <c r="X69" s="231"/>
      <c r="Y69" s="231"/>
      <c r="Z69" s="231"/>
      <c r="AA69" s="231"/>
      <c r="AB69" s="231"/>
      <c r="AC69" s="231"/>
      <c r="AD69" s="231"/>
      <c r="AE69" s="231"/>
      <c r="AF69" s="231"/>
      <c r="AG69" s="231"/>
      <c r="AH69" s="231"/>
      <c r="AI69" s="231"/>
      <c r="AJ69" s="231"/>
      <c r="AK69" s="231"/>
      <c r="AL69" s="231"/>
      <c r="AM69" s="231"/>
      <c r="AN69" s="231"/>
      <c r="AO69" s="231"/>
    </row>
    <row r="70" spans="1:41" s="203" customFormat="1">
      <c r="A70" s="110" t="s">
        <v>84</v>
      </c>
      <c r="B70" s="47"/>
      <c r="C70" s="47"/>
      <c r="D70" s="47"/>
      <c r="E70" s="860"/>
      <c r="F70" s="964"/>
      <c r="G70" s="869"/>
      <c r="H70" s="964"/>
      <c r="I70" s="869"/>
      <c r="J70" s="231"/>
      <c r="K70" s="231"/>
      <c r="L70" s="231"/>
      <c r="M70" s="231"/>
      <c r="N70" s="231"/>
      <c r="O70" s="231"/>
      <c r="P70" s="231"/>
      <c r="Q70" s="231"/>
      <c r="R70" s="231"/>
      <c r="S70" s="231"/>
      <c r="T70" s="231"/>
      <c r="U70" s="231"/>
      <c r="V70" s="231"/>
      <c r="W70" s="231"/>
      <c r="X70" s="231"/>
      <c r="Y70" s="231"/>
      <c r="Z70" s="231"/>
      <c r="AA70" s="231"/>
      <c r="AB70" s="231"/>
      <c r="AC70" s="231"/>
      <c r="AD70" s="231"/>
      <c r="AE70" s="231"/>
      <c r="AF70" s="231"/>
      <c r="AG70" s="231"/>
      <c r="AH70" s="231"/>
      <c r="AI70" s="231"/>
      <c r="AJ70" s="231"/>
      <c r="AK70" s="231"/>
      <c r="AL70" s="231"/>
      <c r="AM70" s="231"/>
      <c r="AN70" s="231"/>
      <c r="AO70" s="231"/>
    </row>
    <row r="71" spans="1:41" s="203" customFormat="1">
      <c r="A71" s="111">
        <v>1</v>
      </c>
      <c r="B71" s="47" t="s">
        <v>85</v>
      </c>
      <c r="C71" s="47"/>
      <c r="D71" s="47"/>
      <c r="E71" s="41">
        <v>26930</v>
      </c>
      <c r="F71" s="247">
        <v>25097</v>
      </c>
      <c r="G71" s="112"/>
      <c r="H71" s="248">
        <v>43598</v>
      </c>
      <c r="I71" s="112"/>
      <c r="J71" s="231"/>
      <c r="K71" s="231"/>
      <c r="L71" s="231"/>
      <c r="M71" s="231"/>
      <c r="N71" s="231"/>
      <c r="O71" s="231"/>
      <c r="P71" s="231"/>
      <c r="Q71" s="231"/>
      <c r="R71" s="231"/>
      <c r="S71" s="231"/>
      <c r="T71" s="231"/>
      <c r="U71" s="231"/>
      <c r="V71" s="231"/>
      <c r="W71" s="231"/>
      <c r="X71" s="231"/>
      <c r="Y71" s="231"/>
      <c r="Z71" s="231"/>
      <c r="AA71" s="231"/>
      <c r="AB71" s="231"/>
      <c r="AC71" s="231"/>
      <c r="AD71" s="231"/>
      <c r="AE71" s="231"/>
      <c r="AF71" s="231"/>
      <c r="AG71" s="231"/>
      <c r="AH71" s="231"/>
      <c r="AI71" s="231"/>
      <c r="AJ71" s="231"/>
      <c r="AK71" s="231"/>
      <c r="AL71" s="231"/>
      <c r="AM71" s="231"/>
      <c r="AN71" s="231"/>
      <c r="AO71" s="231"/>
    </row>
    <row r="72" spans="1:41" s="203" customFormat="1">
      <c r="A72" s="111">
        <v>2</v>
      </c>
      <c r="B72" s="47" t="s">
        <v>86</v>
      </c>
      <c r="C72" s="47"/>
      <c r="D72" s="47"/>
      <c r="E72" s="49">
        <v>130674</v>
      </c>
      <c r="F72" s="247">
        <v>135824</v>
      </c>
      <c r="G72" s="113">
        <v>105237</v>
      </c>
      <c r="H72" s="123">
        <v>141179</v>
      </c>
      <c r="I72" s="113">
        <v>110881</v>
      </c>
      <c r="J72" s="231"/>
      <c r="K72" s="231"/>
      <c r="L72" s="231"/>
      <c r="M72" s="231"/>
      <c r="N72" s="231"/>
      <c r="O72" s="231"/>
      <c r="P72" s="231"/>
      <c r="Q72" s="231"/>
      <c r="R72" s="231"/>
      <c r="S72" s="231"/>
      <c r="T72" s="231"/>
      <c r="U72" s="231"/>
      <c r="V72" s="231"/>
      <c r="W72" s="231"/>
      <c r="X72" s="231"/>
      <c r="Y72" s="231"/>
      <c r="Z72" s="231"/>
      <c r="AA72" s="231"/>
      <c r="AB72" s="231"/>
      <c r="AC72" s="231"/>
      <c r="AD72" s="231"/>
      <c r="AE72" s="231"/>
      <c r="AF72" s="231"/>
      <c r="AG72" s="231"/>
      <c r="AH72" s="231"/>
      <c r="AI72" s="231"/>
      <c r="AJ72" s="231"/>
      <c r="AK72" s="231"/>
      <c r="AL72" s="231"/>
      <c r="AM72" s="231"/>
      <c r="AN72" s="231"/>
      <c r="AO72" s="231"/>
    </row>
    <row r="73" spans="1:41" s="203" customFormat="1">
      <c r="A73" s="111">
        <v>3</v>
      </c>
      <c r="B73" s="47" t="s">
        <v>87</v>
      </c>
      <c r="C73" s="47"/>
      <c r="D73" s="47"/>
      <c r="E73" s="114">
        <v>124867</v>
      </c>
      <c r="F73" s="247">
        <v>120958</v>
      </c>
      <c r="G73" s="113">
        <v>98201</v>
      </c>
      <c r="H73" s="123">
        <v>126631</v>
      </c>
      <c r="I73" s="113">
        <v>104548</v>
      </c>
      <c r="J73" s="231"/>
      <c r="K73" s="231"/>
      <c r="L73" s="231"/>
      <c r="M73" s="231"/>
      <c r="N73" s="231"/>
      <c r="O73" s="231"/>
      <c r="P73" s="231"/>
      <c r="Q73" s="231"/>
      <c r="R73" s="231"/>
      <c r="S73" s="231"/>
      <c r="T73" s="231"/>
      <c r="U73" s="231"/>
      <c r="V73" s="231"/>
      <c r="W73" s="231"/>
      <c r="X73" s="231"/>
      <c r="Y73" s="231"/>
      <c r="Z73" s="231"/>
      <c r="AA73" s="231"/>
      <c r="AB73" s="231"/>
      <c r="AC73" s="231"/>
      <c r="AD73" s="231"/>
      <c r="AE73" s="231"/>
      <c r="AF73" s="231"/>
      <c r="AG73" s="231"/>
      <c r="AH73" s="231"/>
      <c r="AI73" s="231"/>
      <c r="AJ73" s="231"/>
      <c r="AK73" s="231"/>
      <c r="AL73" s="231"/>
      <c r="AM73" s="231"/>
      <c r="AN73" s="231"/>
      <c r="AO73" s="231"/>
    </row>
    <row r="74" spans="1:41" s="203" customFormat="1">
      <c r="A74" s="111">
        <v>4</v>
      </c>
      <c r="B74" s="47" t="s">
        <v>88</v>
      </c>
      <c r="C74" s="47"/>
      <c r="D74" s="47"/>
      <c r="E74" s="114">
        <v>21306</v>
      </c>
      <c r="F74" s="247">
        <v>21684</v>
      </c>
      <c r="G74" s="113">
        <v>10067</v>
      </c>
      <c r="H74" s="123">
        <v>20005</v>
      </c>
      <c r="I74" s="113">
        <v>10486</v>
      </c>
      <c r="J74" s="231"/>
      <c r="K74" s="231"/>
      <c r="L74" s="231"/>
      <c r="M74" s="231"/>
      <c r="N74" s="231"/>
      <c r="O74" s="231"/>
      <c r="P74" s="231"/>
      <c r="Q74" s="231"/>
      <c r="R74" s="231"/>
      <c r="S74" s="231"/>
      <c r="T74" s="231"/>
      <c r="U74" s="231"/>
      <c r="V74" s="231"/>
      <c r="W74" s="231"/>
      <c r="X74" s="231"/>
      <c r="Y74" s="231"/>
      <c r="Z74" s="231"/>
      <c r="AA74" s="231"/>
      <c r="AB74" s="231"/>
      <c r="AC74" s="231"/>
      <c r="AD74" s="231"/>
      <c r="AE74" s="231"/>
      <c r="AF74" s="231"/>
      <c r="AG74" s="231"/>
      <c r="AH74" s="231"/>
      <c r="AI74" s="231"/>
      <c r="AJ74" s="231"/>
      <c r="AK74" s="231"/>
      <c r="AL74" s="231"/>
      <c r="AM74" s="231"/>
      <c r="AN74" s="231"/>
      <c r="AO74" s="231"/>
    </row>
    <row r="75" spans="1:41" s="203" customFormat="1">
      <c r="A75" s="111">
        <v>5</v>
      </c>
      <c r="B75" s="47" t="s">
        <v>89</v>
      </c>
      <c r="C75" s="47" t="s">
        <v>90</v>
      </c>
      <c r="D75" s="47"/>
      <c r="E75" s="114">
        <v>3041</v>
      </c>
      <c r="F75" s="247">
        <v>3946</v>
      </c>
      <c r="G75" s="113"/>
      <c r="H75" s="123">
        <v>4824</v>
      </c>
      <c r="I75" s="113"/>
      <c r="J75" s="231"/>
      <c r="K75" s="231"/>
      <c r="L75" s="231"/>
      <c r="M75" s="231"/>
      <c r="N75" s="231"/>
      <c r="O75" s="231"/>
      <c r="P75" s="231"/>
      <c r="Q75" s="231"/>
      <c r="R75" s="231"/>
      <c r="S75" s="231"/>
      <c r="T75" s="231"/>
      <c r="U75" s="231"/>
      <c r="V75" s="231"/>
      <c r="W75" s="231"/>
      <c r="X75" s="231"/>
      <c r="Y75" s="231"/>
      <c r="Z75" s="231"/>
      <c r="AA75" s="231"/>
      <c r="AB75" s="231"/>
      <c r="AC75" s="231"/>
      <c r="AD75" s="231"/>
      <c r="AE75" s="231"/>
      <c r="AF75" s="231"/>
      <c r="AG75" s="231"/>
      <c r="AH75" s="231"/>
      <c r="AI75" s="231"/>
      <c r="AJ75" s="231"/>
      <c r="AK75" s="231"/>
      <c r="AL75" s="231"/>
      <c r="AM75" s="231"/>
      <c r="AN75" s="231"/>
      <c r="AO75" s="231"/>
    </row>
    <row r="76" spans="1:41" s="203" customFormat="1">
      <c r="A76" s="809"/>
      <c r="B76" s="811"/>
      <c r="C76" s="47" t="s">
        <v>91</v>
      </c>
      <c r="D76" s="47"/>
      <c r="E76" s="114">
        <v>11057</v>
      </c>
      <c r="F76" s="247">
        <v>11594</v>
      </c>
      <c r="G76" s="115"/>
      <c r="H76" s="249">
        <v>7872</v>
      </c>
      <c r="I76" s="115"/>
      <c r="J76" s="231"/>
      <c r="K76" s="231"/>
      <c r="L76" s="231"/>
      <c r="M76" s="231"/>
      <c r="N76" s="231"/>
      <c r="O76" s="231"/>
      <c r="P76" s="231"/>
      <c r="Q76" s="231"/>
      <c r="R76" s="231"/>
      <c r="S76" s="231"/>
      <c r="T76" s="231"/>
      <c r="U76" s="231"/>
      <c r="V76" s="231"/>
      <c r="W76" s="231"/>
      <c r="X76" s="231"/>
      <c r="Y76" s="231"/>
      <c r="Z76" s="231"/>
      <c r="AA76" s="231"/>
      <c r="AB76" s="231"/>
      <c r="AC76" s="231"/>
      <c r="AD76" s="231"/>
      <c r="AE76" s="231"/>
      <c r="AF76" s="231"/>
      <c r="AG76" s="231"/>
      <c r="AH76" s="231"/>
      <c r="AI76" s="231"/>
      <c r="AJ76" s="231"/>
      <c r="AK76" s="231"/>
      <c r="AL76" s="231"/>
      <c r="AM76" s="231"/>
      <c r="AN76" s="231"/>
      <c r="AO76" s="231"/>
    </row>
    <row r="77" spans="1:41" s="203" customFormat="1">
      <c r="A77" s="111">
        <v>6</v>
      </c>
      <c r="B77" s="116" t="s">
        <v>92</v>
      </c>
      <c r="C77" s="116"/>
      <c r="D77" s="47"/>
      <c r="E77" s="80">
        <v>317875</v>
      </c>
      <c r="F77" s="250">
        <f>SUM(F71:F76)</f>
        <v>319103</v>
      </c>
      <c r="G77" s="251">
        <f>SUM(G71:G76)</f>
        <v>213505</v>
      </c>
      <c r="H77" s="252">
        <f>SUM(H71:H76)</f>
        <v>344109</v>
      </c>
      <c r="I77" s="251">
        <f>SUM(I71:I76)</f>
        <v>225915</v>
      </c>
      <c r="J77" s="231"/>
      <c r="K77" s="231"/>
      <c r="L77" s="231"/>
      <c r="M77" s="231"/>
      <c r="N77" s="231"/>
      <c r="O77" s="231"/>
      <c r="P77" s="231"/>
      <c r="Q77" s="231"/>
      <c r="R77" s="231"/>
      <c r="S77" s="231"/>
      <c r="T77" s="231"/>
      <c r="U77" s="231"/>
      <c r="V77" s="231"/>
      <c r="W77" s="231"/>
      <c r="X77" s="231"/>
      <c r="Y77" s="231"/>
      <c r="Z77" s="231"/>
      <c r="AA77" s="231"/>
      <c r="AB77" s="231"/>
      <c r="AC77" s="231"/>
      <c r="AD77" s="231"/>
      <c r="AE77" s="231"/>
      <c r="AF77" s="231"/>
      <c r="AG77" s="231"/>
      <c r="AH77" s="231"/>
      <c r="AI77" s="231"/>
      <c r="AJ77" s="231"/>
      <c r="AK77" s="231"/>
      <c r="AL77" s="231"/>
      <c r="AM77" s="231"/>
      <c r="AN77" s="231"/>
      <c r="AO77" s="231"/>
    </row>
    <row r="78" spans="1:41" s="203" customFormat="1">
      <c r="A78" s="809"/>
      <c r="B78" s="47"/>
      <c r="C78" s="47"/>
      <c r="D78" s="47"/>
      <c r="E78" s="117"/>
      <c r="F78" s="118"/>
      <c r="G78" s="118"/>
      <c r="H78" s="118"/>
      <c r="I78" s="118"/>
      <c r="J78" s="231"/>
      <c r="K78" s="231"/>
      <c r="L78" s="231"/>
      <c r="M78" s="231"/>
      <c r="N78" s="231"/>
      <c r="O78" s="231"/>
      <c r="P78" s="231"/>
      <c r="Q78" s="231"/>
      <c r="R78" s="231"/>
      <c r="S78" s="231"/>
      <c r="T78" s="231"/>
      <c r="U78" s="231"/>
      <c r="V78" s="231"/>
      <c r="W78" s="231"/>
      <c r="X78" s="231"/>
      <c r="Y78" s="231"/>
      <c r="Z78" s="231"/>
      <c r="AA78" s="231"/>
      <c r="AB78" s="231"/>
      <c r="AC78" s="231"/>
      <c r="AD78" s="231"/>
      <c r="AE78" s="231"/>
      <c r="AF78" s="231"/>
      <c r="AG78" s="231"/>
      <c r="AH78" s="231"/>
      <c r="AI78" s="231"/>
      <c r="AJ78" s="231"/>
      <c r="AK78" s="231"/>
      <c r="AL78" s="231"/>
      <c r="AM78" s="231"/>
      <c r="AN78" s="231"/>
      <c r="AO78" s="231"/>
    </row>
    <row r="79" spans="1:41" s="203" customFormat="1">
      <c r="A79" s="119" t="s">
        <v>93</v>
      </c>
      <c r="B79" s="116"/>
      <c r="C79" s="116"/>
      <c r="D79" s="116"/>
      <c r="E79" s="117"/>
      <c r="F79" s="118"/>
      <c r="G79" s="118"/>
      <c r="H79" s="118"/>
      <c r="I79" s="118"/>
      <c r="J79" s="231"/>
      <c r="K79" s="231"/>
      <c r="L79" s="231"/>
      <c r="M79" s="231"/>
      <c r="N79" s="231"/>
      <c r="O79" s="231"/>
      <c r="P79" s="231"/>
      <c r="Q79" s="231"/>
      <c r="R79" s="231"/>
      <c r="S79" s="231"/>
      <c r="T79" s="231"/>
      <c r="U79" s="231"/>
      <c r="V79" s="231"/>
      <c r="W79" s="231"/>
      <c r="X79" s="231"/>
      <c r="Y79" s="231"/>
      <c r="Z79" s="231"/>
      <c r="AA79" s="231"/>
      <c r="AB79" s="231"/>
      <c r="AC79" s="231"/>
      <c r="AD79" s="231"/>
      <c r="AE79" s="231"/>
      <c r="AF79" s="231"/>
      <c r="AG79" s="231"/>
      <c r="AH79" s="231"/>
      <c r="AI79" s="231"/>
      <c r="AJ79" s="231"/>
      <c r="AK79" s="231"/>
      <c r="AL79" s="231"/>
      <c r="AM79" s="231"/>
      <c r="AN79" s="231"/>
      <c r="AO79" s="231"/>
    </row>
    <row r="80" spans="1:41" s="203" customFormat="1">
      <c r="A80" s="120">
        <v>7</v>
      </c>
      <c r="B80" s="47" t="s">
        <v>94</v>
      </c>
      <c r="C80" s="47"/>
      <c r="D80" s="47"/>
      <c r="E80" s="41">
        <v>3263</v>
      </c>
      <c r="F80" s="253">
        <v>3645</v>
      </c>
      <c r="G80" s="112"/>
      <c r="H80" s="248">
        <v>3483</v>
      </c>
      <c r="I80" s="112"/>
      <c r="J80" s="231"/>
      <c r="K80" s="231"/>
      <c r="L80" s="231"/>
      <c r="M80" s="231"/>
      <c r="N80" s="231"/>
      <c r="O80" s="231"/>
      <c r="P80" s="231"/>
      <c r="Q80" s="231"/>
      <c r="R80" s="231"/>
      <c r="S80" s="231"/>
      <c r="T80" s="231"/>
      <c r="U80" s="231"/>
      <c r="V80" s="231"/>
      <c r="W80" s="231"/>
      <c r="X80" s="231"/>
      <c r="Y80" s="231"/>
      <c r="Z80" s="231"/>
      <c r="AA80" s="231"/>
      <c r="AB80" s="231"/>
      <c r="AC80" s="231"/>
      <c r="AD80" s="231"/>
      <c r="AE80" s="231"/>
      <c r="AF80" s="231"/>
      <c r="AG80" s="231"/>
      <c r="AH80" s="231"/>
      <c r="AI80" s="231"/>
      <c r="AJ80" s="231"/>
      <c r="AK80" s="231"/>
      <c r="AL80" s="231"/>
      <c r="AM80" s="231"/>
      <c r="AN80" s="231"/>
      <c r="AO80" s="231"/>
    </row>
    <row r="81" spans="1:41" s="203" customFormat="1">
      <c r="A81" s="120">
        <v>8</v>
      </c>
      <c r="B81" s="47" t="s">
        <v>95</v>
      </c>
      <c r="C81" s="47"/>
      <c r="D81" s="47"/>
      <c r="E81" s="49">
        <v>73547</v>
      </c>
      <c r="F81" s="247">
        <v>76543</v>
      </c>
      <c r="G81" s="113"/>
      <c r="H81" s="123">
        <v>77700</v>
      </c>
      <c r="I81" s="113"/>
      <c r="J81" s="231"/>
      <c r="K81" s="231"/>
      <c r="L81" s="231"/>
      <c r="M81" s="231"/>
      <c r="N81" s="231"/>
      <c r="O81" s="231"/>
      <c r="P81" s="231"/>
      <c r="Q81" s="231"/>
      <c r="R81" s="231"/>
      <c r="S81" s="231"/>
      <c r="T81" s="231"/>
      <c r="U81" s="231"/>
      <c r="V81" s="231"/>
      <c r="W81" s="231"/>
      <c r="X81" s="231"/>
      <c r="Y81" s="231"/>
      <c r="Z81" s="231"/>
      <c r="AA81" s="231"/>
      <c r="AB81" s="231"/>
      <c r="AC81" s="231"/>
      <c r="AD81" s="231"/>
      <c r="AE81" s="231"/>
      <c r="AF81" s="231"/>
      <c r="AG81" s="231"/>
      <c r="AH81" s="231"/>
      <c r="AI81" s="231"/>
      <c r="AJ81" s="231"/>
      <c r="AK81" s="231"/>
      <c r="AL81" s="231"/>
      <c r="AM81" s="231"/>
      <c r="AN81" s="231"/>
      <c r="AO81" s="231"/>
    </row>
    <row r="82" spans="1:41" s="203" customFormat="1">
      <c r="A82" s="120">
        <v>9</v>
      </c>
      <c r="B82" s="47" t="s">
        <v>96</v>
      </c>
      <c r="C82" s="47"/>
      <c r="D82" s="47"/>
      <c r="E82" s="49">
        <v>79795</v>
      </c>
      <c r="F82" s="247">
        <v>79874</v>
      </c>
      <c r="G82" s="113"/>
      <c r="H82" s="123">
        <v>84106</v>
      </c>
      <c r="I82" s="113"/>
      <c r="J82" s="231"/>
      <c r="K82" s="231"/>
      <c r="L82" s="231"/>
      <c r="M82" s="231"/>
      <c r="N82" s="231"/>
      <c r="O82" s="231"/>
      <c r="P82" s="231"/>
      <c r="Q82" s="231"/>
      <c r="R82" s="231"/>
      <c r="S82" s="231"/>
      <c r="T82" s="231"/>
      <c r="U82" s="231"/>
      <c r="V82" s="231"/>
      <c r="W82" s="231"/>
      <c r="X82" s="231"/>
      <c r="Y82" s="231"/>
      <c r="Z82" s="231"/>
      <c r="AA82" s="231"/>
      <c r="AB82" s="231"/>
      <c r="AC82" s="231"/>
      <c r="AD82" s="231"/>
      <c r="AE82" s="231"/>
      <c r="AF82" s="231"/>
      <c r="AG82" s="231"/>
      <c r="AH82" s="231"/>
      <c r="AI82" s="231"/>
      <c r="AJ82" s="231"/>
      <c r="AK82" s="231"/>
      <c r="AL82" s="231"/>
      <c r="AM82" s="231"/>
      <c r="AN82" s="231"/>
      <c r="AO82" s="231"/>
    </row>
    <row r="83" spans="1:41" s="203" customFormat="1">
      <c r="A83" s="120">
        <v>10</v>
      </c>
      <c r="B83" s="90" t="s">
        <v>97</v>
      </c>
      <c r="C83" s="47"/>
      <c r="D83" s="47"/>
      <c r="E83" s="49">
        <v>18777</v>
      </c>
      <c r="F83" s="247">
        <v>36548</v>
      </c>
      <c r="G83" s="113"/>
      <c r="H83" s="123">
        <v>34787</v>
      </c>
      <c r="I83" s="113"/>
      <c r="J83" s="231"/>
      <c r="K83" s="231"/>
      <c r="L83" s="231"/>
      <c r="M83" s="231"/>
      <c r="N83" s="231"/>
      <c r="O83" s="231"/>
      <c r="P83" s="231"/>
      <c r="Q83" s="231"/>
      <c r="R83" s="231"/>
      <c r="S83" s="231"/>
      <c r="T83" s="231"/>
      <c r="U83" s="231"/>
      <c r="V83" s="231"/>
      <c r="W83" s="231"/>
      <c r="X83" s="231"/>
      <c r="Y83" s="231"/>
      <c r="Z83" s="231"/>
      <c r="AA83" s="231"/>
      <c r="AB83" s="231"/>
      <c r="AC83" s="231"/>
      <c r="AD83" s="231"/>
      <c r="AE83" s="231"/>
      <c r="AF83" s="231"/>
      <c r="AG83" s="231"/>
      <c r="AH83" s="231"/>
      <c r="AI83" s="231"/>
      <c r="AJ83" s="231"/>
      <c r="AK83" s="231"/>
      <c r="AL83" s="231"/>
      <c r="AM83" s="231"/>
      <c r="AN83" s="231"/>
      <c r="AO83" s="231"/>
    </row>
    <row r="84" spans="1:41" s="203" customFormat="1">
      <c r="A84" s="120">
        <v>11</v>
      </c>
      <c r="B84" s="90" t="s">
        <v>98</v>
      </c>
      <c r="C84" s="47"/>
      <c r="D84" s="47"/>
      <c r="E84" s="49">
        <v>8757</v>
      </c>
      <c r="F84" s="247">
        <v>10653</v>
      </c>
      <c r="G84" s="113"/>
      <c r="H84" s="123">
        <v>9507</v>
      </c>
      <c r="I84" s="113"/>
      <c r="J84" s="231"/>
      <c r="K84" s="231"/>
      <c r="L84" s="231"/>
      <c r="M84" s="231"/>
      <c r="N84" s="231"/>
      <c r="O84" s="231"/>
      <c r="P84" s="231"/>
      <c r="Q84" s="231"/>
      <c r="R84" s="231"/>
      <c r="S84" s="231"/>
      <c r="T84" s="231"/>
      <c r="U84" s="231"/>
      <c r="V84" s="231"/>
      <c r="W84" s="231"/>
      <c r="X84" s="231"/>
      <c r="Y84" s="231"/>
      <c r="Z84" s="231"/>
      <c r="AA84" s="231"/>
      <c r="AB84" s="231"/>
      <c r="AC84" s="231"/>
      <c r="AD84" s="231"/>
      <c r="AE84" s="231"/>
      <c r="AF84" s="231"/>
      <c r="AG84" s="231"/>
      <c r="AH84" s="231"/>
      <c r="AI84" s="231"/>
      <c r="AJ84" s="231"/>
      <c r="AK84" s="231"/>
      <c r="AL84" s="231"/>
      <c r="AM84" s="231"/>
      <c r="AN84" s="231"/>
      <c r="AO84" s="231"/>
    </row>
    <row r="85" spans="1:41" s="203" customFormat="1">
      <c r="A85" s="120">
        <v>12</v>
      </c>
      <c r="B85" s="47" t="s">
        <v>99</v>
      </c>
      <c r="C85" s="47"/>
      <c r="D85" s="47"/>
      <c r="E85" s="49">
        <v>9402</v>
      </c>
      <c r="F85" s="247">
        <v>11204</v>
      </c>
      <c r="G85" s="113"/>
      <c r="H85" s="123">
        <v>11329</v>
      </c>
      <c r="I85" s="113"/>
      <c r="J85" s="231"/>
      <c r="K85" s="231"/>
      <c r="L85" s="231"/>
      <c r="M85" s="231"/>
      <c r="N85" s="231"/>
      <c r="O85" s="231"/>
      <c r="P85" s="231"/>
      <c r="Q85" s="231"/>
      <c r="R85" s="231"/>
      <c r="S85" s="231"/>
      <c r="T85" s="231"/>
      <c r="U85" s="231"/>
      <c r="V85" s="231"/>
      <c r="W85" s="231"/>
      <c r="X85" s="231"/>
      <c r="Y85" s="231"/>
      <c r="Z85" s="231"/>
      <c r="AA85" s="231"/>
      <c r="AB85" s="231"/>
      <c r="AC85" s="231"/>
      <c r="AD85" s="231"/>
      <c r="AE85" s="231"/>
      <c r="AF85" s="231"/>
      <c r="AG85" s="231"/>
      <c r="AH85" s="231"/>
      <c r="AI85" s="231"/>
      <c r="AJ85" s="231"/>
      <c r="AK85" s="231"/>
      <c r="AL85" s="231"/>
      <c r="AM85" s="231"/>
      <c r="AN85" s="231"/>
      <c r="AO85" s="231"/>
    </row>
    <row r="86" spans="1:41" s="203" customFormat="1">
      <c r="A86" s="120">
        <v>13</v>
      </c>
      <c r="B86" s="47" t="s">
        <v>100</v>
      </c>
      <c r="C86" s="47"/>
      <c r="D86" s="47"/>
      <c r="E86" s="49">
        <v>41060</v>
      </c>
      <c r="F86" s="247">
        <v>41282</v>
      </c>
      <c r="G86" s="113"/>
      <c r="H86" s="123">
        <v>42389</v>
      </c>
      <c r="I86" s="113"/>
      <c r="J86" s="231"/>
      <c r="K86" s="231"/>
      <c r="L86" s="231"/>
      <c r="M86" s="231"/>
      <c r="N86" s="231"/>
      <c r="O86" s="231"/>
      <c r="P86" s="231"/>
      <c r="Q86" s="231"/>
      <c r="R86" s="231"/>
      <c r="S86" s="231"/>
      <c r="T86" s="231"/>
      <c r="U86" s="231"/>
      <c r="V86" s="231"/>
      <c r="W86" s="231"/>
      <c r="X86" s="231"/>
      <c r="Y86" s="231"/>
      <c r="Z86" s="231"/>
      <c r="AA86" s="231"/>
      <c r="AB86" s="231"/>
      <c r="AC86" s="231"/>
      <c r="AD86" s="231"/>
      <c r="AE86" s="231"/>
      <c r="AF86" s="231"/>
      <c r="AG86" s="231"/>
      <c r="AH86" s="231"/>
      <c r="AI86" s="231"/>
      <c r="AJ86" s="231"/>
      <c r="AK86" s="231"/>
      <c r="AL86" s="231"/>
      <c r="AM86" s="231"/>
      <c r="AN86" s="231"/>
      <c r="AO86" s="231"/>
    </row>
    <row r="87" spans="1:41" s="203" customFormat="1">
      <c r="A87" s="120">
        <v>14</v>
      </c>
      <c r="B87" s="47" t="s">
        <v>101</v>
      </c>
      <c r="C87" s="47"/>
      <c r="D87" s="47"/>
      <c r="E87" s="49">
        <v>0</v>
      </c>
      <c r="F87" s="247"/>
      <c r="G87" s="113"/>
      <c r="H87" s="123">
        <v>0</v>
      </c>
      <c r="I87" s="113"/>
      <c r="J87" s="231"/>
      <c r="K87" s="231"/>
      <c r="L87" s="231"/>
      <c r="M87" s="231"/>
      <c r="N87" s="231"/>
      <c r="O87" s="231"/>
      <c r="P87" s="231"/>
      <c r="Q87" s="231"/>
      <c r="R87" s="231"/>
      <c r="S87" s="231"/>
      <c r="T87" s="231"/>
      <c r="U87" s="231"/>
      <c r="V87" s="231"/>
      <c r="W87" s="231"/>
      <c r="X87" s="231"/>
      <c r="Y87" s="231"/>
      <c r="Z87" s="231"/>
      <c r="AA87" s="231"/>
      <c r="AB87" s="231"/>
      <c r="AC87" s="231"/>
      <c r="AD87" s="231"/>
      <c r="AE87" s="231"/>
      <c r="AF87" s="231"/>
      <c r="AG87" s="231"/>
      <c r="AH87" s="231"/>
      <c r="AI87" s="231"/>
      <c r="AJ87" s="231"/>
      <c r="AK87" s="231"/>
      <c r="AL87" s="231"/>
      <c r="AM87" s="231"/>
      <c r="AN87" s="231"/>
      <c r="AO87" s="231"/>
    </row>
    <row r="88" spans="1:41" s="203" customFormat="1">
      <c r="A88" s="124">
        <v>15</v>
      </c>
      <c r="B88" s="125" t="s">
        <v>102</v>
      </c>
      <c r="C88" s="54"/>
      <c r="D88" s="54"/>
      <c r="E88" s="56">
        <v>0</v>
      </c>
      <c r="F88" s="254"/>
      <c r="G88" s="127"/>
      <c r="H88" s="255">
        <v>0</v>
      </c>
      <c r="I88" s="127"/>
      <c r="J88" s="231"/>
      <c r="K88" s="231"/>
      <c r="L88" s="231"/>
      <c r="M88" s="231"/>
      <c r="N88" s="231"/>
      <c r="O88" s="231"/>
      <c r="P88" s="231"/>
      <c r="Q88" s="231"/>
      <c r="R88" s="231"/>
      <c r="S88" s="231"/>
      <c r="T88" s="231"/>
      <c r="U88" s="231"/>
      <c r="V88" s="231"/>
      <c r="W88" s="231"/>
      <c r="X88" s="231"/>
      <c r="Y88" s="231"/>
      <c r="Z88" s="231"/>
      <c r="AA88" s="231"/>
      <c r="AB88" s="231"/>
      <c r="AC88" s="231"/>
      <c r="AD88" s="231"/>
      <c r="AE88" s="231"/>
      <c r="AF88" s="231"/>
      <c r="AG88" s="231"/>
      <c r="AH88" s="231"/>
      <c r="AI88" s="231"/>
      <c r="AJ88" s="231"/>
      <c r="AK88" s="231"/>
      <c r="AL88" s="231"/>
      <c r="AM88" s="231"/>
      <c r="AN88" s="231"/>
      <c r="AO88" s="231"/>
    </row>
    <row r="89" spans="1:41" s="203" customFormat="1">
      <c r="A89" s="128"/>
      <c r="B89" s="129"/>
      <c r="C89" s="129"/>
      <c r="D89" s="129"/>
      <c r="E89" s="15"/>
      <c r="F89" s="130"/>
      <c r="G89" s="29"/>
      <c r="H89" s="207"/>
      <c r="I89" s="29"/>
      <c r="J89" s="231"/>
      <c r="K89" s="231"/>
      <c r="L89" s="231"/>
      <c r="M89" s="231"/>
      <c r="N89" s="231"/>
      <c r="O89" s="231"/>
      <c r="P89" s="231"/>
      <c r="Q89" s="231"/>
      <c r="R89" s="231"/>
      <c r="S89" s="231"/>
      <c r="T89" s="231"/>
      <c r="U89" s="231"/>
      <c r="V89" s="231"/>
      <c r="W89" s="231"/>
      <c r="X89" s="231"/>
      <c r="Y89" s="231"/>
      <c r="Z89" s="231"/>
      <c r="AA89" s="231"/>
      <c r="AB89" s="231"/>
      <c r="AC89" s="231"/>
      <c r="AD89" s="231"/>
      <c r="AE89" s="231"/>
      <c r="AF89" s="231"/>
      <c r="AG89" s="231"/>
      <c r="AH89" s="231"/>
      <c r="AI89" s="231"/>
      <c r="AJ89" s="231"/>
      <c r="AK89" s="231"/>
      <c r="AL89" s="231"/>
      <c r="AM89" s="231"/>
      <c r="AN89" s="231"/>
      <c r="AO89" s="231"/>
    </row>
    <row r="90" spans="1:41" s="203" customFormat="1">
      <c r="A90" s="128"/>
      <c r="B90" s="129"/>
      <c r="C90" s="129"/>
      <c r="D90" s="129"/>
      <c r="E90" s="105"/>
      <c r="F90" s="130"/>
      <c r="G90" s="29"/>
      <c r="H90" s="131" t="s">
        <v>27</v>
      </c>
      <c r="I90" s="29"/>
      <c r="J90" s="231"/>
      <c r="K90" s="231"/>
      <c r="L90" s="231"/>
      <c r="M90" s="231"/>
      <c r="N90" s="231"/>
      <c r="O90" s="231"/>
      <c r="P90" s="231"/>
      <c r="Q90" s="231"/>
      <c r="R90" s="231"/>
      <c r="S90" s="231"/>
      <c r="T90" s="231"/>
      <c r="U90" s="231"/>
      <c r="V90" s="231"/>
      <c r="W90" s="231"/>
      <c r="X90" s="231"/>
      <c r="Y90" s="231"/>
      <c r="Z90" s="231"/>
      <c r="AA90" s="231"/>
      <c r="AB90" s="231"/>
      <c r="AC90" s="231"/>
      <c r="AD90" s="231"/>
      <c r="AE90" s="231"/>
      <c r="AF90" s="231"/>
      <c r="AG90" s="231"/>
      <c r="AH90" s="231"/>
      <c r="AI90" s="231"/>
      <c r="AJ90" s="231"/>
      <c r="AK90" s="231"/>
      <c r="AL90" s="231"/>
      <c r="AM90" s="231"/>
      <c r="AN90" s="231"/>
      <c r="AO90" s="231"/>
    </row>
    <row r="91" spans="1:41" s="203" customFormat="1">
      <c r="A91" s="106" t="s">
        <v>17</v>
      </c>
      <c r="B91" s="107"/>
      <c r="C91" s="107"/>
      <c r="D91" s="107"/>
      <c r="E91" s="856" t="s">
        <v>421</v>
      </c>
      <c r="F91" s="856" t="s">
        <v>402</v>
      </c>
      <c r="G91" s="257"/>
      <c r="H91" s="856" t="s">
        <v>403</v>
      </c>
      <c r="I91" s="29"/>
      <c r="J91" s="231"/>
      <c r="K91" s="231"/>
      <c r="L91" s="231"/>
      <c r="M91" s="231"/>
      <c r="N91" s="231"/>
      <c r="O91" s="231"/>
      <c r="P91" s="231"/>
      <c r="Q91" s="231"/>
      <c r="R91" s="231"/>
      <c r="S91" s="231"/>
      <c r="T91" s="231"/>
      <c r="U91" s="231"/>
      <c r="V91" s="231"/>
      <c r="W91" s="231"/>
      <c r="X91" s="231"/>
      <c r="Y91" s="231"/>
      <c r="Z91" s="231"/>
      <c r="AA91" s="231"/>
      <c r="AB91" s="231"/>
      <c r="AC91" s="231"/>
      <c r="AD91" s="231"/>
      <c r="AE91" s="231"/>
      <c r="AF91" s="231"/>
      <c r="AG91" s="231"/>
      <c r="AH91" s="231"/>
      <c r="AI91" s="231"/>
      <c r="AJ91" s="231"/>
      <c r="AK91" s="231"/>
      <c r="AL91" s="231"/>
      <c r="AM91" s="231"/>
      <c r="AN91" s="231"/>
      <c r="AO91" s="231"/>
    </row>
    <row r="92" spans="1:41" s="203" customFormat="1" ht="12.75" customHeight="1">
      <c r="A92" s="109"/>
      <c r="B92" s="132"/>
      <c r="C92" s="132"/>
      <c r="D92" s="132"/>
      <c r="E92" s="859"/>
      <c r="F92" s="859"/>
      <c r="G92" s="29"/>
      <c r="H92" s="859"/>
      <c r="I92" s="29"/>
      <c r="J92" s="231"/>
      <c r="K92" s="231"/>
      <c r="L92" s="231"/>
      <c r="M92" s="231"/>
      <c r="N92" s="231"/>
      <c r="O92" s="231"/>
      <c r="P92" s="231"/>
      <c r="Q92" s="231"/>
      <c r="R92" s="231"/>
      <c r="S92" s="231"/>
      <c r="T92" s="231"/>
      <c r="U92" s="231"/>
      <c r="V92" s="231"/>
      <c r="W92" s="231"/>
      <c r="X92" s="231"/>
      <c r="Y92" s="231"/>
      <c r="Z92" s="231"/>
      <c r="AA92" s="231"/>
      <c r="AB92" s="231"/>
      <c r="AC92" s="231"/>
      <c r="AD92" s="231"/>
      <c r="AE92" s="231"/>
      <c r="AF92" s="231"/>
      <c r="AG92" s="231"/>
      <c r="AH92" s="231"/>
      <c r="AI92" s="231"/>
      <c r="AJ92" s="231"/>
      <c r="AK92" s="231"/>
      <c r="AL92" s="231"/>
      <c r="AM92" s="231"/>
      <c r="AN92" s="231"/>
      <c r="AO92" s="231"/>
    </row>
    <row r="93" spans="1:41" s="203" customFormat="1">
      <c r="A93" s="109" t="s">
        <v>103</v>
      </c>
      <c r="B93" s="132"/>
      <c r="C93" s="132"/>
      <c r="D93" s="132"/>
      <c r="E93" s="859"/>
      <c r="F93" s="859"/>
      <c r="G93" s="29"/>
      <c r="H93" s="859"/>
      <c r="I93" s="29"/>
      <c r="J93" s="231"/>
      <c r="K93" s="231"/>
      <c r="L93" s="231"/>
      <c r="M93" s="231"/>
      <c r="N93" s="231"/>
      <c r="O93" s="231"/>
      <c r="P93" s="231"/>
      <c r="Q93" s="231"/>
      <c r="R93" s="231"/>
      <c r="S93" s="231"/>
      <c r="T93" s="231"/>
      <c r="U93" s="231"/>
      <c r="V93" s="231"/>
      <c r="W93" s="231"/>
      <c r="X93" s="231"/>
      <c r="Y93" s="231"/>
      <c r="Z93" s="231"/>
      <c r="AA93" s="231"/>
      <c r="AB93" s="231"/>
      <c r="AC93" s="231"/>
      <c r="AD93" s="231"/>
      <c r="AE93" s="231"/>
      <c r="AF93" s="231"/>
      <c r="AG93" s="231"/>
      <c r="AH93" s="231"/>
      <c r="AI93" s="231"/>
      <c r="AJ93" s="231"/>
      <c r="AK93" s="231"/>
      <c r="AL93" s="231"/>
      <c r="AM93" s="231"/>
      <c r="AN93" s="231"/>
      <c r="AO93" s="231"/>
    </row>
    <row r="94" spans="1:41" s="203" customFormat="1">
      <c r="A94" s="109" t="s">
        <v>83</v>
      </c>
      <c r="B94" s="132"/>
      <c r="C94" s="132"/>
      <c r="D94" s="132"/>
      <c r="E94" s="859"/>
      <c r="F94" s="859"/>
      <c r="G94" s="130"/>
      <c r="H94" s="859"/>
      <c r="I94" s="29"/>
      <c r="J94" s="231"/>
      <c r="K94" s="231"/>
      <c r="L94" s="231"/>
      <c r="M94" s="231"/>
      <c r="N94" s="231"/>
      <c r="O94" s="231"/>
      <c r="P94" s="231"/>
      <c r="Q94" s="231"/>
      <c r="R94" s="231"/>
      <c r="S94" s="231"/>
      <c r="T94" s="231"/>
      <c r="U94" s="231"/>
      <c r="V94" s="231"/>
      <c r="W94" s="231"/>
      <c r="X94" s="231"/>
      <c r="Y94" s="231"/>
      <c r="Z94" s="231"/>
      <c r="AA94" s="231"/>
      <c r="AB94" s="231"/>
      <c r="AC94" s="231"/>
      <c r="AD94" s="231"/>
      <c r="AE94" s="231"/>
      <c r="AF94" s="231"/>
      <c r="AG94" s="231"/>
      <c r="AH94" s="231"/>
      <c r="AI94" s="231"/>
      <c r="AJ94" s="231"/>
      <c r="AK94" s="231"/>
      <c r="AL94" s="231"/>
      <c r="AM94" s="231"/>
      <c r="AN94" s="231"/>
      <c r="AO94" s="231"/>
    </row>
    <row r="95" spans="1:41" s="203" customFormat="1">
      <c r="A95" s="110" t="s">
        <v>84</v>
      </c>
      <c r="B95" s="132"/>
      <c r="C95" s="132"/>
      <c r="D95" s="132"/>
      <c r="E95" s="860"/>
      <c r="F95" s="860"/>
      <c r="G95" s="130"/>
      <c r="H95" s="860"/>
      <c r="I95" s="130"/>
      <c r="J95" s="231"/>
      <c r="K95" s="231"/>
      <c r="L95" s="231"/>
      <c r="M95" s="231"/>
      <c r="N95" s="231"/>
      <c r="O95" s="231"/>
      <c r="P95" s="231"/>
      <c r="Q95" s="231"/>
      <c r="R95" s="231"/>
      <c r="S95" s="231"/>
      <c r="T95" s="231"/>
      <c r="U95" s="231"/>
      <c r="V95" s="231"/>
      <c r="W95" s="231"/>
      <c r="X95" s="231"/>
      <c r="Y95" s="231"/>
      <c r="Z95" s="231"/>
      <c r="AA95" s="231"/>
      <c r="AB95" s="231"/>
      <c r="AC95" s="231"/>
      <c r="AD95" s="231"/>
      <c r="AE95" s="231"/>
      <c r="AF95" s="231"/>
      <c r="AG95" s="231"/>
      <c r="AH95" s="231"/>
      <c r="AI95" s="231"/>
      <c r="AJ95" s="231"/>
      <c r="AK95" s="231"/>
      <c r="AL95" s="231"/>
      <c r="AM95" s="231"/>
      <c r="AN95" s="231"/>
      <c r="AO95" s="231"/>
    </row>
    <row r="96" spans="1:41" s="203" customFormat="1">
      <c r="A96" s="120">
        <v>1</v>
      </c>
      <c r="B96" s="47" t="s">
        <v>104</v>
      </c>
      <c r="C96" s="47"/>
      <c r="D96" s="47"/>
      <c r="E96" s="41">
        <v>466</v>
      </c>
      <c r="F96" s="52">
        <v>350</v>
      </c>
      <c r="G96" s="118"/>
      <c r="H96" s="133">
        <v>531</v>
      </c>
      <c r="I96" s="139"/>
      <c r="J96" s="231"/>
      <c r="K96" s="231"/>
      <c r="L96" s="231"/>
      <c r="M96" s="231"/>
      <c r="N96" s="231"/>
      <c r="O96" s="231"/>
      <c r="P96" s="231"/>
      <c r="Q96" s="231"/>
      <c r="R96" s="231"/>
      <c r="S96" s="231"/>
      <c r="T96" s="231"/>
      <c r="U96" s="231"/>
      <c r="V96" s="231"/>
      <c r="W96" s="231"/>
      <c r="X96" s="231"/>
      <c r="Y96" s="231"/>
      <c r="Z96" s="231"/>
      <c r="AA96" s="231"/>
      <c r="AB96" s="231"/>
      <c r="AC96" s="231"/>
      <c r="AD96" s="231"/>
      <c r="AE96" s="231"/>
      <c r="AF96" s="231"/>
      <c r="AG96" s="231"/>
      <c r="AH96" s="231"/>
      <c r="AI96" s="231"/>
      <c r="AJ96" s="231"/>
      <c r="AK96" s="231"/>
      <c r="AL96" s="231"/>
      <c r="AM96" s="231"/>
      <c r="AN96" s="231"/>
      <c r="AO96" s="231"/>
    </row>
    <row r="97" spans="1:41" s="203" customFormat="1">
      <c r="A97" s="120">
        <v>2</v>
      </c>
      <c r="B97" s="47" t="s">
        <v>105</v>
      </c>
      <c r="C97" s="47"/>
      <c r="D97" s="47"/>
      <c r="E97" s="49">
        <v>0</v>
      </c>
      <c r="F97" s="52">
        <v>0</v>
      </c>
      <c r="G97" s="118"/>
      <c r="H97" s="122"/>
      <c r="I97" s="139"/>
      <c r="J97" s="231"/>
      <c r="K97" s="231"/>
      <c r="L97" s="231"/>
      <c r="M97" s="231"/>
      <c r="N97" s="231"/>
      <c r="O97" s="231"/>
      <c r="P97" s="231"/>
      <c r="Q97" s="231"/>
      <c r="R97" s="231"/>
      <c r="S97" s="231"/>
      <c r="T97" s="231"/>
      <c r="U97" s="231"/>
      <c r="V97" s="231"/>
      <c r="W97" s="231"/>
      <c r="X97" s="231"/>
      <c r="Y97" s="231"/>
      <c r="Z97" s="231"/>
      <c r="AA97" s="231"/>
      <c r="AB97" s="231"/>
      <c r="AC97" s="231"/>
      <c r="AD97" s="231"/>
      <c r="AE97" s="231"/>
      <c r="AF97" s="231"/>
      <c r="AG97" s="231"/>
      <c r="AH97" s="231"/>
      <c r="AI97" s="231"/>
      <c r="AJ97" s="231"/>
      <c r="AK97" s="231"/>
      <c r="AL97" s="231"/>
      <c r="AM97" s="231"/>
      <c r="AN97" s="231"/>
      <c r="AO97" s="231"/>
    </row>
    <row r="98" spans="1:41" s="203" customFormat="1">
      <c r="A98" s="120">
        <v>3</v>
      </c>
      <c r="B98" s="47" t="s">
        <v>106</v>
      </c>
      <c r="C98" s="47"/>
      <c r="D98" s="47"/>
      <c r="E98" s="114">
        <v>32754</v>
      </c>
      <c r="F98" s="50">
        <f>F115</f>
        <v>34138</v>
      </c>
      <c r="G98" s="118"/>
      <c r="H98" s="50">
        <f>H115</f>
        <v>34335</v>
      </c>
      <c r="I98" s="139"/>
      <c r="J98" s="231"/>
      <c r="K98" s="231"/>
      <c r="L98" s="231"/>
      <c r="M98" s="231"/>
      <c r="N98" s="231"/>
      <c r="O98" s="231"/>
      <c r="P98" s="231"/>
      <c r="Q98" s="231"/>
      <c r="R98" s="231"/>
      <c r="S98" s="231"/>
      <c r="T98" s="231"/>
      <c r="U98" s="231"/>
      <c r="V98" s="231"/>
      <c r="W98" s="231"/>
      <c r="X98" s="231"/>
      <c r="Y98" s="231"/>
      <c r="Z98" s="231"/>
      <c r="AA98" s="231"/>
      <c r="AB98" s="231"/>
      <c r="AC98" s="231"/>
      <c r="AD98" s="231"/>
      <c r="AE98" s="231"/>
      <c r="AF98" s="231"/>
      <c r="AG98" s="231"/>
      <c r="AH98" s="231"/>
      <c r="AI98" s="231"/>
      <c r="AJ98" s="231"/>
      <c r="AK98" s="231"/>
      <c r="AL98" s="231"/>
      <c r="AM98" s="231"/>
      <c r="AN98" s="231"/>
      <c r="AO98" s="231"/>
    </row>
    <row r="99" spans="1:41" s="203" customFormat="1">
      <c r="A99" s="120">
        <v>4</v>
      </c>
      <c r="B99" s="47" t="s">
        <v>107</v>
      </c>
      <c r="C99" s="47"/>
      <c r="D99" s="47"/>
      <c r="E99" s="114">
        <v>85837</v>
      </c>
      <c r="F99" s="50">
        <f>F125</f>
        <v>85682</v>
      </c>
      <c r="G99" s="118"/>
      <c r="H99" s="50">
        <f>H125</f>
        <v>90996</v>
      </c>
      <c r="I99" s="139"/>
      <c r="J99" s="231"/>
      <c r="K99" s="231"/>
      <c r="L99" s="231"/>
      <c r="M99" s="231"/>
      <c r="N99" s="231"/>
      <c r="O99" s="231"/>
      <c r="P99" s="231"/>
      <c r="Q99" s="231"/>
      <c r="R99" s="231"/>
      <c r="S99" s="231"/>
      <c r="T99" s="231"/>
      <c r="U99" s="231"/>
      <c r="V99" s="231"/>
      <c r="W99" s="231"/>
      <c r="X99" s="231"/>
      <c r="Y99" s="231"/>
      <c r="Z99" s="231"/>
      <c r="AA99" s="231"/>
      <c r="AB99" s="231"/>
      <c r="AC99" s="231"/>
      <c r="AD99" s="231"/>
      <c r="AE99" s="231"/>
      <c r="AF99" s="231"/>
      <c r="AG99" s="231"/>
      <c r="AH99" s="231"/>
      <c r="AI99" s="231"/>
      <c r="AJ99" s="231"/>
      <c r="AK99" s="231"/>
      <c r="AL99" s="231"/>
      <c r="AM99" s="231"/>
      <c r="AN99" s="231"/>
      <c r="AO99" s="231"/>
    </row>
    <row r="100" spans="1:41" s="203" customFormat="1">
      <c r="A100" s="120">
        <v>5</v>
      </c>
      <c r="B100" s="47" t="s">
        <v>108</v>
      </c>
      <c r="C100" s="47"/>
      <c r="D100" s="47"/>
      <c r="E100" s="114">
        <v>7651</v>
      </c>
      <c r="F100" s="50">
        <f>F135</f>
        <v>7773</v>
      </c>
      <c r="G100" s="118"/>
      <c r="H100" s="50">
        <f>H135</f>
        <v>8809</v>
      </c>
      <c r="I100" s="139"/>
      <c r="J100" s="231"/>
      <c r="K100" s="231"/>
      <c r="L100" s="231"/>
      <c r="M100" s="231"/>
      <c r="N100" s="231"/>
      <c r="O100" s="231"/>
      <c r="P100" s="231"/>
      <c r="Q100" s="231"/>
      <c r="R100" s="231"/>
      <c r="S100" s="231"/>
      <c r="T100" s="231"/>
      <c r="U100" s="231"/>
      <c r="V100" s="231"/>
      <c r="W100" s="231"/>
      <c r="X100" s="231"/>
      <c r="Y100" s="231"/>
      <c r="Z100" s="231"/>
      <c r="AA100" s="231"/>
      <c r="AB100" s="231"/>
      <c r="AC100" s="231"/>
      <c r="AD100" s="231"/>
      <c r="AE100" s="231"/>
      <c r="AF100" s="231"/>
      <c r="AG100" s="231"/>
      <c r="AH100" s="231"/>
      <c r="AI100" s="231"/>
      <c r="AJ100" s="231"/>
      <c r="AK100" s="231"/>
      <c r="AL100" s="231"/>
      <c r="AM100" s="231"/>
      <c r="AN100" s="231"/>
      <c r="AO100" s="231"/>
    </row>
    <row r="101" spans="1:41" s="203" customFormat="1">
      <c r="A101" s="120">
        <v>6</v>
      </c>
      <c r="B101" s="47" t="s">
        <v>109</v>
      </c>
      <c r="C101" s="47"/>
      <c r="D101" s="47"/>
      <c r="E101" s="114">
        <v>24070</v>
      </c>
      <c r="F101" s="50">
        <f>F143</f>
        <v>25059</v>
      </c>
      <c r="G101" s="118"/>
      <c r="H101" s="50">
        <f>H143</f>
        <v>26348</v>
      </c>
      <c r="I101" s="139"/>
      <c r="J101" s="231"/>
      <c r="K101" s="231"/>
      <c r="L101" s="231"/>
      <c r="M101" s="231"/>
      <c r="N101" s="231"/>
      <c r="O101" s="231"/>
      <c r="P101" s="231"/>
      <c r="Q101" s="231"/>
      <c r="R101" s="231"/>
      <c r="S101" s="231"/>
      <c r="T101" s="231"/>
      <c r="U101" s="231"/>
      <c r="V101" s="231"/>
      <c r="W101" s="231"/>
      <c r="X101" s="231"/>
      <c r="Y101" s="231"/>
      <c r="Z101" s="231"/>
      <c r="AA101" s="231"/>
      <c r="AB101" s="231"/>
      <c r="AC101" s="231"/>
      <c r="AD101" s="231"/>
      <c r="AE101" s="231"/>
      <c r="AF101" s="231"/>
      <c r="AG101" s="231"/>
      <c r="AH101" s="231"/>
      <c r="AI101" s="231"/>
      <c r="AJ101" s="231"/>
      <c r="AK101" s="231"/>
      <c r="AL101" s="231"/>
      <c r="AM101" s="231"/>
      <c r="AN101" s="231"/>
      <c r="AO101" s="231"/>
    </row>
    <row r="102" spans="1:41" s="203" customFormat="1">
      <c r="A102" s="120">
        <v>7</v>
      </c>
      <c r="B102" s="47" t="s">
        <v>110</v>
      </c>
      <c r="C102" s="47"/>
      <c r="D102" s="47"/>
      <c r="E102" s="114">
        <v>3149</v>
      </c>
      <c r="F102" s="50">
        <f>F150</f>
        <v>2157</v>
      </c>
      <c r="G102" s="118"/>
      <c r="H102" s="50">
        <f>H150</f>
        <v>2540</v>
      </c>
      <c r="I102" s="139"/>
      <c r="J102" s="231"/>
      <c r="K102" s="231"/>
      <c r="L102" s="231"/>
      <c r="M102" s="231"/>
      <c r="N102" s="231"/>
      <c r="O102" s="231"/>
      <c r="P102" s="231"/>
      <c r="Q102" s="231"/>
      <c r="R102" s="231"/>
      <c r="S102" s="231"/>
      <c r="T102" s="231"/>
      <c r="U102" s="231"/>
      <c r="V102" s="231"/>
      <c r="W102" s="231"/>
      <c r="X102" s="231"/>
      <c r="Y102" s="231"/>
      <c r="Z102" s="231"/>
      <c r="AA102" s="231"/>
      <c r="AB102" s="231"/>
      <c r="AC102" s="231"/>
      <c r="AD102" s="231"/>
      <c r="AE102" s="231"/>
      <c r="AF102" s="231"/>
      <c r="AG102" s="231"/>
      <c r="AH102" s="231"/>
      <c r="AI102" s="231"/>
      <c r="AJ102" s="231"/>
      <c r="AK102" s="231"/>
      <c r="AL102" s="231"/>
      <c r="AM102" s="231"/>
      <c r="AN102" s="231"/>
      <c r="AO102" s="231"/>
    </row>
    <row r="103" spans="1:41" s="203" customFormat="1">
      <c r="A103" s="120">
        <v>8</v>
      </c>
      <c r="B103" s="47" t="s">
        <v>111</v>
      </c>
      <c r="C103" s="47"/>
      <c r="D103" s="47"/>
      <c r="E103" s="114">
        <v>1358</v>
      </c>
      <c r="F103" s="52">
        <v>1340</v>
      </c>
      <c r="G103" s="118"/>
      <c r="H103" s="122">
        <v>1499</v>
      </c>
      <c r="I103" s="139"/>
      <c r="J103" s="231"/>
      <c r="K103" s="231"/>
      <c r="L103" s="231"/>
      <c r="M103" s="231"/>
      <c r="N103" s="231"/>
      <c r="O103" s="231"/>
      <c r="P103" s="231"/>
      <c r="Q103" s="231"/>
      <c r="R103" s="231"/>
      <c r="S103" s="231"/>
      <c r="T103" s="231"/>
      <c r="U103" s="231"/>
      <c r="V103" s="231"/>
      <c r="W103" s="231"/>
      <c r="X103" s="231"/>
      <c r="Y103" s="231"/>
      <c r="Z103" s="231"/>
      <c r="AA103" s="231"/>
      <c r="AB103" s="231"/>
      <c r="AC103" s="231"/>
      <c r="AD103" s="231"/>
      <c r="AE103" s="231"/>
      <c r="AF103" s="231"/>
      <c r="AG103" s="231"/>
      <c r="AH103" s="231"/>
      <c r="AI103" s="231"/>
      <c r="AJ103" s="231"/>
      <c r="AK103" s="231"/>
      <c r="AL103" s="231"/>
      <c r="AM103" s="231"/>
      <c r="AN103" s="231"/>
      <c r="AO103" s="231"/>
    </row>
    <row r="104" spans="1:41" s="203" customFormat="1">
      <c r="A104" s="120">
        <v>9</v>
      </c>
      <c r="B104" s="47" t="s">
        <v>112</v>
      </c>
      <c r="C104" s="47"/>
      <c r="D104" s="47"/>
      <c r="E104" s="114">
        <v>4545</v>
      </c>
      <c r="F104" s="52">
        <v>4530</v>
      </c>
      <c r="G104" s="118"/>
      <c r="H104" s="122">
        <v>4662</v>
      </c>
      <c r="I104" s="139"/>
      <c r="J104" s="231"/>
      <c r="K104" s="231"/>
      <c r="L104" s="231"/>
      <c r="M104" s="231"/>
      <c r="N104" s="231"/>
      <c r="O104" s="231"/>
      <c r="P104" s="231"/>
      <c r="Q104" s="231"/>
      <c r="R104" s="231"/>
      <c r="S104" s="231"/>
      <c r="T104" s="231"/>
      <c r="U104" s="231"/>
      <c r="V104" s="231"/>
      <c r="W104" s="231"/>
      <c r="X104" s="231"/>
      <c r="Y104" s="231"/>
      <c r="Z104" s="231"/>
      <c r="AA104" s="231"/>
      <c r="AB104" s="231"/>
      <c r="AC104" s="231"/>
      <c r="AD104" s="231"/>
      <c r="AE104" s="231"/>
      <c r="AF104" s="231"/>
      <c r="AG104" s="231"/>
      <c r="AH104" s="231"/>
      <c r="AI104" s="231"/>
      <c r="AJ104" s="231"/>
      <c r="AK104" s="231"/>
      <c r="AL104" s="231"/>
      <c r="AM104" s="231"/>
      <c r="AN104" s="231"/>
      <c r="AO104" s="231"/>
    </row>
    <row r="105" spans="1:41" s="203" customFormat="1">
      <c r="A105" s="111" t="s">
        <v>113</v>
      </c>
      <c r="B105" s="116" t="s">
        <v>114</v>
      </c>
      <c r="C105" s="116"/>
      <c r="D105" s="47"/>
      <c r="E105" s="134">
        <v>159830</v>
      </c>
      <c r="F105" s="61">
        <f>SUM(F96:F104)</f>
        <v>161029</v>
      </c>
      <c r="G105" s="118"/>
      <c r="H105" s="61">
        <f>SUM(H96:H104)</f>
        <v>169720</v>
      </c>
      <c r="I105" s="139"/>
      <c r="J105" s="231"/>
      <c r="K105" s="231"/>
      <c r="L105" s="231"/>
      <c r="M105" s="231"/>
      <c r="N105" s="231"/>
      <c r="O105" s="231"/>
      <c r="P105" s="231"/>
      <c r="Q105" s="231"/>
      <c r="R105" s="231"/>
      <c r="S105" s="231"/>
      <c r="T105" s="231"/>
      <c r="U105" s="231"/>
      <c r="V105" s="231"/>
      <c r="W105" s="231"/>
      <c r="X105" s="231"/>
      <c r="Y105" s="231"/>
      <c r="Z105" s="231"/>
      <c r="AA105" s="231"/>
      <c r="AB105" s="231"/>
      <c r="AC105" s="231"/>
      <c r="AD105" s="231"/>
      <c r="AE105" s="231"/>
      <c r="AF105" s="231"/>
      <c r="AG105" s="231"/>
      <c r="AH105" s="231"/>
      <c r="AI105" s="231"/>
      <c r="AJ105" s="231"/>
      <c r="AK105" s="231"/>
      <c r="AL105" s="231"/>
      <c r="AM105" s="231"/>
      <c r="AN105" s="231"/>
      <c r="AO105" s="231"/>
    </row>
    <row r="106" spans="1:41" s="203" customFormat="1">
      <c r="A106" s="120">
        <v>11</v>
      </c>
      <c r="B106" s="90" t="s">
        <v>115</v>
      </c>
      <c r="C106" s="47"/>
      <c r="D106" s="47"/>
      <c r="E106" s="135">
        <v>617</v>
      </c>
      <c r="F106" s="136">
        <v>514</v>
      </c>
      <c r="G106" s="118"/>
      <c r="H106" s="137">
        <v>659</v>
      </c>
      <c r="I106" s="139"/>
      <c r="J106" s="231"/>
      <c r="K106" s="231"/>
      <c r="L106" s="231"/>
      <c r="M106" s="231"/>
      <c r="N106" s="231"/>
      <c r="O106" s="231"/>
      <c r="P106" s="231"/>
      <c r="Q106" s="231"/>
      <c r="R106" s="231"/>
      <c r="S106" s="231"/>
      <c r="T106" s="231"/>
      <c r="U106" s="231"/>
      <c r="V106" s="231"/>
      <c r="W106" s="231"/>
      <c r="X106" s="231"/>
      <c r="Y106" s="231"/>
      <c r="Z106" s="231"/>
      <c r="AA106" s="231"/>
      <c r="AB106" s="231"/>
      <c r="AC106" s="231"/>
      <c r="AD106" s="231"/>
      <c r="AE106" s="231"/>
      <c r="AF106" s="231"/>
      <c r="AG106" s="231"/>
      <c r="AH106" s="231"/>
      <c r="AI106" s="231"/>
      <c r="AJ106" s="231"/>
      <c r="AK106" s="231"/>
      <c r="AL106" s="231"/>
      <c r="AM106" s="231"/>
      <c r="AN106" s="231"/>
      <c r="AO106" s="231"/>
    </row>
    <row r="107" spans="1:41" s="203" customFormat="1">
      <c r="A107" s="111"/>
      <c r="B107" s="47"/>
      <c r="C107" s="47"/>
      <c r="D107" s="138"/>
      <c r="E107" s="117"/>
      <c r="F107" s="139"/>
      <c r="G107" s="139"/>
      <c r="H107" s="139"/>
      <c r="I107" s="139"/>
      <c r="J107" s="231"/>
      <c r="K107" s="231"/>
      <c r="L107" s="231"/>
      <c r="M107" s="231"/>
      <c r="N107" s="231"/>
      <c r="O107" s="231"/>
      <c r="P107" s="231"/>
      <c r="Q107" s="231"/>
      <c r="R107" s="231"/>
      <c r="S107" s="231"/>
      <c r="T107" s="231"/>
      <c r="U107" s="231"/>
      <c r="V107" s="231"/>
      <c r="W107" s="231"/>
      <c r="X107" s="231"/>
      <c r="Y107" s="231"/>
      <c r="Z107" s="231"/>
      <c r="AA107" s="231"/>
      <c r="AB107" s="231"/>
      <c r="AC107" s="231"/>
      <c r="AD107" s="231"/>
      <c r="AE107" s="231"/>
      <c r="AF107" s="231"/>
      <c r="AG107" s="231"/>
      <c r="AH107" s="231"/>
      <c r="AI107" s="231"/>
      <c r="AJ107" s="231"/>
      <c r="AK107" s="231"/>
      <c r="AL107" s="231"/>
      <c r="AM107" s="231"/>
      <c r="AN107" s="231"/>
      <c r="AO107" s="231"/>
    </row>
    <row r="108" spans="1:41" s="203" customFormat="1">
      <c r="A108" s="119" t="s">
        <v>116</v>
      </c>
      <c r="B108" s="47"/>
      <c r="C108" s="47"/>
      <c r="D108" s="47"/>
      <c r="E108" s="117"/>
      <c r="F108" s="139"/>
      <c r="G108" s="139"/>
      <c r="H108" s="139"/>
      <c r="I108" s="139"/>
      <c r="J108" s="231"/>
      <c r="K108" s="231"/>
      <c r="L108" s="231"/>
      <c r="M108" s="231"/>
      <c r="N108" s="231"/>
      <c r="O108" s="231"/>
      <c r="P108" s="231"/>
      <c r="Q108" s="231"/>
      <c r="R108" s="231"/>
      <c r="S108" s="231"/>
      <c r="T108" s="231"/>
      <c r="U108" s="231"/>
      <c r="V108" s="231"/>
      <c r="W108" s="231"/>
      <c r="X108" s="231"/>
      <c r="Y108" s="231"/>
      <c r="Z108" s="231"/>
      <c r="AA108" s="231"/>
      <c r="AB108" s="231"/>
      <c r="AC108" s="231"/>
      <c r="AD108" s="231"/>
      <c r="AE108" s="231"/>
      <c r="AF108" s="231"/>
      <c r="AG108" s="231"/>
      <c r="AH108" s="231"/>
      <c r="AI108" s="231"/>
      <c r="AJ108" s="231"/>
      <c r="AK108" s="231"/>
      <c r="AL108" s="231"/>
      <c r="AM108" s="231"/>
      <c r="AN108" s="231"/>
      <c r="AO108" s="231"/>
    </row>
    <row r="109" spans="1:41" s="203" customFormat="1">
      <c r="A109" s="119" t="s">
        <v>106</v>
      </c>
      <c r="B109" s="47"/>
      <c r="C109" s="47"/>
      <c r="D109" s="47"/>
      <c r="E109" s="140"/>
      <c r="F109" s="141"/>
      <c r="G109" s="139"/>
      <c r="H109" s="141"/>
      <c r="I109" s="139"/>
      <c r="J109" s="231"/>
      <c r="K109" s="231"/>
      <c r="L109" s="231"/>
      <c r="M109" s="231"/>
      <c r="N109" s="231"/>
      <c r="O109" s="231"/>
      <c r="P109" s="231"/>
      <c r="Q109" s="231"/>
      <c r="R109" s="231"/>
      <c r="S109" s="231"/>
      <c r="T109" s="231"/>
      <c r="U109" s="231"/>
      <c r="V109" s="231"/>
      <c r="W109" s="231"/>
      <c r="X109" s="231"/>
      <c r="Y109" s="231"/>
      <c r="Z109" s="231"/>
      <c r="AA109" s="231"/>
      <c r="AB109" s="231"/>
      <c r="AC109" s="231"/>
      <c r="AD109" s="231"/>
      <c r="AE109" s="231"/>
      <c r="AF109" s="231"/>
      <c r="AG109" s="231"/>
      <c r="AH109" s="231"/>
      <c r="AI109" s="231"/>
      <c r="AJ109" s="231"/>
      <c r="AK109" s="231"/>
      <c r="AL109" s="231"/>
      <c r="AM109" s="231"/>
      <c r="AN109" s="231"/>
      <c r="AO109" s="231"/>
    </row>
    <row r="110" spans="1:41" s="203" customFormat="1">
      <c r="A110" s="120">
        <v>12</v>
      </c>
      <c r="B110" s="47" t="s">
        <v>117</v>
      </c>
      <c r="C110" s="47"/>
      <c r="D110" s="47"/>
      <c r="E110" s="49">
        <v>11134</v>
      </c>
      <c r="F110" s="52">
        <v>11296</v>
      </c>
      <c r="G110" s="118"/>
      <c r="H110" s="122">
        <v>11314</v>
      </c>
      <c r="I110" s="139"/>
      <c r="J110" s="231"/>
      <c r="K110" s="231"/>
      <c r="L110" s="231"/>
      <c r="M110" s="231"/>
      <c r="N110" s="231"/>
      <c r="O110" s="231"/>
      <c r="P110" s="231"/>
      <c r="Q110" s="231"/>
      <c r="R110" s="231"/>
      <c r="S110" s="231"/>
      <c r="T110" s="231"/>
      <c r="U110" s="231"/>
      <c r="V110" s="231"/>
      <c r="W110" s="231"/>
      <c r="X110" s="231"/>
      <c r="Y110" s="231"/>
      <c r="Z110" s="231"/>
      <c r="AA110" s="231"/>
      <c r="AB110" s="231"/>
      <c r="AC110" s="231"/>
      <c r="AD110" s="231"/>
      <c r="AE110" s="231"/>
      <c r="AF110" s="231"/>
      <c r="AG110" s="231"/>
      <c r="AH110" s="231"/>
      <c r="AI110" s="231"/>
      <c r="AJ110" s="231"/>
      <c r="AK110" s="231"/>
      <c r="AL110" s="231"/>
      <c r="AM110" s="231"/>
      <c r="AN110" s="231"/>
      <c r="AO110" s="231"/>
    </row>
    <row r="111" spans="1:41" s="203" customFormat="1">
      <c r="A111" s="120">
        <v>13</v>
      </c>
      <c r="B111" s="47" t="s">
        <v>118</v>
      </c>
      <c r="C111" s="47"/>
      <c r="D111" s="47"/>
      <c r="E111" s="49">
        <v>8516</v>
      </c>
      <c r="F111" s="52">
        <v>9420</v>
      </c>
      <c r="G111" s="118"/>
      <c r="H111" s="122">
        <v>8733</v>
      </c>
      <c r="I111" s="139"/>
      <c r="J111" s="231"/>
      <c r="K111" s="231"/>
      <c r="L111" s="231"/>
      <c r="M111" s="231"/>
      <c r="N111" s="231"/>
      <c r="O111" s="231"/>
      <c r="P111" s="231"/>
      <c r="Q111" s="231"/>
      <c r="R111" s="231"/>
      <c r="S111" s="231"/>
      <c r="T111" s="231"/>
      <c r="U111" s="231"/>
      <c r="V111" s="231"/>
      <c r="W111" s="231"/>
      <c r="X111" s="231"/>
      <c r="Y111" s="231"/>
      <c r="Z111" s="231"/>
      <c r="AA111" s="231"/>
      <c r="AB111" s="231"/>
      <c r="AC111" s="231"/>
      <c r="AD111" s="231"/>
      <c r="AE111" s="231"/>
      <c r="AF111" s="231"/>
      <c r="AG111" s="231"/>
      <c r="AH111" s="231"/>
      <c r="AI111" s="231"/>
      <c r="AJ111" s="231"/>
      <c r="AK111" s="231"/>
      <c r="AL111" s="231"/>
      <c r="AM111" s="231"/>
      <c r="AN111" s="231"/>
      <c r="AO111" s="231"/>
    </row>
    <row r="112" spans="1:41" s="203" customFormat="1">
      <c r="A112" s="120">
        <v>14</v>
      </c>
      <c r="B112" s="47" t="s">
        <v>119</v>
      </c>
      <c r="C112" s="47"/>
      <c r="D112" s="47"/>
      <c r="E112" s="49">
        <v>9280</v>
      </c>
      <c r="F112" s="52">
        <v>10245</v>
      </c>
      <c r="G112" s="118"/>
      <c r="H112" s="122">
        <v>10490</v>
      </c>
      <c r="I112" s="139"/>
      <c r="J112" s="231"/>
      <c r="K112" s="231"/>
      <c r="L112" s="231"/>
      <c r="M112" s="231"/>
      <c r="N112" s="231"/>
      <c r="O112" s="231"/>
      <c r="P112" s="231"/>
      <c r="Q112" s="231"/>
      <c r="R112" s="231"/>
      <c r="S112" s="231"/>
      <c r="T112" s="231"/>
      <c r="U112" s="231"/>
      <c r="V112" s="231"/>
      <c r="W112" s="231"/>
      <c r="X112" s="231"/>
      <c r="Y112" s="231"/>
      <c r="Z112" s="231"/>
      <c r="AA112" s="231"/>
      <c r="AB112" s="231"/>
      <c r="AC112" s="231"/>
      <c r="AD112" s="231"/>
      <c r="AE112" s="231"/>
      <c r="AF112" s="231"/>
      <c r="AG112" s="231"/>
      <c r="AH112" s="231"/>
      <c r="AI112" s="231"/>
      <c r="AJ112" s="231"/>
      <c r="AK112" s="231"/>
      <c r="AL112" s="231"/>
      <c r="AM112" s="231"/>
      <c r="AN112" s="231"/>
      <c r="AO112" s="231"/>
    </row>
    <row r="113" spans="1:41" s="203" customFormat="1">
      <c r="A113" s="120">
        <v>15</v>
      </c>
      <c r="B113" s="47" t="s">
        <v>120</v>
      </c>
      <c r="C113" s="47"/>
      <c r="D113" s="47"/>
      <c r="E113" s="49">
        <v>0</v>
      </c>
      <c r="F113" s="52">
        <v>0</v>
      </c>
      <c r="G113" s="118"/>
      <c r="H113" s="122">
        <v>0</v>
      </c>
      <c r="I113" s="139"/>
      <c r="J113" s="231"/>
      <c r="K113" s="231"/>
      <c r="L113" s="231"/>
      <c r="M113" s="231"/>
      <c r="N113" s="231"/>
      <c r="O113" s="231"/>
      <c r="P113" s="231"/>
      <c r="Q113" s="231"/>
      <c r="R113" s="231"/>
      <c r="S113" s="231"/>
      <c r="T113" s="231"/>
      <c r="U113" s="231"/>
      <c r="V113" s="231"/>
      <c r="W113" s="231"/>
      <c r="X113" s="231"/>
      <c r="Y113" s="231"/>
      <c r="Z113" s="231"/>
      <c r="AA113" s="231"/>
      <c r="AB113" s="231"/>
      <c r="AC113" s="231"/>
      <c r="AD113" s="231"/>
      <c r="AE113" s="231"/>
      <c r="AF113" s="231"/>
      <c r="AG113" s="231"/>
      <c r="AH113" s="231"/>
      <c r="AI113" s="231"/>
      <c r="AJ113" s="231"/>
      <c r="AK113" s="231"/>
      <c r="AL113" s="231"/>
      <c r="AM113" s="231"/>
      <c r="AN113" s="231"/>
      <c r="AO113" s="231"/>
    </row>
    <row r="114" spans="1:41" s="203" customFormat="1">
      <c r="A114" s="120">
        <v>16</v>
      </c>
      <c r="B114" s="47" t="s">
        <v>121</v>
      </c>
      <c r="C114" s="47"/>
      <c r="D114" s="47"/>
      <c r="E114" s="49">
        <v>3824</v>
      </c>
      <c r="F114" s="52">
        <v>3177</v>
      </c>
      <c r="G114" s="118"/>
      <c r="H114" s="100">
        <v>3798</v>
      </c>
      <c r="I114" s="139"/>
      <c r="J114" s="231"/>
      <c r="K114" s="231"/>
      <c r="L114" s="231"/>
      <c r="M114" s="231"/>
      <c r="N114" s="231"/>
      <c r="O114" s="231"/>
      <c r="P114" s="231"/>
      <c r="Q114" s="231"/>
      <c r="R114" s="231"/>
      <c r="S114" s="231"/>
      <c r="T114" s="231"/>
      <c r="U114" s="231"/>
      <c r="V114" s="231"/>
      <c r="W114" s="231"/>
      <c r="X114" s="231"/>
      <c r="Y114" s="231"/>
      <c r="Z114" s="231"/>
      <c r="AA114" s="231"/>
      <c r="AB114" s="231"/>
      <c r="AC114" s="231"/>
      <c r="AD114" s="231"/>
      <c r="AE114" s="231"/>
      <c r="AF114" s="231"/>
      <c r="AG114" s="231"/>
      <c r="AH114" s="231"/>
      <c r="AI114" s="231"/>
      <c r="AJ114" s="231"/>
      <c r="AK114" s="231"/>
      <c r="AL114" s="231"/>
      <c r="AM114" s="231"/>
      <c r="AN114" s="231"/>
      <c r="AO114" s="231"/>
    </row>
    <row r="115" spans="1:41" s="203" customFormat="1">
      <c r="A115" s="120">
        <v>17</v>
      </c>
      <c r="B115" s="116" t="s">
        <v>122</v>
      </c>
      <c r="C115" s="116"/>
      <c r="D115" s="116"/>
      <c r="E115" s="80">
        <v>32754</v>
      </c>
      <c r="F115" s="142">
        <f>SUM(F110:F114)</f>
        <v>34138</v>
      </c>
      <c r="G115" s="118"/>
      <c r="H115" s="142">
        <f>SUM(H110:H114)</f>
        <v>34335</v>
      </c>
      <c r="I115" s="139"/>
      <c r="J115" s="231"/>
      <c r="K115" s="231"/>
      <c r="L115" s="231"/>
      <c r="M115" s="231"/>
      <c r="N115" s="231"/>
      <c r="O115" s="231"/>
      <c r="P115" s="231"/>
      <c r="Q115" s="231"/>
      <c r="R115" s="231"/>
      <c r="S115" s="231"/>
      <c r="T115" s="231"/>
      <c r="U115" s="231"/>
      <c r="V115" s="231"/>
      <c r="W115" s="231"/>
      <c r="X115" s="231"/>
      <c r="Y115" s="231"/>
      <c r="Z115" s="231"/>
      <c r="AA115" s="231"/>
      <c r="AB115" s="231"/>
      <c r="AC115" s="231"/>
      <c r="AD115" s="231"/>
      <c r="AE115" s="231"/>
      <c r="AF115" s="231"/>
      <c r="AG115" s="231"/>
      <c r="AH115" s="231"/>
      <c r="AI115" s="231"/>
      <c r="AJ115" s="231"/>
      <c r="AK115" s="231"/>
      <c r="AL115" s="231"/>
      <c r="AM115" s="231"/>
      <c r="AN115" s="231"/>
      <c r="AO115" s="231"/>
    </row>
    <row r="116" spans="1:41" s="203" customFormat="1">
      <c r="A116" s="111"/>
      <c r="B116" s="116"/>
      <c r="C116" s="116"/>
      <c r="D116" s="116"/>
      <c r="E116" s="143"/>
      <c r="F116" s="118"/>
      <c r="G116" s="118"/>
      <c r="H116" s="118"/>
      <c r="I116" s="139"/>
      <c r="J116" s="231"/>
      <c r="K116" s="231"/>
      <c r="L116" s="231"/>
      <c r="M116" s="231"/>
      <c r="N116" s="231"/>
      <c r="O116" s="231"/>
      <c r="P116" s="231"/>
      <c r="Q116" s="231"/>
      <c r="R116" s="231"/>
      <c r="S116" s="231"/>
      <c r="T116" s="231"/>
      <c r="U116" s="231"/>
      <c r="V116" s="231"/>
      <c r="W116" s="231"/>
      <c r="X116" s="231"/>
      <c r="Y116" s="231"/>
      <c r="Z116" s="231"/>
      <c r="AA116" s="231"/>
      <c r="AB116" s="231"/>
      <c r="AC116" s="231"/>
      <c r="AD116" s="231"/>
      <c r="AE116" s="231"/>
      <c r="AF116" s="231"/>
      <c r="AG116" s="231"/>
      <c r="AH116" s="231"/>
      <c r="AI116" s="231"/>
      <c r="AJ116" s="231"/>
      <c r="AK116" s="231"/>
      <c r="AL116" s="231"/>
      <c r="AM116" s="231"/>
      <c r="AN116" s="231"/>
      <c r="AO116" s="231"/>
    </row>
    <row r="117" spans="1:41" s="203" customFormat="1">
      <c r="A117" s="144" t="s">
        <v>107</v>
      </c>
      <c r="B117" s="116"/>
      <c r="C117" s="116"/>
      <c r="D117" s="116"/>
      <c r="E117" s="145"/>
      <c r="F117" s="146"/>
      <c r="G117" s="118"/>
      <c r="H117" s="146"/>
      <c r="I117" s="139"/>
      <c r="J117" s="231"/>
      <c r="K117" s="231"/>
      <c r="L117" s="231"/>
      <c r="M117" s="231"/>
      <c r="N117" s="231"/>
      <c r="O117" s="231"/>
      <c r="P117" s="231"/>
      <c r="Q117" s="231"/>
      <c r="R117" s="231"/>
      <c r="S117" s="231"/>
      <c r="T117" s="231"/>
      <c r="U117" s="231"/>
      <c r="V117" s="231"/>
      <c r="W117" s="231"/>
      <c r="X117" s="231"/>
      <c r="Y117" s="231"/>
      <c r="Z117" s="231"/>
      <c r="AA117" s="231"/>
      <c r="AB117" s="231"/>
      <c r="AC117" s="231"/>
      <c r="AD117" s="231"/>
      <c r="AE117" s="231"/>
      <c r="AF117" s="231"/>
      <c r="AG117" s="231"/>
      <c r="AH117" s="231"/>
      <c r="AI117" s="231"/>
      <c r="AJ117" s="231"/>
      <c r="AK117" s="231"/>
      <c r="AL117" s="231"/>
      <c r="AM117" s="231"/>
      <c r="AN117" s="231"/>
      <c r="AO117" s="231"/>
    </row>
    <row r="118" spans="1:41" s="203" customFormat="1">
      <c r="A118" s="120">
        <v>18</v>
      </c>
      <c r="B118" s="47" t="s">
        <v>123</v>
      </c>
      <c r="C118" s="47"/>
      <c r="D118" s="47"/>
      <c r="E118" s="49">
        <v>5014</v>
      </c>
      <c r="F118" s="52">
        <v>5276</v>
      </c>
      <c r="G118" s="118"/>
      <c r="H118" s="122">
        <v>5590</v>
      </c>
      <c r="I118" s="139"/>
      <c r="J118" s="231"/>
      <c r="K118" s="231"/>
      <c r="L118" s="231"/>
      <c r="M118" s="231"/>
      <c r="N118" s="231"/>
      <c r="O118" s="231"/>
      <c r="P118" s="231"/>
      <c r="Q118" s="231"/>
      <c r="R118" s="231"/>
      <c r="S118" s="231"/>
      <c r="T118" s="231"/>
      <c r="U118" s="231"/>
      <c r="V118" s="231"/>
      <c r="W118" s="231"/>
      <c r="X118" s="231"/>
      <c r="Y118" s="231"/>
      <c r="Z118" s="231"/>
      <c r="AA118" s="231"/>
      <c r="AB118" s="231"/>
      <c r="AC118" s="231"/>
      <c r="AD118" s="231"/>
      <c r="AE118" s="231"/>
      <c r="AF118" s="231"/>
      <c r="AG118" s="231"/>
      <c r="AH118" s="231"/>
      <c r="AI118" s="231"/>
      <c r="AJ118" s="231"/>
      <c r="AK118" s="231"/>
      <c r="AL118" s="231"/>
      <c r="AM118" s="231"/>
      <c r="AN118" s="231"/>
      <c r="AO118" s="231"/>
    </row>
    <row r="119" spans="1:41" s="203" customFormat="1">
      <c r="A119" s="120">
        <v>19</v>
      </c>
      <c r="B119" s="47" t="s">
        <v>124</v>
      </c>
      <c r="C119" s="47"/>
      <c r="D119" s="47"/>
      <c r="E119" s="49">
        <v>30314</v>
      </c>
      <c r="F119" s="52">
        <v>29597</v>
      </c>
      <c r="G119" s="118"/>
      <c r="H119" s="122">
        <v>30597</v>
      </c>
      <c r="I119" s="139"/>
      <c r="J119" s="231"/>
      <c r="K119" s="231"/>
      <c r="L119" s="231"/>
      <c r="M119" s="231"/>
      <c r="N119" s="231"/>
      <c r="O119" s="231"/>
      <c r="P119" s="231"/>
      <c r="Q119" s="231"/>
      <c r="R119" s="231"/>
      <c r="S119" s="231"/>
      <c r="T119" s="231"/>
      <c r="U119" s="231"/>
      <c r="V119" s="231"/>
      <c r="W119" s="231"/>
      <c r="X119" s="231"/>
      <c r="Y119" s="231"/>
      <c r="Z119" s="231"/>
      <c r="AA119" s="231"/>
      <c r="AB119" s="231"/>
      <c r="AC119" s="231"/>
      <c r="AD119" s="231"/>
      <c r="AE119" s="231"/>
      <c r="AF119" s="231"/>
      <c r="AG119" s="231"/>
      <c r="AH119" s="231"/>
      <c r="AI119" s="231"/>
      <c r="AJ119" s="231"/>
      <c r="AK119" s="231"/>
      <c r="AL119" s="231"/>
      <c r="AM119" s="231"/>
      <c r="AN119" s="231"/>
      <c r="AO119" s="231"/>
    </row>
    <row r="120" spans="1:41" s="203" customFormat="1">
      <c r="A120" s="120">
        <v>20</v>
      </c>
      <c r="B120" s="47" t="s">
        <v>119</v>
      </c>
      <c r="C120" s="47"/>
      <c r="D120" s="47"/>
      <c r="E120" s="49">
        <v>48298</v>
      </c>
      <c r="F120" s="52">
        <v>47521</v>
      </c>
      <c r="G120" s="118"/>
      <c r="H120" s="122">
        <v>51344</v>
      </c>
      <c r="I120" s="139"/>
      <c r="J120" s="231"/>
      <c r="K120" s="231"/>
      <c r="L120" s="231"/>
      <c r="M120" s="231"/>
      <c r="N120" s="231"/>
      <c r="O120" s="231"/>
      <c r="P120" s="231"/>
      <c r="Q120" s="231"/>
      <c r="R120" s="231"/>
      <c r="S120" s="231"/>
      <c r="T120" s="231"/>
      <c r="U120" s="231"/>
      <c r="V120" s="231"/>
      <c r="W120" s="231"/>
      <c r="X120" s="231"/>
      <c r="Y120" s="231"/>
      <c r="Z120" s="231"/>
      <c r="AA120" s="231"/>
      <c r="AB120" s="231"/>
      <c r="AC120" s="231"/>
      <c r="AD120" s="231"/>
      <c r="AE120" s="231"/>
      <c r="AF120" s="231"/>
      <c r="AG120" s="231"/>
      <c r="AH120" s="231"/>
      <c r="AI120" s="231"/>
      <c r="AJ120" s="231"/>
      <c r="AK120" s="231"/>
      <c r="AL120" s="231"/>
      <c r="AM120" s="231"/>
      <c r="AN120" s="231"/>
      <c r="AO120" s="231"/>
    </row>
    <row r="121" spans="1:41" s="203" customFormat="1">
      <c r="A121" s="120">
        <v>21</v>
      </c>
      <c r="B121" s="47" t="s">
        <v>120</v>
      </c>
      <c r="C121" s="47"/>
      <c r="D121" s="47"/>
      <c r="E121" s="49">
        <v>5076</v>
      </c>
      <c r="F121" s="52">
        <v>4499</v>
      </c>
      <c r="G121" s="118"/>
      <c r="H121" s="122">
        <v>4805</v>
      </c>
      <c r="I121" s="139"/>
      <c r="J121" s="231"/>
      <c r="K121" s="231"/>
      <c r="L121" s="231"/>
      <c r="M121" s="231"/>
      <c r="N121" s="231"/>
      <c r="O121" s="231"/>
      <c r="P121" s="231"/>
      <c r="Q121" s="231"/>
      <c r="R121" s="231"/>
      <c r="S121" s="231"/>
      <c r="T121" s="231"/>
      <c r="U121" s="231"/>
      <c r="V121" s="231"/>
      <c r="W121" s="231"/>
      <c r="X121" s="231"/>
      <c r="Y121" s="231"/>
      <c r="Z121" s="231"/>
      <c r="AA121" s="231"/>
      <c r="AB121" s="231"/>
      <c r="AC121" s="231"/>
      <c r="AD121" s="231"/>
      <c r="AE121" s="231"/>
      <c r="AF121" s="231"/>
      <c r="AG121" s="231"/>
      <c r="AH121" s="231"/>
      <c r="AI121" s="231"/>
      <c r="AJ121" s="231"/>
      <c r="AK121" s="231"/>
      <c r="AL121" s="231"/>
      <c r="AM121" s="231"/>
      <c r="AN121" s="231"/>
      <c r="AO121" s="231"/>
    </row>
    <row r="122" spans="1:41" s="203" customFormat="1">
      <c r="A122" s="120">
        <v>22</v>
      </c>
      <c r="B122" s="47" t="s">
        <v>125</v>
      </c>
      <c r="C122" s="47"/>
      <c r="D122" s="47"/>
      <c r="E122" s="49">
        <v>2255</v>
      </c>
      <c r="F122" s="52">
        <v>2358</v>
      </c>
      <c r="G122" s="118"/>
      <c r="H122" s="122">
        <v>2400</v>
      </c>
      <c r="I122" s="139"/>
      <c r="J122" s="231"/>
      <c r="K122" s="231"/>
      <c r="L122" s="231"/>
      <c r="M122" s="231"/>
      <c r="N122" s="231"/>
      <c r="O122" s="231"/>
      <c r="P122" s="231"/>
      <c r="Q122" s="231"/>
      <c r="R122" s="231"/>
      <c r="S122" s="231"/>
      <c r="T122" s="231"/>
      <c r="U122" s="231"/>
      <c r="V122" s="231"/>
      <c r="W122" s="231"/>
      <c r="X122" s="231"/>
      <c r="Y122" s="231"/>
      <c r="Z122" s="231"/>
      <c r="AA122" s="231"/>
      <c r="AB122" s="231"/>
      <c r="AC122" s="231"/>
      <c r="AD122" s="231"/>
      <c r="AE122" s="231"/>
      <c r="AF122" s="231"/>
      <c r="AG122" s="231"/>
      <c r="AH122" s="231"/>
      <c r="AI122" s="231"/>
      <c r="AJ122" s="231"/>
      <c r="AK122" s="231"/>
      <c r="AL122" s="231"/>
      <c r="AM122" s="231"/>
      <c r="AN122" s="231"/>
      <c r="AO122" s="231"/>
    </row>
    <row r="123" spans="1:41" s="203" customFormat="1">
      <c r="A123" s="120">
        <v>23</v>
      </c>
      <c r="B123" s="90" t="s">
        <v>126</v>
      </c>
      <c r="C123" s="47"/>
      <c r="D123" s="47"/>
      <c r="E123" s="49">
        <v>1091</v>
      </c>
      <c r="F123" s="52">
        <v>985</v>
      </c>
      <c r="G123" s="118"/>
      <c r="H123" s="99">
        <v>973</v>
      </c>
      <c r="I123" s="139"/>
      <c r="J123" s="231"/>
      <c r="K123" s="231"/>
      <c r="L123" s="231"/>
      <c r="M123" s="231"/>
      <c r="N123" s="231"/>
      <c r="O123" s="231"/>
      <c r="P123" s="231"/>
      <c r="Q123" s="231"/>
      <c r="R123" s="231"/>
      <c r="S123" s="231"/>
      <c r="T123" s="231"/>
      <c r="U123" s="231"/>
      <c r="V123" s="231"/>
      <c r="W123" s="231"/>
      <c r="X123" s="231"/>
      <c r="Y123" s="231"/>
      <c r="Z123" s="231"/>
      <c r="AA123" s="231"/>
      <c r="AB123" s="231"/>
      <c r="AC123" s="231"/>
      <c r="AD123" s="231"/>
      <c r="AE123" s="231"/>
      <c r="AF123" s="231"/>
      <c r="AG123" s="231"/>
      <c r="AH123" s="231"/>
      <c r="AI123" s="231"/>
      <c r="AJ123" s="231"/>
      <c r="AK123" s="231"/>
      <c r="AL123" s="231"/>
      <c r="AM123" s="231"/>
      <c r="AN123" s="231"/>
      <c r="AO123" s="231"/>
    </row>
    <row r="124" spans="1:41" s="203" customFormat="1">
      <c r="A124" s="120">
        <v>24</v>
      </c>
      <c r="B124" s="47" t="s">
        <v>121</v>
      </c>
      <c r="C124" s="47"/>
      <c r="D124" s="47"/>
      <c r="E124" s="49">
        <v>-6211</v>
      </c>
      <c r="F124" s="52">
        <v>-4554</v>
      </c>
      <c r="G124" s="118"/>
      <c r="H124" s="100">
        <v>-4713</v>
      </c>
      <c r="I124" s="139"/>
      <c r="J124" s="231"/>
      <c r="K124" s="231"/>
      <c r="L124" s="231"/>
      <c r="M124" s="231"/>
      <c r="N124" s="231"/>
      <c r="O124" s="231"/>
      <c r="P124" s="231"/>
      <c r="Q124" s="231"/>
      <c r="R124" s="231"/>
      <c r="S124" s="231"/>
      <c r="T124" s="231"/>
      <c r="U124" s="231"/>
      <c r="V124" s="231"/>
      <c r="W124" s="231"/>
      <c r="X124" s="231"/>
      <c r="Y124" s="231"/>
      <c r="Z124" s="231"/>
      <c r="AA124" s="231"/>
      <c r="AB124" s="231"/>
      <c r="AC124" s="231"/>
      <c r="AD124" s="231"/>
      <c r="AE124" s="231"/>
      <c r="AF124" s="231"/>
      <c r="AG124" s="231"/>
      <c r="AH124" s="231"/>
      <c r="AI124" s="231"/>
      <c r="AJ124" s="231"/>
      <c r="AK124" s="231"/>
      <c r="AL124" s="231"/>
      <c r="AM124" s="231"/>
      <c r="AN124" s="231"/>
      <c r="AO124" s="231"/>
    </row>
    <row r="125" spans="1:41" s="203" customFormat="1">
      <c r="A125" s="120">
        <v>25</v>
      </c>
      <c r="B125" s="147" t="s">
        <v>127</v>
      </c>
      <c r="C125" s="147"/>
      <c r="D125" s="147"/>
      <c r="E125" s="80">
        <v>85837</v>
      </c>
      <c r="F125" s="142">
        <f>SUM(F118:F124)</f>
        <v>85682</v>
      </c>
      <c r="G125" s="118"/>
      <c r="H125" s="142">
        <f>SUM(H118:H124)</f>
        <v>90996</v>
      </c>
      <c r="I125" s="139"/>
      <c r="J125" s="231"/>
      <c r="K125" s="231"/>
      <c r="L125" s="231"/>
      <c r="M125" s="231"/>
      <c r="N125" s="231"/>
      <c r="O125" s="231"/>
      <c r="P125" s="231"/>
      <c r="Q125" s="231"/>
      <c r="R125" s="231"/>
      <c r="S125" s="231"/>
      <c r="T125" s="231"/>
      <c r="U125" s="231"/>
      <c r="V125" s="231"/>
      <c r="W125" s="231"/>
      <c r="X125" s="231"/>
      <c r="Y125" s="231"/>
      <c r="Z125" s="231"/>
      <c r="AA125" s="231"/>
      <c r="AB125" s="231"/>
      <c r="AC125" s="231"/>
      <c r="AD125" s="231"/>
      <c r="AE125" s="231"/>
      <c r="AF125" s="231"/>
      <c r="AG125" s="231"/>
      <c r="AH125" s="231"/>
      <c r="AI125" s="231"/>
      <c r="AJ125" s="231"/>
      <c r="AK125" s="231"/>
      <c r="AL125" s="231"/>
      <c r="AM125" s="231"/>
      <c r="AN125" s="231"/>
      <c r="AO125" s="231"/>
    </row>
    <row r="126" spans="1:41" s="203" customFormat="1">
      <c r="A126" s="111"/>
      <c r="B126" s="47"/>
      <c r="C126" s="47"/>
      <c r="D126" s="47"/>
      <c r="E126" s="117"/>
      <c r="F126" s="118"/>
      <c r="G126" s="118"/>
      <c r="H126" s="118"/>
      <c r="I126" s="139"/>
      <c r="J126" s="231"/>
      <c r="K126" s="231"/>
      <c r="L126" s="231"/>
      <c r="M126" s="231"/>
      <c r="N126" s="231"/>
      <c r="O126" s="231"/>
      <c r="P126" s="231"/>
      <c r="Q126" s="231"/>
      <c r="R126" s="231"/>
      <c r="S126" s="231"/>
      <c r="T126" s="231"/>
      <c r="U126" s="231"/>
      <c r="V126" s="231"/>
      <c r="W126" s="231"/>
      <c r="X126" s="231"/>
      <c r="Y126" s="231"/>
      <c r="Z126" s="231"/>
      <c r="AA126" s="231"/>
      <c r="AB126" s="231"/>
      <c r="AC126" s="231"/>
      <c r="AD126" s="231"/>
      <c r="AE126" s="231"/>
      <c r="AF126" s="231"/>
      <c r="AG126" s="231"/>
      <c r="AH126" s="231"/>
      <c r="AI126" s="231"/>
      <c r="AJ126" s="231"/>
      <c r="AK126" s="231"/>
      <c r="AL126" s="231"/>
      <c r="AM126" s="231"/>
      <c r="AN126" s="231"/>
      <c r="AO126" s="231"/>
    </row>
    <row r="127" spans="1:41" s="203" customFormat="1">
      <c r="A127" s="119" t="s">
        <v>108</v>
      </c>
      <c r="B127" s="147"/>
      <c r="C127" s="147"/>
      <c r="D127" s="147"/>
      <c r="E127" s="140"/>
      <c r="F127" s="146"/>
      <c r="G127" s="118"/>
      <c r="H127" s="146"/>
      <c r="I127" s="139"/>
      <c r="J127" s="231"/>
      <c r="K127" s="231"/>
      <c r="L127" s="231"/>
      <c r="M127" s="231"/>
      <c r="N127" s="231"/>
      <c r="O127" s="231"/>
      <c r="P127" s="231"/>
      <c r="Q127" s="231"/>
      <c r="R127" s="231"/>
      <c r="S127" s="231"/>
      <c r="T127" s="231"/>
      <c r="U127" s="231"/>
      <c r="V127" s="231"/>
      <c r="W127" s="231"/>
      <c r="X127" s="231"/>
      <c r="Y127" s="231"/>
      <c r="Z127" s="231"/>
      <c r="AA127" s="231"/>
      <c r="AB127" s="231"/>
      <c r="AC127" s="231"/>
      <c r="AD127" s="231"/>
      <c r="AE127" s="231"/>
      <c r="AF127" s="231"/>
      <c r="AG127" s="231"/>
      <c r="AH127" s="231"/>
      <c r="AI127" s="231"/>
      <c r="AJ127" s="231"/>
      <c r="AK127" s="231"/>
      <c r="AL127" s="231"/>
      <c r="AM127" s="231"/>
      <c r="AN127" s="231"/>
      <c r="AO127" s="231"/>
    </row>
    <row r="128" spans="1:41" s="203" customFormat="1">
      <c r="A128" s="120">
        <v>26</v>
      </c>
      <c r="B128" s="47" t="s">
        <v>123</v>
      </c>
      <c r="C128" s="47"/>
      <c r="D128" s="47"/>
      <c r="E128" s="74">
        <v>458</v>
      </c>
      <c r="F128" s="52">
        <v>357</v>
      </c>
      <c r="G128" s="118"/>
      <c r="H128" s="122">
        <v>355</v>
      </c>
      <c r="I128" s="139"/>
      <c r="J128" s="231"/>
      <c r="K128" s="231"/>
      <c r="L128" s="231"/>
      <c r="M128" s="231"/>
      <c r="N128" s="231"/>
      <c r="O128" s="231"/>
      <c r="P128" s="231"/>
      <c r="Q128" s="231"/>
      <c r="R128" s="231"/>
      <c r="S128" s="231"/>
      <c r="T128" s="231"/>
      <c r="U128" s="231"/>
      <c r="V128" s="231"/>
      <c r="W128" s="231"/>
      <c r="X128" s="231"/>
      <c r="Y128" s="231"/>
      <c r="Z128" s="231"/>
      <c r="AA128" s="231"/>
      <c r="AB128" s="231"/>
      <c r="AC128" s="231"/>
      <c r="AD128" s="231"/>
      <c r="AE128" s="231"/>
      <c r="AF128" s="231"/>
      <c r="AG128" s="231"/>
      <c r="AH128" s="231"/>
      <c r="AI128" s="231"/>
      <c r="AJ128" s="231"/>
      <c r="AK128" s="231"/>
      <c r="AL128" s="231"/>
      <c r="AM128" s="231"/>
      <c r="AN128" s="231"/>
      <c r="AO128" s="231"/>
    </row>
    <row r="129" spans="1:41" s="203" customFormat="1">
      <c r="A129" s="120">
        <v>27</v>
      </c>
      <c r="B129" s="47" t="s">
        <v>124</v>
      </c>
      <c r="C129" s="47"/>
      <c r="D129" s="47"/>
      <c r="E129" s="49">
        <v>3453</v>
      </c>
      <c r="F129" s="52">
        <v>3215</v>
      </c>
      <c r="G129" s="118"/>
      <c r="H129" s="122">
        <v>4100</v>
      </c>
      <c r="I129" s="139"/>
      <c r="J129" s="231"/>
      <c r="K129" s="231"/>
      <c r="L129" s="231"/>
      <c r="M129" s="231"/>
      <c r="N129" s="231"/>
      <c r="O129" s="231"/>
      <c r="P129" s="231"/>
      <c r="Q129" s="231"/>
      <c r="R129" s="231"/>
      <c r="S129" s="231"/>
      <c r="T129" s="231"/>
      <c r="U129" s="231"/>
      <c r="V129" s="231"/>
      <c r="W129" s="231"/>
      <c r="X129" s="231"/>
      <c r="Y129" s="231"/>
      <c r="Z129" s="231"/>
      <c r="AA129" s="231"/>
      <c r="AB129" s="231"/>
      <c r="AC129" s="231"/>
      <c r="AD129" s="231"/>
      <c r="AE129" s="231"/>
      <c r="AF129" s="231"/>
      <c r="AG129" s="231"/>
      <c r="AH129" s="231"/>
      <c r="AI129" s="231"/>
      <c r="AJ129" s="231"/>
      <c r="AK129" s="231"/>
      <c r="AL129" s="231"/>
      <c r="AM129" s="231"/>
      <c r="AN129" s="231"/>
      <c r="AO129" s="231"/>
    </row>
    <row r="130" spans="1:41" s="203" customFormat="1">
      <c r="A130" s="120">
        <v>28</v>
      </c>
      <c r="B130" s="47" t="s">
        <v>119</v>
      </c>
      <c r="C130" s="47"/>
      <c r="D130" s="47"/>
      <c r="E130" s="49">
        <v>1944</v>
      </c>
      <c r="F130" s="52">
        <v>1876</v>
      </c>
      <c r="G130" s="118"/>
      <c r="H130" s="122">
        <v>1850</v>
      </c>
      <c r="I130" s="139"/>
      <c r="J130" s="231"/>
      <c r="K130" s="231"/>
      <c r="L130" s="231"/>
      <c r="M130" s="231"/>
      <c r="N130" s="231"/>
      <c r="O130" s="231"/>
      <c r="P130" s="231"/>
      <c r="Q130" s="231"/>
      <c r="R130" s="231"/>
      <c r="S130" s="231"/>
      <c r="T130" s="231"/>
      <c r="U130" s="231"/>
      <c r="V130" s="231"/>
      <c r="W130" s="231"/>
      <c r="X130" s="231"/>
      <c r="Y130" s="231"/>
      <c r="Z130" s="231"/>
      <c r="AA130" s="231"/>
      <c r="AB130" s="231"/>
      <c r="AC130" s="231"/>
      <c r="AD130" s="231"/>
      <c r="AE130" s="231"/>
      <c r="AF130" s="231"/>
      <c r="AG130" s="231"/>
      <c r="AH130" s="231"/>
      <c r="AI130" s="231"/>
      <c r="AJ130" s="231"/>
      <c r="AK130" s="231"/>
      <c r="AL130" s="231"/>
      <c r="AM130" s="231"/>
      <c r="AN130" s="231"/>
      <c r="AO130" s="231"/>
    </row>
    <row r="131" spans="1:41" s="203" customFormat="1">
      <c r="A131" s="120">
        <v>29</v>
      </c>
      <c r="B131" s="47" t="s">
        <v>120</v>
      </c>
      <c r="C131" s="47"/>
      <c r="D131" s="47"/>
      <c r="E131" s="49">
        <v>206</v>
      </c>
      <c r="F131" s="52">
        <v>141</v>
      </c>
      <c r="G131" s="118"/>
      <c r="H131" s="122">
        <v>217</v>
      </c>
      <c r="I131" s="139"/>
      <c r="J131" s="231"/>
      <c r="K131" s="231"/>
      <c r="L131" s="231"/>
      <c r="M131" s="231"/>
      <c r="N131" s="231"/>
      <c r="O131" s="231"/>
      <c r="P131" s="231"/>
      <c r="Q131" s="231"/>
      <c r="R131" s="231"/>
      <c r="S131" s="231"/>
      <c r="T131" s="231"/>
      <c r="U131" s="231"/>
      <c r="V131" s="231"/>
      <c r="W131" s="231"/>
      <c r="X131" s="231"/>
      <c r="Y131" s="231"/>
      <c r="Z131" s="231"/>
      <c r="AA131" s="231"/>
      <c r="AB131" s="231"/>
      <c r="AC131" s="231"/>
      <c r="AD131" s="231"/>
      <c r="AE131" s="231"/>
      <c r="AF131" s="231"/>
      <c r="AG131" s="231"/>
      <c r="AH131" s="231"/>
      <c r="AI131" s="231"/>
      <c r="AJ131" s="231"/>
      <c r="AK131" s="231"/>
      <c r="AL131" s="231"/>
      <c r="AM131" s="231"/>
      <c r="AN131" s="231"/>
      <c r="AO131" s="231"/>
    </row>
    <row r="132" spans="1:41" s="203" customFormat="1">
      <c r="A132" s="120">
        <v>30</v>
      </c>
      <c r="B132" s="47" t="s">
        <v>125</v>
      </c>
      <c r="C132" s="47"/>
      <c r="D132" s="47"/>
      <c r="E132" s="49">
        <v>834</v>
      </c>
      <c r="F132" s="52">
        <v>617</v>
      </c>
      <c r="G132" s="118"/>
      <c r="H132" s="122">
        <v>621</v>
      </c>
      <c r="I132" s="139"/>
      <c r="J132" s="231"/>
      <c r="K132" s="231"/>
      <c r="L132" s="231"/>
      <c r="M132" s="231"/>
      <c r="N132" s="231"/>
      <c r="O132" s="231"/>
      <c r="P132" s="231"/>
      <c r="Q132" s="231"/>
      <c r="R132" s="231"/>
      <c r="S132" s="231"/>
      <c r="T132" s="231"/>
      <c r="U132" s="231"/>
      <c r="V132" s="231"/>
      <c r="W132" s="231"/>
      <c r="X132" s="231"/>
      <c r="Y132" s="231"/>
      <c r="Z132" s="231"/>
      <c r="AA132" s="231"/>
      <c r="AB132" s="231"/>
      <c r="AC132" s="231"/>
      <c r="AD132" s="231"/>
      <c r="AE132" s="231"/>
      <c r="AF132" s="231"/>
      <c r="AG132" s="231"/>
      <c r="AH132" s="231"/>
      <c r="AI132" s="231"/>
      <c r="AJ132" s="231"/>
      <c r="AK132" s="231"/>
      <c r="AL132" s="231"/>
      <c r="AM132" s="231"/>
      <c r="AN132" s="231"/>
      <c r="AO132" s="231"/>
    </row>
    <row r="133" spans="1:41" s="203" customFormat="1">
      <c r="A133" s="120">
        <v>31</v>
      </c>
      <c r="B133" s="90" t="s">
        <v>126</v>
      </c>
      <c r="C133" s="47"/>
      <c r="D133" s="47"/>
      <c r="E133" s="49">
        <v>768</v>
      </c>
      <c r="F133" s="52">
        <v>1125</v>
      </c>
      <c r="G133" s="118"/>
      <c r="H133" s="122">
        <v>1081</v>
      </c>
      <c r="I133" s="139"/>
      <c r="J133" s="231"/>
      <c r="K133" s="231"/>
      <c r="L133" s="231"/>
      <c r="M133" s="231"/>
      <c r="N133" s="231"/>
      <c r="O133" s="231"/>
      <c r="P133" s="231"/>
      <c r="Q133" s="231"/>
      <c r="R133" s="231"/>
      <c r="S133" s="231"/>
      <c r="T133" s="231"/>
      <c r="U133" s="231"/>
      <c r="V133" s="231"/>
      <c r="W133" s="231"/>
      <c r="X133" s="231"/>
      <c r="Y133" s="231"/>
      <c r="Z133" s="231"/>
      <c r="AA133" s="231"/>
      <c r="AB133" s="231"/>
      <c r="AC133" s="231"/>
      <c r="AD133" s="231"/>
      <c r="AE133" s="231"/>
      <c r="AF133" s="231"/>
      <c r="AG133" s="231"/>
      <c r="AH133" s="231"/>
      <c r="AI133" s="231"/>
      <c r="AJ133" s="231"/>
      <c r="AK133" s="231"/>
      <c r="AL133" s="231"/>
      <c r="AM133" s="231"/>
      <c r="AN133" s="231"/>
      <c r="AO133" s="231"/>
    </row>
    <row r="134" spans="1:41" s="203" customFormat="1">
      <c r="A134" s="120">
        <v>32</v>
      </c>
      <c r="B134" s="47" t="s">
        <v>121</v>
      </c>
      <c r="C134" s="47"/>
      <c r="D134" s="47"/>
      <c r="E134" s="49">
        <v>-12</v>
      </c>
      <c r="F134" s="52">
        <v>442</v>
      </c>
      <c r="G134" s="118"/>
      <c r="H134" s="100">
        <v>585</v>
      </c>
      <c r="I134" s="139"/>
      <c r="J134" s="231"/>
      <c r="K134" s="231"/>
      <c r="L134" s="231"/>
      <c r="M134" s="231"/>
      <c r="N134" s="231"/>
      <c r="O134" s="231"/>
      <c r="P134" s="231"/>
      <c r="Q134" s="231"/>
      <c r="R134" s="231"/>
      <c r="S134" s="231"/>
      <c r="T134" s="231"/>
      <c r="U134" s="231"/>
      <c r="V134" s="231"/>
      <c r="W134" s="231"/>
      <c r="X134" s="231"/>
      <c r="Y134" s="231"/>
      <c r="Z134" s="231"/>
      <c r="AA134" s="231"/>
      <c r="AB134" s="231"/>
      <c r="AC134" s="231"/>
      <c r="AD134" s="231"/>
      <c r="AE134" s="231"/>
      <c r="AF134" s="231"/>
      <c r="AG134" s="231"/>
      <c r="AH134" s="231"/>
      <c r="AI134" s="231"/>
      <c r="AJ134" s="231"/>
      <c r="AK134" s="231"/>
      <c r="AL134" s="231"/>
      <c r="AM134" s="231"/>
      <c r="AN134" s="231"/>
      <c r="AO134" s="231"/>
    </row>
    <row r="135" spans="1:41" s="203" customFormat="1">
      <c r="A135" s="120">
        <v>33</v>
      </c>
      <c r="B135" s="116" t="s">
        <v>128</v>
      </c>
      <c r="C135" s="116"/>
      <c r="D135" s="116"/>
      <c r="E135" s="80">
        <v>7651</v>
      </c>
      <c r="F135" s="142">
        <f>SUM(F128:F134)</f>
        <v>7773</v>
      </c>
      <c r="G135" s="118"/>
      <c r="H135" s="142">
        <f>SUM(H128:H134)</f>
        <v>8809</v>
      </c>
      <c r="I135" s="139"/>
      <c r="J135" s="231"/>
      <c r="K135" s="231"/>
      <c r="L135" s="231"/>
      <c r="M135" s="231"/>
      <c r="N135" s="231"/>
      <c r="O135" s="231"/>
      <c r="P135" s="231"/>
      <c r="Q135" s="231"/>
      <c r="R135" s="231"/>
      <c r="S135" s="231"/>
      <c r="T135" s="231"/>
      <c r="U135" s="231"/>
      <c r="V135" s="231"/>
      <c r="W135" s="231"/>
      <c r="X135" s="231"/>
      <c r="Y135" s="231"/>
      <c r="Z135" s="231"/>
      <c r="AA135" s="231"/>
      <c r="AB135" s="231"/>
      <c r="AC135" s="231"/>
      <c r="AD135" s="231"/>
      <c r="AE135" s="231"/>
      <c r="AF135" s="231"/>
      <c r="AG135" s="231"/>
      <c r="AH135" s="231"/>
      <c r="AI135" s="231"/>
      <c r="AJ135" s="231"/>
      <c r="AK135" s="231"/>
      <c r="AL135" s="231"/>
      <c r="AM135" s="231"/>
      <c r="AN135" s="231"/>
      <c r="AO135" s="231"/>
    </row>
    <row r="136" spans="1:41" s="203" customFormat="1">
      <c r="A136" s="111"/>
      <c r="B136" s="47"/>
      <c r="C136" s="47"/>
      <c r="D136" s="138"/>
      <c r="E136" s="117"/>
      <c r="F136" s="118"/>
      <c r="G136" s="118"/>
      <c r="H136" s="118"/>
      <c r="I136" s="139"/>
      <c r="J136" s="231"/>
      <c r="K136" s="231"/>
      <c r="L136" s="231"/>
      <c r="M136" s="231"/>
      <c r="N136" s="231"/>
      <c r="O136" s="231"/>
      <c r="P136" s="231"/>
      <c r="Q136" s="231"/>
      <c r="R136" s="231"/>
      <c r="S136" s="231"/>
      <c r="T136" s="231"/>
      <c r="U136" s="231"/>
      <c r="V136" s="231"/>
      <c r="W136" s="231"/>
      <c r="X136" s="231"/>
      <c r="Y136" s="231"/>
      <c r="Z136" s="231"/>
      <c r="AA136" s="231"/>
      <c r="AB136" s="231"/>
      <c r="AC136" s="231"/>
      <c r="AD136" s="231"/>
      <c r="AE136" s="231"/>
      <c r="AF136" s="231"/>
      <c r="AG136" s="231"/>
      <c r="AH136" s="231"/>
      <c r="AI136" s="231"/>
      <c r="AJ136" s="231"/>
      <c r="AK136" s="231"/>
      <c r="AL136" s="231"/>
      <c r="AM136" s="231"/>
      <c r="AN136" s="231"/>
      <c r="AO136" s="231"/>
    </row>
    <row r="137" spans="1:41" s="203" customFormat="1">
      <c r="A137" s="119" t="s">
        <v>109</v>
      </c>
      <c r="B137" s="116"/>
      <c r="C137" s="116"/>
      <c r="D137" s="116"/>
      <c r="E137" s="140"/>
      <c r="F137" s="146"/>
      <c r="G137" s="118"/>
      <c r="H137" s="146"/>
      <c r="I137" s="139"/>
      <c r="J137" s="231"/>
      <c r="K137" s="231"/>
      <c r="L137" s="231"/>
      <c r="M137" s="231"/>
      <c r="N137" s="231"/>
      <c r="O137" s="231"/>
      <c r="P137" s="231"/>
      <c r="Q137" s="231"/>
      <c r="R137" s="231"/>
      <c r="S137" s="231"/>
      <c r="T137" s="231"/>
      <c r="U137" s="231"/>
      <c r="V137" s="231"/>
      <c r="W137" s="231"/>
      <c r="X137" s="231"/>
      <c r="Y137" s="231"/>
      <c r="Z137" s="231"/>
      <c r="AA137" s="231"/>
      <c r="AB137" s="231"/>
      <c r="AC137" s="231"/>
      <c r="AD137" s="231"/>
      <c r="AE137" s="231"/>
      <c r="AF137" s="231"/>
      <c r="AG137" s="231"/>
      <c r="AH137" s="231"/>
      <c r="AI137" s="231"/>
      <c r="AJ137" s="231"/>
      <c r="AK137" s="231"/>
      <c r="AL137" s="231"/>
      <c r="AM137" s="231"/>
      <c r="AN137" s="231"/>
      <c r="AO137" s="231"/>
    </row>
    <row r="138" spans="1:41" s="203" customFormat="1">
      <c r="A138" s="120">
        <v>34</v>
      </c>
      <c r="B138" s="47" t="s">
        <v>123</v>
      </c>
      <c r="C138" s="47"/>
      <c r="D138" s="47"/>
      <c r="E138" s="49">
        <v>560</v>
      </c>
      <c r="F138" s="52">
        <v>113</v>
      </c>
      <c r="G138" s="118"/>
      <c r="H138" s="122">
        <v>638</v>
      </c>
      <c r="I138" s="139"/>
      <c r="J138" s="231"/>
      <c r="K138" s="231"/>
      <c r="L138" s="231"/>
      <c r="M138" s="231"/>
      <c r="N138" s="231"/>
      <c r="O138" s="231"/>
      <c r="P138" s="231"/>
      <c r="Q138" s="231"/>
      <c r="R138" s="231"/>
      <c r="S138" s="231"/>
      <c r="T138" s="231"/>
      <c r="U138" s="231"/>
      <c r="V138" s="231"/>
      <c r="W138" s="231"/>
      <c r="X138" s="231"/>
      <c r="Y138" s="231"/>
      <c r="Z138" s="231"/>
      <c r="AA138" s="231"/>
      <c r="AB138" s="231"/>
      <c r="AC138" s="231"/>
      <c r="AD138" s="231"/>
      <c r="AE138" s="231"/>
      <c r="AF138" s="231"/>
      <c r="AG138" s="231"/>
      <c r="AH138" s="231"/>
      <c r="AI138" s="231"/>
      <c r="AJ138" s="231"/>
      <c r="AK138" s="231"/>
      <c r="AL138" s="231"/>
      <c r="AM138" s="231"/>
      <c r="AN138" s="231"/>
      <c r="AO138" s="231"/>
    </row>
    <row r="139" spans="1:41" s="203" customFormat="1">
      <c r="A139" s="120">
        <v>35</v>
      </c>
      <c r="B139" s="47" t="s">
        <v>119</v>
      </c>
      <c r="C139" s="47"/>
      <c r="D139" s="47"/>
      <c r="E139" s="49">
        <v>11842</v>
      </c>
      <c r="F139" s="52">
        <v>12729</v>
      </c>
      <c r="G139" s="118"/>
      <c r="H139" s="122">
        <v>13036</v>
      </c>
      <c r="I139" s="139"/>
      <c r="J139" s="231"/>
      <c r="K139" s="231"/>
      <c r="L139" s="231"/>
      <c r="M139" s="231"/>
      <c r="N139" s="231"/>
      <c r="O139" s="231"/>
      <c r="P139" s="231"/>
      <c r="Q139" s="231"/>
      <c r="R139" s="231"/>
      <c r="S139" s="231"/>
      <c r="T139" s="231"/>
      <c r="U139" s="231"/>
      <c r="V139" s="231"/>
      <c r="W139" s="231"/>
      <c r="X139" s="231"/>
      <c r="Y139" s="231"/>
      <c r="Z139" s="231"/>
      <c r="AA139" s="231"/>
      <c r="AB139" s="231"/>
      <c r="AC139" s="231"/>
      <c r="AD139" s="231"/>
      <c r="AE139" s="231"/>
      <c r="AF139" s="231"/>
      <c r="AG139" s="231"/>
      <c r="AH139" s="231"/>
      <c r="AI139" s="231"/>
      <c r="AJ139" s="231"/>
      <c r="AK139" s="231"/>
      <c r="AL139" s="231"/>
      <c r="AM139" s="231"/>
      <c r="AN139" s="231"/>
      <c r="AO139" s="231"/>
    </row>
    <row r="140" spans="1:41" s="203" customFormat="1">
      <c r="A140" s="120">
        <v>36</v>
      </c>
      <c r="B140" s="47" t="s">
        <v>120</v>
      </c>
      <c r="C140" s="47"/>
      <c r="D140" s="47"/>
      <c r="E140" s="49">
        <v>6270</v>
      </c>
      <c r="F140" s="52">
        <v>6578</v>
      </c>
      <c r="G140" s="118"/>
      <c r="H140" s="122">
        <v>6639</v>
      </c>
      <c r="I140" s="139"/>
      <c r="J140" s="231"/>
      <c r="K140" s="231"/>
      <c r="L140" s="231"/>
      <c r="M140" s="231"/>
      <c r="N140" s="231"/>
      <c r="O140" s="231"/>
      <c r="P140" s="231"/>
      <c r="Q140" s="231"/>
      <c r="R140" s="231"/>
      <c r="S140" s="231"/>
      <c r="T140" s="231"/>
      <c r="U140" s="231"/>
      <c r="V140" s="231"/>
      <c r="W140" s="231"/>
      <c r="X140" s="231"/>
      <c r="Y140" s="231"/>
      <c r="Z140" s="231"/>
      <c r="AA140" s="231"/>
      <c r="AB140" s="231"/>
      <c r="AC140" s="231"/>
      <c r="AD140" s="231"/>
      <c r="AE140" s="231"/>
      <c r="AF140" s="231"/>
      <c r="AG140" s="231"/>
      <c r="AH140" s="231"/>
      <c r="AI140" s="231"/>
      <c r="AJ140" s="231"/>
      <c r="AK140" s="231"/>
      <c r="AL140" s="231"/>
      <c r="AM140" s="231"/>
      <c r="AN140" s="231"/>
      <c r="AO140" s="231"/>
    </row>
    <row r="141" spans="1:41" s="203" customFormat="1">
      <c r="A141" s="120">
        <v>37</v>
      </c>
      <c r="B141" s="90" t="s">
        <v>126</v>
      </c>
      <c r="C141" s="47"/>
      <c r="D141" s="47"/>
      <c r="E141" s="49">
        <v>1842</v>
      </c>
      <c r="F141" s="52">
        <v>2497</v>
      </c>
      <c r="G141" s="118"/>
      <c r="H141" s="99">
        <v>2523</v>
      </c>
      <c r="I141" s="139"/>
      <c r="J141" s="231"/>
      <c r="K141" s="231"/>
      <c r="L141" s="231"/>
      <c r="M141" s="231"/>
      <c r="N141" s="231"/>
      <c r="O141" s="231"/>
      <c r="P141" s="231"/>
      <c r="Q141" s="231"/>
      <c r="R141" s="231"/>
      <c r="S141" s="231"/>
      <c r="T141" s="231"/>
      <c r="U141" s="231"/>
      <c r="V141" s="231"/>
      <c r="W141" s="231"/>
      <c r="X141" s="231"/>
      <c r="Y141" s="231"/>
      <c r="Z141" s="231"/>
      <c r="AA141" s="231"/>
      <c r="AB141" s="231"/>
      <c r="AC141" s="231"/>
      <c r="AD141" s="231"/>
      <c r="AE141" s="231"/>
      <c r="AF141" s="231"/>
      <c r="AG141" s="231"/>
      <c r="AH141" s="231"/>
      <c r="AI141" s="231"/>
      <c r="AJ141" s="231"/>
      <c r="AK141" s="231"/>
      <c r="AL141" s="231"/>
      <c r="AM141" s="231"/>
      <c r="AN141" s="231"/>
      <c r="AO141" s="231"/>
    </row>
    <row r="142" spans="1:41" s="203" customFormat="1">
      <c r="A142" s="120">
        <v>38</v>
      </c>
      <c r="B142" s="47" t="s">
        <v>121</v>
      </c>
      <c r="C142" s="47"/>
      <c r="D142" s="47"/>
      <c r="E142" s="49">
        <v>3556</v>
      </c>
      <c r="F142" s="52">
        <v>3142</v>
      </c>
      <c r="G142" s="118"/>
      <c r="H142" s="100">
        <v>3512</v>
      </c>
      <c r="I142" s="139"/>
      <c r="J142" s="231"/>
      <c r="K142" s="231"/>
      <c r="L142" s="231"/>
      <c r="M142" s="231"/>
      <c r="N142" s="231"/>
      <c r="O142" s="231"/>
      <c r="P142" s="231"/>
      <c r="Q142" s="231"/>
      <c r="R142" s="231"/>
      <c r="S142" s="231"/>
      <c r="T142" s="231"/>
      <c r="U142" s="231"/>
      <c r="V142" s="231"/>
      <c r="W142" s="231"/>
      <c r="X142" s="231"/>
      <c r="Y142" s="231"/>
      <c r="Z142" s="231"/>
      <c r="AA142" s="231"/>
      <c r="AB142" s="231"/>
      <c r="AC142" s="231"/>
      <c r="AD142" s="231"/>
      <c r="AE142" s="231"/>
      <c r="AF142" s="231"/>
      <c r="AG142" s="231"/>
      <c r="AH142" s="231"/>
      <c r="AI142" s="231"/>
      <c r="AJ142" s="231"/>
      <c r="AK142" s="231"/>
      <c r="AL142" s="231"/>
      <c r="AM142" s="231"/>
      <c r="AN142" s="231"/>
      <c r="AO142" s="231"/>
    </row>
    <row r="143" spans="1:41" s="203" customFormat="1">
      <c r="A143" s="120">
        <v>39</v>
      </c>
      <c r="B143" s="116" t="s">
        <v>129</v>
      </c>
      <c r="C143" s="116"/>
      <c r="D143" s="116"/>
      <c r="E143" s="80">
        <v>24070</v>
      </c>
      <c r="F143" s="142">
        <f>SUM(F138:F142)</f>
        <v>25059</v>
      </c>
      <c r="G143" s="118"/>
      <c r="H143" s="142">
        <f>SUM(H138:H142)</f>
        <v>26348</v>
      </c>
      <c r="I143" s="139"/>
      <c r="J143" s="231"/>
      <c r="K143" s="231"/>
      <c r="L143" s="231"/>
      <c r="M143" s="231"/>
      <c r="N143" s="231"/>
      <c r="O143" s="231"/>
      <c r="P143" s="231"/>
      <c r="Q143" s="231"/>
      <c r="R143" s="231"/>
      <c r="S143" s="231"/>
      <c r="T143" s="231"/>
      <c r="U143" s="231"/>
      <c r="V143" s="231"/>
      <c r="W143" s="231"/>
      <c r="X143" s="231"/>
      <c r="Y143" s="231"/>
      <c r="Z143" s="231"/>
      <c r="AA143" s="231"/>
      <c r="AB143" s="231"/>
      <c r="AC143" s="231"/>
      <c r="AD143" s="231"/>
      <c r="AE143" s="231"/>
      <c r="AF143" s="231"/>
      <c r="AG143" s="231"/>
      <c r="AH143" s="231"/>
      <c r="AI143" s="231"/>
      <c r="AJ143" s="231"/>
      <c r="AK143" s="231"/>
      <c r="AL143" s="231"/>
      <c r="AM143" s="231"/>
      <c r="AN143" s="231"/>
      <c r="AO143" s="231"/>
    </row>
    <row r="144" spans="1:41" s="203" customFormat="1">
      <c r="A144" s="111"/>
      <c r="B144" s="47"/>
      <c r="C144" s="47"/>
      <c r="D144" s="47"/>
      <c r="E144" s="117"/>
      <c r="F144" s="118"/>
      <c r="G144" s="118"/>
      <c r="H144" s="118"/>
      <c r="I144" s="139"/>
      <c r="J144" s="231"/>
      <c r="K144" s="231"/>
      <c r="L144" s="231"/>
      <c r="M144" s="231"/>
      <c r="N144" s="231"/>
      <c r="O144" s="231"/>
      <c r="P144" s="231"/>
      <c r="Q144" s="231"/>
      <c r="R144" s="231"/>
      <c r="S144" s="231"/>
      <c r="T144" s="231"/>
      <c r="U144" s="231"/>
      <c r="V144" s="231"/>
      <c r="W144" s="231"/>
      <c r="X144" s="231"/>
      <c r="Y144" s="231"/>
      <c r="Z144" s="231"/>
      <c r="AA144" s="231"/>
      <c r="AB144" s="231"/>
      <c r="AC144" s="231"/>
      <c r="AD144" s="231"/>
      <c r="AE144" s="231"/>
      <c r="AF144" s="231"/>
      <c r="AG144" s="231"/>
      <c r="AH144" s="231"/>
      <c r="AI144" s="231"/>
      <c r="AJ144" s="231"/>
      <c r="AK144" s="231"/>
      <c r="AL144" s="231"/>
      <c r="AM144" s="231"/>
      <c r="AN144" s="231"/>
      <c r="AO144" s="231"/>
    </row>
    <row r="145" spans="1:41" s="203" customFormat="1">
      <c r="A145" s="119" t="s">
        <v>110</v>
      </c>
      <c r="B145" s="116"/>
      <c r="C145" s="116"/>
      <c r="D145" s="116"/>
      <c r="E145" s="140"/>
      <c r="F145" s="146"/>
      <c r="G145" s="118"/>
      <c r="H145" s="146"/>
      <c r="I145" s="139"/>
      <c r="J145" s="231"/>
      <c r="K145" s="231"/>
      <c r="L145" s="231"/>
      <c r="M145" s="231"/>
      <c r="N145" s="231"/>
      <c r="O145" s="231"/>
      <c r="P145" s="231"/>
      <c r="Q145" s="231"/>
      <c r="R145" s="231"/>
      <c r="S145" s="231"/>
      <c r="T145" s="231"/>
      <c r="U145" s="231"/>
      <c r="V145" s="231"/>
      <c r="W145" s="231"/>
      <c r="X145" s="231"/>
      <c r="Y145" s="231"/>
      <c r="Z145" s="231"/>
      <c r="AA145" s="231"/>
      <c r="AB145" s="231"/>
      <c r="AC145" s="231"/>
      <c r="AD145" s="231"/>
      <c r="AE145" s="231"/>
      <c r="AF145" s="231"/>
      <c r="AG145" s="231"/>
      <c r="AH145" s="231"/>
      <c r="AI145" s="231"/>
      <c r="AJ145" s="231"/>
      <c r="AK145" s="231"/>
      <c r="AL145" s="231"/>
      <c r="AM145" s="231"/>
      <c r="AN145" s="231"/>
      <c r="AO145" s="231"/>
    </row>
    <row r="146" spans="1:41" s="203" customFormat="1">
      <c r="A146" s="120">
        <v>40</v>
      </c>
      <c r="B146" s="47" t="s">
        <v>123</v>
      </c>
      <c r="C146" s="47"/>
      <c r="D146" s="47"/>
      <c r="E146" s="49">
        <v>763</v>
      </c>
      <c r="F146" s="52">
        <v>658</v>
      </c>
      <c r="G146" s="118"/>
      <c r="H146" s="122">
        <v>829</v>
      </c>
      <c r="I146" s="139"/>
      <c r="J146" s="231"/>
      <c r="K146" s="231"/>
      <c r="L146" s="231"/>
      <c r="M146" s="231"/>
      <c r="N146" s="231"/>
      <c r="O146" s="231"/>
      <c r="P146" s="231"/>
      <c r="Q146" s="231"/>
      <c r="R146" s="231"/>
      <c r="S146" s="231"/>
      <c r="T146" s="231"/>
      <c r="U146" s="231"/>
      <c r="V146" s="231"/>
      <c r="W146" s="231"/>
      <c r="X146" s="231"/>
      <c r="Y146" s="231"/>
      <c r="Z146" s="231"/>
      <c r="AA146" s="231"/>
      <c r="AB146" s="231"/>
      <c r="AC146" s="231"/>
      <c r="AD146" s="231"/>
      <c r="AE146" s="231"/>
      <c r="AF146" s="231"/>
      <c r="AG146" s="231"/>
      <c r="AH146" s="231"/>
      <c r="AI146" s="231"/>
      <c r="AJ146" s="231"/>
      <c r="AK146" s="231"/>
      <c r="AL146" s="231"/>
      <c r="AM146" s="231"/>
      <c r="AN146" s="231"/>
      <c r="AO146" s="231"/>
    </row>
    <row r="147" spans="1:41" s="203" customFormat="1">
      <c r="A147" s="120">
        <v>41</v>
      </c>
      <c r="B147" s="47" t="s">
        <v>119</v>
      </c>
      <c r="C147" s="47"/>
      <c r="D147" s="47"/>
      <c r="E147" s="49">
        <v>1486</v>
      </c>
      <c r="F147" s="52">
        <v>890</v>
      </c>
      <c r="G147" s="118"/>
      <c r="H147" s="122">
        <v>1077</v>
      </c>
      <c r="I147" s="139"/>
      <c r="J147" s="231"/>
      <c r="K147" s="231"/>
      <c r="L147" s="231"/>
      <c r="M147" s="231"/>
      <c r="N147" s="231"/>
      <c r="O147" s="231"/>
      <c r="P147" s="231"/>
      <c r="Q147" s="231"/>
      <c r="R147" s="231"/>
      <c r="S147" s="231"/>
      <c r="T147" s="231"/>
      <c r="U147" s="231"/>
      <c r="V147" s="231"/>
      <c r="W147" s="231"/>
      <c r="X147" s="231"/>
      <c r="Y147" s="231"/>
      <c r="Z147" s="231"/>
      <c r="AA147" s="231"/>
      <c r="AB147" s="231"/>
      <c r="AC147" s="231"/>
      <c r="AD147" s="231"/>
      <c r="AE147" s="231"/>
      <c r="AF147" s="231"/>
      <c r="AG147" s="231"/>
      <c r="AH147" s="231"/>
      <c r="AI147" s="231"/>
      <c r="AJ147" s="231"/>
      <c r="AK147" s="231"/>
      <c r="AL147" s="231"/>
      <c r="AM147" s="231"/>
      <c r="AN147" s="231"/>
      <c r="AO147" s="231"/>
    </row>
    <row r="148" spans="1:41" s="203" customFormat="1">
      <c r="A148" s="120">
        <v>42</v>
      </c>
      <c r="B148" s="47" t="s">
        <v>120</v>
      </c>
      <c r="C148" s="47"/>
      <c r="D148" s="47"/>
      <c r="E148" s="49">
        <v>260</v>
      </c>
      <c r="F148" s="52">
        <v>267</v>
      </c>
      <c r="G148" s="118"/>
      <c r="H148" s="122">
        <v>262</v>
      </c>
      <c r="I148" s="139"/>
      <c r="J148" s="231"/>
      <c r="K148" s="231"/>
      <c r="L148" s="231"/>
      <c r="M148" s="231"/>
      <c r="N148" s="231"/>
      <c r="O148" s="231"/>
      <c r="P148" s="231"/>
      <c r="Q148" s="231"/>
      <c r="R148" s="231"/>
      <c r="S148" s="231"/>
      <c r="T148" s="231"/>
      <c r="U148" s="231"/>
      <c r="V148" s="231"/>
      <c r="W148" s="231"/>
      <c r="X148" s="231"/>
      <c r="Y148" s="231"/>
      <c r="Z148" s="231"/>
      <c r="AA148" s="231"/>
      <c r="AB148" s="231"/>
      <c r="AC148" s="231"/>
      <c r="AD148" s="231"/>
      <c r="AE148" s="231"/>
      <c r="AF148" s="231"/>
      <c r="AG148" s="231"/>
      <c r="AH148" s="231"/>
      <c r="AI148" s="231"/>
      <c r="AJ148" s="231"/>
      <c r="AK148" s="231"/>
      <c r="AL148" s="231"/>
      <c r="AM148" s="231"/>
      <c r="AN148" s="231"/>
      <c r="AO148" s="231"/>
    </row>
    <row r="149" spans="1:41" s="203" customFormat="1">
      <c r="A149" s="120">
        <v>43</v>
      </c>
      <c r="B149" s="47" t="s">
        <v>121</v>
      </c>
      <c r="C149" s="47"/>
      <c r="D149" s="47"/>
      <c r="E149" s="49">
        <v>640</v>
      </c>
      <c r="F149" s="52">
        <v>342</v>
      </c>
      <c r="G149" s="118"/>
      <c r="H149" s="100">
        <v>372</v>
      </c>
      <c r="I149" s="139"/>
      <c r="J149" s="231"/>
      <c r="K149" s="231"/>
      <c r="L149" s="231"/>
      <c r="M149" s="231"/>
      <c r="N149" s="231"/>
      <c r="O149" s="231"/>
      <c r="P149" s="231"/>
      <c r="Q149" s="231"/>
      <c r="R149" s="231"/>
      <c r="S149" s="231"/>
      <c r="T149" s="231"/>
      <c r="U149" s="231"/>
      <c r="V149" s="231"/>
      <c r="W149" s="231"/>
      <c r="X149" s="231"/>
      <c r="Y149" s="231"/>
      <c r="Z149" s="231"/>
      <c r="AA149" s="231"/>
      <c r="AB149" s="231"/>
      <c r="AC149" s="231"/>
      <c r="AD149" s="231"/>
      <c r="AE149" s="231"/>
      <c r="AF149" s="231"/>
      <c r="AG149" s="231"/>
      <c r="AH149" s="231"/>
      <c r="AI149" s="231"/>
      <c r="AJ149" s="231"/>
      <c r="AK149" s="231"/>
      <c r="AL149" s="231"/>
      <c r="AM149" s="231"/>
      <c r="AN149" s="231"/>
      <c r="AO149" s="231"/>
    </row>
    <row r="150" spans="1:41" s="203" customFormat="1">
      <c r="A150" s="124">
        <v>44</v>
      </c>
      <c r="B150" s="94" t="s">
        <v>130</v>
      </c>
      <c r="C150" s="94"/>
      <c r="D150" s="94"/>
      <c r="E150" s="80">
        <v>3149</v>
      </c>
      <c r="F150" s="142">
        <f>SUM(F146:F149)</f>
        <v>2157</v>
      </c>
      <c r="G150" s="259"/>
      <c r="H150" s="142">
        <f>SUM(H146:H149)</f>
        <v>2540</v>
      </c>
      <c r="I150" s="139"/>
      <c r="J150" s="231"/>
      <c r="K150" s="231"/>
      <c r="L150" s="231"/>
      <c r="M150" s="231"/>
      <c r="N150" s="231"/>
      <c r="O150" s="231"/>
      <c r="P150" s="231"/>
      <c r="Q150" s="231"/>
      <c r="R150" s="231"/>
      <c r="S150" s="231"/>
      <c r="T150" s="231"/>
      <c r="U150" s="231"/>
      <c r="V150" s="231"/>
      <c r="W150" s="231"/>
      <c r="X150" s="231"/>
      <c r="Y150" s="231"/>
      <c r="Z150" s="231"/>
      <c r="AA150" s="231"/>
      <c r="AB150" s="231"/>
      <c r="AC150" s="231"/>
      <c r="AD150" s="231"/>
      <c r="AE150" s="231"/>
      <c r="AF150" s="231"/>
      <c r="AG150" s="231"/>
      <c r="AH150" s="231"/>
      <c r="AI150" s="231"/>
      <c r="AJ150" s="231"/>
      <c r="AK150" s="231"/>
      <c r="AL150" s="231"/>
      <c r="AM150" s="231"/>
      <c r="AN150" s="231"/>
      <c r="AO150" s="231"/>
    </row>
    <row r="151" spans="1:41" s="203" customFormat="1">
      <c r="A151" s="148"/>
      <c r="B151" s="129"/>
      <c r="C151" s="129"/>
      <c r="D151" s="149"/>
      <c r="E151" s="150"/>
      <c r="F151" s="29"/>
      <c r="G151" s="29"/>
      <c r="H151" s="207"/>
      <c r="I151" s="29"/>
      <c r="J151" s="231"/>
      <c r="K151" s="231"/>
      <c r="L151" s="231"/>
      <c r="M151" s="231"/>
      <c r="N151" s="231"/>
      <c r="O151" s="231"/>
      <c r="P151" s="231"/>
      <c r="Q151" s="231"/>
      <c r="R151" s="231"/>
      <c r="S151" s="231"/>
      <c r="T151" s="231"/>
      <c r="U151" s="231"/>
      <c r="V151" s="231"/>
      <c r="W151" s="231"/>
      <c r="X151" s="231"/>
      <c r="Y151" s="231"/>
      <c r="Z151" s="231"/>
      <c r="AA151" s="231"/>
      <c r="AB151" s="231"/>
      <c r="AC151" s="231"/>
      <c r="AD151" s="231"/>
      <c r="AE151" s="231"/>
      <c r="AF151" s="231"/>
      <c r="AG151" s="231"/>
      <c r="AH151" s="231"/>
      <c r="AI151" s="231"/>
      <c r="AJ151" s="231"/>
      <c r="AK151" s="231"/>
      <c r="AL151" s="231"/>
      <c r="AM151" s="231"/>
      <c r="AN151" s="231"/>
      <c r="AO151" s="231"/>
    </row>
    <row r="152" spans="1:41" s="203" customFormat="1">
      <c r="A152" s="148"/>
      <c r="B152" s="129"/>
      <c r="C152" s="129"/>
      <c r="D152" s="151"/>
      <c r="E152" s="152"/>
      <c r="F152" s="29"/>
      <c r="G152" s="29"/>
      <c r="H152" s="131" t="s">
        <v>27</v>
      </c>
      <c r="I152" s="29"/>
      <c r="J152" s="231"/>
      <c r="K152" s="231"/>
      <c r="L152" s="231"/>
      <c r="M152" s="231"/>
      <c r="N152" s="231"/>
      <c r="O152" s="231"/>
      <c r="P152" s="231"/>
      <c r="Q152" s="231"/>
      <c r="R152" s="231"/>
      <c r="S152" s="231"/>
      <c r="T152" s="231"/>
      <c r="U152" s="231"/>
      <c r="V152" s="231"/>
      <c r="W152" s="231"/>
      <c r="X152" s="231"/>
      <c r="Y152" s="231"/>
      <c r="Z152" s="231"/>
      <c r="AA152" s="231"/>
      <c r="AB152" s="231"/>
      <c r="AC152" s="231"/>
      <c r="AD152" s="231"/>
      <c r="AE152" s="231"/>
      <c r="AF152" s="231"/>
      <c r="AG152" s="231"/>
      <c r="AH152" s="231"/>
      <c r="AI152" s="231"/>
      <c r="AJ152" s="231"/>
      <c r="AK152" s="231"/>
      <c r="AL152" s="231"/>
      <c r="AM152" s="231"/>
      <c r="AN152" s="231"/>
      <c r="AO152" s="231"/>
    </row>
    <row r="153" spans="1:41" s="203" customFormat="1">
      <c r="A153" s="106" t="s">
        <v>20</v>
      </c>
      <c r="B153" s="107"/>
      <c r="C153" s="107"/>
      <c r="D153" s="107"/>
      <c r="E153" s="856" t="s">
        <v>377</v>
      </c>
      <c r="F153" s="856" t="s">
        <v>402</v>
      </c>
      <c r="G153" s="130"/>
      <c r="H153" s="856" t="s">
        <v>403</v>
      </c>
      <c r="I153" s="130"/>
      <c r="J153" s="231"/>
      <c r="K153" s="231"/>
      <c r="L153" s="231"/>
      <c r="M153" s="231"/>
      <c r="N153" s="231"/>
      <c r="O153" s="231"/>
      <c r="P153" s="231"/>
      <c r="Q153" s="231"/>
      <c r="R153" s="231"/>
      <c r="S153" s="231"/>
      <c r="T153" s="231"/>
      <c r="U153" s="231"/>
      <c r="V153" s="231"/>
      <c r="W153" s="231"/>
      <c r="X153" s="231"/>
      <c r="Y153" s="231"/>
      <c r="Z153" s="231"/>
      <c r="AA153" s="231"/>
      <c r="AB153" s="231"/>
      <c r="AC153" s="231"/>
      <c r="AD153" s="231"/>
      <c r="AE153" s="231"/>
      <c r="AF153" s="231"/>
      <c r="AG153" s="231"/>
      <c r="AH153" s="231"/>
      <c r="AI153" s="231"/>
      <c r="AJ153" s="231"/>
      <c r="AK153" s="231"/>
      <c r="AL153" s="231"/>
      <c r="AM153" s="231"/>
      <c r="AN153" s="231"/>
      <c r="AO153" s="231"/>
    </row>
    <row r="154" spans="1:41" s="203" customFormat="1">
      <c r="A154" s="153"/>
      <c r="B154" s="132"/>
      <c r="C154" s="132"/>
      <c r="D154" s="132"/>
      <c r="E154" s="859"/>
      <c r="F154" s="859"/>
      <c r="G154" s="130"/>
      <c r="H154" s="859"/>
      <c r="I154" s="130"/>
      <c r="J154" s="231"/>
      <c r="K154" s="231"/>
      <c r="L154" s="231"/>
      <c r="M154" s="231"/>
      <c r="N154" s="231"/>
      <c r="O154" s="231"/>
      <c r="P154" s="231"/>
      <c r="Q154" s="231"/>
      <c r="R154" s="231"/>
      <c r="S154" s="231"/>
      <c r="T154" s="231"/>
      <c r="U154" s="231"/>
      <c r="V154" s="231"/>
      <c r="W154" s="231"/>
      <c r="X154" s="231"/>
      <c r="Y154" s="231"/>
      <c r="Z154" s="231"/>
      <c r="AA154" s="231"/>
      <c r="AB154" s="231"/>
      <c r="AC154" s="231"/>
      <c r="AD154" s="231"/>
      <c r="AE154" s="231"/>
      <c r="AF154" s="231"/>
      <c r="AG154" s="231"/>
      <c r="AH154" s="231"/>
      <c r="AI154" s="231"/>
      <c r="AJ154" s="231"/>
      <c r="AK154" s="231"/>
      <c r="AL154" s="231"/>
      <c r="AM154" s="231"/>
      <c r="AN154" s="231"/>
      <c r="AO154" s="231"/>
    </row>
    <row r="155" spans="1:41" s="203" customFormat="1">
      <c r="A155" s="154" t="s">
        <v>131</v>
      </c>
      <c r="B155" s="116"/>
      <c r="C155" s="116"/>
      <c r="D155" s="116"/>
      <c r="E155" s="859"/>
      <c r="F155" s="859"/>
      <c r="G155" s="130"/>
      <c r="H155" s="859"/>
      <c r="I155" s="130"/>
      <c r="J155" s="231"/>
      <c r="K155" s="231"/>
      <c r="L155" s="231"/>
      <c r="M155" s="231"/>
      <c r="N155" s="231"/>
      <c r="O155" s="231"/>
      <c r="P155" s="231"/>
      <c r="Q155" s="231"/>
      <c r="R155" s="231"/>
      <c r="S155" s="231"/>
      <c r="T155" s="231"/>
      <c r="U155" s="231"/>
      <c r="V155" s="231"/>
      <c r="W155" s="231"/>
      <c r="X155" s="231"/>
      <c r="Y155" s="231"/>
      <c r="Z155" s="231"/>
      <c r="AA155" s="231"/>
      <c r="AB155" s="231"/>
      <c r="AC155" s="231"/>
      <c r="AD155" s="231"/>
      <c r="AE155" s="231"/>
      <c r="AF155" s="231"/>
      <c r="AG155" s="231"/>
      <c r="AH155" s="231"/>
      <c r="AI155" s="231"/>
      <c r="AJ155" s="231"/>
      <c r="AK155" s="231"/>
      <c r="AL155" s="231"/>
      <c r="AM155" s="231"/>
      <c r="AN155" s="231"/>
      <c r="AO155" s="231"/>
    </row>
    <row r="156" spans="1:41" s="203" customFormat="1" ht="12.75" customHeight="1">
      <c r="A156" s="109" t="s">
        <v>83</v>
      </c>
      <c r="B156" s="47"/>
      <c r="C156" s="47"/>
      <c r="D156" s="47"/>
      <c r="E156" s="859"/>
      <c r="F156" s="859"/>
      <c r="G156" s="130"/>
      <c r="H156" s="859"/>
      <c r="I156" s="130"/>
      <c r="J156" s="231"/>
      <c r="K156" s="231"/>
      <c r="L156" s="231"/>
      <c r="M156" s="231"/>
      <c r="N156" s="231"/>
      <c r="O156" s="231"/>
      <c r="P156" s="231"/>
      <c r="Q156" s="231"/>
      <c r="R156" s="231"/>
      <c r="S156" s="231"/>
      <c r="T156" s="231"/>
      <c r="U156" s="231"/>
      <c r="V156" s="231"/>
      <c r="W156" s="231"/>
      <c r="X156" s="231"/>
      <c r="Y156" s="231"/>
      <c r="Z156" s="231"/>
      <c r="AA156" s="231"/>
      <c r="AB156" s="231"/>
      <c r="AC156" s="231"/>
      <c r="AD156" s="231"/>
      <c r="AE156" s="231"/>
      <c r="AF156" s="231"/>
      <c r="AG156" s="231"/>
      <c r="AH156" s="231"/>
      <c r="AI156" s="231"/>
      <c r="AJ156" s="231"/>
      <c r="AK156" s="231"/>
      <c r="AL156" s="231"/>
      <c r="AM156" s="231"/>
      <c r="AN156" s="231"/>
      <c r="AO156" s="231"/>
    </row>
    <row r="157" spans="1:41" s="203" customFormat="1">
      <c r="A157" s="110" t="s">
        <v>84</v>
      </c>
      <c r="B157" s="132"/>
      <c r="C157" s="132"/>
      <c r="D157" s="132"/>
      <c r="E157" s="860"/>
      <c r="F157" s="860"/>
      <c r="G157" s="130"/>
      <c r="H157" s="860"/>
      <c r="I157" s="130"/>
      <c r="J157" s="231"/>
      <c r="K157" s="231"/>
      <c r="L157" s="231"/>
      <c r="M157" s="231"/>
      <c r="N157" s="231"/>
      <c r="O157" s="231"/>
      <c r="P157" s="231"/>
      <c r="Q157" s="231"/>
      <c r="R157" s="231"/>
      <c r="S157" s="231"/>
      <c r="T157" s="231"/>
      <c r="U157" s="231"/>
      <c r="V157" s="231"/>
      <c r="W157" s="231"/>
      <c r="X157" s="231"/>
      <c r="Y157" s="231"/>
      <c r="Z157" s="231"/>
      <c r="AA157" s="231"/>
      <c r="AB157" s="231"/>
      <c r="AC157" s="231"/>
      <c r="AD157" s="231"/>
      <c r="AE157" s="231"/>
      <c r="AF157" s="231"/>
      <c r="AG157" s="231"/>
      <c r="AH157" s="231"/>
      <c r="AI157" s="231"/>
      <c r="AJ157" s="231"/>
      <c r="AK157" s="231"/>
      <c r="AL157" s="231"/>
      <c r="AM157" s="231"/>
      <c r="AN157" s="231"/>
      <c r="AO157" s="231"/>
    </row>
    <row r="158" spans="1:41" s="203" customFormat="1">
      <c r="A158" s="119" t="s">
        <v>132</v>
      </c>
      <c r="B158" s="47"/>
      <c r="C158" s="47"/>
      <c r="D158" s="47"/>
      <c r="E158" s="155"/>
      <c r="F158" s="146" t="s">
        <v>133</v>
      </c>
      <c r="G158" s="118"/>
      <c r="H158" s="146"/>
      <c r="I158" s="29"/>
      <c r="J158" s="231"/>
      <c r="K158" s="231"/>
      <c r="L158" s="231"/>
      <c r="M158" s="231"/>
      <c r="N158" s="231"/>
      <c r="O158" s="231"/>
      <c r="P158" s="231"/>
      <c r="Q158" s="231"/>
      <c r="R158" s="231"/>
      <c r="S158" s="231"/>
      <c r="T158" s="231"/>
      <c r="U158" s="231"/>
      <c r="V158" s="231"/>
      <c r="W158" s="231"/>
      <c r="X158" s="231"/>
      <c r="Y158" s="231"/>
      <c r="Z158" s="231"/>
      <c r="AA158" s="231"/>
      <c r="AB158" s="231"/>
      <c r="AC158" s="231"/>
      <c r="AD158" s="231"/>
      <c r="AE158" s="231"/>
      <c r="AF158" s="231"/>
      <c r="AG158" s="231"/>
      <c r="AH158" s="231"/>
      <c r="AI158" s="231"/>
      <c r="AJ158" s="231"/>
      <c r="AK158" s="231"/>
      <c r="AL158" s="231"/>
      <c r="AM158" s="231"/>
      <c r="AN158" s="231"/>
      <c r="AO158" s="231"/>
    </row>
    <row r="159" spans="1:41" s="203" customFormat="1">
      <c r="A159" s="120">
        <v>1</v>
      </c>
      <c r="B159" s="47" t="s">
        <v>134</v>
      </c>
      <c r="C159" s="47"/>
      <c r="D159" s="47"/>
      <c r="E159" s="74">
        <v>225</v>
      </c>
      <c r="F159" s="52">
        <v>250</v>
      </c>
      <c r="G159" s="118"/>
      <c r="H159" s="122">
        <v>250</v>
      </c>
      <c r="I159" s="29"/>
      <c r="J159" s="231"/>
      <c r="K159" s="231"/>
      <c r="L159" s="231"/>
      <c r="M159" s="231"/>
      <c r="N159" s="231"/>
      <c r="O159" s="231"/>
      <c r="P159" s="231"/>
      <c r="Q159" s="231"/>
      <c r="R159" s="231"/>
      <c r="S159" s="231"/>
      <c r="T159" s="231"/>
      <c r="U159" s="231"/>
      <c r="V159" s="231"/>
      <c r="W159" s="231"/>
      <c r="X159" s="231"/>
      <c r="Y159" s="231"/>
      <c r="Z159" s="231"/>
      <c r="AA159" s="231"/>
      <c r="AB159" s="231"/>
      <c r="AC159" s="231"/>
      <c r="AD159" s="231"/>
      <c r="AE159" s="231"/>
      <c r="AF159" s="231"/>
      <c r="AG159" s="231"/>
      <c r="AH159" s="231"/>
      <c r="AI159" s="231"/>
      <c r="AJ159" s="231"/>
      <c r="AK159" s="231"/>
      <c r="AL159" s="231"/>
      <c r="AM159" s="231"/>
      <c r="AN159" s="231"/>
      <c r="AO159" s="231"/>
    </row>
    <row r="160" spans="1:41" s="203" customFormat="1">
      <c r="A160" s="120">
        <v>2</v>
      </c>
      <c r="B160" s="47" t="s">
        <v>135</v>
      </c>
      <c r="C160" s="47"/>
      <c r="D160" s="47"/>
      <c r="E160" s="49">
        <v>3470</v>
      </c>
      <c r="F160" s="52">
        <v>3850</v>
      </c>
      <c r="G160" s="118"/>
      <c r="H160" s="122">
        <v>3850</v>
      </c>
      <c r="I160" s="29"/>
      <c r="J160" s="231"/>
      <c r="K160" s="231"/>
      <c r="L160" s="231"/>
      <c r="M160" s="231"/>
      <c r="N160" s="231"/>
      <c r="O160" s="231"/>
      <c r="P160" s="231"/>
      <c r="Q160" s="231"/>
      <c r="R160" s="231"/>
      <c r="S160" s="231"/>
      <c r="T160" s="231"/>
      <c r="U160" s="231"/>
      <c r="V160" s="231"/>
      <c r="W160" s="231"/>
      <c r="X160" s="231"/>
      <c r="Y160" s="231"/>
      <c r="Z160" s="231"/>
      <c r="AA160" s="231"/>
      <c r="AB160" s="231"/>
      <c r="AC160" s="231"/>
      <c r="AD160" s="231"/>
      <c r="AE160" s="231"/>
      <c r="AF160" s="231"/>
      <c r="AG160" s="231"/>
      <c r="AH160" s="231"/>
      <c r="AI160" s="231"/>
      <c r="AJ160" s="231"/>
      <c r="AK160" s="231"/>
      <c r="AL160" s="231"/>
      <c r="AM160" s="231"/>
      <c r="AN160" s="231"/>
      <c r="AO160" s="231"/>
    </row>
    <row r="161" spans="1:41" s="203" customFormat="1">
      <c r="A161" s="120">
        <v>3</v>
      </c>
      <c r="B161" s="47" t="s">
        <v>136</v>
      </c>
      <c r="C161" s="47"/>
      <c r="D161" s="47"/>
      <c r="E161" s="114">
        <v>11718</v>
      </c>
      <c r="F161" s="52">
        <v>11672</v>
      </c>
      <c r="G161" s="118"/>
      <c r="H161" s="122">
        <v>11786</v>
      </c>
      <c r="I161" s="29"/>
      <c r="J161" s="231"/>
      <c r="K161" s="231"/>
      <c r="L161" s="231"/>
      <c r="M161" s="231"/>
      <c r="N161" s="231"/>
      <c r="O161" s="231"/>
      <c r="P161" s="231"/>
      <c r="Q161" s="231"/>
      <c r="R161" s="231"/>
      <c r="S161" s="231"/>
      <c r="T161" s="231"/>
      <c r="U161" s="231"/>
      <c r="V161" s="231"/>
      <c r="W161" s="231"/>
      <c r="X161" s="231"/>
      <c r="Y161" s="231"/>
      <c r="Z161" s="231"/>
      <c r="AA161" s="231"/>
      <c r="AB161" s="231"/>
      <c r="AC161" s="231"/>
      <c r="AD161" s="231"/>
      <c r="AE161" s="231"/>
      <c r="AF161" s="231"/>
      <c r="AG161" s="231"/>
      <c r="AH161" s="231"/>
      <c r="AI161" s="231"/>
      <c r="AJ161" s="231"/>
      <c r="AK161" s="231"/>
      <c r="AL161" s="231"/>
      <c r="AM161" s="231"/>
      <c r="AN161" s="231"/>
      <c r="AO161" s="231"/>
    </row>
    <row r="162" spans="1:41" s="203" customFormat="1">
      <c r="A162" s="120">
        <v>4</v>
      </c>
      <c r="B162" s="47" t="s">
        <v>137</v>
      </c>
      <c r="C162" s="47"/>
      <c r="D162" s="47"/>
      <c r="E162" s="114">
        <v>3399</v>
      </c>
      <c r="F162" s="52">
        <v>2479</v>
      </c>
      <c r="G162" s="118"/>
      <c r="H162" s="100">
        <v>2793</v>
      </c>
      <c r="I162" s="29"/>
      <c r="J162" s="231"/>
      <c r="K162" s="231"/>
      <c r="L162" s="231"/>
      <c r="M162" s="231"/>
      <c r="N162" s="231"/>
      <c r="O162" s="231"/>
      <c r="P162" s="231"/>
      <c r="Q162" s="231"/>
      <c r="R162" s="231"/>
      <c r="S162" s="231"/>
      <c r="T162" s="231"/>
      <c r="U162" s="231"/>
      <c r="V162" s="231"/>
      <c r="W162" s="231"/>
      <c r="X162" s="231"/>
      <c r="Y162" s="231"/>
      <c r="Z162" s="231"/>
      <c r="AA162" s="231"/>
      <c r="AB162" s="231"/>
      <c r="AC162" s="231"/>
      <c r="AD162" s="231"/>
      <c r="AE162" s="231"/>
      <c r="AF162" s="231"/>
      <c r="AG162" s="231"/>
      <c r="AH162" s="231"/>
      <c r="AI162" s="231"/>
      <c r="AJ162" s="231"/>
      <c r="AK162" s="231"/>
      <c r="AL162" s="231"/>
      <c r="AM162" s="231"/>
      <c r="AN162" s="231"/>
      <c r="AO162" s="231"/>
    </row>
    <row r="163" spans="1:41" s="203" customFormat="1">
      <c r="A163" s="120">
        <v>5</v>
      </c>
      <c r="B163" s="116" t="s">
        <v>138</v>
      </c>
      <c r="C163" s="116"/>
      <c r="D163" s="116"/>
      <c r="E163" s="80">
        <v>18812</v>
      </c>
      <c r="F163" s="142">
        <f>SUM(F159:F162)</f>
        <v>18251</v>
      </c>
      <c r="G163" s="118"/>
      <c r="H163" s="142">
        <f>SUM(H159:H162)</f>
        <v>18679</v>
      </c>
      <c r="I163" s="29"/>
      <c r="J163" s="231"/>
      <c r="K163" s="231"/>
      <c r="L163" s="231"/>
      <c r="M163" s="231"/>
      <c r="N163" s="231"/>
      <c r="O163" s="231"/>
      <c r="P163" s="231"/>
      <c r="Q163" s="231"/>
      <c r="R163" s="231"/>
      <c r="S163" s="231"/>
      <c r="T163" s="231"/>
      <c r="U163" s="231"/>
      <c r="V163" s="231"/>
      <c r="W163" s="231"/>
      <c r="X163" s="231"/>
      <c r="Y163" s="231"/>
      <c r="Z163" s="231"/>
      <c r="AA163" s="231"/>
      <c r="AB163" s="231"/>
      <c r="AC163" s="231"/>
      <c r="AD163" s="231"/>
      <c r="AE163" s="231"/>
      <c r="AF163" s="231"/>
      <c r="AG163" s="231"/>
      <c r="AH163" s="231"/>
      <c r="AI163" s="231"/>
      <c r="AJ163" s="231"/>
      <c r="AK163" s="231"/>
      <c r="AL163" s="231"/>
      <c r="AM163" s="231"/>
      <c r="AN163" s="231"/>
      <c r="AO163" s="231"/>
    </row>
    <row r="164" spans="1:41" s="203" customFormat="1">
      <c r="A164" s="46"/>
      <c r="B164" s="132"/>
      <c r="C164" s="132"/>
      <c r="D164" s="132"/>
      <c r="E164" s="156"/>
      <c r="F164" s="139"/>
      <c r="G164" s="139"/>
      <c r="H164" s="139"/>
      <c r="I164" s="29"/>
      <c r="J164" s="231"/>
      <c r="K164" s="231"/>
      <c r="L164" s="231"/>
      <c r="M164" s="231"/>
      <c r="N164" s="231"/>
      <c r="O164" s="231"/>
      <c r="P164" s="231"/>
      <c r="Q164" s="231"/>
      <c r="R164" s="231"/>
      <c r="S164" s="231"/>
      <c r="T164" s="231"/>
      <c r="U164" s="231"/>
      <c r="V164" s="231"/>
      <c r="W164" s="231"/>
      <c r="X164" s="231"/>
      <c r="Y164" s="231"/>
      <c r="Z164" s="231"/>
      <c r="AA164" s="231"/>
      <c r="AB164" s="231"/>
      <c r="AC164" s="231"/>
      <c r="AD164" s="231"/>
      <c r="AE164" s="231"/>
      <c r="AF164" s="231"/>
      <c r="AG164" s="231"/>
      <c r="AH164" s="231"/>
      <c r="AI164" s="231"/>
      <c r="AJ164" s="231"/>
      <c r="AK164" s="231"/>
      <c r="AL164" s="231"/>
      <c r="AM164" s="231"/>
      <c r="AN164" s="231"/>
      <c r="AO164" s="231"/>
    </row>
    <row r="165" spans="1:41" s="203" customFormat="1">
      <c r="A165" s="119" t="s">
        <v>139</v>
      </c>
      <c r="B165" s="47"/>
      <c r="C165" s="47"/>
      <c r="D165" s="47"/>
      <c r="E165" s="140"/>
      <c r="F165" s="146"/>
      <c r="G165" s="118"/>
      <c r="H165" s="146"/>
      <c r="I165" s="29"/>
      <c r="J165" s="231"/>
      <c r="K165" s="231"/>
      <c r="L165" s="231"/>
      <c r="M165" s="231"/>
      <c r="N165" s="231"/>
      <c r="O165" s="231"/>
      <c r="P165" s="231"/>
      <c r="Q165" s="231"/>
      <c r="R165" s="231"/>
      <c r="S165" s="231"/>
      <c r="T165" s="231"/>
      <c r="U165" s="231"/>
      <c r="V165" s="231"/>
      <c r="W165" s="231"/>
      <c r="X165" s="231"/>
      <c r="Y165" s="231"/>
      <c r="Z165" s="231"/>
      <c r="AA165" s="231"/>
      <c r="AB165" s="231"/>
      <c r="AC165" s="231"/>
      <c r="AD165" s="231"/>
      <c r="AE165" s="231"/>
      <c r="AF165" s="231"/>
      <c r="AG165" s="231"/>
      <c r="AH165" s="231"/>
      <c r="AI165" s="231"/>
      <c r="AJ165" s="231"/>
      <c r="AK165" s="231"/>
      <c r="AL165" s="231"/>
      <c r="AM165" s="231"/>
      <c r="AN165" s="231"/>
      <c r="AO165" s="231"/>
    </row>
    <row r="166" spans="1:41" s="203" customFormat="1">
      <c r="A166" s="120">
        <v>6</v>
      </c>
      <c r="B166" s="47" t="s">
        <v>140</v>
      </c>
      <c r="C166" s="47"/>
      <c r="D166" s="47"/>
      <c r="E166" s="74">
        <v>1074</v>
      </c>
      <c r="F166" s="52">
        <v>868</v>
      </c>
      <c r="G166" s="118"/>
      <c r="H166" s="122">
        <v>886</v>
      </c>
      <c r="I166" s="29"/>
      <c r="J166" s="231"/>
      <c r="K166" s="231"/>
      <c r="L166" s="231"/>
      <c r="M166" s="231"/>
      <c r="N166" s="231"/>
      <c r="O166" s="231"/>
      <c r="P166" s="231"/>
      <c r="Q166" s="231"/>
      <c r="R166" s="231"/>
      <c r="S166" s="231"/>
      <c r="T166" s="231"/>
      <c r="U166" s="231"/>
      <c r="V166" s="231"/>
      <c r="W166" s="231"/>
      <c r="X166" s="231"/>
      <c r="Y166" s="231"/>
      <c r="Z166" s="231"/>
      <c r="AA166" s="231"/>
      <c r="AB166" s="231"/>
      <c r="AC166" s="231"/>
      <c r="AD166" s="231"/>
      <c r="AE166" s="231"/>
      <c r="AF166" s="231"/>
      <c r="AG166" s="231"/>
      <c r="AH166" s="231"/>
      <c r="AI166" s="231"/>
      <c r="AJ166" s="231"/>
      <c r="AK166" s="231"/>
      <c r="AL166" s="231"/>
      <c r="AM166" s="231"/>
      <c r="AN166" s="231"/>
      <c r="AO166" s="231"/>
    </row>
    <row r="167" spans="1:41" s="203" customFormat="1">
      <c r="A167" s="120">
        <v>7</v>
      </c>
      <c r="B167" s="47" t="s">
        <v>141</v>
      </c>
      <c r="C167" s="47"/>
      <c r="D167" s="47"/>
      <c r="E167" s="49">
        <v>10</v>
      </c>
      <c r="F167" s="52">
        <v>11</v>
      </c>
      <c r="G167" s="118"/>
      <c r="H167" s="122">
        <v>10</v>
      </c>
      <c r="I167" s="29"/>
      <c r="J167" s="231"/>
      <c r="K167" s="231"/>
      <c r="L167" s="231"/>
      <c r="M167" s="231"/>
      <c r="N167" s="231"/>
      <c r="O167" s="231"/>
      <c r="P167" s="231"/>
      <c r="Q167" s="231"/>
      <c r="R167" s="231"/>
      <c r="S167" s="231"/>
      <c r="T167" s="231"/>
      <c r="U167" s="231"/>
      <c r="V167" s="231"/>
      <c r="W167" s="231"/>
      <c r="X167" s="231"/>
      <c r="Y167" s="231"/>
      <c r="Z167" s="231"/>
      <c r="AA167" s="231"/>
      <c r="AB167" s="231"/>
      <c r="AC167" s="231"/>
      <c r="AD167" s="231"/>
      <c r="AE167" s="231"/>
      <c r="AF167" s="231"/>
      <c r="AG167" s="231"/>
      <c r="AH167" s="231"/>
      <c r="AI167" s="231"/>
      <c r="AJ167" s="231"/>
      <c r="AK167" s="231"/>
      <c r="AL167" s="231"/>
      <c r="AM167" s="231"/>
      <c r="AN167" s="231"/>
      <c r="AO167" s="231"/>
    </row>
    <row r="168" spans="1:41" s="203" customFormat="1">
      <c r="A168" s="120">
        <v>8</v>
      </c>
      <c r="B168" s="47" t="s">
        <v>121</v>
      </c>
      <c r="C168" s="47"/>
      <c r="D168" s="47"/>
      <c r="E168" s="49">
        <v>4528</v>
      </c>
      <c r="F168" s="52">
        <v>4332</v>
      </c>
      <c r="G168" s="118"/>
      <c r="H168" s="100">
        <v>4479</v>
      </c>
      <c r="I168" s="29"/>
      <c r="J168" s="231"/>
      <c r="K168" s="231"/>
      <c r="L168" s="231"/>
      <c r="M168" s="231"/>
      <c r="N168" s="231"/>
      <c r="O168" s="231"/>
      <c r="P168" s="231"/>
      <c r="Q168" s="231"/>
      <c r="R168" s="231"/>
      <c r="S168" s="231"/>
      <c r="T168" s="231"/>
      <c r="U168" s="231"/>
      <c r="V168" s="231"/>
      <c r="W168" s="231"/>
      <c r="X168" s="231"/>
      <c r="Y168" s="231"/>
      <c r="Z168" s="231"/>
      <c r="AA168" s="231"/>
      <c r="AB168" s="231"/>
      <c r="AC168" s="231"/>
      <c r="AD168" s="231"/>
      <c r="AE168" s="231"/>
      <c r="AF168" s="231"/>
      <c r="AG168" s="231"/>
      <c r="AH168" s="231"/>
      <c r="AI168" s="231"/>
      <c r="AJ168" s="231"/>
      <c r="AK168" s="231"/>
      <c r="AL168" s="231"/>
      <c r="AM168" s="231"/>
      <c r="AN168" s="231"/>
      <c r="AO168" s="231"/>
    </row>
    <row r="169" spans="1:41" s="203" customFormat="1">
      <c r="A169" s="120">
        <v>9</v>
      </c>
      <c r="B169" s="116" t="s">
        <v>142</v>
      </c>
      <c r="C169" s="116"/>
      <c r="D169" s="116"/>
      <c r="E169" s="80">
        <v>5612</v>
      </c>
      <c r="F169" s="142">
        <f>SUM(F166:F168)</f>
        <v>5211</v>
      </c>
      <c r="G169" s="118"/>
      <c r="H169" s="142">
        <f>SUM(H166:H168)</f>
        <v>5375</v>
      </c>
      <c r="I169" s="29"/>
      <c r="J169" s="231"/>
      <c r="K169" s="231"/>
      <c r="L169" s="231"/>
      <c r="M169" s="231"/>
      <c r="N169" s="231"/>
      <c r="O169" s="231"/>
      <c r="P169" s="231"/>
      <c r="Q169" s="231"/>
      <c r="R169" s="231"/>
      <c r="S169" s="231"/>
      <c r="T169" s="231"/>
      <c r="U169" s="231"/>
      <c r="V169" s="231"/>
      <c r="W169" s="231"/>
      <c r="X169" s="231"/>
      <c r="Y169" s="231"/>
      <c r="Z169" s="231"/>
      <c r="AA169" s="231"/>
      <c r="AB169" s="231"/>
      <c r="AC169" s="231"/>
      <c r="AD169" s="231"/>
      <c r="AE169" s="231"/>
      <c r="AF169" s="231"/>
      <c r="AG169" s="231"/>
      <c r="AH169" s="231"/>
      <c r="AI169" s="231"/>
      <c r="AJ169" s="231"/>
      <c r="AK169" s="231"/>
      <c r="AL169" s="231"/>
      <c r="AM169" s="231"/>
      <c r="AN169" s="231"/>
      <c r="AO169" s="231"/>
    </row>
    <row r="170" spans="1:41" s="203" customFormat="1">
      <c r="A170" s="46"/>
      <c r="B170" s="132"/>
      <c r="C170" s="132"/>
      <c r="D170" s="132"/>
      <c r="E170" s="156"/>
      <c r="F170" s="139"/>
      <c r="G170" s="139"/>
      <c r="H170" s="139"/>
      <c r="I170" s="29"/>
      <c r="J170" s="231"/>
      <c r="K170" s="231"/>
      <c r="L170" s="231"/>
      <c r="M170" s="231"/>
      <c r="N170" s="231"/>
      <c r="O170" s="231"/>
      <c r="P170" s="231"/>
      <c r="Q170" s="231"/>
      <c r="R170" s="231"/>
      <c r="S170" s="231"/>
      <c r="T170" s="231"/>
      <c r="U170" s="231"/>
      <c r="V170" s="231"/>
      <c r="W170" s="231"/>
      <c r="X170" s="231"/>
      <c r="Y170" s="231"/>
      <c r="Z170" s="231"/>
      <c r="AA170" s="231"/>
      <c r="AB170" s="231"/>
      <c r="AC170" s="231"/>
      <c r="AD170" s="231"/>
      <c r="AE170" s="231"/>
      <c r="AF170" s="231"/>
      <c r="AG170" s="231"/>
      <c r="AH170" s="231"/>
      <c r="AI170" s="231"/>
      <c r="AJ170" s="231"/>
      <c r="AK170" s="231"/>
      <c r="AL170" s="231"/>
      <c r="AM170" s="231"/>
      <c r="AN170" s="231"/>
      <c r="AO170" s="231"/>
    </row>
    <row r="171" spans="1:41" s="203" customFormat="1">
      <c r="A171" s="120">
        <v>10</v>
      </c>
      <c r="B171" s="47" t="s">
        <v>143</v>
      </c>
      <c r="C171" s="47"/>
      <c r="D171" s="47"/>
      <c r="E171" s="41">
        <v>-973</v>
      </c>
      <c r="F171" s="121">
        <v>-807</v>
      </c>
      <c r="G171" s="118"/>
      <c r="H171" s="133">
        <v>-891</v>
      </c>
      <c r="I171" s="29"/>
      <c r="J171" s="231"/>
      <c r="K171" s="231"/>
      <c r="L171" s="231"/>
      <c r="M171" s="231"/>
      <c r="N171" s="231"/>
      <c r="O171" s="231"/>
      <c r="P171" s="231"/>
      <c r="Q171" s="231"/>
      <c r="R171" s="231"/>
      <c r="S171" s="231"/>
      <c r="T171" s="231"/>
      <c r="U171" s="231"/>
      <c r="V171" s="231"/>
      <c r="W171" s="231"/>
      <c r="X171" s="231"/>
      <c r="Y171" s="231"/>
      <c r="Z171" s="231"/>
      <c r="AA171" s="231"/>
      <c r="AB171" s="231"/>
      <c r="AC171" s="231"/>
      <c r="AD171" s="231"/>
      <c r="AE171" s="231"/>
      <c r="AF171" s="231"/>
      <c r="AG171" s="231"/>
      <c r="AH171" s="231"/>
      <c r="AI171" s="231"/>
      <c r="AJ171" s="231"/>
      <c r="AK171" s="231"/>
      <c r="AL171" s="231"/>
      <c r="AM171" s="231"/>
      <c r="AN171" s="231"/>
      <c r="AO171" s="231"/>
    </row>
    <row r="172" spans="1:41" s="203" customFormat="1">
      <c r="A172" s="120">
        <v>11</v>
      </c>
      <c r="B172" s="47" t="s">
        <v>144</v>
      </c>
      <c r="C172" s="47"/>
      <c r="D172" s="47"/>
      <c r="E172" s="56">
        <v>0</v>
      </c>
      <c r="F172" s="126"/>
      <c r="G172" s="118"/>
      <c r="H172" s="100"/>
      <c r="I172" s="29"/>
      <c r="J172" s="231"/>
      <c r="K172" s="231"/>
      <c r="L172" s="231"/>
      <c r="M172" s="231"/>
      <c r="N172" s="231"/>
      <c r="O172" s="231"/>
      <c r="P172" s="231"/>
      <c r="Q172" s="231"/>
      <c r="R172" s="231"/>
      <c r="S172" s="231"/>
      <c r="T172" s="231"/>
      <c r="U172" s="231"/>
      <c r="V172" s="231"/>
      <c r="W172" s="231"/>
      <c r="X172" s="231"/>
      <c r="Y172" s="231"/>
      <c r="Z172" s="231"/>
      <c r="AA172" s="231"/>
      <c r="AB172" s="231"/>
      <c r="AC172" s="231"/>
      <c r="AD172" s="231"/>
      <c r="AE172" s="231"/>
      <c r="AF172" s="231"/>
      <c r="AG172" s="231"/>
      <c r="AH172" s="231"/>
      <c r="AI172" s="231"/>
      <c r="AJ172" s="231"/>
      <c r="AK172" s="231"/>
      <c r="AL172" s="231"/>
      <c r="AM172" s="231"/>
      <c r="AN172" s="231"/>
      <c r="AO172" s="231"/>
    </row>
    <row r="173" spans="1:41" s="203" customFormat="1">
      <c r="A173" s="46"/>
      <c r="B173" s="132"/>
      <c r="C173" s="132"/>
      <c r="D173" s="132"/>
      <c r="E173" s="156"/>
      <c r="F173" s="139"/>
      <c r="G173" s="139"/>
      <c r="H173" s="139"/>
      <c r="I173" s="29"/>
      <c r="J173" s="231"/>
      <c r="K173" s="231"/>
      <c r="L173" s="231"/>
      <c r="M173" s="231"/>
      <c r="N173" s="231"/>
      <c r="O173" s="231"/>
      <c r="P173" s="231"/>
      <c r="Q173" s="231"/>
      <c r="R173" s="231"/>
      <c r="S173" s="231"/>
      <c r="T173" s="231"/>
      <c r="U173" s="231"/>
      <c r="V173" s="231"/>
      <c r="W173" s="231"/>
      <c r="X173" s="231"/>
      <c r="Y173" s="231"/>
      <c r="Z173" s="231"/>
      <c r="AA173" s="231"/>
      <c r="AB173" s="231"/>
      <c r="AC173" s="231"/>
      <c r="AD173" s="231"/>
      <c r="AE173" s="231"/>
      <c r="AF173" s="231"/>
      <c r="AG173" s="231"/>
      <c r="AH173" s="231"/>
      <c r="AI173" s="231"/>
      <c r="AJ173" s="231"/>
      <c r="AK173" s="231"/>
      <c r="AL173" s="231"/>
      <c r="AM173" s="231"/>
      <c r="AN173" s="231"/>
      <c r="AO173" s="231"/>
    </row>
    <row r="174" spans="1:41" s="203" customFormat="1">
      <c r="A174" s="119" t="s">
        <v>145</v>
      </c>
      <c r="B174" s="47"/>
      <c r="C174" s="47"/>
      <c r="D174" s="47"/>
      <c r="E174" s="157"/>
      <c r="F174" s="146"/>
      <c r="G174" s="118"/>
      <c r="H174" s="146"/>
      <c r="I174" s="29"/>
      <c r="J174" s="231"/>
      <c r="K174" s="231"/>
      <c r="L174" s="231"/>
      <c r="M174" s="231"/>
      <c r="N174" s="231"/>
      <c r="O174" s="231"/>
      <c r="P174" s="231"/>
      <c r="Q174" s="231"/>
      <c r="R174" s="231"/>
      <c r="S174" s="231"/>
      <c r="T174" s="231"/>
      <c r="U174" s="231"/>
      <c r="V174" s="231"/>
      <c r="W174" s="231"/>
      <c r="X174" s="231"/>
      <c r="Y174" s="231"/>
      <c r="Z174" s="231"/>
      <c r="AA174" s="231"/>
      <c r="AB174" s="231"/>
      <c r="AC174" s="231"/>
      <c r="AD174" s="231"/>
      <c r="AE174" s="231"/>
      <c r="AF174" s="231"/>
      <c r="AG174" s="231"/>
      <c r="AH174" s="231"/>
      <c r="AI174" s="231"/>
      <c r="AJ174" s="231"/>
      <c r="AK174" s="231"/>
      <c r="AL174" s="231"/>
      <c r="AM174" s="231"/>
      <c r="AN174" s="231"/>
      <c r="AO174" s="231"/>
    </row>
    <row r="175" spans="1:41" s="203" customFormat="1">
      <c r="A175" s="120">
        <v>12</v>
      </c>
      <c r="B175" s="47" t="s">
        <v>146</v>
      </c>
      <c r="C175" s="47"/>
      <c r="D175" s="47"/>
      <c r="E175" s="74">
        <v>563</v>
      </c>
      <c r="F175" s="52">
        <v>563</v>
      </c>
      <c r="G175" s="118"/>
      <c r="H175" s="122">
        <v>563</v>
      </c>
      <c r="I175" s="29"/>
      <c r="J175" s="231"/>
      <c r="K175" s="231"/>
      <c r="L175" s="231"/>
      <c r="M175" s="231"/>
      <c r="N175" s="231"/>
      <c r="O175" s="231"/>
      <c r="P175" s="231"/>
      <c r="Q175" s="231"/>
      <c r="R175" s="231"/>
      <c r="S175" s="231"/>
      <c r="T175" s="231"/>
      <c r="U175" s="231"/>
      <c r="V175" s="231"/>
      <c r="W175" s="231"/>
      <c r="X175" s="231"/>
      <c r="Y175" s="231"/>
      <c r="Z175" s="231"/>
      <c r="AA175" s="231"/>
      <c r="AB175" s="231"/>
      <c r="AC175" s="231"/>
      <c r="AD175" s="231"/>
      <c r="AE175" s="231"/>
      <c r="AF175" s="231"/>
      <c r="AG175" s="231"/>
      <c r="AH175" s="231"/>
      <c r="AI175" s="231"/>
      <c r="AJ175" s="231"/>
      <c r="AK175" s="231"/>
      <c r="AL175" s="231"/>
      <c r="AM175" s="231"/>
      <c r="AN175" s="231"/>
      <c r="AO175" s="231"/>
    </row>
    <row r="176" spans="1:41" s="203" customFormat="1">
      <c r="A176" s="120">
        <v>13</v>
      </c>
      <c r="B176" s="47" t="s">
        <v>147</v>
      </c>
      <c r="C176" s="47"/>
      <c r="D176" s="47"/>
      <c r="E176" s="49">
        <v>5059</v>
      </c>
      <c r="F176" s="52">
        <v>5061</v>
      </c>
      <c r="G176" s="118"/>
      <c r="H176" s="122">
        <v>5060</v>
      </c>
      <c r="I176" s="29"/>
      <c r="J176" s="231"/>
      <c r="K176" s="231"/>
      <c r="L176" s="231"/>
      <c r="M176" s="231"/>
      <c r="N176" s="231"/>
      <c r="O176" s="231"/>
      <c r="P176" s="231"/>
      <c r="Q176" s="231"/>
      <c r="R176" s="231"/>
      <c r="S176" s="231"/>
      <c r="T176" s="231"/>
      <c r="U176" s="231"/>
      <c r="V176" s="231"/>
      <c r="W176" s="231"/>
      <c r="X176" s="231"/>
      <c r="Y176" s="231"/>
      <c r="Z176" s="231"/>
      <c r="AA176" s="231"/>
      <c r="AB176" s="231"/>
      <c r="AC176" s="231"/>
      <c r="AD176" s="231"/>
      <c r="AE176" s="231"/>
      <c r="AF176" s="231"/>
      <c r="AG176" s="231"/>
      <c r="AH176" s="231"/>
      <c r="AI176" s="231"/>
      <c r="AJ176" s="231"/>
      <c r="AK176" s="231"/>
      <c r="AL176" s="231"/>
      <c r="AM176" s="231"/>
      <c r="AN176" s="231"/>
      <c r="AO176" s="231"/>
    </row>
    <row r="177" spans="1:41" s="203" customFormat="1">
      <c r="A177" s="120">
        <v>14</v>
      </c>
      <c r="B177" s="47" t="s">
        <v>148</v>
      </c>
      <c r="C177" s="47"/>
      <c r="D177" s="47"/>
      <c r="E177" s="56">
        <v>258</v>
      </c>
      <c r="F177" s="52">
        <v>258</v>
      </c>
      <c r="G177" s="118"/>
      <c r="H177" s="100">
        <v>258</v>
      </c>
      <c r="I177" s="29"/>
      <c r="J177" s="231"/>
      <c r="K177" s="231"/>
      <c r="L177" s="231"/>
      <c r="M177" s="231"/>
      <c r="N177" s="231"/>
      <c r="O177" s="231"/>
      <c r="P177" s="231"/>
      <c r="Q177" s="231"/>
      <c r="R177" s="231"/>
      <c r="S177" s="231"/>
      <c r="T177" s="231"/>
      <c r="U177" s="231"/>
      <c r="V177" s="231"/>
      <c r="W177" s="231"/>
      <c r="X177" s="231"/>
      <c r="Y177" s="231"/>
      <c r="Z177" s="231"/>
      <c r="AA177" s="231"/>
      <c r="AB177" s="231"/>
      <c r="AC177" s="231"/>
      <c r="AD177" s="231"/>
      <c r="AE177" s="231"/>
      <c r="AF177" s="231"/>
      <c r="AG177" s="231"/>
      <c r="AH177" s="231"/>
      <c r="AI177" s="231"/>
      <c r="AJ177" s="231"/>
      <c r="AK177" s="231"/>
      <c r="AL177" s="231"/>
      <c r="AM177" s="231"/>
      <c r="AN177" s="231"/>
      <c r="AO177" s="231"/>
    </row>
    <row r="178" spans="1:41" s="203" customFormat="1">
      <c r="A178" s="120">
        <v>15</v>
      </c>
      <c r="B178" s="116" t="s">
        <v>149</v>
      </c>
      <c r="C178" s="116"/>
      <c r="D178" s="116"/>
      <c r="E178" s="80">
        <v>5880</v>
      </c>
      <c r="F178" s="142">
        <f>SUM(F175:F177)</f>
        <v>5882</v>
      </c>
      <c r="G178" s="118"/>
      <c r="H178" s="142">
        <f>SUM(H175:H177)</f>
        <v>5881</v>
      </c>
      <c r="I178" s="29"/>
      <c r="J178" s="231"/>
      <c r="K178" s="231"/>
      <c r="L178" s="231"/>
      <c r="M178" s="231"/>
      <c r="N178" s="231"/>
      <c r="O178" s="231"/>
      <c r="P178" s="231"/>
      <c r="Q178" s="231"/>
      <c r="R178" s="231"/>
      <c r="S178" s="231"/>
      <c r="T178" s="231"/>
      <c r="U178" s="231"/>
      <c r="V178" s="231"/>
      <c r="W178" s="231"/>
      <c r="X178" s="231"/>
      <c r="Y178" s="231"/>
      <c r="Z178" s="231"/>
      <c r="AA178" s="231"/>
      <c r="AB178" s="231"/>
      <c r="AC178" s="231"/>
      <c r="AD178" s="231"/>
      <c r="AE178" s="231"/>
      <c r="AF178" s="231"/>
      <c r="AG178" s="231"/>
      <c r="AH178" s="231"/>
      <c r="AI178" s="231"/>
      <c r="AJ178" s="231"/>
      <c r="AK178" s="231"/>
      <c r="AL178" s="231"/>
      <c r="AM178" s="231"/>
      <c r="AN178" s="231"/>
      <c r="AO178" s="231"/>
    </row>
    <row r="179" spans="1:41" s="203" customFormat="1">
      <c r="A179" s="120">
        <v>16</v>
      </c>
      <c r="B179" s="116" t="s">
        <v>150</v>
      </c>
      <c r="C179" s="116"/>
      <c r="D179" s="116"/>
      <c r="E179" s="80">
        <v>5880</v>
      </c>
      <c r="F179" s="158">
        <f>F172+F178</f>
        <v>5882</v>
      </c>
      <c r="G179" s="118"/>
      <c r="H179" s="158">
        <f>H172+H178</f>
        <v>5881</v>
      </c>
      <c r="I179" s="29"/>
      <c r="J179" s="231"/>
      <c r="K179" s="231"/>
      <c r="L179" s="231"/>
      <c r="M179" s="231"/>
      <c r="N179" s="231"/>
      <c r="O179" s="231"/>
      <c r="P179" s="231"/>
      <c r="Q179" s="231"/>
      <c r="R179" s="231"/>
      <c r="S179" s="231"/>
      <c r="T179" s="231"/>
      <c r="U179" s="231"/>
      <c r="V179" s="231"/>
      <c r="W179" s="231"/>
      <c r="X179" s="231"/>
      <c r="Y179" s="231"/>
      <c r="Z179" s="231"/>
      <c r="AA179" s="231"/>
      <c r="AB179" s="231"/>
      <c r="AC179" s="231"/>
      <c r="AD179" s="231"/>
      <c r="AE179" s="231"/>
      <c r="AF179" s="231"/>
      <c r="AG179" s="231"/>
      <c r="AH179" s="231"/>
      <c r="AI179" s="231"/>
      <c r="AJ179" s="231"/>
      <c r="AK179" s="231"/>
      <c r="AL179" s="231"/>
      <c r="AM179" s="231"/>
      <c r="AN179" s="231"/>
      <c r="AO179" s="231"/>
    </row>
    <row r="180" spans="1:41" s="203" customFormat="1">
      <c r="A180" s="120">
        <v>17</v>
      </c>
      <c r="B180" s="116" t="s">
        <v>151</v>
      </c>
      <c r="C180" s="116"/>
      <c r="D180" s="116"/>
      <c r="E180" s="159">
        <v>29331</v>
      </c>
      <c r="F180" s="61">
        <f>SUM(F163+F169+F171+F179)</f>
        <v>28537</v>
      </c>
      <c r="G180" s="118"/>
      <c r="H180" s="61">
        <f>SUM(H163+H169+H171+H179)</f>
        <v>29044</v>
      </c>
      <c r="I180" s="29"/>
      <c r="J180" s="231"/>
      <c r="K180" s="231"/>
      <c r="L180" s="231"/>
      <c r="M180" s="231"/>
      <c r="N180" s="231"/>
      <c r="O180" s="231"/>
      <c r="P180" s="231"/>
      <c r="Q180" s="231"/>
      <c r="R180" s="231"/>
      <c r="S180" s="231"/>
      <c r="T180" s="231"/>
      <c r="U180" s="231"/>
      <c r="V180" s="231"/>
      <c r="W180" s="231"/>
      <c r="X180" s="231"/>
      <c r="Y180" s="231"/>
      <c r="Z180" s="231"/>
      <c r="AA180" s="231"/>
      <c r="AB180" s="231"/>
      <c r="AC180" s="231"/>
      <c r="AD180" s="231"/>
      <c r="AE180" s="231"/>
      <c r="AF180" s="231"/>
      <c r="AG180" s="231"/>
      <c r="AH180" s="231"/>
      <c r="AI180" s="231"/>
      <c r="AJ180" s="231"/>
      <c r="AK180" s="231"/>
      <c r="AL180" s="231"/>
      <c r="AM180" s="231"/>
      <c r="AN180" s="231"/>
      <c r="AO180" s="231"/>
    </row>
    <row r="181" spans="1:41" s="203" customFormat="1">
      <c r="A181" s="46"/>
      <c r="B181" s="132"/>
      <c r="C181" s="132"/>
      <c r="D181" s="132"/>
      <c r="E181" s="156"/>
      <c r="F181" s="139"/>
      <c r="G181" s="139"/>
      <c r="H181" s="139"/>
      <c r="I181" s="29"/>
      <c r="J181" s="231"/>
      <c r="K181" s="231"/>
      <c r="L181" s="231"/>
      <c r="M181" s="231"/>
      <c r="N181" s="231"/>
      <c r="O181" s="231"/>
      <c r="P181" s="231"/>
      <c r="Q181" s="231"/>
      <c r="R181" s="231"/>
      <c r="S181" s="231"/>
      <c r="T181" s="231"/>
      <c r="U181" s="231"/>
      <c r="V181" s="231"/>
      <c r="W181" s="231"/>
      <c r="X181" s="231"/>
      <c r="Y181" s="231"/>
      <c r="Z181" s="231"/>
      <c r="AA181" s="231"/>
      <c r="AB181" s="231"/>
      <c r="AC181" s="231"/>
      <c r="AD181" s="231"/>
      <c r="AE181" s="231"/>
      <c r="AF181" s="231"/>
      <c r="AG181" s="231"/>
      <c r="AH181" s="231"/>
      <c r="AI181" s="231"/>
      <c r="AJ181" s="231"/>
      <c r="AK181" s="231"/>
      <c r="AL181" s="231"/>
      <c r="AM181" s="231"/>
      <c r="AN181" s="231"/>
      <c r="AO181" s="231"/>
    </row>
    <row r="182" spans="1:41" s="203" customFormat="1">
      <c r="A182" s="119" t="s">
        <v>152</v>
      </c>
      <c r="B182" s="47"/>
      <c r="C182" s="47"/>
      <c r="D182" s="116"/>
      <c r="E182" s="117"/>
      <c r="F182" s="118"/>
      <c r="G182" s="118"/>
      <c r="H182" s="118"/>
      <c r="I182" s="29"/>
      <c r="J182" s="231"/>
      <c r="K182" s="231"/>
      <c r="L182" s="231"/>
      <c r="M182" s="231"/>
      <c r="N182" s="231"/>
      <c r="O182" s="231"/>
      <c r="P182" s="231"/>
      <c r="Q182" s="231"/>
      <c r="R182" s="231"/>
      <c r="S182" s="231"/>
      <c r="T182" s="231"/>
      <c r="U182" s="231"/>
      <c r="V182" s="231"/>
      <c r="W182" s="231"/>
      <c r="X182" s="231"/>
      <c r="Y182" s="231"/>
      <c r="Z182" s="231"/>
      <c r="AA182" s="231"/>
      <c r="AB182" s="231"/>
      <c r="AC182" s="231"/>
      <c r="AD182" s="231"/>
      <c r="AE182" s="231"/>
      <c r="AF182" s="231"/>
      <c r="AG182" s="231"/>
      <c r="AH182" s="231"/>
      <c r="AI182" s="231"/>
      <c r="AJ182" s="231"/>
      <c r="AK182" s="231"/>
      <c r="AL182" s="231"/>
      <c r="AM182" s="231"/>
      <c r="AN182" s="231"/>
      <c r="AO182" s="231"/>
    </row>
    <row r="183" spans="1:41" s="203" customFormat="1">
      <c r="A183" s="120">
        <v>18</v>
      </c>
      <c r="B183" s="47" t="s">
        <v>153</v>
      </c>
      <c r="C183" s="47"/>
      <c r="D183" s="47"/>
      <c r="E183" s="41">
        <v>1788</v>
      </c>
      <c r="F183" s="121">
        <v>1788</v>
      </c>
      <c r="G183" s="118"/>
      <c r="H183" s="133">
        <v>1788</v>
      </c>
      <c r="I183" s="29"/>
      <c r="J183" s="231"/>
      <c r="K183" s="231"/>
      <c r="L183" s="231"/>
      <c r="M183" s="231"/>
      <c r="N183" s="231"/>
      <c r="O183" s="231"/>
      <c r="P183" s="231"/>
      <c r="Q183" s="231"/>
      <c r="R183" s="231"/>
      <c r="S183" s="231"/>
      <c r="T183" s="231"/>
      <c r="U183" s="231"/>
      <c r="V183" s="231"/>
      <c r="W183" s="231"/>
      <c r="X183" s="231"/>
      <c r="Y183" s="231"/>
      <c r="Z183" s="231"/>
      <c r="AA183" s="231"/>
      <c r="AB183" s="231"/>
      <c r="AC183" s="231"/>
      <c r="AD183" s="231"/>
      <c r="AE183" s="231"/>
      <c r="AF183" s="231"/>
      <c r="AG183" s="231"/>
      <c r="AH183" s="231"/>
      <c r="AI183" s="231"/>
      <c r="AJ183" s="231"/>
      <c r="AK183" s="231"/>
      <c r="AL183" s="231"/>
      <c r="AM183" s="231"/>
      <c r="AN183" s="231"/>
      <c r="AO183" s="231"/>
    </row>
    <row r="184" spans="1:41" s="203" customFormat="1">
      <c r="A184" s="120">
        <v>19</v>
      </c>
      <c r="B184" s="47" t="s">
        <v>154</v>
      </c>
      <c r="C184" s="47"/>
      <c r="D184" s="47"/>
      <c r="E184" s="49">
        <v>360</v>
      </c>
      <c r="F184" s="52">
        <v>360</v>
      </c>
      <c r="G184" s="118"/>
      <c r="H184" s="122">
        <v>360</v>
      </c>
      <c r="I184" s="29"/>
      <c r="J184" s="231"/>
      <c r="K184" s="231"/>
      <c r="L184" s="231"/>
      <c r="M184" s="231"/>
      <c r="N184" s="231"/>
      <c r="O184" s="231"/>
      <c r="P184" s="231"/>
      <c r="Q184" s="231"/>
      <c r="R184" s="231"/>
      <c r="S184" s="231"/>
      <c r="T184" s="231"/>
      <c r="U184" s="231"/>
      <c r="V184" s="231"/>
      <c r="W184" s="231"/>
      <c r="X184" s="231"/>
      <c r="Y184" s="231"/>
      <c r="Z184" s="231"/>
      <c r="AA184" s="231"/>
      <c r="AB184" s="231"/>
      <c r="AC184" s="231"/>
      <c r="AD184" s="231"/>
      <c r="AE184" s="231"/>
      <c r="AF184" s="231"/>
      <c r="AG184" s="231"/>
      <c r="AH184" s="231"/>
      <c r="AI184" s="231"/>
      <c r="AJ184" s="231"/>
      <c r="AK184" s="231"/>
      <c r="AL184" s="231"/>
      <c r="AM184" s="231"/>
      <c r="AN184" s="231"/>
      <c r="AO184" s="231"/>
    </row>
    <row r="185" spans="1:41" s="203" customFormat="1">
      <c r="A185" s="120">
        <v>20</v>
      </c>
      <c r="B185" s="47" t="s">
        <v>155</v>
      </c>
      <c r="C185" s="47"/>
      <c r="D185" s="47"/>
      <c r="E185" s="49">
        <v>0</v>
      </c>
      <c r="F185" s="52">
        <v>0</v>
      </c>
      <c r="G185" s="118"/>
      <c r="H185" s="122">
        <v>0</v>
      </c>
      <c r="I185" s="29"/>
      <c r="J185" s="231"/>
      <c r="K185" s="231"/>
      <c r="L185" s="231"/>
      <c r="M185" s="231"/>
      <c r="N185" s="231"/>
      <c r="O185" s="231"/>
      <c r="P185" s="231"/>
      <c r="Q185" s="231"/>
      <c r="R185" s="231"/>
      <c r="S185" s="231"/>
      <c r="T185" s="231"/>
      <c r="U185" s="231"/>
      <c r="V185" s="231"/>
      <c r="W185" s="231"/>
      <c r="X185" s="231"/>
      <c r="Y185" s="231"/>
      <c r="Z185" s="231"/>
      <c r="AA185" s="231"/>
      <c r="AB185" s="231"/>
      <c r="AC185" s="231"/>
      <c r="AD185" s="231"/>
      <c r="AE185" s="231"/>
      <c r="AF185" s="231"/>
      <c r="AG185" s="231"/>
      <c r="AH185" s="231"/>
      <c r="AI185" s="231"/>
      <c r="AJ185" s="231"/>
      <c r="AK185" s="231"/>
      <c r="AL185" s="231"/>
      <c r="AM185" s="231"/>
      <c r="AN185" s="231"/>
      <c r="AO185" s="231"/>
    </row>
    <row r="186" spans="1:41" s="203" customFormat="1">
      <c r="A186" s="120">
        <v>21</v>
      </c>
      <c r="B186" s="47" t="s">
        <v>156</v>
      </c>
      <c r="C186" s="47"/>
      <c r="D186" s="47"/>
      <c r="E186" s="49">
        <v>29</v>
      </c>
      <c r="F186" s="52">
        <v>29</v>
      </c>
      <c r="G186" s="118"/>
      <c r="H186" s="122">
        <v>29</v>
      </c>
      <c r="I186" s="29"/>
      <c r="J186" s="231"/>
      <c r="K186" s="231"/>
      <c r="L186" s="231"/>
      <c r="M186" s="231"/>
      <c r="N186" s="231"/>
      <c r="O186" s="231"/>
      <c r="P186" s="231"/>
      <c r="Q186" s="231"/>
      <c r="R186" s="231"/>
      <c r="S186" s="231"/>
      <c r="T186" s="231"/>
      <c r="U186" s="231"/>
      <c r="V186" s="231"/>
      <c r="W186" s="231"/>
      <c r="X186" s="231"/>
      <c r="Y186" s="231"/>
      <c r="Z186" s="231"/>
      <c r="AA186" s="231"/>
      <c r="AB186" s="231"/>
      <c r="AC186" s="231"/>
      <c r="AD186" s="231"/>
      <c r="AE186" s="231"/>
      <c r="AF186" s="231"/>
      <c r="AG186" s="231"/>
      <c r="AH186" s="231"/>
      <c r="AI186" s="231"/>
      <c r="AJ186" s="231"/>
      <c r="AK186" s="231"/>
      <c r="AL186" s="231"/>
      <c r="AM186" s="231"/>
      <c r="AN186" s="231"/>
      <c r="AO186" s="231"/>
    </row>
    <row r="187" spans="1:41" s="203" customFormat="1">
      <c r="A187" s="120">
        <v>22</v>
      </c>
      <c r="B187" s="47" t="s">
        <v>157</v>
      </c>
      <c r="C187" s="47"/>
      <c r="D187" s="47"/>
      <c r="E187" s="49">
        <v>1318</v>
      </c>
      <c r="F187" s="52">
        <v>1318</v>
      </c>
      <c r="G187" s="118"/>
      <c r="H187" s="122">
        <v>1318</v>
      </c>
      <c r="I187" s="29"/>
      <c r="J187" s="231"/>
      <c r="K187" s="231"/>
      <c r="L187" s="231"/>
      <c r="M187" s="231"/>
      <c r="N187" s="231"/>
      <c r="O187" s="231"/>
      <c r="P187" s="231"/>
      <c r="Q187" s="231"/>
      <c r="R187" s="231"/>
      <c r="S187" s="231"/>
      <c r="T187" s="231"/>
      <c r="U187" s="231"/>
      <c r="V187" s="231"/>
      <c r="W187" s="231"/>
      <c r="X187" s="231"/>
      <c r="Y187" s="231"/>
      <c r="Z187" s="231"/>
      <c r="AA187" s="231"/>
      <c r="AB187" s="231"/>
      <c r="AC187" s="231"/>
      <c r="AD187" s="231"/>
      <c r="AE187" s="231"/>
      <c r="AF187" s="231"/>
      <c r="AG187" s="231"/>
      <c r="AH187" s="231"/>
      <c r="AI187" s="231"/>
      <c r="AJ187" s="231"/>
      <c r="AK187" s="231"/>
      <c r="AL187" s="231"/>
      <c r="AM187" s="231"/>
      <c r="AN187" s="231"/>
      <c r="AO187" s="231"/>
    </row>
    <row r="188" spans="1:41" s="203" customFormat="1">
      <c r="A188" s="120">
        <v>23</v>
      </c>
      <c r="B188" s="47" t="s">
        <v>158</v>
      </c>
      <c r="C188" s="47"/>
      <c r="D188" s="47"/>
      <c r="E188" s="49">
        <v>0</v>
      </c>
      <c r="F188" s="52">
        <v>0</v>
      </c>
      <c r="G188" s="118"/>
      <c r="H188" s="122">
        <v>0</v>
      </c>
      <c r="I188" s="29"/>
      <c r="J188" s="231"/>
      <c r="K188" s="231"/>
      <c r="L188" s="231"/>
      <c r="M188" s="231"/>
      <c r="N188" s="231"/>
      <c r="O188" s="231"/>
      <c r="P188" s="231"/>
      <c r="Q188" s="231"/>
      <c r="R188" s="231"/>
      <c r="S188" s="231"/>
      <c r="T188" s="231"/>
      <c r="U188" s="231"/>
      <c r="V188" s="231"/>
      <c r="W188" s="231"/>
      <c r="X188" s="231"/>
      <c r="Y188" s="231"/>
      <c r="Z188" s="231"/>
      <c r="AA188" s="231"/>
      <c r="AB188" s="231"/>
      <c r="AC188" s="231"/>
      <c r="AD188" s="231"/>
      <c r="AE188" s="231"/>
      <c r="AF188" s="231"/>
      <c r="AG188" s="231"/>
      <c r="AH188" s="231"/>
      <c r="AI188" s="231"/>
      <c r="AJ188" s="231"/>
      <c r="AK188" s="231"/>
      <c r="AL188" s="231"/>
      <c r="AM188" s="231"/>
      <c r="AN188" s="231"/>
      <c r="AO188" s="231"/>
    </row>
    <row r="189" spans="1:41" s="203" customFormat="1">
      <c r="A189" s="120">
        <v>24</v>
      </c>
      <c r="B189" s="47" t="s">
        <v>159</v>
      </c>
      <c r="C189" s="47"/>
      <c r="D189" s="47"/>
      <c r="E189" s="49">
        <v>0</v>
      </c>
      <c r="F189" s="52">
        <v>0</v>
      </c>
      <c r="G189" s="118"/>
      <c r="H189" s="122">
        <v>0</v>
      </c>
      <c r="I189" s="29"/>
      <c r="J189" s="231"/>
      <c r="K189" s="231"/>
      <c r="L189" s="231"/>
      <c r="M189" s="231"/>
      <c r="N189" s="231"/>
      <c r="O189" s="231"/>
      <c r="P189" s="231"/>
      <c r="Q189" s="231"/>
      <c r="R189" s="231"/>
      <c r="S189" s="231"/>
      <c r="T189" s="231"/>
      <c r="U189" s="231"/>
      <c r="V189" s="231"/>
      <c r="W189" s="231"/>
      <c r="X189" s="231"/>
      <c r="Y189" s="231"/>
      <c r="Z189" s="231"/>
      <c r="AA189" s="231"/>
      <c r="AB189" s="231"/>
      <c r="AC189" s="231"/>
      <c r="AD189" s="231"/>
      <c r="AE189" s="231"/>
      <c r="AF189" s="231"/>
      <c r="AG189" s="231"/>
      <c r="AH189" s="231"/>
      <c r="AI189" s="231"/>
      <c r="AJ189" s="231"/>
      <c r="AK189" s="231"/>
      <c r="AL189" s="231"/>
      <c r="AM189" s="231"/>
      <c r="AN189" s="231"/>
      <c r="AO189" s="231"/>
    </row>
    <row r="190" spans="1:41" s="203" customFormat="1">
      <c r="A190" s="124">
        <v>25</v>
      </c>
      <c r="B190" s="54" t="s">
        <v>160</v>
      </c>
      <c r="C190" s="54"/>
      <c r="D190" s="54"/>
      <c r="E190" s="56">
        <v>1822</v>
      </c>
      <c r="F190" s="126">
        <v>1823</v>
      </c>
      <c r="G190" s="118"/>
      <c r="H190" s="100">
        <v>1823</v>
      </c>
      <c r="I190" s="24"/>
      <c r="J190" s="231"/>
      <c r="K190" s="231"/>
      <c r="L190" s="231"/>
      <c r="M190" s="231"/>
      <c r="N190" s="231"/>
      <c r="O190" s="231"/>
      <c r="P190" s="231"/>
      <c r="Q190" s="231"/>
      <c r="R190" s="231"/>
      <c r="S190" s="231"/>
      <c r="T190" s="231"/>
      <c r="U190" s="231"/>
      <c r="V190" s="231"/>
      <c r="W190" s="231"/>
      <c r="X190" s="231"/>
      <c r="Y190" s="231"/>
      <c r="Z190" s="231"/>
      <c r="AA190" s="231"/>
      <c r="AB190" s="231"/>
      <c r="AC190" s="231"/>
      <c r="AD190" s="231"/>
      <c r="AE190" s="231"/>
      <c r="AF190" s="231"/>
      <c r="AG190" s="231"/>
      <c r="AH190" s="231"/>
      <c r="AI190" s="231"/>
      <c r="AJ190" s="231"/>
      <c r="AK190" s="231"/>
      <c r="AL190" s="231"/>
      <c r="AM190" s="231"/>
      <c r="AN190" s="231"/>
      <c r="AO190" s="231"/>
    </row>
    <row r="191" spans="1:41" s="203" customFormat="1">
      <c r="A191" s="161"/>
      <c r="B191" s="129"/>
      <c r="C191" s="129"/>
      <c r="D191" s="149"/>
      <c r="E191" s="162"/>
      <c r="F191" s="29"/>
      <c r="G191" s="29"/>
      <c r="H191" s="207"/>
      <c r="I191" s="29"/>
      <c r="J191" s="231"/>
      <c r="K191" s="231"/>
      <c r="L191" s="231"/>
      <c r="M191" s="231"/>
      <c r="N191" s="231"/>
      <c r="O191" s="231"/>
      <c r="P191" s="231"/>
      <c r="Q191" s="231"/>
      <c r="R191" s="231"/>
      <c r="S191" s="231"/>
      <c r="T191" s="231"/>
      <c r="U191" s="231"/>
      <c r="V191" s="231"/>
      <c r="W191" s="231"/>
      <c r="X191" s="231"/>
      <c r="Y191" s="231"/>
      <c r="Z191" s="231"/>
      <c r="AA191" s="231"/>
      <c r="AB191" s="231"/>
      <c r="AC191" s="231"/>
      <c r="AD191" s="231"/>
      <c r="AE191" s="231"/>
      <c r="AF191" s="231"/>
      <c r="AG191" s="231"/>
      <c r="AH191" s="231"/>
      <c r="AI191" s="231"/>
      <c r="AJ191" s="231"/>
      <c r="AK191" s="231"/>
      <c r="AL191" s="231"/>
      <c r="AM191" s="231"/>
      <c r="AN191" s="231"/>
      <c r="AO191" s="231"/>
    </row>
    <row r="192" spans="1:41" s="203" customFormat="1">
      <c r="A192" s="161"/>
      <c r="B192" s="129"/>
      <c r="C192" s="129"/>
      <c r="D192" s="151"/>
      <c r="E192" s="163"/>
      <c r="F192" s="29"/>
      <c r="G192" s="29"/>
      <c r="H192" s="131" t="s">
        <v>27</v>
      </c>
      <c r="I192" s="29"/>
      <c r="J192" s="231"/>
      <c r="K192" s="231"/>
      <c r="L192" s="231"/>
      <c r="M192" s="231"/>
      <c r="N192" s="231"/>
      <c r="O192" s="231"/>
      <c r="P192" s="231"/>
      <c r="Q192" s="231"/>
      <c r="R192" s="231"/>
      <c r="S192" s="231"/>
      <c r="T192" s="231"/>
      <c r="U192" s="231"/>
      <c r="V192" s="231"/>
      <c r="W192" s="231"/>
      <c r="X192" s="231"/>
      <c r="Y192" s="231"/>
      <c r="Z192" s="231"/>
      <c r="AA192" s="231"/>
      <c r="AB192" s="231"/>
      <c r="AC192" s="231"/>
      <c r="AD192" s="231"/>
      <c r="AE192" s="231"/>
      <c r="AF192" s="231"/>
      <c r="AG192" s="231"/>
      <c r="AH192" s="231"/>
      <c r="AI192" s="231"/>
      <c r="AJ192" s="231"/>
      <c r="AK192" s="231"/>
      <c r="AL192" s="231"/>
      <c r="AM192" s="231"/>
      <c r="AN192" s="231"/>
      <c r="AO192" s="231"/>
    </row>
    <row r="193" spans="1:41" s="203" customFormat="1" ht="12.75" customHeight="1">
      <c r="A193" s="106" t="s">
        <v>23</v>
      </c>
      <c r="B193" s="164"/>
      <c r="C193" s="164"/>
      <c r="D193" s="164"/>
      <c r="E193" s="856" t="s">
        <v>377</v>
      </c>
      <c r="F193" s="856" t="s">
        <v>402</v>
      </c>
      <c r="G193" s="130"/>
      <c r="H193" s="856" t="s">
        <v>403</v>
      </c>
      <c r="I193" s="130"/>
      <c r="J193" s="231"/>
      <c r="K193" s="231"/>
      <c r="L193" s="231"/>
      <c r="M193" s="231"/>
      <c r="N193" s="231"/>
      <c r="O193" s="231"/>
      <c r="P193" s="231"/>
      <c r="Q193" s="231"/>
      <c r="R193" s="231"/>
      <c r="S193" s="231"/>
      <c r="T193" s="231"/>
      <c r="U193" s="231"/>
      <c r="V193" s="231"/>
      <c r="W193" s="231"/>
      <c r="X193" s="231"/>
      <c r="Y193" s="231"/>
      <c r="Z193" s="231"/>
      <c r="AA193" s="231"/>
      <c r="AB193" s="231"/>
      <c r="AC193" s="231"/>
      <c r="AD193" s="231"/>
      <c r="AE193" s="231"/>
      <c r="AF193" s="231"/>
      <c r="AG193" s="231"/>
      <c r="AH193" s="231"/>
      <c r="AI193" s="231"/>
      <c r="AJ193" s="231"/>
      <c r="AK193" s="231"/>
      <c r="AL193" s="231"/>
      <c r="AM193" s="231"/>
      <c r="AN193" s="231"/>
      <c r="AO193" s="231"/>
    </row>
    <row r="194" spans="1:41" s="203" customFormat="1" ht="23.25" customHeight="1">
      <c r="A194" s="165"/>
      <c r="B194" s="132"/>
      <c r="C194" s="132"/>
      <c r="D194" s="132"/>
      <c r="E194" s="859"/>
      <c r="F194" s="859"/>
      <c r="G194" s="130"/>
      <c r="H194" s="859"/>
      <c r="I194" s="130"/>
      <c r="J194" s="231"/>
      <c r="K194" s="231"/>
      <c r="L194" s="231"/>
      <c r="M194" s="231"/>
      <c r="N194" s="231"/>
      <c r="O194" s="231"/>
      <c r="P194" s="231"/>
      <c r="Q194" s="231"/>
      <c r="R194" s="231"/>
      <c r="S194" s="231"/>
      <c r="T194" s="231"/>
      <c r="U194" s="231"/>
      <c r="V194" s="231"/>
      <c r="W194" s="231"/>
      <c r="X194" s="231"/>
      <c r="Y194" s="231"/>
      <c r="Z194" s="231"/>
      <c r="AA194" s="231"/>
      <c r="AB194" s="231"/>
      <c r="AC194" s="231"/>
      <c r="AD194" s="231"/>
      <c r="AE194" s="231"/>
      <c r="AF194" s="231"/>
      <c r="AG194" s="231"/>
      <c r="AH194" s="231"/>
      <c r="AI194" s="231"/>
      <c r="AJ194" s="231"/>
      <c r="AK194" s="231"/>
      <c r="AL194" s="231"/>
      <c r="AM194" s="231"/>
      <c r="AN194" s="231"/>
      <c r="AO194" s="231"/>
    </row>
    <row r="195" spans="1:41" s="203" customFormat="1">
      <c r="A195" s="154" t="s">
        <v>161</v>
      </c>
      <c r="B195" s="116"/>
      <c r="C195" s="116"/>
      <c r="D195" s="116"/>
      <c r="E195" s="859"/>
      <c r="F195" s="859"/>
      <c r="G195" s="130"/>
      <c r="H195" s="859"/>
      <c r="I195" s="130"/>
      <c r="J195" s="231"/>
      <c r="K195" s="231"/>
      <c r="L195" s="231"/>
      <c r="M195" s="231"/>
      <c r="N195" s="231"/>
      <c r="O195" s="231"/>
      <c r="P195" s="231"/>
      <c r="Q195" s="231"/>
      <c r="R195" s="231"/>
      <c r="S195" s="231"/>
      <c r="T195" s="231"/>
      <c r="U195" s="231"/>
      <c r="V195" s="231"/>
      <c r="W195" s="231"/>
      <c r="X195" s="231"/>
      <c r="Y195" s="231"/>
      <c r="Z195" s="231"/>
      <c r="AA195" s="231"/>
      <c r="AB195" s="231"/>
      <c r="AC195" s="231"/>
      <c r="AD195" s="231"/>
      <c r="AE195" s="231"/>
      <c r="AF195" s="231"/>
      <c r="AG195" s="231"/>
      <c r="AH195" s="231"/>
      <c r="AI195" s="231"/>
      <c r="AJ195" s="231"/>
      <c r="AK195" s="231"/>
      <c r="AL195" s="231"/>
      <c r="AM195" s="231"/>
      <c r="AN195" s="231"/>
      <c r="AO195" s="231"/>
    </row>
    <row r="196" spans="1:41" s="203" customFormat="1">
      <c r="A196" s="109" t="s">
        <v>83</v>
      </c>
      <c r="B196" s="47"/>
      <c r="C196" s="47"/>
      <c r="D196" s="47"/>
      <c r="E196" s="859"/>
      <c r="F196" s="859"/>
      <c r="G196" s="130"/>
      <c r="H196" s="859"/>
      <c r="I196" s="130"/>
      <c r="J196" s="231"/>
      <c r="K196" s="231"/>
      <c r="L196" s="231"/>
      <c r="M196" s="231"/>
      <c r="N196" s="231"/>
      <c r="O196" s="231"/>
      <c r="P196" s="231"/>
      <c r="Q196" s="231"/>
      <c r="R196" s="231"/>
      <c r="S196" s="231"/>
      <c r="T196" s="231"/>
      <c r="U196" s="231"/>
      <c r="V196" s="231"/>
      <c r="W196" s="231"/>
      <c r="X196" s="231"/>
      <c r="Y196" s="231"/>
      <c r="Z196" s="231"/>
      <c r="AA196" s="231"/>
      <c r="AB196" s="231"/>
      <c r="AC196" s="231"/>
      <c r="AD196" s="231"/>
      <c r="AE196" s="231"/>
      <c r="AF196" s="231"/>
      <c r="AG196" s="231"/>
      <c r="AH196" s="231"/>
      <c r="AI196" s="231"/>
      <c r="AJ196" s="231"/>
      <c r="AK196" s="231"/>
      <c r="AL196" s="231"/>
      <c r="AM196" s="231"/>
      <c r="AN196" s="231"/>
      <c r="AO196" s="231"/>
    </row>
    <row r="197" spans="1:41" s="203" customFormat="1">
      <c r="A197" s="110" t="s">
        <v>84</v>
      </c>
      <c r="B197" s="132"/>
      <c r="C197" s="132"/>
      <c r="D197" s="132"/>
      <c r="E197" s="860"/>
      <c r="F197" s="860"/>
      <c r="G197" s="130"/>
      <c r="H197" s="860"/>
      <c r="I197" s="130"/>
      <c r="J197" s="231"/>
      <c r="K197" s="231"/>
      <c r="L197" s="231"/>
      <c r="M197" s="231"/>
      <c r="N197" s="231"/>
      <c r="O197" s="231"/>
      <c r="P197" s="231"/>
      <c r="Q197" s="231"/>
      <c r="R197" s="231"/>
      <c r="S197" s="231"/>
      <c r="T197" s="231"/>
      <c r="U197" s="231"/>
      <c r="V197" s="231"/>
      <c r="W197" s="231"/>
      <c r="X197" s="231"/>
      <c r="Y197" s="231"/>
      <c r="Z197" s="231"/>
      <c r="AA197" s="231"/>
      <c r="AB197" s="231"/>
      <c r="AC197" s="231"/>
      <c r="AD197" s="231"/>
      <c r="AE197" s="231"/>
      <c r="AF197" s="231"/>
      <c r="AG197" s="231"/>
      <c r="AH197" s="231"/>
      <c r="AI197" s="231"/>
      <c r="AJ197" s="231"/>
      <c r="AK197" s="231"/>
      <c r="AL197" s="231"/>
      <c r="AM197" s="231"/>
      <c r="AN197" s="231"/>
      <c r="AO197" s="231"/>
    </row>
    <row r="198" spans="1:41" s="203" customFormat="1">
      <c r="A198" s="153" t="s">
        <v>162</v>
      </c>
      <c r="B198" s="166"/>
      <c r="C198" s="166"/>
      <c r="D198" s="166"/>
      <c r="E198" s="167"/>
      <c r="F198" s="146"/>
      <c r="G198" s="118"/>
      <c r="H198" s="146"/>
      <c r="I198" s="29"/>
      <c r="J198" s="231"/>
      <c r="K198" s="231"/>
      <c r="L198" s="231"/>
      <c r="M198" s="231"/>
      <c r="N198" s="231"/>
      <c r="O198" s="231"/>
      <c r="P198" s="231"/>
      <c r="Q198" s="231"/>
      <c r="R198" s="231"/>
      <c r="S198" s="231"/>
      <c r="T198" s="231"/>
      <c r="U198" s="231"/>
      <c r="V198" s="231"/>
      <c r="W198" s="231"/>
      <c r="X198" s="231"/>
      <c r="Y198" s="231"/>
      <c r="Z198" s="231"/>
      <c r="AA198" s="231"/>
      <c r="AB198" s="231"/>
      <c r="AC198" s="231"/>
      <c r="AD198" s="231"/>
      <c r="AE198" s="231"/>
      <c r="AF198" s="231"/>
      <c r="AG198" s="231"/>
      <c r="AH198" s="231"/>
      <c r="AI198" s="231"/>
      <c r="AJ198" s="231"/>
      <c r="AK198" s="231"/>
      <c r="AL198" s="231"/>
      <c r="AM198" s="231"/>
      <c r="AN198" s="231"/>
      <c r="AO198" s="231"/>
    </row>
    <row r="199" spans="1:41" s="203" customFormat="1">
      <c r="A199" s="120">
        <v>1</v>
      </c>
      <c r="B199" s="47" t="s">
        <v>163</v>
      </c>
      <c r="C199" s="47"/>
      <c r="D199" s="47"/>
      <c r="E199" s="74">
        <v>1231</v>
      </c>
      <c r="F199" s="52">
        <v>1080</v>
      </c>
      <c r="G199" s="118"/>
      <c r="H199" s="122">
        <v>1239</v>
      </c>
      <c r="I199" s="29"/>
      <c r="J199" s="231"/>
      <c r="K199" s="231"/>
      <c r="L199" s="231"/>
      <c r="M199" s="231"/>
      <c r="N199" s="231"/>
      <c r="O199" s="231"/>
      <c r="P199" s="231"/>
      <c r="Q199" s="231"/>
      <c r="R199" s="231"/>
      <c r="S199" s="231"/>
      <c r="T199" s="231"/>
      <c r="U199" s="231"/>
      <c r="V199" s="231"/>
      <c r="W199" s="231"/>
      <c r="X199" s="231"/>
      <c r="Y199" s="231"/>
      <c r="Z199" s="231"/>
      <c r="AA199" s="231"/>
      <c r="AB199" s="231"/>
      <c r="AC199" s="231"/>
      <c r="AD199" s="231"/>
      <c r="AE199" s="231"/>
      <c r="AF199" s="231"/>
      <c r="AG199" s="231"/>
      <c r="AH199" s="231"/>
      <c r="AI199" s="231"/>
      <c r="AJ199" s="231"/>
      <c r="AK199" s="231"/>
      <c r="AL199" s="231"/>
      <c r="AM199" s="231"/>
      <c r="AN199" s="231"/>
      <c r="AO199" s="231"/>
    </row>
    <row r="200" spans="1:41" s="203" customFormat="1">
      <c r="A200" s="120">
        <v>2</v>
      </c>
      <c r="B200" s="47" t="s">
        <v>164</v>
      </c>
      <c r="C200" s="47"/>
      <c r="D200" s="47"/>
      <c r="E200" s="56">
        <v>0</v>
      </c>
      <c r="F200" s="52">
        <v>0</v>
      </c>
      <c r="G200" s="118"/>
      <c r="H200" s="100">
        <v>10</v>
      </c>
      <c r="I200" s="29"/>
      <c r="J200" s="231"/>
      <c r="K200" s="231"/>
      <c r="L200" s="231"/>
      <c r="M200" s="231"/>
      <c r="N200" s="231"/>
      <c r="O200" s="231"/>
      <c r="P200" s="231"/>
      <c r="Q200" s="231"/>
      <c r="R200" s="231"/>
      <c r="S200" s="231"/>
      <c r="T200" s="231"/>
      <c r="U200" s="231"/>
      <c r="V200" s="231"/>
      <c r="W200" s="231"/>
      <c r="X200" s="231"/>
      <c r="Y200" s="231"/>
      <c r="Z200" s="231"/>
      <c r="AA200" s="231"/>
      <c r="AB200" s="231"/>
      <c r="AC200" s="231"/>
      <c r="AD200" s="231"/>
      <c r="AE200" s="231"/>
      <c r="AF200" s="231"/>
      <c r="AG200" s="231"/>
      <c r="AH200" s="231"/>
      <c r="AI200" s="231"/>
      <c r="AJ200" s="231"/>
      <c r="AK200" s="231"/>
      <c r="AL200" s="231"/>
      <c r="AM200" s="231"/>
      <c r="AN200" s="231"/>
      <c r="AO200" s="231"/>
    </row>
    <row r="201" spans="1:41" s="203" customFormat="1">
      <c r="A201" s="120">
        <v>3</v>
      </c>
      <c r="B201" s="116" t="s">
        <v>165</v>
      </c>
      <c r="C201" s="116"/>
      <c r="D201" s="116"/>
      <c r="E201" s="80">
        <v>1231</v>
      </c>
      <c r="F201" s="142">
        <f>SUM(F199:F200)</f>
        <v>1080</v>
      </c>
      <c r="G201" s="118"/>
      <c r="H201" s="142">
        <f>SUM(H199:H200)</f>
        <v>1249</v>
      </c>
      <c r="I201" s="29"/>
      <c r="J201" s="231"/>
      <c r="K201" s="231"/>
      <c r="L201" s="231"/>
      <c r="M201" s="231"/>
      <c r="N201" s="231"/>
      <c r="O201" s="231"/>
      <c r="P201" s="231"/>
      <c r="Q201" s="231"/>
      <c r="R201" s="231"/>
      <c r="S201" s="231"/>
      <c r="T201" s="231"/>
      <c r="U201" s="231"/>
      <c r="V201" s="231"/>
      <c r="W201" s="231"/>
      <c r="X201" s="231"/>
      <c r="Y201" s="231"/>
      <c r="Z201" s="231"/>
      <c r="AA201" s="231"/>
      <c r="AB201" s="231"/>
      <c r="AC201" s="231"/>
      <c r="AD201" s="231"/>
      <c r="AE201" s="231"/>
      <c r="AF201" s="231"/>
      <c r="AG201" s="231"/>
      <c r="AH201" s="231"/>
      <c r="AI201" s="231"/>
      <c r="AJ201" s="231"/>
      <c r="AK201" s="231"/>
      <c r="AL201" s="231"/>
      <c r="AM201" s="231"/>
      <c r="AN201" s="231"/>
      <c r="AO201" s="231"/>
    </row>
    <row r="202" spans="1:41" s="203" customFormat="1">
      <c r="A202" s="46"/>
      <c r="B202" s="132"/>
      <c r="C202" s="132"/>
      <c r="D202" s="132"/>
      <c r="E202" s="156"/>
      <c r="F202" s="139"/>
      <c r="G202" s="139"/>
      <c r="H202" s="139"/>
      <c r="I202" s="29"/>
      <c r="J202" s="231"/>
      <c r="K202" s="231"/>
      <c r="L202" s="231"/>
      <c r="M202" s="231"/>
      <c r="N202" s="231"/>
      <c r="O202" s="231"/>
      <c r="P202" s="231"/>
      <c r="Q202" s="231"/>
      <c r="R202" s="231"/>
      <c r="S202" s="231"/>
      <c r="T202" s="231"/>
      <c r="U202" s="231"/>
      <c r="V202" s="231"/>
      <c r="W202" s="231"/>
      <c r="X202" s="231"/>
      <c r="Y202" s="231"/>
      <c r="Z202" s="231"/>
      <c r="AA202" s="231"/>
      <c r="AB202" s="231"/>
      <c r="AC202" s="231"/>
      <c r="AD202" s="231"/>
      <c r="AE202" s="231"/>
      <c r="AF202" s="231"/>
      <c r="AG202" s="231"/>
      <c r="AH202" s="231"/>
      <c r="AI202" s="231"/>
      <c r="AJ202" s="231"/>
      <c r="AK202" s="231"/>
      <c r="AL202" s="231"/>
      <c r="AM202" s="231"/>
      <c r="AN202" s="231"/>
      <c r="AO202" s="231"/>
    </row>
    <row r="203" spans="1:41" s="203" customFormat="1">
      <c r="A203" s="153" t="s">
        <v>166</v>
      </c>
      <c r="B203" s="116"/>
      <c r="C203" s="116"/>
      <c r="D203" s="116"/>
      <c r="E203" s="140"/>
      <c r="F203" s="146"/>
      <c r="G203" s="118"/>
      <c r="H203" s="146"/>
      <c r="I203" s="29"/>
      <c r="J203" s="231"/>
      <c r="K203" s="231"/>
      <c r="L203" s="231"/>
      <c r="M203" s="231"/>
      <c r="N203" s="231"/>
      <c r="O203" s="231"/>
      <c r="P203" s="231"/>
      <c r="Q203" s="231"/>
      <c r="R203" s="231"/>
      <c r="S203" s="231"/>
      <c r="T203" s="231"/>
      <c r="U203" s="231"/>
      <c r="V203" s="231"/>
      <c r="W203" s="231"/>
      <c r="X203" s="231"/>
      <c r="Y203" s="231"/>
      <c r="Z203" s="231"/>
      <c r="AA203" s="231"/>
      <c r="AB203" s="231"/>
      <c r="AC203" s="231"/>
      <c r="AD203" s="231"/>
      <c r="AE203" s="231"/>
      <c r="AF203" s="231"/>
      <c r="AG203" s="231"/>
      <c r="AH203" s="231"/>
      <c r="AI203" s="231"/>
      <c r="AJ203" s="231"/>
      <c r="AK203" s="231"/>
      <c r="AL203" s="231"/>
      <c r="AM203" s="231"/>
      <c r="AN203" s="231"/>
      <c r="AO203" s="231"/>
    </row>
    <row r="204" spans="1:41" s="203" customFormat="1">
      <c r="A204" s="120">
        <v>4</v>
      </c>
      <c r="B204" s="47" t="s">
        <v>167</v>
      </c>
      <c r="C204" s="47"/>
      <c r="D204" s="47"/>
      <c r="E204" s="74">
        <v>12096</v>
      </c>
      <c r="F204" s="52">
        <v>12507</v>
      </c>
      <c r="G204" s="118"/>
      <c r="H204" s="122">
        <v>12389</v>
      </c>
      <c r="I204" s="29"/>
      <c r="J204" s="231"/>
      <c r="K204" s="231"/>
      <c r="L204" s="231"/>
      <c r="M204" s="231"/>
      <c r="N204" s="231"/>
      <c r="O204" s="231"/>
      <c r="P204" s="231"/>
      <c r="Q204" s="231"/>
      <c r="R204" s="231"/>
      <c r="S204" s="231"/>
      <c r="T204" s="231"/>
      <c r="U204" s="231"/>
      <c r="V204" s="231"/>
      <c r="W204" s="231"/>
      <c r="X204" s="231"/>
      <c r="Y204" s="231"/>
      <c r="Z204" s="231"/>
      <c r="AA204" s="231"/>
      <c r="AB204" s="231"/>
      <c r="AC204" s="231"/>
      <c r="AD204" s="231"/>
      <c r="AE204" s="231"/>
      <c r="AF204" s="231"/>
      <c r="AG204" s="231"/>
      <c r="AH204" s="231"/>
      <c r="AI204" s="231"/>
      <c r="AJ204" s="231"/>
      <c r="AK204" s="231"/>
      <c r="AL204" s="231"/>
      <c r="AM204" s="231"/>
      <c r="AN204" s="231"/>
      <c r="AO204" s="231"/>
    </row>
    <row r="205" spans="1:41" s="203" customFormat="1">
      <c r="A205" s="120">
        <v>5</v>
      </c>
      <c r="B205" s="47" t="s">
        <v>168</v>
      </c>
      <c r="C205" s="47"/>
      <c r="D205" s="47"/>
      <c r="E205" s="49">
        <v>16638</v>
      </c>
      <c r="F205" s="52">
        <v>16565</v>
      </c>
      <c r="G205" s="118"/>
      <c r="H205" s="122">
        <v>16048</v>
      </c>
      <c r="I205" s="29"/>
      <c r="J205" s="231"/>
      <c r="K205" s="231"/>
      <c r="L205" s="231"/>
      <c r="M205" s="231"/>
      <c r="N205" s="231"/>
      <c r="O205" s="231"/>
      <c r="P205" s="231"/>
      <c r="Q205" s="231"/>
      <c r="R205" s="231"/>
      <c r="S205" s="231"/>
      <c r="T205" s="231"/>
      <c r="U205" s="231"/>
      <c r="V205" s="231"/>
      <c r="W205" s="231"/>
      <c r="X205" s="231"/>
      <c r="Y205" s="231"/>
      <c r="Z205" s="231"/>
      <c r="AA205" s="231"/>
      <c r="AB205" s="231"/>
      <c r="AC205" s="231"/>
      <c r="AD205" s="231"/>
      <c r="AE205" s="231"/>
      <c r="AF205" s="231"/>
      <c r="AG205" s="231"/>
      <c r="AH205" s="231"/>
      <c r="AI205" s="231"/>
      <c r="AJ205" s="231"/>
      <c r="AK205" s="231"/>
      <c r="AL205" s="231"/>
      <c r="AM205" s="231"/>
      <c r="AN205" s="231"/>
      <c r="AO205" s="231"/>
    </row>
    <row r="206" spans="1:41" s="203" customFormat="1">
      <c r="A206" s="120">
        <v>6</v>
      </c>
      <c r="B206" s="47" t="s">
        <v>169</v>
      </c>
      <c r="C206" s="47"/>
      <c r="D206" s="47"/>
      <c r="E206" s="49">
        <v>6883</v>
      </c>
      <c r="F206" s="52">
        <v>7131</v>
      </c>
      <c r="G206" s="118"/>
      <c r="H206" s="100">
        <v>7344</v>
      </c>
      <c r="I206" s="29"/>
      <c r="J206" s="231"/>
      <c r="K206" s="231"/>
      <c r="L206" s="231"/>
      <c r="M206" s="231"/>
      <c r="N206" s="231"/>
      <c r="O206" s="231"/>
      <c r="P206" s="231"/>
      <c r="Q206" s="231"/>
      <c r="R206" s="231"/>
      <c r="S206" s="231"/>
      <c r="T206" s="231"/>
      <c r="U206" s="231"/>
      <c r="V206" s="231"/>
      <c r="W206" s="231"/>
      <c r="X206" s="231"/>
      <c r="Y206" s="231"/>
      <c r="Z206" s="231"/>
      <c r="AA206" s="231"/>
      <c r="AB206" s="231"/>
      <c r="AC206" s="231"/>
      <c r="AD206" s="231"/>
      <c r="AE206" s="231"/>
      <c r="AF206" s="231"/>
      <c r="AG206" s="231"/>
      <c r="AH206" s="231"/>
      <c r="AI206" s="231"/>
      <c r="AJ206" s="231"/>
      <c r="AK206" s="231"/>
      <c r="AL206" s="231"/>
      <c r="AM206" s="231"/>
      <c r="AN206" s="231"/>
      <c r="AO206" s="231"/>
    </row>
    <row r="207" spans="1:41" s="203" customFormat="1">
      <c r="A207" s="120">
        <v>7</v>
      </c>
      <c r="B207" s="116" t="s">
        <v>170</v>
      </c>
      <c r="C207" s="116"/>
      <c r="D207" s="116"/>
      <c r="E207" s="80">
        <v>35617</v>
      </c>
      <c r="F207" s="142">
        <f>SUM(F204:F206)</f>
        <v>36203</v>
      </c>
      <c r="G207" s="118"/>
      <c r="H207" s="142">
        <f>SUM(H204:H206)</f>
        <v>35781</v>
      </c>
      <c r="I207" s="29"/>
      <c r="J207" s="231"/>
      <c r="K207" s="231"/>
      <c r="L207" s="231"/>
      <c r="M207" s="231"/>
      <c r="N207" s="231"/>
      <c r="O207" s="231"/>
      <c r="P207" s="231"/>
      <c r="Q207" s="231"/>
      <c r="R207" s="231"/>
      <c r="S207" s="231"/>
      <c r="T207" s="231"/>
      <c r="U207" s="231"/>
      <c r="V207" s="231"/>
      <c r="W207" s="231"/>
      <c r="X207" s="231"/>
      <c r="Y207" s="231"/>
      <c r="Z207" s="231"/>
      <c r="AA207" s="231"/>
      <c r="AB207" s="231"/>
      <c r="AC207" s="231"/>
      <c r="AD207" s="231"/>
      <c r="AE207" s="231"/>
      <c r="AF207" s="231"/>
      <c r="AG207" s="231"/>
      <c r="AH207" s="231"/>
      <c r="AI207" s="231"/>
      <c r="AJ207" s="231"/>
      <c r="AK207" s="231"/>
      <c r="AL207" s="231"/>
      <c r="AM207" s="231"/>
      <c r="AN207" s="231"/>
      <c r="AO207" s="231"/>
    </row>
    <row r="208" spans="1:41" s="203" customFormat="1">
      <c r="A208" s="46"/>
      <c r="B208" s="132"/>
      <c r="C208" s="132"/>
      <c r="D208" s="132"/>
      <c r="E208" s="156"/>
      <c r="F208" s="139"/>
      <c r="G208" s="139"/>
      <c r="H208" s="139"/>
      <c r="I208" s="29"/>
      <c r="J208" s="231"/>
      <c r="K208" s="231"/>
      <c r="L208" s="231"/>
      <c r="M208" s="231"/>
      <c r="N208" s="231"/>
      <c r="O208" s="231"/>
      <c r="P208" s="231"/>
      <c r="Q208" s="231"/>
      <c r="R208" s="231"/>
      <c r="S208" s="231"/>
      <c r="T208" s="231"/>
      <c r="U208" s="231"/>
      <c r="V208" s="231"/>
      <c r="W208" s="231"/>
      <c r="X208" s="231"/>
      <c r="Y208" s="231"/>
      <c r="Z208" s="231"/>
      <c r="AA208" s="231"/>
      <c r="AB208" s="231"/>
      <c r="AC208" s="231"/>
      <c r="AD208" s="231"/>
      <c r="AE208" s="231"/>
      <c r="AF208" s="231"/>
      <c r="AG208" s="231"/>
      <c r="AH208" s="231"/>
      <c r="AI208" s="231"/>
      <c r="AJ208" s="231"/>
      <c r="AK208" s="231"/>
      <c r="AL208" s="231"/>
      <c r="AM208" s="231"/>
      <c r="AN208" s="231"/>
      <c r="AO208" s="231"/>
    </row>
    <row r="209" spans="1:41" s="203" customFormat="1">
      <c r="A209" s="153" t="s">
        <v>121</v>
      </c>
      <c r="B209" s="168"/>
      <c r="C209" s="168"/>
      <c r="D209" s="168"/>
      <c r="E209" s="140"/>
      <c r="F209" s="146"/>
      <c r="G209" s="118"/>
      <c r="H209" s="146"/>
      <c r="I209" s="29"/>
      <c r="J209" s="231"/>
      <c r="K209" s="231"/>
      <c r="L209" s="231"/>
      <c r="M209" s="231"/>
      <c r="N209" s="231"/>
      <c r="O209" s="231"/>
      <c r="P209" s="231"/>
      <c r="Q209" s="231"/>
      <c r="R209" s="231"/>
      <c r="S209" s="231"/>
      <c r="T209" s="231"/>
      <c r="U209" s="231"/>
      <c r="V209" s="231"/>
      <c r="W209" s="231"/>
      <c r="X209" s="231"/>
      <c r="Y209" s="231"/>
      <c r="Z209" s="231"/>
      <c r="AA209" s="231"/>
      <c r="AB209" s="231"/>
      <c r="AC209" s="231"/>
      <c r="AD209" s="231"/>
      <c r="AE209" s="231"/>
      <c r="AF209" s="231"/>
      <c r="AG209" s="231"/>
      <c r="AH209" s="231"/>
      <c r="AI209" s="231"/>
      <c r="AJ209" s="231"/>
      <c r="AK209" s="231"/>
      <c r="AL209" s="231"/>
      <c r="AM209" s="231"/>
      <c r="AN209" s="231"/>
      <c r="AO209" s="231"/>
    </row>
    <row r="210" spans="1:41" s="203" customFormat="1">
      <c r="A210" s="120">
        <v>8</v>
      </c>
      <c r="B210" s="47" t="s">
        <v>171</v>
      </c>
      <c r="C210" s="47"/>
      <c r="D210" s="47"/>
      <c r="E210" s="74">
        <v>-1135</v>
      </c>
      <c r="F210" s="52">
        <v>-1165</v>
      </c>
      <c r="G210" s="118"/>
      <c r="H210" s="122">
        <v>-1211</v>
      </c>
      <c r="I210" s="29"/>
      <c r="J210" s="231"/>
      <c r="K210" s="231"/>
      <c r="L210" s="231"/>
      <c r="M210" s="231"/>
      <c r="N210" s="231"/>
      <c r="O210" s="231"/>
      <c r="P210" s="231"/>
      <c r="Q210" s="231"/>
      <c r="R210" s="231"/>
      <c r="S210" s="231"/>
      <c r="T210" s="231"/>
      <c r="U210" s="231"/>
      <c r="V210" s="231"/>
      <c r="W210" s="231"/>
      <c r="X210" s="231"/>
      <c r="Y210" s="231"/>
      <c r="Z210" s="231"/>
      <c r="AA210" s="231"/>
      <c r="AB210" s="231"/>
      <c r="AC210" s="231"/>
      <c r="AD210" s="231"/>
      <c r="AE210" s="231"/>
      <c r="AF210" s="231"/>
      <c r="AG210" s="231"/>
      <c r="AH210" s="231"/>
      <c r="AI210" s="231"/>
      <c r="AJ210" s="231"/>
      <c r="AK210" s="231"/>
      <c r="AL210" s="231"/>
      <c r="AM210" s="231"/>
      <c r="AN210" s="231"/>
      <c r="AO210" s="231"/>
    </row>
    <row r="211" spans="1:41" s="203" customFormat="1">
      <c r="A211" s="120">
        <v>9</v>
      </c>
      <c r="B211" s="47" t="s">
        <v>172</v>
      </c>
      <c r="C211" s="47"/>
      <c r="D211" s="47"/>
      <c r="E211" s="49">
        <v>0</v>
      </c>
      <c r="F211" s="52">
        <v>0</v>
      </c>
      <c r="G211" s="118"/>
      <c r="H211" s="122">
        <v>0</v>
      </c>
      <c r="I211" s="29"/>
      <c r="J211" s="231"/>
      <c r="K211" s="231"/>
      <c r="L211" s="231"/>
      <c r="M211" s="231"/>
      <c r="N211" s="231"/>
      <c r="O211" s="231"/>
      <c r="P211" s="231"/>
      <c r="Q211" s="231"/>
      <c r="R211" s="231"/>
      <c r="S211" s="231"/>
      <c r="T211" s="231"/>
      <c r="U211" s="231"/>
      <c r="V211" s="231"/>
      <c r="W211" s="231"/>
      <c r="X211" s="231"/>
      <c r="Y211" s="231"/>
      <c r="Z211" s="231"/>
      <c r="AA211" s="231"/>
      <c r="AB211" s="231"/>
      <c r="AC211" s="231"/>
      <c r="AD211" s="231"/>
      <c r="AE211" s="231"/>
      <c r="AF211" s="231"/>
      <c r="AG211" s="231"/>
      <c r="AH211" s="231"/>
      <c r="AI211" s="231"/>
      <c r="AJ211" s="231"/>
      <c r="AK211" s="231"/>
      <c r="AL211" s="231"/>
      <c r="AM211" s="231"/>
      <c r="AN211" s="231"/>
      <c r="AO211" s="231"/>
    </row>
    <row r="212" spans="1:41" s="203" customFormat="1">
      <c r="A212" s="120">
        <v>10</v>
      </c>
      <c r="B212" s="47" t="s">
        <v>173</v>
      </c>
      <c r="C212" s="47"/>
      <c r="D212" s="47"/>
      <c r="E212" s="49">
        <v>206</v>
      </c>
      <c r="F212" s="52">
        <v>341</v>
      </c>
      <c r="G212" s="118"/>
      <c r="H212" s="122">
        <v>341</v>
      </c>
      <c r="I212" s="29"/>
      <c r="J212" s="231"/>
      <c r="K212" s="231"/>
      <c r="L212" s="231"/>
      <c r="M212" s="231"/>
      <c r="N212" s="231"/>
      <c r="O212" s="231"/>
      <c r="P212" s="231"/>
      <c r="Q212" s="231"/>
      <c r="R212" s="231"/>
      <c r="S212" s="231"/>
      <c r="T212" s="231"/>
      <c r="U212" s="231"/>
      <c r="V212" s="231"/>
      <c r="W212" s="231"/>
      <c r="X212" s="231"/>
      <c r="Y212" s="231"/>
      <c r="Z212" s="231"/>
      <c r="AA212" s="231"/>
      <c r="AB212" s="231"/>
      <c r="AC212" s="231"/>
      <c r="AD212" s="231"/>
      <c r="AE212" s="231"/>
      <c r="AF212" s="231"/>
      <c r="AG212" s="231"/>
      <c r="AH212" s="231"/>
      <c r="AI212" s="231"/>
      <c r="AJ212" s="231"/>
      <c r="AK212" s="231"/>
      <c r="AL212" s="231"/>
      <c r="AM212" s="231"/>
      <c r="AN212" s="231"/>
      <c r="AO212" s="231"/>
    </row>
    <row r="213" spans="1:41" s="203" customFormat="1">
      <c r="A213" s="120">
        <v>11</v>
      </c>
      <c r="B213" s="47" t="s">
        <v>174</v>
      </c>
      <c r="C213" s="47"/>
      <c r="D213" s="47"/>
      <c r="E213" s="49">
        <v>3523</v>
      </c>
      <c r="F213" s="52">
        <v>3098</v>
      </c>
      <c r="G213" s="118"/>
      <c r="H213" s="99">
        <v>3134</v>
      </c>
      <c r="I213" s="29"/>
      <c r="J213" s="231"/>
      <c r="K213" s="231"/>
      <c r="L213" s="231"/>
      <c r="M213" s="231"/>
      <c r="N213" s="231"/>
      <c r="O213" s="231"/>
      <c r="P213" s="231"/>
      <c r="Q213" s="231"/>
      <c r="R213" s="231"/>
      <c r="S213" s="231"/>
      <c r="T213" s="231"/>
      <c r="U213" s="231"/>
      <c r="V213" s="231"/>
      <c r="W213" s="231"/>
      <c r="X213" s="231"/>
      <c r="Y213" s="231"/>
      <c r="Z213" s="231"/>
      <c r="AA213" s="231"/>
      <c r="AB213" s="231"/>
      <c r="AC213" s="231"/>
      <c r="AD213" s="231"/>
      <c r="AE213" s="231"/>
      <c r="AF213" s="231"/>
      <c r="AG213" s="231"/>
      <c r="AH213" s="231"/>
      <c r="AI213" s="231"/>
      <c r="AJ213" s="231"/>
      <c r="AK213" s="231"/>
      <c r="AL213" s="231"/>
      <c r="AM213" s="231"/>
      <c r="AN213" s="231"/>
      <c r="AO213" s="231"/>
    </row>
    <row r="214" spans="1:41" s="203" customFormat="1">
      <c r="A214" s="120">
        <v>12</v>
      </c>
      <c r="B214" s="116" t="s">
        <v>175</v>
      </c>
      <c r="C214" s="116"/>
      <c r="D214" s="116"/>
      <c r="E214" s="159">
        <v>39442</v>
      </c>
      <c r="F214" s="61">
        <f>F201+F207+SUM(F210:F213)</f>
        <v>39557</v>
      </c>
      <c r="G214" s="118"/>
      <c r="H214" s="61">
        <f>H201+H207+SUM(H210:H213)</f>
        <v>39294</v>
      </c>
      <c r="I214" s="29"/>
      <c r="J214" s="231"/>
      <c r="K214" s="231"/>
      <c r="L214" s="231"/>
      <c r="M214" s="231"/>
      <c r="N214" s="231"/>
      <c r="O214" s="231"/>
      <c r="P214" s="231"/>
      <c r="Q214" s="231"/>
      <c r="R214" s="231"/>
      <c r="S214" s="231"/>
      <c r="T214" s="231"/>
      <c r="U214" s="231"/>
      <c r="V214" s="231"/>
      <c r="W214" s="231"/>
      <c r="X214" s="231"/>
      <c r="Y214" s="231"/>
      <c r="Z214" s="231"/>
      <c r="AA214" s="231"/>
      <c r="AB214" s="231"/>
      <c r="AC214" s="231"/>
      <c r="AD214" s="231"/>
      <c r="AE214" s="231"/>
      <c r="AF214" s="231"/>
      <c r="AG214" s="231"/>
      <c r="AH214" s="231"/>
      <c r="AI214" s="231"/>
      <c r="AJ214" s="231"/>
      <c r="AK214" s="231"/>
      <c r="AL214" s="231"/>
      <c r="AM214" s="231"/>
      <c r="AN214" s="231"/>
      <c r="AO214" s="231"/>
    </row>
    <row r="215" spans="1:41" s="203" customFormat="1">
      <c r="A215" s="111"/>
      <c r="B215" s="47"/>
      <c r="C215" s="47"/>
      <c r="D215" s="47"/>
      <c r="E215" s="117"/>
      <c r="F215" s="118"/>
      <c r="G215" s="118"/>
      <c r="H215" s="118"/>
      <c r="I215" s="29"/>
      <c r="J215" s="231"/>
      <c r="K215" s="231"/>
      <c r="L215" s="231"/>
      <c r="M215" s="231"/>
      <c r="N215" s="231"/>
      <c r="O215" s="231"/>
      <c r="P215" s="231"/>
      <c r="Q215" s="231"/>
      <c r="R215" s="231"/>
      <c r="S215" s="231"/>
      <c r="T215" s="231"/>
      <c r="U215" s="231"/>
      <c r="V215" s="231"/>
      <c r="W215" s="231"/>
      <c r="X215" s="231"/>
      <c r="Y215" s="231"/>
      <c r="Z215" s="231"/>
      <c r="AA215" s="231"/>
      <c r="AB215" s="231"/>
      <c r="AC215" s="231"/>
      <c r="AD215" s="231"/>
      <c r="AE215" s="231"/>
      <c r="AF215" s="231"/>
      <c r="AG215" s="231"/>
      <c r="AH215" s="231"/>
      <c r="AI215" s="231"/>
      <c r="AJ215" s="231"/>
      <c r="AK215" s="231"/>
      <c r="AL215" s="231"/>
      <c r="AM215" s="231"/>
      <c r="AN215" s="231"/>
      <c r="AO215" s="231"/>
    </row>
    <row r="216" spans="1:41" s="203" customFormat="1">
      <c r="A216" s="119" t="s">
        <v>176</v>
      </c>
      <c r="B216" s="116"/>
      <c r="C216" s="116"/>
      <c r="D216" s="116"/>
      <c r="E216" s="117"/>
      <c r="F216" s="160"/>
      <c r="G216" s="118"/>
      <c r="H216" s="160"/>
      <c r="I216" s="29"/>
      <c r="J216" s="231"/>
      <c r="K216" s="231"/>
      <c r="L216" s="231"/>
      <c r="M216" s="231"/>
      <c r="N216" s="231"/>
      <c r="O216" s="231"/>
      <c r="P216" s="231"/>
      <c r="Q216" s="231"/>
      <c r="R216" s="231"/>
      <c r="S216" s="231"/>
      <c r="T216" s="231"/>
      <c r="U216" s="231"/>
      <c r="V216" s="231"/>
      <c r="W216" s="231"/>
      <c r="X216" s="231"/>
      <c r="Y216" s="231"/>
      <c r="Z216" s="231"/>
      <c r="AA216" s="231"/>
      <c r="AB216" s="231"/>
      <c r="AC216" s="231"/>
      <c r="AD216" s="231"/>
      <c r="AE216" s="231"/>
      <c r="AF216" s="231"/>
      <c r="AG216" s="231"/>
      <c r="AH216" s="231"/>
      <c r="AI216" s="231"/>
      <c r="AJ216" s="231"/>
      <c r="AK216" s="231"/>
      <c r="AL216" s="231"/>
      <c r="AM216" s="231"/>
      <c r="AN216" s="231"/>
      <c r="AO216" s="231"/>
    </row>
    <row r="217" spans="1:41" s="203" customFormat="1">
      <c r="A217" s="120">
        <v>13</v>
      </c>
      <c r="B217" s="47" t="s">
        <v>177</v>
      </c>
      <c r="C217" s="47"/>
      <c r="D217" s="47"/>
      <c r="E217" s="41">
        <v>19</v>
      </c>
      <c r="F217" s="121">
        <v>20</v>
      </c>
      <c r="G217" s="118"/>
      <c r="H217" s="169">
        <v>20</v>
      </c>
      <c r="I217" s="29"/>
      <c r="J217" s="231"/>
      <c r="K217" s="231"/>
      <c r="L217" s="231"/>
      <c r="M217" s="231"/>
      <c r="N217" s="231"/>
      <c r="O217" s="231"/>
      <c r="P217" s="231"/>
      <c r="Q217" s="231"/>
      <c r="R217" s="231"/>
      <c r="S217" s="231"/>
      <c r="T217" s="231"/>
      <c r="U217" s="231"/>
      <c r="V217" s="231"/>
      <c r="W217" s="231"/>
      <c r="X217" s="231"/>
      <c r="Y217" s="231"/>
      <c r="Z217" s="231"/>
      <c r="AA217" s="231"/>
      <c r="AB217" s="231"/>
      <c r="AC217" s="231"/>
      <c r="AD217" s="231"/>
      <c r="AE217" s="231"/>
      <c r="AF217" s="231"/>
      <c r="AG217" s="231"/>
      <c r="AH217" s="231"/>
      <c r="AI217" s="231"/>
      <c r="AJ217" s="231"/>
      <c r="AK217" s="231"/>
      <c r="AL217" s="231"/>
      <c r="AM217" s="231"/>
      <c r="AN217" s="231"/>
      <c r="AO217" s="231"/>
    </row>
    <row r="218" spans="1:41" s="203" customFormat="1">
      <c r="A218" s="124">
        <v>14</v>
      </c>
      <c r="B218" s="54" t="s">
        <v>178</v>
      </c>
      <c r="C218" s="54"/>
      <c r="D218" s="54"/>
      <c r="E218" s="56">
        <v>5406</v>
      </c>
      <c r="F218" s="126">
        <v>5452</v>
      </c>
      <c r="G218" s="118"/>
      <c r="H218" s="100">
        <v>5834</v>
      </c>
      <c r="I218" s="29"/>
      <c r="J218" s="231"/>
      <c r="K218" s="231"/>
      <c r="L218" s="231"/>
      <c r="M218" s="231"/>
      <c r="N218" s="231"/>
      <c r="O218" s="231"/>
      <c r="P218" s="231"/>
      <c r="Q218" s="231"/>
      <c r="R218" s="231"/>
      <c r="S218" s="231"/>
      <c r="T218" s="231"/>
      <c r="U218" s="231"/>
      <c r="V218" s="231"/>
      <c r="W218" s="231"/>
      <c r="X218" s="231"/>
      <c r="Y218" s="231"/>
      <c r="Z218" s="231"/>
      <c r="AA218" s="231"/>
      <c r="AB218" s="231"/>
      <c r="AC218" s="231"/>
      <c r="AD218" s="231"/>
      <c r="AE218" s="231"/>
      <c r="AF218" s="231"/>
      <c r="AG218" s="231"/>
      <c r="AH218" s="231"/>
      <c r="AI218" s="231"/>
      <c r="AJ218" s="231"/>
      <c r="AK218" s="231"/>
      <c r="AL218" s="231"/>
      <c r="AM218" s="231"/>
      <c r="AN218" s="231"/>
      <c r="AO218" s="231"/>
    </row>
    <row r="219" spans="1:41" s="203" customFormat="1">
      <c r="A219" s="148"/>
      <c r="B219" s="29"/>
      <c r="C219" s="29"/>
      <c r="D219" s="170"/>
      <c r="E219" s="171"/>
      <c r="F219" s="29"/>
      <c r="G219" s="29"/>
      <c r="H219" s="207"/>
      <c r="I219" s="29"/>
      <c r="J219" s="231"/>
      <c r="K219" s="231"/>
      <c r="L219" s="231"/>
      <c r="M219" s="231"/>
      <c r="N219" s="231"/>
      <c r="O219" s="231"/>
      <c r="P219" s="231"/>
      <c r="Q219" s="231"/>
      <c r="R219" s="231"/>
      <c r="S219" s="231"/>
      <c r="T219" s="231"/>
      <c r="U219" s="231"/>
      <c r="V219" s="231"/>
      <c r="W219" s="231"/>
      <c r="X219" s="231"/>
      <c r="Y219" s="231"/>
      <c r="Z219" s="231"/>
      <c r="AA219" s="231"/>
      <c r="AB219" s="231"/>
      <c r="AC219" s="231"/>
      <c r="AD219" s="231"/>
      <c r="AE219" s="231"/>
      <c r="AF219" s="231"/>
      <c r="AG219" s="231"/>
      <c r="AH219" s="231"/>
      <c r="AI219" s="231"/>
      <c r="AJ219" s="231"/>
      <c r="AK219" s="231"/>
      <c r="AL219" s="231"/>
      <c r="AM219" s="231"/>
      <c r="AN219" s="231"/>
      <c r="AO219" s="231"/>
    </row>
    <row r="220" spans="1:41" s="203" customFormat="1">
      <c r="A220" s="148"/>
      <c r="B220" s="29"/>
      <c r="C220" s="29"/>
      <c r="D220" s="172"/>
      <c r="E220" s="152"/>
      <c r="F220" s="29"/>
      <c r="G220" s="29"/>
      <c r="H220" s="131" t="s">
        <v>27</v>
      </c>
      <c r="I220" s="29"/>
      <c r="J220" s="231"/>
      <c r="K220" s="231"/>
      <c r="L220" s="231"/>
      <c r="M220" s="231"/>
      <c r="N220" s="231"/>
      <c r="O220" s="231"/>
      <c r="P220" s="231"/>
      <c r="Q220" s="231"/>
      <c r="R220" s="231"/>
      <c r="S220" s="231"/>
      <c r="T220" s="231"/>
      <c r="U220" s="231"/>
      <c r="V220" s="231"/>
      <c r="W220" s="231"/>
      <c r="X220" s="231"/>
      <c r="Y220" s="231"/>
      <c r="Z220" s="231"/>
      <c r="AA220" s="231"/>
      <c r="AB220" s="231"/>
      <c r="AC220" s="231"/>
      <c r="AD220" s="231"/>
      <c r="AE220" s="231"/>
      <c r="AF220" s="231"/>
      <c r="AG220" s="231"/>
      <c r="AH220" s="231"/>
      <c r="AI220" s="231"/>
      <c r="AJ220" s="231"/>
      <c r="AK220" s="231"/>
      <c r="AL220" s="231"/>
      <c r="AM220" s="231"/>
      <c r="AN220" s="231"/>
      <c r="AO220" s="231"/>
    </row>
    <row r="221" spans="1:41" s="203" customFormat="1" ht="12.75" customHeight="1">
      <c r="A221" s="106" t="s">
        <v>10</v>
      </c>
      <c r="B221" s="164"/>
      <c r="C221" s="164"/>
      <c r="D221" s="164"/>
      <c r="E221" s="856" t="s">
        <v>377</v>
      </c>
      <c r="F221" s="856" t="s">
        <v>402</v>
      </c>
      <c r="G221" s="130"/>
      <c r="H221" s="856" t="s">
        <v>403</v>
      </c>
      <c r="I221" s="130"/>
      <c r="J221" s="231"/>
      <c r="K221" s="231"/>
      <c r="L221" s="231"/>
      <c r="M221" s="231"/>
      <c r="N221" s="231"/>
      <c r="O221" s="231"/>
      <c r="P221" s="231"/>
      <c r="Q221" s="231"/>
      <c r="R221" s="231"/>
      <c r="S221" s="231"/>
      <c r="T221" s="231"/>
      <c r="U221" s="231"/>
      <c r="V221" s="231"/>
      <c r="W221" s="231"/>
      <c r="X221" s="231"/>
      <c r="Y221" s="231"/>
      <c r="Z221" s="231"/>
      <c r="AA221" s="231"/>
      <c r="AB221" s="231"/>
      <c r="AC221" s="231"/>
      <c r="AD221" s="231"/>
      <c r="AE221" s="231"/>
      <c r="AF221" s="231"/>
      <c r="AG221" s="231"/>
      <c r="AH221" s="231"/>
      <c r="AI221" s="231"/>
      <c r="AJ221" s="231"/>
      <c r="AK221" s="231"/>
      <c r="AL221" s="231"/>
      <c r="AM221" s="231"/>
      <c r="AN221" s="231"/>
      <c r="AO221" s="231"/>
    </row>
    <row r="222" spans="1:41" s="203" customFormat="1">
      <c r="A222" s="109"/>
      <c r="B222" s="132"/>
      <c r="C222" s="132"/>
      <c r="D222" s="132"/>
      <c r="E222" s="859"/>
      <c r="F222" s="859"/>
      <c r="G222" s="130"/>
      <c r="H222" s="859"/>
      <c r="I222" s="130"/>
      <c r="J222" s="231"/>
      <c r="K222" s="231"/>
      <c r="L222" s="231"/>
      <c r="M222" s="231"/>
      <c r="N222" s="231"/>
      <c r="O222" s="231"/>
      <c r="P222" s="231"/>
      <c r="Q222" s="231"/>
      <c r="R222" s="231"/>
      <c r="S222" s="231"/>
      <c r="T222" s="231"/>
      <c r="U222" s="231"/>
      <c r="V222" s="231"/>
      <c r="W222" s="231"/>
      <c r="X222" s="231"/>
      <c r="Y222" s="231"/>
      <c r="Z222" s="231"/>
      <c r="AA222" s="231"/>
      <c r="AB222" s="231"/>
      <c r="AC222" s="231"/>
      <c r="AD222" s="231"/>
      <c r="AE222" s="231"/>
      <c r="AF222" s="231"/>
      <c r="AG222" s="231"/>
      <c r="AH222" s="231"/>
      <c r="AI222" s="231"/>
      <c r="AJ222" s="231"/>
      <c r="AK222" s="231"/>
      <c r="AL222" s="231"/>
      <c r="AM222" s="231"/>
      <c r="AN222" s="231"/>
      <c r="AO222" s="231"/>
    </row>
    <row r="223" spans="1:41" s="203" customFormat="1">
      <c r="A223" s="154" t="s">
        <v>179</v>
      </c>
      <c r="B223" s="116"/>
      <c r="C223" s="116"/>
      <c r="D223" s="116"/>
      <c r="E223" s="859"/>
      <c r="F223" s="859"/>
      <c r="G223" s="130"/>
      <c r="H223" s="859"/>
      <c r="I223" s="130"/>
      <c r="J223" s="231"/>
      <c r="K223" s="231"/>
      <c r="L223" s="231"/>
      <c r="M223" s="231"/>
      <c r="N223" s="231"/>
      <c r="O223" s="231"/>
      <c r="P223" s="231"/>
      <c r="Q223" s="231"/>
      <c r="R223" s="231"/>
      <c r="S223" s="231"/>
      <c r="T223" s="231"/>
      <c r="U223" s="231"/>
      <c r="V223" s="231"/>
      <c r="W223" s="231"/>
      <c r="X223" s="231"/>
      <c r="Y223" s="231"/>
      <c r="Z223" s="231"/>
      <c r="AA223" s="231"/>
      <c r="AB223" s="231"/>
      <c r="AC223" s="231"/>
      <c r="AD223" s="231"/>
      <c r="AE223" s="231"/>
      <c r="AF223" s="231"/>
      <c r="AG223" s="231"/>
      <c r="AH223" s="231"/>
      <c r="AI223" s="231"/>
      <c r="AJ223" s="231"/>
      <c r="AK223" s="231"/>
      <c r="AL223" s="231"/>
      <c r="AM223" s="231"/>
      <c r="AN223" s="231"/>
      <c r="AO223" s="231"/>
    </row>
    <row r="224" spans="1:41" s="203" customFormat="1">
      <c r="A224" s="109" t="s">
        <v>83</v>
      </c>
      <c r="B224" s="47"/>
      <c r="C224" s="47"/>
      <c r="D224" s="47"/>
      <c r="E224" s="859"/>
      <c r="F224" s="859"/>
      <c r="G224" s="130"/>
      <c r="H224" s="859"/>
      <c r="I224" s="130"/>
      <c r="J224" s="231"/>
      <c r="K224" s="231"/>
      <c r="L224" s="231"/>
      <c r="M224" s="231"/>
      <c r="N224" s="231"/>
      <c r="O224" s="231"/>
      <c r="P224" s="231"/>
      <c r="Q224" s="231"/>
      <c r="R224" s="231"/>
      <c r="S224" s="231"/>
      <c r="T224" s="231"/>
      <c r="U224" s="231"/>
      <c r="V224" s="231"/>
      <c r="W224" s="231"/>
      <c r="X224" s="231"/>
      <c r="Y224" s="231"/>
      <c r="Z224" s="231"/>
      <c r="AA224" s="231"/>
      <c r="AB224" s="231"/>
      <c r="AC224" s="231"/>
      <c r="AD224" s="231"/>
      <c r="AE224" s="231"/>
      <c r="AF224" s="231"/>
      <c r="AG224" s="231"/>
      <c r="AH224" s="231"/>
      <c r="AI224" s="231"/>
      <c r="AJ224" s="231"/>
      <c r="AK224" s="231"/>
      <c r="AL224" s="231"/>
      <c r="AM224" s="231"/>
      <c r="AN224" s="231"/>
      <c r="AO224" s="231"/>
    </row>
    <row r="225" spans="1:41" s="203" customFormat="1">
      <c r="A225" s="110" t="s">
        <v>84</v>
      </c>
      <c r="B225" s="132"/>
      <c r="C225" s="132"/>
      <c r="D225" s="132"/>
      <c r="E225" s="860"/>
      <c r="F225" s="860"/>
      <c r="G225" s="130"/>
      <c r="H225" s="860"/>
      <c r="I225" s="130"/>
      <c r="J225" s="231"/>
      <c r="K225" s="231"/>
      <c r="L225" s="231"/>
      <c r="M225" s="231"/>
      <c r="N225" s="231"/>
      <c r="O225" s="231"/>
      <c r="P225" s="231"/>
      <c r="Q225" s="231"/>
      <c r="R225" s="231"/>
      <c r="S225" s="231"/>
      <c r="T225" s="231"/>
      <c r="U225" s="231"/>
      <c r="V225" s="231"/>
      <c r="W225" s="231"/>
      <c r="X225" s="231"/>
      <c r="Y225" s="231"/>
      <c r="Z225" s="231"/>
      <c r="AA225" s="231"/>
      <c r="AB225" s="231"/>
      <c r="AC225" s="231"/>
      <c r="AD225" s="231"/>
      <c r="AE225" s="231"/>
      <c r="AF225" s="231"/>
      <c r="AG225" s="231"/>
      <c r="AH225" s="231"/>
      <c r="AI225" s="231"/>
      <c r="AJ225" s="231"/>
      <c r="AK225" s="231"/>
      <c r="AL225" s="231"/>
      <c r="AM225" s="231"/>
      <c r="AN225" s="231"/>
      <c r="AO225" s="231"/>
    </row>
    <row r="226" spans="1:41" s="203" customFormat="1">
      <c r="A226" s="120">
        <v>1</v>
      </c>
      <c r="B226" s="47" t="s">
        <v>180</v>
      </c>
      <c r="C226" s="47"/>
      <c r="D226" s="47"/>
      <c r="E226" s="41">
        <v>-395</v>
      </c>
      <c r="F226" s="52">
        <v>-380</v>
      </c>
      <c r="G226" s="118"/>
      <c r="H226" s="133">
        <v>-303</v>
      </c>
      <c r="I226" s="29"/>
      <c r="J226" s="231"/>
      <c r="K226" s="231"/>
      <c r="L226" s="231"/>
      <c r="M226" s="231"/>
      <c r="N226" s="231"/>
      <c r="O226" s="231"/>
      <c r="P226" s="231"/>
      <c r="Q226" s="231"/>
      <c r="R226" s="231"/>
      <c r="S226" s="231"/>
      <c r="T226" s="231"/>
      <c r="U226" s="231"/>
      <c r="V226" s="231"/>
      <c r="W226" s="231"/>
      <c r="X226" s="231"/>
      <c r="Y226" s="231"/>
      <c r="Z226" s="231"/>
      <c r="AA226" s="231"/>
      <c r="AB226" s="231"/>
      <c r="AC226" s="231"/>
      <c r="AD226" s="231"/>
      <c r="AE226" s="231"/>
      <c r="AF226" s="231"/>
      <c r="AG226" s="231"/>
      <c r="AH226" s="231"/>
      <c r="AI226" s="231"/>
      <c r="AJ226" s="231"/>
      <c r="AK226" s="231"/>
      <c r="AL226" s="231"/>
      <c r="AM226" s="231"/>
      <c r="AN226" s="231"/>
      <c r="AO226" s="231"/>
    </row>
    <row r="227" spans="1:41" s="203" customFormat="1">
      <c r="A227" s="120">
        <v>2</v>
      </c>
      <c r="B227" s="47" t="s">
        <v>181</v>
      </c>
      <c r="C227" s="47"/>
      <c r="D227" s="47"/>
      <c r="E227" s="49">
        <v>1456</v>
      </c>
      <c r="F227" s="52">
        <v>1574</v>
      </c>
      <c r="G227" s="118"/>
      <c r="H227" s="122">
        <v>1490</v>
      </c>
      <c r="I227" s="29"/>
      <c r="J227" s="231"/>
      <c r="K227" s="231"/>
      <c r="L227" s="231"/>
      <c r="M227" s="231"/>
      <c r="N227" s="231"/>
      <c r="O227" s="231"/>
      <c r="P227" s="231"/>
      <c r="Q227" s="231"/>
      <c r="R227" s="231"/>
      <c r="S227" s="231"/>
      <c r="T227" s="231"/>
      <c r="U227" s="231"/>
      <c r="V227" s="231"/>
      <c r="W227" s="231"/>
      <c r="X227" s="231"/>
      <c r="Y227" s="231"/>
      <c r="Z227" s="231"/>
      <c r="AA227" s="231"/>
      <c r="AB227" s="231"/>
      <c r="AC227" s="231"/>
      <c r="AD227" s="231"/>
      <c r="AE227" s="231"/>
      <c r="AF227" s="231"/>
      <c r="AG227" s="231"/>
      <c r="AH227" s="231"/>
      <c r="AI227" s="231"/>
      <c r="AJ227" s="231"/>
      <c r="AK227" s="231"/>
      <c r="AL227" s="231"/>
      <c r="AM227" s="231"/>
      <c r="AN227" s="231"/>
      <c r="AO227" s="231"/>
    </row>
    <row r="228" spans="1:41" s="203" customFormat="1">
      <c r="A228" s="120">
        <v>3</v>
      </c>
      <c r="B228" s="47" t="s">
        <v>182</v>
      </c>
      <c r="C228" s="47"/>
      <c r="D228" s="47"/>
      <c r="E228" s="114">
        <v>373</v>
      </c>
      <c r="F228" s="52">
        <v>584</v>
      </c>
      <c r="G228" s="118"/>
      <c r="H228" s="122">
        <v>382</v>
      </c>
      <c r="I228" s="29"/>
      <c r="J228" s="231"/>
      <c r="K228" s="231"/>
      <c r="L228" s="231"/>
      <c r="M228" s="231"/>
      <c r="N228" s="231"/>
      <c r="O228" s="231"/>
      <c r="P228" s="231"/>
      <c r="Q228" s="231"/>
      <c r="R228" s="231"/>
      <c r="S228" s="231"/>
      <c r="T228" s="231"/>
      <c r="U228" s="231"/>
      <c r="V228" s="231"/>
      <c r="W228" s="231"/>
      <c r="X228" s="231"/>
      <c r="Y228" s="231"/>
      <c r="Z228" s="231"/>
      <c r="AA228" s="231"/>
      <c r="AB228" s="231"/>
      <c r="AC228" s="231"/>
      <c r="AD228" s="231"/>
      <c r="AE228" s="231"/>
      <c r="AF228" s="231"/>
      <c r="AG228" s="231"/>
      <c r="AH228" s="231"/>
      <c r="AI228" s="231"/>
      <c r="AJ228" s="231"/>
      <c r="AK228" s="231"/>
      <c r="AL228" s="231"/>
      <c r="AM228" s="231"/>
      <c r="AN228" s="231"/>
      <c r="AO228" s="231"/>
    </row>
    <row r="229" spans="1:41" s="203" customFormat="1">
      <c r="A229" s="120">
        <v>4</v>
      </c>
      <c r="B229" s="47" t="s">
        <v>183</v>
      </c>
      <c r="C229" s="47"/>
      <c r="D229" s="47"/>
      <c r="E229" s="114">
        <v>5</v>
      </c>
      <c r="F229" s="52">
        <v>5</v>
      </c>
      <c r="G229" s="118"/>
      <c r="H229" s="122">
        <v>4</v>
      </c>
      <c r="I229" s="29"/>
      <c r="J229" s="231"/>
      <c r="K229" s="231"/>
      <c r="L229" s="231"/>
      <c r="M229" s="231"/>
      <c r="N229" s="231"/>
      <c r="O229" s="231"/>
      <c r="P229" s="231"/>
      <c r="Q229" s="231"/>
      <c r="R229" s="231"/>
      <c r="S229" s="231"/>
      <c r="T229" s="231"/>
      <c r="U229" s="231"/>
      <c r="V229" s="231"/>
      <c r="W229" s="231"/>
      <c r="X229" s="231"/>
      <c r="Y229" s="231"/>
      <c r="Z229" s="231"/>
      <c r="AA229" s="231"/>
      <c r="AB229" s="231"/>
      <c r="AC229" s="231"/>
      <c r="AD229" s="231"/>
      <c r="AE229" s="231"/>
      <c r="AF229" s="231"/>
      <c r="AG229" s="231"/>
      <c r="AH229" s="231"/>
      <c r="AI229" s="231"/>
      <c r="AJ229" s="231"/>
      <c r="AK229" s="231"/>
      <c r="AL229" s="231"/>
      <c r="AM229" s="231"/>
      <c r="AN229" s="231"/>
      <c r="AO229" s="231"/>
    </row>
    <row r="230" spans="1:41" s="203" customFormat="1">
      <c r="A230" s="120">
        <v>5</v>
      </c>
      <c r="B230" s="47" t="s">
        <v>184</v>
      </c>
      <c r="C230" s="47"/>
      <c r="D230" s="47"/>
      <c r="E230" s="114">
        <v>15096</v>
      </c>
      <c r="F230" s="52">
        <v>12657</v>
      </c>
      <c r="G230" s="118"/>
      <c r="H230" s="99">
        <v>15076</v>
      </c>
      <c r="I230" s="29"/>
      <c r="J230" s="231"/>
      <c r="K230" s="231"/>
      <c r="L230" s="231"/>
      <c r="M230" s="231"/>
      <c r="N230" s="231"/>
      <c r="O230" s="231"/>
      <c r="P230" s="231"/>
      <c r="Q230" s="231"/>
      <c r="R230" s="231"/>
      <c r="S230" s="231"/>
      <c r="T230" s="231"/>
      <c r="U230" s="231"/>
      <c r="V230" s="231"/>
      <c r="W230" s="231"/>
      <c r="X230" s="231"/>
      <c r="Y230" s="231"/>
      <c r="Z230" s="231"/>
      <c r="AA230" s="231"/>
      <c r="AB230" s="231"/>
      <c r="AC230" s="231"/>
      <c r="AD230" s="231"/>
      <c r="AE230" s="231"/>
      <c r="AF230" s="231"/>
      <c r="AG230" s="231"/>
      <c r="AH230" s="231"/>
      <c r="AI230" s="231"/>
      <c r="AJ230" s="231"/>
      <c r="AK230" s="231"/>
      <c r="AL230" s="231"/>
      <c r="AM230" s="231"/>
      <c r="AN230" s="231"/>
      <c r="AO230" s="231"/>
    </row>
    <row r="231" spans="1:41" s="203" customFormat="1">
      <c r="A231" s="124">
        <v>6</v>
      </c>
      <c r="B231" s="173" t="s">
        <v>185</v>
      </c>
      <c r="C231" s="173"/>
      <c r="D231" s="173"/>
      <c r="E231" s="159">
        <v>16535</v>
      </c>
      <c r="F231" s="61">
        <f>SUM(F226:F230)</f>
        <v>14440</v>
      </c>
      <c r="G231" s="118"/>
      <c r="H231" s="61">
        <f>SUM(H226:H230)</f>
        <v>16649</v>
      </c>
      <c r="I231" s="29"/>
      <c r="J231" s="231"/>
      <c r="K231" s="231"/>
      <c r="L231" s="231"/>
      <c r="M231" s="231"/>
      <c r="N231" s="231"/>
      <c r="O231" s="231"/>
      <c r="P231" s="231"/>
      <c r="Q231" s="231"/>
      <c r="R231" s="231"/>
      <c r="S231" s="231"/>
      <c r="T231" s="231"/>
      <c r="U231" s="231"/>
      <c r="V231" s="231"/>
      <c r="W231" s="231"/>
      <c r="X231" s="231"/>
      <c r="Y231" s="231"/>
      <c r="Z231" s="231"/>
      <c r="AA231" s="231"/>
      <c r="AB231" s="231"/>
      <c r="AC231" s="231"/>
      <c r="AD231" s="231"/>
      <c r="AE231" s="231"/>
      <c r="AF231" s="231"/>
      <c r="AG231" s="231"/>
      <c r="AH231" s="231"/>
      <c r="AI231" s="231"/>
      <c r="AJ231" s="231"/>
      <c r="AK231" s="231"/>
      <c r="AL231" s="231"/>
      <c r="AM231" s="231"/>
      <c r="AN231" s="231"/>
      <c r="AO231" s="231"/>
    </row>
    <row r="232" spans="1:41" s="203" customFormat="1">
      <c r="A232" s="148"/>
      <c r="B232" s="29"/>
      <c r="C232" s="29"/>
      <c r="D232" s="170"/>
      <c r="E232" s="150"/>
      <c r="F232" s="29"/>
      <c r="G232" s="29"/>
      <c r="H232" s="207"/>
      <c r="I232" s="29"/>
      <c r="J232" s="231"/>
      <c r="K232" s="231"/>
      <c r="L232" s="231"/>
      <c r="M232" s="231"/>
      <c r="N232" s="231"/>
      <c r="O232" s="231"/>
      <c r="P232" s="231"/>
      <c r="Q232" s="231"/>
      <c r="R232" s="231"/>
      <c r="S232" s="231"/>
      <c r="T232" s="231"/>
      <c r="U232" s="231"/>
      <c r="V232" s="231"/>
      <c r="W232" s="231"/>
      <c r="X232" s="231"/>
      <c r="Y232" s="231"/>
      <c r="Z232" s="231"/>
      <c r="AA232" s="231"/>
      <c r="AB232" s="231"/>
      <c r="AC232" s="231"/>
      <c r="AD232" s="231"/>
      <c r="AE232" s="231"/>
      <c r="AF232" s="231"/>
      <c r="AG232" s="231"/>
      <c r="AH232" s="231"/>
      <c r="AI232" s="231"/>
      <c r="AJ232" s="231"/>
      <c r="AK232" s="231"/>
      <c r="AL232" s="231"/>
      <c r="AM232" s="231"/>
      <c r="AN232" s="231"/>
      <c r="AO232" s="231"/>
    </row>
    <row r="233" spans="1:41" s="203" customFormat="1">
      <c r="A233" s="148"/>
      <c r="B233" s="29"/>
      <c r="C233" s="29"/>
      <c r="D233" s="172"/>
      <c r="E233" s="152"/>
      <c r="F233" s="29"/>
      <c r="G233" s="29"/>
      <c r="H233" s="131" t="s">
        <v>27</v>
      </c>
      <c r="I233" s="29"/>
      <c r="J233" s="231"/>
      <c r="K233" s="231"/>
      <c r="L233" s="231"/>
      <c r="M233" s="231"/>
      <c r="N233" s="231"/>
      <c r="O233" s="231"/>
      <c r="P233" s="231"/>
      <c r="Q233" s="231"/>
      <c r="R233" s="231"/>
      <c r="S233" s="231"/>
      <c r="T233" s="231"/>
      <c r="U233" s="231"/>
      <c r="V233" s="231"/>
      <c r="W233" s="231"/>
      <c r="X233" s="231"/>
      <c r="Y233" s="231"/>
      <c r="Z233" s="231"/>
      <c r="AA233" s="231"/>
      <c r="AB233" s="231"/>
      <c r="AC233" s="231"/>
      <c r="AD233" s="231"/>
      <c r="AE233" s="231"/>
      <c r="AF233" s="231"/>
      <c r="AG233" s="231"/>
      <c r="AH233" s="231"/>
      <c r="AI233" s="231"/>
      <c r="AJ233" s="231"/>
      <c r="AK233" s="231"/>
      <c r="AL233" s="231"/>
      <c r="AM233" s="231"/>
      <c r="AN233" s="231"/>
      <c r="AO233" s="231"/>
    </row>
    <row r="234" spans="1:41" s="203" customFormat="1" ht="12.75" customHeight="1">
      <c r="A234" s="106" t="s">
        <v>12</v>
      </c>
      <c r="B234" s="164"/>
      <c r="C234" s="164"/>
      <c r="D234" s="164"/>
      <c r="E234" s="856" t="s">
        <v>377</v>
      </c>
      <c r="F234" s="856" t="s">
        <v>402</v>
      </c>
      <c r="G234" s="130"/>
      <c r="H234" s="856" t="s">
        <v>403</v>
      </c>
      <c r="I234" s="130"/>
      <c r="J234" s="231"/>
      <c r="K234" s="231"/>
      <c r="L234" s="231"/>
      <c r="M234" s="231"/>
      <c r="N234" s="231"/>
      <c r="O234" s="231"/>
      <c r="P234" s="231"/>
      <c r="Q234" s="231"/>
      <c r="R234" s="231"/>
      <c r="S234" s="231"/>
      <c r="T234" s="231"/>
      <c r="U234" s="231"/>
      <c r="V234" s="231"/>
      <c r="W234" s="231"/>
      <c r="X234" s="231"/>
      <c r="Y234" s="231"/>
      <c r="Z234" s="231"/>
      <c r="AA234" s="231"/>
      <c r="AB234" s="231"/>
      <c r="AC234" s="231"/>
      <c r="AD234" s="231"/>
      <c r="AE234" s="231"/>
      <c r="AF234" s="231"/>
      <c r="AG234" s="231"/>
      <c r="AH234" s="231"/>
      <c r="AI234" s="231"/>
      <c r="AJ234" s="231"/>
      <c r="AK234" s="231"/>
      <c r="AL234" s="231"/>
      <c r="AM234" s="231"/>
      <c r="AN234" s="231"/>
      <c r="AO234" s="231"/>
    </row>
    <row r="235" spans="1:41" s="203" customFormat="1">
      <c r="A235" s="165"/>
      <c r="B235" s="47"/>
      <c r="C235" s="47"/>
      <c r="D235" s="47"/>
      <c r="E235" s="859"/>
      <c r="F235" s="859"/>
      <c r="G235" s="130"/>
      <c r="H235" s="859"/>
      <c r="I235" s="130"/>
      <c r="J235" s="231"/>
      <c r="K235" s="231"/>
      <c r="L235" s="231"/>
      <c r="M235" s="231"/>
      <c r="N235" s="231"/>
      <c r="O235" s="231"/>
      <c r="P235" s="231"/>
      <c r="Q235" s="231"/>
      <c r="R235" s="231"/>
      <c r="S235" s="231"/>
      <c r="T235" s="231"/>
      <c r="U235" s="231"/>
      <c r="V235" s="231"/>
      <c r="W235" s="231"/>
      <c r="X235" s="231"/>
      <c r="Y235" s="231"/>
      <c r="Z235" s="231"/>
      <c r="AA235" s="231"/>
      <c r="AB235" s="231"/>
      <c r="AC235" s="231"/>
      <c r="AD235" s="231"/>
      <c r="AE235" s="231"/>
      <c r="AF235" s="231"/>
      <c r="AG235" s="231"/>
      <c r="AH235" s="231"/>
      <c r="AI235" s="231"/>
      <c r="AJ235" s="231"/>
      <c r="AK235" s="231"/>
      <c r="AL235" s="231"/>
      <c r="AM235" s="231"/>
      <c r="AN235" s="231"/>
      <c r="AO235" s="231"/>
    </row>
    <row r="236" spans="1:41" s="203" customFormat="1">
      <c r="A236" s="154" t="s">
        <v>186</v>
      </c>
      <c r="B236" s="174"/>
      <c r="C236" s="174"/>
      <c r="D236" s="174"/>
      <c r="E236" s="859"/>
      <c r="F236" s="859"/>
      <c r="G236" s="130"/>
      <c r="H236" s="859"/>
      <c r="I236" s="130"/>
      <c r="J236" s="231"/>
      <c r="K236" s="231"/>
      <c r="L236" s="231"/>
      <c r="M236" s="231"/>
      <c r="N236" s="231"/>
      <c r="O236" s="231"/>
      <c r="P236" s="231"/>
      <c r="Q236" s="231"/>
      <c r="R236" s="231"/>
      <c r="S236" s="231"/>
      <c r="T236" s="231"/>
      <c r="U236" s="231"/>
      <c r="V236" s="231"/>
      <c r="W236" s="231"/>
      <c r="X236" s="231"/>
      <c r="Y236" s="231"/>
      <c r="Z236" s="231"/>
      <c r="AA236" s="231"/>
      <c r="AB236" s="231"/>
      <c r="AC236" s="231"/>
      <c r="AD236" s="231"/>
      <c r="AE236" s="231"/>
      <c r="AF236" s="231"/>
      <c r="AG236" s="231"/>
      <c r="AH236" s="231"/>
      <c r="AI236" s="231"/>
      <c r="AJ236" s="231"/>
      <c r="AK236" s="231"/>
      <c r="AL236" s="231"/>
      <c r="AM236" s="231"/>
      <c r="AN236" s="231"/>
      <c r="AO236" s="231"/>
    </row>
    <row r="237" spans="1:41" s="203" customFormat="1">
      <c r="A237" s="109" t="s">
        <v>83</v>
      </c>
      <c r="B237" s="47"/>
      <c r="C237" s="47"/>
      <c r="D237" s="47"/>
      <c r="E237" s="859"/>
      <c r="F237" s="859"/>
      <c r="G237" s="130"/>
      <c r="H237" s="859"/>
      <c r="I237" s="130"/>
      <c r="J237" s="231"/>
      <c r="K237" s="231"/>
      <c r="L237" s="231"/>
      <c r="M237" s="231"/>
      <c r="N237" s="231"/>
      <c r="O237" s="231"/>
      <c r="P237" s="231"/>
      <c r="Q237" s="231"/>
      <c r="R237" s="231"/>
      <c r="S237" s="231"/>
      <c r="T237" s="231"/>
      <c r="U237" s="231"/>
      <c r="V237" s="231"/>
      <c r="W237" s="231"/>
      <c r="X237" s="231"/>
      <c r="Y237" s="231"/>
      <c r="Z237" s="231"/>
      <c r="AA237" s="231"/>
      <c r="AB237" s="231"/>
      <c r="AC237" s="231"/>
      <c r="AD237" s="231"/>
      <c r="AE237" s="231"/>
      <c r="AF237" s="231"/>
      <c r="AG237" s="231"/>
      <c r="AH237" s="231"/>
      <c r="AI237" s="231"/>
      <c r="AJ237" s="231"/>
      <c r="AK237" s="231"/>
      <c r="AL237" s="231"/>
      <c r="AM237" s="231"/>
      <c r="AN237" s="231"/>
      <c r="AO237" s="231"/>
    </row>
    <row r="238" spans="1:41" s="203" customFormat="1">
      <c r="A238" s="110" t="s">
        <v>84</v>
      </c>
      <c r="B238" s="174"/>
      <c r="C238" s="174"/>
      <c r="D238" s="174"/>
      <c r="E238" s="860"/>
      <c r="F238" s="860"/>
      <c r="G238" s="130"/>
      <c r="H238" s="860"/>
      <c r="I238" s="130"/>
      <c r="J238" s="231"/>
      <c r="K238" s="231"/>
      <c r="L238" s="231"/>
      <c r="M238" s="231"/>
      <c r="N238" s="231"/>
      <c r="O238" s="231"/>
      <c r="P238" s="231"/>
      <c r="Q238" s="231"/>
      <c r="R238" s="231"/>
      <c r="S238" s="231"/>
      <c r="T238" s="231"/>
      <c r="U238" s="231"/>
      <c r="V238" s="231"/>
      <c r="W238" s="231"/>
      <c r="X238" s="231"/>
      <c r="Y238" s="231"/>
      <c r="Z238" s="231"/>
      <c r="AA238" s="231"/>
      <c r="AB238" s="231"/>
      <c r="AC238" s="231"/>
      <c r="AD238" s="231"/>
      <c r="AE238" s="231"/>
      <c r="AF238" s="231"/>
      <c r="AG238" s="231"/>
      <c r="AH238" s="231"/>
      <c r="AI238" s="231"/>
      <c r="AJ238" s="231"/>
      <c r="AK238" s="231"/>
      <c r="AL238" s="231"/>
      <c r="AM238" s="231"/>
      <c r="AN238" s="231"/>
      <c r="AO238" s="231"/>
    </row>
    <row r="239" spans="1:41" s="203" customFormat="1">
      <c r="A239" s="153" t="s">
        <v>187</v>
      </c>
      <c r="B239" s="116"/>
      <c r="C239" s="116"/>
      <c r="D239" s="116"/>
      <c r="E239" s="167"/>
      <c r="F239" s="146"/>
      <c r="G239" s="118"/>
      <c r="H239" s="146"/>
      <c r="I239" s="29"/>
      <c r="J239" s="231"/>
      <c r="K239" s="231"/>
      <c r="L239" s="231"/>
      <c r="M239" s="231"/>
      <c r="N239" s="231"/>
      <c r="O239" s="231"/>
      <c r="P239" s="231"/>
      <c r="Q239" s="231"/>
      <c r="R239" s="231"/>
      <c r="S239" s="231"/>
      <c r="T239" s="231"/>
      <c r="U239" s="231"/>
      <c r="V239" s="231"/>
      <c r="W239" s="231"/>
      <c r="X239" s="231"/>
      <c r="Y239" s="231"/>
      <c r="Z239" s="231"/>
      <c r="AA239" s="231"/>
      <c r="AB239" s="231"/>
      <c r="AC239" s="231"/>
      <c r="AD239" s="231"/>
      <c r="AE239" s="231"/>
      <c r="AF239" s="231"/>
      <c r="AG239" s="231"/>
      <c r="AH239" s="231"/>
      <c r="AI239" s="231"/>
      <c r="AJ239" s="231"/>
      <c r="AK239" s="231"/>
      <c r="AL239" s="231"/>
      <c r="AM239" s="231"/>
      <c r="AN239" s="231"/>
      <c r="AO239" s="231"/>
    </row>
    <row r="240" spans="1:41" s="203" customFormat="1">
      <c r="A240" s="120">
        <v>1</v>
      </c>
      <c r="B240" s="47" t="s">
        <v>188</v>
      </c>
      <c r="C240" s="47"/>
      <c r="D240" s="47"/>
      <c r="E240" s="74">
        <v>583</v>
      </c>
      <c r="F240" s="52">
        <v>543</v>
      </c>
      <c r="G240" s="118"/>
      <c r="H240" s="122">
        <v>565</v>
      </c>
      <c r="I240" s="29"/>
      <c r="J240" s="231"/>
      <c r="K240" s="231"/>
      <c r="L240" s="231"/>
      <c r="M240" s="231"/>
      <c r="N240" s="231"/>
      <c r="O240" s="231"/>
      <c r="P240" s="231"/>
      <c r="Q240" s="231"/>
      <c r="R240" s="231"/>
      <c r="S240" s="231"/>
      <c r="T240" s="231"/>
      <c r="U240" s="231"/>
      <c r="V240" s="231"/>
      <c r="W240" s="231"/>
      <c r="X240" s="231"/>
      <c r="Y240" s="231"/>
      <c r="Z240" s="231"/>
      <c r="AA240" s="231"/>
      <c r="AB240" s="231"/>
      <c r="AC240" s="231"/>
      <c r="AD240" s="231"/>
      <c r="AE240" s="231"/>
      <c r="AF240" s="231"/>
      <c r="AG240" s="231"/>
      <c r="AH240" s="231"/>
      <c r="AI240" s="231"/>
      <c r="AJ240" s="231"/>
      <c r="AK240" s="231"/>
      <c r="AL240" s="231"/>
      <c r="AM240" s="231"/>
      <c r="AN240" s="231"/>
      <c r="AO240" s="231"/>
    </row>
    <row r="241" spans="1:41" s="203" customFormat="1">
      <c r="A241" s="809">
        <v>2</v>
      </c>
      <c r="B241" s="47" t="s">
        <v>189</v>
      </c>
      <c r="C241" s="47"/>
      <c r="D241" s="47"/>
      <c r="E241" s="114">
        <v>2451</v>
      </c>
      <c r="F241" s="52">
        <v>2482</v>
      </c>
      <c r="G241" s="118"/>
      <c r="H241" s="100">
        <v>2521</v>
      </c>
      <c r="I241" s="29"/>
      <c r="J241" s="231"/>
      <c r="K241" s="231"/>
      <c r="L241" s="231"/>
      <c r="M241" s="231"/>
      <c r="N241" s="231"/>
      <c r="O241" s="231"/>
      <c r="P241" s="231"/>
      <c r="Q241" s="231"/>
      <c r="R241" s="231"/>
      <c r="S241" s="231"/>
      <c r="T241" s="231"/>
      <c r="U241" s="231"/>
      <c r="V241" s="231"/>
      <c r="W241" s="231"/>
      <c r="X241" s="231"/>
      <c r="Y241" s="231"/>
      <c r="Z241" s="231"/>
      <c r="AA241" s="231"/>
      <c r="AB241" s="231"/>
      <c r="AC241" s="231"/>
      <c r="AD241" s="231"/>
      <c r="AE241" s="231"/>
      <c r="AF241" s="231"/>
      <c r="AG241" s="231"/>
      <c r="AH241" s="231"/>
      <c r="AI241" s="231"/>
      <c r="AJ241" s="231"/>
      <c r="AK241" s="231"/>
      <c r="AL241" s="231"/>
      <c r="AM241" s="231"/>
      <c r="AN241" s="231"/>
      <c r="AO241" s="231"/>
    </row>
    <row r="242" spans="1:41" s="203" customFormat="1">
      <c r="A242" s="809">
        <v>3</v>
      </c>
      <c r="B242" s="168" t="s">
        <v>190</v>
      </c>
      <c r="C242" s="168"/>
      <c r="D242" s="168"/>
      <c r="E242" s="80">
        <v>3034</v>
      </c>
      <c r="F242" s="142">
        <f>SUM(F240:F241)</f>
        <v>3025</v>
      </c>
      <c r="G242" s="118"/>
      <c r="H242" s="142">
        <f>SUM(H240:H241)</f>
        <v>3086</v>
      </c>
      <c r="I242" s="29"/>
      <c r="J242" s="231"/>
      <c r="K242" s="231"/>
      <c r="L242" s="231"/>
      <c r="M242" s="231"/>
      <c r="N242" s="231"/>
      <c r="O242" s="231"/>
      <c r="P242" s="231"/>
      <c r="Q242" s="231"/>
      <c r="R242" s="231"/>
      <c r="S242" s="231"/>
      <c r="T242" s="231"/>
      <c r="U242" s="231"/>
      <c r="V242" s="231"/>
      <c r="W242" s="231"/>
      <c r="X242" s="231"/>
      <c r="Y242" s="231"/>
      <c r="Z242" s="231"/>
      <c r="AA242" s="231"/>
      <c r="AB242" s="231"/>
      <c r="AC242" s="231"/>
      <c r="AD242" s="231"/>
      <c r="AE242" s="231"/>
      <c r="AF242" s="231"/>
      <c r="AG242" s="231"/>
      <c r="AH242" s="231"/>
      <c r="AI242" s="231"/>
      <c r="AJ242" s="231"/>
      <c r="AK242" s="231"/>
      <c r="AL242" s="231"/>
      <c r="AM242" s="231"/>
      <c r="AN242" s="231"/>
      <c r="AO242" s="231"/>
    </row>
    <row r="243" spans="1:41" s="203" customFormat="1">
      <c r="A243" s="809"/>
      <c r="B243" s="116"/>
      <c r="C243" s="116"/>
      <c r="D243" s="116"/>
      <c r="E243" s="117"/>
      <c r="F243" s="118"/>
      <c r="G243" s="118"/>
      <c r="H243" s="118"/>
      <c r="I243" s="29"/>
      <c r="J243" s="231"/>
      <c r="K243" s="231"/>
      <c r="L243" s="231"/>
      <c r="M243" s="231"/>
      <c r="N243" s="231"/>
      <c r="O243" s="231"/>
      <c r="P243" s="231"/>
      <c r="Q243" s="231"/>
      <c r="R243" s="231"/>
      <c r="S243" s="231"/>
      <c r="T243" s="231"/>
      <c r="U243" s="231"/>
      <c r="V243" s="231"/>
      <c r="W243" s="231"/>
      <c r="X243" s="231"/>
      <c r="Y243" s="231"/>
      <c r="Z243" s="231"/>
      <c r="AA243" s="231"/>
      <c r="AB243" s="231"/>
      <c r="AC243" s="231"/>
      <c r="AD243" s="231"/>
      <c r="AE243" s="231"/>
      <c r="AF243" s="231"/>
      <c r="AG243" s="231"/>
      <c r="AH243" s="231"/>
      <c r="AI243" s="231"/>
      <c r="AJ243" s="231"/>
      <c r="AK243" s="231"/>
      <c r="AL243" s="231"/>
      <c r="AM243" s="231"/>
      <c r="AN243" s="231"/>
      <c r="AO243" s="231"/>
    </row>
    <row r="244" spans="1:41" s="203" customFormat="1">
      <c r="A244" s="108" t="s">
        <v>191</v>
      </c>
      <c r="B244" s="47"/>
      <c r="C244" s="47"/>
      <c r="D244" s="47"/>
      <c r="E244" s="140"/>
      <c r="F244" s="146"/>
      <c r="G244" s="118"/>
      <c r="H244" s="146"/>
      <c r="I244" s="29"/>
      <c r="J244" s="231"/>
      <c r="K244" s="231"/>
      <c r="L244" s="231"/>
      <c r="M244" s="231"/>
      <c r="N244" s="231"/>
      <c r="O244" s="231"/>
      <c r="P244" s="231"/>
      <c r="Q244" s="231"/>
      <c r="R244" s="231"/>
      <c r="S244" s="231"/>
      <c r="T244" s="231"/>
      <c r="U244" s="231"/>
      <c r="V244" s="231"/>
      <c r="W244" s="231"/>
      <c r="X244" s="231"/>
      <c r="Y244" s="231"/>
      <c r="Z244" s="231"/>
      <c r="AA244" s="231"/>
      <c r="AB244" s="231"/>
      <c r="AC244" s="231"/>
      <c r="AD244" s="231"/>
      <c r="AE244" s="231"/>
      <c r="AF244" s="231"/>
      <c r="AG244" s="231"/>
      <c r="AH244" s="231"/>
      <c r="AI244" s="231"/>
      <c r="AJ244" s="231"/>
      <c r="AK244" s="231"/>
      <c r="AL244" s="231"/>
      <c r="AM244" s="231"/>
      <c r="AN244" s="231"/>
      <c r="AO244" s="231"/>
    </row>
    <row r="245" spans="1:41" s="203" customFormat="1">
      <c r="A245" s="809">
        <v>4</v>
      </c>
      <c r="B245" s="47" t="s">
        <v>192</v>
      </c>
      <c r="C245" s="47"/>
      <c r="D245" s="47"/>
      <c r="E245" s="74">
        <v>0</v>
      </c>
      <c r="F245" s="52">
        <v>0</v>
      </c>
      <c r="G245" s="118"/>
      <c r="H245" s="122">
        <v>0</v>
      </c>
      <c r="I245" s="29"/>
      <c r="J245" s="231"/>
      <c r="K245" s="231"/>
      <c r="L245" s="231"/>
      <c r="M245" s="231"/>
      <c r="N245" s="231"/>
      <c r="O245" s="231"/>
      <c r="P245" s="231"/>
      <c r="Q245" s="231"/>
      <c r="R245" s="231"/>
      <c r="S245" s="231"/>
      <c r="T245" s="231"/>
      <c r="U245" s="231"/>
      <c r="V245" s="231"/>
      <c r="W245" s="231"/>
      <c r="X245" s="231"/>
      <c r="Y245" s="231"/>
      <c r="Z245" s="231"/>
      <c r="AA245" s="231"/>
      <c r="AB245" s="231"/>
      <c r="AC245" s="231"/>
      <c r="AD245" s="231"/>
      <c r="AE245" s="231"/>
      <c r="AF245" s="231"/>
      <c r="AG245" s="231"/>
      <c r="AH245" s="231"/>
      <c r="AI245" s="231"/>
      <c r="AJ245" s="231"/>
      <c r="AK245" s="231"/>
      <c r="AL245" s="231"/>
      <c r="AM245" s="231"/>
      <c r="AN245" s="231"/>
      <c r="AO245" s="231"/>
    </row>
    <row r="246" spans="1:41" s="203" customFormat="1">
      <c r="A246" s="809">
        <v>5</v>
      </c>
      <c r="B246" s="47" t="s">
        <v>193</v>
      </c>
      <c r="C246" s="47"/>
      <c r="D246" s="47"/>
      <c r="E246" s="49">
        <v>947</v>
      </c>
      <c r="F246" s="52">
        <v>959</v>
      </c>
      <c r="G246" s="118"/>
      <c r="H246" s="100">
        <v>995</v>
      </c>
      <c r="I246" s="29"/>
      <c r="J246" s="231"/>
      <c r="K246" s="231"/>
      <c r="L246" s="231"/>
      <c r="M246" s="231"/>
      <c r="N246" s="231"/>
      <c r="O246" s="231"/>
      <c r="P246" s="231"/>
      <c r="Q246" s="231"/>
      <c r="R246" s="231"/>
      <c r="S246" s="231"/>
      <c r="T246" s="231"/>
      <c r="U246" s="231"/>
      <c r="V246" s="231"/>
      <c r="W246" s="231"/>
      <c r="X246" s="231"/>
      <c r="Y246" s="231"/>
      <c r="Z246" s="231"/>
      <c r="AA246" s="231"/>
      <c r="AB246" s="231"/>
      <c r="AC246" s="231"/>
      <c r="AD246" s="231"/>
      <c r="AE246" s="231"/>
      <c r="AF246" s="231"/>
      <c r="AG246" s="231"/>
      <c r="AH246" s="231"/>
      <c r="AI246" s="231"/>
      <c r="AJ246" s="231"/>
      <c r="AK246" s="231"/>
      <c r="AL246" s="231"/>
      <c r="AM246" s="231"/>
      <c r="AN246" s="231"/>
      <c r="AO246" s="231"/>
    </row>
    <row r="247" spans="1:41" s="203" customFormat="1">
      <c r="A247" s="809">
        <v>6</v>
      </c>
      <c r="B247" s="116" t="s">
        <v>194</v>
      </c>
      <c r="C247" s="116"/>
      <c r="D247" s="116"/>
      <c r="E247" s="80">
        <v>947</v>
      </c>
      <c r="F247" s="142">
        <f>SUM(F245:F246)</f>
        <v>959</v>
      </c>
      <c r="G247" s="118"/>
      <c r="H247" s="142">
        <f>SUM(H245:H246)</f>
        <v>995</v>
      </c>
      <c r="I247" s="29"/>
      <c r="J247" s="231"/>
      <c r="K247" s="231"/>
      <c r="L247" s="231"/>
      <c r="M247" s="231"/>
      <c r="N247" s="231"/>
      <c r="O247" s="231"/>
      <c r="P247" s="231"/>
      <c r="Q247" s="231"/>
      <c r="R247" s="231"/>
      <c r="S247" s="231"/>
      <c r="T247" s="231"/>
      <c r="U247" s="231"/>
      <c r="V247" s="231"/>
      <c r="W247" s="231"/>
      <c r="X247" s="231"/>
      <c r="Y247" s="231"/>
      <c r="Z247" s="231"/>
      <c r="AA247" s="231"/>
      <c r="AB247" s="231"/>
      <c r="AC247" s="231"/>
      <c r="AD247" s="231"/>
      <c r="AE247" s="231"/>
      <c r="AF247" s="231"/>
      <c r="AG247" s="231"/>
      <c r="AH247" s="231"/>
      <c r="AI247" s="231"/>
      <c r="AJ247" s="231"/>
      <c r="AK247" s="231"/>
      <c r="AL247" s="231"/>
      <c r="AM247" s="231"/>
      <c r="AN247" s="231"/>
      <c r="AO247" s="231"/>
    </row>
    <row r="248" spans="1:41" s="203" customFormat="1">
      <c r="A248" s="809"/>
      <c r="B248" s="116"/>
      <c r="C248" s="116"/>
      <c r="D248" s="116"/>
      <c r="E248" s="117"/>
      <c r="F248" s="118"/>
      <c r="G248" s="118"/>
      <c r="H248" s="118"/>
      <c r="I248" s="29"/>
      <c r="J248" s="231"/>
      <c r="K248" s="231"/>
      <c r="L248" s="231"/>
      <c r="M248" s="231"/>
      <c r="N248" s="231"/>
      <c r="O248" s="231"/>
      <c r="P248" s="231"/>
      <c r="Q248" s="231"/>
      <c r="R248" s="231"/>
      <c r="S248" s="231"/>
      <c r="T248" s="231"/>
      <c r="U248" s="231"/>
      <c r="V248" s="231"/>
      <c r="W248" s="231"/>
      <c r="X248" s="231"/>
      <c r="Y248" s="231"/>
      <c r="Z248" s="231"/>
      <c r="AA248" s="231"/>
      <c r="AB248" s="231"/>
      <c r="AC248" s="231"/>
      <c r="AD248" s="231"/>
      <c r="AE248" s="231"/>
      <c r="AF248" s="231"/>
      <c r="AG248" s="231"/>
      <c r="AH248" s="231"/>
      <c r="AI248" s="231"/>
      <c r="AJ248" s="231"/>
      <c r="AK248" s="231"/>
      <c r="AL248" s="231"/>
      <c r="AM248" s="231"/>
      <c r="AN248" s="231"/>
      <c r="AO248" s="231"/>
    </row>
    <row r="249" spans="1:41" s="203" customFormat="1">
      <c r="A249" s="108" t="s">
        <v>195</v>
      </c>
      <c r="B249" s="116"/>
      <c r="C249" s="116"/>
      <c r="D249" s="116"/>
      <c r="E249" s="140"/>
      <c r="F249" s="146"/>
      <c r="G249" s="118"/>
      <c r="H249" s="146"/>
      <c r="I249" s="29"/>
      <c r="J249" s="231"/>
      <c r="K249" s="231"/>
      <c r="L249" s="231"/>
      <c r="M249" s="231"/>
      <c r="N249" s="231"/>
      <c r="O249" s="231"/>
      <c r="P249" s="231"/>
      <c r="Q249" s="231"/>
      <c r="R249" s="231"/>
      <c r="S249" s="231"/>
      <c r="T249" s="231"/>
      <c r="U249" s="231"/>
      <c r="V249" s="231"/>
      <c r="W249" s="231"/>
      <c r="X249" s="231"/>
      <c r="Y249" s="231"/>
      <c r="Z249" s="231"/>
      <c r="AA249" s="231"/>
      <c r="AB249" s="231"/>
      <c r="AC249" s="231"/>
      <c r="AD249" s="231"/>
      <c r="AE249" s="231"/>
      <c r="AF249" s="231"/>
      <c r="AG249" s="231"/>
      <c r="AH249" s="231"/>
      <c r="AI249" s="231"/>
      <c r="AJ249" s="231"/>
      <c r="AK249" s="231"/>
      <c r="AL249" s="231"/>
      <c r="AM249" s="231"/>
      <c r="AN249" s="231"/>
      <c r="AO249" s="231"/>
    </row>
    <row r="250" spans="1:41" s="203" customFormat="1">
      <c r="A250" s="809">
        <v>7</v>
      </c>
      <c r="B250" s="47" t="s">
        <v>196</v>
      </c>
      <c r="C250" s="47"/>
      <c r="D250" s="47"/>
      <c r="E250" s="74">
        <v>737</v>
      </c>
      <c r="F250" s="52">
        <v>626</v>
      </c>
      <c r="G250" s="118"/>
      <c r="H250" s="52">
        <v>706</v>
      </c>
      <c r="I250" s="29"/>
      <c r="J250" s="231"/>
      <c r="K250" s="231"/>
      <c r="L250" s="231"/>
      <c r="M250" s="231"/>
      <c r="N250" s="231"/>
      <c r="O250" s="231"/>
      <c r="P250" s="231"/>
      <c r="Q250" s="231"/>
      <c r="R250" s="231"/>
      <c r="S250" s="231"/>
      <c r="T250" s="231"/>
      <c r="U250" s="231"/>
      <c r="V250" s="231"/>
      <c r="W250" s="231"/>
      <c r="X250" s="231"/>
      <c r="Y250" s="231"/>
      <c r="Z250" s="231"/>
      <c r="AA250" s="231"/>
      <c r="AB250" s="231"/>
      <c r="AC250" s="231"/>
      <c r="AD250" s="231"/>
      <c r="AE250" s="231"/>
      <c r="AF250" s="231"/>
      <c r="AG250" s="231"/>
      <c r="AH250" s="231"/>
      <c r="AI250" s="231"/>
      <c r="AJ250" s="231"/>
      <c r="AK250" s="231"/>
      <c r="AL250" s="231"/>
      <c r="AM250" s="231"/>
      <c r="AN250" s="231"/>
      <c r="AO250" s="231"/>
    </row>
    <row r="251" spans="1:41" s="203" customFormat="1">
      <c r="A251" s="809">
        <v>8</v>
      </c>
      <c r="B251" s="47" t="s">
        <v>197</v>
      </c>
      <c r="C251" s="47"/>
      <c r="D251" s="47"/>
      <c r="E251" s="49">
        <v>5707</v>
      </c>
      <c r="F251" s="52">
        <v>7249</v>
      </c>
      <c r="G251" s="118"/>
      <c r="H251" s="122">
        <v>6217</v>
      </c>
      <c r="I251" s="29"/>
      <c r="J251" s="231"/>
      <c r="K251" s="231"/>
      <c r="L251" s="231"/>
      <c r="M251" s="231"/>
      <c r="N251" s="231"/>
      <c r="O251" s="231"/>
      <c r="P251" s="231"/>
      <c r="Q251" s="231"/>
      <c r="R251" s="231"/>
      <c r="S251" s="231"/>
      <c r="T251" s="231"/>
      <c r="U251" s="231"/>
      <c r="V251" s="231"/>
      <c r="W251" s="231"/>
      <c r="X251" s="231"/>
      <c r="Y251" s="231"/>
      <c r="Z251" s="231"/>
      <c r="AA251" s="231"/>
      <c r="AB251" s="231"/>
      <c r="AC251" s="231"/>
      <c r="AD251" s="231"/>
      <c r="AE251" s="231"/>
      <c r="AF251" s="231"/>
      <c r="AG251" s="231"/>
      <c r="AH251" s="231"/>
      <c r="AI251" s="231"/>
      <c r="AJ251" s="231"/>
      <c r="AK251" s="231"/>
      <c r="AL251" s="231"/>
      <c r="AM251" s="231"/>
      <c r="AN251" s="231"/>
      <c r="AO251" s="231"/>
    </row>
    <row r="252" spans="1:41" s="203" customFormat="1">
      <c r="A252" s="809">
        <v>9</v>
      </c>
      <c r="B252" s="47" t="s">
        <v>198</v>
      </c>
      <c r="C252" s="47"/>
      <c r="D252" s="47"/>
      <c r="E252" s="49">
        <v>7459</v>
      </c>
      <c r="F252" s="52">
        <v>7081</v>
      </c>
      <c r="G252" s="118"/>
      <c r="H252" s="122">
        <v>7407</v>
      </c>
      <c r="I252" s="29"/>
      <c r="J252" s="231"/>
      <c r="K252" s="231"/>
      <c r="L252" s="231"/>
      <c r="M252" s="231"/>
      <c r="N252" s="231"/>
      <c r="O252" s="231"/>
      <c r="P252" s="231"/>
      <c r="Q252" s="231"/>
      <c r="R252" s="231"/>
      <c r="S252" s="231"/>
      <c r="T252" s="231"/>
      <c r="U252" s="231"/>
      <c r="V252" s="231"/>
      <c r="W252" s="231"/>
      <c r="X252" s="231"/>
      <c r="Y252" s="231"/>
      <c r="Z252" s="231"/>
      <c r="AA252" s="231"/>
      <c r="AB252" s="231"/>
      <c r="AC252" s="231"/>
      <c r="AD252" s="231"/>
      <c r="AE252" s="231"/>
      <c r="AF252" s="231"/>
      <c r="AG252" s="231"/>
      <c r="AH252" s="231"/>
      <c r="AI252" s="231"/>
      <c r="AJ252" s="231"/>
      <c r="AK252" s="231"/>
      <c r="AL252" s="231"/>
      <c r="AM252" s="231"/>
      <c r="AN252" s="231"/>
      <c r="AO252" s="231"/>
    </row>
    <row r="253" spans="1:41" s="203" customFormat="1">
      <c r="A253" s="809">
        <v>10</v>
      </c>
      <c r="B253" s="47" t="s">
        <v>199</v>
      </c>
      <c r="C253" s="47"/>
      <c r="D253" s="47"/>
      <c r="E253" s="49">
        <v>4141</v>
      </c>
      <c r="F253" s="52">
        <v>3877</v>
      </c>
      <c r="G253" s="118"/>
      <c r="H253" s="100">
        <v>3728</v>
      </c>
      <c r="I253" s="29"/>
      <c r="J253" s="231"/>
      <c r="K253" s="231"/>
      <c r="L253" s="231"/>
      <c r="M253" s="231"/>
      <c r="N253" s="231"/>
      <c r="O253" s="231"/>
      <c r="P253" s="231"/>
      <c r="Q253" s="231"/>
      <c r="R253" s="231"/>
      <c r="S253" s="231"/>
      <c r="T253" s="231"/>
      <c r="U253" s="231"/>
      <c r="V253" s="231"/>
      <c r="W253" s="231"/>
      <c r="X253" s="231"/>
      <c r="Y253" s="231"/>
      <c r="Z253" s="231"/>
      <c r="AA253" s="231"/>
      <c r="AB253" s="231"/>
      <c r="AC253" s="231"/>
      <c r="AD253" s="231"/>
      <c r="AE253" s="231"/>
      <c r="AF253" s="231"/>
      <c r="AG253" s="231"/>
      <c r="AH253" s="231"/>
      <c r="AI253" s="231"/>
      <c r="AJ253" s="231"/>
      <c r="AK253" s="231"/>
      <c r="AL253" s="231"/>
      <c r="AM253" s="231"/>
      <c r="AN253" s="231"/>
      <c r="AO253" s="231"/>
    </row>
    <row r="254" spans="1:41" s="203" customFormat="1">
      <c r="A254" s="809">
        <v>11</v>
      </c>
      <c r="B254" s="116" t="s">
        <v>200</v>
      </c>
      <c r="C254" s="116"/>
      <c r="D254" s="116"/>
      <c r="E254" s="80">
        <v>18044</v>
      </c>
      <c r="F254" s="142">
        <f>SUM(F250:F253)</f>
        <v>18833</v>
      </c>
      <c r="G254" s="118"/>
      <c r="H254" s="142">
        <f>SUM(H250:H253)</f>
        <v>18058</v>
      </c>
      <c r="I254" s="260"/>
      <c r="J254" s="231"/>
      <c r="K254" s="231"/>
      <c r="L254" s="231"/>
      <c r="M254" s="231"/>
      <c r="N254" s="231"/>
      <c r="O254" s="231"/>
      <c r="P254" s="231"/>
      <c r="Q254" s="231"/>
      <c r="R254" s="231"/>
      <c r="S254" s="231"/>
      <c r="T254" s="231"/>
      <c r="U254" s="231"/>
      <c r="V254" s="231"/>
      <c r="W254" s="231"/>
      <c r="X254" s="231"/>
      <c r="Y254" s="231"/>
      <c r="Z254" s="231"/>
      <c r="AA254" s="231"/>
      <c r="AB254" s="231"/>
      <c r="AC254" s="231"/>
      <c r="AD254" s="231"/>
      <c r="AE254" s="231"/>
      <c r="AF254" s="231"/>
      <c r="AG254" s="231"/>
      <c r="AH254" s="231"/>
      <c r="AI254" s="231"/>
      <c r="AJ254" s="231"/>
      <c r="AK254" s="231"/>
      <c r="AL254" s="231"/>
      <c r="AM254" s="231"/>
      <c r="AN254" s="231"/>
      <c r="AO254" s="231"/>
    </row>
    <row r="255" spans="1:41" s="203" customFormat="1">
      <c r="A255" s="809"/>
      <c r="B255" s="116"/>
      <c r="C255" s="116"/>
      <c r="D255" s="116"/>
      <c r="E255" s="117"/>
      <c r="F255" s="118"/>
      <c r="G255" s="118"/>
      <c r="H255" s="118"/>
      <c r="I255" s="29"/>
      <c r="J255" s="231"/>
      <c r="K255" s="231"/>
      <c r="L255" s="231"/>
      <c r="M255" s="231"/>
      <c r="N255" s="231"/>
      <c r="O255" s="231"/>
      <c r="P255" s="231"/>
      <c r="Q255" s="231"/>
      <c r="R255" s="231"/>
      <c r="S255" s="231"/>
      <c r="T255" s="231"/>
      <c r="U255" s="231"/>
      <c r="V255" s="231"/>
      <c r="W255" s="231"/>
      <c r="X255" s="231"/>
      <c r="Y255" s="231"/>
      <c r="Z255" s="231"/>
      <c r="AA255" s="231"/>
      <c r="AB255" s="231"/>
      <c r="AC255" s="231"/>
      <c r="AD255" s="231"/>
      <c r="AE255" s="231"/>
      <c r="AF255" s="231"/>
      <c r="AG255" s="231"/>
      <c r="AH255" s="231"/>
      <c r="AI255" s="231"/>
      <c r="AJ255" s="231"/>
      <c r="AK255" s="231"/>
      <c r="AL255" s="231"/>
      <c r="AM255" s="231"/>
      <c r="AN255" s="231"/>
      <c r="AO255" s="231"/>
    </row>
    <row r="256" spans="1:41" s="203" customFormat="1">
      <c r="A256" s="809">
        <v>12</v>
      </c>
      <c r="B256" s="47" t="s">
        <v>201</v>
      </c>
      <c r="C256" s="47"/>
      <c r="D256" s="47"/>
      <c r="E256" s="176">
        <v>4411</v>
      </c>
      <c r="F256" s="136">
        <v>4076</v>
      </c>
      <c r="G256" s="118"/>
      <c r="H256" s="177">
        <v>4546</v>
      </c>
      <c r="I256" s="260"/>
      <c r="J256" s="231"/>
      <c r="K256" s="231"/>
      <c r="L256" s="231"/>
      <c r="M256" s="231"/>
      <c r="N256" s="231"/>
      <c r="O256" s="231"/>
      <c r="P256" s="231"/>
      <c r="Q256" s="231"/>
      <c r="R256" s="231"/>
      <c r="S256" s="231"/>
      <c r="T256" s="231"/>
      <c r="U256" s="231"/>
      <c r="V256" s="231"/>
      <c r="W256" s="231"/>
      <c r="X256" s="231"/>
      <c r="Y256" s="231"/>
      <c r="Z256" s="231"/>
      <c r="AA256" s="231"/>
      <c r="AB256" s="231"/>
      <c r="AC256" s="231"/>
      <c r="AD256" s="231"/>
      <c r="AE256" s="231"/>
      <c r="AF256" s="231"/>
      <c r="AG256" s="231"/>
      <c r="AH256" s="231"/>
      <c r="AI256" s="231"/>
      <c r="AJ256" s="231"/>
      <c r="AK256" s="231"/>
      <c r="AL256" s="231"/>
      <c r="AM256" s="231"/>
      <c r="AN256" s="231"/>
      <c r="AO256" s="231"/>
    </row>
    <row r="257" spans="1:41" s="203" customFormat="1">
      <c r="A257" s="124">
        <v>13</v>
      </c>
      <c r="B257" s="94" t="s">
        <v>202</v>
      </c>
      <c r="C257" s="94"/>
      <c r="D257" s="94"/>
      <c r="E257" s="159">
        <v>26436</v>
      </c>
      <c r="F257" s="61">
        <f>F242+F247+F254+F256</f>
        <v>26893</v>
      </c>
      <c r="G257" s="118"/>
      <c r="H257" s="61">
        <f>H242+H247+H254+H256</f>
        <v>26685</v>
      </c>
      <c r="I257" s="21"/>
      <c r="J257" s="231"/>
      <c r="K257" s="231"/>
      <c r="L257" s="231"/>
      <c r="M257" s="231"/>
      <c r="N257" s="231"/>
      <c r="O257" s="231"/>
      <c r="P257" s="231"/>
      <c r="Q257" s="231"/>
      <c r="R257" s="231"/>
      <c r="S257" s="231"/>
      <c r="T257" s="231"/>
      <c r="U257" s="231"/>
      <c r="V257" s="231"/>
      <c r="W257" s="231"/>
      <c r="X257" s="231"/>
      <c r="Y257" s="231"/>
      <c r="Z257" s="231"/>
      <c r="AA257" s="231"/>
      <c r="AB257" s="231"/>
      <c r="AC257" s="231"/>
      <c r="AD257" s="231"/>
      <c r="AE257" s="231"/>
      <c r="AF257" s="231"/>
      <c r="AG257" s="231"/>
      <c r="AH257" s="231"/>
      <c r="AI257" s="231"/>
      <c r="AJ257" s="231"/>
      <c r="AK257" s="231"/>
      <c r="AL257" s="231"/>
      <c r="AM257" s="231"/>
      <c r="AN257" s="231"/>
      <c r="AO257" s="231"/>
    </row>
    <row r="258" spans="1:41" s="203" customFormat="1">
      <c r="A258" s="207"/>
      <c r="B258" s="207"/>
      <c r="C258" s="207"/>
      <c r="D258" s="208"/>
      <c r="E258" s="208"/>
      <c r="F258" s="207"/>
      <c r="G258" s="207"/>
      <c r="H258" s="207"/>
      <c r="I258" s="21"/>
      <c r="J258" s="231"/>
      <c r="K258" s="231"/>
      <c r="L258" s="231"/>
      <c r="M258" s="231"/>
      <c r="N258" s="231"/>
      <c r="O258" s="231"/>
      <c r="P258" s="231"/>
      <c r="Q258" s="231"/>
      <c r="R258" s="231"/>
      <c r="S258" s="231"/>
      <c r="T258" s="231"/>
      <c r="U258" s="231"/>
      <c r="V258" s="231"/>
      <c r="W258" s="231"/>
      <c r="X258" s="231"/>
      <c r="Y258" s="231"/>
      <c r="Z258" s="231"/>
      <c r="AA258" s="231"/>
      <c r="AB258" s="231"/>
      <c r="AC258" s="231"/>
      <c r="AD258" s="231"/>
      <c r="AE258" s="231"/>
      <c r="AF258" s="231"/>
      <c r="AG258" s="231"/>
      <c r="AH258" s="231"/>
      <c r="AI258" s="231"/>
      <c r="AJ258" s="231"/>
      <c r="AK258" s="231"/>
      <c r="AL258" s="231"/>
      <c r="AM258" s="231"/>
      <c r="AN258" s="231"/>
      <c r="AO258" s="231"/>
    </row>
    <row r="259" spans="1:41" s="203" customFormat="1">
      <c r="A259" s="23"/>
      <c r="B259" s="207"/>
      <c r="C259" s="207"/>
      <c r="D259" s="207"/>
      <c r="E259" s="207"/>
      <c r="F259" s="207"/>
      <c r="G259" s="207"/>
      <c r="H259" s="21"/>
      <c r="I259" s="21"/>
      <c r="J259" s="231"/>
      <c r="K259" s="231"/>
      <c r="L259" s="231"/>
      <c r="M259" s="231"/>
      <c r="N259" s="231"/>
      <c r="O259" s="231"/>
      <c r="P259" s="231"/>
      <c r="Q259" s="231"/>
      <c r="R259" s="231"/>
      <c r="S259" s="231"/>
      <c r="T259" s="231"/>
      <c r="U259" s="231"/>
      <c r="V259" s="231"/>
      <c r="W259" s="231"/>
      <c r="X259" s="231"/>
      <c r="Y259" s="231"/>
      <c r="Z259" s="231"/>
      <c r="AA259" s="231"/>
      <c r="AB259" s="231"/>
      <c r="AC259" s="231"/>
      <c r="AD259" s="231"/>
      <c r="AE259" s="231"/>
      <c r="AF259" s="231"/>
      <c r="AG259" s="231"/>
      <c r="AH259" s="231"/>
      <c r="AI259" s="231"/>
      <c r="AJ259" s="231"/>
      <c r="AK259" s="231"/>
      <c r="AL259" s="231"/>
      <c r="AM259" s="231"/>
      <c r="AN259" s="231"/>
      <c r="AO259" s="231"/>
    </row>
    <row r="260" spans="1:41" s="203" customFormat="1">
      <c r="A260" s="148"/>
      <c r="B260" s="29"/>
      <c r="C260" s="29"/>
      <c r="D260" s="172"/>
      <c r="E260" s="152"/>
      <c r="F260" s="29"/>
      <c r="G260" s="29"/>
      <c r="H260" s="131" t="s">
        <v>27</v>
      </c>
      <c r="I260" s="21"/>
      <c r="J260" s="231"/>
      <c r="K260" s="231"/>
      <c r="L260" s="231"/>
      <c r="M260" s="231"/>
      <c r="N260" s="231"/>
      <c r="O260" s="231"/>
      <c r="P260" s="231"/>
      <c r="Q260" s="231"/>
      <c r="R260" s="231"/>
      <c r="S260" s="231"/>
      <c r="T260" s="231"/>
      <c r="U260" s="231"/>
      <c r="V260" s="231"/>
      <c r="W260" s="231"/>
      <c r="X260" s="231"/>
      <c r="Y260" s="231"/>
      <c r="Z260" s="231"/>
      <c r="AA260" s="231"/>
      <c r="AB260" s="231"/>
      <c r="AC260" s="231"/>
      <c r="AD260" s="231"/>
      <c r="AE260" s="231"/>
      <c r="AF260" s="231"/>
      <c r="AG260" s="231"/>
      <c r="AH260" s="231"/>
      <c r="AI260" s="231"/>
      <c r="AJ260" s="231"/>
      <c r="AK260" s="231"/>
      <c r="AL260" s="231"/>
      <c r="AM260" s="231"/>
      <c r="AN260" s="231"/>
      <c r="AO260" s="231"/>
    </row>
    <row r="261" spans="1:41" s="203" customFormat="1" ht="12.75" customHeight="1">
      <c r="A261" s="106" t="s">
        <v>15</v>
      </c>
      <c r="B261" s="164"/>
      <c r="C261" s="164"/>
      <c r="D261" s="164"/>
      <c r="E261" s="856" t="s">
        <v>377</v>
      </c>
      <c r="F261" s="856" t="s">
        <v>402</v>
      </c>
      <c r="G261" s="130"/>
      <c r="H261" s="856" t="s">
        <v>403</v>
      </c>
      <c r="I261" s="21"/>
      <c r="J261" s="231"/>
      <c r="K261" s="231"/>
      <c r="L261" s="231"/>
      <c r="M261" s="231"/>
      <c r="N261" s="231"/>
      <c r="O261" s="231"/>
      <c r="P261" s="231"/>
      <c r="Q261" s="231"/>
      <c r="R261" s="231"/>
      <c r="S261" s="231"/>
      <c r="T261" s="231"/>
      <c r="U261" s="231"/>
      <c r="V261" s="231"/>
      <c r="W261" s="231"/>
      <c r="X261" s="231"/>
      <c r="Y261" s="231"/>
      <c r="Z261" s="231"/>
      <c r="AA261" s="231"/>
      <c r="AB261" s="231"/>
      <c r="AC261" s="231"/>
      <c r="AD261" s="231"/>
      <c r="AE261" s="231"/>
      <c r="AF261" s="231"/>
      <c r="AG261" s="231"/>
      <c r="AH261" s="231"/>
      <c r="AI261" s="231"/>
      <c r="AJ261" s="231"/>
      <c r="AK261" s="231"/>
      <c r="AL261" s="231"/>
      <c r="AM261" s="231"/>
      <c r="AN261" s="231"/>
      <c r="AO261" s="231"/>
    </row>
    <row r="262" spans="1:41" s="203" customFormat="1">
      <c r="A262" s="165"/>
      <c r="B262" s="47"/>
      <c r="C262" s="47"/>
      <c r="D262" s="47"/>
      <c r="E262" s="859"/>
      <c r="F262" s="859"/>
      <c r="G262" s="130"/>
      <c r="H262" s="859"/>
      <c r="I262" s="21"/>
      <c r="J262" s="231"/>
      <c r="K262" s="231"/>
      <c r="L262" s="231"/>
      <c r="M262" s="231"/>
      <c r="N262" s="231"/>
      <c r="O262" s="231"/>
      <c r="P262" s="231"/>
      <c r="Q262" s="231"/>
      <c r="R262" s="231"/>
      <c r="S262" s="231"/>
      <c r="T262" s="231"/>
      <c r="U262" s="231"/>
      <c r="V262" s="231"/>
      <c r="W262" s="231"/>
      <c r="X262" s="231"/>
      <c r="Y262" s="231"/>
      <c r="Z262" s="231"/>
      <c r="AA262" s="231"/>
      <c r="AB262" s="231"/>
      <c r="AC262" s="231"/>
      <c r="AD262" s="231"/>
      <c r="AE262" s="231"/>
      <c r="AF262" s="231"/>
      <c r="AG262" s="231"/>
      <c r="AH262" s="231"/>
      <c r="AI262" s="231"/>
      <c r="AJ262" s="231"/>
      <c r="AK262" s="231"/>
      <c r="AL262" s="231"/>
      <c r="AM262" s="231"/>
      <c r="AN262" s="231"/>
      <c r="AO262" s="231"/>
    </row>
    <row r="263" spans="1:41" s="203" customFormat="1">
      <c r="A263" s="109"/>
      <c r="B263" s="174"/>
      <c r="C263" s="174"/>
      <c r="D263" s="174"/>
      <c r="E263" s="859"/>
      <c r="F263" s="859"/>
      <c r="G263" s="130"/>
      <c r="H263" s="859"/>
      <c r="I263" s="21"/>
      <c r="J263" s="231"/>
      <c r="K263" s="231"/>
      <c r="L263" s="231"/>
      <c r="M263" s="231"/>
      <c r="N263" s="231"/>
      <c r="O263" s="231"/>
      <c r="P263" s="231"/>
      <c r="Q263" s="231"/>
      <c r="R263" s="231"/>
      <c r="S263" s="231"/>
      <c r="T263" s="231"/>
      <c r="U263" s="231"/>
      <c r="V263" s="231"/>
      <c r="W263" s="231"/>
      <c r="X263" s="231"/>
      <c r="Y263" s="231"/>
      <c r="Z263" s="231"/>
      <c r="AA263" s="231"/>
      <c r="AB263" s="231"/>
      <c r="AC263" s="231"/>
      <c r="AD263" s="231"/>
      <c r="AE263" s="231"/>
      <c r="AF263" s="231"/>
      <c r="AG263" s="231"/>
      <c r="AH263" s="231"/>
      <c r="AI263" s="231"/>
      <c r="AJ263" s="231"/>
      <c r="AK263" s="231"/>
      <c r="AL263" s="231"/>
      <c r="AM263" s="231"/>
      <c r="AN263" s="231"/>
      <c r="AO263" s="231"/>
    </row>
    <row r="264" spans="1:41" s="203" customFormat="1">
      <c r="A264" s="154" t="s">
        <v>203</v>
      </c>
      <c r="B264" s="47"/>
      <c r="C264" s="47"/>
      <c r="D264" s="47"/>
      <c r="E264" s="859"/>
      <c r="F264" s="859"/>
      <c r="G264" s="130"/>
      <c r="H264" s="859"/>
      <c r="I264" s="21"/>
      <c r="J264" s="231"/>
      <c r="K264" s="231"/>
      <c r="L264" s="231"/>
      <c r="M264" s="231"/>
      <c r="N264" s="231"/>
      <c r="O264" s="231"/>
      <c r="P264" s="231"/>
      <c r="Q264" s="231"/>
      <c r="R264" s="231"/>
      <c r="S264" s="231"/>
      <c r="T264" s="231"/>
      <c r="U264" s="231"/>
      <c r="V264" s="231"/>
      <c r="W264" s="231"/>
      <c r="X264" s="231"/>
      <c r="Y264" s="231"/>
      <c r="Z264" s="231"/>
      <c r="AA264" s="231"/>
      <c r="AB264" s="231"/>
      <c r="AC264" s="231"/>
      <c r="AD264" s="231"/>
      <c r="AE264" s="231"/>
      <c r="AF264" s="231"/>
      <c r="AG264" s="231"/>
      <c r="AH264" s="231"/>
      <c r="AI264" s="231"/>
      <c r="AJ264" s="231"/>
      <c r="AK264" s="231"/>
      <c r="AL264" s="231"/>
      <c r="AM264" s="231"/>
      <c r="AN264" s="231"/>
      <c r="AO264" s="231"/>
    </row>
    <row r="265" spans="1:41" s="203" customFormat="1">
      <c r="A265" s="109" t="s">
        <v>83</v>
      </c>
      <c r="B265" s="174"/>
      <c r="C265" s="174"/>
      <c r="D265" s="174"/>
      <c r="E265" s="860"/>
      <c r="F265" s="860"/>
      <c r="G265" s="130"/>
      <c r="H265" s="860"/>
      <c r="I265" s="21"/>
      <c r="J265" s="231"/>
      <c r="K265" s="231"/>
      <c r="L265" s="231"/>
      <c r="M265" s="231"/>
      <c r="N265" s="231"/>
      <c r="O265" s="231"/>
      <c r="P265" s="231"/>
      <c r="Q265" s="231"/>
      <c r="R265" s="231"/>
      <c r="S265" s="231"/>
      <c r="T265" s="231"/>
      <c r="U265" s="231"/>
      <c r="V265" s="231"/>
      <c r="W265" s="231"/>
      <c r="X265" s="231"/>
      <c r="Y265" s="231"/>
      <c r="Z265" s="231"/>
      <c r="AA265" s="231"/>
      <c r="AB265" s="231"/>
      <c r="AC265" s="231"/>
      <c r="AD265" s="231"/>
      <c r="AE265" s="231"/>
      <c r="AF265" s="231"/>
      <c r="AG265" s="231"/>
      <c r="AH265" s="231"/>
      <c r="AI265" s="231"/>
      <c r="AJ265" s="231"/>
      <c r="AK265" s="231"/>
      <c r="AL265" s="231"/>
      <c r="AM265" s="231"/>
      <c r="AN265" s="231"/>
      <c r="AO265" s="231"/>
    </row>
    <row r="266" spans="1:41" s="203" customFormat="1">
      <c r="A266" s="110" t="s">
        <v>84</v>
      </c>
      <c r="B266" s="116"/>
      <c r="C266" s="116"/>
      <c r="D266" s="116"/>
      <c r="E266" s="178"/>
      <c r="F266" s="146"/>
      <c r="G266" s="118"/>
      <c r="H266" s="146"/>
      <c r="I266" s="21"/>
      <c r="J266" s="231"/>
      <c r="K266" s="231"/>
      <c r="L266" s="231"/>
      <c r="M266" s="231"/>
      <c r="N266" s="231"/>
      <c r="O266" s="231"/>
      <c r="P266" s="231"/>
      <c r="Q266" s="231"/>
      <c r="R266" s="231"/>
      <c r="S266" s="231"/>
      <c r="T266" s="231"/>
      <c r="U266" s="231"/>
      <c r="V266" s="231"/>
      <c r="W266" s="231"/>
      <c r="X266" s="231"/>
      <c r="Y266" s="231"/>
      <c r="Z266" s="231"/>
      <c r="AA266" s="231"/>
      <c r="AB266" s="231"/>
      <c r="AC266" s="231"/>
      <c r="AD266" s="231"/>
      <c r="AE266" s="231"/>
      <c r="AF266" s="231"/>
      <c r="AG266" s="231"/>
      <c r="AH266" s="231"/>
      <c r="AI266" s="231"/>
      <c r="AJ266" s="231"/>
      <c r="AK266" s="231"/>
      <c r="AL266" s="231"/>
      <c r="AM266" s="231"/>
      <c r="AN266" s="231"/>
      <c r="AO266" s="231"/>
    </row>
    <row r="267" spans="1:41" s="203" customFormat="1">
      <c r="A267" s="120">
        <v>1</v>
      </c>
      <c r="B267" s="47" t="s">
        <v>204</v>
      </c>
      <c r="C267" s="47"/>
      <c r="D267" s="47"/>
      <c r="E267" s="74">
        <v>0</v>
      </c>
      <c r="F267" s="52">
        <v>0</v>
      </c>
      <c r="G267" s="118"/>
      <c r="H267" s="122">
        <v>0</v>
      </c>
      <c r="I267" s="21"/>
      <c r="J267" s="231"/>
      <c r="K267" s="231"/>
      <c r="L267" s="231"/>
      <c r="M267" s="231"/>
      <c r="N267" s="231"/>
      <c r="O267" s="231"/>
      <c r="P267" s="231"/>
      <c r="Q267" s="231"/>
      <c r="R267" s="231"/>
      <c r="S267" s="231"/>
      <c r="T267" s="231"/>
      <c r="U267" s="231"/>
      <c r="V267" s="231"/>
      <c r="W267" s="231"/>
      <c r="X267" s="231"/>
      <c r="Y267" s="231"/>
      <c r="Z267" s="231"/>
      <c r="AA267" s="231"/>
      <c r="AB267" s="231"/>
      <c r="AC267" s="231"/>
      <c r="AD267" s="231"/>
      <c r="AE267" s="231"/>
      <c r="AF267" s="231"/>
      <c r="AG267" s="231"/>
      <c r="AH267" s="231"/>
      <c r="AI267" s="231"/>
      <c r="AJ267" s="231"/>
      <c r="AK267" s="231"/>
      <c r="AL267" s="231"/>
      <c r="AM267" s="231"/>
      <c r="AN267" s="231"/>
      <c r="AO267" s="231"/>
    </row>
    <row r="268" spans="1:41" s="203" customFormat="1">
      <c r="A268" s="809">
        <v>2</v>
      </c>
      <c r="B268" s="166" t="s">
        <v>205</v>
      </c>
      <c r="C268" s="166"/>
      <c r="D268" s="47"/>
      <c r="E268" s="114">
        <v>1163</v>
      </c>
      <c r="F268" s="52">
        <v>2668</v>
      </c>
      <c r="G268" s="118"/>
      <c r="H268" s="122">
        <v>1163</v>
      </c>
      <c r="I268" s="21"/>
      <c r="J268" s="231"/>
      <c r="K268" s="231"/>
      <c r="L268" s="231"/>
      <c r="M268" s="231"/>
      <c r="N268" s="231"/>
      <c r="O268" s="231"/>
      <c r="P268" s="231"/>
      <c r="Q268" s="231"/>
      <c r="R268" s="231"/>
      <c r="S268" s="231"/>
      <c r="T268" s="231"/>
      <c r="U268" s="231"/>
      <c r="V268" s="231"/>
      <c r="W268" s="231"/>
      <c r="X268" s="231"/>
      <c r="Y268" s="231"/>
      <c r="Z268" s="231"/>
      <c r="AA268" s="231"/>
      <c r="AB268" s="231"/>
      <c r="AC268" s="231"/>
      <c r="AD268" s="231"/>
      <c r="AE268" s="231"/>
      <c r="AF268" s="231"/>
      <c r="AG268" s="231"/>
      <c r="AH268" s="231"/>
      <c r="AI268" s="231"/>
      <c r="AJ268" s="231"/>
      <c r="AK268" s="231"/>
      <c r="AL268" s="231"/>
      <c r="AM268" s="231"/>
      <c r="AN268" s="231"/>
      <c r="AO268" s="231"/>
    </row>
    <row r="269" spans="1:41" s="203" customFormat="1">
      <c r="A269" s="120">
        <v>3</v>
      </c>
      <c r="B269" s="47" t="s">
        <v>206</v>
      </c>
      <c r="C269" s="47"/>
      <c r="D269" s="168"/>
      <c r="E269" s="114">
        <v>366</v>
      </c>
      <c r="F269" s="52">
        <v>346</v>
      </c>
      <c r="G269" s="118"/>
      <c r="H269" s="122">
        <v>307</v>
      </c>
      <c r="I269" s="21"/>
      <c r="J269" s="231"/>
      <c r="K269" s="231"/>
      <c r="L269" s="231"/>
      <c r="M269" s="231"/>
      <c r="N269" s="231"/>
      <c r="O269" s="231"/>
      <c r="P269" s="231"/>
      <c r="Q269" s="231"/>
      <c r="R269" s="231"/>
      <c r="S269" s="231"/>
      <c r="T269" s="231"/>
      <c r="U269" s="231"/>
      <c r="V269" s="231"/>
      <c r="W269" s="231"/>
      <c r="X269" s="231"/>
      <c r="Y269" s="231"/>
      <c r="Z269" s="231"/>
      <c r="AA269" s="231"/>
      <c r="AB269" s="231"/>
      <c r="AC269" s="231"/>
      <c r="AD269" s="231"/>
      <c r="AE269" s="231"/>
      <c r="AF269" s="231"/>
      <c r="AG269" s="231"/>
      <c r="AH269" s="231"/>
      <c r="AI269" s="231"/>
      <c r="AJ269" s="231"/>
      <c r="AK269" s="231"/>
      <c r="AL269" s="231"/>
      <c r="AM269" s="231"/>
      <c r="AN269" s="231"/>
      <c r="AO269" s="231"/>
    </row>
    <row r="270" spans="1:41" s="203" customFormat="1">
      <c r="A270" s="809">
        <v>4</v>
      </c>
      <c r="B270" s="47" t="s">
        <v>207</v>
      </c>
      <c r="C270" s="47"/>
      <c r="D270" s="116"/>
      <c r="E270" s="114">
        <v>0</v>
      </c>
      <c r="F270" s="52">
        <v>0</v>
      </c>
      <c r="G270" s="118"/>
      <c r="H270" s="122">
        <v>0</v>
      </c>
      <c r="I270" s="21"/>
      <c r="J270" s="231"/>
      <c r="K270" s="231"/>
      <c r="L270" s="231"/>
      <c r="M270" s="231"/>
      <c r="N270" s="231"/>
      <c r="O270" s="231"/>
      <c r="P270" s="231"/>
      <c r="Q270" s="231"/>
      <c r="R270" s="231"/>
      <c r="S270" s="231"/>
      <c r="T270" s="231"/>
      <c r="U270" s="231"/>
      <c r="V270" s="231"/>
      <c r="W270" s="231"/>
      <c r="X270" s="231"/>
      <c r="Y270" s="231"/>
      <c r="Z270" s="231"/>
      <c r="AA270" s="231"/>
      <c r="AB270" s="231"/>
      <c r="AC270" s="231"/>
      <c r="AD270" s="231"/>
      <c r="AE270" s="231"/>
      <c r="AF270" s="231"/>
      <c r="AG270" s="231"/>
      <c r="AH270" s="231"/>
      <c r="AI270" s="231"/>
      <c r="AJ270" s="231"/>
      <c r="AK270" s="231"/>
      <c r="AL270" s="231"/>
      <c r="AM270" s="231"/>
      <c r="AN270" s="231"/>
      <c r="AO270" s="231"/>
    </row>
    <row r="271" spans="1:41" s="203" customFormat="1">
      <c r="A271" s="120">
        <v>5</v>
      </c>
      <c r="B271" s="47" t="s">
        <v>208</v>
      </c>
      <c r="C271" s="47"/>
      <c r="D271" s="47"/>
      <c r="E271" s="114">
        <v>513</v>
      </c>
      <c r="F271" s="52">
        <v>866</v>
      </c>
      <c r="G271" s="118"/>
      <c r="H271" s="122">
        <v>513</v>
      </c>
      <c r="I271" s="21"/>
      <c r="J271" s="231"/>
      <c r="K271" s="231"/>
      <c r="L271" s="231"/>
      <c r="M271" s="231"/>
      <c r="N271" s="231"/>
      <c r="O271" s="231"/>
      <c r="P271" s="231"/>
      <c r="Q271" s="231"/>
      <c r="R271" s="231"/>
      <c r="S271" s="231"/>
      <c r="T271" s="231"/>
      <c r="U271" s="231"/>
      <c r="V271" s="231"/>
      <c r="W271" s="231"/>
      <c r="X271" s="231"/>
      <c r="Y271" s="231"/>
      <c r="Z271" s="231"/>
      <c r="AA271" s="231"/>
      <c r="AB271" s="231"/>
      <c r="AC271" s="231"/>
      <c r="AD271" s="231"/>
      <c r="AE271" s="231"/>
      <c r="AF271" s="231"/>
      <c r="AG271" s="231"/>
      <c r="AH271" s="231"/>
      <c r="AI271" s="231"/>
      <c r="AJ271" s="231"/>
      <c r="AK271" s="231"/>
      <c r="AL271" s="231"/>
      <c r="AM271" s="231"/>
      <c r="AN271" s="231"/>
      <c r="AO271" s="231"/>
    </row>
    <row r="272" spans="1:41" s="203" customFormat="1">
      <c r="A272" s="809">
        <v>6</v>
      </c>
      <c r="B272" s="47" t="s">
        <v>209</v>
      </c>
      <c r="C272" s="47"/>
      <c r="D272" s="47"/>
      <c r="E272" s="114">
        <v>1900</v>
      </c>
      <c r="F272" s="52">
        <v>1582</v>
      </c>
      <c r="G272" s="118"/>
      <c r="H272" s="122">
        <v>1680</v>
      </c>
      <c r="I272" s="21"/>
      <c r="J272" s="231"/>
      <c r="K272" s="231"/>
      <c r="L272" s="231"/>
      <c r="M272" s="231"/>
      <c r="N272" s="231"/>
      <c r="O272" s="231"/>
      <c r="P272" s="231"/>
      <c r="Q272" s="231"/>
      <c r="R272" s="231"/>
      <c r="S272" s="231"/>
      <c r="T272" s="231"/>
      <c r="U272" s="231"/>
      <c r="V272" s="231"/>
      <c r="W272" s="231"/>
      <c r="X272" s="231"/>
      <c r="Y272" s="231"/>
      <c r="Z272" s="231"/>
      <c r="AA272" s="231"/>
      <c r="AB272" s="231"/>
      <c r="AC272" s="231"/>
      <c r="AD272" s="231"/>
      <c r="AE272" s="231"/>
      <c r="AF272" s="231"/>
      <c r="AG272" s="231"/>
      <c r="AH272" s="231"/>
      <c r="AI272" s="231"/>
      <c r="AJ272" s="231"/>
      <c r="AK272" s="231"/>
      <c r="AL272" s="231"/>
      <c r="AM272" s="231"/>
      <c r="AN272" s="231"/>
      <c r="AO272" s="231"/>
    </row>
    <row r="273" spans="1:41" s="203" customFormat="1">
      <c r="A273" s="120">
        <v>7</v>
      </c>
      <c r="B273" s="47" t="s">
        <v>210</v>
      </c>
      <c r="C273" s="47"/>
      <c r="D273" s="47"/>
      <c r="E273" s="114">
        <v>5838</v>
      </c>
      <c r="F273" s="52">
        <v>4627</v>
      </c>
      <c r="G273" s="118"/>
      <c r="H273" s="122">
        <v>5525</v>
      </c>
      <c r="I273" s="21"/>
      <c r="J273" s="231"/>
      <c r="K273" s="231"/>
      <c r="L273" s="231"/>
      <c r="M273" s="231"/>
      <c r="N273" s="231"/>
      <c r="O273" s="231"/>
      <c r="P273" s="231"/>
      <c r="Q273" s="231"/>
      <c r="R273" s="231"/>
      <c r="S273" s="231"/>
      <c r="T273" s="231"/>
      <c r="U273" s="231"/>
      <c r="V273" s="231"/>
      <c r="W273" s="231"/>
      <c r="X273" s="231"/>
      <c r="Y273" s="231"/>
      <c r="Z273" s="231"/>
      <c r="AA273" s="231"/>
      <c r="AB273" s="231"/>
      <c r="AC273" s="231"/>
      <c r="AD273" s="231"/>
      <c r="AE273" s="231"/>
      <c r="AF273" s="231"/>
      <c r="AG273" s="231"/>
      <c r="AH273" s="231"/>
      <c r="AI273" s="231"/>
      <c r="AJ273" s="231"/>
      <c r="AK273" s="231"/>
      <c r="AL273" s="231"/>
      <c r="AM273" s="231"/>
      <c r="AN273" s="231"/>
      <c r="AO273" s="231"/>
    </row>
    <row r="274" spans="1:41" s="203" customFormat="1">
      <c r="A274" s="809">
        <v>8</v>
      </c>
      <c r="B274" s="47" t="s">
        <v>211</v>
      </c>
      <c r="C274" s="47"/>
      <c r="D274" s="47"/>
      <c r="E274" s="114">
        <v>1889</v>
      </c>
      <c r="F274" s="52">
        <v>1831</v>
      </c>
      <c r="G274" s="118"/>
      <c r="H274" s="122">
        <v>1853</v>
      </c>
      <c r="I274" s="21"/>
      <c r="J274" s="231"/>
      <c r="K274" s="231"/>
      <c r="L274" s="231"/>
      <c r="M274" s="231"/>
      <c r="N274" s="231"/>
      <c r="O274" s="231"/>
      <c r="P274" s="231"/>
      <c r="Q274" s="231"/>
      <c r="R274" s="231"/>
      <c r="S274" s="231"/>
      <c r="T274" s="231"/>
      <c r="U274" s="231"/>
      <c r="V274" s="231"/>
      <c r="W274" s="231"/>
      <c r="X274" s="231"/>
      <c r="Y274" s="231"/>
      <c r="Z274" s="231"/>
      <c r="AA274" s="231"/>
      <c r="AB274" s="231"/>
      <c r="AC274" s="231"/>
      <c r="AD274" s="231"/>
      <c r="AE274" s="231"/>
      <c r="AF274" s="231"/>
      <c r="AG274" s="231"/>
      <c r="AH274" s="231"/>
      <c r="AI274" s="231"/>
      <c r="AJ274" s="231"/>
      <c r="AK274" s="231"/>
      <c r="AL274" s="231"/>
      <c r="AM274" s="231"/>
      <c r="AN274" s="231"/>
      <c r="AO274" s="231"/>
    </row>
    <row r="275" spans="1:41" s="203" customFormat="1">
      <c r="A275" s="120">
        <v>9</v>
      </c>
      <c r="B275" s="47" t="s">
        <v>212</v>
      </c>
      <c r="C275" s="47"/>
      <c r="D275" s="47"/>
      <c r="E275" s="114">
        <v>1376</v>
      </c>
      <c r="F275" s="52">
        <v>1862</v>
      </c>
      <c r="G275" s="118"/>
      <c r="H275" s="122">
        <v>1556</v>
      </c>
      <c r="I275" s="21"/>
      <c r="J275" s="231"/>
      <c r="K275" s="231"/>
      <c r="L275" s="231"/>
      <c r="M275" s="231"/>
      <c r="N275" s="231"/>
      <c r="O275" s="231"/>
      <c r="P275" s="231"/>
      <c r="Q275" s="231"/>
      <c r="R275" s="231"/>
      <c r="S275" s="231"/>
      <c r="T275" s="231"/>
      <c r="U275" s="231"/>
      <c r="V275" s="231"/>
      <c r="W275" s="231"/>
      <c r="X275" s="231"/>
      <c r="Y275" s="231"/>
      <c r="Z275" s="231"/>
      <c r="AA275" s="231"/>
      <c r="AB275" s="231"/>
      <c r="AC275" s="231"/>
      <c r="AD275" s="231"/>
      <c r="AE275" s="231"/>
      <c r="AF275" s="231"/>
      <c r="AG275" s="231"/>
      <c r="AH275" s="231"/>
      <c r="AI275" s="231"/>
      <c r="AJ275" s="231"/>
      <c r="AK275" s="231"/>
      <c r="AL275" s="231"/>
      <c r="AM275" s="231"/>
      <c r="AN275" s="231"/>
      <c r="AO275" s="231"/>
    </row>
    <row r="276" spans="1:41" s="203" customFormat="1">
      <c r="A276" s="809">
        <v>10</v>
      </c>
      <c r="B276" s="47" t="s">
        <v>213</v>
      </c>
      <c r="C276" s="47"/>
      <c r="D276" s="47"/>
      <c r="E276" s="114">
        <v>4535</v>
      </c>
      <c r="F276" s="52">
        <v>5322</v>
      </c>
      <c r="G276" s="118"/>
      <c r="H276" s="99">
        <v>4996</v>
      </c>
      <c r="I276" s="21"/>
      <c r="J276" s="231"/>
      <c r="K276" s="231"/>
      <c r="L276" s="231"/>
      <c r="M276" s="231"/>
      <c r="N276" s="231"/>
      <c r="O276" s="231"/>
      <c r="P276" s="231"/>
      <c r="Q276" s="231"/>
      <c r="R276" s="231"/>
      <c r="S276" s="231"/>
      <c r="T276" s="231"/>
      <c r="U276" s="231"/>
      <c r="V276" s="231"/>
      <c r="W276" s="231"/>
      <c r="X276" s="231"/>
      <c r="Y276" s="231"/>
      <c r="Z276" s="231"/>
      <c r="AA276" s="231"/>
      <c r="AB276" s="231"/>
      <c r="AC276" s="231"/>
      <c r="AD276" s="231"/>
      <c r="AE276" s="231"/>
      <c r="AF276" s="231"/>
      <c r="AG276" s="231"/>
      <c r="AH276" s="231"/>
      <c r="AI276" s="231"/>
      <c r="AJ276" s="231"/>
      <c r="AK276" s="231"/>
      <c r="AL276" s="231"/>
      <c r="AM276" s="231"/>
      <c r="AN276" s="231"/>
      <c r="AO276" s="231"/>
    </row>
    <row r="277" spans="1:41" s="203" customFormat="1">
      <c r="A277" s="124">
        <v>11</v>
      </c>
      <c r="B277" s="94" t="s">
        <v>214</v>
      </c>
      <c r="C277" s="94"/>
      <c r="D277" s="94"/>
      <c r="E277" s="159">
        <v>17580</v>
      </c>
      <c r="F277" s="61">
        <f>SUM(F267:F276)</f>
        <v>19104</v>
      </c>
      <c r="G277" s="118"/>
      <c r="H277" s="61">
        <f>SUM(H267:H276)</f>
        <v>17593</v>
      </c>
      <c r="I277" s="21"/>
      <c r="J277" s="231"/>
      <c r="K277" s="231"/>
      <c r="L277" s="231"/>
      <c r="M277" s="231"/>
      <c r="N277" s="231"/>
      <c r="O277" s="231"/>
      <c r="P277" s="231"/>
      <c r="Q277" s="231"/>
      <c r="R277" s="231"/>
      <c r="S277" s="231"/>
      <c r="T277" s="231"/>
      <c r="U277" s="231"/>
      <c r="V277" s="231"/>
      <c r="W277" s="231"/>
      <c r="X277" s="231"/>
      <c r="Y277" s="231"/>
      <c r="Z277" s="231"/>
      <c r="AA277" s="231"/>
      <c r="AB277" s="231"/>
      <c r="AC277" s="231"/>
      <c r="AD277" s="231"/>
      <c r="AE277" s="231"/>
      <c r="AF277" s="231"/>
      <c r="AG277" s="231"/>
      <c r="AH277" s="231"/>
      <c r="AI277" s="231"/>
      <c r="AJ277" s="231"/>
      <c r="AK277" s="231"/>
      <c r="AL277" s="231"/>
      <c r="AM277" s="231"/>
      <c r="AN277" s="231"/>
      <c r="AO277" s="231"/>
    </row>
    <row r="278" spans="1:41" s="203" customFormat="1">
      <c r="A278" s="207"/>
      <c r="B278" s="207"/>
      <c r="C278" s="207"/>
      <c r="D278" s="207"/>
      <c r="E278" s="207"/>
      <c r="F278" s="207"/>
      <c r="G278" s="207"/>
      <c r="H278" s="207"/>
      <c r="I278" s="21"/>
      <c r="J278" s="231"/>
      <c r="K278" s="231"/>
      <c r="L278" s="231"/>
      <c r="M278" s="231"/>
      <c r="N278" s="231"/>
      <c r="O278" s="231"/>
      <c r="P278" s="231"/>
      <c r="Q278" s="231"/>
      <c r="R278" s="231"/>
      <c r="S278" s="231"/>
      <c r="T278" s="231"/>
      <c r="U278" s="231"/>
      <c r="V278" s="231"/>
      <c r="W278" s="231"/>
      <c r="X278" s="231"/>
      <c r="Y278" s="231"/>
      <c r="Z278" s="231"/>
      <c r="AA278" s="231"/>
      <c r="AB278" s="231"/>
      <c r="AC278" s="231"/>
      <c r="AD278" s="231"/>
      <c r="AE278" s="231"/>
      <c r="AF278" s="231"/>
      <c r="AG278" s="231"/>
      <c r="AH278" s="231"/>
      <c r="AI278" s="231"/>
      <c r="AJ278" s="231"/>
      <c r="AK278" s="231"/>
      <c r="AL278" s="231"/>
      <c r="AM278" s="231"/>
      <c r="AN278" s="231"/>
      <c r="AO278" s="231"/>
    </row>
    <row r="279" spans="1:41" s="203" customFormat="1">
      <c r="A279" s="207"/>
      <c r="B279" s="207"/>
      <c r="C279" s="207"/>
      <c r="D279" s="207"/>
      <c r="E279" s="207"/>
      <c r="F279" s="207"/>
      <c r="G279" s="207"/>
      <c r="H279" s="131" t="s">
        <v>27</v>
      </c>
      <c r="I279" s="21"/>
      <c r="J279" s="231"/>
      <c r="K279" s="231"/>
      <c r="L279" s="231"/>
      <c r="M279" s="231"/>
      <c r="N279" s="231"/>
      <c r="O279" s="231"/>
      <c r="P279" s="231"/>
      <c r="Q279" s="231"/>
      <c r="R279" s="231"/>
      <c r="S279" s="231"/>
      <c r="T279" s="231"/>
      <c r="U279" s="231"/>
      <c r="V279" s="231"/>
      <c r="W279" s="231"/>
      <c r="X279" s="231"/>
      <c r="Y279" s="231"/>
      <c r="Z279" s="231"/>
      <c r="AA279" s="231"/>
      <c r="AB279" s="231"/>
      <c r="AC279" s="231"/>
      <c r="AD279" s="231"/>
      <c r="AE279" s="231"/>
      <c r="AF279" s="231"/>
      <c r="AG279" s="231"/>
      <c r="AH279" s="231"/>
      <c r="AI279" s="231"/>
      <c r="AJ279" s="231"/>
      <c r="AK279" s="231"/>
      <c r="AL279" s="231"/>
      <c r="AM279" s="231"/>
      <c r="AN279" s="231"/>
      <c r="AO279" s="231"/>
    </row>
    <row r="280" spans="1:41" s="203" customFormat="1" ht="12.75" customHeight="1">
      <c r="A280" s="106" t="s">
        <v>18</v>
      </c>
      <c r="B280" s="164"/>
      <c r="C280" s="164"/>
      <c r="D280" s="164"/>
      <c r="E280" s="856" t="s">
        <v>377</v>
      </c>
      <c r="F280" s="856" t="s">
        <v>402</v>
      </c>
      <c r="G280" s="130"/>
      <c r="H280" s="856" t="s">
        <v>403</v>
      </c>
      <c r="I280" s="21"/>
      <c r="J280" s="231"/>
      <c r="K280" s="231"/>
      <c r="L280" s="231"/>
      <c r="M280" s="231"/>
      <c r="N280" s="231"/>
      <c r="O280" s="231"/>
      <c r="P280" s="231"/>
      <c r="Q280" s="231"/>
      <c r="R280" s="231"/>
      <c r="S280" s="231"/>
      <c r="T280" s="231"/>
      <c r="U280" s="231"/>
      <c r="V280" s="231"/>
      <c r="W280" s="231"/>
      <c r="X280" s="231"/>
      <c r="Y280" s="231"/>
      <c r="Z280" s="231"/>
      <c r="AA280" s="231"/>
      <c r="AB280" s="231"/>
      <c r="AC280" s="231"/>
      <c r="AD280" s="231"/>
      <c r="AE280" s="231"/>
      <c r="AF280" s="231"/>
      <c r="AG280" s="231"/>
      <c r="AH280" s="231"/>
      <c r="AI280" s="231"/>
      <c r="AJ280" s="231"/>
      <c r="AK280" s="231"/>
      <c r="AL280" s="231"/>
      <c r="AM280" s="231"/>
      <c r="AN280" s="231"/>
      <c r="AO280" s="231"/>
    </row>
    <row r="281" spans="1:41" s="203" customFormat="1">
      <c r="A281" s="165"/>
      <c r="B281" s="47"/>
      <c r="C281" s="47"/>
      <c r="D281" s="47"/>
      <c r="E281" s="859"/>
      <c r="F281" s="859"/>
      <c r="G281" s="130"/>
      <c r="H281" s="859"/>
      <c r="I281" s="21"/>
      <c r="J281" s="231"/>
      <c r="K281" s="231"/>
      <c r="L281" s="231"/>
      <c r="M281" s="231"/>
      <c r="N281" s="231"/>
      <c r="O281" s="231"/>
      <c r="P281" s="231"/>
      <c r="Q281" s="231"/>
      <c r="R281" s="231"/>
      <c r="S281" s="231"/>
      <c r="T281" s="231"/>
      <c r="U281" s="231"/>
      <c r="V281" s="231"/>
      <c r="W281" s="231"/>
      <c r="X281" s="231"/>
      <c r="Y281" s="231"/>
      <c r="Z281" s="231"/>
      <c r="AA281" s="231"/>
      <c r="AB281" s="231"/>
      <c r="AC281" s="231"/>
      <c r="AD281" s="231"/>
      <c r="AE281" s="231"/>
      <c r="AF281" s="231"/>
      <c r="AG281" s="231"/>
      <c r="AH281" s="231"/>
      <c r="AI281" s="231"/>
      <c r="AJ281" s="231"/>
      <c r="AK281" s="231"/>
      <c r="AL281" s="231"/>
      <c r="AM281" s="231"/>
      <c r="AN281" s="231"/>
      <c r="AO281" s="231"/>
    </row>
    <row r="282" spans="1:41" s="203" customFormat="1" ht="21.75" customHeight="1">
      <c r="A282" s="109"/>
      <c r="B282" s="174"/>
      <c r="C282" s="174"/>
      <c r="D282" s="174"/>
      <c r="E282" s="859"/>
      <c r="F282" s="859"/>
      <c r="G282" s="130"/>
      <c r="H282" s="859"/>
      <c r="I282" s="21"/>
      <c r="J282" s="231"/>
      <c r="K282" s="231"/>
      <c r="L282" s="231"/>
      <c r="M282" s="231"/>
      <c r="N282" s="231"/>
      <c r="O282" s="231"/>
      <c r="P282" s="231"/>
      <c r="Q282" s="231"/>
      <c r="R282" s="231"/>
      <c r="S282" s="231"/>
      <c r="T282" s="231"/>
      <c r="U282" s="231"/>
      <c r="V282" s="231"/>
      <c r="W282" s="231"/>
      <c r="X282" s="231"/>
      <c r="Y282" s="231"/>
      <c r="Z282" s="231"/>
      <c r="AA282" s="231"/>
      <c r="AB282" s="231"/>
      <c r="AC282" s="231"/>
      <c r="AD282" s="231"/>
      <c r="AE282" s="231"/>
      <c r="AF282" s="231"/>
      <c r="AG282" s="231"/>
      <c r="AH282" s="231"/>
      <c r="AI282" s="231"/>
      <c r="AJ282" s="231"/>
      <c r="AK282" s="231"/>
      <c r="AL282" s="231"/>
      <c r="AM282" s="231"/>
      <c r="AN282" s="231"/>
      <c r="AO282" s="231"/>
    </row>
    <row r="283" spans="1:41" s="203" customFormat="1">
      <c r="A283" s="154" t="s">
        <v>215</v>
      </c>
      <c r="B283" s="47"/>
      <c r="C283" s="47"/>
      <c r="D283" s="47"/>
      <c r="E283" s="859"/>
      <c r="F283" s="859"/>
      <c r="G283" s="130"/>
      <c r="H283" s="859"/>
      <c r="I283" s="21"/>
      <c r="J283" s="231"/>
      <c r="K283" s="231"/>
      <c r="L283" s="231"/>
      <c r="M283" s="231"/>
      <c r="N283" s="231"/>
      <c r="O283" s="231"/>
      <c r="P283" s="231"/>
      <c r="Q283" s="231"/>
      <c r="R283" s="231"/>
      <c r="S283" s="231"/>
      <c r="T283" s="231"/>
      <c r="U283" s="231"/>
      <c r="V283" s="231"/>
      <c r="W283" s="231"/>
      <c r="X283" s="231"/>
      <c r="Y283" s="231"/>
      <c r="Z283" s="231"/>
      <c r="AA283" s="231"/>
      <c r="AB283" s="231"/>
      <c r="AC283" s="231"/>
      <c r="AD283" s="231"/>
      <c r="AE283" s="231"/>
      <c r="AF283" s="231"/>
      <c r="AG283" s="231"/>
      <c r="AH283" s="231"/>
      <c r="AI283" s="231"/>
      <c r="AJ283" s="231"/>
      <c r="AK283" s="231"/>
      <c r="AL283" s="231"/>
      <c r="AM283" s="231"/>
      <c r="AN283" s="231"/>
      <c r="AO283" s="231"/>
    </row>
    <row r="284" spans="1:41" s="203" customFormat="1">
      <c r="A284" s="109" t="s">
        <v>83</v>
      </c>
      <c r="B284" s="174"/>
      <c r="C284" s="174"/>
      <c r="D284" s="174"/>
      <c r="E284" s="860"/>
      <c r="F284" s="860"/>
      <c r="G284" s="130"/>
      <c r="H284" s="860"/>
      <c r="I284" s="21"/>
      <c r="J284" s="231"/>
      <c r="K284" s="231"/>
      <c r="L284" s="231"/>
      <c r="M284" s="231"/>
      <c r="N284" s="231"/>
      <c r="O284" s="231"/>
      <c r="P284" s="231"/>
      <c r="Q284" s="231"/>
      <c r="R284" s="231"/>
      <c r="S284" s="231"/>
      <c r="T284" s="231"/>
      <c r="U284" s="231"/>
      <c r="V284" s="231"/>
      <c r="W284" s="231"/>
      <c r="X284" s="231"/>
      <c r="Y284" s="231"/>
      <c r="Z284" s="231"/>
      <c r="AA284" s="231"/>
      <c r="AB284" s="231"/>
      <c r="AC284" s="231"/>
      <c r="AD284" s="231"/>
      <c r="AE284" s="231"/>
      <c r="AF284" s="231"/>
      <c r="AG284" s="231"/>
      <c r="AH284" s="231"/>
      <c r="AI284" s="231"/>
      <c r="AJ284" s="231"/>
      <c r="AK284" s="231"/>
      <c r="AL284" s="231"/>
      <c r="AM284" s="231"/>
      <c r="AN284" s="231"/>
      <c r="AO284" s="231"/>
    </row>
    <row r="285" spans="1:41" s="203" customFormat="1">
      <c r="A285" s="110" t="s">
        <v>84</v>
      </c>
      <c r="B285" s="116"/>
      <c r="C285" s="116"/>
      <c r="D285" s="116"/>
      <c r="E285" s="178"/>
      <c r="F285" s="146"/>
      <c r="G285" s="118"/>
      <c r="H285" s="146"/>
      <c r="I285" s="21"/>
      <c r="J285" s="231"/>
      <c r="K285" s="231"/>
      <c r="L285" s="231"/>
      <c r="M285" s="231"/>
      <c r="N285" s="231"/>
      <c r="O285" s="231"/>
      <c r="P285" s="231"/>
      <c r="Q285" s="231"/>
      <c r="R285" s="231"/>
      <c r="S285" s="231"/>
      <c r="T285" s="231"/>
      <c r="U285" s="231"/>
      <c r="V285" s="231"/>
      <c r="W285" s="231"/>
      <c r="X285" s="231"/>
      <c r="Y285" s="231"/>
      <c r="Z285" s="231"/>
      <c r="AA285" s="231"/>
      <c r="AB285" s="231"/>
      <c r="AC285" s="231"/>
      <c r="AD285" s="231"/>
      <c r="AE285" s="231"/>
      <c r="AF285" s="231"/>
      <c r="AG285" s="231"/>
      <c r="AH285" s="231"/>
      <c r="AI285" s="231"/>
      <c r="AJ285" s="231"/>
      <c r="AK285" s="231"/>
      <c r="AL285" s="231"/>
      <c r="AM285" s="231"/>
      <c r="AN285" s="231"/>
      <c r="AO285" s="231"/>
    </row>
    <row r="286" spans="1:41" s="203" customFormat="1">
      <c r="A286" s="120">
        <v>1</v>
      </c>
      <c r="B286" s="47" t="s">
        <v>216</v>
      </c>
      <c r="C286" s="47"/>
      <c r="D286" s="47"/>
      <c r="E286" s="74">
        <v>807</v>
      </c>
      <c r="F286" s="52">
        <v>741</v>
      </c>
      <c r="G286" s="118"/>
      <c r="H286" s="122">
        <v>801</v>
      </c>
      <c r="I286" s="21"/>
      <c r="J286" s="231"/>
      <c r="K286" s="231"/>
      <c r="L286" s="231"/>
      <c r="M286" s="231"/>
      <c r="N286" s="231"/>
      <c r="O286" s="231"/>
      <c r="P286" s="231"/>
      <c r="Q286" s="231"/>
      <c r="R286" s="231"/>
      <c r="S286" s="231"/>
      <c r="T286" s="231"/>
      <c r="U286" s="231"/>
      <c r="V286" s="231"/>
      <c r="W286" s="231"/>
      <c r="X286" s="231"/>
      <c r="Y286" s="231"/>
      <c r="Z286" s="231"/>
      <c r="AA286" s="231"/>
      <c r="AB286" s="231"/>
      <c r="AC286" s="231"/>
      <c r="AD286" s="231"/>
      <c r="AE286" s="231"/>
      <c r="AF286" s="231"/>
      <c r="AG286" s="231"/>
      <c r="AH286" s="231"/>
      <c r="AI286" s="231"/>
      <c r="AJ286" s="231"/>
      <c r="AK286" s="231"/>
      <c r="AL286" s="231"/>
      <c r="AM286" s="231"/>
      <c r="AN286" s="231"/>
      <c r="AO286" s="231"/>
    </row>
    <row r="287" spans="1:41" s="203" customFormat="1">
      <c r="A287" s="809">
        <v>2</v>
      </c>
      <c r="B287" s="47" t="s">
        <v>217</v>
      </c>
      <c r="C287" s="47"/>
      <c r="D287" s="47"/>
      <c r="E287" s="114">
        <v>7</v>
      </c>
      <c r="F287" s="52">
        <v>43</v>
      </c>
      <c r="G287" s="118"/>
      <c r="H287" s="122">
        <v>15</v>
      </c>
      <c r="I287" s="21"/>
      <c r="J287" s="231"/>
      <c r="K287" s="231"/>
      <c r="L287" s="231"/>
      <c r="M287" s="231"/>
      <c r="N287" s="231"/>
      <c r="O287" s="231"/>
      <c r="P287" s="231"/>
      <c r="Q287" s="231"/>
      <c r="R287" s="231"/>
      <c r="S287" s="231"/>
      <c r="T287" s="231"/>
      <c r="U287" s="231"/>
      <c r="V287" s="231"/>
      <c r="W287" s="231"/>
      <c r="X287" s="231"/>
      <c r="Y287" s="231"/>
      <c r="Z287" s="231"/>
      <c r="AA287" s="231"/>
      <c r="AB287" s="231"/>
      <c r="AC287" s="231"/>
      <c r="AD287" s="231"/>
      <c r="AE287" s="231"/>
      <c r="AF287" s="231"/>
      <c r="AG287" s="231"/>
      <c r="AH287" s="231"/>
      <c r="AI287" s="231"/>
      <c r="AJ287" s="231"/>
      <c r="AK287" s="231"/>
      <c r="AL287" s="231"/>
      <c r="AM287" s="231"/>
      <c r="AN287" s="231"/>
      <c r="AO287" s="231"/>
    </row>
    <row r="288" spans="1:41" s="203" customFormat="1">
      <c r="A288" s="120">
        <v>3</v>
      </c>
      <c r="B288" s="90" t="s">
        <v>218</v>
      </c>
      <c r="C288" s="166"/>
      <c r="D288" s="168"/>
      <c r="E288" s="114">
        <v>441</v>
      </c>
      <c r="F288" s="52">
        <v>217</v>
      </c>
      <c r="G288" s="118"/>
      <c r="H288" s="122">
        <v>579</v>
      </c>
      <c r="I288" s="21"/>
      <c r="J288" s="231"/>
      <c r="K288" s="231"/>
      <c r="L288" s="231"/>
      <c r="M288" s="231"/>
      <c r="N288" s="231"/>
      <c r="O288" s="231"/>
      <c r="P288" s="231"/>
      <c r="Q288" s="231"/>
      <c r="R288" s="231"/>
      <c r="S288" s="231"/>
      <c r="T288" s="231"/>
      <c r="U288" s="231"/>
      <c r="V288" s="231"/>
      <c r="W288" s="231"/>
      <c r="X288" s="231"/>
      <c r="Y288" s="231"/>
      <c r="Z288" s="231"/>
      <c r="AA288" s="231"/>
      <c r="AB288" s="231"/>
      <c r="AC288" s="231"/>
      <c r="AD288" s="231"/>
      <c r="AE288" s="231"/>
      <c r="AF288" s="231"/>
      <c r="AG288" s="231"/>
      <c r="AH288" s="231"/>
      <c r="AI288" s="231"/>
      <c r="AJ288" s="231"/>
      <c r="AK288" s="231"/>
      <c r="AL288" s="231"/>
      <c r="AM288" s="231"/>
      <c r="AN288" s="231"/>
      <c r="AO288" s="231"/>
    </row>
    <row r="289" spans="1:41" s="203" customFormat="1">
      <c r="A289" s="809">
        <v>4</v>
      </c>
      <c r="B289" s="47" t="s">
        <v>219</v>
      </c>
      <c r="C289" s="47"/>
      <c r="D289" s="116"/>
      <c r="E289" s="114">
        <v>62</v>
      </c>
      <c r="F289" s="52">
        <v>62</v>
      </c>
      <c r="G289" s="118"/>
      <c r="H289" s="122">
        <v>63</v>
      </c>
      <c r="I289" s="21"/>
      <c r="J289" s="231"/>
      <c r="K289" s="231"/>
      <c r="L289" s="231"/>
      <c r="M289" s="231"/>
      <c r="N289" s="231"/>
      <c r="O289" s="231"/>
      <c r="P289" s="231"/>
      <c r="Q289" s="231"/>
      <c r="R289" s="231"/>
      <c r="S289" s="231"/>
      <c r="T289" s="231"/>
      <c r="U289" s="231"/>
      <c r="V289" s="231"/>
      <c r="W289" s="231"/>
      <c r="X289" s="231"/>
      <c r="Y289" s="231"/>
      <c r="Z289" s="231"/>
      <c r="AA289" s="231"/>
      <c r="AB289" s="231"/>
      <c r="AC289" s="231"/>
      <c r="AD289" s="231"/>
      <c r="AE289" s="231"/>
      <c r="AF289" s="231"/>
      <c r="AG289" s="231"/>
      <c r="AH289" s="231"/>
      <c r="AI289" s="231"/>
      <c r="AJ289" s="231"/>
      <c r="AK289" s="231"/>
      <c r="AL289" s="231"/>
      <c r="AM289" s="231"/>
      <c r="AN289" s="231"/>
      <c r="AO289" s="231"/>
    </row>
    <row r="290" spans="1:41" s="203" customFormat="1">
      <c r="A290" s="809">
        <v>5</v>
      </c>
      <c r="B290" s="47" t="s">
        <v>220</v>
      </c>
      <c r="C290" s="47"/>
      <c r="D290" s="47"/>
      <c r="E290" s="114">
        <v>-96</v>
      </c>
      <c r="F290" s="52">
        <v>-208</v>
      </c>
      <c r="G290" s="118"/>
      <c r="H290" s="122">
        <v>-311</v>
      </c>
      <c r="I290" s="21"/>
      <c r="J290" s="231"/>
      <c r="K290" s="231"/>
      <c r="L290" s="231"/>
      <c r="M290" s="231"/>
      <c r="N290" s="231"/>
      <c r="O290" s="231"/>
      <c r="P290" s="231"/>
      <c r="Q290" s="231"/>
      <c r="R290" s="231"/>
      <c r="S290" s="231"/>
      <c r="T290" s="231"/>
      <c r="U290" s="231"/>
      <c r="V290" s="231"/>
      <c r="W290" s="231"/>
      <c r="X290" s="231"/>
      <c r="Y290" s="231"/>
      <c r="Z290" s="231"/>
      <c r="AA290" s="231"/>
      <c r="AB290" s="231"/>
      <c r="AC290" s="231"/>
      <c r="AD290" s="231"/>
      <c r="AE290" s="231"/>
      <c r="AF290" s="231"/>
      <c r="AG290" s="231"/>
      <c r="AH290" s="231"/>
      <c r="AI290" s="231"/>
      <c r="AJ290" s="231"/>
      <c r="AK290" s="231"/>
      <c r="AL290" s="231"/>
      <c r="AM290" s="231"/>
      <c r="AN290" s="231"/>
      <c r="AO290" s="231"/>
    </row>
    <row r="291" spans="1:41" s="203" customFormat="1">
      <c r="A291" s="120">
        <v>6</v>
      </c>
      <c r="B291" s="47" t="s">
        <v>221</v>
      </c>
      <c r="C291" s="47"/>
      <c r="D291" s="47"/>
      <c r="E291" s="114">
        <v>145</v>
      </c>
      <c r="F291" s="52">
        <v>136</v>
      </c>
      <c r="G291" s="118"/>
      <c r="H291" s="122">
        <v>130</v>
      </c>
      <c r="I291" s="21"/>
      <c r="J291" s="231"/>
      <c r="K291" s="231"/>
      <c r="L291" s="231"/>
      <c r="M291" s="231"/>
      <c r="N291" s="231"/>
      <c r="O291" s="231"/>
      <c r="P291" s="231"/>
      <c r="Q291" s="231"/>
      <c r="R291" s="231"/>
      <c r="S291" s="231"/>
      <c r="T291" s="231"/>
      <c r="U291" s="231"/>
      <c r="V291" s="231"/>
      <c r="W291" s="231"/>
      <c r="X291" s="231"/>
      <c r="Y291" s="231"/>
      <c r="Z291" s="231"/>
      <c r="AA291" s="231"/>
      <c r="AB291" s="231"/>
      <c r="AC291" s="231"/>
      <c r="AD291" s="231"/>
      <c r="AE291" s="231"/>
      <c r="AF291" s="231"/>
      <c r="AG291" s="231"/>
      <c r="AH291" s="231"/>
      <c r="AI291" s="231"/>
      <c r="AJ291" s="231"/>
      <c r="AK291" s="231"/>
      <c r="AL291" s="231"/>
      <c r="AM291" s="231"/>
      <c r="AN291" s="231"/>
      <c r="AO291" s="231"/>
    </row>
    <row r="292" spans="1:41" s="203" customFormat="1">
      <c r="A292" s="809">
        <v>7</v>
      </c>
      <c r="B292" s="47" t="s">
        <v>222</v>
      </c>
      <c r="C292" s="47"/>
      <c r="D292" s="116"/>
      <c r="E292" s="114">
        <v>641</v>
      </c>
      <c r="F292" s="52">
        <v>636</v>
      </c>
      <c r="G292" s="118"/>
      <c r="H292" s="122">
        <v>658</v>
      </c>
      <c r="I292" s="21"/>
      <c r="J292" s="231"/>
      <c r="K292" s="231"/>
      <c r="L292" s="231"/>
      <c r="M292" s="231"/>
      <c r="N292" s="231"/>
      <c r="O292" s="231"/>
      <c r="P292" s="231"/>
      <c r="Q292" s="231"/>
      <c r="R292" s="231"/>
      <c r="S292" s="231"/>
      <c r="T292" s="231"/>
      <c r="U292" s="231"/>
      <c r="V292" s="231"/>
      <c r="W292" s="231"/>
      <c r="X292" s="231"/>
      <c r="Y292" s="231"/>
      <c r="Z292" s="231"/>
      <c r="AA292" s="231"/>
      <c r="AB292" s="231"/>
      <c r="AC292" s="231"/>
      <c r="AD292" s="231"/>
      <c r="AE292" s="231"/>
      <c r="AF292" s="231"/>
      <c r="AG292" s="231"/>
      <c r="AH292" s="231"/>
      <c r="AI292" s="231"/>
      <c r="AJ292" s="231"/>
      <c r="AK292" s="231"/>
      <c r="AL292" s="231"/>
      <c r="AM292" s="231"/>
      <c r="AN292" s="231"/>
      <c r="AO292" s="231"/>
    </row>
    <row r="293" spans="1:41" s="203" customFormat="1">
      <c r="A293" s="120">
        <v>8</v>
      </c>
      <c r="B293" s="47" t="s">
        <v>223</v>
      </c>
      <c r="C293" s="47"/>
      <c r="D293" s="116"/>
      <c r="E293" s="114">
        <v>786</v>
      </c>
      <c r="F293" s="52">
        <v>780</v>
      </c>
      <c r="G293" s="118"/>
      <c r="H293" s="122">
        <v>806</v>
      </c>
      <c r="I293" s="21"/>
      <c r="J293" s="231"/>
      <c r="K293" s="231"/>
      <c r="L293" s="231"/>
      <c r="M293" s="231"/>
      <c r="N293" s="231"/>
      <c r="O293" s="231"/>
      <c r="P293" s="231"/>
      <c r="Q293" s="231"/>
      <c r="R293" s="231"/>
      <c r="S293" s="231"/>
      <c r="T293" s="231"/>
      <c r="U293" s="231"/>
      <c r="V293" s="231"/>
      <c r="W293" s="231"/>
      <c r="X293" s="231"/>
      <c r="Y293" s="231"/>
      <c r="Z293" s="231"/>
      <c r="AA293" s="231"/>
      <c r="AB293" s="231"/>
      <c r="AC293" s="231"/>
      <c r="AD293" s="231"/>
      <c r="AE293" s="231"/>
      <c r="AF293" s="231"/>
      <c r="AG293" s="231"/>
      <c r="AH293" s="231"/>
      <c r="AI293" s="231"/>
      <c r="AJ293" s="231"/>
      <c r="AK293" s="231"/>
      <c r="AL293" s="231"/>
      <c r="AM293" s="231"/>
      <c r="AN293" s="231"/>
      <c r="AO293" s="231"/>
    </row>
    <row r="294" spans="1:41" s="203" customFormat="1">
      <c r="A294" s="809">
        <v>9</v>
      </c>
      <c r="B294" s="47" t="s">
        <v>224</v>
      </c>
      <c r="C294" s="47"/>
      <c r="D294" s="116"/>
      <c r="E294" s="114">
        <v>402</v>
      </c>
      <c r="F294" s="52">
        <v>398</v>
      </c>
      <c r="G294" s="118"/>
      <c r="H294" s="122">
        <v>413</v>
      </c>
      <c r="I294" s="21"/>
      <c r="J294" s="231"/>
      <c r="K294" s="231"/>
      <c r="L294" s="231"/>
      <c r="M294" s="231"/>
      <c r="N294" s="231"/>
      <c r="O294" s="231"/>
      <c r="P294" s="231"/>
      <c r="Q294" s="231"/>
      <c r="R294" s="231"/>
      <c r="S294" s="231"/>
      <c r="T294" s="231"/>
      <c r="U294" s="231"/>
      <c r="V294" s="231"/>
      <c r="W294" s="231"/>
      <c r="X294" s="231"/>
      <c r="Y294" s="231"/>
      <c r="Z294" s="231"/>
      <c r="AA294" s="231"/>
      <c r="AB294" s="231"/>
      <c r="AC294" s="231"/>
      <c r="AD294" s="231"/>
      <c r="AE294" s="231"/>
      <c r="AF294" s="231"/>
      <c r="AG294" s="231"/>
      <c r="AH294" s="231"/>
      <c r="AI294" s="231"/>
      <c r="AJ294" s="231"/>
      <c r="AK294" s="231"/>
      <c r="AL294" s="231"/>
      <c r="AM294" s="231"/>
      <c r="AN294" s="231"/>
      <c r="AO294" s="231"/>
    </row>
    <row r="295" spans="1:41" s="203" customFormat="1">
      <c r="A295" s="120">
        <v>10</v>
      </c>
      <c r="B295" s="47" t="s">
        <v>225</v>
      </c>
      <c r="C295" s="47"/>
      <c r="D295" s="47"/>
      <c r="E295" s="114">
        <v>700</v>
      </c>
      <c r="F295" s="52">
        <v>621</v>
      </c>
      <c r="G295" s="118"/>
      <c r="H295" s="122">
        <v>628</v>
      </c>
      <c r="I295" s="21"/>
      <c r="J295" s="231"/>
      <c r="K295" s="231"/>
      <c r="L295" s="231"/>
      <c r="M295" s="231"/>
      <c r="N295" s="231"/>
      <c r="O295" s="231"/>
      <c r="P295" s="231"/>
      <c r="Q295" s="231"/>
      <c r="R295" s="231"/>
      <c r="S295" s="231"/>
      <c r="T295" s="231"/>
      <c r="U295" s="231"/>
      <c r="V295" s="231"/>
      <c r="W295" s="231"/>
      <c r="X295" s="231"/>
      <c r="Y295" s="231"/>
      <c r="Z295" s="231"/>
      <c r="AA295" s="231"/>
      <c r="AB295" s="231"/>
      <c r="AC295" s="231"/>
      <c r="AD295" s="231"/>
      <c r="AE295" s="231"/>
      <c r="AF295" s="231"/>
      <c r="AG295" s="231"/>
      <c r="AH295" s="231"/>
      <c r="AI295" s="231"/>
      <c r="AJ295" s="231"/>
      <c r="AK295" s="231"/>
      <c r="AL295" s="231"/>
      <c r="AM295" s="231"/>
      <c r="AN295" s="231"/>
      <c r="AO295" s="231"/>
    </row>
    <row r="296" spans="1:41" s="203" customFormat="1">
      <c r="A296" s="809">
        <v>11</v>
      </c>
      <c r="B296" s="47" t="s">
        <v>226</v>
      </c>
      <c r="C296" s="47"/>
      <c r="D296" s="47"/>
      <c r="E296" s="114">
        <v>760</v>
      </c>
      <c r="F296" s="52">
        <v>710</v>
      </c>
      <c r="G296" s="118"/>
      <c r="H296" s="122">
        <v>678</v>
      </c>
      <c r="I296" s="21"/>
      <c r="J296" s="231"/>
      <c r="K296" s="231"/>
      <c r="L296" s="231"/>
      <c r="M296" s="231"/>
      <c r="N296" s="231"/>
      <c r="O296" s="231"/>
      <c r="P296" s="231"/>
      <c r="Q296" s="231"/>
      <c r="R296" s="231"/>
      <c r="S296" s="231"/>
      <c r="T296" s="231"/>
      <c r="U296" s="231"/>
      <c r="V296" s="231"/>
      <c r="W296" s="231"/>
      <c r="X296" s="231"/>
      <c r="Y296" s="231"/>
      <c r="Z296" s="231"/>
      <c r="AA296" s="231"/>
      <c r="AB296" s="231"/>
      <c r="AC296" s="231"/>
      <c r="AD296" s="231"/>
      <c r="AE296" s="231"/>
      <c r="AF296" s="231"/>
      <c r="AG296" s="231"/>
      <c r="AH296" s="231"/>
      <c r="AI296" s="231"/>
      <c r="AJ296" s="231"/>
      <c r="AK296" s="231"/>
      <c r="AL296" s="231"/>
      <c r="AM296" s="231"/>
      <c r="AN296" s="231"/>
      <c r="AO296" s="231"/>
    </row>
    <row r="297" spans="1:41" s="203" customFormat="1">
      <c r="A297" s="120">
        <v>12</v>
      </c>
      <c r="B297" s="47" t="s">
        <v>227</v>
      </c>
      <c r="C297" s="47"/>
      <c r="D297" s="47"/>
      <c r="E297" s="114">
        <v>-158</v>
      </c>
      <c r="F297" s="52">
        <v>-59</v>
      </c>
      <c r="G297" s="118"/>
      <c r="H297" s="122">
        <v>-240</v>
      </c>
      <c r="I297" s="21"/>
      <c r="J297" s="231"/>
      <c r="K297" s="231"/>
      <c r="L297" s="231"/>
      <c r="M297" s="231"/>
      <c r="N297" s="231"/>
      <c r="O297" s="231"/>
      <c r="P297" s="231"/>
      <c r="Q297" s="231"/>
      <c r="R297" s="231"/>
      <c r="S297" s="231"/>
      <c r="T297" s="231"/>
      <c r="U297" s="231"/>
      <c r="V297" s="231"/>
      <c r="W297" s="231"/>
      <c r="X297" s="231"/>
      <c r="Y297" s="231"/>
      <c r="Z297" s="231"/>
      <c r="AA297" s="231"/>
      <c r="AB297" s="231"/>
      <c r="AC297" s="231"/>
      <c r="AD297" s="231"/>
      <c r="AE297" s="231"/>
      <c r="AF297" s="231"/>
      <c r="AG297" s="231"/>
      <c r="AH297" s="231"/>
      <c r="AI297" s="231"/>
      <c r="AJ297" s="231"/>
      <c r="AK297" s="231"/>
      <c r="AL297" s="231"/>
      <c r="AM297" s="231"/>
      <c r="AN297" s="231"/>
      <c r="AO297" s="231"/>
    </row>
    <row r="298" spans="1:41" s="203" customFormat="1">
      <c r="A298" s="809">
        <v>13</v>
      </c>
      <c r="B298" s="47" t="s">
        <v>228</v>
      </c>
      <c r="C298" s="47"/>
      <c r="D298" s="47"/>
      <c r="E298" s="114">
        <v>7682</v>
      </c>
      <c r="F298" s="52">
        <v>7265</v>
      </c>
      <c r="G298" s="118"/>
      <c r="H298" s="122">
        <v>7265</v>
      </c>
      <c r="I298" s="21"/>
      <c r="J298" s="231"/>
      <c r="K298" s="231"/>
      <c r="L298" s="231"/>
      <c r="M298" s="231"/>
      <c r="N298" s="231"/>
      <c r="O298" s="231"/>
      <c r="P298" s="231"/>
      <c r="Q298" s="231"/>
      <c r="R298" s="231"/>
      <c r="S298" s="231"/>
      <c r="T298" s="231"/>
      <c r="U298" s="231"/>
      <c r="V298" s="231"/>
      <c r="W298" s="231"/>
      <c r="X298" s="231"/>
      <c r="Y298" s="231"/>
      <c r="Z298" s="231"/>
      <c r="AA298" s="231"/>
      <c r="AB298" s="231"/>
      <c r="AC298" s="231"/>
      <c r="AD298" s="231"/>
      <c r="AE298" s="231"/>
      <c r="AF298" s="231"/>
      <c r="AG298" s="231"/>
      <c r="AH298" s="231"/>
      <c r="AI298" s="231"/>
      <c r="AJ298" s="231"/>
      <c r="AK298" s="231"/>
      <c r="AL298" s="231"/>
      <c r="AM298" s="231"/>
      <c r="AN298" s="231"/>
      <c r="AO298" s="231"/>
    </row>
    <row r="299" spans="1:41" s="203" customFormat="1">
      <c r="A299" s="120">
        <v>14</v>
      </c>
      <c r="B299" s="47" t="s">
        <v>229</v>
      </c>
      <c r="C299" s="47"/>
      <c r="D299" s="116"/>
      <c r="E299" s="114">
        <v>0</v>
      </c>
      <c r="F299" s="52">
        <v>0</v>
      </c>
      <c r="G299" s="118"/>
      <c r="H299" s="122">
        <v>0</v>
      </c>
      <c r="I299" s="21"/>
      <c r="J299" s="231"/>
      <c r="K299" s="231"/>
      <c r="L299" s="231"/>
      <c r="M299" s="231"/>
      <c r="N299" s="231"/>
      <c r="O299" s="231"/>
      <c r="P299" s="231"/>
      <c r="Q299" s="231"/>
      <c r="R299" s="231"/>
      <c r="S299" s="231"/>
      <c r="T299" s="231"/>
      <c r="U299" s="231"/>
      <c r="V299" s="231"/>
      <c r="W299" s="231"/>
      <c r="X299" s="231"/>
      <c r="Y299" s="231"/>
      <c r="Z299" s="231"/>
      <c r="AA299" s="231"/>
      <c r="AB299" s="231"/>
      <c r="AC299" s="231"/>
      <c r="AD299" s="231"/>
      <c r="AE299" s="231"/>
      <c r="AF299" s="231"/>
      <c r="AG299" s="231"/>
      <c r="AH299" s="231"/>
      <c r="AI299" s="231"/>
      <c r="AJ299" s="231"/>
      <c r="AK299" s="231"/>
      <c r="AL299" s="231"/>
      <c r="AM299" s="231"/>
      <c r="AN299" s="231"/>
      <c r="AO299" s="231"/>
    </row>
    <row r="300" spans="1:41" s="203" customFormat="1">
      <c r="A300" s="809">
        <v>15</v>
      </c>
      <c r="B300" s="47" t="s">
        <v>230</v>
      </c>
      <c r="C300" s="47"/>
      <c r="D300" s="116"/>
      <c r="E300" s="114">
        <v>0</v>
      </c>
      <c r="F300" s="52">
        <v>0</v>
      </c>
      <c r="G300" s="118"/>
      <c r="H300" s="122">
        <v>0</v>
      </c>
      <c r="I300" s="21"/>
      <c r="J300" s="231"/>
      <c r="K300" s="231"/>
      <c r="L300" s="231"/>
      <c r="M300" s="231"/>
      <c r="N300" s="231"/>
      <c r="O300" s="231"/>
      <c r="P300" s="231"/>
      <c r="Q300" s="231"/>
      <c r="R300" s="231"/>
      <c r="S300" s="231"/>
      <c r="T300" s="231"/>
      <c r="U300" s="231"/>
      <c r="V300" s="231"/>
      <c r="W300" s="231"/>
      <c r="X300" s="231"/>
      <c r="Y300" s="231"/>
      <c r="Z300" s="231"/>
      <c r="AA300" s="231"/>
      <c r="AB300" s="231"/>
      <c r="AC300" s="231"/>
      <c r="AD300" s="231"/>
      <c r="AE300" s="231"/>
      <c r="AF300" s="231"/>
      <c r="AG300" s="231"/>
      <c r="AH300" s="231"/>
      <c r="AI300" s="231"/>
      <c r="AJ300" s="231"/>
      <c r="AK300" s="231"/>
      <c r="AL300" s="231"/>
      <c r="AM300" s="231"/>
      <c r="AN300" s="231"/>
      <c r="AO300" s="231"/>
    </row>
    <row r="301" spans="1:41" s="203" customFormat="1">
      <c r="A301" s="120">
        <v>17</v>
      </c>
      <c r="B301" s="47" t="s">
        <v>231</v>
      </c>
      <c r="C301" s="47"/>
      <c r="D301" s="47"/>
      <c r="E301" s="114">
        <v>4499</v>
      </c>
      <c r="F301" s="52">
        <f>2689+1</f>
        <v>2690</v>
      </c>
      <c r="G301" s="118"/>
      <c r="H301" s="99">
        <f>4276-1</f>
        <v>4275</v>
      </c>
      <c r="I301" s="21"/>
      <c r="J301" s="231"/>
      <c r="K301" s="231"/>
      <c r="L301" s="231"/>
      <c r="M301" s="231"/>
      <c r="N301" s="231"/>
      <c r="O301" s="231"/>
      <c r="P301" s="231"/>
      <c r="Q301" s="231"/>
      <c r="R301" s="231"/>
      <c r="S301" s="231"/>
      <c r="T301" s="231"/>
      <c r="U301" s="231"/>
      <c r="V301" s="231"/>
      <c r="W301" s="231"/>
      <c r="X301" s="231"/>
      <c r="Y301" s="231"/>
      <c r="Z301" s="231"/>
      <c r="AA301" s="231"/>
      <c r="AB301" s="231"/>
      <c r="AC301" s="231"/>
      <c r="AD301" s="231"/>
      <c r="AE301" s="231"/>
      <c r="AF301" s="231"/>
      <c r="AG301" s="231"/>
      <c r="AH301" s="231"/>
      <c r="AI301" s="231"/>
      <c r="AJ301" s="231"/>
      <c r="AK301" s="231"/>
      <c r="AL301" s="231"/>
      <c r="AM301" s="231"/>
      <c r="AN301" s="231"/>
      <c r="AO301" s="231"/>
    </row>
    <row r="302" spans="1:41" s="203" customFormat="1">
      <c r="A302" s="810">
        <v>18</v>
      </c>
      <c r="B302" s="94" t="s">
        <v>232</v>
      </c>
      <c r="C302" s="94"/>
      <c r="D302" s="94"/>
      <c r="E302" s="159">
        <v>16678</v>
      </c>
      <c r="F302" s="61">
        <f>SUM(F286:F301)</f>
        <v>14032</v>
      </c>
      <c r="G302" s="118"/>
      <c r="H302" s="61">
        <f>SUM(H286:H301)</f>
        <v>15760</v>
      </c>
      <c r="I302" s="21"/>
      <c r="J302" s="231"/>
      <c r="K302" s="231"/>
      <c r="L302" s="231"/>
      <c r="M302" s="231"/>
      <c r="N302" s="231"/>
      <c r="O302" s="231"/>
      <c r="P302" s="231"/>
      <c r="Q302" s="231"/>
      <c r="R302" s="231"/>
      <c r="S302" s="231"/>
      <c r="T302" s="231"/>
      <c r="U302" s="231"/>
      <c r="V302" s="231"/>
      <c r="W302" s="231"/>
      <c r="X302" s="231"/>
      <c r="Y302" s="231"/>
      <c r="Z302" s="231"/>
      <c r="AA302" s="231"/>
      <c r="AB302" s="231"/>
      <c r="AC302" s="231"/>
      <c r="AD302" s="231"/>
      <c r="AE302" s="231"/>
      <c r="AF302" s="231"/>
      <c r="AG302" s="231"/>
      <c r="AH302" s="231"/>
      <c r="AI302" s="231"/>
      <c r="AJ302" s="231"/>
      <c r="AK302" s="231"/>
      <c r="AL302" s="231"/>
      <c r="AM302" s="231"/>
      <c r="AN302" s="231"/>
      <c r="AO302" s="231"/>
    </row>
    <row r="303" spans="1:41" s="203" customFormat="1">
      <c r="A303" s="179"/>
      <c r="B303" s="180"/>
      <c r="C303" s="180"/>
      <c r="D303" s="181"/>
      <c r="E303" s="182"/>
      <c r="F303" s="183"/>
      <c r="G303" s="21"/>
      <c r="H303" s="183"/>
      <c r="I303" s="21"/>
      <c r="J303" s="231"/>
      <c r="K303" s="231"/>
      <c r="L303" s="231"/>
      <c r="M303" s="231"/>
      <c r="N303" s="231"/>
      <c r="O303" s="231"/>
      <c r="P303" s="231"/>
      <c r="Q303" s="231"/>
      <c r="R303" s="231"/>
      <c r="S303" s="231"/>
      <c r="T303" s="231"/>
      <c r="U303" s="231"/>
      <c r="V303" s="231"/>
      <c r="W303" s="231"/>
      <c r="X303" s="231"/>
      <c r="Y303" s="231"/>
      <c r="Z303" s="231"/>
      <c r="AA303" s="231"/>
      <c r="AB303" s="231"/>
      <c r="AC303" s="231"/>
      <c r="AD303" s="231"/>
      <c r="AE303" s="231"/>
      <c r="AF303" s="231"/>
      <c r="AG303" s="231"/>
      <c r="AH303" s="231"/>
      <c r="AI303" s="231"/>
      <c r="AJ303" s="231"/>
      <c r="AK303" s="231"/>
      <c r="AL303" s="231"/>
      <c r="AM303" s="231"/>
      <c r="AN303" s="231"/>
      <c r="AO303" s="231"/>
    </row>
    <row r="304" spans="1:41" s="203" customFormat="1">
      <c r="A304" s="184"/>
      <c r="B304" s="207"/>
      <c r="C304" s="207"/>
      <c r="D304" s="209"/>
      <c r="E304" s="185"/>
      <c r="F304" s="207"/>
      <c r="G304" s="207"/>
      <c r="H304" s="131" t="s">
        <v>27</v>
      </c>
      <c r="I304" s="21"/>
      <c r="J304" s="231"/>
      <c r="K304" s="231"/>
      <c r="L304" s="231"/>
      <c r="M304" s="231"/>
      <c r="N304" s="231"/>
      <c r="O304" s="231"/>
      <c r="P304" s="231"/>
      <c r="Q304" s="231"/>
      <c r="R304" s="231"/>
      <c r="S304" s="231"/>
      <c r="T304" s="231"/>
      <c r="U304" s="231"/>
      <c r="V304" s="231"/>
      <c r="W304" s="231"/>
      <c r="X304" s="231"/>
      <c r="Y304" s="231"/>
      <c r="Z304" s="231"/>
      <c r="AA304" s="231"/>
      <c r="AB304" s="231"/>
      <c r="AC304" s="231"/>
      <c r="AD304" s="231"/>
      <c r="AE304" s="231"/>
      <c r="AF304" s="231"/>
      <c r="AG304" s="231"/>
      <c r="AH304" s="231"/>
      <c r="AI304" s="231"/>
      <c r="AJ304" s="231"/>
      <c r="AK304" s="231"/>
      <c r="AL304" s="231"/>
      <c r="AM304" s="231"/>
      <c r="AN304" s="231"/>
      <c r="AO304" s="231"/>
    </row>
    <row r="305" spans="1:41" s="203" customFormat="1" ht="12.75" customHeight="1">
      <c r="A305" s="106" t="s">
        <v>21</v>
      </c>
      <c r="B305" s="164"/>
      <c r="C305" s="164"/>
      <c r="D305" s="164"/>
      <c r="E305" s="856" t="s">
        <v>377</v>
      </c>
      <c r="F305" s="856" t="s">
        <v>402</v>
      </c>
      <c r="G305" s="130"/>
      <c r="H305" s="856" t="s">
        <v>403</v>
      </c>
      <c r="I305" s="21"/>
      <c r="J305" s="231"/>
      <c r="K305" s="231"/>
      <c r="L305" s="231"/>
      <c r="M305" s="231"/>
      <c r="N305" s="231"/>
      <c r="O305" s="231"/>
      <c r="P305" s="231"/>
      <c r="Q305" s="231"/>
      <c r="R305" s="231"/>
      <c r="S305" s="231"/>
      <c r="T305" s="231"/>
      <c r="U305" s="231"/>
      <c r="V305" s="231"/>
      <c r="W305" s="231"/>
      <c r="X305" s="231"/>
      <c r="Y305" s="231"/>
      <c r="Z305" s="231"/>
      <c r="AA305" s="231"/>
      <c r="AB305" s="231"/>
      <c r="AC305" s="231"/>
      <c r="AD305" s="231"/>
      <c r="AE305" s="231"/>
      <c r="AF305" s="231"/>
      <c r="AG305" s="231"/>
      <c r="AH305" s="231"/>
      <c r="AI305" s="231"/>
      <c r="AJ305" s="231"/>
      <c r="AK305" s="231"/>
      <c r="AL305" s="231"/>
      <c r="AM305" s="231"/>
      <c r="AN305" s="231"/>
      <c r="AO305" s="231"/>
    </row>
    <row r="306" spans="1:41" s="203" customFormat="1">
      <c r="A306" s="165"/>
      <c r="B306" s="47"/>
      <c r="C306" s="47"/>
      <c r="D306" s="47"/>
      <c r="E306" s="859"/>
      <c r="F306" s="859"/>
      <c r="G306" s="130"/>
      <c r="H306" s="859"/>
      <c r="I306" s="21"/>
      <c r="J306" s="231"/>
      <c r="K306" s="231"/>
      <c r="L306" s="231"/>
      <c r="M306" s="231"/>
      <c r="N306" s="231"/>
      <c r="O306" s="231"/>
      <c r="P306" s="231"/>
      <c r="Q306" s="231"/>
      <c r="R306" s="231"/>
      <c r="S306" s="231"/>
      <c r="T306" s="231"/>
      <c r="U306" s="231"/>
      <c r="V306" s="231"/>
      <c r="W306" s="231"/>
      <c r="X306" s="231"/>
      <c r="Y306" s="231"/>
      <c r="Z306" s="231"/>
      <c r="AA306" s="231"/>
      <c r="AB306" s="231"/>
      <c r="AC306" s="231"/>
      <c r="AD306" s="231"/>
      <c r="AE306" s="231"/>
      <c r="AF306" s="231"/>
      <c r="AG306" s="231"/>
      <c r="AH306" s="231"/>
      <c r="AI306" s="231"/>
      <c r="AJ306" s="231"/>
      <c r="AK306" s="231"/>
      <c r="AL306" s="231"/>
      <c r="AM306" s="231"/>
      <c r="AN306" s="231"/>
      <c r="AO306" s="231"/>
    </row>
    <row r="307" spans="1:41" s="203" customFormat="1" ht="12.75" customHeight="1">
      <c r="A307" s="109"/>
      <c r="B307" s="174"/>
      <c r="C307" s="174"/>
      <c r="D307" s="174"/>
      <c r="E307" s="859"/>
      <c r="F307" s="859"/>
      <c r="G307" s="130"/>
      <c r="H307" s="859"/>
      <c r="I307" s="21"/>
      <c r="J307" s="231"/>
      <c r="K307" s="231"/>
      <c r="L307" s="231"/>
      <c r="M307" s="231"/>
      <c r="N307" s="231"/>
      <c r="O307" s="231"/>
      <c r="P307" s="231"/>
      <c r="Q307" s="231"/>
      <c r="R307" s="231"/>
      <c r="S307" s="231"/>
      <c r="T307" s="231"/>
      <c r="U307" s="231"/>
      <c r="V307" s="231"/>
      <c r="W307" s="231"/>
      <c r="X307" s="231"/>
      <c r="Y307" s="231"/>
      <c r="Z307" s="231"/>
      <c r="AA307" s="231"/>
      <c r="AB307" s="231"/>
      <c r="AC307" s="231"/>
      <c r="AD307" s="231"/>
      <c r="AE307" s="231"/>
      <c r="AF307" s="231"/>
      <c r="AG307" s="231"/>
      <c r="AH307" s="231"/>
      <c r="AI307" s="231"/>
      <c r="AJ307" s="231"/>
      <c r="AK307" s="231"/>
      <c r="AL307" s="231"/>
      <c r="AM307" s="231"/>
      <c r="AN307" s="231"/>
      <c r="AO307" s="231"/>
    </row>
    <row r="308" spans="1:41" s="203" customFormat="1">
      <c r="A308" s="154" t="s">
        <v>233</v>
      </c>
      <c r="B308" s="47"/>
      <c r="C308" s="47"/>
      <c r="D308" s="47"/>
      <c r="E308" s="859"/>
      <c r="F308" s="859"/>
      <c r="G308" s="130"/>
      <c r="H308" s="859"/>
      <c r="I308" s="21"/>
      <c r="J308" s="231"/>
      <c r="K308" s="231"/>
      <c r="L308" s="231"/>
      <c r="M308" s="231"/>
      <c r="N308" s="231"/>
      <c r="O308" s="231"/>
      <c r="P308" s="231"/>
      <c r="Q308" s="231"/>
      <c r="R308" s="231"/>
      <c r="S308" s="231"/>
      <c r="T308" s="231"/>
      <c r="U308" s="231"/>
      <c r="V308" s="231"/>
      <c r="W308" s="231"/>
      <c r="X308" s="231"/>
      <c r="Y308" s="231"/>
      <c r="Z308" s="231"/>
      <c r="AA308" s="231"/>
      <c r="AB308" s="231"/>
      <c r="AC308" s="231"/>
      <c r="AD308" s="231"/>
      <c r="AE308" s="231"/>
      <c r="AF308" s="231"/>
      <c r="AG308" s="231"/>
      <c r="AH308" s="231"/>
      <c r="AI308" s="231"/>
      <c r="AJ308" s="231"/>
      <c r="AK308" s="231"/>
      <c r="AL308" s="231"/>
      <c r="AM308" s="231"/>
      <c r="AN308" s="231"/>
      <c r="AO308" s="231"/>
    </row>
    <row r="309" spans="1:41" s="203" customFormat="1">
      <c r="A309" s="109" t="s">
        <v>83</v>
      </c>
      <c r="B309" s="174"/>
      <c r="C309" s="174"/>
      <c r="D309" s="174"/>
      <c r="E309" s="860"/>
      <c r="F309" s="860"/>
      <c r="G309" s="130"/>
      <c r="H309" s="860"/>
      <c r="I309" s="21"/>
      <c r="J309" s="231"/>
      <c r="K309" s="231"/>
      <c r="L309" s="231"/>
      <c r="M309" s="231"/>
      <c r="N309" s="231"/>
      <c r="O309" s="231"/>
      <c r="P309" s="231"/>
      <c r="Q309" s="231"/>
      <c r="R309" s="231"/>
      <c r="S309" s="231"/>
      <c r="T309" s="231"/>
      <c r="U309" s="231"/>
      <c r="V309" s="231"/>
      <c r="W309" s="231"/>
      <c r="X309" s="231"/>
      <c r="Y309" s="231"/>
      <c r="Z309" s="231"/>
      <c r="AA309" s="231"/>
      <c r="AB309" s="231"/>
      <c r="AC309" s="231"/>
      <c r="AD309" s="231"/>
      <c r="AE309" s="231"/>
      <c r="AF309" s="231"/>
      <c r="AG309" s="231"/>
      <c r="AH309" s="231"/>
      <c r="AI309" s="231"/>
      <c r="AJ309" s="231"/>
      <c r="AK309" s="231"/>
      <c r="AL309" s="231"/>
      <c r="AM309" s="231"/>
      <c r="AN309" s="231"/>
      <c r="AO309" s="231"/>
    </row>
    <row r="310" spans="1:41" s="203" customFormat="1">
      <c r="A310" s="110" t="s">
        <v>84</v>
      </c>
      <c r="B310" s="116"/>
      <c r="C310" s="116"/>
      <c r="D310" s="116"/>
      <c r="E310" s="262"/>
      <c r="F310" s="146"/>
      <c r="G310" s="118"/>
      <c r="H310" s="146"/>
      <c r="I310" s="21"/>
      <c r="J310" s="231"/>
      <c r="K310" s="231"/>
      <c r="L310" s="231"/>
      <c r="M310" s="231"/>
      <c r="N310" s="231"/>
      <c r="O310" s="231"/>
      <c r="P310" s="231"/>
      <c r="Q310" s="231"/>
      <c r="R310" s="231"/>
      <c r="S310" s="231"/>
      <c r="T310" s="231"/>
      <c r="U310" s="231"/>
      <c r="V310" s="231"/>
      <c r="W310" s="231"/>
      <c r="X310" s="231"/>
      <c r="Y310" s="231"/>
      <c r="Z310" s="231"/>
      <c r="AA310" s="231"/>
      <c r="AB310" s="231"/>
      <c r="AC310" s="231"/>
      <c r="AD310" s="231"/>
      <c r="AE310" s="231"/>
      <c r="AF310" s="231"/>
      <c r="AG310" s="231"/>
      <c r="AH310" s="231"/>
      <c r="AI310" s="231"/>
      <c r="AJ310" s="231"/>
      <c r="AK310" s="231"/>
      <c r="AL310" s="231"/>
      <c r="AM310" s="231"/>
      <c r="AN310" s="231"/>
      <c r="AO310" s="231"/>
    </row>
    <row r="311" spans="1:41" s="203" customFormat="1">
      <c r="A311" s="120">
        <v>1</v>
      </c>
      <c r="B311" s="47" t="s">
        <v>258</v>
      </c>
      <c r="C311" s="47"/>
      <c r="D311" s="186"/>
      <c r="E311" s="74">
        <v>-11459</v>
      </c>
      <c r="F311" s="52">
        <v>-9693</v>
      </c>
      <c r="G311" s="43"/>
      <c r="H311" s="52">
        <v>-12318</v>
      </c>
      <c r="I311" s="21"/>
      <c r="J311" s="231"/>
      <c r="K311" s="231"/>
      <c r="L311" s="231"/>
      <c r="M311" s="231"/>
      <c r="N311" s="231"/>
      <c r="O311" s="231"/>
      <c r="P311" s="231"/>
      <c r="Q311" s="231"/>
      <c r="R311" s="231"/>
      <c r="S311" s="231"/>
      <c r="T311" s="231"/>
      <c r="U311" s="231"/>
      <c r="V311" s="231"/>
      <c r="W311" s="231"/>
      <c r="X311" s="231"/>
      <c r="Y311" s="231"/>
      <c r="Z311" s="231"/>
      <c r="AA311" s="231"/>
      <c r="AB311" s="231"/>
      <c r="AC311" s="231"/>
      <c r="AD311" s="231"/>
      <c r="AE311" s="231"/>
      <c r="AF311" s="231"/>
      <c r="AG311" s="231"/>
      <c r="AH311" s="231"/>
      <c r="AI311" s="231"/>
      <c r="AJ311" s="231"/>
      <c r="AK311" s="231"/>
      <c r="AL311" s="231"/>
      <c r="AM311" s="231"/>
      <c r="AN311" s="231"/>
      <c r="AO311" s="231"/>
    </row>
    <row r="312" spans="1:41" s="203" customFormat="1">
      <c r="A312" s="120">
        <v>2</v>
      </c>
      <c r="B312" s="47" t="s">
        <v>234</v>
      </c>
      <c r="C312" s="47"/>
      <c r="D312" s="186"/>
      <c r="E312" s="114">
        <v>0</v>
      </c>
      <c r="F312" s="52">
        <v>0</v>
      </c>
      <c r="G312" s="43"/>
      <c r="H312" s="52">
        <v>0</v>
      </c>
      <c r="I312" s="21"/>
      <c r="J312" s="231"/>
      <c r="K312" s="231"/>
      <c r="L312" s="231"/>
      <c r="M312" s="231"/>
      <c r="N312" s="231"/>
      <c r="O312" s="231"/>
      <c r="P312" s="231"/>
      <c r="Q312" s="231"/>
      <c r="R312" s="231"/>
      <c r="S312" s="231"/>
      <c r="T312" s="231"/>
      <c r="U312" s="231"/>
      <c r="V312" s="231"/>
      <c r="W312" s="231"/>
      <c r="X312" s="231"/>
      <c r="Y312" s="231"/>
      <c r="Z312" s="231"/>
      <c r="AA312" s="231"/>
      <c r="AB312" s="231"/>
      <c r="AC312" s="231"/>
      <c r="AD312" s="231"/>
      <c r="AE312" s="231"/>
      <c r="AF312" s="231"/>
      <c r="AG312" s="231"/>
      <c r="AH312" s="231"/>
      <c r="AI312" s="231"/>
      <c r="AJ312" s="231"/>
      <c r="AK312" s="231"/>
      <c r="AL312" s="231"/>
      <c r="AM312" s="231"/>
      <c r="AN312" s="231"/>
      <c r="AO312" s="231"/>
    </row>
    <row r="313" spans="1:41" s="203" customFormat="1">
      <c r="A313" s="120">
        <v>3</v>
      </c>
      <c r="B313" s="47" t="s">
        <v>259</v>
      </c>
      <c r="C313" s="47"/>
      <c r="D313" s="186"/>
      <c r="E313" s="114">
        <v>0</v>
      </c>
      <c r="F313" s="52">
        <v>0</v>
      </c>
      <c r="G313" s="43"/>
      <c r="H313" s="52">
        <v>0</v>
      </c>
      <c r="I313" s="21"/>
      <c r="J313" s="231"/>
      <c r="K313" s="231"/>
      <c r="L313" s="231"/>
      <c r="M313" s="231"/>
      <c r="N313" s="231"/>
      <c r="O313" s="231"/>
      <c r="P313" s="231"/>
      <c r="Q313" s="231"/>
      <c r="R313" s="231"/>
      <c r="S313" s="231"/>
      <c r="T313" s="231"/>
      <c r="U313" s="231"/>
      <c r="V313" s="231"/>
      <c r="W313" s="231"/>
      <c r="X313" s="231"/>
      <c r="Y313" s="231"/>
      <c r="Z313" s="231"/>
      <c r="AA313" s="231"/>
      <c r="AB313" s="231"/>
      <c r="AC313" s="231"/>
      <c r="AD313" s="231"/>
      <c r="AE313" s="231"/>
      <c r="AF313" s="231"/>
      <c r="AG313" s="231"/>
      <c r="AH313" s="231"/>
      <c r="AI313" s="231"/>
      <c r="AJ313" s="231"/>
      <c r="AK313" s="231"/>
      <c r="AL313" s="231"/>
      <c r="AM313" s="231"/>
      <c r="AN313" s="231"/>
      <c r="AO313" s="231"/>
    </row>
    <row r="314" spans="1:41" s="203" customFormat="1">
      <c r="A314" s="120">
        <v>4</v>
      </c>
      <c r="B314" s="47" t="s">
        <v>235</v>
      </c>
      <c r="C314" s="47"/>
      <c r="D314" s="186"/>
      <c r="E314" s="114">
        <v>57772</v>
      </c>
      <c r="F314" s="52">
        <v>19867</v>
      </c>
      <c r="G314" s="43"/>
      <c r="H314" s="52">
        <v>21683</v>
      </c>
      <c r="I314" s="21"/>
      <c r="J314" s="231"/>
      <c r="K314" s="231"/>
      <c r="L314" s="231"/>
      <c r="M314" s="231"/>
      <c r="N314" s="231"/>
      <c r="O314" s="231"/>
      <c r="P314" s="231"/>
      <c r="Q314" s="231"/>
      <c r="R314" s="231"/>
      <c r="S314" s="231"/>
      <c r="T314" s="231"/>
      <c r="U314" s="231"/>
      <c r="V314" s="231"/>
      <c r="W314" s="231"/>
      <c r="X314" s="231"/>
      <c r="Y314" s="231"/>
      <c r="Z314" s="231"/>
      <c r="AA314" s="231"/>
      <c r="AB314" s="231"/>
      <c r="AC314" s="231"/>
      <c r="AD314" s="231"/>
      <c r="AE314" s="231"/>
      <c r="AF314" s="231"/>
      <c r="AG314" s="231"/>
      <c r="AH314" s="231"/>
      <c r="AI314" s="231"/>
      <c r="AJ314" s="231"/>
      <c r="AK314" s="231"/>
      <c r="AL314" s="231"/>
      <c r="AM314" s="231"/>
      <c r="AN314" s="231"/>
      <c r="AO314" s="231"/>
    </row>
    <row r="315" spans="1:41" s="203" customFormat="1">
      <c r="A315" s="120">
        <v>5</v>
      </c>
      <c r="B315" s="47" t="s">
        <v>236</v>
      </c>
      <c r="C315" s="47"/>
      <c r="D315" s="186"/>
      <c r="E315" s="114">
        <v>7196</v>
      </c>
      <c r="F315" s="52">
        <v>7196</v>
      </c>
      <c r="G315" s="187"/>
      <c r="H315" s="52">
        <v>7460</v>
      </c>
      <c r="I315" s="21"/>
      <c r="J315" s="231"/>
      <c r="K315" s="231"/>
      <c r="L315" s="231"/>
      <c r="M315" s="231"/>
      <c r="N315" s="231"/>
      <c r="O315" s="231"/>
      <c r="P315" s="231"/>
      <c r="Q315" s="231"/>
      <c r="R315" s="231"/>
      <c r="S315" s="231"/>
      <c r="T315" s="231"/>
      <c r="U315" s="231"/>
      <c r="V315" s="231"/>
      <c r="W315" s="231"/>
      <c r="X315" s="231"/>
      <c r="Y315" s="231"/>
      <c r="Z315" s="231"/>
      <c r="AA315" s="231"/>
      <c r="AB315" s="231"/>
      <c r="AC315" s="231"/>
      <c r="AD315" s="231"/>
      <c r="AE315" s="231"/>
      <c r="AF315" s="231"/>
      <c r="AG315" s="231"/>
      <c r="AH315" s="231"/>
      <c r="AI315" s="231"/>
      <c r="AJ315" s="231"/>
      <c r="AK315" s="231"/>
      <c r="AL315" s="231"/>
      <c r="AM315" s="231"/>
      <c r="AN315" s="231"/>
      <c r="AO315" s="231"/>
    </row>
    <row r="316" spans="1:41" s="203" customFormat="1">
      <c r="A316" s="120">
        <v>6</v>
      </c>
      <c r="B316" s="47" t="s">
        <v>237</v>
      </c>
      <c r="C316" s="47"/>
      <c r="D316" s="186"/>
      <c r="E316" s="114">
        <v>17145</v>
      </c>
      <c r="F316" s="52">
        <v>48349</v>
      </c>
      <c r="G316" s="43"/>
      <c r="H316" s="52">
        <v>49205</v>
      </c>
      <c r="I316" s="21"/>
      <c r="J316" s="231"/>
      <c r="K316" s="231"/>
      <c r="L316" s="231"/>
      <c r="M316" s="231"/>
      <c r="N316" s="231"/>
      <c r="O316" s="231"/>
      <c r="P316" s="231"/>
      <c r="Q316" s="231"/>
      <c r="R316" s="231"/>
      <c r="S316" s="231"/>
      <c r="T316" s="231"/>
      <c r="U316" s="231"/>
      <c r="V316" s="231"/>
      <c r="W316" s="231"/>
      <c r="X316" s="231"/>
      <c r="Y316" s="231"/>
      <c r="Z316" s="231"/>
      <c r="AA316" s="231"/>
      <c r="AB316" s="231"/>
      <c r="AC316" s="231"/>
      <c r="AD316" s="231"/>
      <c r="AE316" s="231"/>
      <c r="AF316" s="231"/>
      <c r="AG316" s="231"/>
      <c r="AH316" s="231"/>
      <c r="AI316" s="231"/>
      <c r="AJ316" s="231"/>
      <c r="AK316" s="231"/>
      <c r="AL316" s="231"/>
      <c r="AM316" s="231"/>
      <c r="AN316" s="231"/>
      <c r="AO316" s="231"/>
    </row>
    <row r="317" spans="1:41" s="203" customFormat="1">
      <c r="A317" s="120">
        <v>7</v>
      </c>
      <c r="B317" s="47" t="s">
        <v>238</v>
      </c>
      <c r="C317" s="47"/>
      <c r="D317" s="186"/>
      <c r="E317" s="114">
        <v>0</v>
      </c>
      <c r="F317" s="52">
        <v>0</v>
      </c>
      <c r="G317" s="43"/>
      <c r="H317" s="52">
        <v>0</v>
      </c>
      <c r="I317" s="21"/>
      <c r="J317" s="231"/>
      <c r="K317" s="231"/>
      <c r="L317" s="231"/>
      <c r="M317" s="231"/>
      <c r="N317" s="231"/>
      <c r="O317" s="231"/>
      <c r="P317" s="231"/>
      <c r="Q317" s="231"/>
      <c r="R317" s="231"/>
      <c r="S317" s="231"/>
      <c r="T317" s="231"/>
      <c r="U317" s="231"/>
      <c r="V317" s="231"/>
      <c r="W317" s="231"/>
      <c r="X317" s="231"/>
      <c r="Y317" s="231"/>
      <c r="Z317" s="231"/>
      <c r="AA317" s="231"/>
      <c r="AB317" s="231"/>
      <c r="AC317" s="231"/>
      <c r="AD317" s="231"/>
      <c r="AE317" s="231"/>
      <c r="AF317" s="231"/>
      <c r="AG317" s="231"/>
      <c r="AH317" s="231"/>
      <c r="AI317" s="231"/>
      <c r="AJ317" s="231"/>
      <c r="AK317" s="231"/>
      <c r="AL317" s="231"/>
      <c r="AM317" s="231"/>
      <c r="AN317" s="231"/>
      <c r="AO317" s="231"/>
    </row>
    <row r="318" spans="1:41" s="203" customFormat="1">
      <c r="A318" s="120">
        <v>8</v>
      </c>
      <c r="B318" s="47" t="s">
        <v>239</v>
      </c>
      <c r="C318" s="47"/>
      <c r="D318" s="186"/>
      <c r="E318" s="114">
        <v>0</v>
      </c>
      <c r="F318" s="52">
        <v>555</v>
      </c>
      <c r="G318" s="43"/>
      <c r="H318" s="52">
        <v>545</v>
      </c>
      <c r="I318" s="21"/>
      <c r="J318" s="231"/>
      <c r="K318" s="231"/>
      <c r="L318" s="231"/>
      <c r="M318" s="231"/>
      <c r="N318" s="231"/>
      <c r="O318" s="231"/>
      <c r="P318" s="231"/>
      <c r="Q318" s="231"/>
      <c r="R318" s="231"/>
      <c r="S318" s="231"/>
      <c r="T318" s="231"/>
      <c r="U318" s="231"/>
      <c r="V318" s="231"/>
      <c r="W318" s="231"/>
      <c r="X318" s="231"/>
      <c r="Y318" s="231"/>
      <c r="Z318" s="231"/>
      <c r="AA318" s="231"/>
      <c r="AB318" s="231"/>
      <c r="AC318" s="231"/>
      <c r="AD318" s="231"/>
      <c r="AE318" s="231"/>
      <c r="AF318" s="231"/>
      <c r="AG318" s="231"/>
      <c r="AH318" s="231"/>
      <c r="AI318" s="231"/>
      <c r="AJ318" s="231"/>
      <c r="AK318" s="231"/>
      <c r="AL318" s="231"/>
      <c r="AM318" s="231"/>
      <c r="AN318" s="231"/>
      <c r="AO318" s="231"/>
    </row>
    <row r="319" spans="1:41" s="203" customFormat="1">
      <c r="A319" s="809">
        <v>9</v>
      </c>
      <c r="B319" s="90" t="s">
        <v>260</v>
      </c>
      <c r="C319" s="47"/>
      <c r="D319" s="47"/>
      <c r="E319" s="114">
        <v>0</v>
      </c>
      <c r="F319" s="188"/>
      <c r="G319" s="43"/>
      <c r="H319" s="189">
        <v>0</v>
      </c>
      <c r="I319" s="21"/>
      <c r="J319" s="231"/>
      <c r="K319" s="231"/>
      <c r="L319" s="231"/>
      <c r="M319" s="231"/>
      <c r="N319" s="231"/>
      <c r="O319" s="231"/>
      <c r="P319" s="231"/>
      <c r="Q319" s="231"/>
      <c r="R319" s="231"/>
      <c r="S319" s="231"/>
      <c r="T319" s="231"/>
      <c r="U319" s="231"/>
      <c r="V319" s="231"/>
      <c r="W319" s="231"/>
      <c r="X319" s="231"/>
      <c r="Y319" s="231"/>
      <c r="Z319" s="231"/>
      <c r="AA319" s="231"/>
      <c r="AB319" s="231"/>
      <c r="AC319" s="231"/>
      <c r="AD319" s="231"/>
      <c r="AE319" s="231"/>
      <c r="AF319" s="231"/>
      <c r="AG319" s="231"/>
      <c r="AH319" s="231"/>
      <c r="AI319" s="231"/>
      <c r="AJ319" s="231"/>
      <c r="AK319" s="231"/>
      <c r="AL319" s="231"/>
      <c r="AM319" s="231"/>
      <c r="AN319" s="231"/>
      <c r="AO319" s="231"/>
    </row>
    <row r="320" spans="1:41" s="203" customFormat="1">
      <c r="A320" s="124">
        <v>10</v>
      </c>
      <c r="B320" s="94" t="s">
        <v>62</v>
      </c>
      <c r="C320" s="94"/>
      <c r="D320" s="94"/>
      <c r="E320" s="159">
        <v>70654</v>
      </c>
      <c r="F320" s="61">
        <f>F311+F312+F313+F314+F315+F316+F317+F318</f>
        <v>66274</v>
      </c>
      <c r="G320" s="118"/>
      <c r="H320" s="61">
        <f>H311+H312+H313+H314+H315+H316+H317+H318+H319</f>
        <v>66575</v>
      </c>
      <c r="I320" s="183"/>
      <c r="J320" s="231"/>
      <c r="K320" s="231"/>
      <c r="L320" s="231"/>
      <c r="M320" s="231"/>
      <c r="N320" s="231"/>
      <c r="O320" s="231"/>
      <c r="P320" s="231"/>
      <c r="Q320" s="231"/>
      <c r="R320" s="231"/>
      <c r="S320" s="231"/>
      <c r="T320" s="231"/>
      <c r="U320" s="231"/>
      <c r="V320" s="231"/>
      <c r="W320" s="231"/>
      <c r="X320" s="231"/>
      <c r="Y320" s="231"/>
      <c r="Z320" s="231"/>
      <c r="AA320" s="231"/>
      <c r="AB320" s="231"/>
      <c r="AC320" s="231"/>
      <c r="AD320" s="231"/>
      <c r="AE320" s="231"/>
      <c r="AF320" s="231"/>
      <c r="AG320" s="231"/>
      <c r="AH320" s="231"/>
      <c r="AI320" s="231"/>
      <c r="AJ320" s="231"/>
      <c r="AK320" s="231"/>
      <c r="AL320" s="231"/>
      <c r="AM320" s="231"/>
      <c r="AN320" s="231"/>
      <c r="AO320" s="231"/>
    </row>
    <row r="321" spans="1:41" s="203" customFormat="1">
      <c r="A321" s="179"/>
      <c r="B321" s="180"/>
      <c r="C321" s="180"/>
      <c r="D321" s="180"/>
      <c r="E321" s="180"/>
      <c r="F321" s="183"/>
      <c r="G321" s="21"/>
      <c r="H321" s="183"/>
      <c r="I321" s="183"/>
      <c r="J321" s="231"/>
      <c r="K321" s="231"/>
      <c r="L321" s="231"/>
      <c r="M321" s="231"/>
      <c r="N321" s="231"/>
      <c r="O321" s="231"/>
      <c r="P321" s="231"/>
      <c r="Q321" s="231"/>
      <c r="R321" s="231"/>
      <c r="S321" s="231"/>
      <c r="T321" s="231"/>
      <c r="U321" s="231"/>
      <c r="V321" s="231"/>
      <c r="W321" s="231"/>
      <c r="X321" s="231"/>
      <c r="Y321" s="231"/>
      <c r="Z321" s="231"/>
      <c r="AA321" s="231"/>
      <c r="AB321" s="231"/>
      <c r="AC321" s="231"/>
      <c r="AD321" s="231"/>
      <c r="AE321" s="231"/>
      <c r="AF321" s="231"/>
      <c r="AG321" s="231"/>
      <c r="AH321" s="231"/>
      <c r="AI321" s="231"/>
      <c r="AJ321" s="231"/>
      <c r="AK321" s="231"/>
      <c r="AL321" s="231"/>
      <c r="AM321" s="231"/>
      <c r="AN321" s="231"/>
      <c r="AO321" s="231"/>
    </row>
    <row r="322" spans="1:41" s="203" customFormat="1">
      <c r="A322" s="148"/>
      <c r="B322" s="207"/>
      <c r="C322" s="207"/>
      <c r="D322" s="29"/>
      <c r="E322" s="29"/>
      <c r="F322" s="29"/>
      <c r="G322" s="29"/>
      <c r="H322" s="31" t="s">
        <v>27</v>
      </c>
      <c r="I322" s="2"/>
      <c r="J322" s="231"/>
      <c r="K322" s="231"/>
      <c r="L322" s="231"/>
      <c r="M322" s="231"/>
      <c r="N322" s="231"/>
      <c r="O322" s="231"/>
      <c r="P322" s="231"/>
      <c r="Q322" s="231"/>
      <c r="R322" s="231"/>
      <c r="S322" s="231"/>
      <c r="T322" s="231"/>
      <c r="U322" s="231"/>
      <c r="V322" s="231"/>
      <c r="W322" s="231"/>
      <c r="X322" s="231"/>
      <c r="Y322" s="231"/>
      <c r="Z322" s="231"/>
      <c r="AA322" s="231"/>
      <c r="AB322" s="231"/>
      <c r="AC322" s="231"/>
      <c r="AD322" s="231"/>
      <c r="AE322" s="231"/>
      <c r="AF322" s="231"/>
      <c r="AG322" s="231"/>
      <c r="AH322" s="231"/>
      <c r="AI322" s="231"/>
      <c r="AJ322" s="231"/>
      <c r="AK322" s="231"/>
      <c r="AL322" s="231"/>
      <c r="AM322" s="231"/>
      <c r="AN322" s="231"/>
      <c r="AO322" s="231"/>
    </row>
    <row r="323" spans="1:41" s="203" customFormat="1">
      <c r="A323" s="190" t="s">
        <v>240</v>
      </c>
      <c r="B323" s="263"/>
      <c r="C323" s="861" t="s">
        <v>405</v>
      </c>
      <c r="D323" s="862"/>
      <c r="E323" s="862"/>
      <c r="F323" s="862"/>
      <c r="G323" s="862"/>
      <c r="H323" s="863"/>
      <c r="I323" s="210"/>
      <c r="J323" s="231"/>
      <c r="K323" s="231"/>
      <c r="L323" s="231"/>
      <c r="M323" s="231"/>
      <c r="N323" s="231"/>
      <c r="O323" s="231"/>
      <c r="P323" s="231"/>
      <c r="Q323" s="231"/>
      <c r="R323" s="231"/>
      <c r="S323" s="231"/>
      <c r="T323" s="231"/>
      <c r="U323" s="231"/>
      <c r="V323" s="231"/>
      <c r="W323" s="231"/>
      <c r="X323" s="231"/>
      <c r="Y323" s="231"/>
      <c r="Z323" s="231"/>
      <c r="AA323" s="231"/>
      <c r="AB323" s="231"/>
      <c r="AC323" s="231"/>
      <c r="AD323" s="231"/>
      <c r="AE323" s="231"/>
      <c r="AF323" s="231"/>
      <c r="AG323" s="231"/>
      <c r="AH323" s="231"/>
      <c r="AI323" s="231"/>
      <c r="AJ323" s="231"/>
      <c r="AK323" s="231"/>
      <c r="AL323" s="231"/>
      <c r="AM323" s="231"/>
      <c r="AN323" s="231"/>
      <c r="AO323" s="231"/>
    </row>
    <row r="324" spans="1:41" s="203" customFormat="1" ht="39" thickBot="1">
      <c r="A324" s="110" t="s">
        <v>84</v>
      </c>
      <c r="B324" s="116"/>
      <c r="C324" s="35" t="s">
        <v>52</v>
      </c>
      <c r="D324" s="35" t="s">
        <v>53</v>
      </c>
      <c r="E324" s="37" t="s">
        <v>54</v>
      </c>
      <c r="F324" s="37" t="s">
        <v>55</v>
      </c>
      <c r="G324" s="37" t="s">
        <v>241</v>
      </c>
      <c r="H324" s="35" t="s">
        <v>121</v>
      </c>
      <c r="I324" s="29"/>
      <c r="J324" s="231"/>
      <c r="K324" s="231"/>
      <c r="L324" s="231"/>
      <c r="M324" s="231"/>
      <c r="N324" s="231"/>
      <c r="O324" s="231"/>
      <c r="P324" s="231"/>
      <c r="Q324" s="231"/>
      <c r="R324" s="231"/>
      <c r="S324" s="231"/>
      <c r="T324" s="231"/>
      <c r="U324" s="231"/>
      <c r="V324" s="231"/>
      <c r="W324" s="231"/>
      <c r="X324" s="231"/>
      <c r="Y324" s="231"/>
      <c r="Z324" s="231"/>
      <c r="AA324" s="231"/>
      <c r="AB324" s="231"/>
      <c r="AC324" s="231"/>
      <c r="AD324" s="231"/>
      <c r="AE324" s="231"/>
      <c r="AF324" s="231"/>
      <c r="AG324" s="231"/>
      <c r="AH324" s="231"/>
      <c r="AI324" s="231"/>
      <c r="AJ324" s="231"/>
      <c r="AK324" s="231"/>
      <c r="AL324" s="231"/>
      <c r="AM324" s="231"/>
      <c r="AN324" s="231"/>
      <c r="AO324" s="231"/>
    </row>
    <row r="325" spans="1:41" s="203" customFormat="1" ht="13.5" thickBot="1">
      <c r="A325" s="809">
        <v>1</v>
      </c>
      <c r="B325" s="116" t="s">
        <v>242</v>
      </c>
      <c r="C325" s="193">
        <f t="shared" ref="C325:H325" si="0">SUM(C326:C329)</f>
        <v>34098</v>
      </c>
      <c r="D325" s="193">
        <f t="shared" si="0"/>
        <v>0</v>
      </c>
      <c r="E325" s="193">
        <v>0</v>
      </c>
      <c r="F325" s="193">
        <f t="shared" si="0"/>
        <v>0</v>
      </c>
      <c r="G325" s="193">
        <f>SUM(G326:G329)</f>
        <v>0</v>
      </c>
      <c r="H325" s="193">
        <f t="shared" si="0"/>
        <v>0</v>
      </c>
      <c r="I325" s="207"/>
      <c r="J325" s="231"/>
      <c r="K325" s="231"/>
      <c r="L325" s="231"/>
      <c r="M325" s="231"/>
      <c r="N325" s="231"/>
      <c r="O325" s="231"/>
      <c r="P325" s="231"/>
      <c r="Q325" s="231"/>
      <c r="R325" s="231"/>
      <c r="S325" s="231"/>
      <c r="T325" s="231"/>
      <c r="U325" s="231"/>
      <c r="V325" s="231"/>
      <c r="W325" s="231"/>
      <c r="X325" s="231"/>
      <c r="Y325" s="231"/>
      <c r="Z325" s="231"/>
      <c r="AA325" s="231"/>
      <c r="AB325" s="231"/>
      <c r="AC325" s="231"/>
      <c r="AD325" s="231"/>
      <c r="AE325" s="231"/>
      <c r="AF325" s="231"/>
      <c r="AG325" s="231"/>
      <c r="AH325" s="231"/>
      <c r="AI325" s="231"/>
      <c r="AJ325" s="231"/>
      <c r="AK325" s="231"/>
      <c r="AL325" s="231"/>
      <c r="AM325" s="231"/>
      <c r="AN325" s="231"/>
      <c r="AO325" s="231"/>
    </row>
    <row r="326" spans="1:41" s="203" customFormat="1">
      <c r="A326" s="809">
        <v>2</v>
      </c>
      <c r="B326" s="47" t="s">
        <v>243</v>
      </c>
      <c r="C326" s="169">
        <v>9736</v>
      </c>
      <c r="D326" s="169"/>
      <c r="E326" s="169"/>
      <c r="F326" s="169"/>
      <c r="G326" s="169"/>
      <c r="H326" s="169"/>
      <c r="I326" s="207"/>
      <c r="J326" s="231"/>
      <c r="K326" s="231"/>
      <c r="L326" s="231"/>
      <c r="M326" s="231"/>
      <c r="N326" s="231"/>
      <c r="O326" s="231"/>
      <c r="P326" s="231"/>
      <c r="Q326" s="231"/>
      <c r="R326" s="231"/>
      <c r="S326" s="231"/>
      <c r="T326" s="231"/>
      <c r="U326" s="231"/>
      <c r="V326" s="231"/>
      <c r="W326" s="231"/>
      <c r="X326" s="231"/>
      <c r="Y326" s="231"/>
      <c r="Z326" s="231"/>
      <c r="AA326" s="231"/>
      <c r="AB326" s="231"/>
      <c r="AC326" s="231"/>
      <c r="AD326" s="231"/>
      <c r="AE326" s="231"/>
      <c r="AF326" s="231"/>
      <c r="AG326" s="231"/>
      <c r="AH326" s="231"/>
      <c r="AI326" s="231"/>
      <c r="AJ326" s="231"/>
      <c r="AK326" s="231"/>
      <c r="AL326" s="231"/>
      <c r="AM326" s="231"/>
      <c r="AN326" s="231"/>
      <c r="AO326" s="231"/>
    </row>
    <row r="327" spans="1:41" s="203" customFormat="1">
      <c r="A327" s="809">
        <v>3</v>
      </c>
      <c r="B327" s="47" t="s">
        <v>244</v>
      </c>
      <c r="C327" s="99">
        <v>17166</v>
      </c>
      <c r="D327" s="99"/>
      <c r="E327" s="99"/>
      <c r="F327" s="99"/>
      <c r="G327" s="99"/>
      <c r="H327" s="99"/>
      <c r="I327" s="207"/>
      <c r="J327" s="231"/>
      <c r="K327" s="231"/>
      <c r="L327" s="231"/>
      <c r="M327" s="231"/>
      <c r="N327" s="231"/>
      <c r="O327" s="231"/>
      <c r="P327" s="231"/>
      <c r="Q327" s="231"/>
      <c r="R327" s="231"/>
      <c r="S327" s="231"/>
      <c r="T327" s="231"/>
      <c r="U327" s="231"/>
      <c r="V327" s="231"/>
      <c r="W327" s="231"/>
      <c r="X327" s="231"/>
      <c r="Y327" s="231"/>
      <c r="Z327" s="231"/>
      <c r="AA327" s="231"/>
      <c r="AB327" s="231"/>
      <c r="AC327" s="231"/>
      <c r="AD327" s="231"/>
      <c r="AE327" s="231"/>
      <c r="AF327" s="231"/>
      <c r="AG327" s="231"/>
      <c r="AH327" s="231"/>
      <c r="AI327" s="231"/>
      <c r="AJ327" s="231"/>
      <c r="AK327" s="231"/>
      <c r="AL327" s="231"/>
      <c r="AM327" s="231"/>
      <c r="AN327" s="231"/>
      <c r="AO327" s="231"/>
    </row>
    <row r="328" spans="1:41" s="203" customFormat="1">
      <c r="A328" s="809">
        <v>4</v>
      </c>
      <c r="B328" s="47" t="s">
        <v>245</v>
      </c>
      <c r="C328" s="99">
        <v>7196</v>
      </c>
      <c r="D328" s="99"/>
      <c r="E328" s="99"/>
      <c r="F328" s="99"/>
      <c r="G328" s="99"/>
      <c r="H328" s="99"/>
      <c r="I328" s="207"/>
      <c r="J328" s="231"/>
      <c r="K328" s="231"/>
      <c r="L328" s="231"/>
      <c r="M328" s="231"/>
      <c r="N328" s="231"/>
      <c r="O328" s="231"/>
      <c r="P328" s="231"/>
      <c r="Q328" s="231"/>
      <c r="R328" s="231"/>
      <c r="S328" s="231"/>
      <c r="T328" s="231"/>
      <c r="U328" s="231"/>
      <c r="V328" s="231"/>
      <c r="W328" s="231"/>
      <c r="X328" s="231"/>
      <c r="Y328" s="231"/>
      <c r="Z328" s="231"/>
      <c r="AA328" s="231"/>
      <c r="AB328" s="231"/>
      <c r="AC328" s="231"/>
      <c r="AD328" s="231"/>
      <c r="AE328" s="231"/>
      <c r="AF328" s="231"/>
      <c r="AG328" s="231"/>
      <c r="AH328" s="231"/>
      <c r="AI328" s="231"/>
      <c r="AJ328" s="231"/>
      <c r="AK328" s="231"/>
      <c r="AL328" s="231"/>
      <c r="AM328" s="231"/>
      <c r="AN328" s="231"/>
      <c r="AO328" s="231"/>
    </row>
    <row r="329" spans="1:41" s="203" customFormat="1">
      <c r="A329" s="810">
        <v>5</v>
      </c>
      <c r="B329" s="54" t="s">
        <v>246</v>
      </c>
      <c r="C329" s="100"/>
      <c r="D329" s="100"/>
      <c r="E329" s="100"/>
      <c r="F329" s="100"/>
      <c r="G329" s="100"/>
      <c r="H329" s="100"/>
      <c r="I329" s="207"/>
      <c r="J329" s="231"/>
      <c r="K329" s="231"/>
      <c r="L329" s="231"/>
      <c r="M329" s="231"/>
      <c r="N329" s="231"/>
      <c r="O329" s="231"/>
      <c r="P329" s="231"/>
      <c r="Q329" s="231"/>
      <c r="R329" s="231"/>
      <c r="S329" s="231"/>
      <c r="T329" s="231"/>
      <c r="U329" s="231"/>
      <c r="V329" s="231"/>
      <c r="W329" s="231"/>
      <c r="X329" s="231"/>
      <c r="Y329" s="231"/>
      <c r="Z329" s="231"/>
      <c r="AA329" s="231"/>
      <c r="AB329" s="231"/>
      <c r="AC329" s="231"/>
      <c r="AD329" s="231"/>
      <c r="AE329" s="231"/>
      <c r="AF329" s="231"/>
      <c r="AG329" s="231"/>
      <c r="AH329" s="231"/>
      <c r="AI329" s="231"/>
      <c r="AJ329" s="231"/>
      <c r="AK329" s="231"/>
      <c r="AL329" s="231"/>
      <c r="AM329" s="231"/>
      <c r="AN329" s="231"/>
      <c r="AO329" s="231"/>
    </row>
    <row r="330" spans="1:41" s="203" customFormat="1">
      <c r="A330" s="809"/>
      <c r="B330" s="47"/>
      <c r="C330" s="864" t="s">
        <v>404</v>
      </c>
      <c r="D330" s="865"/>
      <c r="E330" s="865"/>
      <c r="F330" s="865"/>
      <c r="G330" s="865"/>
      <c r="H330" s="866"/>
      <c r="I330" s="207"/>
      <c r="J330" s="231"/>
      <c r="K330" s="231"/>
      <c r="L330" s="231"/>
      <c r="M330" s="231"/>
      <c r="N330" s="231"/>
      <c r="O330" s="231"/>
      <c r="P330" s="231"/>
      <c r="Q330" s="231"/>
      <c r="R330" s="231"/>
      <c r="S330" s="231"/>
      <c r="T330" s="231"/>
      <c r="U330" s="231"/>
      <c r="V330" s="231"/>
      <c r="W330" s="231"/>
      <c r="X330" s="231"/>
      <c r="Y330" s="231"/>
      <c r="Z330" s="231"/>
      <c r="AA330" s="231"/>
      <c r="AB330" s="231"/>
      <c r="AC330" s="231"/>
      <c r="AD330" s="231"/>
      <c r="AE330" s="231"/>
      <c r="AF330" s="231"/>
      <c r="AG330" s="231"/>
      <c r="AH330" s="231"/>
      <c r="AI330" s="231"/>
      <c r="AJ330" s="231"/>
      <c r="AK330" s="231"/>
      <c r="AL330" s="231"/>
      <c r="AM330" s="231"/>
      <c r="AN330" s="231"/>
      <c r="AO330" s="231"/>
    </row>
    <row r="331" spans="1:41" s="203" customFormat="1" ht="39" thickBot="1">
      <c r="A331" s="110" t="s">
        <v>84</v>
      </c>
      <c r="B331" s="116"/>
      <c r="C331" s="35" t="s">
        <v>52</v>
      </c>
      <c r="D331" s="35" t="s">
        <v>53</v>
      </c>
      <c r="E331" s="37" t="s">
        <v>54</v>
      </c>
      <c r="F331" s="37" t="s">
        <v>55</v>
      </c>
      <c r="G331" s="37" t="s">
        <v>241</v>
      </c>
      <c r="H331" s="35" t="s">
        <v>121</v>
      </c>
      <c r="I331" s="207"/>
      <c r="J331" s="231"/>
      <c r="K331" s="231"/>
      <c r="L331" s="231"/>
      <c r="M331" s="231"/>
      <c r="N331" s="231"/>
      <c r="O331" s="231"/>
      <c r="P331" s="231"/>
      <c r="Q331" s="231"/>
      <c r="R331" s="231"/>
      <c r="S331" s="231"/>
      <c r="T331" s="231"/>
      <c r="U331" s="231"/>
      <c r="V331" s="231"/>
      <c r="W331" s="231"/>
      <c r="X331" s="231"/>
      <c r="Y331" s="231"/>
      <c r="Z331" s="231"/>
      <c r="AA331" s="231"/>
      <c r="AB331" s="231"/>
      <c r="AC331" s="231"/>
      <c r="AD331" s="231"/>
      <c r="AE331" s="231"/>
      <c r="AF331" s="231"/>
      <c r="AG331" s="231"/>
      <c r="AH331" s="231"/>
      <c r="AI331" s="231"/>
      <c r="AJ331" s="231"/>
      <c r="AK331" s="231"/>
      <c r="AL331" s="231"/>
      <c r="AM331" s="231"/>
      <c r="AN331" s="231"/>
      <c r="AO331" s="231"/>
    </row>
    <row r="332" spans="1:41" s="203" customFormat="1" ht="13.5" thickBot="1">
      <c r="A332" s="809">
        <v>1</v>
      </c>
      <c r="B332" s="116" t="s">
        <v>242</v>
      </c>
      <c r="C332" s="193">
        <f t="shared" ref="C332:H332" si="1">SUM(C333:C336)</f>
        <v>34951</v>
      </c>
      <c r="D332" s="193">
        <f t="shared" si="1"/>
        <v>0</v>
      </c>
      <c r="E332" s="193">
        <v>0</v>
      </c>
      <c r="F332" s="193">
        <f t="shared" si="1"/>
        <v>0</v>
      </c>
      <c r="G332" s="193">
        <f>SUM(G333:G336)</f>
        <v>0</v>
      </c>
      <c r="H332" s="193">
        <f t="shared" si="1"/>
        <v>0</v>
      </c>
      <c r="I332" s="207"/>
      <c r="J332" s="231"/>
      <c r="K332" s="231"/>
      <c r="L332" s="231"/>
      <c r="M332" s="231"/>
      <c r="N332" s="231"/>
      <c r="O332" s="231"/>
      <c r="P332" s="231"/>
      <c r="Q332" s="231"/>
      <c r="R332" s="231"/>
      <c r="S332" s="231"/>
      <c r="T332" s="231"/>
      <c r="U332" s="231"/>
      <c r="V332" s="231"/>
      <c r="W332" s="231"/>
      <c r="X332" s="231"/>
      <c r="Y332" s="231"/>
      <c r="Z332" s="231"/>
      <c r="AA332" s="231"/>
      <c r="AB332" s="231"/>
      <c r="AC332" s="231"/>
      <c r="AD332" s="231"/>
      <c r="AE332" s="231"/>
      <c r="AF332" s="231"/>
      <c r="AG332" s="231"/>
      <c r="AH332" s="231"/>
      <c r="AI332" s="231"/>
      <c r="AJ332" s="231"/>
      <c r="AK332" s="231"/>
      <c r="AL332" s="231"/>
      <c r="AM332" s="231"/>
      <c r="AN332" s="231"/>
      <c r="AO332" s="231"/>
    </row>
    <row r="333" spans="1:41" s="203" customFormat="1">
      <c r="A333" s="809">
        <v>2</v>
      </c>
      <c r="B333" s="47" t="s">
        <v>243</v>
      </c>
      <c r="C333" s="169">
        <v>10143</v>
      </c>
      <c r="D333" s="169"/>
      <c r="E333" s="169"/>
      <c r="F333" s="169"/>
      <c r="G333" s="169"/>
      <c r="H333" s="169"/>
      <c r="I333" s="207"/>
      <c r="J333" s="231"/>
      <c r="K333" s="231"/>
      <c r="L333" s="231"/>
      <c r="M333" s="231"/>
      <c r="N333" s="231"/>
      <c r="O333" s="231"/>
      <c r="P333" s="231"/>
      <c r="Q333" s="231"/>
      <c r="R333" s="231"/>
      <c r="S333" s="231"/>
      <c r="T333" s="231"/>
      <c r="U333" s="231"/>
      <c r="V333" s="231"/>
      <c r="W333" s="231"/>
      <c r="X333" s="231"/>
      <c r="Y333" s="231"/>
      <c r="Z333" s="231"/>
      <c r="AA333" s="231"/>
      <c r="AB333" s="231"/>
      <c r="AC333" s="231"/>
      <c r="AD333" s="231"/>
      <c r="AE333" s="231"/>
      <c r="AF333" s="231"/>
      <c r="AG333" s="231"/>
      <c r="AH333" s="231"/>
      <c r="AI333" s="231"/>
      <c r="AJ333" s="231"/>
      <c r="AK333" s="231"/>
      <c r="AL333" s="231"/>
      <c r="AM333" s="231"/>
      <c r="AN333" s="231"/>
      <c r="AO333" s="231"/>
    </row>
    <row r="334" spans="1:41" s="203" customFormat="1">
      <c r="A334" s="809">
        <v>3</v>
      </c>
      <c r="B334" s="47" t="s">
        <v>244</v>
      </c>
      <c r="C334" s="99">
        <v>17348</v>
      </c>
      <c r="D334" s="99"/>
      <c r="E334" s="99"/>
      <c r="F334" s="99"/>
      <c r="G334" s="99"/>
      <c r="H334" s="99"/>
      <c r="I334" s="207"/>
      <c r="J334" s="231"/>
      <c r="K334" s="231"/>
      <c r="L334" s="231"/>
      <c r="M334" s="231"/>
      <c r="N334" s="231"/>
      <c r="O334" s="231"/>
      <c r="P334" s="231"/>
      <c r="Q334" s="231"/>
      <c r="R334" s="231"/>
      <c r="S334" s="231"/>
      <c r="T334" s="231"/>
      <c r="U334" s="231"/>
      <c r="V334" s="231"/>
      <c r="W334" s="231"/>
      <c r="X334" s="231"/>
      <c r="Y334" s="231"/>
      <c r="Z334" s="231"/>
      <c r="AA334" s="231"/>
      <c r="AB334" s="231"/>
      <c r="AC334" s="231"/>
      <c r="AD334" s="231"/>
      <c r="AE334" s="231"/>
      <c r="AF334" s="231"/>
      <c r="AG334" s="231"/>
      <c r="AH334" s="231"/>
      <c r="AI334" s="231"/>
      <c r="AJ334" s="231"/>
      <c r="AK334" s="231"/>
      <c r="AL334" s="231"/>
      <c r="AM334" s="231"/>
      <c r="AN334" s="231"/>
      <c r="AO334" s="231"/>
    </row>
    <row r="335" spans="1:41" s="203" customFormat="1">
      <c r="A335" s="809">
        <v>4</v>
      </c>
      <c r="B335" s="47" t="s">
        <v>245</v>
      </c>
      <c r="C335" s="99">
        <v>7460</v>
      </c>
      <c r="D335" s="99"/>
      <c r="E335" s="99"/>
      <c r="F335" s="99"/>
      <c r="G335" s="99"/>
      <c r="H335" s="99"/>
      <c r="I335" s="207"/>
      <c r="J335" s="231"/>
      <c r="K335" s="231"/>
      <c r="L335" s="231"/>
      <c r="M335" s="231"/>
      <c r="N335" s="231"/>
      <c r="O335" s="231"/>
      <c r="P335" s="231"/>
      <c r="Q335" s="231"/>
      <c r="R335" s="231"/>
      <c r="S335" s="231"/>
      <c r="T335" s="231"/>
      <c r="U335" s="231"/>
      <c r="V335" s="231"/>
      <c r="W335" s="231"/>
      <c r="X335" s="231"/>
      <c r="Y335" s="231"/>
      <c r="Z335" s="231"/>
      <c r="AA335" s="231"/>
      <c r="AB335" s="231"/>
      <c r="AC335" s="231"/>
      <c r="AD335" s="231"/>
      <c r="AE335" s="231"/>
      <c r="AF335" s="231"/>
      <c r="AG335" s="231"/>
      <c r="AH335" s="231"/>
      <c r="AI335" s="231"/>
      <c r="AJ335" s="231"/>
      <c r="AK335" s="231"/>
      <c r="AL335" s="231"/>
      <c r="AM335" s="231"/>
      <c r="AN335" s="231"/>
      <c r="AO335" s="231"/>
    </row>
    <row r="336" spans="1:41" s="203" customFormat="1">
      <c r="A336" s="810">
        <v>5</v>
      </c>
      <c r="B336" s="54" t="s">
        <v>246</v>
      </c>
      <c r="C336" s="100"/>
      <c r="D336" s="100"/>
      <c r="E336" s="100"/>
      <c r="F336" s="100"/>
      <c r="G336" s="100"/>
      <c r="H336" s="100"/>
      <c r="I336" s="207"/>
      <c r="J336" s="231"/>
      <c r="K336" s="231"/>
      <c r="L336" s="231"/>
      <c r="M336" s="231"/>
      <c r="N336" s="231"/>
      <c r="O336" s="231"/>
      <c r="P336" s="231"/>
      <c r="Q336" s="231"/>
      <c r="R336" s="231"/>
      <c r="S336" s="231"/>
      <c r="T336" s="231"/>
      <c r="U336" s="231"/>
      <c r="V336" s="231"/>
      <c r="W336" s="231"/>
      <c r="X336" s="231"/>
      <c r="Y336" s="231"/>
      <c r="Z336" s="231"/>
      <c r="AA336" s="231"/>
      <c r="AB336" s="231"/>
      <c r="AC336" s="231"/>
      <c r="AD336" s="231"/>
      <c r="AE336" s="231"/>
      <c r="AF336" s="231"/>
      <c r="AG336" s="231"/>
      <c r="AH336" s="231"/>
      <c r="AI336" s="231"/>
      <c r="AJ336" s="231"/>
      <c r="AK336" s="231"/>
      <c r="AL336" s="231"/>
      <c r="AM336" s="231"/>
      <c r="AN336" s="231"/>
      <c r="AO336" s="231"/>
    </row>
    <row r="337" spans="1:41" s="203" customFormat="1">
      <c r="A337" s="23"/>
      <c r="B337" s="207"/>
      <c r="C337" s="207"/>
      <c r="D337" s="207"/>
      <c r="E337" s="207"/>
      <c r="F337" s="207"/>
      <c r="G337" s="207"/>
      <c r="H337" s="21"/>
      <c r="I337" s="21"/>
      <c r="J337" s="231"/>
      <c r="K337" s="231"/>
      <c r="L337" s="231"/>
      <c r="M337" s="231"/>
      <c r="N337" s="231"/>
      <c r="O337" s="231"/>
      <c r="P337" s="231"/>
      <c r="Q337" s="231"/>
      <c r="R337" s="231"/>
      <c r="S337" s="231"/>
      <c r="T337" s="231"/>
      <c r="U337" s="231"/>
      <c r="V337" s="231"/>
      <c r="W337" s="231"/>
      <c r="X337" s="231"/>
      <c r="Y337" s="231"/>
      <c r="Z337" s="231"/>
      <c r="AA337" s="231"/>
      <c r="AB337" s="231"/>
      <c r="AC337" s="231"/>
      <c r="AD337" s="231"/>
      <c r="AE337" s="231"/>
      <c r="AF337" s="231"/>
      <c r="AG337" s="231"/>
      <c r="AH337" s="231"/>
      <c r="AI337" s="231"/>
      <c r="AJ337" s="231"/>
      <c r="AK337" s="231"/>
      <c r="AL337" s="231"/>
      <c r="AM337" s="231"/>
      <c r="AN337" s="231"/>
      <c r="AO337" s="231"/>
    </row>
    <row r="338" spans="1:41" s="203" customFormat="1" ht="12.75" customHeight="1">
      <c r="A338" s="23"/>
      <c r="B338" s="207"/>
      <c r="C338" s="207"/>
      <c r="D338" s="207"/>
      <c r="E338" s="207"/>
      <c r="F338" s="207"/>
      <c r="G338" s="207"/>
      <c r="H338" s="21"/>
      <c r="I338" s="21"/>
      <c r="J338" s="231"/>
      <c r="K338" s="231"/>
      <c r="L338" s="231"/>
      <c r="M338" s="231"/>
      <c r="N338" s="231"/>
      <c r="O338" s="231"/>
      <c r="P338" s="231"/>
      <c r="Q338" s="231"/>
      <c r="R338" s="231"/>
      <c r="S338" s="231"/>
      <c r="T338" s="231"/>
      <c r="U338" s="231"/>
      <c r="V338" s="231"/>
      <c r="W338" s="231"/>
      <c r="X338" s="231"/>
      <c r="Y338" s="231"/>
      <c r="Z338" s="231"/>
      <c r="AA338" s="231"/>
      <c r="AB338" s="231"/>
      <c r="AC338" s="231"/>
      <c r="AD338" s="231"/>
      <c r="AE338" s="231"/>
      <c r="AF338" s="231"/>
      <c r="AG338" s="231"/>
      <c r="AH338" s="231"/>
      <c r="AI338" s="231"/>
      <c r="AJ338" s="231"/>
      <c r="AK338" s="231"/>
      <c r="AL338" s="231"/>
      <c r="AM338" s="231"/>
      <c r="AN338" s="231"/>
      <c r="AO338" s="231"/>
    </row>
    <row r="339" spans="1:41" s="203" customFormat="1">
      <c r="A339" s="23"/>
      <c r="B339" s="207"/>
      <c r="C339" s="207"/>
      <c r="D339" s="207"/>
      <c r="E339" s="207"/>
      <c r="F339" s="207"/>
      <c r="G339" s="207"/>
      <c r="H339" s="21"/>
      <c r="I339" s="21"/>
      <c r="J339" s="231"/>
      <c r="K339" s="231"/>
      <c r="L339" s="231"/>
      <c r="M339" s="231"/>
      <c r="N339" s="231"/>
      <c r="O339" s="231"/>
      <c r="P339" s="231"/>
      <c r="Q339" s="231"/>
      <c r="R339" s="231"/>
      <c r="S339" s="231"/>
      <c r="T339" s="231"/>
      <c r="U339" s="231"/>
      <c r="V339" s="231"/>
      <c r="W339" s="231"/>
      <c r="X339" s="231"/>
      <c r="Y339" s="231"/>
      <c r="Z339" s="231"/>
      <c r="AA339" s="231"/>
      <c r="AB339" s="231"/>
      <c r="AC339" s="231"/>
      <c r="AD339" s="231"/>
      <c r="AE339" s="231"/>
      <c r="AF339" s="231"/>
      <c r="AG339" s="231"/>
      <c r="AH339" s="231"/>
      <c r="AI339" s="231"/>
      <c r="AJ339" s="231"/>
      <c r="AK339" s="231"/>
      <c r="AL339" s="231"/>
      <c r="AM339" s="231"/>
      <c r="AN339" s="231"/>
      <c r="AO339" s="231"/>
    </row>
    <row r="340" spans="1:41" s="203" customFormat="1">
      <c r="A340" s="23"/>
      <c r="B340" s="207"/>
      <c r="C340" s="207"/>
      <c r="D340" s="207"/>
      <c r="E340" s="207"/>
      <c r="F340" s="207"/>
      <c r="G340" s="207"/>
      <c r="H340" s="131" t="s">
        <v>27</v>
      </c>
      <c r="I340" s="21"/>
      <c r="J340" s="231"/>
      <c r="K340" s="231"/>
      <c r="L340" s="231"/>
      <c r="M340" s="231"/>
      <c r="N340" s="231"/>
      <c r="O340" s="231"/>
      <c r="P340" s="231"/>
      <c r="Q340" s="231"/>
      <c r="R340" s="231"/>
      <c r="S340" s="231"/>
      <c r="T340" s="231"/>
      <c r="U340" s="231"/>
      <c r="V340" s="231"/>
      <c r="W340" s="231"/>
      <c r="X340" s="231"/>
      <c r="Y340" s="231"/>
      <c r="Z340" s="231"/>
      <c r="AA340" s="231"/>
      <c r="AB340" s="231"/>
      <c r="AC340" s="231"/>
      <c r="AD340" s="231"/>
      <c r="AE340" s="231"/>
      <c r="AF340" s="231"/>
      <c r="AG340" s="231"/>
      <c r="AH340" s="231"/>
      <c r="AI340" s="231"/>
      <c r="AJ340" s="231"/>
      <c r="AK340" s="231"/>
      <c r="AL340" s="231"/>
      <c r="AM340" s="231"/>
      <c r="AN340" s="231"/>
      <c r="AO340" s="231"/>
    </row>
    <row r="341" spans="1:41" s="203" customFormat="1">
      <c r="A341" s="197"/>
      <c r="B341" s="69"/>
      <c r="C341" s="69"/>
      <c r="D341" s="69"/>
      <c r="E341" s="856" t="s">
        <v>377</v>
      </c>
      <c r="F341" s="853" t="s">
        <v>402</v>
      </c>
      <c r="G341" s="207"/>
      <c r="H341" s="856" t="s">
        <v>403</v>
      </c>
      <c r="I341" s="21"/>
      <c r="J341" s="231"/>
      <c r="K341" s="231"/>
      <c r="L341" s="231"/>
      <c r="M341" s="231"/>
      <c r="N341" s="231"/>
      <c r="O341" s="231"/>
      <c r="P341" s="231"/>
      <c r="Q341" s="231"/>
      <c r="R341" s="231"/>
      <c r="S341" s="231"/>
      <c r="T341" s="231"/>
      <c r="U341" s="231"/>
      <c r="V341" s="231"/>
      <c r="W341" s="231"/>
      <c r="X341" s="231"/>
      <c r="Y341" s="231"/>
      <c r="Z341" s="231"/>
      <c r="AA341" s="231"/>
      <c r="AB341" s="231"/>
      <c r="AC341" s="231"/>
      <c r="AD341" s="231"/>
      <c r="AE341" s="231"/>
      <c r="AF341" s="231"/>
      <c r="AG341" s="231"/>
      <c r="AH341" s="231"/>
      <c r="AI341" s="231"/>
      <c r="AJ341" s="231"/>
      <c r="AK341" s="231"/>
      <c r="AL341" s="231"/>
      <c r="AM341" s="231"/>
      <c r="AN341" s="231"/>
      <c r="AO341" s="231"/>
    </row>
    <row r="342" spans="1:41" s="203" customFormat="1">
      <c r="A342" s="144" t="s">
        <v>261</v>
      </c>
      <c r="B342" s="116"/>
      <c r="C342" s="116"/>
      <c r="D342" s="116"/>
      <c r="E342" s="859"/>
      <c r="F342" s="854"/>
      <c r="G342" s="207"/>
      <c r="H342" s="857"/>
      <c r="I342" s="21"/>
      <c r="J342" s="231"/>
      <c r="K342" s="231"/>
      <c r="L342" s="231"/>
      <c r="M342" s="231"/>
      <c r="N342" s="231"/>
      <c r="O342" s="231"/>
      <c r="P342" s="231"/>
      <c r="Q342" s="231"/>
      <c r="R342" s="231"/>
      <c r="S342" s="231"/>
      <c r="T342" s="231"/>
      <c r="U342" s="231"/>
      <c r="V342" s="231"/>
      <c r="W342" s="231"/>
      <c r="X342" s="231"/>
      <c r="Y342" s="231"/>
      <c r="Z342" s="231"/>
      <c r="AA342" s="231"/>
      <c r="AB342" s="231"/>
      <c r="AC342" s="231"/>
      <c r="AD342" s="231"/>
      <c r="AE342" s="231"/>
      <c r="AF342" s="231"/>
      <c r="AG342" s="231"/>
      <c r="AH342" s="231"/>
      <c r="AI342" s="231"/>
      <c r="AJ342" s="231"/>
      <c r="AK342" s="231"/>
      <c r="AL342" s="231"/>
      <c r="AM342" s="231"/>
      <c r="AN342" s="231"/>
      <c r="AO342" s="231"/>
    </row>
    <row r="343" spans="1:41" s="203" customFormat="1">
      <c r="A343" s="119"/>
      <c r="B343" s="116"/>
      <c r="C343" s="116"/>
      <c r="D343" s="116"/>
      <c r="E343" s="859"/>
      <c r="F343" s="854"/>
      <c r="G343" s="207"/>
      <c r="H343" s="857"/>
      <c r="I343" s="21"/>
      <c r="J343" s="231"/>
      <c r="K343" s="231"/>
      <c r="L343" s="231"/>
      <c r="M343" s="231"/>
      <c r="N343" s="231"/>
      <c r="O343" s="231"/>
      <c r="P343" s="231"/>
      <c r="Q343" s="231"/>
      <c r="R343" s="231"/>
      <c r="S343" s="231"/>
      <c r="T343" s="231"/>
      <c r="U343" s="231"/>
      <c r="V343" s="231"/>
      <c r="W343" s="231"/>
      <c r="X343" s="231"/>
      <c r="Y343" s="231"/>
      <c r="Z343" s="231"/>
      <c r="AA343" s="231"/>
      <c r="AB343" s="231"/>
      <c r="AC343" s="231"/>
      <c r="AD343" s="231"/>
      <c r="AE343" s="231"/>
      <c r="AF343" s="231"/>
      <c r="AG343" s="231"/>
      <c r="AH343" s="231"/>
      <c r="AI343" s="231"/>
      <c r="AJ343" s="231"/>
      <c r="AK343" s="231"/>
      <c r="AL343" s="231"/>
      <c r="AM343" s="231"/>
      <c r="AN343" s="231"/>
      <c r="AO343" s="231"/>
    </row>
    <row r="344" spans="1:41" s="203" customFormat="1">
      <c r="A344" s="198" t="s">
        <v>262</v>
      </c>
      <c r="B344" s="116"/>
      <c r="C344" s="116"/>
      <c r="D344" s="116"/>
      <c r="E344" s="859"/>
      <c r="F344" s="854"/>
      <c r="G344" s="207"/>
      <c r="H344" s="857"/>
      <c r="I344" s="21"/>
      <c r="J344" s="231"/>
      <c r="K344" s="231"/>
      <c r="L344" s="231"/>
      <c r="M344" s="231"/>
      <c r="N344" s="231"/>
      <c r="O344" s="231"/>
      <c r="P344" s="231"/>
      <c r="Q344" s="231"/>
      <c r="R344" s="231"/>
      <c r="S344" s="231"/>
      <c r="T344" s="231"/>
      <c r="U344" s="231"/>
      <c r="V344" s="231"/>
      <c r="W344" s="231"/>
      <c r="X344" s="231"/>
      <c r="Y344" s="231"/>
      <c r="Z344" s="231"/>
      <c r="AA344" s="231"/>
      <c r="AB344" s="231"/>
      <c r="AC344" s="231"/>
      <c r="AD344" s="231"/>
      <c r="AE344" s="231"/>
      <c r="AF344" s="231"/>
      <c r="AG344" s="231"/>
      <c r="AH344" s="231"/>
      <c r="AI344" s="231"/>
      <c r="AJ344" s="231"/>
      <c r="AK344" s="231"/>
      <c r="AL344" s="231"/>
      <c r="AM344" s="231"/>
      <c r="AN344" s="231"/>
      <c r="AO344" s="231"/>
    </row>
    <row r="345" spans="1:41" s="203" customFormat="1">
      <c r="A345" s="198" t="s">
        <v>330</v>
      </c>
      <c r="B345" s="116"/>
      <c r="C345" s="116"/>
      <c r="D345" s="116"/>
      <c r="E345" s="860"/>
      <c r="F345" s="855"/>
      <c r="G345" s="207"/>
      <c r="H345" s="858"/>
      <c r="I345" s="21"/>
      <c r="J345" s="231"/>
      <c r="K345" s="231"/>
      <c r="L345" s="231"/>
      <c r="M345" s="231"/>
      <c r="N345" s="231"/>
      <c r="O345" s="231"/>
      <c r="P345" s="231"/>
      <c r="Q345" s="231"/>
      <c r="R345" s="231"/>
      <c r="S345" s="231"/>
      <c r="T345" s="231"/>
      <c r="U345" s="231"/>
      <c r="V345" s="231"/>
      <c r="W345" s="231"/>
      <c r="X345" s="231"/>
      <c r="Y345" s="231"/>
      <c r="Z345" s="231"/>
      <c r="AA345" s="231"/>
      <c r="AB345" s="231"/>
      <c r="AC345" s="231"/>
      <c r="AD345" s="231"/>
      <c r="AE345" s="231"/>
      <c r="AF345" s="231"/>
      <c r="AG345" s="231"/>
      <c r="AH345" s="231"/>
      <c r="AI345" s="231"/>
      <c r="AJ345" s="231"/>
      <c r="AK345" s="231"/>
      <c r="AL345" s="231"/>
      <c r="AM345" s="231"/>
      <c r="AN345" s="231"/>
      <c r="AO345" s="231"/>
    </row>
    <row r="346" spans="1:41" s="203" customFormat="1">
      <c r="A346" s="119"/>
      <c r="B346" s="47"/>
      <c r="C346" s="116"/>
      <c r="D346" s="116"/>
      <c r="E346" s="178"/>
      <c r="F346" s="146"/>
      <c r="G346" s="23"/>
      <c r="H346" s="264"/>
      <c r="I346" s="21"/>
      <c r="J346" s="231"/>
      <c r="K346" s="231"/>
      <c r="L346" s="231"/>
      <c r="M346" s="231"/>
      <c r="N346" s="231"/>
      <c r="O346" s="231"/>
      <c r="P346" s="231"/>
      <c r="Q346" s="231"/>
      <c r="R346" s="231"/>
      <c r="S346" s="231"/>
      <c r="T346" s="231"/>
      <c r="U346" s="231"/>
      <c r="V346" s="231"/>
      <c r="W346" s="231"/>
      <c r="X346" s="231"/>
      <c r="Y346" s="231"/>
      <c r="Z346" s="231"/>
      <c r="AA346" s="231"/>
      <c r="AB346" s="231"/>
      <c r="AC346" s="231"/>
      <c r="AD346" s="231"/>
      <c r="AE346" s="231"/>
      <c r="AF346" s="231"/>
      <c r="AG346" s="231"/>
      <c r="AH346" s="231"/>
      <c r="AI346" s="231"/>
      <c r="AJ346" s="231"/>
      <c r="AK346" s="231"/>
      <c r="AL346" s="231"/>
      <c r="AM346" s="231"/>
      <c r="AN346" s="231"/>
      <c r="AO346" s="231"/>
    </row>
    <row r="347" spans="1:41" s="203" customFormat="1">
      <c r="A347" s="809">
        <v>1</v>
      </c>
      <c r="B347" s="47" t="s">
        <v>263</v>
      </c>
      <c r="C347" s="116"/>
      <c r="D347" s="116"/>
      <c r="E347" s="354">
        <v>19370</v>
      </c>
      <c r="F347" s="265">
        <v>19472</v>
      </c>
      <c r="G347" s="43"/>
      <c r="H347" s="126">
        <v>20480</v>
      </c>
      <c r="I347" s="86"/>
      <c r="J347" s="231"/>
      <c r="K347" s="231"/>
      <c r="L347" s="231"/>
      <c r="M347" s="231"/>
      <c r="N347" s="231"/>
      <c r="O347" s="231"/>
      <c r="P347" s="231"/>
      <c r="Q347" s="231"/>
      <c r="R347" s="231"/>
      <c r="S347" s="231"/>
      <c r="T347" s="231"/>
      <c r="U347" s="231"/>
      <c r="V347" s="231"/>
      <c r="W347" s="231"/>
      <c r="X347" s="231"/>
      <c r="Y347" s="231"/>
      <c r="Z347" s="231"/>
      <c r="AA347" s="231"/>
      <c r="AB347" s="231"/>
      <c r="AC347" s="231"/>
      <c r="AD347" s="231"/>
      <c r="AE347" s="231"/>
      <c r="AF347" s="231"/>
      <c r="AG347" s="231"/>
      <c r="AH347" s="231"/>
      <c r="AI347" s="231"/>
      <c r="AJ347" s="231"/>
      <c r="AK347" s="231"/>
      <c r="AL347" s="231"/>
      <c r="AM347" s="231"/>
      <c r="AN347" s="231"/>
      <c r="AO347" s="231"/>
    </row>
    <row r="348" spans="1:41" s="203" customFormat="1">
      <c r="A348" s="809"/>
      <c r="B348" s="47"/>
      <c r="C348" s="116"/>
      <c r="D348" s="116"/>
      <c r="E348" s="355"/>
      <c r="F348" s="188"/>
      <c r="G348" s="43"/>
      <c r="H348" s="188"/>
      <c r="I348" s="86"/>
      <c r="J348" s="231"/>
      <c r="K348" s="231"/>
      <c r="L348" s="231"/>
      <c r="M348" s="231"/>
      <c r="N348" s="231"/>
      <c r="O348" s="231"/>
      <c r="P348" s="231"/>
      <c r="Q348" s="231"/>
      <c r="R348" s="231"/>
      <c r="S348" s="231"/>
      <c r="T348" s="231"/>
      <c r="U348" s="231"/>
      <c r="V348" s="231"/>
      <c r="W348" s="231"/>
      <c r="X348" s="231"/>
      <c r="Y348" s="231"/>
      <c r="Z348" s="231"/>
      <c r="AA348" s="231"/>
      <c r="AB348" s="231"/>
      <c r="AC348" s="231"/>
      <c r="AD348" s="231"/>
      <c r="AE348" s="231"/>
      <c r="AF348" s="231"/>
      <c r="AG348" s="231"/>
      <c r="AH348" s="231"/>
      <c r="AI348" s="231"/>
      <c r="AJ348" s="231"/>
      <c r="AK348" s="231"/>
      <c r="AL348" s="231"/>
      <c r="AM348" s="231"/>
      <c r="AN348" s="231"/>
      <c r="AO348" s="231"/>
    </row>
    <row r="349" spans="1:41" s="203" customFormat="1">
      <c r="A349" s="108" t="s">
        <v>378</v>
      </c>
      <c r="B349" s="47"/>
      <c r="C349" s="116"/>
      <c r="D349" s="116"/>
      <c r="E349" s="355"/>
      <c r="F349" s="188"/>
      <c r="G349" s="43"/>
      <c r="H349" s="188"/>
      <c r="I349" s="86"/>
      <c r="J349" s="231"/>
      <c r="K349" s="231"/>
      <c r="L349" s="231"/>
      <c r="M349" s="231"/>
      <c r="N349" s="231"/>
      <c r="O349" s="231"/>
      <c r="P349" s="231"/>
      <c r="Q349" s="231"/>
      <c r="R349" s="231"/>
      <c r="S349" s="231"/>
      <c r="T349" s="231"/>
      <c r="U349" s="231"/>
      <c r="V349" s="231"/>
      <c r="W349" s="231"/>
      <c r="X349" s="231"/>
      <c r="Y349" s="231"/>
      <c r="Z349" s="231"/>
      <c r="AA349" s="231"/>
      <c r="AB349" s="231"/>
      <c r="AC349" s="231"/>
      <c r="AD349" s="231"/>
      <c r="AE349" s="231"/>
      <c r="AF349" s="231"/>
      <c r="AG349" s="231"/>
      <c r="AH349" s="231"/>
      <c r="AI349" s="231"/>
      <c r="AJ349" s="231"/>
      <c r="AK349" s="231"/>
      <c r="AL349" s="231"/>
      <c r="AM349" s="231"/>
      <c r="AN349" s="231"/>
      <c r="AO349" s="231"/>
    </row>
    <row r="350" spans="1:41" s="203" customFormat="1">
      <c r="A350" s="809"/>
      <c r="B350" s="47"/>
      <c r="C350" s="116"/>
      <c r="D350" s="116"/>
      <c r="E350" s="355"/>
      <c r="F350" s="188"/>
      <c r="G350" s="43"/>
      <c r="H350" s="188"/>
      <c r="I350" s="86"/>
      <c r="J350" s="231"/>
      <c r="K350" s="231"/>
      <c r="L350" s="231"/>
      <c r="M350" s="231"/>
      <c r="N350" s="231"/>
      <c r="O350" s="231"/>
      <c r="P350" s="231"/>
      <c r="Q350" s="231"/>
      <c r="R350" s="231"/>
      <c r="S350" s="231"/>
      <c r="T350" s="231"/>
      <c r="U350" s="231"/>
      <c r="V350" s="231"/>
      <c r="W350" s="231"/>
      <c r="X350" s="231"/>
      <c r="Y350" s="231"/>
      <c r="Z350" s="231"/>
      <c r="AA350" s="231"/>
      <c r="AB350" s="231"/>
      <c r="AC350" s="231"/>
      <c r="AD350" s="231"/>
      <c r="AE350" s="231"/>
      <c r="AF350" s="231"/>
      <c r="AG350" s="231"/>
      <c r="AH350" s="231"/>
      <c r="AI350" s="231"/>
      <c r="AJ350" s="231"/>
      <c r="AK350" s="231"/>
      <c r="AL350" s="231"/>
      <c r="AM350" s="231"/>
      <c r="AN350" s="231"/>
      <c r="AO350" s="231"/>
    </row>
    <row r="351" spans="1:41" s="203" customFormat="1">
      <c r="A351" s="198" t="s">
        <v>379</v>
      </c>
      <c r="B351" s="47"/>
      <c r="C351" s="116"/>
      <c r="D351" s="116"/>
      <c r="E351" s="355"/>
      <c r="F351" s="188"/>
      <c r="G351" s="43"/>
      <c r="H351" s="188"/>
      <c r="I351" s="86"/>
      <c r="J351" s="231"/>
      <c r="K351" s="231"/>
      <c r="L351" s="231"/>
      <c r="M351" s="231"/>
      <c r="N351" s="231"/>
      <c r="O351" s="231"/>
      <c r="P351" s="231"/>
      <c r="Q351" s="231"/>
      <c r="R351" s="231"/>
      <c r="S351" s="231"/>
      <c r="T351" s="231"/>
      <c r="U351" s="231"/>
      <c r="V351" s="231"/>
      <c r="W351" s="231"/>
      <c r="X351" s="231"/>
      <c r="Y351" s="231"/>
      <c r="Z351" s="231"/>
      <c r="AA351" s="231"/>
      <c r="AB351" s="231"/>
      <c r="AC351" s="231"/>
      <c r="AD351" s="231"/>
      <c r="AE351" s="231"/>
      <c r="AF351" s="231"/>
      <c r="AG351" s="231"/>
      <c r="AH351" s="231"/>
      <c r="AI351" s="231"/>
      <c r="AJ351" s="231"/>
      <c r="AK351" s="231"/>
      <c r="AL351" s="231"/>
      <c r="AM351" s="231"/>
      <c r="AN351" s="231"/>
      <c r="AO351" s="231"/>
    </row>
    <row r="352" spans="1:41" s="203" customFormat="1">
      <c r="A352" s="809"/>
      <c r="B352" s="47"/>
      <c r="C352" s="116"/>
      <c r="D352" s="116"/>
      <c r="E352" s="355"/>
      <c r="F352" s="188"/>
      <c r="G352" s="43"/>
      <c r="H352" s="188"/>
      <c r="I352" s="86"/>
      <c r="J352" s="231"/>
      <c r="K352" s="231"/>
      <c r="L352" s="231"/>
      <c r="M352" s="231"/>
      <c r="N352" s="231"/>
      <c r="O352" s="231"/>
      <c r="P352" s="231"/>
      <c r="Q352" s="231"/>
      <c r="R352" s="231"/>
      <c r="S352" s="231"/>
      <c r="T352" s="231"/>
      <c r="U352" s="231"/>
      <c r="V352" s="231"/>
      <c r="W352" s="231"/>
      <c r="X352" s="231"/>
      <c r="Y352" s="231"/>
      <c r="Z352" s="231"/>
      <c r="AA352" s="231"/>
      <c r="AB352" s="231"/>
      <c r="AC352" s="231"/>
      <c r="AD352" s="231"/>
      <c r="AE352" s="231"/>
      <c r="AF352" s="231"/>
      <c r="AG352" s="231"/>
      <c r="AH352" s="231"/>
      <c r="AI352" s="231"/>
      <c r="AJ352" s="231"/>
      <c r="AK352" s="231"/>
      <c r="AL352" s="231"/>
      <c r="AM352" s="231"/>
      <c r="AN352" s="231"/>
      <c r="AO352" s="231"/>
    </row>
    <row r="353" spans="1:41" s="203" customFormat="1">
      <c r="A353" s="809">
        <v>2</v>
      </c>
      <c r="B353" s="47" t="s">
        <v>52</v>
      </c>
      <c r="C353" s="116"/>
      <c r="D353" s="116"/>
      <c r="E353" s="74">
        <v>0</v>
      </c>
      <c r="F353" s="265"/>
      <c r="G353" s="43"/>
      <c r="H353" s="126"/>
      <c r="I353" s="86"/>
      <c r="J353" s="231"/>
      <c r="K353" s="231"/>
      <c r="L353" s="231"/>
      <c r="M353" s="231"/>
      <c r="N353" s="231"/>
      <c r="O353" s="231"/>
      <c r="P353" s="231"/>
      <c r="Q353" s="231"/>
      <c r="R353" s="231"/>
      <c r="S353" s="231"/>
      <c r="T353" s="231"/>
      <c r="U353" s="231"/>
      <c r="V353" s="231"/>
      <c r="W353" s="231"/>
      <c r="X353" s="231"/>
      <c r="Y353" s="231"/>
      <c r="Z353" s="231"/>
      <c r="AA353" s="231"/>
      <c r="AB353" s="231"/>
      <c r="AC353" s="231"/>
      <c r="AD353" s="231"/>
      <c r="AE353" s="231"/>
      <c r="AF353" s="231"/>
      <c r="AG353" s="231"/>
      <c r="AH353" s="231"/>
      <c r="AI353" s="231"/>
      <c r="AJ353" s="231"/>
      <c r="AK353" s="231"/>
      <c r="AL353" s="231"/>
      <c r="AM353" s="231"/>
      <c r="AN353" s="231"/>
      <c r="AO353" s="231"/>
    </row>
    <row r="354" spans="1:41" s="203" customFormat="1">
      <c r="A354" s="809">
        <v>3</v>
      </c>
      <c r="B354" s="47" t="s">
        <v>53</v>
      </c>
      <c r="C354" s="116"/>
      <c r="D354" s="116"/>
      <c r="E354" s="49">
        <v>0</v>
      </c>
      <c r="F354" s="265"/>
      <c r="G354" s="43"/>
      <c r="H354" s="126"/>
      <c r="I354" s="86"/>
      <c r="J354" s="231"/>
      <c r="K354" s="231"/>
      <c r="L354" s="231"/>
      <c r="M354" s="231"/>
      <c r="N354" s="231"/>
      <c r="O354" s="231"/>
      <c r="P354" s="231"/>
      <c r="Q354" s="231"/>
      <c r="R354" s="231"/>
      <c r="S354" s="231"/>
      <c r="T354" s="231"/>
      <c r="U354" s="231"/>
      <c r="V354" s="231"/>
      <c r="W354" s="231"/>
      <c r="X354" s="231"/>
      <c r="Y354" s="231"/>
      <c r="Z354" s="231"/>
      <c r="AA354" s="231"/>
      <c r="AB354" s="231"/>
      <c r="AC354" s="231"/>
      <c r="AD354" s="231"/>
      <c r="AE354" s="231"/>
      <c r="AF354" s="231"/>
      <c r="AG354" s="231"/>
      <c r="AH354" s="231"/>
      <c r="AI354" s="231"/>
      <c r="AJ354" s="231"/>
      <c r="AK354" s="231"/>
      <c r="AL354" s="231"/>
      <c r="AM354" s="231"/>
      <c r="AN354" s="231"/>
      <c r="AO354" s="231"/>
    </row>
    <row r="355" spans="1:41" s="203" customFormat="1">
      <c r="A355" s="809">
        <v>4</v>
      </c>
      <c r="B355" s="47" t="s">
        <v>54</v>
      </c>
      <c r="C355" s="116"/>
      <c r="D355" s="116"/>
      <c r="E355" s="49">
        <v>0</v>
      </c>
      <c r="F355" s="265"/>
      <c r="G355" s="43"/>
      <c r="H355" s="126"/>
      <c r="I355" s="86"/>
      <c r="J355" s="231"/>
      <c r="K355" s="231"/>
      <c r="L355" s="231"/>
      <c r="M355" s="231"/>
      <c r="N355" s="231"/>
      <c r="O355" s="231"/>
      <c r="P355" s="231"/>
      <c r="Q355" s="231"/>
      <c r="R355" s="231"/>
      <c r="S355" s="231"/>
      <c r="T355" s="231"/>
      <c r="U355" s="231"/>
      <c r="V355" s="231"/>
      <c r="W355" s="231"/>
      <c r="X355" s="231"/>
      <c r="Y355" s="231"/>
      <c r="Z355" s="231"/>
      <c r="AA355" s="231"/>
      <c r="AB355" s="231"/>
      <c r="AC355" s="231"/>
      <c r="AD355" s="231"/>
      <c r="AE355" s="231"/>
      <c r="AF355" s="231"/>
      <c r="AG355" s="231"/>
      <c r="AH355" s="231"/>
      <c r="AI355" s="231"/>
      <c r="AJ355" s="231"/>
      <c r="AK355" s="231"/>
      <c r="AL355" s="231"/>
      <c r="AM355" s="231"/>
      <c r="AN355" s="231"/>
      <c r="AO355" s="231"/>
    </row>
    <row r="356" spans="1:41" s="203" customFormat="1">
      <c r="A356" s="809">
        <v>5</v>
      </c>
      <c r="B356" s="47" t="s">
        <v>55</v>
      </c>
      <c r="C356" s="116"/>
      <c r="D356" s="116"/>
      <c r="E356" s="49">
        <v>0</v>
      </c>
      <c r="F356" s="265"/>
      <c r="G356" s="43"/>
      <c r="H356" s="126"/>
      <c r="I356" s="86"/>
      <c r="J356" s="231"/>
      <c r="K356" s="231"/>
      <c r="L356" s="231"/>
      <c r="M356" s="231"/>
      <c r="N356" s="231"/>
      <c r="O356" s="231"/>
      <c r="P356" s="231"/>
      <c r="Q356" s="231"/>
      <c r="R356" s="231"/>
      <c r="S356" s="231"/>
      <c r="T356" s="231"/>
      <c r="U356" s="231"/>
      <c r="V356" s="231"/>
      <c r="W356" s="231"/>
      <c r="X356" s="231"/>
      <c r="Y356" s="231"/>
      <c r="Z356" s="231"/>
      <c r="AA356" s="231"/>
      <c r="AB356" s="231"/>
      <c r="AC356" s="231"/>
      <c r="AD356" s="231"/>
      <c r="AE356" s="231"/>
      <c r="AF356" s="231"/>
      <c r="AG356" s="231"/>
      <c r="AH356" s="231"/>
      <c r="AI356" s="231"/>
      <c r="AJ356" s="231"/>
      <c r="AK356" s="231"/>
      <c r="AL356" s="231"/>
      <c r="AM356" s="231"/>
      <c r="AN356" s="231"/>
      <c r="AO356" s="231"/>
    </row>
    <row r="357" spans="1:41" s="203" customFormat="1">
      <c r="A357" s="809">
        <v>6</v>
      </c>
      <c r="B357" s="47" t="s">
        <v>56</v>
      </c>
      <c r="C357" s="116"/>
      <c r="D357" s="116"/>
      <c r="E357" s="49">
        <v>0</v>
      </c>
      <c r="F357" s="265"/>
      <c r="G357" s="43"/>
      <c r="H357" s="126"/>
      <c r="I357" s="86"/>
      <c r="J357" s="231"/>
      <c r="K357" s="231"/>
      <c r="L357" s="231"/>
      <c r="M357" s="231"/>
      <c r="N357" s="231"/>
      <c r="O357" s="231"/>
      <c r="P357" s="231"/>
      <c r="Q357" s="231"/>
      <c r="R357" s="231"/>
      <c r="S357" s="231"/>
      <c r="T357" s="231"/>
      <c r="U357" s="231"/>
      <c r="V357" s="231"/>
      <c r="W357" s="231"/>
      <c r="X357" s="231"/>
      <c r="Y357" s="231"/>
      <c r="Z357" s="231"/>
      <c r="AA357" s="231"/>
      <c r="AB357" s="231"/>
      <c r="AC357" s="231"/>
      <c r="AD357" s="231"/>
      <c r="AE357" s="231"/>
      <c r="AF357" s="231"/>
      <c r="AG357" s="231"/>
      <c r="AH357" s="231"/>
      <c r="AI357" s="231"/>
      <c r="AJ357" s="231"/>
      <c r="AK357" s="231"/>
      <c r="AL357" s="231"/>
      <c r="AM357" s="231"/>
      <c r="AN357" s="231"/>
      <c r="AO357" s="231"/>
    </row>
    <row r="358" spans="1:41" s="203" customFormat="1">
      <c r="A358" s="809">
        <v>7</v>
      </c>
      <c r="B358" s="47" t="s">
        <v>57</v>
      </c>
      <c r="C358" s="116"/>
      <c r="D358" s="116"/>
      <c r="E358" s="49">
        <v>0</v>
      </c>
      <c r="F358" s="265"/>
      <c r="G358" s="43"/>
      <c r="H358" s="126"/>
      <c r="I358" s="86"/>
      <c r="J358" s="231"/>
      <c r="K358" s="231"/>
      <c r="L358" s="231"/>
      <c r="M358" s="231"/>
      <c r="N358" s="231"/>
      <c r="O358" s="231"/>
      <c r="P358" s="231"/>
      <c r="Q358" s="231"/>
      <c r="R358" s="231"/>
      <c r="S358" s="231"/>
      <c r="T358" s="231"/>
      <c r="U358" s="231"/>
      <c r="V358" s="231"/>
      <c r="W358" s="231"/>
      <c r="X358" s="231"/>
      <c r="Y358" s="231"/>
      <c r="Z358" s="231"/>
      <c r="AA358" s="231"/>
      <c r="AB358" s="231"/>
      <c r="AC358" s="231"/>
      <c r="AD358" s="231"/>
      <c r="AE358" s="231"/>
      <c r="AF358" s="231"/>
      <c r="AG358" s="231"/>
      <c r="AH358" s="231"/>
      <c r="AI358" s="231"/>
      <c r="AJ358" s="231"/>
      <c r="AK358" s="231"/>
      <c r="AL358" s="231"/>
      <c r="AM358" s="231"/>
      <c r="AN358" s="231"/>
      <c r="AO358" s="231"/>
    </row>
    <row r="359" spans="1:41" s="203" customFormat="1">
      <c r="A359" s="809">
        <v>8</v>
      </c>
      <c r="B359" s="47" t="s">
        <v>58</v>
      </c>
      <c r="C359" s="116"/>
      <c r="D359" s="116"/>
      <c r="E359" s="49">
        <v>0</v>
      </c>
      <c r="F359" s="265"/>
      <c r="G359" s="43"/>
      <c r="H359" s="126"/>
      <c r="I359" s="86"/>
      <c r="J359" s="231"/>
      <c r="K359" s="231"/>
      <c r="L359" s="231"/>
      <c r="M359" s="231"/>
      <c r="N359" s="231"/>
      <c r="O359" s="231"/>
      <c r="P359" s="231"/>
      <c r="Q359" s="231"/>
      <c r="R359" s="231"/>
      <c r="S359" s="231"/>
      <c r="T359" s="231"/>
      <c r="U359" s="231"/>
      <c r="V359" s="231"/>
      <c r="W359" s="231"/>
      <c r="X359" s="231"/>
      <c r="Y359" s="231"/>
      <c r="Z359" s="231"/>
      <c r="AA359" s="231"/>
      <c r="AB359" s="231"/>
      <c r="AC359" s="231"/>
      <c r="AD359" s="231"/>
      <c r="AE359" s="231"/>
      <c r="AF359" s="231"/>
      <c r="AG359" s="231"/>
      <c r="AH359" s="231"/>
      <c r="AI359" s="231"/>
      <c r="AJ359" s="231"/>
      <c r="AK359" s="231"/>
      <c r="AL359" s="231"/>
      <c r="AM359" s="231"/>
      <c r="AN359" s="231"/>
      <c r="AO359" s="231"/>
    </row>
    <row r="360" spans="1:41" s="203" customFormat="1">
      <c r="A360" s="809">
        <v>9</v>
      </c>
      <c r="B360" s="47" t="s">
        <v>59</v>
      </c>
      <c r="C360" s="116"/>
      <c r="D360" s="116"/>
      <c r="E360" s="49">
        <v>0</v>
      </c>
      <c r="F360" s="265"/>
      <c r="G360" s="43"/>
      <c r="H360" s="126"/>
      <c r="I360" s="86"/>
      <c r="J360" s="231"/>
      <c r="K360" s="231"/>
      <c r="L360" s="231"/>
      <c r="M360" s="231"/>
      <c r="N360" s="231"/>
      <c r="O360" s="231"/>
      <c r="P360" s="231"/>
      <c r="Q360" s="231"/>
      <c r="R360" s="231"/>
      <c r="S360" s="231"/>
      <c r="T360" s="231"/>
      <c r="U360" s="231"/>
      <c r="V360" s="231"/>
      <c r="W360" s="231"/>
      <c r="X360" s="231"/>
      <c r="Y360" s="231"/>
      <c r="Z360" s="231"/>
      <c r="AA360" s="231"/>
      <c r="AB360" s="231"/>
      <c r="AC360" s="231"/>
      <c r="AD360" s="231"/>
      <c r="AE360" s="231"/>
      <c r="AF360" s="231"/>
      <c r="AG360" s="231"/>
      <c r="AH360" s="231"/>
      <c r="AI360" s="231"/>
      <c r="AJ360" s="231"/>
      <c r="AK360" s="231"/>
      <c r="AL360" s="231"/>
      <c r="AM360" s="231"/>
      <c r="AN360" s="231"/>
      <c r="AO360" s="231"/>
    </row>
    <row r="361" spans="1:41" s="203" customFormat="1">
      <c r="A361" s="809">
        <v>10</v>
      </c>
      <c r="B361" s="47" t="s">
        <v>60</v>
      </c>
      <c r="C361" s="116"/>
      <c r="D361" s="116"/>
      <c r="E361" s="49">
        <v>0</v>
      </c>
      <c r="F361" s="265"/>
      <c r="G361" s="43"/>
      <c r="H361" s="126"/>
      <c r="I361" s="86"/>
      <c r="J361" s="231"/>
      <c r="K361" s="231"/>
      <c r="L361" s="231"/>
      <c r="M361" s="231"/>
      <c r="N361" s="231"/>
      <c r="O361" s="231"/>
      <c r="P361" s="231"/>
      <c r="Q361" s="231"/>
      <c r="R361" s="231"/>
      <c r="S361" s="231"/>
      <c r="T361" s="231"/>
      <c r="U361" s="231"/>
      <c r="V361" s="231"/>
      <c r="W361" s="231"/>
      <c r="X361" s="231"/>
      <c r="Y361" s="231"/>
      <c r="Z361" s="231"/>
      <c r="AA361" s="231"/>
      <c r="AB361" s="231"/>
      <c r="AC361" s="231"/>
      <c r="AD361" s="231"/>
      <c r="AE361" s="231"/>
      <c r="AF361" s="231"/>
      <c r="AG361" s="231"/>
      <c r="AH361" s="231"/>
      <c r="AI361" s="231"/>
      <c r="AJ361" s="231"/>
      <c r="AK361" s="231"/>
      <c r="AL361" s="231"/>
      <c r="AM361" s="231"/>
      <c r="AN361" s="231"/>
      <c r="AO361" s="231"/>
    </row>
    <row r="362" spans="1:41" s="203" customFormat="1">
      <c r="A362" s="809">
        <v>11</v>
      </c>
      <c r="B362" s="47" t="s">
        <v>61</v>
      </c>
      <c r="C362" s="116"/>
      <c r="D362" s="116"/>
      <c r="E362" s="49">
        <v>0</v>
      </c>
      <c r="F362" s="265"/>
      <c r="G362" s="43"/>
      <c r="H362" s="126"/>
      <c r="I362" s="86"/>
      <c r="J362" s="231"/>
      <c r="K362" s="231"/>
      <c r="L362" s="231"/>
      <c r="M362" s="231"/>
      <c r="N362" s="231"/>
      <c r="O362" s="231"/>
      <c r="P362" s="231"/>
      <c r="Q362" s="231"/>
      <c r="R362" s="231"/>
      <c r="S362" s="231"/>
      <c r="T362" s="231"/>
      <c r="U362" s="231"/>
      <c r="V362" s="231"/>
      <c r="W362" s="231"/>
      <c r="X362" s="231"/>
      <c r="Y362" s="231"/>
      <c r="Z362" s="231"/>
      <c r="AA362" s="231"/>
      <c r="AB362" s="231"/>
      <c r="AC362" s="231"/>
      <c r="AD362" s="231"/>
      <c r="AE362" s="231"/>
      <c r="AF362" s="231"/>
      <c r="AG362" s="231"/>
      <c r="AH362" s="231"/>
      <c r="AI362" s="231"/>
      <c r="AJ362" s="231"/>
      <c r="AK362" s="231"/>
      <c r="AL362" s="231"/>
      <c r="AM362" s="231"/>
      <c r="AN362" s="231"/>
      <c r="AO362" s="231"/>
    </row>
    <row r="363" spans="1:41" s="203" customFormat="1">
      <c r="A363" s="810">
        <v>12</v>
      </c>
      <c r="B363" s="54" t="s">
        <v>380</v>
      </c>
      <c r="C363" s="94"/>
      <c r="D363" s="94"/>
      <c r="E363" s="135">
        <v>0</v>
      </c>
      <c r="F363" s="61">
        <f>SUM(F353:F362)</f>
        <v>0</v>
      </c>
      <c r="G363" s="43"/>
      <c r="H363" s="61">
        <f>SUM(H353:H362)</f>
        <v>0</v>
      </c>
      <c r="I363" s="86"/>
      <c r="J363" s="231"/>
      <c r="K363" s="231"/>
      <c r="L363" s="231"/>
      <c r="M363" s="231"/>
      <c r="N363" s="231"/>
      <c r="O363" s="231"/>
      <c r="P363" s="231"/>
      <c r="Q363" s="231"/>
      <c r="R363" s="231"/>
      <c r="S363" s="231"/>
      <c r="T363" s="231"/>
      <c r="U363" s="231"/>
      <c r="V363" s="231"/>
      <c r="W363" s="231"/>
      <c r="X363" s="231"/>
      <c r="Y363" s="231"/>
      <c r="Z363" s="231"/>
      <c r="AA363" s="231"/>
      <c r="AB363" s="231"/>
      <c r="AC363" s="231"/>
      <c r="AD363" s="231"/>
      <c r="AE363" s="231"/>
      <c r="AF363" s="231"/>
      <c r="AG363" s="231"/>
      <c r="AH363" s="231"/>
      <c r="AI363" s="231"/>
      <c r="AJ363" s="231"/>
      <c r="AK363" s="231"/>
      <c r="AL363" s="231"/>
      <c r="AM363" s="231"/>
      <c r="AN363" s="231"/>
      <c r="AO363" s="231"/>
    </row>
    <row r="364" spans="1:41" s="203" customFormat="1">
      <c r="A364" s="199"/>
      <c r="B364" s="15"/>
      <c r="C364" s="15"/>
      <c r="D364" s="15"/>
      <c r="E364" s="15"/>
      <c r="F364" s="15"/>
      <c r="G364" s="15"/>
      <c r="H364" s="15"/>
      <c r="I364" s="86"/>
      <c r="J364" s="231"/>
      <c r="K364" s="231"/>
      <c r="L364" s="231"/>
      <c r="M364" s="231"/>
      <c r="N364" s="231"/>
      <c r="O364" s="231"/>
      <c r="P364" s="231"/>
      <c r="Q364" s="231"/>
      <c r="R364" s="231"/>
      <c r="S364" s="231"/>
      <c r="T364" s="231"/>
      <c r="U364" s="231"/>
      <c r="V364" s="231"/>
      <c r="W364" s="231"/>
      <c r="X364" s="231"/>
      <c r="Y364" s="231"/>
      <c r="Z364" s="231"/>
      <c r="AA364" s="231"/>
      <c r="AB364" s="231"/>
      <c r="AC364" s="231"/>
      <c r="AD364" s="231"/>
      <c r="AE364" s="231"/>
      <c r="AF364" s="231"/>
      <c r="AG364" s="231"/>
      <c r="AH364" s="231"/>
      <c r="AI364" s="231"/>
      <c r="AJ364" s="231"/>
      <c r="AK364" s="231"/>
      <c r="AL364" s="231"/>
      <c r="AM364" s="231"/>
      <c r="AN364" s="231"/>
      <c r="AO364" s="231"/>
    </row>
    <row r="365" spans="1:41" s="203" customFormat="1">
      <c r="A365" s="199"/>
      <c r="B365" s="15"/>
      <c r="C365" s="15"/>
      <c r="D365" s="15"/>
      <c r="E365" s="15"/>
      <c r="F365" s="15"/>
      <c r="G365" s="15"/>
      <c r="H365" s="86"/>
      <c r="I365" s="86"/>
      <c r="J365" s="231"/>
      <c r="K365" s="231"/>
      <c r="L365" s="231"/>
      <c r="M365" s="231"/>
      <c r="N365" s="231"/>
      <c r="O365" s="231"/>
      <c r="P365" s="231"/>
      <c r="Q365" s="231"/>
      <c r="R365" s="231"/>
      <c r="S365" s="231"/>
      <c r="T365" s="231"/>
      <c r="U365" s="231"/>
      <c r="V365" s="231"/>
      <c r="W365" s="231"/>
      <c r="X365" s="231"/>
      <c r="Y365" s="231"/>
      <c r="Z365" s="231"/>
      <c r="AA365" s="231"/>
      <c r="AB365" s="231"/>
      <c r="AC365" s="231"/>
      <c r="AD365" s="231"/>
      <c r="AE365" s="231"/>
      <c r="AF365" s="231"/>
      <c r="AG365" s="231"/>
      <c r="AH365" s="231"/>
      <c r="AI365" s="231"/>
      <c r="AJ365" s="231"/>
      <c r="AK365" s="231"/>
      <c r="AL365" s="231"/>
      <c r="AM365" s="231"/>
      <c r="AN365" s="231"/>
      <c r="AO365" s="231"/>
    </row>
    <row r="366" spans="1:41" s="203" customFormat="1">
      <c r="A366" s="199"/>
      <c r="B366" s="15"/>
      <c r="C366" s="15"/>
      <c r="D366" s="15"/>
      <c r="E366" s="15"/>
      <c r="F366" s="15"/>
      <c r="G366" s="15"/>
      <c r="H366" s="86"/>
      <c r="I366" s="86"/>
      <c r="J366" s="231"/>
      <c r="K366" s="231"/>
      <c r="L366" s="231"/>
      <c r="M366" s="231"/>
      <c r="N366" s="231"/>
      <c r="O366" s="231"/>
      <c r="P366" s="231"/>
      <c r="Q366" s="231"/>
      <c r="R366" s="231"/>
      <c r="S366" s="231"/>
      <c r="T366" s="231"/>
      <c r="U366" s="231"/>
      <c r="V366" s="231"/>
      <c r="W366" s="231"/>
      <c r="X366" s="231"/>
      <c r="Y366" s="231"/>
      <c r="Z366" s="231"/>
      <c r="AA366" s="231"/>
      <c r="AB366" s="231"/>
      <c r="AC366" s="231"/>
      <c r="AD366" s="231"/>
      <c r="AE366" s="231"/>
      <c r="AF366" s="231"/>
      <c r="AG366" s="231"/>
      <c r="AH366" s="231"/>
      <c r="AI366" s="231"/>
      <c r="AJ366" s="231"/>
      <c r="AK366" s="231"/>
      <c r="AL366" s="231"/>
      <c r="AM366" s="231"/>
      <c r="AN366" s="231"/>
      <c r="AO366" s="231"/>
    </row>
    <row r="367" spans="1:41" s="8" customFormat="1">
      <c r="K367" s="231"/>
      <c r="L367" s="231"/>
      <c r="M367" s="231"/>
      <c r="N367" s="231"/>
      <c r="O367" s="231"/>
      <c r="P367" s="231"/>
      <c r="Q367" s="231"/>
      <c r="R367" s="231"/>
      <c r="S367" s="231"/>
      <c r="T367" s="231"/>
      <c r="U367" s="231"/>
      <c r="V367" s="231"/>
      <c r="W367" s="231"/>
      <c r="X367" s="231"/>
      <c r="Y367" s="231"/>
      <c r="Z367" s="231"/>
      <c r="AA367" s="231"/>
      <c r="AB367" s="231"/>
      <c r="AC367" s="231"/>
      <c r="AD367" s="231"/>
      <c r="AE367" s="231"/>
      <c r="AF367" s="231"/>
      <c r="AG367" s="231"/>
      <c r="AH367" s="231"/>
      <c r="AI367" s="231"/>
      <c r="AJ367" s="231"/>
      <c r="AK367" s="231"/>
      <c r="AL367" s="231"/>
      <c r="AM367" s="231"/>
      <c r="AN367" s="231"/>
      <c r="AO367" s="231"/>
    </row>
    <row r="368" spans="1:41" s="8" customFormat="1">
      <c r="K368" s="231"/>
      <c r="L368" s="231"/>
      <c r="M368" s="231"/>
      <c r="N368" s="231"/>
      <c r="O368" s="231"/>
      <c r="P368" s="231"/>
      <c r="Q368" s="231"/>
      <c r="R368" s="231"/>
      <c r="S368" s="231"/>
      <c r="T368" s="231"/>
      <c r="U368" s="231"/>
      <c r="V368" s="231"/>
      <c r="W368" s="231"/>
      <c r="X368" s="231"/>
      <c r="Y368" s="231"/>
      <c r="Z368" s="231"/>
      <c r="AA368" s="231"/>
      <c r="AB368" s="231"/>
      <c r="AC368" s="231"/>
      <c r="AD368" s="231"/>
      <c r="AE368" s="231"/>
      <c r="AF368" s="231"/>
      <c r="AG368" s="231"/>
      <c r="AH368" s="231"/>
      <c r="AI368" s="231"/>
      <c r="AJ368" s="231"/>
      <c r="AK368" s="231"/>
      <c r="AL368" s="231"/>
      <c r="AM368" s="231"/>
      <c r="AN368" s="231"/>
      <c r="AO368" s="231"/>
    </row>
    <row r="369" spans="11:41" s="8" customFormat="1">
      <c r="K369" s="231"/>
      <c r="L369" s="231"/>
      <c r="M369" s="231"/>
      <c r="N369" s="231"/>
      <c r="O369" s="231"/>
      <c r="P369" s="231"/>
      <c r="Q369" s="231"/>
      <c r="R369" s="231"/>
      <c r="S369" s="231"/>
      <c r="T369" s="231"/>
      <c r="U369" s="231"/>
      <c r="V369" s="231"/>
      <c r="W369" s="231"/>
      <c r="X369" s="231"/>
      <c r="Y369" s="231"/>
      <c r="Z369" s="231"/>
      <c r="AA369" s="231"/>
      <c r="AB369" s="231"/>
      <c r="AC369" s="231"/>
      <c r="AD369" s="231"/>
      <c r="AE369" s="231"/>
      <c r="AF369" s="231"/>
      <c r="AG369" s="231"/>
      <c r="AH369" s="231"/>
      <c r="AI369" s="231"/>
      <c r="AJ369" s="231"/>
      <c r="AK369" s="231"/>
      <c r="AL369" s="231"/>
      <c r="AM369" s="231"/>
      <c r="AN369" s="231"/>
      <c r="AO369" s="231"/>
    </row>
    <row r="370" spans="11:41" s="8" customFormat="1">
      <c r="K370" s="231"/>
      <c r="L370" s="231"/>
      <c r="M370" s="231"/>
      <c r="N370" s="231"/>
      <c r="O370" s="231"/>
      <c r="P370" s="231"/>
      <c r="Q370" s="231"/>
      <c r="R370" s="231"/>
      <c r="S370" s="231"/>
      <c r="T370" s="231"/>
      <c r="U370" s="231"/>
      <c r="V370" s="231"/>
      <c r="W370" s="231"/>
      <c r="X370" s="231"/>
      <c r="Y370" s="231"/>
      <c r="Z370" s="231"/>
      <c r="AA370" s="231"/>
      <c r="AB370" s="231"/>
      <c r="AC370" s="231"/>
      <c r="AD370" s="231"/>
      <c r="AE370" s="231"/>
      <c r="AF370" s="231"/>
      <c r="AG370" s="231"/>
      <c r="AH370" s="231"/>
      <c r="AI370" s="231"/>
      <c r="AJ370" s="231"/>
      <c r="AK370" s="231"/>
      <c r="AL370" s="231"/>
      <c r="AM370" s="231"/>
      <c r="AN370" s="231"/>
      <c r="AO370" s="231"/>
    </row>
    <row r="371" spans="11:41" s="8" customFormat="1">
      <c r="K371" s="231"/>
      <c r="L371" s="231"/>
      <c r="M371" s="231"/>
      <c r="N371" s="231"/>
      <c r="O371" s="231"/>
      <c r="P371" s="231"/>
      <c r="Q371" s="231"/>
      <c r="R371" s="231"/>
      <c r="S371" s="231"/>
      <c r="T371" s="231"/>
      <c r="U371" s="231"/>
      <c r="V371" s="231"/>
      <c r="W371" s="231"/>
      <c r="X371" s="231"/>
      <c r="Y371" s="231"/>
      <c r="Z371" s="231"/>
      <c r="AA371" s="231"/>
      <c r="AB371" s="231"/>
      <c r="AC371" s="231"/>
      <c r="AD371" s="231"/>
      <c r="AE371" s="231"/>
      <c r="AF371" s="231"/>
      <c r="AG371" s="231"/>
      <c r="AH371" s="231"/>
      <c r="AI371" s="231"/>
      <c r="AJ371" s="231"/>
      <c r="AK371" s="231"/>
      <c r="AL371" s="231"/>
      <c r="AM371" s="231"/>
      <c r="AN371" s="231"/>
      <c r="AO371" s="231"/>
    </row>
    <row r="372" spans="11:41" s="8" customFormat="1">
      <c r="K372" s="231"/>
      <c r="L372" s="231"/>
      <c r="M372" s="231"/>
      <c r="N372" s="231"/>
      <c r="O372" s="231"/>
      <c r="P372" s="231"/>
      <c r="Q372" s="231"/>
      <c r="R372" s="231"/>
      <c r="S372" s="231"/>
      <c r="T372" s="231"/>
      <c r="U372" s="231"/>
      <c r="V372" s="231"/>
      <c r="W372" s="231"/>
      <c r="X372" s="231"/>
      <c r="Y372" s="231"/>
      <c r="Z372" s="231"/>
      <c r="AA372" s="231"/>
      <c r="AB372" s="231"/>
      <c r="AC372" s="231"/>
      <c r="AD372" s="231"/>
      <c r="AE372" s="231"/>
      <c r="AF372" s="231"/>
      <c r="AG372" s="231"/>
      <c r="AH372" s="231"/>
      <c r="AI372" s="231"/>
      <c r="AJ372" s="231"/>
      <c r="AK372" s="231"/>
      <c r="AL372" s="231"/>
      <c r="AM372" s="231"/>
      <c r="AN372" s="231"/>
      <c r="AO372" s="231"/>
    </row>
    <row r="373" spans="11:41" s="8" customFormat="1">
      <c r="K373" s="231"/>
      <c r="L373" s="231"/>
      <c r="M373" s="231"/>
      <c r="N373" s="231"/>
      <c r="O373" s="231"/>
      <c r="P373" s="231"/>
      <c r="Q373" s="231"/>
      <c r="R373" s="231"/>
      <c r="S373" s="231"/>
      <c r="T373" s="231"/>
      <c r="U373" s="231"/>
      <c r="V373" s="231"/>
      <c r="W373" s="231"/>
      <c r="X373" s="231"/>
      <c r="Y373" s="231"/>
      <c r="Z373" s="231"/>
      <c r="AA373" s="231"/>
      <c r="AB373" s="231"/>
      <c r="AC373" s="231"/>
      <c r="AD373" s="231"/>
      <c r="AE373" s="231"/>
      <c r="AF373" s="231"/>
      <c r="AG373" s="231"/>
      <c r="AH373" s="231"/>
      <c r="AI373" s="231"/>
      <c r="AJ373" s="231"/>
      <c r="AK373" s="231"/>
      <c r="AL373" s="231"/>
      <c r="AM373" s="231"/>
      <c r="AN373" s="231"/>
      <c r="AO373" s="231"/>
    </row>
    <row r="374" spans="11:41" s="8" customFormat="1">
      <c r="K374" s="231"/>
      <c r="L374" s="231"/>
      <c r="M374" s="231"/>
      <c r="N374" s="231"/>
      <c r="O374" s="231"/>
      <c r="P374" s="231"/>
      <c r="Q374" s="231"/>
      <c r="R374" s="231"/>
      <c r="S374" s="231"/>
      <c r="T374" s="231"/>
      <c r="U374" s="231"/>
      <c r="V374" s="231"/>
      <c r="W374" s="231"/>
      <c r="X374" s="231"/>
      <c r="Y374" s="231"/>
      <c r="Z374" s="231"/>
      <c r="AA374" s="231"/>
      <c r="AB374" s="231"/>
      <c r="AC374" s="231"/>
      <c r="AD374" s="231"/>
      <c r="AE374" s="231"/>
      <c r="AF374" s="231"/>
      <c r="AG374" s="231"/>
      <c r="AH374" s="231"/>
      <c r="AI374" s="231"/>
      <c r="AJ374" s="231"/>
      <c r="AK374" s="231"/>
      <c r="AL374" s="231"/>
      <c r="AM374" s="231"/>
      <c r="AN374" s="231"/>
      <c r="AO374" s="231"/>
    </row>
    <row r="375" spans="11:41" s="8" customFormat="1">
      <c r="K375" s="231"/>
      <c r="L375" s="231"/>
      <c r="M375" s="231"/>
      <c r="N375" s="231"/>
      <c r="O375" s="231"/>
      <c r="P375" s="231"/>
      <c r="Q375" s="231"/>
      <c r="R375" s="231"/>
      <c r="S375" s="231"/>
      <c r="T375" s="231"/>
      <c r="U375" s="231"/>
      <c r="V375" s="231"/>
      <c r="W375" s="231"/>
      <c r="X375" s="231"/>
      <c r="Y375" s="231"/>
      <c r="Z375" s="231"/>
      <c r="AA375" s="231"/>
      <c r="AB375" s="231"/>
      <c r="AC375" s="231"/>
      <c r="AD375" s="231"/>
      <c r="AE375" s="231"/>
      <c r="AF375" s="231"/>
      <c r="AG375" s="231"/>
      <c r="AH375" s="231"/>
      <c r="AI375" s="231"/>
      <c r="AJ375" s="231"/>
      <c r="AK375" s="231"/>
      <c r="AL375" s="231"/>
      <c r="AM375" s="231"/>
      <c r="AN375" s="231"/>
      <c r="AO375" s="231"/>
    </row>
    <row r="376" spans="11:41" s="8" customFormat="1">
      <c r="K376" s="231"/>
      <c r="L376" s="231"/>
      <c r="M376" s="231"/>
      <c r="N376" s="231"/>
      <c r="O376" s="231"/>
      <c r="P376" s="231"/>
      <c r="Q376" s="231"/>
      <c r="R376" s="231"/>
      <c r="S376" s="231"/>
      <c r="T376" s="231"/>
      <c r="U376" s="231"/>
      <c r="V376" s="231"/>
      <c r="W376" s="231"/>
      <c r="X376" s="231"/>
      <c r="Y376" s="231"/>
      <c r="Z376" s="231"/>
      <c r="AA376" s="231"/>
      <c r="AB376" s="231"/>
      <c r="AC376" s="231"/>
      <c r="AD376" s="231"/>
      <c r="AE376" s="231"/>
      <c r="AF376" s="231"/>
      <c r="AG376" s="231"/>
      <c r="AH376" s="231"/>
      <c r="AI376" s="231"/>
      <c r="AJ376" s="231"/>
      <c r="AK376" s="231"/>
      <c r="AL376" s="231"/>
      <c r="AM376" s="231"/>
      <c r="AN376" s="231"/>
      <c r="AO376" s="231"/>
    </row>
    <row r="377" spans="11:41" s="8" customFormat="1">
      <c r="K377" s="231"/>
      <c r="L377" s="231"/>
      <c r="M377" s="231"/>
      <c r="N377" s="231"/>
      <c r="O377" s="231"/>
      <c r="P377" s="231"/>
      <c r="Q377" s="231"/>
      <c r="R377" s="231"/>
      <c r="S377" s="231"/>
      <c r="T377" s="231"/>
      <c r="U377" s="231"/>
      <c r="V377" s="231"/>
      <c r="W377" s="231"/>
      <c r="X377" s="231"/>
      <c r="Y377" s="231"/>
      <c r="Z377" s="231"/>
      <c r="AA377" s="231"/>
      <c r="AB377" s="231"/>
      <c r="AC377" s="231"/>
      <c r="AD377" s="231"/>
      <c r="AE377" s="231"/>
      <c r="AF377" s="231"/>
      <c r="AG377" s="231"/>
      <c r="AH377" s="231"/>
      <c r="AI377" s="231"/>
      <c r="AJ377" s="231"/>
      <c r="AK377" s="231"/>
      <c r="AL377" s="231"/>
      <c r="AM377" s="231"/>
      <c r="AN377" s="231"/>
      <c r="AO377" s="231"/>
    </row>
    <row r="378" spans="11:41" s="8" customFormat="1">
      <c r="K378" s="231"/>
      <c r="L378" s="231"/>
      <c r="M378" s="231"/>
      <c r="N378" s="231"/>
      <c r="O378" s="231"/>
      <c r="P378" s="231"/>
      <c r="Q378" s="231"/>
      <c r="R378" s="231"/>
      <c r="S378" s="231"/>
      <c r="T378" s="231"/>
      <c r="U378" s="231"/>
      <c r="V378" s="231"/>
      <c r="W378" s="231"/>
      <c r="X378" s="231"/>
      <c r="Y378" s="231"/>
      <c r="Z378" s="231"/>
      <c r="AA378" s="231"/>
      <c r="AB378" s="231"/>
      <c r="AC378" s="231"/>
      <c r="AD378" s="231"/>
      <c r="AE378" s="231"/>
      <c r="AF378" s="231"/>
      <c r="AG378" s="231"/>
      <c r="AH378" s="231"/>
      <c r="AI378" s="231"/>
      <c r="AJ378" s="231"/>
      <c r="AK378" s="231"/>
      <c r="AL378" s="231"/>
      <c r="AM378" s="231"/>
      <c r="AN378" s="231"/>
      <c r="AO378" s="231"/>
    </row>
    <row r="379" spans="11:41" s="8" customFormat="1">
      <c r="K379" s="231"/>
      <c r="L379" s="231"/>
      <c r="M379" s="231"/>
      <c r="N379" s="231"/>
      <c r="O379" s="231"/>
      <c r="P379" s="231"/>
      <c r="Q379" s="231"/>
      <c r="R379" s="231"/>
      <c r="S379" s="231"/>
      <c r="T379" s="231"/>
      <c r="U379" s="231"/>
      <c r="V379" s="231"/>
      <c r="W379" s="231"/>
      <c r="X379" s="231"/>
      <c r="Y379" s="231"/>
      <c r="Z379" s="231"/>
      <c r="AA379" s="231"/>
      <c r="AB379" s="231"/>
      <c r="AC379" s="231"/>
      <c r="AD379" s="231"/>
      <c r="AE379" s="231"/>
      <c r="AF379" s="231"/>
      <c r="AG379" s="231"/>
      <c r="AH379" s="231"/>
      <c r="AI379" s="231"/>
      <c r="AJ379" s="231"/>
      <c r="AK379" s="231"/>
      <c r="AL379" s="231"/>
      <c r="AM379" s="231"/>
      <c r="AN379" s="231"/>
      <c r="AO379" s="231"/>
    </row>
    <row r="380" spans="11:41" s="8" customFormat="1">
      <c r="K380" s="231"/>
      <c r="L380" s="231"/>
      <c r="M380" s="231"/>
      <c r="N380" s="231"/>
      <c r="O380" s="231"/>
      <c r="P380" s="231"/>
      <c r="Q380" s="231"/>
      <c r="R380" s="231"/>
      <c r="S380" s="231"/>
      <c r="T380" s="231"/>
      <c r="U380" s="231"/>
      <c r="V380" s="231"/>
      <c r="W380" s="231"/>
      <c r="X380" s="231"/>
      <c r="Y380" s="231"/>
      <c r="Z380" s="231"/>
      <c r="AA380" s="231"/>
      <c r="AB380" s="231"/>
      <c r="AC380" s="231"/>
      <c r="AD380" s="231"/>
      <c r="AE380" s="231"/>
      <c r="AF380" s="231"/>
      <c r="AG380" s="231"/>
      <c r="AH380" s="231"/>
      <c r="AI380" s="231"/>
      <c r="AJ380" s="231"/>
      <c r="AK380" s="231"/>
      <c r="AL380" s="231"/>
      <c r="AM380" s="231"/>
      <c r="AN380" s="231"/>
      <c r="AO380" s="231"/>
    </row>
    <row r="381" spans="11:41" s="8" customFormat="1">
      <c r="K381" s="231"/>
      <c r="L381" s="231"/>
      <c r="M381" s="231"/>
      <c r="N381" s="231"/>
      <c r="O381" s="231"/>
      <c r="P381" s="231"/>
      <c r="Q381" s="231"/>
      <c r="R381" s="231"/>
      <c r="S381" s="231"/>
      <c r="T381" s="231"/>
      <c r="U381" s="231"/>
      <c r="V381" s="231"/>
      <c r="W381" s="231"/>
      <c r="X381" s="231"/>
      <c r="Y381" s="231"/>
      <c r="Z381" s="231"/>
      <c r="AA381" s="231"/>
      <c r="AB381" s="231"/>
      <c r="AC381" s="231"/>
      <c r="AD381" s="231"/>
      <c r="AE381" s="231"/>
      <c r="AF381" s="231"/>
      <c r="AG381" s="231"/>
      <c r="AH381" s="231"/>
      <c r="AI381" s="231"/>
      <c r="AJ381" s="231"/>
      <c r="AK381" s="231"/>
      <c r="AL381" s="231"/>
      <c r="AM381" s="231"/>
      <c r="AN381" s="231"/>
      <c r="AO381" s="231"/>
    </row>
    <row r="382" spans="11:41" s="8" customFormat="1">
      <c r="K382" s="231"/>
      <c r="L382" s="231"/>
      <c r="M382" s="231"/>
      <c r="N382" s="231"/>
      <c r="O382" s="231"/>
      <c r="P382" s="231"/>
      <c r="Q382" s="231"/>
      <c r="R382" s="231"/>
      <c r="S382" s="231"/>
      <c r="T382" s="231"/>
      <c r="U382" s="231"/>
      <c r="V382" s="231"/>
      <c r="W382" s="231"/>
      <c r="X382" s="231"/>
      <c r="Y382" s="231"/>
      <c r="Z382" s="231"/>
      <c r="AA382" s="231"/>
      <c r="AB382" s="231"/>
      <c r="AC382" s="231"/>
      <c r="AD382" s="231"/>
      <c r="AE382" s="231"/>
      <c r="AF382" s="231"/>
      <c r="AG382" s="231"/>
      <c r="AH382" s="231"/>
      <c r="AI382" s="231"/>
      <c r="AJ382" s="231"/>
      <c r="AK382" s="231"/>
      <c r="AL382" s="231"/>
      <c r="AM382" s="231"/>
      <c r="AN382" s="231"/>
      <c r="AO382" s="231"/>
    </row>
    <row r="383" spans="11:41" s="8" customFormat="1">
      <c r="K383" s="231"/>
      <c r="L383" s="231"/>
      <c r="M383" s="231"/>
      <c r="N383" s="231"/>
      <c r="O383" s="231"/>
      <c r="P383" s="231"/>
      <c r="Q383" s="231"/>
      <c r="R383" s="231"/>
      <c r="S383" s="231"/>
      <c r="T383" s="231"/>
      <c r="U383" s="231"/>
      <c r="V383" s="231"/>
      <c r="W383" s="231"/>
      <c r="X383" s="231"/>
      <c r="Y383" s="231"/>
      <c r="Z383" s="231"/>
      <c r="AA383" s="231"/>
      <c r="AB383" s="231"/>
      <c r="AC383" s="231"/>
      <c r="AD383" s="231"/>
      <c r="AE383" s="231"/>
      <c r="AF383" s="231"/>
      <c r="AG383" s="231"/>
      <c r="AH383" s="231"/>
      <c r="AI383" s="231"/>
      <c r="AJ383" s="231"/>
      <c r="AK383" s="231"/>
      <c r="AL383" s="231"/>
      <c r="AM383" s="231"/>
      <c r="AN383" s="231"/>
      <c r="AO383" s="231"/>
    </row>
    <row r="384" spans="11:41" s="8" customFormat="1">
      <c r="K384" s="231"/>
      <c r="L384" s="231"/>
      <c r="M384" s="231"/>
      <c r="N384" s="231"/>
      <c r="O384" s="231"/>
      <c r="P384" s="231"/>
      <c r="Q384" s="231"/>
      <c r="R384" s="231"/>
      <c r="S384" s="231"/>
      <c r="T384" s="231"/>
      <c r="U384" s="231"/>
      <c r="V384" s="231"/>
      <c r="W384" s="231"/>
      <c r="X384" s="231"/>
      <c r="Y384" s="231"/>
      <c r="Z384" s="231"/>
      <c r="AA384" s="231"/>
      <c r="AB384" s="231"/>
      <c r="AC384" s="231"/>
      <c r="AD384" s="231"/>
      <c r="AE384" s="231"/>
      <c r="AF384" s="231"/>
      <c r="AG384" s="231"/>
      <c r="AH384" s="231"/>
      <c r="AI384" s="231"/>
      <c r="AJ384" s="231"/>
      <c r="AK384" s="231"/>
      <c r="AL384" s="231"/>
      <c r="AM384" s="231"/>
      <c r="AN384" s="231"/>
      <c r="AO384" s="231"/>
    </row>
    <row r="385" spans="1:41" s="8" customFormat="1">
      <c r="K385" s="231"/>
      <c r="L385" s="231"/>
      <c r="M385" s="231"/>
      <c r="N385" s="231"/>
      <c r="O385" s="231"/>
      <c r="P385" s="231"/>
      <c r="Q385" s="231"/>
      <c r="R385" s="231"/>
      <c r="S385" s="231"/>
      <c r="T385" s="231"/>
      <c r="U385" s="231"/>
      <c r="V385" s="231"/>
      <c r="W385" s="231"/>
      <c r="X385" s="231"/>
      <c r="Y385" s="231"/>
      <c r="Z385" s="231"/>
      <c r="AA385" s="231"/>
      <c r="AB385" s="231"/>
      <c r="AC385" s="231"/>
      <c r="AD385" s="231"/>
      <c r="AE385" s="231"/>
      <c r="AF385" s="231"/>
      <c r="AG385" s="231"/>
      <c r="AH385" s="231"/>
      <c r="AI385" s="231"/>
      <c r="AJ385" s="231"/>
      <c r="AK385" s="231"/>
      <c r="AL385" s="231"/>
      <c r="AM385" s="231"/>
      <c r="AN385" s="231"/>
      <c r="AO385" s="231"/>
    </row>
    <row r="386" spans="1:41" s="8" customFormat="1">
      <c r="K386" s="231"/>
      <c r="L386" s="231"/>
      <c r="M386" s="231"/>
      <c r="N386" s="231"/>
      <c r="O386" s="231"/>
      <c r="P386" s="231"/>
      <c r="Q386" s="231"/>
      <c r="R386" s="231"/>
      <c r="S386" s="231"/>
      <c r="T386" s="231"/>
      <c r="U386" s="231"/>
      <c r="V386" s="231"/>
      <c r="W386" s="231"/>
      <c r="X386" s="231"/>
      <c r="Y386" s="231"/>
      <c r="Z386" s="231"/>
      <c r="AA386" s="231"/>
      <c r="AB386" s="231"/>
      <c r="AC386" s="231"/>
      <c r="AD386" s="231"/>
      <c r="AE386" s="231"/>
      <c r="AF386" s="231"/>
      <c r="AG386" s="231"/>
      <c r="AH386" s="231"/>
      <c r="AI386" s="231"/>
      <c r="AJ386" s="231"/>
      <c r="AK386" s="231"/>
      <c r="AL386" s="231"/>
      <c r="AM386" s="231"/>
      <c r="AN386" s="231"/>
      <c r="AO386" s="231"/>
    </row>
    <row r="387" spans="1:41" s="8" customFormat="1">
      <c r="K387" s="231"/>
      <c r="L387" s="231"/>
      <c r="M387" s="231"/>
      <c r="N387" s="231"/>
      <c r="O387" s="231"/>
      <c r="P387" s="231"/>
      <c r="Q387" s="231"/>
      <c r="R387" s="231"/>
      <c r="S387" s="231"/>
      <c r="T387" s="231"/>
      <c r="U387" s="231"/>
      <c r="V387" s="231"/>
      <c r="W387" s="231"/>
      <c r="X387" s="231"/>
      <c r="Y387" s="231"/>
      <c r="Z387" s="231"/>
      <c r="AA387" s="231"/>
      <c r="AB387" s="231"/>
      <c r="AC387" s="231"/>
      <c r="AD387" s="231"/>
      <c r="AE387" s="231"/>
      <c r="AF387" s="231"/>
      <c r="AG387" s="231"/>
      <c r="AH387" s="231"/>
      <c r="AI387" s="231"/>
      <c r="AJ387" s="231"/>
      <c r="AK387" s="231"/>
      <c r="AL387" s="231"/>
      <c r="AM387" s="231"/>
      <c r="AN387" s="231"/>
      <c r="AO387" s="231"/>
    </row>
    <row r="388" spans="1:41" s="8" customFormat="1">
      <c r="K388" s="231"/>
      <c r="L388" s="231"/>
      <c r="M388" s="231"/>
      <c r="N388" s="231"/>
      <c r="O388" s="231"/>
      <c r="P388" s="231"/>
      <c r="Q388" s="231"/>
      <c r="R388" s="231"/>
      <c r="S388" s="231"/>
      <c r="T388" s="231"/>
      <c r="U388" s="231"/>
      <c r="V388" s="231"/>
      <c r="W388" s="231"/>
      <c r="X388" s="231"/>
      <c r="Y388" s="231"/>
      <c r="Z388" s="231"/>
      <c r="AA388" s="231"/>
      <c r="AB388" s="231"/>
      <c r="AC388" s="231"/>
      <c r="AD388" s="231"/>
      <c r="AE388" s="231"/>
      <c r="AF388" s="231"/>
      <c r="AG388" s="231"/>
      <c r="AH388" s="231"/>
      <c r="AI388" s="231"/>
      <c r="AJ388" s="231"/>
      <c r="AK388" s="231"/>
      <c r="AL388" s="231"/>
      <c r="AM388" s="231"/>
      <c r="AN388" s="231"/>
      <c r="AO388" s="231"/>
    </row>
    <row r="389" spans="1:41" s="8" customFormat="1">
      <c r="K389" s="231"/>
      <c r="L389" s="231"/>
      <c r="M389" s="231"/>
      <c r="N389" s="231"/>
      <c r="O389" s="231"/>
      <c r="P389" s="231"/>
      <c r="Q389" s="231"/>
      <c r="R389" s="231"/>
      <c r="S389" s="231"/>
      <c r="T389" s="231"/>
      <c r="U389" s="231"/>
      <c r="V389" s="231"/>
      <c r="W389" s="231"/>
      <c r="X389" s="231"/>
      <c r="Y389" s="231"/>
      <c r="Z389" s="231"/>
      <c r="AA389" s="231"/>
      <c r="AB389" s="231"/>
      <c r="AC389" s="231"/>
      <c r="AD389" s="231"/>
      <c r="AE389" s="231"/>
      <c r="AF389" s="231"/>
      <c r="AG389" s="231"/>
      <c r="AH389" s="231"/>
      <c r="AI389" s="231"/>
      <c r="AJ389" s="231"/>
      <c r="AK389" s="231"/>
      <c r="AL389" s="231"/>
      <c r="AM389" s="231"/>
      <c r="AN389" s="231"/>
      <c r="AO389" s="231"/>
    </row>
    <row r="390" spans="1:41" s="8" customFormat="1">
      <c r="K390" s="231"/>
      <c r="L390" s="231"/>
      <c r="M390" s="231"/>
      <c r="N390" s="231"/>
      <c r="O390" s="231"/>
      <c r="P390" s="231"/>
      <c r="Q390" s="231"/>
      <c r="R390" s="231"/>
      <c r="S390" s="231"/>
      <c r="T390" s="231"/>
      <c r="U390" s="231"/>
      <c r="V390" s="231"/>
      <c r="W390" s="231"/>
      <c r="X390" s="231"/>
      <c r="Y390" s="231"/>
      <c r="Z390" s="231"/>
      <c r="AA390" s="231"/>
      <c r="AB390" s="231"/>
      <c r="AC390" s="231"/>
      <c r="AD390" s="231"/>
      <c r="AE390" s="231"/>
      <c r="AF390" s="231"/>
      <c r="AG390" s="231"/>
      <c r="AH390" s="231"/>
      <c r="AI390" s="231"/>
      <c r="AJ390" s="231"/>
      <c r="AK390" s="231"/>
      <c r="AL390" s="231"/>
      <c r="AM390" s="231"/>
      <c r="AN390" s="231"/>
      <c r="AO390" s="231"/>
    </row>
    <row r="391" spans="1:41" s="8" customFormat="1">
      <c r="K391" s="231"/>
      <c r="L391" s="231"/>
      <c r="M391" s="231"/>
      <c r="N391" s="231"/>
      <c r="O391" s="231"/>
      <c r="P391" s="231"/>
      <c r="Q391" s="231"/>
      <c r="R391" s="231"/>
      <c r="S391" s="231"/>
      <c r="T391" s="231"/>
      <c r="U391" s="231"/>
      <c r="V391" s="231"/>
      <c r="W391" s="231"/>
      <c r="X391" s="231"/>
      <c r="Y391" s="231"/>
      <c r="Z391" s="231"/>
      <c r="AA391" s="231"/>
      <c r="AB391" s="231"/>
      <c r="AC391" s="231"/>
      <c r="AD391" s="231"/>
      <c r="AE391" s="231"/>
      <c r="AF391" s="231"/>
      <c r="AG391" s="231"/>
      <c r="AH391" s="231"/>
      <c r="AI391" s="231"/>
      <c r="AJ391" s="231"/>
      <c r="AK391" s="231"/>
      <c r="AL391" s="231"/>
      <c r="AM391" s="231"/>
      <c r="AN391" s="231"/>
      <c r="AO391" s="231"/>
    </row>
    <row r="392" spans="1:41" s="8" customFormat="1">
      <c r="K392" s="231"/>
      <c r="L392" s="231"/>
      <c r="M392" s="231"/>
      <c r="N392" s="231"/>
      <c r="O392" s="231"/>
      <c r="P392" s="231"/>
      <c r="Q392" s="231"/>
      <c r="R392" s="231"/>
      <c r="S392" s="231"/>
      <c r="T392" s="231"/>
      <c r="U392" s="231"/>
      <c r="V392" s="231"/>
      <c r="W392" s="231"/>
      <c r="X392" s="231"/>
      <c r="Y392" s="231"/>
      <c r="Z392" s="231"/>
      <c r="AA392" s="231"/>
      <c r="AB392" s="231"/>
      <c r="AC392" s="231"/>
      <c r="AD392" s="231"/>
      <c r="AE392" s="231"/>
      <c r="AF392" s="231"/>
      <c r="AG392" s="231"/>
      <c r="AH392" s="231"/>
      <c r="AI392" s="231"/>
      <c r="AJ392" s="231"/>
      <c r="AK392" s="231"/>
      <c r="AL392" s="231"/>
      <c r="AM392" s="231"/>
      <c r="AN392" s="231"/>
      <c r="AO392" s="231"/>
    </row>
    <row r="393" spans="1:41" s="8" customFormat="1">
      <c r="K393" s="231"/>
      <c r="L393" s="231"/>
      <c r="M393" s="231"/>
      <c r="N393" s="231"/>
      <c r="O393" s="231"/>
      <c r="P393" s="231"/>
      <c r="Q393" s="231"/>
      <c r="R393" s="231"/>
      <c r="S393" s="231"/>
      <c r="T393" s="231"/>
      <c r="U393" s="231"/>
      <c r="V393" s="231"/>
      <c r="W393" s="231"/>
      <c r="X393" s="231"/>
      <c r="Y393" s="231"/>
      <c r="Z393" s="231"/>
      <c r="AA393" s="231"/>
      <c r="AB393" s="231"/>
      <c r="AC393" s="231"/>
      <c r="AD393" s="231"/>
      <c r="AE393" s="231"/>
      <c r="AF393" s="231"/>
      <c r="AG393" s="231"/>
      <c r="AH393" s="231"/>
      <c r="AI393" s="231"/>
      <c r="AJ393" s="231"/>
      <c r="AK393" s="231"/>
      <c r="AL393" s="231"/>
      <c r="AM393" s="231"/>
      <c r="AN393" s="231"/>
      <c r="AO393" s="231"/>
    </row>
    <row r="394" spans="1:41" s="8" customFormat="1">
      <c r="K394" s="231"/>
      <c r="L394" s="231"/>
      <c r="M394" s="231"/>
      <c r="N394" s="231"/>
      <c r="O394" s="231"/>
      <c r="P394" s="231"/>
      <c r="Q394" s="231"/>
      <c r="R394" s="231"/>
      <c r="S394" s="231"/>
      <c r="T394" s="231"/>
      <c r="U394" s="231"/>
      <c r="V394" s="231"/>
      <c r="W394" s="231"/>
      <c r="X394" s="231"/>
      <c r="Y394" s="231"/>
      <c r="Z394" s="231"/>
      <c r="AA394" s="231"/>
      <c r="AB394" s="231"/>
      <c r="AC394" s="231"/>
      <c r="AD394" s="231"/>
      <c r="AE394" s="231"/>
      <c r="AF394" s="231"/>
      <c r="AG394" s="231"/>
      <c r="AH394" s="231"/>
      <c r="AI394" s="231"/>
      <c r="AJ394" s="231"/>
      <c r="AK394" s="231"/>
      <c r="AL394" s="231"/>
      <c r="AM394" s="231"/>
      <c r="AN394" s="231"/>
      <c r="AO394" s="231"/>
    </row>
    <row r="395" spans="1:41" s="8" customFormat="1">
      <c r="K395" s="231"/>
      <c r="L395" s="231"/>
      <c r="M395" s="231"/>
      <c r="N395" s="231"/>
      <c r="O395" s="231"/>
      <c r="P395" s="231"/>
      <c r="Q395" s="231"/>
      <c r="R395" s="231"/>
      <c r="S395" s="231"/>
      <c r="T395" s="231"/>
      <c r="U395" s="231"/>
      <c r="V395" s="231"/>
      <c r="W395" s="231"/>
      <c r="X395" s="231"/>
      <c r="Y395" s="231"/>
      <c r="Z395" s="231"/>
      <c r="AA395" s="231"/>
      <c r="AB395" s="231"/>
      <c r="AC395" s="231"/>
      <c r="AD395" s="231"/>
      <c r="AE395" s="231"/>
      <c r="AF395" s="231"/>
      <c r="AG395" s="231"/>
      <c r="AH395" s="231"/>
      <c r="AI395" s="231"/>
      <c r="AJ395" s="231"/>
      <c r="AK395" s="231"/>
      <c r="AL395" s="231"/>
      <c r="AM395" s="231"/>
      <c r="AN395" s="231"/>
      <c r="AO395" s="231"/>
    </row>
    <row r="396" spans="1:41" s="8" customFormat="1">
      <c r="K396" s="231"/>
      <c r="L396" s="231"/>
      <c r="M396" s="231"/>
      <c r="N396" s="231"/>
      <c r="O396" s="231"/>
      <c r="P396" s="231"/>
      <c r="Q396" s="231"/>
      <c r="R396" s="231"/>
      <c r="S396" s="231"/>
      <c r="T396" s="231"/>
      <c r="U396" s="231"/>
      <c r="V396" s="231"/>
      <c r="W396" s="231"/>
      <c r="X396" s="231"/>
      <c r="Y396" s="231"/>
      <c r="Z396" s="231"/>
      <c r="AA396" s="231"/>
      <c r="AB396" s="231"/>
      <c r="AC396" s="231"/>
      <c r="AD396" s="231"/>
      <c r="AE396" s="231"/>
      <c r="AF396" s="231"/>
      <c r="AG396" s="231"/>
      <c r="AH396" s="231"/>
      <c r="AI396" s="231"/>
      <c r="AJ396" s="231"/>
      <c r="AK396" s="231"/>
      <c r="AL396" s="231"/>
      <c r="AM396" s="231"/>
      <c r="AN396" s="231"/>
      <c r="AO396" s="231"/>
    </row>
    <row r="397" spans="1:41" s="8" customFormat="1">
      <c r="K397" s="231"/>
      <c r="L397" s="231"/>
      <c r="M397" s="231"/>
      <c r="N397" s="231"/>
      <c r="O397" s="231"/>
      <c r="P397" s="231"/>
      <c r="Q397" s="231"/>
      <c r="R397" s="231"/>
      <c r="S397" s="231"/>
      <c r="T397" s="231"/>
      <c r="U397" s="231"/>
      <c r="V397" s="231"/>
      <c r="W397" s="231"/>
      <c r="X397" s="231"/>
      <c r="Y397" s="231"/>
      <c r="Z397" s="231"/>
      <c r="AA397" s="231"/>
      <c r="AB397" s="231"/>
      <c r="AC397" s="231"/>
      <c r="AD397" s="231"/>
      <c r="AE397" s="231"/>
      <c r="AF397" s="231"/>
      <c r="AG397" s="231"/>
      <c r="AH397" s="231"/>
      <c r="AI397" s="231"/>
      <c r="AJ397" s="231"/>
      <c r="AK397" s="231"/>
      <c r="AL397" s="231"/>
      <c r="AM397" s="231"/>
      <c r="AN397" s="231"/>
      <c r="AO397" s="231"/>
    </row>
    <row r="398" spans="1:41">
      <c r="A398" s="8"/>
      <c r="B398" s="8"/>
      <c r="C398" s="8"/>
      <c r="D398" s="8"/>
      <c r="E398" s="8"/>
      <c r="F398" s="8"/>
      <c r="G398" s="8"/>
      <c r="H398" s="8"/>
      <c r="I398" s="8"/>
    </row>
    <row r="399" spans="1:41">
      <c r="A399" s="8"/>
      <c r="B399" s="8"/>
      <c r="C399" s="8"/>
      <c r="D399" s="8"/>
      <c r="E399" s="8"/>
      <c r="F399" s="8"/>
      <c r="G399" s="8"/>
      <c r="H399" s="8"/>
      <c r="I399" s="8"/>
    </row>
    <row r="400" spans="1:41">
      <c r="A400" s="8"/>
      <c r="B400" s="8"/>
      <c r="C400" s="8"/>
      <c r="D400" s="8"/>
      <c r="E400" s="8"/>
      <c r="F400" s="8"/>
      <c r="G400" s="8"/>
      <c r="H400" s="8"/>
      <c r="I400" s="8"/>
    </row>
    <row r="401" spans="1:9">
      <c r="A401" s="8"/>
      <c r="B401" s="8"/>
      <c r="C401" s="8"/>
      <c r="D401" s="8"/>
      <c r="E401" s="8"/>
      <c r="F401" s="8"/>
      <c r="G401" s="8"/>
      <c r="H401" s="8"/>
      <c r="I401" s="8"/>
    </row>
    <row r="402" spans="1:9">
      <c r="A402" s="8"/>
      <c r="B402" s="8"/>
      <c r="C402" s="8"/>
      <c r="D402" s="8"/>
      <c r="E402" s="8"/>
      <c r="F402" s="8"/>
      <c r="G402" s="8"/>
      <c r="H402" s="8"/>
      <c r="I402" s="8"/>
    </row>
    <row r="403" spans="1:9">
      <c r="A403" s="8"/>
      <c r="B403" s="8"/>
      <c r="C403" s="8"/>
      <c r="D403" s="8"/>
      <c r="E403" s="8"/>
      <c r="F403" s="8"/>
      <c r="G403" s="8"/>
      <c r="H403" s="8"/>
      <c r="I403" s="8"/>
    </row>
    <row r="404" spans="1:9">
      <c r="A404" s="8"/>
      <c r="B404" s="8"/>
      <c r="C404" s="8"/>
      <c r="D404" s="8"/>
      <c r="E404" s="8"/>
      <c r="F404" s="8"/>
      <c r="G404" s="8"/>
      <c r="H404" s="8"/>
      <c r="I404" s="8"/>
    </row>
    <row r="405" spans="1:9">
      <c r="A405" s="8"/>
      <c r="B405" s="8"/>
      <c r="C405" s="8"/>
      <c r="D405" s="8"/>
      <c r="E405" s="8"/>
      <c r="F405" s="8"/>
      <c r="G405" s="8"/>
      <c r="H405" s="8"/>
      <c r="I405" s="8"/>
    </row>
    <row r="406" spans="1:9">
      <c r="A406" s="8"/>
      <c r="B406" s="8"/>
      <c r="C406" s="8"/>
      <c r="D406" s="8"/>
      <c r="E406" s="8"/>
      <c r="F406" s="8"/>
      <c r="G406" s="8"/>
      <c r="H406" s="8"/>
      <c r="I406" s="8"/>
    </row>
    <row r="407" spans="1:9">
      <c r="A407" s="8"/>
      <c r="B407" s="8"/>
      <c r="C407" s="8"/>
      <c r="D407" s="8"/>
      <c r="E407" s="8"/>
      <c r="F407" s="8"/>
      <c r="G407" s="8"/>
      <c r="H407" s="8"/>
      <c r="I407" s="8"/>
    </row>
    <row r="408" spans="1:9">
      <c r="A408" s="8"/>
      <c r="B408" s="8"/>
      <c r="C408" s="8"/>
      <c r="D408" s="8"/>
      <c r="E408" s="8"/>
      <c r="F408" s="8"/>
      <c r="G408" s="8"/>
      <c r="H408" s="8"/>
      <c r="I408" s="8"/>
    </row>
    <row r="409" spans="1:9">
      <c r="A409" s="8"/>
      <c r="B409" s="8"/>
      <c r="C409" s="8"/>
      <c r="D409" s="8"/>
      <c r="E409" s="8"/>
      <c r="F409" s="8"/>
      <c r="G409" s="8"/>
      <c r="H409" s="8"/>
      <c r="I409" s="8"/>
    </row>
    <row r="410" spans="1:9">
      <c r="A410" s="8"/>
      <c r="B410" s="8"/>
      <c r="C410" s="8"/>
      <c r="D410" s="8"/>
      <c r="E410" s="8"/>
      <c r="F410" s="8"/>
      <c r="G410" s="8"/>
      <c r="H410" s="8"/>
      <c r="I410" s="8"/>
    </row>
    <row r="411" spans="1:9">
      <c r="A411" s="8"/>
      <c r="B411" s="8"/>
      <c r="C411" s="8"/>
      <c r="D411" s="8"/>
      <c r="E411" s="8"/>
      <c r="F411" s="8"/>
      <c r="G411" s="8"/>
      <c r="H411" s="8"/>
      <c r="I411" s="8"/>
    </row>
    <row r="412" spans="1:9">
      <c r="A412" s="8"/>
      <c r="B412" s="8"/>
      <c r="C412" s="8"/>
      <c r="D412" s="8"/>
      <c r="E412" s="8"/>
      <c r="F412" s="8"/>
      <c r="G412" s="8"/>
      <c r="H412" s="8"/>
      <c r="I412" s="8"/>
    </row>
  </sheetData>
  <mergeCells count="59">
    <mergeCell ref="I66:I70"/>
    <mergeCell ref="F341:F345"/>
    <mergeCell ref="H341:H345"/>
    <mergeCell ref="E261:E265"/>
    <mergeCell ref="F261:F265"/>
    <mergeCell ref="H261:H265"/>
    <mergeCell ref="E280:E284"/>
    <mergeCell ref="F280:F284"/>
    <mergeCell ref="H280:H284"/>
    <mergeCell ref="E305:E309"/>
    <mergeCell ref="F305:F309"/>
    <mergeCell ref="H305:H309"/>
    <mergeCell ref="C323:H323"/>
    <mergeCell ref="C330:H330"/>
    <mergeCell ref="E341:E345"/>
    <mergeCell ref="E221:E225"/>
    <mergeCell ref="F221:F225"/>
    <mergeCell ref="H221:H225"/>
    <mergeCell ref="E234:E238"/>
    <mergeCell ref="F234:F238"/>
    <mergeCell ref="H234:H238"/>
    <mergeCell ref="F91:F95"/>
    <mergeCell ref="H91:H95"/>
    <mergeCell ref="E193:E197"/>
    <mergeCell ref="F193:F197"/>
    <mergeCell ref="H193:H197"/>
    <mergeCell ref="E153:E157"/>
    <mergeCell ref="F153:F157"/>
    <mergeCell ref="H153:H157"/>
    <mergeCell ref="E91:E95"/>
    <mergeCell ref="A40:D41"/>
    <mergeCell ref="E40:E41"/>
    <mergeCell ref="F40:F41"/>
    <mergeCell ref="H40:H41"/>
    <mergeCell ref="E66:E70"/>
    <mergeCell ref="F66:F70"/>
    <mergeCell ref="G66:G70"/>
    <mergeCell ref="H66:H70"/>
    <mergeCell ref="A23:D24"/>
    <mergeCell ref="E23:E24"/>
    <mergeCell ref="F23:F24"/>
    <mergeCell ref="H23:H24"/>
    <mergeCell ref="A25:A27"/>
    <mergeCell ref="B25:D27"/>
    <mergeCell ref="E25:E27"/>
    <mergeCell ref="F25:F27"/>
    <mergeCell ref="H25:H27"/>
    <mergeCell ref="C19:F19"/>
    <mergeCell ref="B3:B4"/>
    <mergeCell ref="C3:D4"/>
    <mergeCell ref="A5:B5"/>
    <mergeCell ref="D6:H6"/>
    <mergeCell ref="A9:I9"/>
    <mergeCell ref="D10:F10"/>
    <mergeCell ref="C14:F14"/>
    <mergeCell ref="C15:F15"/>
    <mergeCell ref="C16:F16"/>
    <mergeCell ref="C17:F17"/>
    <mergeCell ref="C18:F18"/>
  </mergeCells>
  <phoneticPr fontId="10" type="noConversion"/>
  <conditionalFormatting sqref="F71:F76 F286:F301 F311:F318 F80:F88 F96:F97 F103:F104 F106 F110:F114 F118:F124 F128:F134 F138:F142 F146:F149 F159:F162 F166:F168 F171:F172 F175:F177 F183:F190 F199:F200 F204:F206 F210:F213 F217:F218 F226:F230 F240:F241 F245:F246 F250:F253 F256 F267:F276 H250">
    <cfRule type="expression" dxfId="8" priority="301" stopIfTrue="1">
      <formula>ISBLANK(F71)</formula>
    </cfRule>
    <cfRule type="expression" dxfId="7" priority="302" stopIfTrue="1">
      <formula>IF(AND(OR(F71-E71&gt;500,F71-E71&lt;-500),OR(#REF!&gt;0.1,#REF!&lt;-0.1)),TRUE,FALSE)</formula>
    </cfRule>
  </conditionalFormatting>
  <dataValidations count="1">
    <dataValidation type="list" errorStyle="information" allowBlank="1" showInputMessage="1" showErrorMessage="1" errorTitle="POBE 2006" error="Please select from the drop-down menu..." prompt="Please select your Authority from the drop-down menu..." sqref="C3:D4">
      <formula1>#REF!</formula1>
    </dataValidation>
  </dataValidations>
  <hyperlinks>
    <hyperlink ref="F7" r:id="rId1" display="lgfstats@scotland.gsi.gov.uk"/>
    <hyperlink ref="D6" r:id="rId2"/>
    <hyperlink ref="D10" r:id="rId3" display="^lgfstats@gov.scot"/>
    <hyperlink ref="B14" location="'POBE 2017'!A28" display="PART 1 - Expenditure"/>
    <hyperlink ref="C19:F19" location="'POBE 2017'!A323" display="Sheet 10. - PUBLIC PRIVATE PARTNERSHIPS/PRIVATE FINANCE INITIATIVES"/>
    <hyperlink ref="B15" location="'POBE 2017'!A40" display="PART 2 - Income and Balances"/>
    <hyperlink ref="B16" location="'POBE 2017'!A66" display="Sheet 1. EDUCATION"/>
    <hyperlink ref="B17" location="'POBE 2017'!A91" display="Sheet 2. SOCIAL WORK"/>
    <hyperlink ref="B18" location="'POBE 2017'!A153" display="Sheet 3. ROADS AND TRANSPORT"/>
    <hyperlink ref="B19" location="'POBE 2017'!A193" display="Sheet 4. ENVIRONMENTAL SERVICES"/>
    <hyperlink ref="C14:F14" location="'POBE 2017'!A221" display="Sheet 5. PLANNING AND DEVELOPMENT SERVICES"/>
    <hyperlink ref="C15:F15" location="'POBE 2017'!A234" display="Sheet 6. CULTURAL AND RELATED SERVICES"/>
    <hyperlink ref="C16:F16" location="'POBE 2017'!A261" display="Sheet 7. HOUSING"/>
    <hyperlink ref="C17:F17" location="'POBE 2017'!A280" display="Sheet 8. CENTRAL SERVICES"/>
    <hyperlink ref="C18:F18" location="'POBE 2017'!A305" display="Sheet 9. OTHER EXPENDITURE"/>
  </hyperlinks>
  <pageMargins left="0.75" right="0.75" top="1" bottom="1" header="0.5" footer="0.5"/>
  <pageSetup paperSize="9" orientation="portrait" r:id="rId4"/>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dimension ref="A1:AJ414"/>
  <sheetViews>
    <sheetView zoomScale="80" zoomScaleNormal="80" workbookViewId="0">
      <selection activeCell="I1" sqref="I1"/>
    </sheetView>
  </sheetViews>
  <sheetFormatPr defaultColWidth="9.140625" defaultRowHeight="12.75"/>
  <cols>
    <col min="1" max="1" width="10.5703125" style="1" customWidth="1"/>
    <col min="2" max="2" width="43" style="1" customWidth="1"/>
    <col min="3" max="3" width="24.5703125" style="1" customWidth="1"/>
    <col min="4" max="4" width="14.7109375" style="1" customWidth="1"/>
    <col min="5" max="5" width="21.5703125" style="1" customWidth="1"/>
    <col min="6" max="6" width="19.140625" style="1" customWidth="1"/>
    <col min="7" max="7" width="17.42578125" style="1" customWidth="1"/>
    <col min="8" max="8" width="19.28515625" style="1" customWidth="1"/>
    <col min="9" max="9" width="17.85546875" style="1" customWidth="1"/>
    <col min="10" max="18" width="9.140625" style="8" customWidth="1"/>
    <col min="19" max="29" width="9.140625" style="8"/>
    <col min="30" max="30" width="0" style="8" hidden="1" customWidth="1"/>
    <col min="31" max="36" width="9.140625" style="8"/>
    <col min="37" max="16384" width="9.140625" style="1"/>
  </cols>
  <sheetData>
    <row r="1" spans="1:36" s="203" customFormat="1" ht="51" customHeight="1">
      <c r="A1" s="3" t="s">
        <v>410</v>
      </c>
      <c r="B1" s="4"/>
      <c r="C1" s="224"/>
      <c r="D1" s="224"/>
      <c r="E1" s="224"/>
      <c r="F1" s="224"/>
      <c r="G1" s="225"/>
      <c r="H1" s="226"/>
      <c r="I1" s="227"/>
      <c r="J1" s="231"/>
      <c r="K1" s="231"/>
      <c r="L1" s="231"/>
      <c r="M1" s="231"/>
      <c r="N1" s="231"/>
      <c r="O1" s="231"/>
      <c r="P1" s="231"/>
      <c r="Q1" s="231"/>
      <c r="R1" s="231"/>
      <c r="S1" s="231"/>
      <c r="T1" s="231"/>
      <c r="U1" s="231"/>
      <c r="V1" s="231"/>
      <c r="W1" s="231"/>
      <c r="X1" s="231"/>
      <c r="Y1" s="231"/>
      <c r="Z1" s="231"/>
      <c r="AA1" s="231"/>
      <c r="AB1" s="231"/>
      <c r="AC1" s="231"/>
      <c r="AD1" s="231"/>
      <c r="AE1" s="231"/>
      <c r="AF1" s="231"/>
      <c r="AG1" s="231"/>
      <c r="AH1" s="231"/>
      <c r="AI1" s="231"/>
      <c r="AJ1" s="231"/>
    </row>
    <row r="2" spans="1:36" s="203" customFormat="1" ht="35.25">
      <c r="A2" s="9"/>
      <c r="B2" s="10"/>
      <c r="C2" s="232"/>
      <c r="D2" s="232"/>
      <c r="E2" s="232"/>
      <c r="F2" s="11"/>
      <c r="G2" s="11"/>
      <c r="H2" s="11"/>
      <c r="I2" s="11"/>
      <c r="J2" s="231"/>
      <c r="K2" s="231"/>
      <c r="L2" s="231"/>
      <c r="M2" s="231"/>
      <c r="N2" s="231"/>
      <c r="O2" s="231"/>
      <c r="P2" s="231"/>
      <c r="Q2" s="231"/>
      <c r="R2" s="231"/>
      <c r="S2" s="231"/>
      <c r="T2" s="231"/>
      <c r="U2" s="231"/>
      <c r="V2" s="231"/>
      <c r="W2" s="231"/>
      <c r="X2" s="231"/>
      <c r="Y2" s="231"/>
      <c r="Z2" s="231"/>
      <c r="AA2" s="231"/>
      <c r="AB2" s="231"/>
      <c r="AC2" s="231"/>
      <c r="AD2" s="231"/>
      <c r="AE2" s="231"/>
      <c r="AF2" s="231"/>
      <c r="AG2" s="231"/>
      <c r="AH2" s="231"/>
      <c r="AI2" s="231"/>
      <c r="AJ2" s="231"/>
    </row>
    <row r="3" spans="1:36" s="203" customFormat="1" ht="15">
      <c r="A3" s="12"/>
      <c r="B3" s="882" t="s">
        <v>0</v>
      </c>
      <c r="C3" s="884" t="s">
        <v>45</v>
      </c>
      <c r="D3" s="885"/>
      <c r="E3" s="13"/>
      <c r="F3" s="14"/>
      <c r="G3" s="14"/>
      <c r="H3" s="15"/>
      <c r="I3" s="14"/>
      <c r="J3" s="231"/>
      <c r="K3" s="231"/>
      <c r="L3" s="231"/>
      <c r="M3" s="231"/>
      <c r="N3" s="231"/>
      <c r="O3" s="231"/>
      <c r="P3" s="231"/>
      <c r="Q3" s="231"/>
      <c r="R3" s="231"/>
      <c r="S3" s="231"/>
      <c r="T3" s="231"/>
      <c r="U3" s="231"/>
      <c r="V3" s="231"/>
      <c r="W3" s="231"/>
      <c r="X3" s="231"/>
      <c r="Y3" s="231"/>
      <c r="Z3" s="231"/>
      <c r="AA3" s="231"/>
      <c r="AB3" s="231"/>
      <c r="AC3" s="231"/>
      <c r="AD3" s="231"/>
      <c r="AE3" s="231"/>
      <c r="AF3" s="231"/>
      <c r="AG3" s="231"/>
      <c r="AH3" s="231"/>
      <c r="AI3" s="231"/>
      <c r="AJ3" s="231"/>
    </row>
    <row r="4" spans="1:36" s="203" customFormat="1" ht="15">
      <c r="A4" s="17"/>
      <c r="B4" s="883"/>
      <c r="C4" s="886"/>
      <c r="D4" s="887"/>
      <c r="E4" s="13"/>
      <c r="F4" s="14"/>
      <c r="G4" s="14"/>
      <c r="H4" s="15"/>
      <c r="I4" s="14"/>
      <c r="J4" s="231"/>
      <c r="K4" s="231"/>
      <c r="L4" s="231"/>
      <c r="M4" s="231"/>
      <c r="N4" s="231"/>
      <c r="O4" s="231"/>
      <c r="P4" s="231"/>
      <c r="Q4" s="231"/>
      <c r="R4" s="231"/>
      <c r="S4" s="231"/>
      <c r="T4" s="231"/>
      <c r="U4" s="231"/>
      <c r="V4" s="231"/>
      <c r="W4" s="231"/>
      <c r="X4" s="231"/>
      <c r="Y4" s="231"/>
      <c r="Z4" s="231"/>
      <c r="AA4" s="231"/>
      <c r="AB4" s="231"/>
      <c r="AC4" s="231"/>
      <c r="AD4" s="231"/>
      <c r="AE4" s="231"/>
      <c r="AF4" s="231"/>
      <c r="AG4" s="231"/>
      <c r="AH4" s="231"/>
      <c r="AI4" s="231"/>
      <c r="AJ4" s="231"/>
    </row>
    <row r="5" spans="1:36" s="203" customFormat="1" ht="15">
      <c r="A5" s="888"/>
      <c r="B5" s="889"/>
      <c r="C5" s="18"/>
      <c r="D5" s="206"/>
      <c r="E5" s="206"/>
      <c r="F5" s="14"/>
      <c r="G5" s="14"/>
      <c r="H5" s="14"/>
      <c r="I5" s="234"/>
      <c r="J5" s="231"/>
      <c r="K5" s="231"/>
      <c r="L5" s="231"/>
      <c r="M5" s="231"/>
      <c r="N5" s="231"/>
      <c r="O5" s="231"/>
      <c r="P5" s="231"/>
      <c r="Q5" s="231"/>
      <c r="R5" s="231"/>
      <c r="S5" s="231"/>
      <c r="T5" s="231"/>
      <c r="U5" s="231"/>
      <c r="V5" s="231"/>
      <c r="W5" s="231"/>
      <c r="X5" s="231"/>
      <c r="Y5" s="231"/>
      <c r="Z5" s="231"/>
      <c r="AA5" s="231"/>
      <c r="AB5" s="231"/>
      <c r="AC5" s="231"/>
      <c r="AD5" s="231"/>
      <c r="AE5" s="231"/>
      <c r="AF5" s="231"/>
      <c r="AG5" s="231"/>
      <c r="AH5" s="231"/>
      <c r="AI5" s="231"/>
      <c r="AJ5" s="231"/>
    </row>
    <row r="6" spans="1:36" s="203" customFormat="1" ht="23.25" customHeight="1">
      <c r="A6" s="19" t="s">
        <v>1</v>
      </c>
      <c r="B6" s="207"/>
      <c r="C6" s="20"/>
      <c r="D6" s="890" t="s">
        <v>249</v>
      </c>
      <c r="E6" s="890"/>
      <c r="F6" s="890"/>
      <c r="G6" s="890"/>
      <c r="H6" s="890"/>
      <c r="I6" s="29"/>
      <c r="J6" s="231"/>
      <c r="K6" s="231"/>
      <c r="L6" s="231"/>
      <c r="M6" s="231"/>
      <c r="N6" s="231"/>
      <c r="O6" s="231"/>
      <c r="P6" s="231"/>
      <c r="Q6" s="231"/>
      <c r="R6" s="231"/>
      <c r="S6" s="231"/>
      <c r="T6" s="231"/>
      <c r="U6" s="231"/>
      <c r="V6" s="231"/>
      <c r="W6" s="231"/>
      <c r="X6" s="231"/>
      <c r="Y6" s="231"/>
      <c r="Z6" s="231"/>
      <c r="AA6" s="231"/>
      <c r="AB6" s="231"/>
      <c r="AC6" s="231"/>
      <c r="AD6" s="231"/>
      <c r="AE6" s="231"/>
      <c r="AF6" s="231"/>
      <c r="AG6" s="231"/>
      <c r="AH6" s="231"/>
      <c r="AI6" s="231"/>
      <c r="AJ6" s="231"/>
    </row>
    <row r="7" spans="1:36" s="203" customFormat="1" ht="18.75" customHeight="1">
      <c r="A7" s="19" t="s">
        <v>419</v>
      </c>
      <c r="B7" s="207"/>
      <c r="C7" s="207"/>
      <c r="D7" s="207"/>
      <c r="E7" s="207"/>
      <c r="F7" s="362" t="s">
        <v>250</v>
      </c>
      <c r="G7" s="1"/>
      <c r="H7" s="21"/>
      <c r="I7" s="29"/>
      <c r="J7" s="231"/>
      <c r="K7" s="231"/>
      <c r="L7" s="231"/>
      <c r="M7" s="231"/>
      <c r="N7" s="231"/>
      <c r="O7" s="231"/>
      <c r="P7" s="231"/>
      <c r="Q7" s="231"/>
      <c r="R7" s="231"/>
      <c r="S7" s="231"/>
      <c r="T7" s="231"/>
      <c r="U7" s="231"/>
      <c r="V7" s="231"/>
      <c r="W7" s="231"/>
      <c r="X7" s="231"/>
      <c r="Y7" s="231"/>
      <c r="Z7" s="231"/>
      <c r="AA7" s="231"/>
      <c r="AB7" s="231"/>
      <c r="AC7" s="231"/>
      <c r="AD7" s="231"/>
      <c r="AE7" s="231"/>
      <c r="AF7" s="231"/>
      <c r="AG7" s="231"/>
      <c r="AH7" s="231"/>
      <c r="AI7" s="231"/>
      <c r="AJ7" s="231"/>
    </row>
    <row r="8" spans="1:36" s="203" customFormat="1" ht="24" customHeight="1">
      <c r="A8" s="22" t="s">
        <v>408</v>
      </c>
      <c r="B8" s="207"/>
      <c r="C8" s="207"/>
      <c r="D8" s="207"/>
      <c r="E8" s="207"/>
      <c r="F8" s="207"/>
      <c r="G8" s="677"/>
      <c r="H8" s="21"/>
      <c r="I8" s="29"/>
      <c r="J8" s="231"/>
      <c r="K8" s="231"/>
      <c r="L8" s="231"/>
      <c r="M8" s="231"/>
      <c r="N8" s="231"/>
      <c r="O8" s="231"/>
      <c r="P8" s="231"/>
      <c r="Q8" s="231"/>
      <c r="R8" s="231"/>
      <c r="S8" s="231"/>
      <c r="T8" s="231"/>
      <c r="U8" s="231"/>
      <c r="V8" s="231"/>
      <c r="W8" s="231"/>
      <c r="X8" s="231"/>
      <c r="Y8" s="231"/>
      <c r="Z8" s="231"/>
      <c r="AA8" s="231"/>
      <c r="AB8" s="231"/>
      <c r="AC8" s="231"/>
      <c r="AD8" s="231"/>
      <c r="AE8" s="231"/>
      <c r="AF8" s="231"/>
      <c r="AG8" s="231"/>
      <c r="AH8" s="231"/>
      <c r="AI8" s="231"/>
      <c r="AJ8" s="231"/>
    </row>
    <row r="9" spans="1:36" s="203" customFormat="1" ht="30.75" customHeight="1">
      <c r="A9" s="891" t="s">
        <v>420</v>
      </c>
      <c r="B9" s="892"/>
      <c r="C9" s="892"/>
      <c r="D9" s="892"/>
      <c r="E9" s="892"/>
      <c r="F9" s="892"/>
      <c r="G9" s="892"/>
      <c r="H9" s="892"/>
      <c r="I9" s="892"/>
      <c r="J9" s="231"/>
      <c r="K9" s="231"/>
      <c r="L9" s="231"/>
      <c r="M9" s="231"/>
      <c r="N9" s="231"/>
      <c r="O9" s="231"/>
      <c r="P9" s="231"/>
      <c r="Q9" s="231"/>
      <c r="R9" s="231"/>
      <c r="S9" s="231"/>
      <c r="T9" s="231"/>
      <c r="U9" s="231"/>
      <c r="V9" s="231"/>
      <c r="W9" s="231"/>
      <c r="X9" s="231"/>
      <c r="Y9" s="231"/>
      <c r="Z9" s="231"/>
      <c r="AA9" s="231"/>
      <c r="AB9" s="231"/>
      <c r="AC9" s="231"/>
      <c r="AD9" s="231"/>
      <c r="AE9" s="231"/>
      <c r="AF9" s="231"/>
      <c r="AG9" s="231"/>
      <c r="AH9" s="231"/>
      <c r="AI9" s="231"/>
      <c r="AJ9" s="231"/>
    </row>
    <row r="10" spans="1:36" s="203" customFormat="1" ht="12.75" customHeight="1">
      <c r="A10" s="22" t="s">
        <v>409</v>
      </c>
      <c r="B10" s="19"/>
      <c r="C10" s="1"/>
      <c r="D10" s="880" t="s">
        <v>250</v>
      </c>
      <c r="E10" s="881"/>
      <c r="F10" s="881"/>
      <c r="G10" s="207"/>
      <c r="H10" s="207"/>
      <c r="I10" s="29"/>
      <c r="J10" s="231"/>
      <c r="K10" s="231"/>
      <c r="L10" s="231"/>
      <c r="M10" s="231"/>
      <c r="N10" s="231"/>
      <c r="O10" s="231"/>
      <c r="P10" s="231"/>
      <c r="Q10" s="231"/>
      <c r="R10" s="231"/>
      <c r="S10" s="231"/>
      <c r="T10" s="231"/>
      <c r="U10" s="231"/>
      <c r="V10" s="231"/>
      <c r="W10" s="231"/>
      <c r="X10" s="231"/>
      <c r="Y10" s="231"/>
      <c r="Z10" s="231"/>
      <c r="AA10" s="231"/>
      <c r="AB10" s="231"/>
      <c r="AC10" s="231"/>
      <c r="AD10" s="231"/>
      <c r="AE10" s="231"/>
      <c r="AF10" s="231"/>
      <c r="AG10" s="231"/>
      <c r="AH10" s="231"/>
      <c r="AI10" s="231"/>
      <c r="AJ10" s="231"/>
    </row>
    <row r="11" spans="1:36" s="203" customFormat="1">
      <c r="A11" s="23"/>
      <c r="B11" s="207"/>
      <c r="C11" s="207"/>
      <c r="D11" s="207"/>
      <c r="E11" s="207"/>
      <c r="F11" s="207"/>
      <c r="G11" s="21"/>
      <c r="H11" s="21"/>
      <c r="I11" s="29"/>
      <c r="J11" s="231"/>
      <c r="K11" s="231"/>
      <c r="L11" s="231"/>
      <c r="M11" s="231"/>
      <c r="N11" s="231"/>
      <c r="O11" s="231"/>
      <c r="P11" s="231"/>
      <c r="Q11" s="231"/>
      <c r="R11" s="231"/>
      <c r="S11" s="231"/>
      <c r="T11" s="231"/>
      <c r="U11" s="231"/>
      <c r="V11" s="231"/>
      <c r="W11" s="231"/>
      <c r="X11" s="231"/>
      <c r="Y11" s="231"/>
      <c r="Z11" s="231"/>
      <c r="AA11" s="231"/>
      <c r="AB11" s="231"/>
      <c r="AC11" s="231"/>
      <c r="AD11" s="231"/>
      <c r="AE11" s="231"/>
      <c r="AF11" s="231"/>
      <c r="AG11" s="231"/>
      <c r="AH11" s="231"/>
      <c r="AI11" s="231"/>
      <c r="AJ11" s="231"/>
    </row>
    <row r="12" spans="1:36" s="203" customFormat="1">
      <c r="A12" s="24"/>
      <c r="B12" s="25" t="s">
        <v>7</v>
      </c>
      <c r="C12" s="26"/>
      <c r="D12" s="356"/>
      <c r="E12" s="356"/>
      <c r="F12" s="357"/>
      <c r="G12" s="21"/>
      <c r="H12" s="21"/>
      <c r="I12" s="29"/>
      <c r="J12" s="231"/>
      <c r="K12" s="231"/>
      <c r="L12" s="231"/>
      <c r="M12" s="231"/>
      <c r="N12" s="231"/>
      <c r="O12" s="231"/>
      <c r="P12" s="231"/>
      <c r="Q12" s="231"/>
      <c r="R12" s="231"/>
      <c r="S12" s="231"/>
      <c r="T12" s="231"/>
      <c r="U12" s="231"/>
      <c r="V12" s="231"/>
      <c r="W12" s="231"/>
      <c r="X12" s="231"/>
      <c r="Y12" s="231"/>
      <c r="Z12" s="231"/>
      <c r="AA12" s="231"/>
      <c r="AB12" s="231"/>
      <c r="AC12" s="231"/>
      <c r="AD12" s="231"/>
      <c r="AE12" s="231"/>
      <c r="AF12" s="231"/>
      <c r="AG12" s="231"/>
      <c r="AH12" s="231"/>
      <c r="AI12" s="231"/>
      <c r="AJ12" s="231"/>
    </row>
    <row r="13" spans="1:36" s="203" customFormat="1">
      <c r="A13" s="23"/>
      <c r="B13" s="27"/>
      <c r="C13" s="358"/>
      <c r="D13" s="15"/>
      <c r="E13" s="15"/>
      <c r="F13" s="359"/>
      <c r="G13" s="207"/>
      <c r="H13" s="21"/>
      <c r="I13" s="29"/>
      <c r="J13" s="231"/>
      <c r="K13" s="231"/>
      <c r="L13" s="231"/>
      <c r="M13" s="231"/>
      <c r="N13" s="231"/>
      <c r="O13" s="231"/>
      <c r="P13" s="231"/>
      <c r="Q13" s="231"/>
      <c r="R13" s="231"/>
      <c r="S13" s="231"/>
      <c r="T13" s="231"/>
      <c r="U13" s="231"/>
      <c r="V13" s="231"/>
      <c r="W13" s="231"/>
      <c r="X13" s="231"/>
      <c r="Y13" s="231"/>
      <c r="Z13" s="231"/>
      <c r="AA13" s="231"/>
      <c r="AB13" s="231"/>
      <c r="AC13" s="231"/>
      <c r="AD13" s="231"/>
      <c r="AE13" s="231"/>
      <c r="AF13" s="231"/>
      <c r="AG13" s="231"/>
      <c r="AH13" s="231"/>
      <c r="AI13" s="231"/>
      <c r="AJ13" s="231"/>
    </row>
    <row r="14" spans="1:36" s="203" customFormat="1">
      <c r="A14" s="23"/>
      <c r="B14" s="363" t="s">
        <v>328</v>
      </c>
      <c r="C14" s="870" t="s">
        <v>10</v>
      </c>
      <c r="D14" s="870"/>
      <c r="E14" s="870"/>
      <c r="F14" s="871"/>
      <c r="G14" s="207"/>
      <c r="H14" s="21"/>
      <c r="I14" s="29"/>
      <c r="J14" s="231"/>
      <c r="K14" s="231"/>
      <c r="L14" s="231"/>
      <c r="M14" s="231"/>
      <c r="N14" s="231"/>
      <c r="O14" s="231"/>
      <c r="P14" s="231"/>
      <c r="Q14" s="231"/>
      <c r="R14" s="231"/>
      <c r="S14" s="231"/>
      <c r="T14" s="231"/>
      <c r="U14" s="231"/>
      <c r="V14" s="231"/>
      <c r="W14" s="231"/>
      <c r="X14" s="231"/>
      <c r="Y14" s="231"/>
      <c r="Z14" s="231"/>
      <c r="AA14" s="231"/>
      <c r="AB14" s="231"/>
      <c r="AC14" s="231"/>
      <c r="AD14" s="231"/>
      <c r="AE14" s="231"/>
      <c r="AF14" s="231"/>
      <c r="AG14" s="231"/>
      <c r="AH14" s="231"/>
      <c r="AI14" s="231"/>
      <c r="AJ14" s="231"/>
    </row>
    <row r="15" spans="1:36" s="203" customFormat="1">
      <c r="A15" s="23"/>
      <c r="B15" s="363" t="s">
        <v>329</v>
      </c>
      <c r="C15" s="870" t="s">
        <v>12</v>
      </c>
      <c r="D15" s="870"/>
      <c r="E15" s="870"/>
      <c r="F15" s="871"/>
      <c r="G15" s="207"/>
      <c r="H15" s="21"/>
      <c r="I15" s="29"/>
      <c r="J15" s="231"/>
      <c r="K15" s="231"/>
      <c r="L15" s="231"/>
      <c r="M15" s="231"/>
      <c r="N15" s="231"/>
      <c r="O15" s="231"/>
      <c r="P15" s="231"/>
      <c r="Q15" s="231"/>
      <c r="R15" s="231"/>
      <c r="S15" s="231"/>
      <c r="T15" s="231"/>
      <c r="U15" s="231"/>
      <c r="V15" s="231"/>
      <c r="W15" s="231"/>
      <c r="X15" s="231"/>
      <c r="Y15" s="231"/>
      <c r="Z15" s="231"/>
      <c r="AA15" s="231"/>
      <c r="AB15" s="231"/>
      <c r="AC15" s="231"/>
      <c r="AD15" s="231"/>
      <c r="AE15" s="231"/>
      <c r="AF15" s="231"/>
      <c r="AG15" s="231"/>
      <c r="AH15" s="231"/>
      <c r="AI15" s="231"/>
      <c r="AJ15" s="231"/>
    </row>
    <row r="16" spans="1:36" s="203" customFormat="1">
      <c r="A16" s="23"/>
      <c r="B16" s="360" t="s">
        <v>14</v>
      </c>
      <c r="C16" s="870" t="s">
        <v>15</v>
      </c>
      <c r="D16" s="870"/>
      <c r="E16" s="870"/>
      <c r="F16" s="871"/>
      <c r="G16" s="207"/>
      <c r="H16" s="21"/>
      <c r="I16" s="29"/>
      <c r="J16" s="231"/>
      <c r="K16" s="231"/>
      <c r="L16" s="231"/>
      <c r="M16" s="231"/>
      <c r="N16" s="231"/>
      <c r="O16" s="231"/>
      <c r="P16" s="231"/>
      <c r="Q16" s="231"/>
      <c r="R16" s="231"/>
      <c r="S16" s="231"/>
      <c r="T16" s="231"/>
      <c r="U16" s="231"/>
      <c r="V16" s="231"/>
      <c r="W16" s="231"/>
      <c r="X16" s="231"/>
      <c r="Y16" s="231"/>
      <c r="Z16" s="231"/>
      <c r="AA16" s="231"/>
      <c r="AB16" s="231"/>
      <c r="AC16" s="231"/>
      <c r="AD16" s="231"/>
      <c r="AE16" s="231"/>
      <c r="AF16" s="231"/>
      <c r="AG16" s="231"/>
      <c r="AH16" s="231"/>
      <c r="AI16" s="231"/>
      <c r="AJ16" s="231"/>
    </row>
    <row r="17" spans="1:36" s="203" customFormat="1">
      <c r="A17" s="23"/>
      <c r="B17" s="360" t="s">
        <v>17</v>
      </c>
      <c r="C17" s="870" t="s">
        <v>18</v>
      </c>
      <c r="D17" s="870"/>
      <c r="E17" s="870"/>
      <c r="F17" s="871"/>
      <c r="G17" s="207"/>
      <c r="H17" s="21"/>
      <c r="I17" s="29"/>
      <c r="J17" s="231"/>
      <c r="K17" s="231"/>
      <c r="L17" s="231"/>
      <c r="M17" s="231"/>
      <c r="N17" s="231"/>
      <c r="O17" s="231"/>
      <c r="P17" s="231"/>
      <c r="Q17" s="231"/>
      <c r="R17" s="231"/>
      <c r="S17" s="231"/>
      <c r="T17" s="231"/>
      <c r="U17" s="231"/>
      <c r="V17" s="231"/>
      <c r="W17" s="231"/>
      <c r="X17" s="231"/>
      <c r="Y17" s="231"/>
      <c r="Z17" s="231"/>
      <c r="AA17" s="231"/>
      <c r="AB17" s="231"/>
      <c r="AC17" s="231"/>
      <c r="AD17" s="231"/>
      <c r="AE17" s="231"/>
      <c r="AF17" s="231"/>
      <c r="AG17" s="231"/>
      <c r="AH17" s="231"/>
      <c r="AI17" s="231"/>
      <c r="AJ17" s="231"/>
    </row>
    <row r="18" spans="1:36" s="203" customFormat="1">
      <c r="A18" s="23"/>
      <c r="B18" s="360" t="s">
        <v>20</v>
      </c>
      <c r="C18" s="870" t="s">
        <v>21</v>
      </c>
      <c r="D18" s="870"/>
      <c r="E18" s="870"/>
      <c r="F18" s="871"/>
      <c r="G18" s="207"/>
      <c r="H18" s="21"/>
      <c r="I18" s="29"/>
      <c r="J18" s="231"/>
      <c r="K18" s="231"/>
      <c r="L18" s="231"/>
      <c r="M18" s="231"/>
      <c r="N18" s="231"/>
      <c r="O18" s="231"/>
      <c r="P18" s="231"/>
      <c r="Q18" s="231"/>
      <c r="R18" s="231"/>
      <c r="S18" s="231"/>
      <c r="T18" s="231"/>
      <c r="U18" s="231"/>
      <c r="V18" s="231"/>
      <c r="W18" s="231"/>
      <c r="X18" s="231"/>
      <c r="Y18" s="231"/>
      <c r="Z18" s="231"/>
      <c r="AA18" s="231"/>
      <c r="AB18" s="231"/>
      <c r="AC18" s="231"/>
      <c r="AD18" s="231"/>
      <c r="AE18" s="231"/>
      <c r="AF18" s="231"/>
      <c r="AG18" s="231"/>
      <c r="AH18" s="231"/>
      <c r="AI18" s="231"/>
      <c r="AJ18" s="231"/>
    </row>
    <row r="19" spans="1:36" s="203" customFormat="1">
      <c r="A19" s="23"/>
      <c r="B19" s="361" t="s">
        <v>23</v>
      </c>
      <c r="C19" s="872" t="s">
        <v>24</v>
      </c>
      <c r="D19" s="872"/>
      <c r="E19" s="872"/>
      <c r="F19" s="873"/>
      <c r="G19" s="21"/>
      <c r="H19" s="21"/>
      <c r="I19" s="29"/>
      <c r="J19" s="231"/>
      <c r="K19" s="231"/>
      <c r="L19" s="231"/>
      <c r="M19" s="231"/>
      <c r="N19" s="231"/>
      <c r="O19" s="231"/>
      <c r="P19" s="231"/>
      <c r="Q19" s="231"/>
      <c r="R19" s="231"/>
      <c r="S19" s="231"/>
      <c r="T19" s="231"/>
      <c r="U19" s="231"/>
      <c r="V19" s="231"/>
      <c r="W19" s="231"/>
      <c r="X19" s="231"/>
      <c r="Y19" s="231"/>
      <c r="Z19" s="231"/>
      <c r="AA19" s="231"/>
      <c r="AB19" s="231"/>
      <c r="AC19" s="231"/>
      <c r="AD19" s="231"/>
      <c r="AE19" s="231"/>
      <c r="AF19" s="231"/>
      <c r="AG19" s="231"/>
      <c r="AH19" s="231"/>
      <c r="AI19" s="231"/>
      <c r="AJ19" s="231"/>
    </row>
    <row r="20" spans="1:36" s="203" customFormat="1">
      <c r="A20" s="236"/>
      <c r="B20" s="206"/>
      <c r="C20" s="206"/>
      <c r="D20" s="206"/>
      <c r="E20" s="206"/>
      <c r="F20" s="206"/>
      <c r="G20" s="206"/>
      <c r="H20" s="206"/>
      <c r="I20" s="206"/>
      <c r="J20" s="231"/>
      <c r="K20" s="231"/>
      <c r="L20" s="231"/>
      <c r="M20" s="231"/>
      <c r="N20" s="231"/>
      <c r="O20" s="231"/>
      <c r="P20" s="231"/>
      <c r="Q20" s="231"/>
      <c r="R20" s="231"/>
      <c r="S20" s="231"/>
      <c r="T20" s="231"/>
      <c r="U20" s="231"/>
      <c r="V20" s="231"/>
      <c r="W20" s="231"/>
      <c r="X20" s="231"/>
      <c r="Y20" s="231"/>
      <c r="Z20" s="231"/>
      <c r="AA20" s="231"/>
      <c r="AB20" s="231"/>
      <c r="AC20" s="231"/>
      <c r="AD20" s="231"/>
      <c r="AE20" s="231"/>
      <c r="AF20" s="231"/>
      <c r="AG20" s="231"/>
      <c r="AH20" s="231"/>
      <c r="AI20" s="231"/>
      <c r="AJ20" s="231"/>
    </row>
    <row r="21" spans="1:36" s="203" customFormat="1" ht="19.5">
      <c r="A21" s="30"/>
      <c r="B21" s="13"/>
      <c r="C21" s="13"/>
      <c r="D21" s="13"/>
      <c r="E21" s="13"/>
      <c r="F21" s="13"/>
      <c r="G21" s="13"/>
      <c r="H21" s="31" t="s">
        <v>27</v>
      </c>
      <c r="I21" s="237"/>
      <c r="J21" s="231"/>
      <c r="K21" s="231"/>
      <c r="L21" s="231"/>
      <c r="M21" s="231"/>
      <c r="N21" s="231"/>
      <c r="O21" s="231"/>
      <c r="P21" s="231"/>
      <c r="Q21" s="231"/>
      <c r="R21" s="231"/>
      <c r="S21" s="231"/>
      <c r="T21" s="231"/>
      <c r="U21" s="231"/>
      <c r="V21" s="231"/>
      <c r="W21" s="231"/>
      <c r="X21" s="231"/>
      <c r="Y21" s="231"/>
      <c r="Z21" s="231"/>
      <c r="AA21" s="231"/>
      <c r="AB21" s="231"/>
      <c r="AC21" s="231"/>
      <c r="AD21" s="231"/>
      <c r="AE21" s="231"/>
      <c r="AF21" s="231"/>
      <c r="AG21" s="231"/>
      <c r="AH21" s="231"/>
      <c r="AI21" s="231"/>
      <c r="AJ21" s="231"/>
    </row>
    <row r="22" spans="1:36" s="203" customFormat="1" ht="18.75" customHeight="1">
      <c r="A22" s="32"/>
      <c r="B22" s="29"/>
      <c r="C22" s="29"/>
      <c r="D22" s="29"/>
      <c r="E22" s="29"/>
      <c r="F22" s="33">
        <v>1</v>
      </c>
      <c r="G22" s="34"/>
      <c r="H22" s="33">
        <v>2</v>
      </c>
      <c r="I22" s="34"/>
      <c r="J22" s="231"/>
      <c r="K22" s="231"/>
      <c r="L22" s="231"/>
      <c r="M22" s="231"/>
      <c r="N22" s="231"/>
      <c r="O22" s="231"/>
      <c r="P22" s="231"/>
      <c r="Q22" s="231"/>
      <c r="R22" s="231"/>
      <c r="S22" s="231"/>
      <c r="T22" s="231"/>
      <c r="U22" s="231"/>
      <c r="V22" s="231"/>
      <c r="W22" s="231"/>
      <c r="X22" s="231"/>
      <c r="Y22" s="231"/>
      <c r="Z22" s="231"/>
      <c r="AA22" s="231"/>
      <c r="AB22" s="231"/>
      <c r="AC22" s="231"/>
      <c r="AD22" s="231"/>
      <c r="AE22" s="231"/>
      <c r="AF22" s="231"/>
      <c r="AG22" s="231"/>
      <c r="AH22" s="231"/>
      <c r="AI22" s="231"/>
      <c r="AJ22" s="231"/>
    </row>
    <row r="23" spans="1:36" s="203" customFormat="1" ht="21.95" customHeight="1">
      <c r="A23" s="874" t="s">
        <v>30</v>
      </c>
      <c r="B23" s="875"/>
      <c r="C23" s="875"/>
      <c r="D23" s="875"/>
      <c r="E23" s="878" t="s">
        <v>376</v>
      </c>
      <c r="F23" s="856" t="s">
        <v>407</v>
      </c>
      <c r="G23" s="36"/>
      <c r="H23" s="878" t="s">
        <v>406</v>
      </c>
      <c r="I23" s="36"/>
      <c r="J23" s="231"/>
      <c r="K23" s="231"/>
      <c r="L23" s="231"/>
      <c r="M23" s="231"/>
      <c r="N23" s="231"/>
      <c r="O23" s="231"/>
      <c r="P23" s="231"/>
      <c r="Q23" s="231"/>
      <c r="R23" s="231"/>
      <c r="S23" s="231"/>
      <c r="T23" s="231"/>
      <c r="U23" s="231"/>
      <c r="V23" s="231"/>
      <c r="W23" s="231"/>
      <c r="X23" s="231"/>
      <c r="Y23" s="231"/>
      <c r="Z23" s="231"/>
      <c r="AA23" s="231"/>
      <c r="AB23" s="231"/>
      <c r="AC23" s="231"/>
      <c r="AD23" s="231"/>
      <c r="AE23" s="231"/>
      <c r="AF23" s="231"/>
      <c r="AG23" s="231"/>
      <c r="AH23" s="231"/>
      <c r="AI23" s="231"/>
      <c r="AJ23" s="231"/>
    </row>
    <row r="24" spans="1:36" s="203" customFormat="1" ht="21.95" customHeight="1">
      <c r="A24" s="876"/>
      <c r="B24" s="877"/>
      <c r="C24" s="877"/>
      <c r="D24" s="877"/>
      <c r="E24" s="879"/>
      <c r="F24" s="860"/>
      <c r="G24" s="23"/>
      <c r="H24" s="879"/>
      <c r="I24" s="36"/>
      <c r="J24" s="231"/>
      <c r="K24" s="231"/>
      <c r="L24" s="231"/>
      <c r="M24" s="231"/>
      <c r="N24" s="231"/>
      <c r="O24" s="231"/>
      <c r="P24" s="231"/>
      <c r="Q24" s="231"/>
      <c r="R24" s="231"/>
      <c r="S24" s="231"/>
      <c r="T24" s="231"/>
      <c r="U24" s="231"/>
      <c r="V24" s="231"/>
      <c r="W24" s="231"/>
      <c r="X24" s="231"/>
      <c r="Y24" s="231"/>
      <c r="Z24" s="231"/>
      <c r="AA24" s="231"/>
      <c r="AB24" s="231"/>
      <c r="AC24" s="231"/>
      <c r="AD24" s="231"/>
      <c r="AE24" s="231"/>
      <c r="AF24" s="231"/>
      <c r="AG24" s="231"/>
      <c r="AH24" s="231"/>
      <c r="AI24" s="231"/>
      <c r="AJ24" s="231"/>
    </row>
    <row r="25" spans="1:36" s="203" customFormat="1" ht="21.95" customHeight="1">
      <c r="A25" s="898" t="s">
        <v>48</v>
      </c>
      <c r="B25" s="901" t="s">
        <v>49</v>
      </c>
      <c r="C25" s="901"/>
      <c r="D25" s="902"/>
      <c r="E25" s="907" t="s">
        <v>50</v>
      </c>
      <c r="F25" s="909" t="s">
        <v>51</v>
      </c>
      <c r="G25" s="34"/>
      <c r="H25" s="907" t="s">
        <v>50</v>
      </c>
      <c r="I25" s="36"/>
      <c r="J25" s="231"/>
      <c r="K25" s="231"/>
      <c r="L25" s="231"/>
      <c r="M25" s="231"/>
      <c r="N25" s="231"/>
      <c r="O25" s="231"/>
      <c r="P25" s="231"/>
      <c r="Q25" s="231"/>
      <c r="R25" s="231"/>
      <c r="S25" s="231"/>
      <c r="T25" s="231"/>
      <c r="U25" s="231"/>
      <c r="V25" s="231"/>
      <c r="W25" s="231"/>
      <c r="X25" s="231"/>
      <c r="Y25" s="231"/>
      <c r="Z25" s="231"/>
      <c r="AA25" s="231"/>
      <c r="AB25" s="231"/>
      <c r="AC25" s="231"/>
      <c r="AD25" s="231"/>
      <c r="AE25" s="231"/>
      <c r="AF25" s="231"/>
      <c r="AG25" s="231"/>
      <c r="AH25" s="231"/>
      <c r="AI25" s="231"/>
      <c r="AJ25" s="231"/>
    </row>
    <row r="26" spans="1:36" s="203" customFormat="1" ht="21.95" customHeight="1">
      <c r="A26" s="899"/>
      <c r="B26" s="903"/>
      <c r="C26" s="903"/>
      <c r="D26" s="904"/>
      <c r="E26" s="908"/>
      <c r="F26" s="859"/>
      <c r="G26" s="34"/>
      <c r="H26" s="908"/>
      <c r="I26" s="36"/>
      <c r="J26" s="231"/>
      <c r="K26" s="231"/>
      <c r="L26" s="231"/>
      <c r="M26" s="231"/>
      <c r="N26" s="231"/>
      <c r="O26" s="231"/>
      <c r="P26" s="231"/>
      <c r="Q26" s="231"/>
      <c r="R26" s="231"/>
      <c r="S26" s="231"/>
      <c r="T26" s="231"/>
      <c r="U26" s="231"/>
      <c r="V26" s="231"/>
      <c r="W26" s="231"/>
      <c r="X26" s="231"/>
      <c r="Y26" s="231"/>
      <c r="Z26" s="231"/>
      <c r="AA26" s="231"/>
      <c r="AB26" s="231"/>
      <c r="AC26" s="231"/>
      <c r="AD26" s="231"/>
      <c r="AE26" s="231"/>
      <c r="AF26" s="231"/>
      <c r="AG26" s="231"/>
      <c r="AH26" s="231"/>
      <c r="AI26" s="231"/>
      <c r="AJ26" s="231"/>
    </row>
    <row r="27" spans="1:36" s="203" customFormat="1" ht="21.95" customHeight="1">
      <c r="A27" s="900"/>
      <c r="B27" s="905"/>
      <c r="C27" s="905"/>
      <c r="D27" s="906"/>
      <c r="E27" s="879"/>
      <c r="F27" s="860"/>
      <c r="G27" s="34"/>
      <c r="H27" s="879"/>
      <c r="I27" s="36"/>
      <c r="J27" s="231"/>
      <c r="K27" s="231"/>
      <c r="L27" s="231"/>
      <c r="M27" s="231"/>
      <c r="N27" s="231"/>
      <c r="O27" s="231"/>
      <c r="P27" s="231"/>
      <c r="Q27" s="231"/>
      <c r="R27" s="231"/>
      <c r="S27" s="231"/>
      <c r="T27" s="231"/>
      <c r="U27" s="231"/>
      <c r="V27" s="231"/>
      <c r="W27" s="231"/>
      <c r="X27" s="231"/>
      <c r="Y27" s="231"/>
      <c r="Z27" s="231"/>
      <c r="AA27" s="231"/>
      <c r="AB27" s="231"/>
      <c r="AC27" s="231"/>
      <c r="AD27" s="231"/>
      <c r="AE27" s="231"/>
      <c r="AF27" s="231"/>
      <c r="AG27" s="231"/>
      <c r="AH27" s="231"/>
      <c r="AI27" s="231"/>
      <c r="AJ27" s="231"/>
    </row>
    <row r="28" spans="1:36" s="203" customFormat="1">
      <c r="A28" s="38">
        <v>1</v>
      </c>
      <c r="B28" s="39" t="s">
        <v>52</v>
      </c>
      <c r="C28" s="39"/>
      <c r="D28" s="40"/>
      <c r="E28" s="41">
        <v>101249</v>
      </c>
      <c r="F28" s="42">
        <f>F77</f>
        <v>100836</v>
      </c>
      <c r="G28" s="43"/>
      <c r="H28" s="44">
        <f>H77</f>
        <v>110224</v>
      </c>
      <c r="I28" s="43"/>
      <c r="J28" s="231"/>
      <c r="K28" s="231"/>
      <c r="L28" s="231"/>
      <c r="M28" s="231"/>
      <c r="N28" s="231"/>
      <c r="O28" s="231"/>
      <c r="P28" s="231"/>
      <c r="Q28" s="231"/>
      <c r="R28" s="231"/>
      <c r="S28" s="231"/>
      <c r="T28" s="231"/>
      <c r="U28" s="231"/>
      <c r="V28" s="231"/>
      <c r="W28" s="231"/>
      <c r="X28" s="231"/>
      <c r="Y28" s="231"/>
      <c r="Z28" s="231"/>
      <c r="AA28" s="231"/>
      <c r="AB28" s="231"/>
      <c r="AC28" s="231"/>
      <c r="AD28" s="231"/>
      <c r="AE28" s="231"/>
      <c r="AF28" s="231"/>
      <c r="AG28" s="231"/>
      <c r="AH28" s="231"/>
      <c r="AI28" s="231"/>
      <c r="AJ28" s="231"/>
    </row>
    <row r="29" spans="1:36" s="203" customFormat="1">
      <c r="A29" s="46">
        <v>2</v>
      </c>
      <c r="B29" s="47" t="s">
        <v>53</v>
      </c>
      <c r="C29" s="47"/>
      <c r="D29" s="48"/>
      <c r="E29" s="49">
        <v>46527</v>
      </c>
      <c r="F29" s="50">
        <f>F105</f>
        <v>46820</v>
      </c>
      <c r="G29" s="43"/>
      <c r="H29" s="51">
        <f>H105</f>
        <v>46779</v>
      </c>
      <c r="I29" s="43"/>
      <c r="J29" s="231"/>
      <c r="K29" s="231"/>
      <c r="L29" s="231"/>
      <c r="M29" s="231"/>
      <c r="N29" s="231"/>
      <c r="O29" s="231"/>
      <c r="P29" s="231"/>
      <c r="Q29" s="231"/>
      <c r="R29" s="231"/>
      <c r="S29" s="231"/>
      <c r="T29" s="231"/>
      <c r="U29" s="231"/>
      <c r="V29" s="231"/>
      <c r="W29" s="231"/>
      <c r="X29" s="231"/>
      <c r="Y29" s="231"/>
      <c r="Z29" s="231"/>
      <c r="AA29" s="231"/>
      <c r="AB29" s="231"/>
      <c r="AC29" s="231"/>
      <c r="AD29" s="231"/>
      <c r="AE29" s="231"/>
      <c r="AF29" s="231"/>
      <c r="AG29" s="231"/>
      <c r="AH29" s="231"/>
      <c r="AI29" s="231"/>
      <c r="AJ29" s="231"/>
    </row>
    <row r="30" spans="1:36" s="203" customFormat="1">
      <c r="A30" s="46">
        <v>3</v>
      </c>
      <c r="B30" s="47" t="s">
        <v>54</v>
      </c>
      <c r="C30" s="47"/>
      <c r="D30" s="48"/>
      <c r="E30" s="49">
        <v>7592</v>
      </c>
      <c r="F30" s="50">
        <f>F180</f>
        <v>8698</v>
      </c>
      <c r="G30" s="43"/>
      <c r="H30" s="51">
        <f>H180</f>
        <v>7459</v>
      </c>
      <c r="I30" s="43"/>
      <c r="J30" s="231"/>
      <c r="K30" s="231"/>
      <c r="L30" s="231"/>
      <c r="M30" s="231"/>
      <c r="N30" s="231"/>
      <c r="O30" s="231"/>
      <c r="P30" s="231"/>
      <c r="Q30" s="231"/>
      <c r="R30" s="231"/>
      <c r="S30" s="231"/>
      <c r="T30" s="231"/>
      <c r="U30" s="231"/>
      <c r="V30" s="231"/>
      <c r="W30" s="231"/>
      <c r="X30" s="231"/>
      <c r="Y30" s="231"/>
      <c r="Z30" s="231"/>
      <c r="AA30" s="231"/>
      <c r="AB30" s="231"/>
      <c r="AC30" s="231"/>
      <c r="AD30" s="231"/>
      <c r="AE30" s="231"/>
      <c r="AF30" s="231"/>
      <c r="AG30" s="231"/>
      <c r="AH30" s="231"/>
      <c r="AI30" s="231"/>
      <c r="AJ30" s="231"/>
    </row>
    <row r="31" spans="1:36" s="203" customFormat="1">
      <c r="A31" s="46">
        <v>4</v>
      </c>
      <c r="B31" s="47" t="s">
        <v>55</v>
      </c>
      <c r="C31" s="47"/>
      <c r="D31" s="48"/>
      <c r="E31" s="49">
        <v>14844</v>
      </c>
      <c r="F31" s="50">
        <f>F214</f>
        <v>15378</v>
      </c>
      <c r="G31" s="43"/>
      <c r="H31" s="51">
        <f>H214</f>
        <v>15282</v>
      </c>
      <c r="I31" s="43"/>
      <c r="J31" s="231"/>
      <c r="K31" s="231"/>
      <c r="L31" s="231"/>
      <c r="M31" s="231"/>
      <c r="N31" s="231"/>
      <c r="O31" s="231"/>
      <c r="P31" s="231"/>
      <c r="Q31" s="231"/>
      <c r="R31" s="231"/>
      <c r="S31" s="231"/>
      <c r="T31" s="231"/>
      <c r="U31" s="231"/>
      <c r="V31" s="231"/>
      <c r="W31" s="231"/>
      <c r="X31" s="231"/>
      <c r="Y31" s="231"/>
      <c r="Z31" s="231"/>
      <c r="AA31" s="231"/>
      <c r="AB31" s="231"/>
      <c r="AC31" s="231"/>
      <c r="AD31" s="231"/>
      <c r="AE31" s="231"/>
      <c r="AF31" s="231"/>
      <c r="AG31" s="231"/>
      <c r="AH31" s="231"/>
      <c r="AI31" s="231"/>
      <c r="AJ31" s="231"/>
    </row>
    <row r="32" spans="1:36" s="203" customFormat="1">
      <c r="A32" s="46">
        <v>5</v>
      </c>
      <c r="B32" s="47" t="s">
        <v>56</v>
      </c>
      <c r="C32" s="47"/>
      <c r="D32" s="48"/>
      <c r="E32" s="49">
        <v>2398</v>
      </c>
      <c r="F32" s="50">
        <f>F231</f>
        <v>2756</v>
      </c>
      <c r="G32" s="43"/>
      <c r="H32" s="51">
        <f>H231</f>
        <v>1970</v>
      </c>
      <c r="I32" s="43"/>
      <c r="J32" s="231"/>
      <c r="K32" s="231"/>
      <c r="L32" s="231"/>
      <c r="M32" s="231"/>
      <c r="N32" s="231"/>
      <c r="O32" s="231"/>
      <c r="P32" s="231"/>
      <c r="Q32" s="231"/>
      <c r="R32" s="231"/>
      <c r="S32" s="231"/>
      <c r="T32" s="231"/>
      <c r="U32" s="231"/>
      <c r="V32" s="231"/>
      <c r="W32" s="231"/>
      <c r="X32" s="231"/>
      <c r="Y32" s="231"/>
      <c r="Z32" s="231"/>
      <c r="AA32" s="231"/>
      <c r="AB32" s="231"/>
      <c r="AC32" s="231"/>
      <c r="AD32" s="231"/>
      <c r="AE32" s="231"/>
      <c r="AF32" s="231"/>
      <c r="AG32" s="231"/>
      <c r="AH32" s="231"/>
      <c r="AI32" s="231"/>
      <c r="AJ32" s="231"/>
    </row>
    <row r="33" spans="1:36" s="203" customFormat="1">
      <c r="A33" s="46">
        <v>6</v>
      </c>
      <c r="B33" s="47" t="s">
        <v>57</v>
      </c>
      <c r="C33" s="47"/>
      <c r="D33" s="48"/>
      <c r="E33" s="49">
        <v>9327</v>
      </c>
      <c r="F33" s="50">
        <f>F257</f>
        <v>10584</v>
      </c>
      <c r="G33" s="43"/>
      <c r="H33" s="51">
        <f>H257</f>
        <v>9960</v>
      </c>
      <c r="I33" s="43"/>
      <c r="J33" s="231"/>
      <c r="K33" s="231"/>
      <c r="L33" s="231"/>
      <c r="M33" s="231"/>
      <c r="N33" s="231"/>
      <c r="O33" s="231"/>
      <c r="P33" s="231"/>
      <c r="Q33" s="231"/>
      <c r="R33" s="231"/>
      <c r="S33" s="231"/>
      <c r="T33" s="231"/>
      <c r="U33" s="231"/>
      <c r="V33" s="231"/>
      <c r="W33" s="231"/>
      <c r="X33" s="231"/>
      <c r="Y33" s="231"/>
      <c r="Z33" s="231"/>
      <c r="AA33" s="231"/>
      <c r="AB33" s="231"/>
      <c r="AC33" s="231"/>
      <c r="AD33" s="231"/>
      <c r="AE33" s="231"/>
      <c r="AF33" s="231"/>
      <c r="AG33" s="231"/>
      <c r="AH33" s="231"/>
      <c r="AI33" s="231"/>
      <c r="AJ33" s="231"/>
    </row>
    <row r="34" spans="1:36" s="203" customFormat="1">
      <c r="A34" s="46">
        <v>7</v>
      </c>
      <c r="B34" s="47" t="s">
        <v>58</v>
      </c>
      <c r="C34" s="47"/>
      <c r="D34" s="48"/>
      <c r="E34" s="49">
        <v>7106</v>
      </c>
      <c r="F34" s="50">
        <f>F277</f>
        <v>7703</v>
      </c>
      <c r="G34" s="43"/>
      <c r="H34" s="50">
        <f>H277</f>
        <v>7644</v>
      </c>
      <c r="I34" s="43"/>
      <c r="J34" s="231"/>
      <c r="K34" s="231"/>
      <c r="L34" s="231"/>
      <c r="M34" s="231"/>
      <c r="N34" s="231"/>
      <c r="O34" s="231"/>
      <c r="P34" s="231"/>
      <c r="Q34" s="231"/>
      <c r="R34" s="231"/>
      <c r="S34" s="231"/>
      <c r="T34" s="231"/>
      <c r="U34" s="231"/>
      <c r="V34" s="231"/>
      <c r="W34" s="231"/>
      <c r="X34" s="231"/>
      <c r="Y34" s="231"/>
      <c r="Z34" s="231"/>
      <c r="AA34" s="231"/>
      <c r="AB34" s="231"/>
      <c r="AC34" s="231"/>
      <c r="AD34" s="231"/>
      <c r="AE34" s="231"/>
      <c r="AF34" s="231"/>
      <c r="AG34" s="231"/>
      <c r="AH34" s="231"/>
      <c r="AI34" s="231"/>
      <c r="AJ34" s="231"/>
    </row>
    <row r="35" spans="1:36" s="203" customFormat="1">
      <c r="A35" s="46">
        <v>8</v>
      </c>
      <c r="B35" s="47" t="s">
        <v>59</v>
      </c>
      <c r="C35" s="47"/>
      <c r="D35" s="48"/>
      <c r="E35" s="49">
        <v>4474</v>
      </c>
      <c r="F35" s="50">
        <f>F302</f>
        <v>4564</v>
      </c>
      <c r="G35" s="43"/>
      <c r="H35" s="50">
        <f>H302</f>
        <v>2492</v>
      </c>
      <c r="I35" s="21"/>
      <c r="J35" s="231"/>
      <c r="K35" s="231"/>
      <c r="L35" s="231"/>
      <c r="M35" s="231"/>
      <c r="N35" s="231"/>
      <c r="O35" s="231"/>
      <c r="P35" s="231"/>
      <c r="Q35" s="231"/>
      <c r="R35" s="231"/>
      <c r="S35" s="231"/>
      <c r="T35" s="231"/>
      <c r="U35" s="231"/>
      <c r="V35" s="231"/>
      <c r="W35" s="231"/>
      <c r="X35" s="231"/>
      <c r="Y35" s="231"/>
      <c r="Z35" s="231"/>
      <c r="AA35" s="231"/>
      <c r="AB35" s="231"/>
      <c r="AC35" s="231"/>
      <c r="AD35" s="231"/>
      <c r="AE35" s="231"/>
      <c r="AF35" s="231"/>
      <c r="AG35" s="231"/>
      <c r="AH35" s="231"/>
      <c r="AI35" s="231"/>
      <c r="AJ35" s="231"/>
    </row>
    <row r="36" spans="1:36" s="203" customFormat="1">
      <c r="A36" s="46">
        <v>9</v>
      </c>
      <c r="B36" s="47" t="s">
        <v>60</v>
      </c>
      <c r="C36" s="47"/>
      <c r="D36" s="48"/>
      <c r="E36" s="49">
        <v>0</v>
      </c>
      <c r="F36" s="52">
        <v>0</v>
      </c>
      <c r="G36" s="43"/>
      <c r="H36" s="52">
        <v>0</v>
      </c>
      <c r="I36" s="21"/>
      <c r="J36" s="231"/>
      <c r="K36" s="231"/>
      <c r="L36" s="231"/>
      <c r="M36" s="231"/>
      <c r="N36" s="231"/>
      <c r="O36" s="231"/>
      <c r="P36" s="231"/>
      <c r="Q36" s="231"/>
      <c r="R36" s="231"/>
      <c r="S36" s="231"/>
      <c r="T36" s="231"/>
      <c r="U36" s="231"/>
      <c r="V36" s="231"/>
      <c r="W36" s="231"/>
      <c r="X36" s="231"/>
      <c r="Y36" s="231"/>
      <c r="Z36" s="231"/>
      <c r="AA36" s="231"/>
      <c r="AB36" s="231"/>
      <c r="AC36" s="231"/>
      <c r="AD36" s="231"/>
      <c r="AE36" s="231"/>
      <c r="AF36" s="231"/>
      <c r="AG36" s="231"/>
      <c r="AH36" s="231"/>
      <c r="AI36" s="231"/>
      <c r="AJ36" s="231"/>
    </row>
    <row r="37" spans="1:36" s="203" customFormat="1">
      <c r="A37" s="53">
        <v>10</v>
      </c>
      <c r="B37" s="54" t="s">
        <v>61</v>
      </c>
      <c r="C37" s="54"/>
      <c r="D37" s="55"/>
      <c r="E37" s="56">
        <v>21163</v>
      </c>
      <c r="F37" s="57">
        <f>F320</f>
        <v>20958</v>
      </c>
      <c r="G37" s="43"/>
      <c r="H37" s="57">
        <f>H320</f>
        <v>21052</v>
      </c>
      <c r="I37" s="21"/>
      <c r="J37" s="231"/>
      <c r="K37" s="231"/>
      <c r="L37" s="231"/>
      <c r="M37" s="231"/>
      <c r="N37" s="231"/>
      <c r="O37" s="231"/>
      <c r="P37" s="231"/>
      <c r="Q37" s="231"/>
      <c r="R37" s="231"/>
      <c r="S37" s="231"/>
      <c r="T37" s="231"/>
      <c r="U37" s="231"/>
      <c r="V37" s="231"/>
      <c r="W37" s="231"/>
      <c r="X37" s="231"/>
      <c r="Y37" s="231"/>
      <c r="Z37" s="231"/>
      <c r="AA37" s="231"/>
      <c r="AB37" s="231"/>
      <c r="AC37" s="231"/>
      <c r="AD37" s="231"/>
      <c r="AE37" s="231"/>
      <c r="AF37" s="231"/>
      <c r="AG37" s="231"/>
      <c r="AH37" s="231"/>
      <c r="AI37" s="231"/>
      <c r="AJ37" s="231"/>
    </row>
    <row r="38" spans="1:36" s="203" customFormat="1">
      <c r="A38" s="33">
        <v>11</v>
      </c>
      <c r="B38" s="58" t="s">
        <v>62</v>
      </c>
      <c r="C38" s="58"/>
      <c r="D38" s="59"/>
      <c r="E38" s="60">
        <v>214680</v>
      </c>
      <c r="F38" s="61">
        <f>SUM(F28:F37)</f>
        <v>218297</v>
      </c>
      <c r="G38" s="43"/>
      <c r="H38" s="61">
        <f>SUM(H28:H37)</f>
        <v>222862</v>
      </c>
      <c r="I38" s="68"/>
      <c r="J38" s="231"/>
      <c r="K38" s="231"/>
      <c r="L38" s="231"/>
      <c r="M38" s="231"/>
      <c r="N38" s="231"/>
      <c r="O38" s="231"/>
      <c r="P38" s="231"/>
      <c r="Q38" s="231"/>
      <c r="R38" s="231"/>
      <c r="S38" s="231"/>
      <c r="T38" s="231"/>
      <c r="U38" s="231"/>
      <c r="V38" s="231"/>
      <c r="W38" s="231"/>
      <c r="X38" s="231"/>
      <c r="Y38" s="231"/>
      <c r="Z38" s="231"/>
      <c r="AA38" s="231"/>
      <c r="AB38" s="231"/>
      <c r="AC38" s="231"/>
      <c r="AD38" s="231"/>
      <c r="AE38" s="231"/>
      <c r="AF38" s="231"/>
      <c r="AG38" s="231"/>
      <c r="AH38" s="231"/>
      <c r="AI38" s="231"/>
      <c r="AJ38" s="231"/>
    </row>
    <row r="39" spans="1:36" s="203" customFormat="1" ht="12.75" customHeight="1">
      <c r="A39" s="63"/>
      <c r="B39" s="64"/>
      <c r="C39" s="64"/>
      <c r="D39" s="65"/>
      <c r="E39" s="66"/>
      <c r="F39" s="67"/>
      <c r="G39" s="21"/>
      <c r="H39" s="67"/>
      <c r="I39" s="68"/>
      <c r="J39" s="231"/>
      <c r="K39" s="231"/>
      <c r="L39" s="231"/>
      <c r="M39" s="231"/>
      <c r="N39" s="231"/>
      <c r="O39" s="231"/>
      <c r="P39" s="231"/>
      <c r="Q39" s="231"/>
      <c r="R39" s="231"/>
      <c r="S39" s="231"/>
      <c r="T39" s="231"/>
      <c r="U39" s="231"/>
      <c r="V39" s="231"/>
      <c r="W39" s="231"/>
      <c r="X39" s="231"/>
      <c r="Y39" s="231"/>
      <c r="Z39" s="231"/>
      <c r="AA39" s="231"/>
      <c r="AB39" s="231"/>
      <c r="AC39" s="231"/>
      <c r="AD39" s="231"/>
      <c r="AE39" s="231"/>
      <c r="AF39" s="231"/>
      <c r="AG39" s="231"/>
      <c r="AH39" s="231"/>
      <c r="AI39" s="231"/>
      <c r="AJ39" s="231"/>
    </row>
    <row r="40" spans="1:36" s="203" customFormat="1" ht="12.75" customHeight="1">
      <c r="A40" s="893" t="s">
        <v>63</v>
      </c>
      <c r="B40" s="894"/>
      <c r="C40" s="894"/>
      <c r="D40" s="895"/>
      <c r="E40" s="878" t="s">
        <v>376</v>
      </c>
      <c r="F40" s="856" t="s">
        <v>407</v>
      </c>
      <c r="G40" s="36"/>
      <c r="H40" s="878" t="s">
        <v>406</v>
      </c>
      <c r="I40" s="43"/>
      <c r="J40" s="231"/>
      <c r="K40" s="231"/>
      <c r="L40" s="231"/>
      <c r="M40" s="231"/>
      <c r="N40" s="231"/>
      <c r="O40" s="231"/>
      <c r="P40" s="231"/>
      <c r="Q40" s="231"/>
      <c r="R40" s="231"/>
      <c r="S40" s="231"/>
      <c r="T40" s="231"/>
      <c r="U40" s="231"/>
      <c r="V40" s="231"/>
      <c r="W40" s="231"/>
      <c r="X40" s="231"/>
      <c r="Y40" s="231"/>
      <c r="Z40" s="231"/>
      <c r="AA40" s="231"/>
      <c r="AB40" s="231"/>
      <c r="AC40" s="231"/>
      <c r="AD40" s="231"/>
      <c r="AE40" s="231"/>
      <c r="AF40" s="231"/>
      <c r="AG40" s="231"/>
      <c r="AH40" s="231"/>
      <c r="AI40" s="231"/>
      <c r="AJ40" s="231"/>
    </row>
    <row r="41" spans="1:36" s="203" customFormat="1" ht="27.75" customHeight="1">
      <c r="A41" s="876"/>
      <c r="B41" s="877"/>
      <c r="C41" s="877"/>
      <c r="D41" s="896"/>
      <c r="E41" s="879"/>
      <c r="F41" s="860"/>
      <c r="G41" s="23"/>
      <c r="H41" s="879"/>
      <c r="I41" s="43"/>
      <c r="J41" s="231"/>
      <c r="K41" s="231"/>
      <c r="L41" s="231"/>
      <c r="M41" s="231"/>
      <c r="N41" s="231"/>
      <c r="O41" s="231"/>
      <c r="P41" s="231"/>
      <c r="Q41" s="231"/>
      <c r="R41" s="231"/>
      <c r="S41" s="231"/>
      <c r="T41" s="231"/>
      <c r="U41" s="231"/>
      <c r="V41" s="231"/>
      <c r="W41" s="231"/>
      <c r="X41" s="231"/>
      <c r="Y41" s="231"/>
      <c r="Z41" s="231"/>
      <c r="AA41" s="231"/>
      <c r="AB41" s="231"/>
      <c r="AC41" s="231"/>
      <c r="AD41" s="231"/>
      <c r="AE41" s="231"/>
      <c r="AF41" s="231"/>
      <c r="AG41" s="231"/>
      <c r="AH41" s="231"/>
      <c r="AI41" s="231"/>
      <c r="AJ41" s="231"/>
    </row>
    <row r="42" spans="1:36" s="203" customFormat="1">
      <c r="A42" s="673" t="s">
        <v>64</v>
      </c>
      <c r="B42" s="69" t="s">
        <v>65</v>
      </c>
      <c r="C42" s="69"/>
      <c r="D42" s="70"/>
      <c r="E42" s="71"/>
      <c r="F42" s="72" t="str">
        <f>IF(OR(F43&lt;0,F44&lt;0,F47&lt;0,F48&lt;0,H43&lt;0,H44&lt;0,H47&lt;0,H48&lt;0),"Funding should be recorded as positive figures",".")</f>
        <v>.</v>
      </c>
      <c r="G42" s="45"/>
      <c r="H42" s="73"/>
      <c r="I42" s="43"/>
      <c r="J42" s="231"/>
      <c r="K42" s="231"/>
      <c r="L42" s="231"/>
      <c r="M42" s="231"/>
      <c r="N42" s="231"/>
      <c r="O42" s="231"/>
      <c r="P42" s="231"/>
      <c r="Q42" s="231"/>
      <c r="R42" s="231"/>
      <c r="S42" s="231"/>
      <c r="T42" s="231"/>
      <c r="U42" s="231"/>
      <c r="V42" s="231"/>
      <c r="W42" s="231"/>
      <c r="X42" s="231"/>
      <c r="Y42" s="231"/>
      <c r="Z42" s="231"/>
      <c r="AA42" s="231"/>
      <c r="AB42" s="231"/>
      <c r="AC42" s="231"/>
      <c r="AD42" s="231"/>
      <c r="AE42" s="231"/>
      <c r="AF42" s="231"/>
      <c r="AG42" s="231"/>
      <c r="AH42" s="231"/>
      <c r="AI42" s="231"/>
      <c r="AJ42" s="231"/>
    </row>
    <row r="43" spans="1:36" s="203" customFormat="1">
      <c r="A43" s="46">
        <v>1</v>
      </c>
      <c r="B43" s="47" t="s">
        <v>66</v>
      </c>
      <c r="C43" s="47"/>
      <c r="D43" s="48"/>
      <c r="E43" s="74">
        <v>120671</v>
      </c>
      <c r="F43" s="241">
        <v>121625.99999999999</v>
      </c>
      <c r="G43" s="45"/>
      <c r="H43" s="75">
        <v>119822</v>
      </c>
      <c r="I43" s="43"/>
      <c r="J43" s="231"/>
      <c r="K43" s="231"/>
      <c r="L43" s="231"/>
      <c r="M43" s="231"/>
      <c r="N43" s="231"/>
      <c r="O43" s="231"/>
      <c r="P43" s="231"/>
      <c r="Q43" s="231"/>
      <c r="R43" s="231"/>
      <c r="S43" s="231"/>
      <c r="T43" s="231"/>
      <c r="U43" s="231"/>
      <c r="V43" s="231"/>
      <c r="W43" s="231"/>
      <c r="X43" s="231"/>
      <c r="Y43" s="231"/>
      <c r="Z43" s="231"/>
      <c r="AA43" s="231"/>
      <c r="AB43" s="231"/>
      <c r="AC43" s="231"/>
      <c r="AD43" s="231"/>
      <c r="AE43" s="231"/>
      <c r="AF43" s="231"/>
      <c r="AG43" s="231"/>
      <c r="AH43" s="231"/>
      <c r="AI43" s="231"/>
      <c r="AJ43" s="231"/>
    </row>
    <row r="44" spans="1:36" s="203" customFormat="1">
      <c r="A44" s="46">
        <v>2</v>
      </c>
      <c r="B44" s="47" t="s">
        <v>67</v>
      </c>
      <c r="C44" s="47"/>
      <c r="D44" s="48"/>
      <c r="E44" s="49">
        <v>42273</v>
      </c>
      <c r="F44" s="241">
        <v>42273</v>
      </c>
      <c r="G44" s="45"/>
      <c r="H44" s="75">
        <v>44042</v>
      </c>
      <c r="I44" s="43"/>
      <c r="J44" s="231"/>
      <c r="K44" s="231"/>
      <c r="L44" s="231"/>
      <c r="M44" s="231"/>
      <c r="N44" s="231"/>
      <c r="O44" s="231"/>
      <c r="P44" s="231"/>
      <c r="Q44" s="231"/>
      <c r="R44" s="231"/>
      <c r="S44" s="231"/>
      <c r="T44" s="231"/>
      <c r="U44" s="231"/>
      <c r="V44" s="231"/>
      <c r="W44" s="231"/>
      <c r="X44" s="231"/>
      <c r="Y44" s="231"/>
      <c r="Z44" s="231"/>
      <c r="AA44" s="231"/>
      <c r="AB44" s="231"/>
      <c r="AC44" s="231"/>
      <c r="AD44" s="231"/>
      <c r="AE44" s="231"/>
      <c r="AF44" s="231"/>
      <c r="AG44" s="231"/>
      <c r="AH44" s="231"/>
      <c r="AI44" s="231"/>
      <c r="AJ44" s="231"/>
    </row>
    <row r="45" spans="1:36" s="203" customFormat="1">
      <c r="A45" s="46">
        <v>3</v>
      </c>
      <c r="B45" s="47" t="s">
        <v>68</v>
      </c>
      <c r="C45" s="47"/>
      <c r="D45" s="48"/>
      <c r="E45" s="49">
        <v>0</v>
      </c>
      <c r="F45" s="52">
        <v>0</v>
      </c>
      <c r="G45" s="45"/>
      <c r="H45" s="75">
        <v>0</v>
      </c>
      <c r="I45" s="43"/>
      <c r="J45" s="231"/>
      <c r="K45" s="231"/>
      <c r="L45" s="231"/>
      <c r="M45" s="231"/>
      <c r="N45" s="231"/>
      <c r="O45" s="231"/>
      <c r="P45" s="231"/>
      <c r="Q45" s="231"/>
      <c r="R45" s="231"/>
      <c r="S45" s="231"/>
      <c r="T45" s="231"/>
      <c r="U45" s="231"/>
      <c r="V45" s="231"/>
      <c r="W45" s="231"/>
      <c r="X45" s="231"/>
      <c r="Y45" s="231"/>
      <c r="Z45" s="231"/>
      <c r="AA45" s="231"/>
      <c r="AB45" s="231"/>
      <c r="AC45" s="231"/>
      <c r="AD45" s="231"/>
      <c r="AE45" s="231"/>
      <c r="AF45" s="231"/>
      <c r="AG45" s="231"/>
      <c r="AH45" s="231"/>
      <c r="AI45" s="231"/>
      <c r="AJ45" s="231"/>
    </row>
    <row r="46" spans="1:36" s="203" customFormat="1">
      <c r="A46" s="46">
        <v>4</v>
      </c>
      <c r="B46" s="47" t="s">
        <v>70</v>
      </c>
      <c r="C46" s="47"/>
      <c r="D46" s="48"/>
      <c r="E46" s="49">
        <v>0</v>
      </c>
      <c r="F46" s="52">
        <v>0</v>
      </c>
      <c r="G46" s="45"/>
      <c r="H46" s="75">
        <v>0</v>
      </c>
      <c r="I46" s="43"/>
      <c r="J46" s="231"/>
      <c r="K46" s="231"/>
      <c r="L46" s="231"/>
      <c r="M46" s="231"/>
      <c r="N46" s="231"/>
      <c r="O46" s="231"/>
      <c r="P46" s="231"/>
      <c r="Q46" s="231"/>
      <c r="R46" s="231"/>
      <c r="S46" s="231"/>
      <c r="T46" s="231"/>
      <c r="U46" s="231"/>
      <c r="V46" s="231"/>
      <c r="W46" s="231"/>
      <c r="X46" s="231"/>
      <c r="Y46" s="231"/>
      <c r="Z46" s="231"/>
      <c r="AA46" s="231"/>
      <c r="AB46" s="231"/>
      <c r="AC46" s="231"/>
      <c r="AD46" s="231"/>
      <c r="AE46" s="231"/>
      <c r="AF46" s="231"/>
      <c r="AG46" s="231"/>
      <c r="AH46" s="231"/>
      <c r="AI46" s="231"/>
      <c r="AJ46" s="231"/>
    </row>
    <row r="47" spans="1:36" s="203" customFormat="1">
      <c r="A47" s="46">
        <v>5</v>
      </c>
      <c r="B47" s="47" t="s">
        <v>69</v>
      </c>
      <c r="C47" s="47"/>
      <c r="D47" s="48"/>
      <c r="E47" s="49">
        <v>4334</v>
      </c>
      <c r="F47" s="52">
        <v>4375</v>
      </c>
      <c r="G47" s="45"/>
      <c r="H47" s="76">
        <v>9204</v>
      </c>
      <c r="I47" s="43"/>
      <c r="J47" s="231"/>
      <c r="K47" s="231"/>
      <c r="L47" s="231"/>
      <c r="M47" s="231"/>
      <c r="N47" s="231"/>
      <c r="O47" s="231"/>
      <c r="P47" s="231"/>
      <c r="Q47" s="231"/>
      <c r="R47" s="231"/>
      <c r="S47" s="231"/>
      <c r="T47" s="231"/>
      <c r="U47" s="231"/>
      <c r="V47" s="231"/>
      <c r="W47" s="231"/>
      <c r="X47" s="231"/>
      <c r="Y47" s="231"/>
      <c r="Z47" s="231"/>
      <c r="AA47" s="231"/>
      <c r="AB47" s="231"/>
      <c r="AC47" s="231"/>
      <c r="AD47" s="231"/>
      <c r="AE47" s="231"/>
      <c r="AF47" s="231"/>
      <c r="AG47" s="231"/>
      <c r="AH47" s="231"/>
      <c r="AI47" s="231"/>
      <c r="AJ47" s="231"/>
    </row>
    <row r="48" spans="1:36" s="203" customFormat="1">
      <c r="A48" s="46">
        <v>6</v>
      </c>
      <c r="B48" s="90" t="s">
        <v>253</v>
      </c>
      <c r="C48" s="47"/>
      <c r="D48" s="195"/>
      <c r="E48" s="49">
        <v>47402</v>
      </c>
      <c r="F48" s="52">
        <v>47402</v>
      </c>
      <c r="G48" s="45"/>
      <c r="H48" s="52">
        <v>49794</v>
      </c>
      <c r="I48" s="43"/>
      <c r="J48" s="231"/>
      <c r="K48" s="231"/>
      <c r="L48" s="231"/>
      <c r="M48" s="231"/>
      <c r="N48" s="231"/>
      <c r="O48" s="231"/>
      <c r="P48" s="231"/>
      <c r="Q48" s="231"/>
      <c r="R48" s="231"/>
      <c r="S48" s="231"/>
      <c r="T48" s="231"/>
      <c r="U48" s="231"/>
      <c r="V48" s="231"/>
      <c r="W48" s="231"/>
      <c r="X48" s="231"/>
      <c r="Y48" s="231"/>
      <c r="Z48" s="231"/>
      <c r="AA48" s="231"/>
      <c r="AB48" s="231"/>
      <c r="AC48" s="231"/>
      <c r="AD48" s="231"/>
      <c r="AE48" s="231"/>
      <c r="AF48" s="231"/>
      <c r="AG48" s="231"/>
      <c r="AH48" s="231"/>
      <c r="AI48" s="231"/>
      <c r="AJ48" s="231"/>
    </row>
    <row r="49" spans="1:36" s="203" customFormat="1">
      <c r="A49" s="77">
        <v>7</v>
      </c>
      <c r="B49" s="78" t="s">
        <v>71</v>
      </c>
      <c r="C49" s="58"/>
      <c r="D49" s="79"/>
      <c r="E49" s="80">
        <v>214680</v>
      </c>
      <c r="F49" s="81">
        <f>SUM(F43:F48)</f>
        <v>215676</v>
      </c>
      <c r="G49" s="82"/>
      <c r="H49" s="62">
        <f>SUM(H43:H48)</f>
        <v>222862</v>
      </c>
      <c r="I49" s="242"/>
      <c r="J49" s="231"/>
      <c r="K49" s="231"/>
      <c r="L49" s="231"/>
      <c r="M49" s="231"/>
      <c r="N49" s="231"/>
      <c r="O49" s="231"/>
      <c r="P49" s="231"/>
      <c r="Q49" s="231"/>
      <c r="R49" s="231"/>
      <c r="S49" s="231"/>
      <c r="T49" s="231"/>
      <c r="U49" s="231"/>
      <c r="V49" s="231"/>
      <c r="W49" s="231"/>
      <c r="X49" s="231"/>
      <c r="Y49" s="231"/>
      <c r="Z49" s="231"/>
      <c r="AA49" s="231"/>
      <c r="AB49" s="231"/>
      <c r="AC49" s="231"/>
      <c r="AD49" s="231"/>
      <c r="AE49" s="231"/>
      <c r="AF49" s="231"/>
      <c r="AG49" s="231"/>
      <c r="AH49" s="231"/>
      <c r="AI49" s="231"/>
      <c r="AJ49" s="231"/>
    </row>
    <row r="50" spans="1:36" s="203" customFormat="1">
      <c r="A50" s="83"/>
      <c r="B50" s="244"/>
      <c r="C50" s="244"/>
      <c r="D50" s="244"/>
      <c r="E50" s="85"/>
      <c r="F50" s="244"/>
      <c r="G50" s="86"/>
      <c r="H50" s="86"/>
      <c r="I50" s="21"/>
      <c r="J50" s="231"/>
      <c r="K50" s="231"/>
      <c r="L50" s="231"/>
      <c r="M50" s="231"/>
      <c r="N50" s="231"/>
      <c r="O50" s="231"/>
      <c r="P50" s="231"/>
      <c r="Q50" s="231"/>
      <c r="R50" s="231"/>
      <c r="S50" s="231"/>
      <c r="T50" s="231"/>
      <c r="U50" s="231"/>
      <c r="V50" s="231"/>
      <c r="W50" s="231"/>
      <c r="X50" s="231"/>
      <c r="Y50" s="231"/>
      <c r="Z50" s="231"/>
      <c r="AA50" s="231"/>
      <c r="AB50" s="231"/>
      <c r="AC50" s="231"/>
      <c r="AD50" s="231"/>
      <c r="AE50" s="231"/>
      <c r="AF50" s="231"/>
      <c r="AG50" s="231"/>
      <c r="AH50" s="231"/>
      <c r="AI50" s="231"/>
      <c r="AJ50" s="231"/>
    </row>
    <row r="51" spans="1:36" s="203" customFormat="1">
      <c r="A51" s="673" t="s">
        <v>72</v>
      </c>
      <c r="B51" s="196" t="s">
        <v>254</v>
      </c>
      <c r="C51" s="69"/>
      <c r="D51" s="70"/>
      <c r="E51" s="87"/>
      <c r="F51" s="88"/>
      <c r="G51" s="45"/>
      <c r="H51" s="89"/>
      <c r="I51" s="43"/>
      <c r="J51" s="231"/>
      <c r="K51" s="231"/>
      <c r="L51" s="231"/>
      <c r="M51" s="231"/>
      <c r="N51" s="231"/>
      <c r="O51" s="231"/>
      <c r="P51" s="231"/>
      <c r="Q51" s="231"/>
      <c r="R51" s="231"/>
      <c r="S51" s="231"/>
      <c r="T51" s="231"/>
      <c r="U51" s="231"/>
      <c r="V51" s="231"/>
      <c r="W51" s="231"/>
      <c r="X51" s="231"/>
      <c r="Y51" s="231"/>
      <c r="Z51" s="231"/>
      <c r="AA51" s="231"/>
      <c r="AB51" s="231"/>
      <c r="AC51" s="231"/>
      <c r="AD51" s="231"/>
      <c r="AE51" s="231"/>
      <c r="AF51" s="231"/>
      <c r="AG51" s="231"/>
      <c r="AH51" s="231"/>
      <c r="AI51" s="231"/>
      <c r="AJ51" s="231"/>
    </row>
    <row r="52" spans="1:36" s="203" customFormat="1">
      <c r="A52" s="46">
        <v>8</v>
      </c>
      <c r="B52" s="90" t="s">
        <v>73</v>
      </c>
      <c r="C52" s="47"/>
      <c r="D52" s="48"/>
      <c r="E52" s="74">
        <v>214680</v>
      </c>
      <c r="F52" s="50">
        <f>F38</f>
        <v>218297</v>
      </c>
      <c r="G52" s="45"/>
      <c r="H52" s="91">
        <f>H38</f>
        <v>222862</v>
      </c>
      <c r="I52" s="43"/>
      <c r="J52" s="231"/>
      <c r="K52" s="231"/>
      <c r="L52" s="231"/>
      <c r="M52" s="231"/>
      <c r="N52" s="231"/>
      <c r="O52" s="231"/>
      <c r="P52" s="231"/>
      <c r="Q52" s="231"/>
      <c r="R52" s="231"/>
      <c r="S52" s="231"/>
      <c r="T52" s="231"/>
      <c r="U52" s="231"/>
      <c r="V52" s="231"/>
      <c r="W52" s="231"/>
      <c r="X52" s="231"/>
      <c r="Y52" s="231"/>
      <c r="Z52" s="231"/>
      <c r="AA52" s="231"/>
      <c r="AB52" s="231"/>
      <c r="AC52" s="231"/>
      <c r="AD52" s="231"/>
      <c r="AE52" s="231"/>
      <c r="AF52" s="231"/>
      <c r="AG52" s="231"/>
      <c r="AH52" s="231"/>
      <c r="AI52" s="231"/>
      <c r="AJ52" s="231"/>
    </row>
    <row r="53" spans="1:36" s="203" customFormat="1">
      <c r="A53" s="46">
        <v>9</v>
      </c>
      <c r="B53" s="90" t="s">
        <v>74</v>
      </c>
      <c r="C53" s="47"/>
      <c r="D53" s="48"/>
      <c r="E53" s="49">
        <v>214680</v>
      </c>
      <c r="F53" s="92">
        <f>F49</f>
        <v>215676</v>
      </c>
      <c r="G53" s="45"/>
      <c r="H53" s="91">
        <f>H49</f>
        <v>222862</v>
      </c>
      <c r="I53" s="43"/>
      <c r="J53" s="231"/>
      <c r="K53" s="231"/>
      <c r="L53" s="231"/>
      <c r="M53" s="231"/>
      <c r="N53" s="231"/>
      <c r="O53" s="231"/>
      <c r="P53" s="231"/>
      <c r="Q53" s="231"/>
      <c r="R53" s="231"/>
      <c r="S53" s="231"/>
      <c r="T53" s="231"/>
      <c r="U53" s="231"/>
      <c r="V53" s="231"/>
      <c r="W53" s="231"/>
      <c r="X53" s="231"/>
      <c r="Y53" s="231"/>
      <c r="Z53" s="231"/>
      <c r="AA53" s="231"/>
      <c r="AB53" s="231"/>
      <c r="AC53" s="231"/>
      <c r="AD53" s="231"/>
      <c r="AE53" s="231"/>
      <c r="AF53" s="231"/>
      <c r="AG53" s="231"/>
      <c r="AH53" s="231"/>
      <c r="AI53" s="231"/>
      <c r="AJ53" s="231"/>
    </row>
    <row r="54" spans="1:36" s="203" customFormat="1">
      <c r="A54" s="675">
        <v>10</v>
      </c>
      <c r="B54" s="93" t="s">
        <v>255</v>
      </c>
      <c r="C54" s="94"/>
      <c r="D54" s="55"/>
      <c r="E54" s="95">
        <v>0</v>
      </c>
      <c r="F54" s="96">
        <f>F53-F52</f>
        <v>-2621</v>
      </c>
      <c r="G54" s="45"/>
      <c r="H54" s="97">
        <f>H53-H52</f>
        <v>0</v>
      </c>
      <c r="I54" s="43"/>
      <c r="J54" s="231"/>
      <c r="K54" s="231"/>
      <c r="L54" s="231"/>
      <c r="M54" s="231"/>
      <c r="N54" s="231"/>
      <c r="O54" s="231"/>
      <c r="P54" s="231"/>
      <c r="Q54" s="231"/>
      <c r="R54" s="231"/>
      <c r="S54" s="231"/>
      <c r="T54" s="231"/>
      <c r="U54" s="231"/>
      <c r="V54" s="231"/>
      <c r="W54" s="231"/>
      <c r="X54" s="231"/>
      <c r="Y54" s="231"/>
      <c r="Z54" s="231"/>
      <c r="AA54" s="231"/>
      <c r="AB54" s="231"/>
      <c r="AC54" s="231"/>
      <c r="AD54" s="231"/>
      <c r="AE54" s="231"/>
      <c r="AF54" s="231"/>
      <c r="AG54" s="231"/>
      <c r="AH54" s="231"/>
      <c r="AI54" s="231"/>
      <c r="AJ54" s="231"/>
    </row>
    <row r="55" spans="1:36" s="203" customFormat="1">
      <c r="A55" s="83"/>
      <c r="B55" s="244"/>
      <c r="C55" s="244"/>
      <c r="D55" s="244"/>
      <c r="E55" s="85"/>
      <c r="F55" s="244"/>
      <c r="G55" s="86"/>
      <c r="H55" s="86"/>
      <c r="I55" s="21"/>
      <c r="J55" s="231"/>
      <c r="K55" s="231"/>
      <c r="L55" s="231"/>
      <c r="M55" s="231"/>
      <c r="N55" s="231"/>
      <c r="O55" s="231"/>
      <c r="P55" s="231"/>
      <c r="Q55" s="231"/>
      <c r="R55" s="231"/>
      <c r="S55" s="231"/>
      <c r="T55" s="231"/>
      <c r="U55" s="231"/>
      <c r="V55" s="231"/>
      <c r="W55" s="231"/>
      <c r="X55" s="231"/>
      <c r="Y55" s="231"/>
      <c r="Z55" s="231"/>
      <c r="AA55" s="231"/>
      <c r="AB55" s="231"/>
      <c r="AC55" s="231"/>
      <c r="AD55" s="231"/>
      <c r="AE55" s="231"/>
      <c r="AF55" s="231"/>
      <c r="AG55" s="231"/>
      <c r="AH55" s="231"/>
      <c r="AI55" s="231"/>
      <c r="AJ55" s="231"/>
    </row>
    <row r="56" spans="1:36" s="203" customFormat="1">
      <c r="A56" s="673" t="s">
        <v>75</v>
      </c>
      <c r="B56" s="69" t="s">
        <v>256</v>
      </c>
      <c r="C56" s="69"/>
      <c r="D56" s="70"/>
      <c r="E56" s="87"/>
      <c r="F56" s="88"/>
      <c r="G56" s="45"/>
      <c r="H56" s="89"/>
      <c r="I56" s="43"/>
      <c r="J56" s="231"/>
      <c r="K56" s="231"/>
      <c r="L56" s="231"/>
      <c r="M56" s="231"/>
      <c r="N56" s="231"/>
      <c r="O56" s="231"/>
      <c r="P56" s="231"/>
      <c r="Q56" s="231"/>
      <c r="R56" s="231"/>
      <c r="S56" s="231"/>
      <c r="T56" s="231"/>
      <c r="U56" s="231"/>
      <c r="V56" s="231"/>
      <c r="W56" s="231"/>
      <c r="X56" s="231"/>
      <c r="Y56" s="231"/>
      <c r="Z56" s="231"/>
      <c r="AA56" s="231"/>
      <c r="AB56" s="231"/>
      <c r="AC56" s="231"/>
      <c r="AD56" s="231"/>
      <c r="AE56" s="231"/>
      <c r="AF56" s="231"/>
      <c r="AG56" s="231"/>
      <c r="AH56" s="231"/>
      <c r="AI56" s="231"/>
      <c r="AJ56" s="231"/>
    </row>
    <row r="57" spans="1:36" s="203" customFormat="1">
      <c r="A57" s="46">
        <v>11</v>
      </c>
      <c r="B57" s="47" t="s">
        <v>76</v>
      </c>
      <c r="C57" s="47"/>
      <c r="D57" s="48"/>
      <c r="E57" s="74">
        <v>22130</v>
      </c>
      <c r="F57" s="52">
        <v>27433</v>
      </c>
      <c r="G57" s="45"/>
      <c r="H57" s="91">
        <f>F61</f>
        <v>24812</v>
      </c>
      <c r="I57" s="43"/>
      <c r="J57" s="231"/>
      <c r="K57" s="231"/>
      <c r="L57" s="231"/>
      <c r="M57" s="231"/>
      <c r="N57" s="231"/>
      <c r="O57" s="231"/>
      <c r="P57" s="231"/>
      <c r="Q57" s="231"/>
      <c r="R57" s="231"/>
      <c r="S57" s="231"/>
      <c r="T57" s="231"/>
      <c r="U57" s="231"/>
      <c r="V57" s="231"/>
      <c r="W57" s="231"/>
      <c r="X57" s="231"/>
      <c r="Y57" s="231"/>
      <c r="Z57" s="231"/>
      <c r="AA57" s="231"/>
      <c r="AB57" s="231"/>
      <c r="AC57" s="231"/>
      <c r="AD57" s="231"/>
      <c r="AE57" s="231"/>
      <c r="AF57" s="231"/>
      <c r="AG57" s="231"/>
      <c r="AH57" s="231"/>
      <c r="AI57" s="231"/>
      <c r="AJ57" s="231"/>
    </row>
    <row r="58" spans="1:36" s="203" customFormat="1">
      <c r="A58" s="46">
        <v>12</v>
      </c>
      <c r="B58" s="90" t="s">
        <v>257</v>
      </c>
      <c r="C58" s="47"/>
      <c r="D58" s="48"/>
      <c r="E58" s="49">
        <v>0</v>
      </c>
      <c r="F58" s="92">
        <f>F54</f>
        <v>-2621</v>
      </c>
      <c r="G58" s="45"/>
      <c r="H58" s="98">
        <f>H54</f>
        <v>0</v>
      </c>
      <c r="I58" s="43"/>
      <c r="J58" s="231"/>
      <c r="K58" s="231"/>
      <c r="L58" s="231"/>
      <c r="M58" s="231"/>
      <c r="N58" s="231"/>
      <c r="O58" s="231"/>
      <c r="P58" s="231"/>
      <c r="Q58" s="231"/>
      <c r="R58" s="231"/>
      <c r="S58" s="231"/>
      <c r="T58" s="231"/>
      <c r="U58" s="231"/>
      <c r="V58" s="231"/>
      <c r="W58" s="231"/>
      <c r="X58" s="231"/>
      <c r="Y58" s="231"/>
      <c r="Z58" s="231"/>
      <c r="AA58" s="231"/>
      <c r="AB58" s="231"/>
      <c r="AC58" s="231"/>
      <c r="AD58" s="231"/>
      <c r="AE58" s="231"/>
      <c r="AF58" s="231"/>
      <c r="AG58" s="231"/>
      <c r="AH58" s="231"/>
      <c r="AI58" s="231"/>
      <c r="AJ58" s="231"/>
    </row>
    <row r="59" spans="1:36" s="203" customFormat="1">
      <c r="A59" s="46">
        <v>13</v>
      </c>
      <c r="B59" s="47" t="s">
        <v>77</v>
      </c>
      <c r="C59" s="47"/>
      <c r="D59" s="48"/>
      <c r="E59" s="49">
        <v>0</v>
      </c>
      <c r="F59" s="52">
        <v>0</v>
      </c>
      <c r="G59" s="45"/>
      <c r="H59" s="99">
        <v>0</v>
      </c>
      <c r="I59" s="43"/>
      <c r="J59" s="231"/>
      <c r="K59" s="231"/>
      <c r="L59" s="231"/>
      <c r="M59" s="231"/>
      <c r="N59" s="231"/>
      <c r="O59" s="231"/>
      <c r="P59" s="231"/>
      <c r="Q59" s="231"/>
      <c r="R59" s="231"/>
      <c r="S59" s="231"/>
      <c r="T59" s="231"/>
      <c r="U59" s="231"/>
      <c r="V59" s="231"/>
      <c r="W59" s="231"/>
      <c r="X59" s="231"/>
      <c r="Y59" s="231"/>
      <c r="Z59" s="231"/>
      <c r="AA59" s="231"/>
      <c r="AB59" s="231"/>
      <c r="AC59" s="231"/>
      <c r="AD59" s="231"/>
      <c r="AE59" s="231"/>
      <c r="AF59" s="231"/>
      <c r="AG59" s="231"/>
      <c r="AH59" s="231"/>
      <c r="AI59" s="231"/>
      <c r="AJ59" s="231"/>
    </row>
    <row r="60" spans="1:36" s="203" customFormat="1">
      <c r="A60" s="46">
        <v>14</v>
      </c>
      <c r="B60" s="47" t="s">
        <v>78</v>
      </c>
      <c r="C60" s="47"/>
      <c r="D60" s="48"/>
      <c r="E60" s="49">
        <v>0</v>
      </c>
      <c r="F60" s="52">
        <v>0</v>
      </c>
      <c r="G60" s="45"/>
      <c r="H60" s="100">
        <v>0</v>
      </c>
      <c r="I60" s="43"/>
      <c r="J60" s="231"/>
      <c r="K60" s="231"/>
      <c r="L60" s="231"/>
      <c r="M60" s="231"/>
      <c r="N60" s="231"/>
      <c r="O60" s="231"/>
      <c r="P60" s="231"/>
      <c r="Q60" s="231"/>
      <c r="R60" s="231"/>
      <c r="S60" s="231"/>
      <c r="T60" s="231"/>
      <c r="U60" s="231"/>
      <c r="V60" s="231"/>
      <c r="W60" s="231"/>
      <c r="X60" s="231"/>
      <c r="Y60" s="231"/>
      <c r="Z60" s="231"/>
      <c r="AA60" s="231"/>
      <c r="AB60" s="231"/>
      <c r="AC60" s="231"/>
      <c r="AD60" s="231"/>
      <c r="AE60" s="231"/>
      <c r="AF60" s="231"/>
      <c r="AG60" s="231"/>
      <c r="AH60" s="231"/>
      <c r="AI60" s="231"/>
      <c r="AJ60" s="231"/>
    </row>
    <row r="61" spans="1:36" s="203" customFormat="1">
      <c r="A61" s="53">
        <v>15</v>
      </c>
      <c r="B61" s="54" t="s">
        <v>79</v>
      </c>
      <c r="C61" s="54"/>
      <c r="D61" s="55"/>
      <c r="E61" s="56">
        <v>22130</v>
      </c>
      <c r="F61" s="96">
        <f>F57+F58+F59+F60</f>
        <v>24812</v>
      </c>
      <c r="G61" s="45"/>
      <c r="H61" s="101">
        <f>H57+H58+H59+H60</f>
        <v>24812</v>
      </c>
      <c r="I61" s="43"/>
      <c r="J61" s="231"/>
      <c r="K61" s="231"/>
      <c r="L61" s="231"/>
      <c r="M61" s="231"/>
      <c r="N61" s="231"/>
      <c r="O61" s="231"/>
      <c r="P61" s="231"/>
      <c r="Q61" s="231"/>
      <c r="R61" s="231"/>
      <c r="S61" s="231"/>
      <c r="T61" s="231"/>
      <c r="U61" s="231"/>
      <c r="V61" s="231"/>
      <c r="W61" s="231"/>
      <c r="X61" s="231"/>
      <c r="Y61" s="231"/>
      <c r="Z61" s="231"/>
      <c r="AA61" s="231"/>
      <c r="AB61" s="231"/>
      <c r="AC61" s="231"/>
      <c r="AD61" s="231"/>
      <c r="AE61" s="231"/>
      <c r="AF61" s="231"/>
      <c r="AG61" s="231"/>
      <c r="AH61" s="231"/>
      <c r="AI61" s="231"/>
      <c r="AJ61" s="231"/>
    </row>
    <row r="62" spans="1:36" s="203" customFormat="1">
      <c r="A62" s="102"/>
      <c r="B62" s="207"/>
      <c r="C62" s="207"/>
      <c r="D62" s="207"/>
      <c r="E62" s="103"/>
      <c r="F62" s="21"/>
      <c r="G62" s="21"/>
      <c r="H62" s="21"/>
      <c r="I62" s="21"/>
      <c r="J62" s="231"/>
      <c r="K62" s="231"/>
      <c r="L62" s="231"/>
      <c r="M62" s="231"/>
      <c r="N62" s="231"/>
      <c r="O62" s="231"/>
      <c r="P62" s="231"/>
      <c r="Q62" s="231"/>
      <c r="R62" s="231"/>
      <c r="S62" s="231"/>
      <c r="T62" s="231"/>
      <c r="U62" s="231"/>
      <c r="V62" s="231"/>
      <c r="W62" s="231"/>
      <c r="X62" s="231"/>
      <c r="Y62" s="231"/>
      <c r="Z62" s="231"/>
      <c r="AA62" s="231"/>
      <c r="AB62" s="231"/>
      <c r="AC62" s="231"/>
      <c r="AD62" s="231"/>
      <c r="AE62" s="231"/>
      <c r="AF62" s="231"/>
      <c r="AG62" s="231"/>
      <c r="AH62" s="231"/>
      <c r="AI62" s="231"/>
      <c r="AJ62" s="231"/>
    </row>
    <row r="63" spans="1:36" s="203" customFormat="1" ht="12.75" customHeight="1">
      <c r="A63" s="23"/>
      <c r="B63" s="207"/>
      <c r="C63" s="207"/>
      <c r="D63" s="207"/>
      <c r="E63" s="15"/>
      <c r="F63" s="207"/>
      <c r="G63" s="207"/>
      <c r="H63" s="21"/>
      <c r="I63" s="21"/>
      <c r="J63" s="231"/>
      <c r="K63" s="231"/>
      <c r="L63" s="231"/>
      <c r="M63" s="231"/>
      <c r="N63" s="231"/>
      <c r="O63" s="231"/>
      <c r="P63" s="231"/>
      <c r="Q63" s="231"/>
      <c r="R63" s="231"/>
      <c r="S63" s="231"/>
      <c r="T63" s="231"/>
      <c r="U63" s="231"/>
      <c r="V63" s="231"/>
      <c r="W63" s="231"/>
      <c r="X63" s="231"/>
      <c r="Y63" s="231"/>
      <c r="Z63" s="231"/>
      <c r="AA63" s="231"/>
      <c r="AB63" s="231"/>
      <c r="AC63" s="231"/>
      <c r="AD63" s="231"/>
      <c r="AE63" s="231"/>
      <c r="AF63" s="231"/>
      <c r="AG63" s="231"/>
      <c r="AH63" s="231"/>
      <c r="AI63" s="231"/>
      <c r="AJ63" s="231"/>
    </row>
    <row r="64" spans="1:36" s="203" customFormat="1" ht="15">
      <c r="A64" s="104" t="s">
        <v>80</v>
      </c>
      <c r="B64" s="29"/>
      <c r="C64" s="29"/>
      <c r="D64" s="29"/>
      <c r="E64" s="15"/>
      <c r="F64" s="29"/>
      <c r="G64" s="29"/>
      <c r="H64" s="29"/>
      <c r="I64" s="29"/>
      <c r="J64" s="231"/>
      <c r="K64" s="231"/>
      <c r="L64" s="231"/>
      <c r="M64" s="231"/>
      <c r="N64" s="231"/>
      <c r="O64" s="231"/>
      <c r="P64" s="231"/>
      <c r="Q64" s="231"/>
      <c r="R64" s="231"/>
      <c r="S64" s="231"/>
      <c r="T64" s="231"/>
      <c r="U64" s="231"/>
      <c r="V64" s="231"/>
      <c r="W64" s="231"/>
      <c r="X64" s="231"/>
      <c r="Y64" s="231"/>
      <c r="Z64" s="231"/>
      <c r="AA64" s="231"/>
      <c r="AB64" s="231"/>
      <c r="AC64" s="231"/>
      <c r="AD64" s="231"/>
      <c r="AE64" s="231"/>
      <c r="AF64" s="231"/>
      <c r="AG64" s="231"/>
      <c r="AH64" s="231"/>
      <c r="AI64" s="231"/>
      <c r="AJ64" s="231"/>
    </row>
    <row r="65" spans="1:36" s="203" customFormat="1">
      <c r="A65" s="32"/>
      <c r="B65" s="29"/>
      <c r="C65" s="29"/>
      <c r="D65" s="29"/>
      <c r="E65" s="105"/>
      <c r="F65" s="29"/>
      <c r="G65" s="29"/>
      <c r="H65" s="29"/>
      <c r="I65" s="131" t="s">
        <v>27</v>
      </c>
      <c r="J65" s="231"/>
      <c r="K65" s="231"/>
      <c r="L65" s="231"/>
      <c r="M65" s="231"/>
      <c r="N65" s="231"/>
      <c r="O65" s="231"/>
      <c r="P65" s="231"/>
      <c r="Q65" s="231"/>
      <c r="R65" s="231"/>
      <c r="S65" s="231"/>
      <c r="T65" s="231"/>
      <c r="U65" s="231"/>
      <c r="V65" s="231"/>
      <c r="W65" s="231"/>
      <c r="X65" s="231"/>
      <c r="Y65" s="231"/>
      <c r="Z65" s="231"/>
      <c r="AA65" s="231"/>
      <c r="AB65" s="231"/>
      <c r="AC65" s="231"/>
      <c r="AD65" s="231"/>
      <c r="AE65" s="231"/>
      <c r="AF65" s="231"/>
      <c r="AG65" s="231"/>
      <c r="AH65" s="231"/>
      <c r="AI65" s="231"/>
      <c r="AJ65" s="231"/>
    </row>
    <row r="66" spans="1:36" s="203" customFormat="1">
      <c r="A66" s="106" t="s">
        <v>14</v>
      </c>
      <c r="B66" s="107"/>
      <c r="C66" s="107"/>
      <c r="D66" s="107"/>
      <c r="E66" s="856" t="s">
        <v>377</v>
      </c>
      <c r="F66" s="962" t="s">
        <v>402</v>
      </c>
      <c r="G66" s="867" t="s">
        <v>81</v>
      </c>
      <c r="H66" s="962" t="s">
        <v>403</v>
      </c>
      <c r="I66" s="867" t="s">
        <v>81</v>
      </c>
      <c r="J66" s="231"/>
      <c r="K66" s="231"/>
      <c r="L66" s="231"/>
      <c r="M66" s="231"/>
      <c r="N66" s="231"/>
      <c r="O66" s="231"/>
      <c r="P66" s="231"/>
      <c r="Q66" s="231"/>
      <c r="R66" s="231"/>
      <c r="S66" s="231"/>
      <c r="T66" s="231"/>
      <c r="U66" s="231"/>
      <c r="V66" s="231"/>
      <c r="W66" s="231"/>
      <c r="X66" s="231"/>
      <c r="Y66" s="231"/>
      <c r="Z66" s="231"/>
      <c r="AA66" s="231"/>
      <c r="AB66" s="231"/>
      <c r="AC66" s="231"/>
      <c r="AD66" s="231"/>
      <c r="AE66" s="231"/>
      <c r="AF66" s="231"/>
      <c r="AG66" s="231"/>
      <c r="AH66" s="231"/>
      <c r="AI66" s="231"/>
      <c r="AJ66" s="231"/>
    </row>
    <row r="67" spans="1:36" s="203" customFormat="1" ht="21" customHeight="1">
      <c r="A67" s="108"/>
      <c r="B67" s="47"/>
      <c r="C67" s="47"/>
      <c r="D67" s="47"/>
      <c r="E67" s="859"/>
      <c r="F67" s="963"/>
      <c r="G67" s="868"/>
      <c r="H67" s="963"/>
      <c r="I67" s="868"/>
      <c r="J67" s="231"/>
      <c r="K67" s="231"/>
      <c r="L67" s="231"/>
      <c r="M67" s="231"/>
      <c r="N67" s="231"/>
      <c r="O67" s="231"/>
      <c r="P67" s="231"/>
      <c r="Q67" s="231"/>
      <c r="R67" s="231"/>
      <c r="S67" s="231"/>
      <c r="T67" s="231"/>
      <c r="U67" s="231"/>
      <c r="V67" s="231"/>
      <c r="W67" s="231"/>
      <c r="X67" s="231"/>
      <c r="Y67" s="231"/>
      <c r="Z67" s="231"/>
      <c r="AA67" s="231"/>
      <c r="AB67" s="231"/>
      <c r="AC67" s="231"/>
      <c r="AD67" s="231"/>
      <c r="AE67" s="231"/>
      <c r="AF67" s="231"/>
      <c r="AG67" s="231"/>
      <c r="AH67" s="231"/>
      <c r="AI67" s="231"/>
      <c r="AJ67" s="231"/>
    </row>
    <row r="68" spans="1:36" s="203" customFormat="1">
      <c r="A68" s="109" t="s">
        <v>82</v>
      </c>
      <c r="B68" s="47"/>
      <c r="C68" s="47"/>
      <c r="D68" s="47"/>
      <c r="E68" s="859"/>
      <c r="F68" s="963"/>
      <c r="G68" s="868"/>
      <c r="H68" s="963"/>
      <c r="I68" s="868"/>
      <c r="J68" s="231"/>
      <c r="K68" s="231"/>
      <c r="L68" s="231"/>
      <c r="M68" s="231"/>
      <c r="N68" s="231"/>
      <c r="O68" s="231"/>
      <c r="P68" s="231"/>
      <c r="Q68" s="231"/>
      <c r="R68" s="231"/>
      <c r="S68" s="231"/>
      <c r="T68" s="231"/>
      <c r="U68" s="231"/>
      <c r="V68" s="231"/>
      <c r="W68" s="231"/>
      <c r="X68" s="231"/>
      <c r="Y68" s="231"/>
      <c r="Z68" s="231"/>
      <c r="AA68" s="231"/>
      <c r="AB68" s="231"/>
      <c r="AC68" s="231"/>
      <c r="AD68" s="231"/>
      <c r="AE68" s="231"/>
      <c r="AF68" s="231"/>
      <c r="AG68" s="231"/>
      <c r="AH68" s="231"/>
      <c r="AI68" s="231"/>
      <c r="AJ68" s="231"/>
    </row>
    <row r="69" spans="1:36" s="203" customFormat="1">
      <c r="A69" s="109" t="s">
        <v>83</v>
      </c>
      <c r="B69" s="47"/>
      <c r="C69" s="47"/>
      <c r="D69" s="47"/>
      <c r="E69" s="859"/>
      <c r="F69" s="963"/>
      <c r="G69" s="868"/>
      <c r="H69" s="963"/>
      <c r="I69" s="868"/>
      <c r="J69" s="231"/>
      <c r="K69" s="231"/>
      <c r="L69" s="231"/>
      <c r="M69" s="231"/>
      <c r="N69" s="231"/>
      <c r="O69" s="231"/>
      <c r="P69" s="231"/>
      <c r="Q69" s="231"/>
      <c r="R69" s="231"/>
      <c r="S69" s="231"/>
      <c r="T69" s="231"/>
      <c r="U69" s="231"/>
      <c r="V69" s="231"/>
      <c r="W69" s="231"/>
      <c r="X69" s="231"/>
      <c r="Y69" s="231"/>
      <c r="Z69" s="231"/>
      <c r="AA69" s="231"/>
      <c r="AB69" s="231"/>
      <c r="AC69" s="231"/>
      <c r="AD69" s="231"/>
      <c r="AE69" s="231"/>
      <c r="AF69" s="231"/>
      <c r="AG69" s="231"/>
      <c r="AH69" s="231"/>
      <c r="AI69" s="231"/>
      <c r="AJ69" s="231"/>
    </row>
    <row r="70" spans="1:36" s="203" customFormat="1">
      <c r="A70" s="110" t="s">
        <v>84</v>
      </c>
      <c r="B70" s="47"/>
      <c r="C70" s="47"/>
      <c r="D70" s="47"/>
      <c r="E70" s="860"/>
      <c r="F70" s="964"/>
      <c r="G70" s="869"/>
      <c r="H70" s="964"/>
      <c r="I70" s="869"/>
      <c r="J70" s="231"/>
      <c r="K70" s="231"/>
      <c r="L70" s="231"/>
      <c r="M70" s="231"/>
      <c r="N70" s="231"/>
      <c r="O70" s="231"/>
      <c r="P70" s="231"/>
      <c r="Q70" s="231"/>
      <c r="R70" s="231"/>
      <c r="S70" s="231"/>
      <c r="T70" s="231"/>
      <c r="U70" s="231"/>
      <c r="V70" s="231"/>
      <c r="W70" s="231"/>
      <c r="X70" s="231"/>
      <c r="Y70" s="231"/>
      <c r="Z70" s="231"/>
      <c r="AA70" s="231"/>
      <c r="AB70" s="231"/>
      <c r="AC70" s="231"/>
      <c r="AD70" s="231"/>
      <c r="AE70" s="231"/>
      <c r="AF70" s="231"/>
      <c r="AG70" s="231"/>
      <c r="AH70" s="231"/>
      <c r="AI70" s="231"/>
      <c r="AJ70" s="231"/>
    </row>
    <row r="71" spans="1:36" s="203" customFormat="1">
      <c r="A71" s="111">
        <v>1</v>
      </c>
      <c r="B71" s="47" t="s">
        <v>85</v>
      </c>
      <c r="C71" s="47"/>
      <c r="D71" s="47"/>
      <c r="E71" s="41">
        <v>10346</v>
      </c>
      <c r="F71" s="247">
        <v>10278</v>
      </c>
      <c r="G71" s="112">
        <v>8163</v>
      </c>
      <c r="H71" s="248">
        <v>15214</v>
      </c>
      <c r="I71" s="112">
        <v>12770</v>
      </c>
      <c r="J71" s="231"/>
      <c r="K71" s="231"/>
      <c r="L71" s="231"/>
      <c r="M71" s="231"/>
      <c r="N71" s="231"/>
      <c r="O71" s="231"/>
      <c r="P71" s="231"/>
      <c r="Q71" s="231"/>
      <c r="R71" s="231"/>
      <c r="S71" s="231"/>
      <c r="T71" s="231"/>
      <c r="U71" s="231"/>
      <c r="V71" s="231"/>
      <c r="W71" s="231"/>
      <c r="X71" s="231"/>
      <c r="Y71" s="231"/>
      <c r="Z71" s="231"/>
      <c r="AA71" s="231"/>
      <c r="AB71" s="231"/>
      <c r="AC71" s="231"/>
      <c r="AD71" s="231"/>
      <c r="AE71" s="231"/>
      <c r="AF71" s="231"/>
      <c r="AG71" s="231"/>
      <c r="AH71" s="231"/>
      <c r="AI71" s="231"/>
      <c r="AJ71" s="231"/>
    </row>
    <row r="72" spans="1:36" s="203" customFormat="1">
      <c r="A72" s="111">
        <v>2</v>
      </c>
      <c r="B72" s="47" t="s">
        <v>86</v>
      </c>
      <c r="C72" s="47"/>
      <c r="D72" s="47"/>
      <c r="E72" s="49">
        <v>36969</v>
      </c>
      <c r="F72" s="247">
        <v>36423</v>
      </c>
      <c r="G72" s="113">
        <v>28018</v>
      </c>
      <c r="H72" s="123">
        <v>38461</v>
      </c>
      <c r="I72" s="113">
        <v>29678</v>
      </c>
      <c r="J72" s="231"/>
      <c r="K72" s="231"/>
      <c r="L72" s="231"/>
      <c r="M72" s="231"/>
      <c r="N72" s="231"/>
      <c r="O72" s="231"/>
      <c r="P72" s="231"/>
      <c r="Q72" s="231"/>
      <c r="R72" s="231"/>
      <c r="S72" s="231"/>
      <c r="T72" s="231"/>
      <c r="U72" s="231"/>
      <c r="V72" s="231"/>
      <c r="W72" s="231"/>
      <c r="X72" s="231"/>
      <c r="Y72" s="231"/>
      <c r="Z72" s="231"/>
      <c r="AA72" s="231"/>
      <c r="AB72" s="231"/>
      <c r="AC72" s="231"/>
      <c r="AD72" s="231"/>
      <c r="AE72" s="231"/>
      <c r="AF72" s="231"/>
      <c r="AG72" s="231"/>
      <c r="AH72" s="231"/>
      <c r="AI72" s="231"/>
      <c r="AJ72" s="231"/>
    </row>
    <row r="73" spans="1:36" s="203" customFormat="1">
      <c r="A73" s="111">
        <v>3</v>
      </c>
      <c r="B73" s="47" t="s">
        <v>87</v>
      </c>
      <c r="C73" s="47"/>
      <c r="D73" s="47"/>
      <c r="E73" s="114">
        <v>39828</v>
      </c>
      <c r="F73" s="247">
        <v>39715</v>
      </c>
      <c r="G73" s="113">
        <v>42137</v>
      </c>
      <c r="H73" s="123">
        <v>41573</v>
      </c>
      <c r="I73" s="113">
        <v>43960</v>
      </c>
      <c r="J73" s="231"/>
      <c r="K73" s="231"/>
      <c r="L73" s="231"/>
      <c r="M73" s="231"/>
      <c r="N73" s="231"/>
      <c r="O73" s="231"/>
      <c r="P73" s="231"/>
      <c r="Q73" s="231"/>
      <c r="R73" s="231"/>
      <c r="S73" s="231"/>
      <c r="T73" s="231"/>
      <c r="U73" s="231"/>
      <c r="V73" s="231"/>
      <c r="W73" s="231"/>
      <c r="X73" s="231"/>
      <c r="Y73" s="231"/>
      <c r="Z73" s="231"/>
      <c r="AA73" s="231"/>
      <c r="AB73" s="231"/>
      <c r="AC73" s="231"/>
      <c r="AD73" s="231"/>
      <c r="AE73" s="231"/>
      <c r="AF73" s="231"/>
      <c r="AG73" s="231"/>
      <c r="AH73" s="231"/>
      <c r="AI73" s="231"/>
      <c r="AJ73" s="231"/>
    </row>
    <row r="74" spans="1:36" s="203" customFormat="1">
      <c r="A74" s="111">
        <v>4</v>
      </c>
      <c r="B74" s="47" t="s">
        <v>88</v>
      </c>
      <c r="C74" s="47"/>
      <c r="D74" s="47"/>
      <c r="E74" s="114">
        <v>11811</v>
      </c>
      <c r="F74" s="247">
        <v>10477</v>
      </c>
      <c r="G74" s="113">
        <v>7858</v>
      </c>
      <c r="H74" s="123">
        <v>11035</v>
      </c>
      <c r="I74" s="113">
        <v>8276</v>
      </c>
      <c r="J74" s="231"/>
      <c r="K74" s="231"/>
      <c r="L74" s="231"/>
      <c r="M74" s="231"/>
      <c r="N74" s="231"/>
      <c r="O74" s="231"/>
      <c r="P74" s="231"/>
      <c r="Q74" s="231"/>
      <c r="R74" s="231"/>
      <c r="S74" s="231"/>
      <c r="T74" s="231"/>
      <c r="U74" s="231"/>
      <c r="V74" s="231"/>
      <c r="W74" s="231"/>
      <c r="X74" s="231"/>
      <c r="Y74" s="231"/>
      <c r="Z74" s="231"/>
      <c r="AA74" s="231"/>
      <c r="AB74" s="231"/>
      <c r="AC74" s="231"/>
      <c r="AD74" s="231"/>
      <c r="AE74" s="231"/>
      <c r="AF74" s="231"/>
      <c r="AG74" s="231"/>
      <c r="AH74" s="231"/>
      <c r="AI74" s="231"/>
      <c r="AJ74" s="231"/>
    </row>
    <row r="75" spans="1:36" s="203" customFormat="1">
      <c r="A75" s="111">
        <v>5</v>
      </c>
      <c r="B75" s="47" t="s">
        <v>89</v>
      </c>
      <c r="C75" s="47" t="s">
        <v>90</v>
      </c>
      <c r="D75" s="47"/>
      <c r="E75" s="114">
        <v>1515</v>
      </c>
      <c r="F75" s="247">
        <v>3234</v>
      </c>
      <c r="G75" s="113">
        <v>0</v>
      </c>
      <c r="H75" s="123">
        <v>3250</v>
      </c>
      <c r="I75" s="113">
        <v>0</v>
      </c>
      <c r="J75" s="231"/>
      <c r="K75" s="231"/>
      <c r="L75" s="231"/>
      <c r="M75" s="231"/>
      <c r="N75" s="231"/>
      <c r="O75" s="231"/>
      <c r="P75" s="231"/>
      <c r="Q75" s="231"/>
      <c r="R75" s="231"/>
      <c r="S75" s="231"/>
      <c r="T75" s="231"/>
      <c r="U75" s="231"/>
      <c r="V75" s="231"/>
      <c r="W75" s="231"/>
      <c r="X75" s="231"/>
      <c r="Y75" s="231"/>
      <c r="Z75" s="231"/>
      <c r="AA75" s="231"/>
      <c r="AB75" s="231"/>
      <c r="AC75" s="231"/>
      <c r="AD75" s="231"/>
      <c r="AE75" s="231"/>
      <c r="AF75" s="231"/>
      <c r="AG75" s="231"/>
      <c r="AH75" s="231"/>
      <c r="AI75" s="231"/>
      <c r="AJ75" s="231"/>
    </row>
    <row r="76" spans="1:36" s="203" customFormat="1">
      <c r="A76" s="674"/>
      <c r="B76" s="676"/>
      <c r="C76" s="47" t="s">
        <v>91</v>
      </c>
      <c r="D76" s="47"/>
      <c r="E76" s="114">
        <v>780</v>
      </c>
      <c r="F76" s="247">
        <v>709</v>
      </c>
      <c r="G76" s="115">
        <v>0</v>
      </c>
      <c r="H76" s="249">
        <v>691</v>
      </c>
      <c r="I76" s="115">
        <v>0</v>
      </c>
      <c r="J76" s="231"/>
      <c r="K76" s="231"/>
      <c r="L76" s="231"/>
      <c r="M76" s="231"/>
      <c r="N76" s="231"/>
      <c r="O76" s="231"/>
      <c r="P76" s="231"/>
      <c r="Q76" s="231"/>
      <c r="R76" s="231"/>
      <c r="S76" s="231"/>
      <c r="T76" s="231"/>
      <c r="U76" s="231"/>
      <c r="V76" s="231"/>
      <c r="W76" s="231"/>
      <c r="X76" s="231"/>
      <c r="Y76" s="231"/>
      <c r="Z76" s="231"/>
      <c r="AA76" s="231"/>
      <c r="AB76" s="231"/>
      <c r="AC76" s="231"/>
      <c r="AD76" s="231"/>
      <c r="AE76" s="231"/>
      <c r="AF76" s="231"/>
      <c r="AG76" s="231"/>
      <c r="AH76" s="231"/>
      <c r="AI76" s="231"/>
      <c r="AJ76" s="231"/>
    </row>
    <row r="77" spans="1:36" s="203" customFormat="1">
      <c r="A77" s="111">
        <v>6</v>
      </c>
      <c r="B77" s="116" t="s">
        <v>92</v>
      </c>
      <c r="C77" s="116"/>
      <c r="D77" s="47"/>
      <c r="E77" s="80">
        <v>101249</v>
      </c>
      <c r="F77" s="250">
        <f>SUM(F71:F76)</f>
        <v>100836</v>
      </c>
      <c r="G77" s="251">
        <f>SUM(G71:G76)</f>
        <v>86176</v>
      </c>
      <c r="H77" s="252">
        <f>SUM(H71:H76)</f>
        <v>110224</v>
      </c>
      <c r="I77" s="251">
        <f>SUM(I71:I76)</f>
        <v>94684</v>
      </c>
      <c r="J77" s="231"/>
      <c r="K77" s="231"/>
      <c r="L77" s="231"/>
      <c r="M77" s="231"/>
      <c r="N77" s="231"/>
      <c r="O77" s="231"/>
      <c r="P77" s="231"/>
      <c r="Q77" s="231"/>
      <c r="R77" s="231"/>
      <c r="S77" s="231"/>
      <c r="T77" s="231"/>
      <c r="U77" s="231"/>
      <c r="V77" s="231"/>
      <c r="W77" s="231"/>
      <c r="X77" s="231"/>
      <c r="Y77" s="231"/>
      <c r="Z77" s="231"/>
      <c r="AA77" s="231"/>
      <c r="AB77" s="231"/>
      <c r="AC77" s="231"/>
      <c r="AD77" s="231"/>
      <c r="AE77" s="231"/>
      <c r="AF77" s="231"/>
      <c r="AG77" s="231"/>
      <c r="AH77" s="231"/>
      <c r="AI77" s="231"/>
      <c r="AJ77" s="231"/>
    </row>
    <row r="78" spans="1:36" s="203" customFormat="1">
      <c r="A78" s="674"/>
      <c r="B78" s="47"/>
      <c r="C78" s="47"/>
      <c r="D78" s="47"/>
      <c r="E78" s="117"/>
      <c r="F78" s="118"/>
      <c r="G78" s="118"/>
      <c r="H78" s="118"/>
      <c r="I78" s="118"/>
      <c r="J78" s="231"/>
      <c r="K78" s="231"/>
      <c r="L78" s="231"/>
      <c r="M78" s="231"/>
      <c r="N78" s="231"/>
      <c r="O78" s="231"/>
      <c r="P78" s="231"/>
      <c r="Q78" s="231"/>
      <c r="R78" s="231"/>
      <c r="S78" s="231"/>
      <c r="T78" s="231"/>
      <c r="U78" s="231"/>
      <c r="V78" s="231"/>
      <c r="W78" s="231"/>
      <c r="X78" s="231"/>
      <c r="Y78" s="231"/>
      <c r="Z78" s="231"/>
      <c r="AA78" s="231"/>
      <c r="AB78" s="231"/>
      <c r="AC78" s="231"/>
      <c r="AD78" s="231"/>
      <c r="AE78" s="231"/>
      <c r="AF78" s="231"/>
      <c r="AG78" s="231"/>
      <c r="AH78" s="231"/>
      <c r="AI78" s="231"/>
      <c r="AJ78" s="231"/>
    </row>
    <row r="79" spans="1:36" s="203" customFormat="1">
      <c r="A79" s="119" t="s">
        <v>93</v>
      </c>
      <c r="B79" s="116"/>
      <c r="C79" s="116"/>
      <c r="D79" s="116"/>
      <c r="E79" s="117"/>
      <c r="F79" s="118"/>
      <c r="G79" s="118"/>
      <c r="H79" s="118"/>
      <c r="I79" s="118"/>
      <c r="J79" s="231"/>
      <c r="K79" s="231"/>
      <c r="L79" s="231"/>
      <c r="M79" s="231"/>
      <c r="N79" s="231"/>
      <c r="O79" s="231"/>
      <c r="P79" s="231"/>
      <c r="Q79" s="231"/>
      <c r="R79" s="231"/>
      <c r="S79" s="231"/>
      <c r="T79" s="231"/>
      <c r="U79" s="231"/>
      <c r="V79" s="231"/>
      <c r="W79" s="231"/>
      <c r="X79" s="231"/>
      <c r="Y79" s="231"/>
      <c r="Z79" s="231"/>
      <c r="AA79" s="231"/>
      <c r="AB79" s="231"/>
      <c r="AC79" s="231"/>
      <c r="AD79" s="231"/>
      <c r="AE79" s="231"/>
      <c r="AF79" s="231"/>
      <c r="AG79" s="231"/>
      <c r="AH79" s="231"/>
      <c r="AI79" s="231"/>
      <c r="AJ79" s="231"/>
    </row>
    <row r="80" spans="1:36" s="203" customFormat="1">
      <c r="A80" s="120">
        <v>7</v>
      </c>
      <c r="B80" s="47" t="s">
        <v>94</v>
      </c>
      <c r="C80" s="47"/>
      <c r="D80" s="47"/>
      <c r="E80" s="41">
        <v>493</v>
      </c>
      <c r="F80" s="253">
        <v>537</v>
      </c>
      <c r="G80" s="112">
        <v>537</v>
      </c>
      <c r="H80" s="248">
        <v>545</v>
      </c>
      <c r="I80" s="112">
        <v>545</v>
      </c>
      <c r="J80" s="231"/>
      <c r="K80" s="231"/>
      <c r="L80" s="231"/>
      <c r="M80" s="231"/>
      <c r="N80" s="231"/>
      <c r="O80" s="231"/>
      <c r="P80" s="231"/>
      <c r="Q80" s="231"/>
      <c r="R80" s="231"/>
      <c r="S80" s="231"/>
      <c r="T80" s="231"/>
      <c r="U80" s="231"/>
      <c r="V80" s="231"/>
      <c r="W80" s="231"/>
      <c r="X80" s="231"/>
      <c r="Y80" s="231"/>
      <c r="Z80" s="231"/>
      <c r="AA80" s="231"/>
      <c r="AB80" s="231"/>
      <c r="AC80" s="231"/>
      <c r="AD80" s="231"/>
      <c r="AE80" s="231"/>
      <c r="AF80" s="231"/>
      <c r="AG80" s="231"/>
      <c r="AH80" s="231"/>
      <c r="AI80" s="231"/>
      <c r="AJ80" s="231"/>
    </row>
    <row r="81" spans="1:36" s="203" customFormat="1">
      <c r="A81" s="120">
        <v>8</v>
      </c>
      <c r="B81" s="47" t="s">
        <v>95</v>
      </c>
      <c r="C81" s="47"/>
      <c r="D81" s="47"/>
      <c r="E81" s="49">
        <v>21239</v>
      </c>
      <c r="F81" s="247">
        <v>21453</v>
      </c>
      <c r="G81" s="113">
        <v>20380</v>
      </c>
      <c r="H81" s="123">
        <v>23784</v>
      </c>
      <c r="I81" s="113">
        <v>22595</v>
      </c>
      <c r="J81" s="231"/>
      <c r="K81" s="231"/>
      <c r="L81" s="231"/>
      <c r="M81" s="231"/>
      <c r="N81" s="231"/>
      <c r="O81" s="231"/>
      <c r="P81" s="231"/>
      <c r="Q81" s="231"/>
      <c r="R81" s="231"/>
      <c r="S81" s="231"/>
      <c r="T81" s="231"/>
      <c r="U81" s="231"/>
      <c r="V81" s="231"/>
      <c r="W81" s="231"/>
      <c r="X81" s="231"/>
      <c r="Y81" s="231"/>
      <c r="Z81" s="231"/>
      <c r="AA81" s="231"/>
      <c r="AB81" s="231"/>
      <c r="AC81" s="231"/>
      <c r="AD81" s="231"/>
      <c r="AE81" s="231"/>
      <c r="AF81" s="231"/>
      <c r="AG81" s="231"/>
      <c r="AH81" s="231"/>
      <c r="AI81" s="231"/>
      <c r="AJ81" s="231"/>
    </row>
    <row r="82" spans="1:36" s="203" customFormat="1">
      <c r="A82" s="120">
        <v>9</v>
      </c>
      <c r="B82" s="47" t="s">
        <v>96</v>
      </c>
      <c r="C82" s="47"/>
      <c r="D82" s="47"/>
      <c r="E82" s="49">
        <v>23322</v>
      </c>
      <c r="F82" s="247">
        <v>22784</v>
      </c>
      <c r="G82" s="113">
        <v>21645</v>
      </c>
      <c r="H82" s="123">
        <v>25401</v>
      </c>
      <c r="I82" s="113">
        <v>24131</v>
      </c>
      <c r="J82" s="231"/>
      <c r="K82" s="231"/>
      <c r="L82" s="231"/>
      <c r="M82" s="231"/>
      <c r="N82" s="231"/>
      <c r="O82" s="231"/>
      <c r="P82" s="231"/>
      <c r="Q82" s="231"/>
      <c r="R82" s="231"/>
      <c r="S82" s="231"/>
      <c r="T82" s="231"/>
      <c r="U82" s="231"/>
      <c r="V82" s="231"/>
      <c r="W82" s="231"/>
      <c r="X82" s="231"/>
      <c r="Y82" s="231"/>
      <c r="Z82" s="231"/>
      <c r="AA82" s="231"/>
      <c r="AB82" s="231"/>
      <c r="AC82" s="231"/>
      <c r="AD82" s="231"/>
      <c r="AE82" s="231"/>
      <c r="AF82" s="231"/>
      <c r="AG82" s="231"/>
      <c r="AH82" s="231"/>
      <c r="AI82" s="231"/>
      <c r="AJ82" s="231"/>
    </row>
    <row r="83" spans="1:36" s="203" customFormat="1">
      <c r="A83" s="120">
        <v>10</v>
      </c>
      <c r="B83" s="90" t="s">
        <v>97</v>
      </c>
      <c r="C83" s="47"/>
      <c r="D83" s="47"/>
      <c r="E83" s="49">
        <v>10989</v>
      </c>
      <c r="F83" s="247">
        <v>10026</v>
      </c>
      <c r="G83" s="113">
        <v>7520</v>
      </c>
      <c r="H83" s="123">
        <v>10613</v>
      </c>
      <c r="I83" s="113">
        <v>5291</v>
      </c>
      <c r="J83" s="231"/>
      <c r="K83" s="231"/>
      <c r="L83" s="231"/>
      <c r="M83" s="231"/>
      <c r="N83" s="231"/>
      <c r="O83" s="231"/>
      <c r="P83" s="231"/>
      <c r="Q83" s="231"/>
      <c r="R83" s="231"/>
      <c r="S83" s="231"/>
      <c r="T83" s="231"/>
      <c r="U83" s="231"/>
      <c r="V83" s="231"/>
      <c r="W83" s="231"/>
      <c r="X83" s="231"/>
      <c r="Y83" s="231"/>
      <c r="Z83" s="231"/>
      <c r="AA83" s="231"/>
      <c r="AB83" s="231"/>
      <c r="AC83" s="231"/>
      <c r="AD83" s="231"/>
      <c r="AE83" s="231"/>
      <c r="AF83" s="231"/>
      <c r="AG83" s="231"/>
      <c r="AH83" s="231"/>
      <c r="AI83" s="231"/>
      <c r="AJ83" s="231"/>
    </row>
    <row r="84" spans="1:36" s="203" customFormat="1">
      <c r="A84" s="120">
        <v>11</v>
      </c>
      <c r="B84" s="90" t="s">
        <v>98</v>
      </c>
      <c r="C84" s="47"/>
      <c r="D84" s="47"/>
      <c r="E84" s="49">
        <v>1654</v>
      </c>
      <c r="F84" s="247">
        <v>1309</v>
      </c>
      <c r="G84" s="113">
        <v>0</v>
      </c>
      <c r="H84" s="123">
        <v>1654</v>
      </c>
      <c r="I84" s="113">
        <v>0</v>
      </c>
      <c r="J84" s="231"/>
      <c r="K84" s="231"/>
      <c r="L84" s="231"/>
      <c r="M84" s="231"/>
      <c r="N84" s="231"/>
      <c r="O84" s="231"/>
      <c r="P84" s="231"/>
      <c r="Q84" s="231"/>
      <c r="R84" s="231"/>
      <c r="S84" s="231"/>
      <c r="T84" s="231"/>
      <c r="U84" s="231"/>
      <c r="V84" s="231"/>
      <c r="W84" s="231"/>
      <c r="X84" s="231"/>
      <c r="Y84" s="231"/>
      <c r="Z84" s="231"/>
      <c r="AA84" s="231"/>
      <c r="AB84" s="231"/>
      <c r="AC84" s="231"/>
      <c r="AD84" s="231"/>
      <c r="AE84" s="231"/>
      <c r="AF84" s="231"/>
      <c r="AG84" s="231"/>
      <c r="AH84" s="231"/>
      <c r="AI84" s="231"/>
      <c r="AJ84" s="231"/>
    </row>
    <row r="85" spans="1:36" s="203" customFormat="1">
      <c r="A85" s="120">
        <v>12</v>
      </c>
      <c r="B85" s="47" t="s">
        <v>99</v>
      </c>
      <c r="C85" s="47"/>
      <c r="D85" s="47"/>
      <c r="E85" s="49">
        <v>3009</v>
      </c>
      <c r="F85" s="247">
        <v>3121</v>
      </c>
      <c r="G85" s="113">
        <v>0</v>
      </c>
      <c r="H85" s="123">
        <v>3240</v>
      </c>
      <c r="I85" s="113">
        <v>0</v>
      </c>
      <c r="J85" s="231"/>
      <c r="K85" s="231"/>
      <c r="L85" s="231"/>
      <c r="M85" s="231"/>
      <c r="N85" s="231"/>
      <c r="O85" s="231"/>
      <c r="P85" s="231"/>
      <c r="Q85" s="231"/>
      <c r="R85" s="231"/>
      <c r="S85" s="231"/>
      <c r="T85" s="231"/>
      <c r="U85" s="231"/>
      <c r="V85" s="231"/>
      <c r="W85" s="231"/>
      <c r="X85" s="231"/>
      <c r="Y85" s="231"/>
      <c r="Z85" s="231"/>
      <c r="AA85" s="231"/>
      <c r="AB85" s="231"/>
      <c r="AC85" s="231"/>
      <c r="AD85" s="231"/>
      <c r="AE85" s="231"/>
      <c r="AF85" s="231"/>
      <c r="AG85" s="231"/>
      <c r="AH85" s="231"/>
      <c r="AI85" s="231"/>
      <c r="AJ85" s="231"/>
    </row>
    <row r="86" spans="1:36" s="203" customFormat="1">
      <c r="A86" s="120">
        <v>13</v>
      </c>
      <c r="B86" s="47" t="s">
        <v>100</v>
      </c>
      <c r="C86" s="47"/>
      <c r="D86" s="47"/>
      <c r="E86" s="49">
        <v>14049</v>
      </c>
      <c r="F86" s="247">
        <v>15695</v>
      </c>
      <c r="G86" s="113">
        <v>14126</v>
      </c>
      <c r="H86" s="123">
        <v>17497</v>
      </c>
      <c r="I86" s="113">
        <v>15747</v>
      </c>
      <c r="J86" s="231"/>
      <c r="K86" s="231"/>
      <c r="L86" s="231"/>
      <c r="M86" s="231"/>
      <c r="N86" s="231"/>
      <c r="O86" s="231"/>
      <c r="P86" s="231"/>
      <c r="Q86" s="231"/>
      <c r="R86" s="231"/>
      <c r="S86" s="231"/>
      <c r="T86" s="231"/>
      <c r="U86" s="231"/>
      <c r="V86" s="231"/>
      <c r="W86" s="231"/>
      <c r="X86" s="231"/>
      <c r="Y86" s="231"/>
      <c r="Z86" s="231"/>
      <c r="AA86" s="231"/>
      <c r="AB86" s="231"/>
      <c r="AC86" s="231"/>
      <c r="AD86" s="231"/>
      <c r="AE86" s="231"/>
      <c r="AF86" s="231"/>
      <c r="AG86" s="231"/>
      <c r="AH86" s="231"/>
      <c r="AI86" s="231"/>
      <c r="AJ86" s="231"/>
    </row>
    <row r="87" spans="1:36" s="203" customFormat="1">
      <c r="A87" s="120">
        <v>14</v>
      </c>
      <c r="B87" s="47" t="s">
        <v>101</v>
      </c>
      <c r="C87" s="47"/>
      <c r="D87" s="47"/>
      <c r="E87" s="49">
        <v>0</v>
      </c>
      <c r="F87" s="247">
        <v>0</v>
      </c>
      <c r="G87" s="113">
        <v>0</v>
      </c>
      <c r="H87" s="123">
        <v>0</v>
      </c>
      <c r="I87" s="113">
        <v>0</v>
      </c>
      <c r="J87" s="231"/>
      <c r="K87" s="231"/>
      <c r="L87" s="231"/>
      <c r="M87" s="231"/>
      <c r="N87" s="231"/>
      <c r="O87" s="231"/>
      <c r="P87" s="231"/>
      <c r="Q87" s="231"/>
      <c r="R87" s="231"/>
      <c r="S87" s="231"/>
      <c r="T87" s="231"/>
      <c r="U87" s="231"/>
      <c r="V87" s="231"/>
      <c r="W87" s="231"/>
      <c r="X87" s="231"/>
      <c r="Y87" s="231"/>
      <c r="Z87" s="231"/>
      <c r="AA87" s="231"/>
      <c r="AB87" s="231"/>
      <c r="AC87" s="231"/>
      <c r="AD87" s="231"/>
      <c r="AE87" s="231"/>
      <c r="AF87" s="231"/>
      <c r="AG87" s="231"/>
      <c r="AH87" s="231"/>
      <c r="AI87" s="231"/>
      <c r="AJ87" s="231"/>
    </row>
    <row r="88" spans="1:36" s="203" customFormat="1">
      <c r="A88" s="124">
        <v>15</v>
      </c>
      <c r="B88" s="125" t="s">
        <v>102</v>
      </c>
      <c r="C88" s="54"/>
      <c r="D88" s="54"/>
      <c r="E88" s="56">
        <v>45</v>
      </c>
      <c r="F88" s="254">
        <v>45</v>
      </c>
      <c r="G88" s="127">
        <v>0</v>
      </c>
      <c r="H88" s="255">
        <v>45</v>
      </c>
      <c r="I88" s="127">
        <v>0</v>
      </c>
      <c r="J88" s="231"/>
      <c r="K88" s="231"/>
      <c r="L88" s="231"/>
      <c r="M88" s="231"/>
      <c r="N88" s="231"/>
      <c r="O88" s="231"/>
      <c r="P88" s="231"/>
      <c r="Q88" s="231"/>
      <c r="R88" s="231"/>
      <c r="S88" s="231"/>
      <c r="T88" s="231"/>
      <c r="U88" s="231"/>
      <c r="V88" s="231"/>
      <c r="W88" s="231"/>
      <c r="X88" s="231"/>
      <c r="Y88" s="231"/>
      <c r="Z88" s="231"/>
      <c r="AA88" s="231"/>
      <c r="AB88" s="231"/>
      <c r="AC88" s="231"/>
      <c r="AD88" s="231"/>
      <c r="AE88" s="231"/>
      <c r="AF88" s="231"/>
      <c r="AG88" s="231"/>
      <c r="AH88" s="231"/>
      <c r="AI88" s="231"/>
      <c r="AJ88" s="231"/>
    </row>
    <row r="89" spans="1:36" s="203" customFormat="1">
      <c r="A89" s="128"/>
      <c r="B89" s="129"/>
      <c r="C89" s="129"/>
      <c r="D89" s="129"/>
      <c r="E89" s="15"/>
      <c r="F89" s="130"/>
      <c r="G89" s="29"/>
      <c r="H89" s="207"/>
      <c r="I89" s="29"/>
      <c r="J89" s="231"/>
      <c r="K89" s="231"/>
      <c r="L89" s="231"/>
      <c r="M89" s="231"/>
      <c r="N89" s="231"/>
      <c r="O89" s="231"/>
      <c r="P89" s="231"/>
      <c r="Q89" s="231"/>
      <c r="R89" s="231"/>
      <c r="S89" s="231"/>
      <c r="T89" s="231"/>
      <c r="U89" s="231"/>
      <c r="V89" s="231"/>
      <c r="W89" s="231"/>
      <c r="X89" s="231"/>
      <c r="Y89" s="231"/>
      <c r="Z89" s="231"/>
      <c r="AA89" s="231"/>
      <c r="AB89" s="231"/>
      <c r="AC89" s="231"/>
      <c r="AD89" s="231"/>
      <c r="AE89" s="231"/>
      <c r="AF89" s="231"/>
      <c r="AG89" s="231"/>
      <c r="AH89" s="231"/>
      <c r="AI89" s="231"/>
      <c r="AJ89" s="231"/>
    </row>
    <row r="90" spans="1:36" s="203" customFormat="1">
      <c r="A90" s="128"/>
      <c r="B90" s="129"/>
      <c r="C90" s="129"/>
      <c r="D90" s="129"/>
      <c r="E90" s="105"/>
      <c r="F90" s="130"/>
      <c r="G90" s="29"/>
      <c r="H90" s="131" t="s">
        <v>27</v>
      </c>
      <c r="I90" s="29"/>
      <c r="J90" s="231"/>
      <c r="K90" s="231"/>
      <c r="L90" s="231"/>
      <c r="M90" s="231"/>
      <c r="N90" s="231"/>
      <c r="O90" s="231"/>
      <c r="P90" s="231"/>
      <c r="Q90" s="231"/>
      <c r="R90" s="231"/>
      <c r="S90" s="231"/>
      <c r="T90" s="231"/>
      <c r="U90" s="231"/>
      <c r="V90" s="231"/>
      <c r="W90" s="231"/>
      <c r="X90" s="231"/>
      <c r="Y90" s="231"/>
      <c r="Z90" s="231"/>
      <c r="AA90" s="231"/>
      <c r="AB90" s="231"/>
      <c r="AC90" s="231"/>
      <c r="AD90" s="231"/>
      <c r="AE90" s="231"/>
      <c r="AF90" s="231"/>
      <c r="AG90" s="231"/>
      <c r="AH90" s="231"/>
      <c r="AI90" s="231"/>
      <c r="AJ90" s="231"/>
    </row>
    <row r="91" spans="1:36" s="203" customFormat="1">
      <c r="A91" s="106" t="s">
        <v>17</v>
      </c>
      <c r="B91" s="107"/>
      <c r="C91" s="107"/>
      <c r="D91" s="107"/>
      <c r="E91" s="856" t="s">
        <v>421</v>
      </c>
      <c r="F91" s="856" t="s">
        <v>402</v>
      </c>
      <c r="G91" s="257"/>
      <c r="H91" s="856" t="s">
        <v>403</v>
      </c>
      <c r="I91" s="29"/>
      <c r="J91" s="231"/>
      <c r="K91" s="231"/>
      <c r="L91" s="231"/>
      <c r="M91" s="231"/>
      <c r="N91" s="231"/>
      <c r="O91" s="231"/>
      <c r="P91" s="231"/>
      <c r="Q91" s="231"/>
      <c r="R91" s="231"/>
      <c r="S91" s="231"/>
      <c r="T91" s="231"/>
      <c r="U91" s="231"/>
      <c r="V91" s="231"/>
      <c r="W91" s="231"/>
      <c r="X91" s="231"/>
      <c r="Y91" s="231"/>
      <c r="Z91" s="231"/>
      <c r="AA91" s="231"/>
      <c r="AB91" s="231"/>
      <c r="AC91" s="231"/>
      <c r="AD91" s="231"/>
      <c r="AE91" s="231"/>
      <c r="AF91" s="231"/>
      <c r="AG91" s="231"/>
      <c r="AH91" s="231"/>
      <c r="AI91" s="231"/>
      <c r="AJ91" s="231"/>
    </row>
    <row r="92" spans="1:36" s="203" customFormat="1" ht="12.75" customHeight="1">
      <c r="A92" s="109"/>
      <c r="B92" s="132"/>
      <c r="C92" s="132"/>
      <c r="D92" s="132"/>
      <c r="E92" s="859"/>
      <c r="F92" s="859"/>
      <c r="G92" s="29"/>
      <c r="H92" s="859"/>
      <c r="I92" s="29"/>
      <c r="J92" s="231"/>
      <c r="K92" s="231"/>
      <c r="L92" s="231"/>
      <c r="M92" s="231"/>
      <c r="N92" s="231"/>
      <c r="O92" s="231"/>
      <c r="P92" s="231"/>
      <c r="Q92" s="231"/>
      <c r="R92" s="231"/>
      <c r="S92" s="231"/>
      <c r="T92" s="231"/>
      <c r="U92" s="231"/>
      <c r="V92" s="231"/>
      <c r="W92" s="231"/>
      <c r="X92" s="231"/>
      <c r="Y92" s="231"/>
      <c r="Z92" s="231"/>
      <c r="AA92" s="231"/>
      <c r="AB92" s="231"/>
      <c r="AC92" s="231"/>
      <c r="AD92" s="231"/>
      <c r="AE92" s="231"/>
      <c r="AF92" s="231"/>
      <c r="AG92" s="231"/>
      <c r="AH92" s="231"/>
      <c r="AI92" s="231"/>
      <c r="AJ92" s="231"/>
    </row>
    <row r="93" spans="1:36" s="203" customFormat="1">
      <c r="A93" s="109" t="s">
        <v>103</v>
      </c>
      <c r="B93" s="132"/>
      <c r="C93" s="132"/>
      <c r="D93" s="132"/>
      <c r="E93" s="859"/>
      <c r="F93" s="859"/>
      <c r="G93" s="29"/>
      <c r="H93" s="859"/>
      <c r="I93" s="29"/>
      <c r="J93" s="231"/>
      <c r="K93" s="231"/>
      <c r="L93" s="231"/>
      <c r="M93" s="231"/>
      <c r="N93" s="231"/>
      <c r="O93" s="231"/>
      <c r="P93" s="231"/>
      <c r="Q93" s="231"/>
      <c r="R93" s="231"/>
      <c r="S93" s="231"/>
      <c r="T93" s="231"/>
      <c r="U93" s="231"/>
      <c r="V93" s="231"/>
      <c r="W93" s="231"/>
      <c r="X93" s="231"/>
      <c r="Y93" s="231"/>
      <c r="Z93" s="231"/>
      <c r="AA93" s="231"/>
      <c r="AB93" s="231"/>
      <c r="AC93" s="231"/>
      <c r="AD93" s="231"/>
      <c r="AE93" s="231"/>
      <c r="AF93" s="231"/>
      <c r="AG93" s="231"/>
      <c r="AH93" s="231"/>
      <c r="AI93" s="231"/>
      <c r="AJ93" s="231"/>
    </row>
    <row r="94" spans="1:36" s="203" customFormat="1">
      <c r="A94" s="109" t="s">
        <v>83</v>
      </c>
      <c r="B94" s="132"/>
      <c r="C94" s="132"/>
      <c r="D94" s="132"/>
      <c r="E94" s="859"/>
      <c r="F94" s="859"/>
      <c r="G94" s="130"/>
      <c r="H94" s="859"/>
      <c r="I94" s="29"/>
      <c r="J94" s="231"/>
      <c r="K94" s="231"/>
      <c r="L94" s="231"/>
      <c r="M94" s="231"/>
      <c r="N94" s="231"/>
      <c r="O94" s="231"/>
      <c r="P94" s="231"/>
      <c r="Q94" s="231"/>
      <c r="R94" s="231"/>
      <c r="S94" s="231"/>
      <c r="T94" s="231"/>
      <c r="U94" s="231"/>
      <c r="V94" s="231"/>
      <c r="W94" s="231"/>
      <c r="X94" s="231"/>
      <c r="Y94" s="231"/>
      <c r="Z94" s="231"/>
      <c r="AA94" s="231"/>
      <c r="AB94" s="231"/>
      <c r="AC94" s="231"/>
      <c r="AD94" s="231"/>
      <c r="AE94" s="231"/>
      <c r="AF94" s="231"/>
      <c r="AG94" s="231"/>
      <c r="AH94" s="231"/>
      <c r="AI94" s="231"/>
      <c r="AJ94" s="231"/>
    </row>
    <row r="95" spans="1:36" s="203" customFormat="1">
      <c r="A95" s="110" t="s">
        <v>84</v>
      </c>
      <c r="B95" s="132"/>
      <c r="C95" s="132"/>
      <c r="D95" s="132"/>
      <c r="E95" s="860"/>
      <c r="F95" s="860"/>
      <c r="G95" s="130"/>
      <c r="H95" s="860"/>
      <c r="I95" s="130"/>
      <c r="J95" s="231"/>
      <c r="K95" s="231"/>
      <c r="L95" s="231"/>
      <c r="M95" s="231"/>
      <c r="N95" s="231"/>
      <c r="O95" s="231"/>
      <c r="P95" s="231"/>
      <c r="Q95" s="231"/>
      <c r="R95" s="231"/>
      <c r="S95" s="231"/>
      <c r="T95" s="231"/>
      <c r="U95" s="231"/>
      <c r="V95" s="231"/>
      <c r="W95" s="231"/>
      <c r="X95" s="231"/>
      <c r="Y95" s="231"/>
      <c r="Z95" s="231"/>
      <c r="AA95" s="231"/>
      <c r="AB95" s="231"/>
      <c r="AC95" s="231"/>
      <c r="AD95" s="231"/>
      <c r="AE95" s="231"/>
      <c r="AF95" s="231"/>
      <c r="AG95" s="231"/>
      <c r="AH95" s="231"/>
      <c r="AI95" s="231"/>
      <c r="AJ95" s="231"/>
    </row>
    <row r="96" spans="1:36" s="203" customFormat="1">
      <c r="A96" s="120">
        <v>1</v>
      </c>
      <c r="B96" s="47" t="s">
        <v>104</v>
      </c>
      <c r="C96" s="47"/>
      <c r="D96" s="47"/>
      <c r="E96" s="41">
        <v>790</v>
      </c>
      <c r="F96" s="52">
        <v>1092</v>
      </c>
      <c r="G96" s="118"/>
      <c r="H96" s="133">
        <v>1058</v>
      </c>
      <c r="I96" s="139"/>
      <c r="J96" s="231"/>
      <c r="K96" s="231"/>
      <c r="L96" s="231"/>
      <c r="M96" s="231"/>
      <c r="N96" s="231"/>
      <c r="O96" s="231"/>
      <c r="P96" s="231"/>
      <c r="Q96" s="231"/>
      <c r="R96" s="231"/>
      <c r="S96" s="231"/>
      <c r="T96" s="231"/>
      <c r="U96" s="231"/>
      <c r="V96" s="231"/>
      <c r="W96" s="231"/>
      <c r="X96" s="231"/>
      <c r="Y96" s="231"/>
      <c r="Z96" s="231"/>
      <c r="AA96" s="231"/>
      <c r="AB96" s="231"/>
      <c r="AC96" s="231"/>
      <c r="AD96" s="231"/>
      <c r="AE96" s="231"/>
      <c r="AF96" s="231"/>
      <c r="AG96" s="231"/>
      <c r="AH96" s="231"/>
      <c r="AI96" s="231"/>
      <c r="AJ96" s="231"/>
    </row>
    <row r="97" spans="1:36" s="203" customFormat="1">
      <c r="A97" s="120">
        <v>2</v>
      </c>
      <c r="B97" s="47" t="s">
        <v>105</v>
      </c>
      <c r="C97" s="47"/>
      <c r="D97" s="47"/>
      <c r="E97" s="49">
        <v>97</v>
      </c>
      <c r="F97" s="52">
        <v>116</v>
      </c>
      <c r="G97" s="118"/>
      <c r="H97" s="122">
        <v>113</v>
      </c>
      <c r="I97" s="139"/>
      <c r="J97" s="231"/>
      <c r="K97" s="231"/>
      <c r="L97" s="231"/>
      <c r="M97" s="231"/>
      <c r="N97" s="231"/>
      <c r="O97" s="231"/>
      <c r="P97" s="231"/>
      <c r="Q97" s="231"/>
      <c r="R97" s="231"/>
      <c r="S97" s="231"/>
      <c r="T97" s="231"/>
      <c r="U97" s="231"/>
      <c r="V97" s="231"/>
      <c r="W97" s="231"/>
      <c r="X97" s="231"/>
      <c r="Y97" s="231"/>
      <c r="Z97" s="231"/>
      <c r="AA97" s="231"/>
      <c r="AB97" s="231"/>
      <c r="AC97" s="231"/>
      <c r="AD97" s="231"/>
      <c r="AE97" s="231"/>
      <c r="AF97" s="231"/>
      <c r="AG97" s="231"/>
      <c r="AH97" s="231"/>
      <c r="AI97" s="231"/>
      <c r="AJ97" s="231"/>
    </row>
    <row r="98" spans="1:36" s="203" customFormat="1">
      <c r="A98" s="120">
        <v>3</v>
      </c>
      <c r="B98" s="47" t="s">
        <v>106</v>
      </c>
      <c r="C98" s="47"/>
      <c r="D98" s="47"/>
      <c r="E98" s="114">
        <v>11732</v>
      </c>
      <c r="F98" s="50">
        <f>F115</f>
        <v>10400</v>
      </c>
      <c r="G98" s="118"/>
      <c r="H98" s="50">
        <f>H115</f>
        <v>10681</v>
      </c>
      <c r="I98" s="139"/>
      <c r="J98" s="231"/>
      <c r="K98" s="231"/>
      <c r="L98" s="231"/>
      <c r="M98" s="231"/>
      <c r="N98" s="231"/>
      <c r="O98" s="231"/>
      <c r="P98" s="231"/>
      <c r="Q98" s="231"/>
      <c r="R98" s="231"/>
      <c r="S98" s="231"/>
      <c r="T98" s="231"/>
      <c r="U98" s="231"/>
      <c r="V98" s="231"/>
      <c r="W98" s="231"/>
      <c r="X98" s="231"/>
      <c r="Y98" s="231"/>
      <c r="Z98" s="231"/>
      <c r="AA98" s="231"/>
      <c r="AB98" s="231"/>
      <c r="AC98" s="231"/>
      <c r="AD98" s="231"/>
      <c r="AE98" s="231"/>
      <c r="AF98" s="231"/>
      <c r="AG98" s="231"/>
      <c r="AH98" s="231"/>
      <c r="AI98" s="231"/>
      <c r="AJ98" s="231"/>
    </row>
    <row r="99" spans="1:36" s="203" customFormat="1">
      <c r="A99" s="120">
        <v>4</v>
      </c>
      <c r="B99" s="47" t="s">
        <v>107</v>
      </c>
      <c r="C99" s="47"/>
      <c r="D99" s="47"/>
      <c r="E99" s="114">
        <v>17904</v>
      </c>
      <c r="F99" s="50">
        <f>F125</f>
        <v>18732</v>
      </c>
      <c r="G99" s="118"/>
      <c r="H99" s="50">
        <f>H125</f>
        <v>18785</v>
      </c>
      <c r="I99" s="139"/>
      <c r="J99" s="231"/>
      <c r="K99" s="231"/>
      <c r="L99" s="231"/>
      <c r="M99" s="231"/>
      <c r="N99" s="231"/>
      <c r="O99" s="231"/>
      <c r="P99" s="231"/>
      <c r="Q99" s="231"/>
      <c r="R99" s="231"/>
      <c r="S99" s="231"/>
      <c r="T99" s="231"/>
      <c r="U99" s="231"/>
      <c r="V99" s="231"/>
      <c r="W99" s="231"/>
      <c r="X99" s="231"/>
      <c r="Y99" s="231"/>
      <c r="Z99" s="231"/>
      <c r="AA99" s="231"/>
      <c r="AB99" s="231"/>
      <c r="AC99" s="231"/>
      <c r="AD99" s="231"/>
      <c r="AE99" s="231"/>
      <c r="AF99" s="231"/>
      <c r="AG99" s="231"/>
      <c r="AH99" s="231"/>
      <c r="AI99" s="231"/>
      <c r="AJ99" s="231"/>
    </row>
    <row r="100" spans="1:36" s="203" customFormat="1">
      <c r="A100" s="120">
        <v>5</v>
      </c>
      <c r="B100" s="47" t="s">
        <v>108</v>
      </c>
      <c r="C100" s="47"/>
      <c r="D100" s="47"/>
      <c r="E100" s="114">
        <v>2814</v>
      </c>
      <c r="F100" s="50">
        <f>F135</f>
        <v>3259</v>
      </c>
      <c r="G100" s="118"/>
      <c r="H100" s="50">
        <f>H135</f>
        <v>3257</v>
      </c>
      <c r="I100" s="139"/>
      <c r="J100" s="231"/>
      <c r="K100" s="231"/>
      <c r="L100" s="231"/>
      <c r="M100" s="231"/>
      <c r="N100" s="231"/>
      <c r="O100" s="231"/>
      <c r="P100" s="231"/>
      <c r="Q100" s="231"/>
      <c r="R100" s="231"/>
      <c r="S100" s="231"/>
      <c r="T100" s="231"/>
      <c r="U100" s="231"/>
      <c r="V100" s="231"/>
      <c r="W100" s="231"/>
      <c r="X100" s="231"/>
      <c r="Y100" s="231"/>
      <c r="Z100" s="231"/>
      <c r="AA100" s="231"/>
      <c r="AB100" s="231"/>
      <c r="AC100" s="231"/>
      <c r="AD100" s="231"/>
      <c r="AE100" s="231"/>
      <c r="AF100" s="231"/>
      <c r="AG100" s="231"/>
      <c r="AH100" s="231"/>
      <c r="AI100" s="231"/>
      <c r="AJ100" s="231"/>
    </row>
    <row r="101" spans="1:36" s="203" customFormat="1">
      <c r="A101" s="120">
        <v>6</v>
      </c>
      <c r="B101" s="47" t="s">
        <v>109</v>
      </c>
      <c r="C101" s="47"/>
      <c r="D101" s="47"/>
      <c r="E101" s="114">
        <v>8509</v>
      </c>
      <c r="F101" s="50">
        <f>F143</f>
        <v>9773</v>
      </c>
      <c r="G101" s="118"/>
      <c r="H101" s="50">
        <f>H143</f>
        <v>9615</v>
      </c>
      <c r="I101" s="139"/>
      <c r="J101" s="231"/>
      <c r="K101" s="231"/>
      <c r="L101" s="231"/>
      <c r="M101" s="231"/>
      <c r="N101" s="231"/>
      <c r="O101" s="231"/>
      <c r="P101" s="231"/>
      <c r="Q101" s="231"/>
      <c r="R101" s="231"/>
      <c r="S101" s="231"/>
      <c r="T101" s="231"/>
      <c r="U101" s="231"/>
      <c r="V101" s="231"/>
      <c r="W101" s="231"/>
      <c r="X101" s="231"/>
      <c r="Y101" s="231"/>
      <c r="Z101" s="231"/>
      <c r="AA101" s="231"/>
      <c r="AB101" s="231"/>
      <c r="AC101" s="231"/>
      <c r="AD101" s="231"/>
      <c r="AE101" s="231"/>
      <c r="AF101" s="231"/>
      <c r="AG101" s="231"/>
      <c r="AH101" s="231"/>
      <c r="AI101" s="231"/>
      <c r="AJ101" s="231"/>
    </row>
    <row r="102" spans="1:36" s="203" customFormat="1">
      <c r="A102" s="120">
        <v>7</v>
      </c>
      <c r="B102" s="47" t="s">
        <v>110</v>
      </c>
      <c r="C102" s="47"/>
      <c r="D102" s="47"/>
      <c r="E102" s="114">
        <v>1099</v>
      </c>
      <c r="F102" s="50">
        <f>F150</f>
        <v>1318</v>
      </c>
      <c r="G102" s="118"/>
      <c r="H102" s="50">
        <f>H150</f>
        <v>1322</v>
      </c>
      <c r="I102" s="139"/>
      <c r="J102" s="231"/>
      <c r="K102" s="231"/>
      <c r="L102" s="231"/>
      <c r="M102" s="231"/>
      <c r="N102" s="231"/>
      <c r="O102" s="231"/>
      <c r="P102" s="231"/>
      <c r="Q102" s="231"/>
      <c r="R102" s="231"/>
      <c r="S102" s="231"/>
      <c r="T102" s="231"/>
      <c r="U102" s="231"/>
      <c r="V102" s="231"/>
      <c r="W102" s="231"/>
      <c r="X102" s="231"/>
      <c r="Y102" s="231"/>
      <c r="Z102" s="231"/>
      <c r="AA102" s="231"/>
      <c r="AB102" s="231"/>
      <c r="AC102" s="231"/>
      <c r="AD102" s="231"/>
      <c r="AE102" s="231"/>
      <c r="AF102" s="231"/>
      <c r="AG102" s="231"/>
      <c r="AH102" s="231"/>
      <c r="AI102" s="231"/>
      <c r="AJ102" s="231"/>
    </row>
    <row r="103" spans="1:36" s="203" customFormat="1">
      <c r="A103" s="120">
        <v>8</v>
      </c>
      <c r="B103" s="47" t="s">
        <v>111</v>
      </c>
      <c r="C103" s="47"/>
      <c r="D103" s="47"/>
      <c r="E103" s="114">
        <v>1648</v>
      </c>
      <c r="F103" s="52">
        <v>385</v>
      </c>
      <c r="G103" s="118"/>
      <c r="H103" s="122">
        <v>383</v>
      </c>
      <c r="I103" s="139"/>
      <c r="J103" s="231"/>
      <c r="K103" s="231"/>
      <c r="L103" s="231"/>
      <c r="M103" s="231"/>
      <c r="N103" s="231"/>
      <c r="O103" s="231"/>
      <c r="P103" s="231"/>
      <c r="Q103" s="231"/>
      <c r="R103" s="231"/>
      <c r="S103" s="231"/>
      <c r="T103" s="231"/>
      <c r="U103" s="231"/>
      <c r="V103" s="231"/>
      <c r="W103" s="231"/>
      <c r="X103" s="231"/>
      <c r="Y103" s="231"/>
      <c r="Z103" s="231"/>
      <c r="AA103" s="231"/>
      <c r="AB103" s="231"/>
      <c r="AC103" s="231"/>
      <c r="AD103" s="231"/>
      <c r="AE103" s="231"/>
      <c r="AF103" s="231"/>
      <c r="AG103" s="231"/>
      <c r="AH103" s="231"/>
      <c r="AI103" s="231"/>
      <c r="AJ103" s="231"/>
    </row>
    <row r="104" spans="1:36" s="203" customFormat="1">
      <c r="A104" s="120">
        <v>9</v>
      </c>
      <c r="B104" s="47" t="s">
        <v>112</v>
      </c>
      <c r="C104" s="47"/>
      <c r="D104" s="47"/>
      <c r="E104" s="114">
        <v>1934</v>
      </c>
      <c r="F104" s="52">
        <v>1745</v>
      </c>
      <c r="G104" s="118"/>
      <c r="H104" s="122">
        <v>1565</v>
      </c>
      <c r="I104" s="139"/>
      <c r="J104" s="231"/>
      <c r="K104" s="231"/>
      <c r="L104" s="231"/>
      <c r="M104" s="231"/>
      <c r="N104" s="231"/>
      <c r="O104" s="231"/>
      <c r="P104" s="231"/>
      <c r="Q104" s="231"/>
      <c r="R104" s="231"/>
      <c r="S104" s="231"/>
      <c r="T104" s="231"/>
      <c r="U104" s="231"/>
      <c r="V104" s="231"/>
      <c r="W104" s="231"/>
      <c r="X104" s="231"/>
      <c r="Y104" s="231"/>
      <c r="Z104" s="231"/>
      <c r="AA104" s="231"/>
      <c r="AB104" s="231"/>
      <c r="AC104" s="231"/>
      <c r="AD104" s="231"/>
      <c r="AE104" s="231"/>
      <c r="AF104" s="231"/>
      <c r="AG104" s="231"/>
      <c r="AH104" s="231"/>
      <c r="AI104" s="231"/>
      <c r="AJ104" s="231"/>
    </row>
    <row r="105" spans="1:36" s="203" customFormat="1">
      <c r="A105" s="111" t="s">
        <v>113</v>
      </c>
      <c r="B105" s="116" t="s">
        <v>114</v>
      </c>
      <c r="C105" s="116"/>
      <c r="D105" s="47"/>
      <c r="E105" s="134">
        <v>46527</v>
      </c>
      <c r="F105" s="61">
        <f>SUM(F96:F104)</f>
        <v>46820</v>
      </c>
      <c r="G105" s="118"/>
      <c r="H105" s="61">
        <f>SUM(H96:H104)</f>
        <v>46779</v>
      </c>
      <c r="I105" s="139"/>
      <c r="J105" s="231"/>
      <c r="K105" s="231"/>
      <c r="L105" s="231"/>
      <c r="M105" s="231"/>
      <c r="N105" s="231"/>
      <c r="O105" s="231"/>
      <c r="P105" s="231"/>
      <c r="Q105" s="231"/>
      <c r="R105" s="231"/>
      <c r="S105" s="231"/>
      <c r="T105" s="231"/>
      <c r="U105" s="231"/>
      <c r="V105" s="231"/>
      <c r="W105" s="231"/>
      <c r="X105" s="231"/>
      <c r="Y105" s="231"/>
      <c r="Z105" s="231"/>
      <c r="AA105" s="231"/>
      <c r="AB105" s="231"/>
      <c r="AC105" s="231"/>
      <c r="AD105" s="231"/>
      <c r="AE105" s="231"/>
      <c r="AF105" s="231"/>
      <c r="AG105" s="231"/>
      <c r="AH105" s="231"/>
      <c r="AI105" s="231"/>
      <c r="AJ105" s="231"/>
    </row>
    <row r="106" spans="1:36" s="203" customFormat="1">
      <c r="A106" s="120">
        <v>11</v>
      </c>
      <c r="B106" s="90" t="s">
        <v>115</v>
      </c>
      <c r="C106" s="47"/>
      <c r="D106" s="47"/>
      <c r="E106" s="135">
        <v>0</v>
      </c>
      <c r="F106" s="136">
        <v>0</v>
      </c>
      <c r="G106" s="118"/>
      <c r="H106" s="137">
        <v>0</v>
      </c>
      <c r="I106" s="139"/>
      <c r="J106" s="231"/>
      <c r="K106" s="231"/>
      <c r="L106" s="231"/>
      <c r="M106" s="231"/>
      <c r="N106" s="231"/>
      <c r="O106" s="231"/>
      <c r="P106" s="231"/>
      <c r="Q106" s="231"/>
      <c r="R106" s="231"/>
      <c r="S106" s="231"/>
      <c r="T106" s="231"/>
      <c r="U106" s="231"/>
      <c r="V106" s="231"/>
      <c r="W106" s="231"/>
      <c r="X106" s="231"/>
      <c r="Y106" s="231"/>
      <c r="Z106" s="231"/>
      <c r="AA106" s="231"/>
      <c r="AB106" s="231"/>
      <c r="AC106" s="231"/>
      <c r="AD106" s="231"/>
      <c r="AE106" s="231"/>
      <c r="AF106" s="231"/>
      <c r="AG106" s="231"/>
      <c r="AH106" s="231"/>
      <c r="AI106" s="231"/>
      <c r="AJ106" s="231"/>
    </row>
    <row r="107" spans="1:36" s="203" customFormat="1">
      <c r="A107" s="111"/>
      <c r="B107" s="47"/>
      <c r="C107" s="47"/>
      <c r="D107" s="138"/>
      <c r="E107" s="117"/>
      <c r="F107" s="139"/>
      <c r="G107" s="139"/>
      <c r="H107" s="139"/>
      <c r="I107" s="139"/>
      <c r="J107" s="231"/>
      <c r="K107" s="231"/>
      <c r="L107" s="231"/>
      <c r="M107" s="231"/>
      <c r="N107" s="231"/>
      <c r="O107" s="231"/>
      <c r="P107" s="231"/>
      <c r="Q107" s="231"/>
      <c r="R107" s="231"/>
      <c r="S107" s="231"/>
      <c r="T107" s="231"/>
      <c r="U107" s="231"/>
      <c r="V107" s="231"/>
      <c r="W107" s="231"/>
      <c r="X107" s="231"/>
      <c r="Y107" s="231"/>
      <c r="Z107" s="231"/>
      <c r="AA107" s="231"/>
      <c r="AB107" s="231"/>
      <c r="AC107" s="231"/>
      <c r="AD107" s="231"/>
      <c r="AE107" s="231"/>
      <c r="AF107" s="231"/>
      <c r="AG107" s="231"/>
      <c r="AH107" s="231"/>
      <c r="AI107" s="231"/>
      <c r="AJ107" s="231"/>
    </row>
    <row r="108" spans="1:36" s="203" customFormat="1">
      <c r="A108" s="119" t="s">
        <v>116</v>
      </c>
      <c r="B108" s="47"/>
      <c r="C108" s="47"/>
      <c r="D108" s="47"/>
      <c r="E108" s="117"/>
      <c r="F108" s="139"/>
      <c r="G108" s="139"/>
      <c r="H108" s="139"/>
      <c r="I108" s="139"/>
      <c r="J108" s="231"/>
      <c r="K108" s="231"/>
      <c r="L108" s="231"/>
      <c r="M108" s="231"/>
      <c r="N108" s="231"/>
      <c r="O108" s="231"/>
      <c r="P108" s="231"/>
      <c r="Q108" s="231"/>
      <c r="R108" s="231"/>
      <c r="S108" s="231"/>
      <c r="T108" s="231"/>
      <c r="U108" s="231"/>
      <c r="V108" s="231"/>
      <c r="W108" s="231"/>
      <c r="X108" s="231"/>
      <c r="Y108" s="231"/>
      <c r="Z108" s="231"/>
      <c r="AA108" s="231"/>
      <c r="AB108" s="231"/>
      <c r="AC108" s="231"/>
      <c r="AD108" s="231"/>
      <c r="AE108" s="231"/>
      <c r="AF108" s="231"/>
      <c r="AG108" s="231"/>
      <c r="AH108" s="231"/>
      <c r="AI108" s="231"/>
      <c r="AJ108" s="231"/>
    </row>
    <row r="109" spans="1:36" s="203" customFormat="1">
      <c r="A109" s="119" t="s">
        <v>106</v>
      </c>
      <c r="B109" s="47"/>
      <c r="C109" s="47"/>
      <c r="D109" s="47"/>
      <c r="E109" s="140"/>
      <c r="F109" s="141"/>
      <c r="G109" s="139"/>
      <c r="H109" s="141"/>
      <c r="I109" s="139"/>
      <c r="J109" s="231"/>
      <c r="K109" s="231"/>
      <c r="L109" s="231"/>
      <c r="M109" s="231"/>
      <c r="N109" s="231"/>
      <c r="O109" s="231"/>
      <c r="P109" s="231"/>
      <c r="Q109" s="231"/>
      <c r="R109" s="231"/>
      <c r="S109" s="231"/>
      <c r="T109" s="231"/>
      <c r="U109" s="231"/>
      <c r="V109" s="231"/>
      <c r="W109" s="231"/>
      <c r="X109" s="231"/>
      <c r="Y109" s="231"/>
      <c r="Z109" s="231"/>
      <c r="AA109" s="231"/>
      <c r="AB109" s="231"/>
      <c r="AC109" s="231"/>
      <c r="AD109" s="231"/>
      <c r="AE109" s="231"/>
      <c r="AF109" s="231"/>
      <c r="AG109" s="231"/>
      <c r="AH109" s="231"/>
      <c r="AI109" s="231"/>
      <c r="AJ109" s="231"/>
    </row>
    <row r="110" spans="1:36" s="203" customFormat="1">
      <c r="A110" s="120">
        <v>12</v>
      </c>
      <c r="B110" s="47" t="s">
        <v>117</v>
      </c>
      <c r="C110" s="47"/>
      <c r="D110" s="47"/>
      <c r="E110" s="49">
        <v>3030</v>
      </c>
      <c r="F110" s="52">
        <v>2811</v>
      </c>
      <c r="G110" s="118"/>
      <c r="H110" s="122">
        <v>3044</v>
      </c>
      <c r="I110" s="139"/>
      <c r="J110" s="231"/>
      <c r="K110" s="231"/>
      <c r="L110" s="231"/>
      <c r="M110" s="231"/>
      <c r="N110" s="231"/>
      <c r="O110" s="231"/>
      <c r="P110" s="231"/>
      <c r="Q110" s="231"/>
      <c r="R110" s="231"/>
      <c r="S110" s="231"/>
      <c r="T110" s="231"/>
      <c r="U110" s="231"/>
      <c r="V110" s="231"/>
      <c r="W110" s="231"/>
      <c r="X110" s="231"/>
      <c r="Y110" s="231"/>
      <c r="Z110" s="231"/>
      <c r="AA110" s="231"/>
      <c r="AB110" s="231"/>
      <c r="AC110" s="231"/>
      <c r="AD110" s="231"/>
      <c r="AE110" s="231"/>
      <c r="AF110" s="231"/>
      <c r="AG110" s="231"/>
      <c r="AH110" s="231"/>
      <c r="AI110" s="231"/>
      <c r="AJ110" s="231"/>
    </row>
    <row r="111" spans="1:36" s="203" customFormat="1">
      <c r="A111" s="120">
        <v>13</v>
      </c>
      <c r="B111" s="47" t="s">
        <v>118</v>
      </c>
      <c r="C111" s="47"/>
      <c r="D111" s="47"/>
      <c r="E111" s="49">
        <v>2792</v>
      </c>
      <c r="F111" s="52">
        <v>2581</v>
      </c>
      <c r="G111" s="118"/>
      <c r="H111" s="122">
        <v>2327</v>
      </c>
      <c r="I111" s="139"/>
      <c r="J111" s="231"/>
      <c r="K111" s="231"/>
      <c r="L111" s="231"/>
      <c r="M111" s="231"/>
      <c r="N111" s="231"/>
      <c r="O111" s="231"/>
      <c r="P111" s="231"/>
      <c r="Q111" s="231"/>
      <c r="R111" s="231"/>
      <c r="S111" s="231"/>
      <c r="T111" s="231"/>
      <c r="U111" s="231"/>
      <c r="V111" s="231"/>
      <c r="W111" s="231"/>
      <c r="X111" s="231"/>
      <c r="Y111" s="231"/>
      <c r="Z111" s="231"/>
      <c r="AA111" s="231"/>
      <c r="AB111" s="231"/>
      <c r="AC111" s="231"/>
      <c r="AD111" s="231"/>
      <c r="AE111" s="231"/>
      <c r="AF111" s="231"/>
      <c r="AG111" s="231"/>
      <c r="AH111" s="231"/>
      <c r="AI111" s="231"/>
      <c r="AJ111" s="231"/>
    </row>
    <row r="112" spans="1:36" s="203" customFormat="1">
      <c r="A112" s="120">
        <v>14</v>
      </c>
      <c r="B112" s="47" t="s">
        <v>119</v>
      </c>
      <c r="C112" s="47"/>
      <c r="D112" s="47"/>
      <c r="E112" s="49">
        <v>4105</v>
      </c>
      <c r="F112" s="52">
        <v>3109</v>
      </c>
      <c r="G112" s="118"/>
      <c r="H112" s="122">
        <v>3406</v>
      </c>
      <c r="I112" s="139"/>
      <c r="J112" s="231"/>
      <c r="K112" s="231"/>
      <c r="L112" s="231"/>
      <c r="M112" s="231"/>
      <c r="N112" s="231"/>
      <c r="O112" s="231"/>
      <c r="P112" s="231"/>
      <c r="Q112" s="231"/>
      <c r="R112" s="231"/>
      <c r="S112" s="231"/>
      <c r="T112" s="231"/>
      <c r="U112" s="231"/>
      <c r="V112" s="231"/>
      <c r="W112" s="231"/>
      <c r="X112" s="231"/>
      <c r="Y112" s="231"/>
      <c r="Z112" s="231"/>
      <c r="AA112" s="231"/>
      <c r="AB112" s="231"/>
      <c r="AC112" s="231"/>
      <c r="AD112" s="231"/>
      <c r="AE112" s="231"/>
      <c r="AF112" s="231"/>
      <c r="AG112" s="231"/>
      <c r="AH112" s="231"/>
      <c r="AI112" s="231"/>
      <c r="AJ112" s="231"/>
    </row>
    <row r="113" spans="1:36" s="203" customFormat="1">
      <c r="A113" s="120">
        <v>15</v>
      </c>
      <c r="B113" s="47" t="s">
        <v>120</v>
      </c>
      <c r="C113" s="47"/>
      <c r="D113" s="47"/>
      <c r="E113" s="49">
        <v>59</v>
      </c>
      <c r="F113" s="52">
        <v>55</v>
      </c>
      <c r="G113" s="118"/>
      <c r="H113" s="122">
        <v>53</v>
      </c>
      <c r="I113" s="139"/>
      <c r="J113" s="231"/>
      <c r="K113" s="231"/>
      <c r="L113" s="231"/>
      <c r="M113" s="231"/>
      <c r="N113" s="231"/>
      <c r="O113" s="231"/>
      <c r="P113" s="231"/>
      <c r="Q113" s="231"/>
      <c r="R113" s="231"/>
      <c r="S113" s="231"/>
      <c r="T113" s="231"/>
      <c r="U113" s="231"/>
      <c r="V113" s="231"/>
      <c r="W113" s="231"/>
      <c r="X113" s="231"/>
      <c r="Y113" s="231"/>
      <c r="Z113" s="231"/>
      <c r="AA113" s="231"/>
      <c r="AB113" s="231"/>
      <c r="AC113" s="231"/>
      <c r="AD113" s="231"/>
      <c r="AE113" s="231"/>
      <c r="AF113" s="231"/>
      <c r="AG113" s="231"/>
      <c r="AH113" s="231"/>
      <c r="AI113" s="231"/>
      <c r="AJ113" s="231"/>
    </row>
    <row r="114" spans="1:36" s="203" customFormat="1">
      <c r="A114" s="120">
        <v>16</v>
      </c>
      <c r="B114" s="47" t="s">
        <v>121</v>
      </c>
      <c r="C114" s="47"/>
      <c r="D114" s="47"/>
      <c r="E114" s="49">
        <v>1746</v>
      </c>
      <c r="F114" s="52">
        <v>1844</v>
      </c>
      <c r="G114" s="118"/>
      <c r="H114" s="100">
        <v>1851</v>
      </c>
      <c r="I114" s="139"/>
      <c r="J114" s="231"/>
      <c r="K114" s="231"/>
      <c r="L114" s="231"/>
      <c r="M114" s="231"/>
      <c r="N114" s="231"/>
      <c r="O114" s="231"/>
      <c r="P114" s="231"/>
      <c r="Q114" s="231"/>
      <c r="R114" s="231"/>
      <c r="S114" s="231"/>
      <c r="T114" s="231"/>
      <c r="U114" s="231"/>
      <c r="V114" s="231"/>
      <c r="W114" s="231"/>
      <c r="X114" s="231"/>
      <c r="Y114" s="231"/>
      <c r="Z114" s="231"/>
      <c r="AA114" s="231"/>
      <c r="AB114" s="231"/>
      <c r="AC114" s="231"/>
      <c r="AD114" s="231"/>
      <c r="AE114" s="231"/>
      <c r="AF114" s="231"/>
      <c r="AG114" s="231"/>
      <c r="AH114" s="231"/>
      <c r="AI114" s="231"/>
      <c r="AJ114" s="231"/>
    </row>
    <row r="115" spans="1:36" s="203" customFormat="1">
      <c r="A115" s="120">
        <v>17</v>
      </c>
      <c r="B115" s="116" t="s">
        <v>122</v>
      </c>
      <c r="C115" s="116"/>
      <c r="D115" s="116"/>
      <c r="E115" s="80">
        <v>11732</v>
      </c>
      <c r="F115" s="142">
        <f>SUM(F110:F114)</f>
        <v>10400</v>
      </c>
      <c r="G115" s="118"/>
      <c r="H115" s="142">
        <f>SUM(H110:H114)</f>
        <v>10681</v>
      </c>
      <c r="I115" s="139"/>
      <c r="J115" s="231"/>
      <c r="K115" s="231"/>
      <c r="L115" s="231"/>
      <c r="M115" s="231"/>
      <c r="N115" s="231"/>
      <c r="O115" s="231"/>
      <c r="P115" s="231"/>
      <c r="Q115" s="231"/>
      <c r="R115" s="231"/>
      <c r="S115" s="231"/>
      <c r="T115" s="231"/>
      <c r="U115" s="231"/>
      <c r="V115" s="231"/>
      <c r="W115" s="231"/>
      <c r="X115" s="231"/>
      <c r="Y115" s="231"/>
      <c r="Z115" s="231"/>
      <c r="AA115" s="231"/>
      <c r="AB115" s="231"/>
      <c r="AC115" s="231"/>
      <c r="AD115" s="231"/>
      <c r="AE115" s="231"/>
      <c r="AF115" s="231"/>
      <c r="AG115" s="231"/>
      <c r="AH115" s="231"/>
      <c r="AI115" s="231"/>
      <c r="AJ115" s="231"/>
    </row>
    <row r="116" spans="1:36" s="203" customFormat="1">
      <c r="A116" s="111"/>
      <c r="B116" s="116"/>
      <c r="C116" s="116"/>
      <c r="D116" s="116"/>
      <c r="E116" s="143"/>
      <c r="F116" s="118"/>
      <c r="G116" s="118"/>
      <c r="H116" s="118"/>
      <c r="I116" s="139"/>
      <c r="J116" s="231"/>
      <c r="K116" s="231"/>
      <c r="L116" s="231"/>
      <c r="M116" s="231"/>
      <c r="N116" s="231"/>
      <c r="O116" s="231"/>
      <c r="P116" s="231"/>
      <c r="Q116" s="231"/>
      <c r="R116" s="231"/>
      <c r="S116" s="231"/>
      <c r="T116" s="231"/>
      <c r="U116" s="231"/>
      <c r="V116" s="231"/>
      <c r="W116" s="231"/>
      <c r="X116" s="231"/>
      <c r="Y116" s="231"/>
      <c r="Z116" s="231"/>
      <c r="AA116" s="231"/>
      <c r="AB116" s="231"/>
      <c r="AC116" s="231"/>
      <c r="AD116" s="231"/>
      <c r="AE116" s="231"/>
      <c r="AF116" s="231"/>
      <c r="AG116" s="231"/>
      <c r="AH116" s="231"/>
      <c r="AI116" s="231"/>
      <c r="AJ116" s="231"/>
    </row>
    <row r="117" spans="1:36" s="203" customFormat="1">
      <c r="A117" s="144" t="s">
        <v>107</v>
      </c>
      <c r="B117" s="116"/>
      <c r="C117" s="116"/>
      <c r="D117" s="116"/>
      <c r="E117" s="145"/>
      <c r="F117" s="146"/>
      <c r="G117" s="118"/>
      <c r="H117" s="146"/>
      <c r="I117" s="139"/>
      <c r="J117" s="231"/>
      <c r="K117" s="231"/>
      <c r="L117" s="231"/>
      <c r="M117" s="231"/>
      <c r="N117" s="231"/>
      <c r="O117" s="231"/>
      <c r="P117" s="231"/>
      <c r="Q117" s="231"/>
      <c r="R117" s="231"/>
      <c r="S117" s="231"/>
      <c r="T117" s="231"/>
      <c r="U117" s="231"/>
      <c r="V117" s="231"/>
      <c r="W117" s="231"/>
      <c r="X117" s="231"/>
      <c r="Y117" s="231"/>
      <c r="Z117" s="231"/>
      <c r="AA117" s="231"/>
      <c r="AB117" s="231"/>
      <c r="AC117" s="231"/>
      <c r="AD117" s="231"/>
      <c r="AE117" s="231"/>
      <c r="AF117" s="231"/>
      <c r="AG117" s="231"/>
      <c r="AH117" s="231"/>
      <c r="AI117" s="231"/>
      <c r="AJ117" s="231"/>
    </row>
    <row r="118" spans="1:36" s="203" customFormat="1">
      <c r="A118" s="120">
        <v>18</v>
      </c>
      <c r="B118" s="47" t="s">
        <v>123</v>
      </c>
      <c r="C118" s="47"/>
      <c r="D118" s="47"/>
      <c r="E118" s="49">
        <v>1884</v>
      </c>
      <c r="F118" s="52">
        <v>2241</v>
      </c>
      <c r="G118" s="118"/>
      <c r="H118" s="122">
        <v>2327</v>
      </c>
      <c r="I118" s="139"/>
      <c r="J118" s="231"/>
      <c r="K118" s="231"/>
      <c r="L118" s="231"/>
      <c r="M118" s="231"/>
      <c r="N118" s="231"/>
      <c r="O118" s="231"/>
      <c r="P118" s="231"/>
      <c r="Q118" s="231"/>
      <c r="R118" s="231"/>
      <c r="S118" s="231"/>
      <c r="T118" s="231"/>
      <c r="U118" s="231"/>
      <c r="V118" s="231"/>
      <c r="W118" s="231"/>
      <c r="X118" s="231"/>
      <c r="Y118" s="231"/>
      <c r="Z118" s="231"/>
      <c r="AA118" s="231"/>
      <c r="AB118" s="231"/>
      <c r="AC118" s="231"/>
      <c r="AD118" s="231"/>
      <c r="AE118" s="231"/>
      <c r="AF118" s="231"/>
      <c r="AG118" s="231"/>
      <c r="AH118" s="231"/>
      <c r="AI118" s="231"/>
      <c r="AJ118" s="231"/>
    </row>
    <row r="119" spans="1:36" s="203" customFormat="1">
      <c r="A119" s="120">
        <v>19</v>
      </c>
      <c r="B119" s="47" t="s">
        <v>124</v>
      </c>
      <c r="C119" s="47"/>
      <c r="D119" s="47"/>
      <c r="E119" s="49">
        <v>4933</v>
      </c>
      <c r="F119" s="52">
        <v>5868</v>
      </c>
      <c r="G119" s="118"/>
      <c r="H119" s="122">
        <v>5949</v>
      </c>
      <c r="I119" s="139"/>
      <c r="J119" s="231"/>
      <c r="K119" s="231"/>
      <c r="L119" s="231"/>
      <c r="M119" s="231"/>
      <c r="N119" s="231"/>
      <c r="O119" s="231"/>
      <c r="P119" s="231"/>
      <c r="Q119" s="231"/>
      <c r="R119" s="231"/>
      <c r="S119" s="231"/>
      <c r="T119" s="231"/>
      <c r="U119" s="231"/>
      <c r="V119" s="231"/>
      <c r="W119" s="231"/>
      <c r="X119" s="231"/>
      <c r="Y119" s="231"/>
      <c r="Z119" s="231"/>
      <c r="AA119" s="231"/>
      <c r="AB119" s="231"/>
      <c r="AC119" s="231"/>
      <c r="AD119" s="231"/>
      <c r="AE119" s="231"/>
      <c r="AF119" s="231"/>
      <c r="AG119" s="231"/>
      <c r="AH119" s="231"/>
      <c r="AI119" s="231"/>
      <c r="AJ119" s="231"/>
    </row>
    <row r="120" spans="1:36" s="203" customFormat="1">
      <c r="A120" s="120">
        <v>20</v>
      </c>
      <c r="B120" s="47" t="s">
        <v>119</v>
      </c>
      <c r="C120" s="47"/>
      <c r="D120" s="47"/>
      <c r="E120" s="49">
        <v>8561</v>
      </c>
      <c r="F120" s="52">
        <v>8908</v>
      </c>
      <c r="G120" s="118"/>
      <c r="H120" s="122">
        <v>8825</v>
      </c>
      <c r="I120" s="139"/>
      <c r="J120" s="231"/>
      <c r="K120" s="231"/>
      <c r="L120" s="231"/>
      <c r="M120" s="231"/>
      <c r="N120" s="231"/>
      <c r="O120" s="231"/>
      <c r="P120" s="231"/>
      <c r="Q120" s="231"/>
      <c r="R120" s="231"/>
      <c r="S120" s="231"/>
      <c r="T120" s="231"/>
      <c r="U120" s="231"/>
      <c r="V120" s="231"/>
      <c r="W120" s="231"/>
      <c r="X120" s="231"/>
      <c r="Y120" s="231"/>
      <c r="Z120" s="231"/>
      <c r="AA120" s="231"/>
      <c r="AB120" s="231"/>
      <c r="AC120" s="231"/>
      <c r="AD120" s="231"/>
      <c r="AE120" s="231"/>
      <c r="AF120" s="231"/>
      <c r="AG120" s="231"/>
      <c r="AH120" s="231"/>
      <c r="AI120" s="231"/>
      <c r="AJ120" s="231"/>
    </row>
    <row r="121" spans="1:36" s="203" customFormat="1">
      <c r="A121" s="120">
        <v>21</v>
      </c>
      <c r="B121" s="47" t="s">
        <v>120</v>
      </c>
      <c r="C121" s="47"/>
      <c r="D121" s="47"/>
      <c r="E121" s="49">
        <v>135</v>
      </c>
      <c r="F121" s="52">
        <v>112</v>
      </c>
      <c r="G121" s="118"/>
      <c r="H121" s="122">
        <v>125</v>
      </c>
      <c r="I121" s="139"/>
      <c r="J121" s="231"/>
      <c r="K121" s="231"/>
      <c r="L121" s="231"/>
      <c r="M121" s="231"/>
      <c r="N121" s="231"/>
      <c r="O121" s="231"/>
      <c r="P121" s="231"/>
      <c r="Q121" s="231"/>
      <c r="R121" s="231"/>
      <c r="S121" s="231"/>
      <c r="T121" s="231"/>
      <c r="U121" s="231"/>
      <c r="V121" s="231"/>
      <c r="W121" s="231"/>
      <c r="X121" s="231"/>
      <c r="Y121" s="231"/>
      <c r="Z121" s="231"/>
      <c r="AA121" s="231"/>
      <c r="AB121" s="231"/>
      <c r="AC121" s="231"/>
      <c r="AD121" s="231"/>
      <c r="AE121" s="231"/>
      <c r="AF121" s="231"/>
      <c r="AG121" s="231"/>
      <c r="AH121" s="231"/>
      <c r="AI121" s="231"/>
      <c r="AJ121" s="231"/>
    </row>
    <row r="122" spans="1:36" s="203" customFormat="1">
      <c r="A122" s="120">
        <v>22</v>
      </c>
      <c r="B122" s="47" t="s">
        <v>125</v>
      </c>
      <c r="C122" s="47"/>
      <c r="D122" s="47"/>
      <c r="E122" s="49">
        <v>151</v>
      </c>
      <c r="F122" s="52">
        <v>128</v>
      </c>
      <c r="G122" s="118"/>
      <c r="H122" s="122">
        <v>129</v>
      </c>
      <c r="I122" s="139"/>
      <c r="J122" s="231"/>
      <c r="K122" s="231"/>
      <c r="L122" s="231"/>
      <c r="M122" s="231"/>
      <c r="N122" s="231"/>
      <c r="O122" s="231"/>
      <c r="P122" s="231"/>
      <c r="Q122" s="231"/>
      <c r="R122" s="231"/>
      <c r="S122" s="231"/>
      <c r="T122" s="231"/>
      <c r="U122" s="231"/>
      <c r="V122" s="231"/>
      <c r="W122" s="231"/>
      <c r="X122" s="231"/>
      <c r="Y122" s="231"/>
      <c r="Z122" s="231"/>
      <c r="AA122" s="231"/>
      <c r="AB122" s="231"/>
      <c r="AC122" s="231"/>
      <c r="AD122" s="231"/>
      <c r="AE122" s="231"/>
      <c r="AF122" s="231"/>
      <c r="AG122" s="231"/>
      <c r="AH122" s="231"/>
      <c r="AI122" s="231"/>
      <c r="AJ122" s="231"/>
    </row>
    <row r="123" spans="1:36" s="203" customFormat="1">
      <c r="A123" s="120">
        <v>23</v>
      </c>
      <c r="B123" s="90" t="s">
        <v>126</v>
      </c>
      <c r="C123" s="47"/>
      <c r="D123" s="47"/>
      <c r="E123" s="49">
        <v>1089</v>
      </c>
      <c r="F123" s="52">
        <v>737</v>
      </c>
      <c r="G123" s="118"/>
      <c r="H123" s="99">
        <v>739</v>
      </c>
      <c r="I123" s="139"/>
      <c r="J123" s="231"/>
      <c r="K123" s="231"/>
      <c r="L123" s="231"/>
      <c r="M123" s="231"/>
      <c r="N123" s="231"/>
      <c r="O123" s="231"/>
      <c r="P123" s="231"/>
      <c r="Q123" s="231"/>
      <c r="R123" s="231"/>
      <c r="S123" s="231"/>
      <c r="T123" s="231"/>
      <c r="U123" s="231"/>
      <c r="V123" s="231"/>
      <c r="W123" s="231"/>
      <c r="X123" s="231"/>
      <c r="Y123" s="231"/>
      <c r="Z123" s="231"/>
      <c r="AA123" s="231"/>
      <c r="AB123" s="231"/>
      <c r="AC123" s="231"/>
      <c r="AD123" s="231"/>
      <c r="AE123" s="231"/>
      <c r="AF123" s="231"/>
      <c r="AG123" s="231"/>
      <c r="AH123" s="231"/>
      <c r="AI123" s="231"/>
      <c r="AJ123" s="231"/>
    </row>
    <row r="124" spans="1:36" s="203" customFormat="1">
      <c r="A124" s="120">
        <v>24</v>
      </c>
      <c r="B124" s="47" t="s">
        <v>121</v>
      </c>
      <c r="C124" s="47"/>
      <c r="D124" s="47"/>
      <c r="E124" s="49">
        <v>1151</v>
      </c>
      <c r="F124" s="52">
        <v>738</v>
      </c>
      <c r="G124" s="118"/>
      <c r="H124" s="100">
        <v>691</v>
      </c>
      <c r="I124" s="139"/>
      <c r="J124" s="231"/>
      <c r="K124" s="231"/>
      <c r="L124" s="231"/>
      <c r="M124" s="231"/>
      <c r="N124" s="231"/>
      <c r="O124" s="231"/>
      <c r="P124" s="231"/>
      <c r="Q124" s="231"/>
      <c r="R124" s="231"/>
      <c r="S124" s="231"/>
      <c r="T124" s="231"/>
      <c r="U124" s="231"/>
      <c r="V124" s="231"/>
      <c r="W124" s="231"/>
      <c r="X124" s="231"/>
      <c r="Y124" s="231"/>
      <c r="Z124" s="231"/>
      <c r="AA124" s="231"/>
      <c r="AB124" s="231"/>
      <c r="AC124" s="231"/>
      <c r="AD124" s="231"/>
      <c r="AE124" s="231"/>
      <c r="AF124" s="231"/>
      <c r="AG124" s="231"/>
      <c r="AH124" s="231"/>
      <c r="AI124" s="231"/>
      <c r="AJ124" s="231"/>
    </row>
    <row r="125" spans="1:36" s="203" customFormat="1">
      <c r="A125" s="120">
        <v>25</v>
      </c>
      <c r="B125" s="147" t="s">
        <v>127</v>
      </c>
      <c r="C125" s="147"/>
      <c r="D125" s="147"/>
      <c r="E125" s="80">
        <v>17904</v>
      </c>
      <c r="F125" s="142">
        <f>SUM(F118:F124)</f>
        <v>18732</v>
      </c>
      <c r="G125" s="118"/>
      <c r="H125" s="142">
        <f>SUM(H118:H124)</f>
        <v>18785</v>
      </c>
      <c r="I125" s="139"/>
      <c r="J125" s="231"/>
      <c r="K125" s="231"/>
      <c r="L125" s="231"/>
      <c r="M125" s="231"/>
      <c r="N125" s="231"/>
      <c r="O125" s="231"/>
      <c r="P125" s="231"/>
      <c r="Q125" s="231"/>
      <c r="R125" s="231"/>
      <c r="S125" s="231"/>
      <c r="T125" s="231"/>
      <c r="U125" s="231"/>
      <c r="V125" s="231"/>
      <c r="W125" s="231"/>
      <c r="X125" s="231"/>
      <c r="Y125" s="231"/>
      <c r="Z125" s="231"/>
      <c r="AA125" s="231"/>
      <c r="AB125" s="231"/>
      <c r="AC125" s="231"/>
      <c r="AD125" s="231"/>
      <c r="AE125" s="231"/>
      <c r="AF125" s="231"/>
      <c r="AG125" s="231"/>
      <c r="AH125" s="231"/>
      <c r="AI125" s="231"/>
      <c r="AJ125" s="231"/>
    </row>
    <row r="126" spans="1:36" s="203" customFormat="1">
      <c r="A126" s="111"/>
      <c r="B126" s="47"/>
      <c r="C126" s="47"/>
      <c r="D126" s="47"/>
      <c r="E126" s="117"/>
      <c r="F126" s="118"/>
      <c r="G126" s="118"/>
      <c r="H126" s="118"/>
      <c r="I126" s="139"/>
      <c r="J126" s="231"/>
      <c r="K126" s="231"/>
      <c r="L126" s="231"/>
      <c r="M126" s="231"/>
      <c r="N126" s="231"/>
      <c r="O126" s="231"/>
      <c r="P126" s="231"/>
      <c r="Q126" s="231"/>
      <c r="R126" s="231"/>
      <c r="S126" s="231"/>
      <c r="T126" s="231"/>
      <c r="U126" s="231"/>
      <c r="V126" s="231"/>
      <c r="W126" s="231"/>
      <c r="X126" s="231"/>
      <c r="Y126" s="231"/>
      <c r="Z126" s="231"/>
      <c r="AA126" s="231"/>
      <c r="AB126" s="231"/>
      <c r="AC126" s="231"/>
      <c r="AD126" s="231"/>
      <c r="AE126" s="231"/>
      <c r="AF126" s="231"/>
      <c r="AG126" s="231"/>
      <c r="AH126" s="231"/>
      <c r="AI126" s="231"/>
      <c r="AJ126" s="231"/>
    </row>
    <row r="127" spans="1:36" s="203" customFormat="1">
      <c r="A127" s="119" t="s">
        <v>108</v>
      </c>
      <c r="B127" s="147"/>
      <c r="C127" s="147"/>
      <c r="D127" s="147"/>
      <c r="E127" s="140"/>
      <c r="F127" s="146"/>
      <c r="G127" s="118"/>
      <c r="H127" s="146"/>
      <c r="I127" s="139"/>
      <c r="J127" s="231"/>
      <c r="K127" s="231"/>
      <c r="L127" s="231"/>
      <c r="M127" s="231"/>
      <c r="N127" s="231"/>
      <c r="O127" s="231"/>
      <c r="P127" s="231"/>
      <c r="Q127" s="231"/>
      <c r="R127" s="231"/>
      <c r="S127" s="231"/>
      <c r="T127" s="231"/>
      <c r="U127" s="231"/>
      <c r="V127" s="231"/>
      <c r="W127" s="231"/>
      <c r="X127" s="231"/>
      <c r="Y127" s="231"/>
      <c r="Z127" s="231"/>
      <c r="AA127" s="231"/>
      <c r="AB127" s="231"/>
      <c r="AC127" s="231"/>
      <c r="AD127" s="231"/>
      <c r="AE127" s="231"/>
      <c r="AF127" s="231"/>
      <c r="AG127" s="231"/>
      <c r="AH127" s="231"/>
      <c r="AI127" s="231"/>
      <c r="AJ127" s="231"/>
    </row>
    <row r="128" spans="1:36" s="203" customFormat="1">
      <c r="A128" s="120">
        <v>26</v>
      </c>
      <c r="B128" s="47" t="s">
        <v>123</v>
      </c>
      <c r="C128" s="47"/>
      <c r="D128" s="47"/>
      <c r="E128" s="74">
        <v>409</v>
      </c>
      <c r="F128" s="52">
        <v>386</v>
      </c>
      <c r="G128" s="118"/>
      <c r="H128" s="122">
        <v>400</v>
      </c>
      <c r="I128" s="139"/>
      <c r="J128" s="231"/>
      <c r="K128" s="231"/>
      <c r="L128" s="231"/>
      <c r="M128" s="231"/>
      <c r="N128" s="231"/>
      <c r="O128" s="231"/>
      <c r="P128" s="231"/>
      <c r="Q128" s="231"/>
      <c r="R128" s="231"/>
      <c r="S128" s="231"/>
      <c r="T128" s="231"/>
      <c r="U128" s="231"/>
      <c r="V128" s="231"/>
      <c r="W128" s="231"/>
      <c r="X128" s="231"/>
      <c r="Y128" s="231"/>
      <c r="Z128" s="231"/>
      <c r="AA128" s="231"/>
      <c r="AB128" s="231"/>
      <c r="AC128" s="231"/>
      <c r="AD128" s="231"/>
      <c r="AE128" s="231"/>
      <c r="AF128" s="231"/>
      <c r="AG128" s="231"/>
      <c r="AH128" s="231"/>
      <c r="AI128" s="231"/>
      <c r="AJ128" s="231"/>
    </row>
    <row r="129" spans="1:36" s="203" customFormat="1">
      <c r="A129" s="120">
        <v>27</v>
      </c>
      <c r="B129" s="47" t="s">
        <v>124</v>
      </c>
      <c r="C129" s="47"/>
      <c r="D129" s="47"/>
      <c r="E129" s="49">
        <v>1181</v>
      </c>
      <c r="F129" s="52">
        <v>1180</v>
      </c>
      <c r="G129" s="118"/>
      <c r="H129" s="122">
        <v>1187</v>
      </c>
      <c r="I129" s="139"/>
      <c r="J129" s="231"/>
      <c r="K129" s="231"/>
      <c r="L129" s="231"/>
      <c r="M129" s="231"/>
      <c r="N129" s="231"/>
      <c r="O129" s="231"/>
      <c r="P129" s="231"/>
      <c r="Q129" s="231"/>
      <c r="R129" s="231"/>
      <c r="S129" s="231"/>
      <c r="T129" s="231"/>
      <c r="U129" s="231"/>
      <c r="V129" s="231"/>
      <c r="W129" s="231"/>
      <c r="X129" s="231"/>
      <c r="Y129" s="231"/>
      <c r="Z129" s="231"/>
      <c r="AA129" s="231"/>
      <c r="AB129" s="231"/>
      <c r="AC129" s="231"/>
      <c r="AD129" s="231"/>
      <c r="AE129" s="231"/>
      <c r="AF129" s="231"/>
      <c r="AG129" s="231"/>
      <c r="AH129" s="231"/>
      <c r="AI129" s="231"/>
      <c r="AJ129" s="231"/>
    </row>
    <row r="130" spans="1:36" s="203" customFormat="1">
      <c r="A130" s="120">
        <v>28</v>
      </c>
      <c r="B130" s="47" t="s">
        <v>119</v>
      </c>
      <c r="C130" s="47"/>
      <c r="D130" s="47"/>
      <c r="E130" s="49">
        <v>489</v>
      </c>
      <c r="F130" s="52">
        <v>858</v>
      </c>
      <c r="G130" s="118"/>
      <c r="H130" s="122">
        <v>818</v>
      </c>
      <c r="I130" s="139"/>
      <c r="J130" s="231"/>
      <c r="K130" s="231"/>
      <c r="L130" s="231"/>
      <c r="M130" s="231"/>
      <c r="N130" s="231"/>
      <c r="O130" s="231"/>
      <c r="P130" s="231"/>
      <c r="Q130" s="231"/>
      <c r="R130" s="231"/>
      <c r="S130" s="231"/>
      <c r="T130" s="231"/>
      <c r="U130" s="231"/>
      <c r="V130" s="231"/>
      <c r="W130" s="231"/>
      <c r="X130" s="231"/>
      <c r="Y130" s="231"/>
      <c r="Z130" s="231"/>
      <c r="AA130" s="231"/>
      <c r="AB130" s="231"/>
      <c r="AC130" s="231"/>
      <c r="AD130" s="231"/>
      <c r="AE130" s="231"/>
      <c r="AF130" s="231"/>
      <c r="AG130" s="231"/>
      <c r="AH130" s="231"/>
      <c r="AI130" s="231"/>
      <c r="AJ130" s="231"/>
    </row>
    <row r="131" spans="1:36" s="203" customFormat="1">
      <c r="A131" s="120">
        <v>29</v>
      </c>
      <c r="B131" s="47" t="s">
        <v>120</v>
      </c>
      <c r="C131" s="47"/>
      <c r="D131" s="47"/>
      <c r="E131" s="49">
        <v>89</v>
      </c>
      <c r="F131" s="52">
        <v>128</v>
      </c>
      <c r="G131" s="118"/>
      <c r="H131" s="122">
        <v>130</v>
      </c>
      <c r="I131" s="139"/>
      <c r="J131" s="231"/>
      <c r="K131" s="231"/>
      <c r="L131" s="231"/>
      <c r="M131" s="231"/>
      <c r="N131" s="231"/>
      <c r="O131" s="231"/>
      <c r="P131" s="231"/>
      <c r="Q131" s="231"/>
      <c r="R131" s="231"/>
      <c r="S131" s="231"/>
      <c r="T131" s="231"/>
      <c r="U131" s="231"/>
      <c r="V131" s="231"/>
      <c r="W131" s="231"/>
      <c r="X131" s="231"/>
      <c r="Y131" s="231"/>
      <c r="Z131" s="231"/>
      <c r="AA131" s="231"/>
      <c r="AB131" s="231"/>
      <c r="AC131" s="231"/>
      <c r="AD131" s="231"/>
      <c r="AE131" s="231"/>
      <c r="AF131" s="231"/>
      <c r="AG131" s="231"/>
      <c r="AH131" s="231"/>
      <c r="AI131" s="231"/>
      <c r="AJ131" s="231"/>
    </row>
    <row r="132" spans="1:36" s="203" customFormat="1">
      <c r="A132" s="120">
        <v>30</v>
      </c>
      <c r="B132" s="47" t="s">
        <v>125</v>
      </c>
      <c r="C132" s="47"/>
      <c r="D132" s="47"/>
      <c r="E132" s="49">
        <v>110</v>
      </c>
      <c r="F132" s="52">
        <v>126</v>
      </c>
      <c r="G132" s="118"/>
      <c r="H132" s="122">
        <v>127</v>
      </c>
      <c r="I132" s="139"/>
      <c r="J132" s="231"/>
      <c r="K132" s="231"/>
      <c r="L132" s="231"/>
      <c r="M132" s="231"/>
      <c r="N132" s="231"/>
      <c r="O132" s="231"/>
      <c r="P132" s="231"/>
      <c r="Q132" s="231"/>
      <c r="R132" s="231"/>
      <c r="S132" s="231"/>
      <c r="T132" s="231"/>
      <c r="U132" s="231"/>
      <c r="V132" s="231"/>
      <c r="W132" s="231"/>
      <c r="X132" s="231"/>
      <c r="Y132" s="231"/>
      <c r="Z132" s="231"/>
      <c r="AA132" s="231"/>
      <c r="AB132" s="231"/>
      <c r="AC132" s="231"/>
      <c r="AD132" s="231"/>
      <c r="AE132" s="231"/>
      <c r="AF132" s="231"/>
      <c r="AG132" s="231"/>
      <c r="AH132" s="231"/>
      <c r="AI132" s="231"/>
      <c r="AJ132" s="231"/>
    </row>
    <row r="133" spans="1:36" s="203" customFormat="1">
      <c r="A133" s="120">
        <v>31</v>
      </c>
      <c r="B133" s="90" t="s">
        <v>126</v>
      </c>
      <c r="C133" s="47"/>
      <c r="D133" s="47"/>
      <c r="E133" s="49">
        <v>320</v>
      </c>
      <c r="F133" s="52">
        <v>227</v>
      </c>
      <c r="G133" s="118"/>
      <c r="H133" s="122">
        <v>228</v>
      </c>
      <c r="I133" s="139"/>
      <c r="J133" s="231"/>
      <c r="K133" s="231"/>
      <c r="L133" s="231"/>
      <c r="M133" s="231"/>
      <c r="N133" s="231"/>
      <c r="O133" s="231"/>
      <c r="P133" s="231"/>
      <c r="Q133" s="231"/>
      <c r="R133" s="231"/>
      <c r="S133" s="231"/>
      <c r="T133" s="231"/>
      <c r="U133" s="231"/>
      <c r="V133" s="231"/>
      <c r="W133" s="231"/>
      <c r="X133" s="231"/>
      <c r="Y133" s="231"/>
      <c r="Z133" s="231"/>
      <c r="AA133" s="231"/>
      <c r="AB133" s="231"/>
      <c r="AC133" s="231"/>
      <c r="AD133" s="231"/>
      <c r="AE133" s="231"/>
      <c r="AF133" s="231"/>
      <c r="AG133" s="231"/>
      <c r="AH133" s="231"/>
      <c r="AI133" s="231"/>
      <c r="AJ133" s="231"/>
    </row>
    <row r="134" spans="1:36" s="203" customFormat="1">
      <c r="A134" s="120">
        <v>32</v>
      </c>
      <c r="B134" s="47" t="s">
        <v>121</v>
      </c>
      <c r="C134" s="47"/>
      <c r="D134" s="47"/>
      <c r="E134" s="49">
        <v>216</v>
      </c>
      <c r="F134" s="52">
        <v>354</v>
      </c>
      <c r="G134" s="118"/>
      <c r="H134" s="100">
        <v>367</v>
      </c>
      <c r="I134" s="139"/>
      <c r="J134" s="231"/>
      <c r="K134" s="231"/>
      <c r="L134" s="231"/>
      <c r="M134" s="231"/>
      <c r="N134" s="231"/>
      <c r="O134" s="231"/>
      <c r="P134" s="231"/>
      <c r="Q134" s="231"/>
      <c r="R134" s="231"/>
      <c r="S134" s="231"/>
      <c r="T134" s="231"/>
      <c r="U134" s="231"/>
      <c r="V134" s="231"/>
      <c r="W134" s="231"/>
      <c r="X134" s="231"/>
      <c r="Y134" s="231"/>
      <c r="Z134" s="231"/>
      <c r="AA134" s="231"/>
      <c r="AB134" s="231"/>
      <c r="AC134" s="231"/>
      <c r="AD134" s="231"/>
      <c r="AE134" s="231"/>
      <c r="AF134" s="231"/>
      <c r="AG134" s="231"/>
      <c r="AH134" s="231"/>
      <c r="AI134" s="231"/>
      <c r="AJ134" s="231"/>
    </row>
    <row r="135" spans="1:36" s="203" customFormat="1">
      <c r="A135" s="120">
        <v>33</v>
      </c>
      <c r="B135" s="116" t="s">
        <v>128</v>
      </c>
      <c r="C135" s="116"/>
      <c r="D135" s="116"/>
      <c r="E135" s="80">
        <v>2814</v>
      </c>
      <c r="F135" s="142">
        <f>SUM(F128:F134)</f>
        <v>3259</v>
      </c>
      <c r="G135" s="118"/>
      <c r="H135" s="142">
        <f>SUM(H128:H134)</f>
        <v>3257</v>
      </c>
      <c r="I135" s="139"/>
      <c r="J135" s="231"/>
      <c r="K135" s="231"/>
      <c r="L135" s="231"/>
      <c r="M135" s="231"/>
      <c r="N135" s="231"/>
      <c r="O135" s="231"/>
      <c r="P135" s="231"/>
      <c r="Q135" s="231"/>
      <c r="R135" s="231"/>
      <c r="S135" s="231"/>
      <c r="T135" s="231"/>
      <c r="U135" s="231"/>
      <c r="V135" s="231"/>
      <c r="W135" s="231"/>
      <c r="X135" s="231"/>
      <c r="Y135" s="231"/>
      <c r="Z135" s="231"/>
      <c r="AA135" s="231"/>
      <c r="AB135" s="231"/>
      <c r="AC135" s="231"/>
      <c r="AD135" s="231"/>
      <c r="AE135" s="231"/>
      <c r="AF135" s="231"/>
      <c r="AG135" s="231"/>
      <c r="AH135" s="231"/>
      <c r="AI135" s="231"/>
      <c r="AJ135" s="231"/>
    </row>
    <row r="136" spans="1:36" s="203" customFormat="1">
      <c r="A136" s="111"/>
      <c r="B136" s="47"/>
      <c r="C136" s="47"/>
      <c r="D136" s="138"/>
      <c r="E136" s="117"/>
      <c r="F136" s="118"/>
      <c r="G136" s="118"/>
      <c r="H136" s="118"/>
      <c r="I136" s="139"/>
      <c r="J136" s="231"/>
      <c r="K136" s="231"/>
      <c r="L136" s="231"/>
      <c r="M136" s="231"/>
      <c r="N136" s="231"/>
      <c r="O136" s="231"/>
      <c r="P136" s="231"/>
      <c r="Q136" s="231"/>
      <c r="R136" s="231"/>
      <c r="S136" s="231"/>
      <c r="T136" s="231"/>
      <c r="U136" s="231"/>
      <c r="V136" s="231"/>
      <c r="W136" s="231"/>
      <c r="X136" s="231"/>
      <c r="Y136" s="231"/>
      <c r="Z136" s="231"/>
      <c r="AA136" s="231"/>
      <c r="AB136" s="231"/>
      <c r="AC136" s="231"/>
      <c r="AD136" s="231"/>
      <c r="AE136" s="231"/>
      <c r="AF136" s="231"/>
      <c r="AG136" s="231"/>
      <c r="AH136" s="231"/>
      <c r="AI136" s="231"/>
      <c r="AJ136" s="231"/>
    </row>
    <row r="137" spans="1:36" s="203" customFormat="1">
      <c r="A137" s="119" t="s">
        <v>109</v>
      </c>
      <c r="B137" s="116"/>
      <c r="C137" s="116"/>
      <c r="D137" s="116"/>
      <c r="E137" s="140"/>
      <c r="F137" s="146"/>
      <c r="G137" s="118"/>
      <c r="H137" s="146"/>
      <c r="I137" s="139"/>
      <c r="J137" s="231"/>
      <c r="K137" s="231"/>
      <c r="L137" s="231"/>
      <c r="M137" s="231"/>
      <c r="N137" s="231"/>
      <c r="O137" s="231"/>
      <c r="P137" s="231"/>
      <c r="Q137" s="231"/>
      <c r="R137" s="231"/>
      <c r="S137" s="231"/>
      <c r="T137" s="231"/>
      <c r="U137" s="231"/>
      <c r="V137" s="231"/>
      <c r="W137" s="231"/>
      <c r="X137" s="231"/>
      <c r="Y137" s="231"/>
      <c r="Z137" s="231"/>
      <c r="AA137" s="231"/>
      <c r="AB137" s="231"/>
      <c r="AC137" s="231"/>
      <c r="AD137" s="231"/>
      <c r="AE137" s="231"/>
      <c r="AF137" s="231"/>
      <c r="AG137" s="231"/>
      <c r="AH137" s="231"/>
      <c r="AI137" s="231"/>
      <c r="AJ137" s="231"/>
    </row>
    <row r="138" spans="1:36" s="203" customFormat="1">
      <c r="A138" s="120">
        <v>34</v>
      </c>
      <c r="B138" s="47" t="s">
        <v>123</v>
      </c>
      <c r="C138" s="47"/>
      <c r="D138" s="47"/>
      <c r="E138" s="49">
        <v>915</v>
      </c>
      <c r="F138" s="52">
        <v>1068</v>
      </c>
      <c r="G138" s="118"/>
      <c r="H138" s="122">
        <v>1103</v>
      </c>
      <c r="I138" s="139"/>
      <c r="J138" s="231"/>
      <c r="K138" s="231"/>
      <c r="L138" s="231"/>
      <c r="M138" s="231"/>
      <c r="N138" s="231"/>
      <c r="O138" s="231"/>
      <c r="P138" s="231"/>
      <c r="Q138" s="231"/>
      <c r="R138" s="231"/>
      <c r="S138" s="231"/>
      <c r="T138" s="231"/>
      <c r="U138" s="231"/>
      <c r="V138" s="231"/>
      <c r="W138" s="231"/>
      <c r="X138" s="231"/>
      <c r="Y138" s="231"/>
      <c r="Z138" s="231"/>
      <c r="AA138" s="231"/>
      <c r="AB138" s="231"/>
      <c r="AC138" s="231"/>
      <c r="AD138" s="231"/>
      <c r="AE138" s="231"/>
      <c r="AF138" s="231"/>
      <c r="AG138" s="231"/>
      <c r="AH138" s="231"/>
      <c r="AI138" s="231"/>
      <c r="AJ138" s="231"/>
    </row>
    <row r="139" spans="1:36" s="203" customFormat="1">
      <c r="A139" s="120">
        <v>35</v>
      </c>
      <c r="B139" s="47" t="s">
        <v>119</v>
      </c>
      <c r="C139" s="47"/>
      <c r="D139" s="47"/>
      <c r="E139" s="49">
        <v>1758</v>
      </c>
      <c r="F139" s="52">
        <v>1179</v>
      </c>
      <c r="G139" s="118"/>
      <c r="H139" s="122">
        <v>973</v>
      </c>
      <c r="I139" s="139"/>
      <c r="J139" s="231"/>
      <c r="K139" s="231"/>
      <c r="L139" s="231"/>
      <c r="M139" s="231"/>
      <c r="N139" s="231"/>
      <c r="O139" s="231"/>
      <c r="P139" s="231"/>
      <c r="Q139" s="231"/>
      <c r="R139" s="231"/>
      <c r="S139" s="231"/>
      <c r="T139" s="231"/>
      <c r="U139" s="231"/>
      <c r="V139" s="231"/>
      <c r="W139" s="231"/>
      <c r="X139" s="231"/>
      <c r="Y139" s="231"/>
      <c r="Z139" s="231"/>
      <c r="AA139" s="231"/>
      <c r="AB139" s="231"/>
      <c r="AC139" s="231"/>
      <c r="AD139" s="231"/>
      <c r="AE139" s="231"/>
      <c r="AF139" s="231"/>
      <c r="AG139" s="231"/>
      <c r="AH139" s="231"/>
      <c r="AI139" s="231"/>
      <c r="AJ139" s="231"/>
    </row>
    <row r="140" spans="1:36" s="203" customFormat="1">
      <c r="A140" s="120">
        <v>36</v>
      </c>
      <c r="B140" s="47" t="s">
        <v>120</v>
      </c>
      <c r="C140" s="47"/>
      <c r="D140" s="47"/>
      <c r="E140" s="49">
        <v>1461</v>
      </c>
      <c r="F140" s="52">
        <v>1435</v>
      </c>
      <c r="G140" s="118"/>
      <c r="H140" s="122">
        <v>1469</v>
      </c>
      <c r="I140" s="139"/>
      <c r="J140" s="231"/>
      <c r="K140" s="231"/>
      <c r="L140" s="231"/>
      <c r="M140" s="231"/>
      <c r="N140" s="231"/>
      <c r="O140" s="231"/>
      <c r="P140" s="231"/>
      <c r="Q140" s="231"/>
      <c r="R140" s="231"/>
      <c r="S140" s="231"/>
      <c r="T140" s="231"/>
      <c r="U140" s="231"/>
      <c r="V140" s="231"/>
      <c r="W140" s="231"/>
      <c r="X140" s="231"/>
      <c r="Y140" s="231"/>
      <c r="Z140" s="231"/>
      <c r="AA140" s="231"/>
      <c r="AB140" s="231"/>
      <c r="AC140" s="231"/>
      <c r="AD140" s="231"/>
      <c r="AE140" s="231"/>
      <c r="AF140" s="231"/>
      <c r="AG140" s="231"/>
      <c r="AH140" s="231"/>
      <c r="AI140" s="231"/>
      <c r="AJ140" s="231"/>
    </row>
    <row r="141" spans="1:36" s="203" customFormat="1">
      <c r="A141" s="120">
        <v>37</v>
      </c>
      <c r="B141" s="90" t="s">
        <v>126</v>
      </c>
      <c r="C141" s="47"/>
      <c r="D141" s="47"/>
      <c r="E141" s="49">
        <v>245</v>
      </c>
      <c r="F141" s="52">
        <v>993</v>
      </c>
      <c r="G141" s="118"/>
      <c r="H141" s="99">
        <v>995</v>
      </c>
      <c r="I141" s="139"/>
      <c r="J141" s="231"/>
      <c r="K141" s="231"/>
      <c r="L141" s="231"/>
      <c r="M141" s="231"/>
      <c r="N141" s="231"/>
      <c r="O141" s="231"/>
      <c r="P141" s="231"/>
      <c r="Q141" s="231"/>
      <c r="R141" s="231"/>
      <c r="S141" s="231"/>
      <c r="T141" s="231"/>
      <c r="U141" s="231"/>
      <c r="V141" s="231"/>
      <c r="W141" s="231"/>
      <c r="X141" s="231"/>
      <c r="Y141" s="231"/>
      <c r="Z141" s="231"/>
      <c r="AA141" s="231"/>
      <c r="AB141" s="231"/>
      <c r="AC141" s="231"/>
      <c r="AD141" s="231"/>
      <c r="AE141" s="231"/>
      <c r="AF141" s="231"/>
      <c r="AG141" s="231"/>
      <c r="AH141" s="231"/>
      <c r="AI141" s="231"/>
      <c r="AJ141" s="231"/>
    </row>
    <row r="142" spans="1:36" s="203" customFormat="1">
      <c r="A142" s="120">
        <v>38</v>
      </c>
      <c r="B142" s="47" t="s">
        <v>121</v>
      </c>
      <c r="C142" s="47"/>
      <c r="D142" s="47"/>
      <c r="E142" s="49">
        <v>4130</v>
      </c>
      <c r="F142" s="52">
        <v>5098</v>
      </c>
      <c r="G142" s="118"/>
      <c r="H142" s="100">
        <v>5075</v>
      </c>
      <c r="I142" s="139"/>
      <c r="J142" s="231"/>
      <c r="K142" s="231"/>
      <c r="L142" s="231"/>
      <c r="M142" s="231"/>
      <c r="N142" s="231"/>
      <c r="O142" s="231"/>
      <c r="P142" s="231"/>
      <c r="Q142" s="231"/>
      <c r="R142" s="231"/>
      <c r="S142" s="231"/>
      <c r="T142" s="231"/>
      <c r="U142" s="231"/>
      <c r="V142" s="231"/>
      <c r="W142" s="231"/>
      <c r="X142" s="231"/>
      <c r="Y142" s="231"/>
      <c r="Z142" s="231"/>
      <c r="AA142" s="231"/>
      <c r="AB142" s="231"/>
      <c r="AC142" s="231"/>
      <c r="AD142" s="231"/>
      <c r="AE142" s="231"/>
      <c r="AF142" s="231"/>
      <c r="AG142" s="231"/>
      <c r="AH142" s="231"/>
      <c r="AI142" s="231"/>
      <c r="AJ142" s="231"/>
    </row>
    <row r="143" spans="1:36" s="203" customFormat="1">
      <c r="A143" s="120">
        <v>39</v>
      </c>
      <c r="B143" s="116" t="s">
        <v>129</v>
      </c>
      <c r="C143" s="116"/>
      <c r="D143" s="116"/>
      <c r="E143" s="80">
        <v>8509</v>
      </c>
      <c r="F143" s="142">
        <f>SUM(F138:F142)</f>
        <v>9773</v>
      </c>
      <c r="G143" s="118"/>
      <c r="H143" s="142">
        <f>SUM(H138:H142)</f>
        <v>9615</v>
      </c>
      <c r="I143" s="139"/>
      <c r="J143" s="231"/>
      <c r="K143" s="231"/>
      <c r="L143" s="231"/>
      <c r="M143" s="231"/>
      <c r="N143" s="231"/>
      <c r="O143" s="231"/>
      <c r="P143" s="231"/>
      <c r="Q143" s="231"/>
      <c r="R143" s="231"/>
      <c r="S143" s="231"/>
      <c r="T143" s="231"/>
      <c r="U143" s="231"/>
      <c r="V143" s="231"/>
      <c r="W143" s="231"/>
      <c r="X143" s="231"/>
      <c r="Y143" s="231"/>
      <c r="Z143" s="231"/>
      <c r="AA143" s="231"/>
      <c r="AB143" s="231"/>
      <c r="AC143" s="231"/>
      <c r="AD143" s="231"/>
      <c r="AE143" s="231"/>
      <c r="AF143" s="231"/>
      <c r="AG143" s="231"/>
      <c r="AH143" s="231"/>
      <c r="AI143" s="231"/>
      <c r="AJ143" s="231"/>
    </row>
    <row r="144" spans="1:36" s="203" customFormat="1">
      <c r="A144" s="111"/>
      <c r="B144" s="47"/>
      <c r="C144" s="47"/>
      <c r="D144" s="47"/>
      <c r="E144" s="117"/>
      <c r="F144" s="118"/>
      <c r="G144" s="118"/>
      <c r="H144" s="118"/>
      <c r="I144" s="139"/>
      <c r="J144" s="231"/>
      <c r="K144" s="231"/>
      <c r="L144" s="231"/>
      <c r="M144" s="231"/>
      <c r="N144" s="231"/>
      <c r="O144" s="231"/>
      <c r="P144" s="231"/>
      <c r="Q144" s="231"/>
      <c r="R144" s="231"/>
      <c r="S144" s="231"/>
      <c r="T144" s="231"/>
      <c r="U144" s="231"/>
      <c r="V144" s="231"/>
      <c r="W144" s="231"/>
      <c r="X144" s="231"/>
      <c r="Y144" s="231"/>
      <c r="Z144" s="231"/>
      <c r="AA144" s="231"/>
      <c r="AB144" s="231"/>
      <c r="AC144" s="231"/>
      <c r="AD144" s="231"/>
      <c r="AE144" s="231"/>
      <c r="AF144" s="231"/>
      <c r="AG144" s="231"/>
      <c r="AH144" s="231"/>
      <c r="AI144" s="231"/>
      <c r="AJ144" s="231"/>
    </row>
    <row r="145" spans="1:36" s="203" customFormat="1">
      <c r="A145" s="119" t="s">
        <v>110</v>
      </c>
      <c r="B145" s="116"/>
      <c r="C145" s="116"/>
      <c r="D145" s="116"/>
      <c r="E145" s="140"/>
      <c r="F145" s="146"/>
      <c r="G145" s="118"/>
      <c r="H145" s="146"/>
      <c r="I145" s="139"/>
      <c r="J145" s="231"/>
      <c r="K145" s="231"/>
      <c r="L145" s="231"/>
      <c r="M145" s="231"/>
      <c r="N145" s="231"/>
      <c r="O145" s="231"/>
      <c r="P145" s="231"/>
      <c r="Q145" s="231"/>
      <c r="R145" s="231"/>
      <c r="S145" s="231"/>
      <c r="T145" s="231"/>
      <c r="U145" s="231"/>
      <c r="V145" s="231"/>
      <c r="W145" s="231"/>
      <c r="X145" s="231"/>
      <c r="Y145" s="231"/>
      <c r="Z145" s="231"/>
      <c r="AA145" s="231"/>
      <c r="AB145" s="231"/>
      <c r="AC145" s="231"/>
      <c r="AD145" s="231"/>
      <c r="AE145" s="231"/>
      <c r="AF145" s="231"/>
      <c r="AG145" s="231"/>
      <c r="AH145" s="231"/>
      <c r="AI145" s="231"/>
      <c r="AJ145" s="231"/>
    </row>
    <row r="146" spans="1:36" s="203" customFormat="1">
      <c r="A146" s="120">
        <v>40</v>
      </c>
      <c r="B146" s="47" t="s">
        <v>123</v>
      </c>
      <c r="C146" s="47"/>
      <c r="D146" s="47"/>
      <c r="E146" s="49">
        <v>436</v>
      </c>
      <c r="F146" s="52">
        <v>418</v>
      </c>
      <c r="G146" s="118"/>
      <c r="H146" s="122">
        <v>431</v>
      </c>
      <c r="I146" s="139"/>
      <c r="J146" s="231"/>
      <c r="K146" s="231"/>
      <c r="L146" s="231"/>
      <c r="M146" s="231"/>
      <c r="N146" s="231"/>
      <c r="O146" s="231"/>
      <c r="P146" s="231"/>
      <c r="Q146" s="231"/>
      <c r="R146" s="231"/>
      <c r="S146" s="231"/>
      <c r="T146" s="231"/>
      <c r="U146" s="231"/>
      <c r="V146" s="231"/>
      <c r="W146" s="231"/>
      <c r="X146" s="231"/>
      <c r="Y146" s="231"/>
      <c r="Z146" s="231"/>
      <c r="AA146" s="231"/>
      <c r="AB146" s="231"/>
      <c r="AC146" s="231"/>
      <c r="AD146" s="231"/>
      <c r="AE146" s="231"/>
      <c r="AF146" s="231"/>
      <c r="AG146" s="231"/>
      <c r="AH146" s="231"/>
      <c r="AI146" s="231"/>
      <c r="AJ146" s="231"/>
    </row>
    <row r="147" spans="1:36" s="203" customFormat="1">
      <c r="A147" s="120">
        <v>41</v>
      </c>
      <c r="B147" s="47" t="s">
        <v>119</v>
      </c>
      <c r="C147" s="47"/>
      <c r="D147" s="47"/>
      <c r="E147" s="49">
        <v>218</v>
      </c>
      <c r="F147" s="52">
        <v>292</v>
      </c>
      <c r="G147" s="118"/>
      <c r="H147" s="122">
        <v>271</v>
      </c>
      <c r="I147" s="139"/>
      <c r="J147" s="231"/>
      <c r="K147" s="231"/>
      <c r="L147" s="231"/>
      <c r="M147" s="231"/>
      <c r="N147" s="231"/>
      <c r="O147" s="231"/>
      <c r="P147" s="231"/>
      <c r="Q147" s="231"/>
      <c r="R147" s="231"/>
      <c r="S147" s="231"/>
      <c r="T147" s="231"/>
      <c r="U147" s="231"/>
      <c r="V147" s="231"/>
      <c r="W147" s="231"/>
      <c r="X147" s="231"/>
      <c r="Y147" s="231"/>
      <c r="Z147" s="231"/>
      <c r="AA147" s="231"/>
      <c r="AB147" s="231"/>
      <c r="AC147" s="231"/>
      <c r="AD147" s="231"/>
      <c r="AE147" s="231"/>
      <c r="AF147" s="231"/>
      <c r="AG147" s="231"/>
      <c r="AH147" s="231"/>
      <c r="AI147" s="231"/>
      <c r="AJ147" s="231"/>
    </row>
    <row r="148" spans="1:36" s="203" customFormat="1">
      <c r="A148" s="120">
        <v>42</v>
      </c>
      <c r="B148" s="47" t="s">
        <v>120</v>
      </c>
      <c r="C148" s="47"/>
      <c r="D148" s="47"/>
      <c r="E148" s="49">
        <v>103</v>
      </c>
      <c r="F148" s="52">
        <v>1</v>
      </c>
      <c r="G148" s="118"/>
      <c r="H148" s="122">
        <v>1</v>
      </c>
      <c r="I148" s="139"/>
      <c r="J148" s="231"/>
      <c r="K148" s="231"/>
      <c r="L148" s="231"/>
      <c r="M148" s="231"/>
      <c r="N148" s="231"/>
      <c r="O148" s="231"/>
      <c r="P148" s="231"/>
      <c r="Q148" s="231"/>
      <c r="R148" s="231"/>
      <c r="S148" s="231"/>
      <c r="T148" s="231"/>
      <c r="U148" s="231"/>
      <c r="V148" s="231"/>
      <c r="W148" s="231"/>
      <c r="X148" s="231"/>
      <c r="Y148" s="231"/>
      <c r="Z148" s="231"/>
      <c r="AA148" s="231"/>
      <c r="AB148" s="231"/>
      <c r="AC148" s="231"/>
      <c r="AD148" s="231"/>
      <c r="AE148" s="231"/>
      <c r="AF148" s="231"/>
      <c r="AG148" s="231"/>
      <c r="AH148" s="231"/>
      <c r="AI148" s="231"/>
      <c r="AJ148" s="231"/>
    </row>
    <row r="149" spans="1:36" s="203" customFormat="1">
      <c r="A149" s="120">
        <v>43</v>
      </c>
      <c r="B149" s="47" t="s">
        <v>121</v>
      </c>
      <c r="C149" s="47"/>
      <c r="D149" s="47"/>
      <c r="E149" s="49">
        <v>342</v>
      </c>
      <c r="F149" s="52">
        <v>607</v>
      </c>
      <c r="G149" s="118"/>
      <c r="H149" s="100">
        <v>619</v>
      </c>
      <c r="I149" s="139"/>
      <c r="J149" s="231"/>
      <c r="K149" s="231"/>
      <c r="L149" s="231"/>
      <c r="M149" s="231"/>
      <c r="N149" s="231"/>
      <c r="O149" s="231"/>
      <c r="P149" s="231"/>
      <c r="Q149" s="231"/>
      <c r="R149" s="231"/>
      <c r="S149" s="231"/>
      <c r="T149" s="231"/>
      <c r="U149" s="231"/>
      <c r="V149" s="231"/>
      <c r="W149" s="231"/>
      <c r="X149" s="231"/>
      <c r="Y149" s="231"/>
      <c r="Z149" s="231"/>
      <c r="AA149" s="231"/>
      <c r="AB149" s="231"/>
      <c r="AC149" s="231"/>
      <c r="AD149" s="231"/>
      <c r="AE149" s="231"/>
      <c r="AF149" s="231"/>
      <c r="AG149" s="231"/>
      <c r="AH149" s="231"/>
      <c r="AI149" s="231"/>
      <c r="AJ149" s="231"/>
    </row>
    <row r="150" spans="1:36" s="203" customFormat="1">
      <c r="A150" s="124">
        <v>44</v>
      </c>
      <c r="B150" s="94" t="s">
        <v>130</v>
      </c>
      <c r="C150" s="94"/>
      <c r="D150" s="94"/>
      <c r="E150" s="80">
        <v>1099</v>
      </c>
      <c r="F150" s="142">
        <f>SUM(F146:F149)</f>
        <v>1318</v>
      </c>
      <c r="G150" s="259"/>
      <c r="H150" s="142">
        <f>SUM(H146:H149)</f>
        <v>1322</v>
      </c>
      <c r="I150" s="139"/>
      <c r="J150" s="231"/>
      <c r="K150" s="231"/>
      <c r="L150" s="231"/>
      <c r="M150" s="231"/>
      <c r="N150" s="231"/>
      <c r="O150" s="231"/>
      <c r="P150" s="231"/>
      <c r="Q150" s="231"/>
      <c r="R150" s="231"/>
      <c r="S150" s="231"/>
      <c r="T150" s="231"/>
      <c r="U150" s="231"/>
      <c r="V150" s="231"/>
      <c r="W150" s="231"/>
      <c r="X150" s="231"/>
      <c r="Y150" s="231"/>
      <c r="Z150" s="231"/>
      <c r="AA150" s="231"/>
      <c r="AB150" s="231"/>
      <c r="AC150" s="231"/>
      <c r="AD150" s="231"/>
      <c r="AE150" s="231"/>
      <c r="AF150" s="231"/>
      <c r="AG150" s="231"/>
      <c r="AH150" s="231"/>
      <c r="AI150" s="231"/>
      <c r="AJ150" s="231"/>
    </row>
    <row r="151" spans="1:36" s="203" customFormat="1">
      <c r="A151" s="148"/>
      <c r="B151" s="129"/>
      <c r="C151" s="129"/>
      <c r="D151" s="149"/>
      <c r="E151" s="150"/>
      <c r="F151" s="29"/>
      <c r="G151" s="29"/>
      <c r="H151" s="207"/>
      <c r="I151" s="29"/>
      <c r="J151" s="231"/>
      <c r="K151" s="231"/>
      <c r="L151" s="231"/>
      <c r="M151" s="231"/>
      <c r="N151" s="231"/>
      <c r="O151" s="231"/>
      <c r="P151" s="231"/>
      <c r="Q151" s="231"/>
      <c r="R151" s="231"/>
      <c r="S151" s="231"/>
      <c r="T151" s="231"/>
      <c r="U151" s="231"/>
      <c r="V151" s="231"/>
      <c r="W151" s="231"/>
      <c r="X151" s="231"/>
      <c r="Y151" s="231"/>
      <c r="Z151" s="231"/>
      <c r="AA151" s="231"/>
      <c r="AB151" s="231"/>
      <c r="AC151" s="231"/>
      <c r="AD151" s="231"/>
      <c r="AE151" s="231"/>
      <c r="AF151" s="231"/>
      <c r="AG151" s="231"/>
      <c r="AH151" s="231"/>
      <c r="AI151" s="231"/>
      <c r="AJ151" s="231"/>
    </row>
    <row r="152" spans="1:36" s="203" customFormat="1">
      <c r="A152" s="148"/>
      <c r="B152" s="129"/>
      <c r="C152" s="129"/>
      <c r="D152" s="151"/>
      <c r="E152" s="152"/>
      <c r="F152" s="29"/>
      <c r="G152" s="29"/>
      <c r="H152" s="131" t="s">
        <v>27</v>
      </c>
      <c r="I152" s="29"/>
      <c r="J152" s="231"/>
      <c r="K152" s="231"/>
      <c r="L152" s="231"/>
      <c r="M152" s="231"/>
      <c r="N152" s="231"/>
      <c r="O152" s="231"/>
      <c r="P152" s="231"/>
      <c r="Q152" s="231"/>
      <c r="R152" s="231"/>
      <c r="S152" s="231"/>
      <c r="T152" s="231"/>
      <c r="U152" s="231"/>
      <c r="V152" s="231"/>
      <c r="W152" s="231"/>
      <c r="X152" s="231"/>
      <c r="Y152" s="231"/>
      <c r="Z152" s="231"/>
      <c r="AA152" s="231"/>
      <c r="AB152" s="231"/>
      <c r="AC152" s="231"/>
      <c r="AD152" s="231"/>
      <c r="AE152" s="231"/>
      <c r="AF152" s="231"/>
      <c r="AG152" s="231"/>
      <c r="AH152" s="231"/>
      <c r="AI152" s="231"/>
      <c r="AJ152" s="231"/>
    </row>
    <row r="153" spans="1:36" s="203" customFormat="1">
      <c r="A153" s="106" t="s">
        <v>20</v>
      </c>
      <c r="B153" s="107"/>
      <c r="C153" s="107"/>
      <c r="D153" s="107"/>
      <c r="E153" s="856" t="s">
        <v>377</v>
      </c>
      <c r="F153" s="856" t="s">
        <v>402</v>
      </c>
      <c r="G153" s="130"/>
      <c r="H153" s="856" t="s">
        <v>403</v>
      </c>
      <c r="I153" s="130"/>
      <c r="J153" s="231"/>
      <c r="K153" s="231"/>
      <c r="L153" s="231"/>
      <c r="M153" s="231"/>
      <c r="N153" s="231"/>
      <c r="O153" s="231"/>
      <c r="P153" s="231"/>
      <c r="Q153" s="231"/>
      <c r="R153" s="231"/>
      <c r="S153" s="231"/>
      <c r="T153" s="231"/>
      <c r="U153" s="231"/>
      <c r="V153" s="231"/>
      <c r="W153" s="231"/>
      <c r="X153" s="231"/>
      <c r="Y153" s="231"/>
      <c r="Z153" s="231"/>
      <c r="AA153" s="231"/>
      <c r="AB153" s="231"/>
      <c r="AC153" s="231"/>
      <c r="AD153" s="231"/>
      <c r="AE153" s="231"/>
      <c r="AF153" s="231"/>
      <c r="AG153" s="231"/>
      <c r="AH153" s="231"/>
      <c r="AI153" s="231"/>
      <c r="AJ153" s="231"/>
    </row>
    <row r="154" spans="1:36" s="203" customFormat="1">
      <c r="A154" s="153"/>
      <c r="B154" s="132"/>
      <c r="C154" s="132"/>
      <c r="D154" s="132"/>
      <c r="E154" s="859"/>
      <c r="F154" s="859"/>
      <c r="G154" s="130"/>
      <c r="H154" s="859"/>
      <c r="I154" s="130"/>
      <c r="J154" s="231"/>
      <c r="K154" s="231"/>
      <c r="L154" s="231"/>
      <c r="M154" s="231"/>
      <c r="N154" s="231"/>
      <c r="O154" s="231"/>
      <c r="P154" s="231"/>
      <c r="Q154" s="231"/>
      <c r="R154" s="231"/>
      <c r="S154" s="231"/>
      <c r="T154" s="231"/>
      <c r="U154" s="231"/>
      <c r="V154" s="231"/>
      <c r="W154" s="231"/>
      <c r="X154" s="231"/>
      <c r="Y154" s="231"/>
      <c r="Z154" s="231"/>
      <c r="AA154" s="231"/>
      <c r="AB154" s="231"/>
      <c r="AC154" s="231"/>
      <c r="AD154" s="231"/>
      <c r="AE154" s="231"/>
      <c r="AF154" s="231"/>
      <c r="AG154" s="231"/>
      <c r="AH154" s="231"/>
      <c r="AI154" s="231"/>
      <c r="AJ154" s="231"/>
    </row>
    <row r="155" spans="1:36" s="203" customFormat="1">
      <c r="A155" s="154" t="s">
        <v>131</v>
      </c>
      <c r="B155" s="116"/>
      <c r="C155" s="116"/>
      <c r="D155" s="116"/>
      <c r="E155" s="859"/>
      <c r="F155" s="859"/>
      <c r="G155" s="130"/>
      <c r="H155" s="859"/>
      <c r="I155" s="130"/>
      <c r="J155" s="231"/>
      <c r="K155" s="231"/>
      <c r="L155" s="231"/>
      <c r="M155" s="231"/>
      <c r="N155" s="231"/>
      <c r="O155" s="231"/>
      <c r="P155" s="231"/>
      <c r="Q155" s="231"/>
      <c r="R155" s="231"/>
      <c r="S155" s="231"/>
      <c r="T155" s="231"/>
      <c r="U155" s="231"/>
      <c r="V155" s="231"/>
      <c r="W155" s="231"/>
      <c r="X155" s="231"/>
      <c r="Y155" s="231"/>
      <c r="Z155" s="231"/>
      <c r="AA155" s="231"/>
      <c r="AB155" s="231"/>
      <c r="AC155" s="231"/>
      <c r="AD155" s="231"/>
      <c r="AE155" s="231"/>
      <c r="AF155" s="231"/>
      <c r="AG155" s="231"/>
      <c r="AH155" s="231"/>
      <c r="AI155" s="231"/>
      <c r="AJ155" s="231"/>
    </row>
    <row r="156" spans="1:36" s="203" customFormat="1" ht="12.75" customHeight="1">
      <c r="A156" s="109" t="s">
        <v>83</v>
      </c>
      <c r="B156" s="47"/>
      <c r="C156" s="47"/>
      <c r="D156" s="47"/>
      <c r="E156" s="859"/>
      <c r="F156" s="859"/>
      <c r="G156" s="130"/>
      <c r="H156" s="859"/>
      <c r="I156" s="130"/>
      <c r="J156" s="231"/>
      <c r="K156" s="231"/>
      <c r="L156" s="231"/>
      <c r="M156" s="231"/>
      <c r="N156" s="231"/>
      <c r="O156" s="231"/>
      <c r="P156" s="231"/>
      <c r="Q156" s="231"/>
      <c r="R156" s="231"/>
      <c r="S156" s="231"/>
      <c r="T156" s="231"/>
      <c r="U156" s="231"/>
      <c r="V156" s="231"/>
      <c r="W156" s="231"/>
      <c r="X156" s="231"/>
      <c r="Y156" s="231"/>
      <c r="Z156" s="231"/>
      <c r="AA156" s="231"/>
      <c r="AB156" s="231"/>
      <c r="AC156" s="231"/>
      <c r="AD156" s="231"/>
      <c r="AE156" s="231"/>
      <c r="AF156" s="231"/>
      <c r="AG156" s="231"/>
      <c r="AH156" s="231"/>
      <c r="AI156" s="231"/>
      <c r="AJ156" s="231"/>
    </row>
    <row r="157" spans="1:36" s="203" customFormat="1">
      <c r="A157" s="110" t="s">
        <v>84</v>
      </c>
      <c r="B157" s="132"/>
      <c r="C157" s="132"/>
      <c r="D157" s="132"/>
      <c r="E157" s="860"/>
      <c r="F157" s="860"/>
      <c r="G157" s="130"/>
      <c r="H157" s="860"/>
      <c r="I157" s="130"/>
      <c r="J157" s="231"/>
      <c r="K157" s="231"/>
      <c r="L157" s="231"/>
      <c r="M157" s="231"/>
      <c r="N157" s="231"/>
      <c r="O157" s="231"/>
      <c r="P157" s="231"/>
      <c r="Q157" s="231"/>
      <c r="R157" s="231"/>
      <c r="S157" s="231"/>
      <c r="T157" s="231"/>
      <c r="U157" s="231"/>
      <c r="V157" s="231"/>
      <c r="W157" s="231"/>
      <c r="X157" s="231"/>
      <c r="Y157" s="231"/>
      <c r="Z157" s="231"/>
      <c r="AA157" s="231"/>
      <c r="AB157" s="231"/>
      <c r="AC157" s="231"/>
      <c r="AD157" s="231"/>
      <c r="AE157" s="231"/>
      <c r="AF157" s="231"/>
      <c r="AG157" s="231"/>
      <c r="AH157" s="231"/>
      <c r="AI157" s="231"/>
      <c r="AJ157" s="231"/>
    </row>
    <row r="158" spans="1:36" s="203" customFormat="1">
      <c r="A158" s="119" t="s">
        <v>132</v>
      </c>
      <c r="B158" s="47"/>
      <c r="C158" s="47"/>
      <c r="D158" s="47"/>
      <c r="E158" s="155"/>
      <c r="F158" s="146" t="s">
        <v>133</v>
      </c>
      <c r="G158" s="118"/>
      <c r="H158" s="146"/>
      <c r="I158" s="29"/>
      <c r="J158" s="231"/>
      <c r="K158" s="231"/>
      <c r="L158" s="231"/>
      <c r="M158" s="231"/>
      <c r="N158" s="231"/>
      <c r="O158" s="231"/>
      <c r="P158" s="231"/>
      <c r="Q158" s="231"/>
      <c r="R158" s="231"/>
      <c r="S158" s="231"/>
      <c r="T158" s="231"/>
      <c r="U158" s="231"/>
      <c r="V158" s="231"/>
      <c r="W158" s="231"/>
      <c r="X158" s="231"/>
      <c r="Y158" s="231"/>
      <c r="Z158" s="231"/>
      <c r="AA158" s="231"/>
      <c r="AB158" s="231"/>
      <c r="AC158" s="231"/>
      <c r="AD158" s="231"/>
      <c r="AE158" s="231"/>
      <c r="AF158" s="231"/>
      <c r="AG158" s="231"/>
      <c r="AH158" s="231"/>
      <c r="AI158" s="231"/>
      <c r="AJ158" s="231"/>
    </row>
    <row r="159" spans="1:36" s="203" customFormat="1">
      <c r="A159" s="120">
        <v>1</v>
      </c>
      <c r="B159" s="47" t="s">
        <v>134</v>
      </c>
      <c r="C159" s="47"/>
      <c r="D159" s="47"/>
      <c r="E159" s="74">
        <v>0</v>
      </c>
      <c r="F159" s="52">
        <v>0</v>
      </c>
      <c r="G159" s="118"/>
      <c r="H159" s="122">
        <v>0</v>
      </c>
      <c r="I159" s="29"/>
      <c r="J159" s="231"/>
      <c r="K159" s="231"/>
      <c r="L159" s="231"/>
      <c r="M159" s="231"/>
      <c r="N159" s="231"/>
      <c r="O159" s="231"/>
      <c r="P159" s="231"/>
      <c r="Q159" s="231"/>
      <c r="R159" s="231"/>
      <c r="S159" s="231"/>
      <c r="T159" s="231"/>
      <c r="U159" s="231"/>
      <c r="V159" s="231"/>
      <c r="W159" s="231"/>
      <c r="X159" s="231"/>
      <c r="Y159" s="231"/>
      <c r="Z159" s="231"/>
      <c r="AA159" s="231"/>
      <c r="AB159" s="231"/>
      <c r="AC159" s="231"/>
      <c r="AD159" s="231"/>
      <c r="AE159" s="231"/>
      <c r="AF159" s="231"/>
      <c r="AG159" s="231"/>
      <c r="AH159" s="231"/>
      <c r="AI159" s="231"/>
      <c r="AJ159" s="231"/>
    </row>
    <row r="160" spans="1:36" s="203" customFormat="1">
      <c r="A160" s="120">
        <v>2</v>
      </c>
      <c r="B160" s="47" t="s">
        <v>135</v>
      </c>
      <c r="C160" s="47"/>
      <c r="D160" s="47"/>
      <c r="E160" s="49">
        <v>1255</v>
      </c>
      <c r="F160" s="52">
        <v>1311</v>
      </c>
      <c r="G160" s="118"/>
      <c r="H160" s="122">
        <v>1088</v>
      </c>
      <c r="I160" s="29"/>
      <c r="J160" s="231"/>
      <c r="K160" s="231"/>
      <c r="L160" s="231"/>
      <c r="M160" s="231"/>
      <c r="N160" s="231"/>
      <c r="O160" s="231"/>
      <c r="P160" s="231"/>
      <c r="Q160" s="231"/>
      <c r="R160" s="231"/>
      <c r="S160" s="231"/>
      <c r="T160" s="231"/>
      <c r="U160" s="231"/>
      <c r="V160" s="231"/>
      <c r="W160" s="231"/>
      <c r="X160" s="231"/>
      <c r="Y160" s="231"/>
      <c r="Z160" s="231"/>
      <c r="AA160" s="231"/>
      <c r="AB160" s="231"/>
      <c r="AC160" s="231"/>
      <c r="AD160" s="231"/>
      <c r="AE160" s="231"/>
      <c r="AF160" s="231"/>
      <c r="AG160" s="231"/>
      <c r="AH160" s="231"/>
      <c r="AI160" s="231"/>
      <c r="AJ160" s="231"/>
    </row>
    <row r="161" spans="1:36" s="203" customFormat="1">
      <c r="A161" s="120">
        <v>3</v>
      </c>
      <c r="B161" s="47" t="s">
        <v>136</v>
      </c>
      <c r="C161" s="47"/>
      <c r="D161" s="47"/>
      <c r="E161" s="114">
        <v>3233</v>
      </c>
      <c r="F161" s="52">
        <v>4379</v>
      </c>
      <c r="G161" s="118"/>
      <c r="H161" s="122">
        <v>3010</v>
      </c>
      <c r="I161" s="29"/>
      <c r="J161" s="231"/>
      <c r="K161" s="231"/>
      <c r="L161" s="231"/>
      <c r="M161" s="231"/>
      <c r="N161" s="231"/>
      <c r="O161" s="231"/>
      <c r="P161" s="231"/>
      <c r="Q161" s="231"/>
      <c r="R161" s="231"/>
      <c r="S161" s="231"/>
      <c r="T161" s="231"/>
      <c r="U161" s="231"/>
      <c r="V161" s="231"/>
      <c r="W161" s="231"/>
      <c r="X161" s="231"/>
      <c r="Y161" s="231"/>
      <c r="Z161" s="231"/>
      <c r="AA161" s="231"/>
      <c r="AB161" s="231"/>
      <c r="AC161" s="231"/>
      <c r="AD161" s="231"/>
      <c r="AE161" s="231"/>
      <c r="AF161" s="231"/>
      <c r="AG161" s="231"/>
      <c r="AH161" s="231"/>
      <c r="AI161" s="231"/>
      <c r="AJ161" s="231"/>
    </row>
    <row r="162" spans="1:36" s="203" customFormat="1">
      <c r="A162" s="120">
        <v>4</v>
      </c>
      <c r="B162" s="47" t="s">
        <v>137</v>
      </c>
      <c r="C162" s="47"/>
      <c r="D162" s="47"/>
      <c r="E162" s="114">
        <v>818</v>
      </c>
      <c r="F162" s="52">
        <v>923</v>
      </c>
      <c r="G162" s="118"/>
      <c r="H162" s="100">
        <v>1349</v>
      </c>
      <c r="I162" s="29"/>
      <c r="J162" s="231"/>
      <c r="K162" s="231"/>
      <c r="L162" s="231"/>
      <c r="M162" s="231"/>
      <c r="N162" s="231"/>
      <c r="O162" s="231"/>
      <c r="P162" s="231"/>
      <c r="Q162" s="231"/>
      <c r="R162" s="231"/>
      <c r="S162" s="231"/>
      <c r="T162" s="231"/>
      <c r="U162" s="231"/>
      <c r="V162" s="231"/>
      <c r="W162" s="231"/>
      <c r="X162" s="231"/>
      <c r="Y162" s="231"/>
      <c r="Z162" s="231"/>
      <c r="AA162" s="231"/>
      <c r="AB162" s="231"/>
      <c r="AC162" s="231"/>
      <c r="AD162" s="231"/>
      <c r="AE162" s="231"/>
      <c r="AF162" s="231"/>
      <c r="AG162" s="231"/>
      <c r="AH162" s="231"/>
      <c r="AI162" s="231"/>
      <c r="AJ162" s="231"/>
    </row>
    <row r="163" spans="1:36" s="203" customFormat="1">
      <c r="A163" s="120">
        <v>5</v>
      </c>
      <c r="B163" s="116" t="s">
        <v>138</v>
      </c>
      <c r="C163" s="116"/>
      <c r="D163" s="116"/>
      <c r="E163" s="80">
        <v>5306</v>
      </c>
      <c r="F163" s="142">
        <f>SUM(F159:F162)</f>
        <v>6613</v>
      </c>
      <c r="G163" s="118"/>
      <c r="H163" s="142">
        <f>SUM(H159:H162)</f>
        <v>5447</v>
      </c>
      <c r="I163" s="29"/>
      <c r="J163" s="231"/>
      <c r="K163" s="231"/>
      <c r="L163" s="231"/>
      <c r="M163" s="231"/>
      <c r="N163" s="231"/>
      <c r="O163" s="231"/>
      <c r="P163" s="231"/>
      <c r="Q163" s="231"/>
      <c r="R163" s="231"/>
      <c r="S163" s="231"/>
      <c r="T163" s="231"/>
      <c r="U163" s="231"/>
      <c r="V163" s="231"/>
      <c r="W163" s="231"/>
      <c r="X163" s="231"/>
      <c r="Y163" s="231"/>
      <c r="Z163" s="231"/>
      <c r="AA163" s="231"/>
      <c r="AB163" s="231"/>
      <c r="AC163" s="231"/>
      <c r="AD163" s="231"/>
      <c r="AE163" s="231"/>
      <c r="AF163" s="231"/>
      <c r="AG163" s="231"/>
      <c r="AH163" s="231"/>
      <c r="AI163" s="231"/>
      <c r="AJ163" s="231"/>
    </row>
    <row r="164" spans="1:36" s="203" customFormat="1">
      <c r="A164" s="46"/>
      <c r="B164" s="132"/>
      <c r="C164" s="132"/>
      <c r="D164" s="132"/>
      <c r="E164" s="156"/>
      <c r="F164" s="139"/>
      <c r="G164" s="118"/>
      <c r="H164" s="139"/>
      <c r="I164" s="29"/>
      <c r="J164" s="231"/>
      <c r="K164" s="231"/>
      <c r="L164" s="231"/>
      <c r="M164" s="231"/>
      <c r="N164" s="231"/>
      <c r="O164" s="231"/>
      <c r="P164" s="231"/>
      <c r="Q164" s="231"/>
      <c r="R164" s="231"/>
      <c r="S164" s="231"/>
      <c r="T164" s="231"/>
      <c r="U164" s="231"/>
      <c r="V164" s="231"/>
      <c r="W164" s="231"/>
      <c r="X164" s="231"/>
      <c r="Y164" s="231"/>
      <c r="Z164" s="231"/>
      <c r="AA164" s="231"/>
      <c r="AB164" s="231"/>
      <c r="AC164" s="231"/>
      <c r="AD164" s="231"/>
      <c r="AE164" s="231"/>
      <c r="AF164" s="231"/>
      <c r="AG164" s="231"/>
      <c r="AH164" s="231"/>
      <c r="AI164" s="231"/>
      <c r="AJ164" s="231"/>
    </row>
    <row r="165" spans="1:36" s="203" customFormat="1">
      <c r="A165" s="119" t="s">
        <v>139</v>
      </c>
      <c r="B165" s="47"/>
      <c r="C165" s="47"/>
      <c r="D165" s="47"/>
      <c r="E165" s="140"/>
      <c r="F165" s="146"/>
      <c r="G165" s="118"/>
      <c r="H165" s="146"/>
      <c r="I165" s="29"/>
      <c r="J165" s="231"/>
      <c r="K165" s="231"/>
      <c r="L165" s="231"/>
      <c r="M165" s="231"/>
      <c r="N165" s="231"/>
      <c r="O165" s="231"/>
      <c r="P165" s="231"/>
      <c r="Q165" s="231"/>
      <c r="R165" s="231"/>
      <c r="S165" s="231"/>
      <c r="T165" s="231"/>
      <c r="U165" s="231"/>
      <c r="V165" s="231"/>
      <c r="W165" s="231"/>
      <c r="X165" s="231"/>
      <c r="Y165" s="231"/>
      <c r="Z165" s="231"/>
      <c r="AA165" s="231"/>
      <c r="AB165" s="231"/>
      <c r="AC165" s="231"/>
      <c r="AD165" s="231"/>
      <c r="AE165" s="231"/>
      <c r="AF165" s="231"/>
      <c r="AG165" s="231"/>
      <c r="AH165" s="231"/>
      <c r="AI165" s="231"/>
      <c r="AJ165" s="231"/>
    </row>
    <row r="166" spans="1:36" s="203" customFormat="1">
      <c r="A166" s="120">
        <v>6</v>
      </c>
      <c r="B166" s="47" t="s">
        <v>140</v>
      </c>
      <c r="C166" s="47"/>
      <c r="D166" s="47"/>
      <c r="E166" s="74">
        <v>222</v>
      </c>
      <c r="F166" s="52">
        <v>152</v>
      </c>
      <c r="G166" s="118"/>
      <c r="H166" s="122">
        <v>163</v>
      </c>
      <c r="I166" s="29"/>
      <c r="J166" s="231"/>
      <c r="K166" s="231"/>
      <c r="L166" s="231"/>
      <c r="M166" s="231"/>
      <c r="N166" s="231"/>
      <c r="O166" s="231"/>
      <c r="P166" s="231"/>
      <c r="Q166" s="231"/>
      <c r="R166" s="231"/>
      <c r="S166" s="231"/>
      <c r="T166" s="231"/>
      <c r="U166" s="231"/>
      <c r="V166" s="231"/>
      <c r="W166" s="231"/>
      <c r="X166" s="231"/>
      <c r="Y166" s="231"/>
      <c r="Z166" s="231"/>
      <c r="AA166" s="231"/>
      <c r="AB166" s="231"/>
      <c r="AC166" s="231"/>
      <c r="AD166" s="231"/>
      <c r="AE166" s="231"/>
      <c r="AF166" s="231"/>
      <c r="AG166" s="231"/>
      <c r="AH166" s="231"/>
      <c r="AI166" s="231"/>
      <c r="AJ166" s="231"/>
    </row>
    <row r="167" spans="1:36" s="203" customFormat="1">
      <c r="A167" s="120">
        <v>7</v>
      </c>
      <c r="B167" s="47" t="s">
        <v>141</v>
      </c>
      <c r="C167" s="47"/>
      <c r="D167" s="47"/>
      <c r="E167" s="49">
        <v>611</v>
      </c>
      <c r="F167" s="52">
        <v>431</v>
      </c>
      <c r="G167" s="118"/>
      <c r="H167" s="122">
        <v>510</v>
      </c>
      <c r="I167" s="29"/>
      <c r="J167" s="231"/>
      <c r="K167" s="231"/>
      <c r="L167" s="231"/>
      <c r="M167" s="231"/>
      <c r="N167" s="231"/>
      <c r="O167" s="231"/>
      <c r="P167" s="231"/>
      <c r="Q167" s="231"/>
      <c r="R167" s="231"/>
      <c r="S167" s="231"/>
      <c r="T167" s="231"/>
      <c r="U167" s="231"/>
      <c r="V167" s="231"/>
      <c r="W167" s="231"/>
      <c r="X167" s="231"/>
      <c r="Y167" s="231"/>
      <c r="Z167" s="231"/>
      <c r="AA167" s="231"/>
      <c r="AB167" s="231"/>
      <c r="AC167" s="231"/>
      <c r="AD167" s="231"/>
      <c r="AE167" s="231"/>
      <c r="AF167" s="231"/>
      <c r="AG167" s="231"/>
      <c r="AH167" s="231"/>
      <c r="AI167" s="231"/>
      <c r="AJ167" s="231"/>
    </row>
    <row r="168" spans="1:36" s="203" customFormat="1">
      <c r="A168" s="120">
        <v>8</v>
      </c>
      <c r="B168" s="47" t="s">
        <v>121</v>
      </c>
      <c r="C168" s="47"/>
      <c r="D168" s="47"/>
      <c r="E168" s="49">
        <v>542</v>
      </c>
      <c r="F168" s="52">
        <v>525</v>
      </c>
      <c r="G168" s="118"/>
      <c r="H168" s="100">
        <v>537</v>
      </c>
      <c r="I168" s="29"/>
      <c r="J168" s="231"/>
      <c r="K168" s="231"/>
      <c r="L168" s="231"/>
      <c r="M168" s="231"/>
      <c r="N168" s="231"/>
      <c r="O168" s="231"/>
      <c r="P168" s="231"/>
      <c r="Q168" s="231"/>
      <c r="R168" s="231"/>
      <c r="S168" s="231"/>
      <c r="T168" s="231"/>
      <c r="U168" s="231"/>
      <c r="V168" s="231"/>
      <c r="W168" s="231"/>
      <c r="X168" s="231"/>
      <c r="Y168" s="231"/>
      <c r="Z168" s="231"/>
      <c r="AA168" s="231"/>
      <c r="AB168" s="231"/>
      <c r="AC168" s="231"/>
      <c r="AD168" s="231"/>
      <c r="AE168" s="231"/>
      <c r="AF168" s="231"/>
      <c r="AG168" s="231"/>
      <c r="AH168" s="231"/>
      <c r="AI168" s="231"/>
      <c r="AJ168" s="231"/>
    </row>
    <row r="169" spans="1:36" s="203" customFormat="1">
      <c r="A169" s="120">
        <v>9</v>
      </c>
      <c r="B169" s="116" t="s">
        <v>142</v>
      </c>
      <c r="C169" s="116"/>
      <c r="D169" s="116"/>
      <c r="E169" s="80">
        <v>1375</v>
      </c>
      <c r="F169" s="142">
        <f>SUM(F166:F168)</f>
        <v>1108</v>
      </c>
      <c r="G169" s="118"/>
      <c r="H169" s="142">
        <f>SUM(H166:H168)</f>
        <v>1210</v>
      </c>
      <c r="I169" s="29"/>
      <c r="J169" s="231"/>
      <c r="K169" s="231"/>
      <c r="L169" s="231"/>
      <c r="M169" s="231"/>
      <c r="N169" s="231"/>
      <c r="O169" s="231"/>
      <c r="P169" s="231"/>
      <c r="Q169" s="231"/>
      <c r="R169" s="231"/>
      <c r="S169" s="231"/>
      <c r="T169" s="231"/>
      <c r="U169" s="231"/>
      <c r="V169" s="231"/>
      <c r="W169" s="231"/>
      <c r="X169" s="231"/>
      <c r="Y169" s="231"/>
      <c r="Z169" s="231"/>
      <c r="AA169" s="231"/>
      <c r="AB169" s="231"/>
      <c r="AC169" s="231"/>
      <c r="AD169" s="231"/>
      <c r="AE169" s="231"/>
      <c r="AF169" s="231"/>
      <c r="AG169" s="231"/>
      <c r="AH169" s="231"/>
      <c r="AI169" s="231"/>
      <c r="AJ169" s="231"/>
    </row>
    <row r="170" spans="1:36" s="203" customFormat="1">
      <c r="A170" s="46"/>
      <c r="B170" s="132"/>
      <c r="C170" s="132"/>
      <c r="D170" s="132"/>
      <c r="E170" s="156"/>
      <c r="F170" s="139"/>
      <c r="G170" s="118"/>
      <c r="H170" s="139"/>
      <c r="I170" s="29"/>
      <c r="J170" s="231"/>
      <c r="K170" s="231"/>
      <c r="L170" s="231"/>
      <c r="M170" s="231"/>
      <c r="N170" s="231"/>
      <c r="O170" s="231"/>
      <c r="P170" s="231"/>
      <c r="Q170" s="231"/>
      <c r="R170" s="231"/>
      <c r="S170" s="231"/>
      <c r="T170" s="231"/>
      <c r="U170" s="231"/>
      <c r="V170" s="231"/>
      <c r="W170" s="231"/>
      <c r="X170" s="231"/>
      <c r="Y170" s="231"/>
      <c r="Z170" s="231"/>
      <c r="AA170" s="231"/>
      <c r="AB170" s="231"/>
      <c r="AC170" s="231"/>
      <c r="AD170" s="231"/>
      <c r="AE170" s="231"/>
      <c r="AF170" s="231"/>
      <c r="AG170" s="231"/>
      <c r="AH170" s="231"/>
      <c r="AI170" s="231"/>
      <c r="AJ170" s="231"/>
    </row>
    <row r="171" spans="1:36" s="203" customFormat="1">
      <c r="A171" s="120">
        <v>10</v>
      </c>
      <c r="B171" s="47" t="s">
        <v>143</v>
      </c>
      <c r="C171" s="47"/>
      <c r="D171" s="47"/>
      <c r="E171" s="41">
        <v>-698</v>
      </c>
      <c r="F171" s="121">
        <v>-446</v>
      </c>
      <c r="G171" s="118"/>
      <c r="H171" s="133">
        <v>-585</v>
      </c>
      <c r="I171" s="29"/>
      <c r="J171" s="231"/>
      <c r="K171" s="231"/>
      <c r="L171" s="231"/>
      <c r="M171" s="231"/>
      <c r="N171" s="231"/>
      <c r="O171" s="231"/>
      <c r="P171" s="231"/>
      <c r="Q171" s="231"/>
      <c r="R171" s="231"/>
      <c r="S171" s="231"/>
      <c r="T171" s="231"/>
      <c r="U171" s="231"/>
      <c r="V171" s="231"/>
      <c r="W171" s="231"/>
      <c r="X171" s="231"/>
      <c r="Y171" s="231"/>
      <c r="Z171" s="231"/>
      <c r="AA171" s="231"/>
      <c r="AB171" s="231"/>
      <c r="AC171" s="231"/>
      <c r="AD171" s="231"/>
      <c r="AE171" s="231"/>
      <c r="AF171" s="231"/>
      <c r="AG171" s="231"/>
      <c r="AH171" s="231"/>
      <c r="AI171" s="231"/>
      <c r="AJ171" s="231"/>
    </row>
    <row r="172" spans="1:36" s="203" customFormat="1">
      <c r="A172" s="120">
        <v>11</v>
      </c>
      <c r="B172" s="47" t="s">
        <v>144</v>
      </c>
      <c r="C172" s="47"/>
      <c r="D172" s="47"/>
      <c r="E172" s="56">
        <v>248</v>
      </c>
      <c r="F172" s="126">
        <v>0</v>
      </c>
      <c r="G172" s="118"/>
      <c r="H172" s="100">
        <v>0</v>
      </c>
      <c r="I172" s="29"/>
      <c r="J172" s="231"/>
      <c r="K172" s="231"/>
      <c r="L172" s="231"/>
      <c r="M172" s="231"/>
      <c r="N172" s="231"/>
      <c r="O172" s="231"/>
      <c r="P172" s="231"/>
      <c r="Q172" s="231"/>
      <c r="R172" s="231"/>
      <c r="S172" s="231"/>
      <c r="T172" s="231"/>
      <c r="U172" s="231"/>
      <c r="V172" s="231"/>
      <c r="W172" s="231"/>
      <c r="X172" s="231"/>
      <c r="Y172" s="231"/>
      <c r="Z172" s="231"/>
      <c r="AA172" s="231"/>
      <c r="AB172" s="231"/>
      <c r="AC172" s="231"/>
      <c r="AD172" s="231"/>
      <c r="AE172" s="231"/>
      <c r="AF172" s="231"/>
      <c r="AG172" s="231"/>
      <c r="AH172" s="231"/>
      <c r="AI172" s="231"/>
      <c r="AJ172" s="231"/>
    </row>
    <row r="173" spans="1:36" s="203" customFormat="1">
      <c r="A173" s="46"/>
      <c r="B173" s="132"/>
      <c r="C173" s="132"/>
      <c r="D173" s="132"/>
      <c r="E173" s="156"/>
      <c r="F173" s="139"/>
      <c r="G173" s="118"/>
      <c r="H173" s="139"/>
      <c r="I173" s="29"/>
      <c r="J173" s="231"/>
      <c r="K173" s="231"/>
      <c r="L173" s="231"/>
      <c r="M173" s="231"/>
      <c r="N173" s="231"/>
      <c r="O173" s="231"/>
      <c r="P173" s="231"/>
      <c r="Q173" s="231"/>
      <c r="R173" s="231"/>
      <c r="S173" s="231"/>
      <c r="T173" s="231"/>
      <c r="U173" s="231"/>
      <c r="V173" s="231"/>
      <c r="W173" s="231"/>
      <c r="X173" s="231"/>
      <c r="Y173" s="231"/>
      <c r="Z173" s="231"/>
      <c r="AA173" s="231"/>
      <c r="AB173" s="231"/>
      <c r="AC173" s="231"/>
      <c r="AD173" s="231"/>
      <c r="AE173" s="231"/>
      <c r="AF173" s="231"/>
      <c r="AG173" s="231"/>
      <c r="AH173" s="231"/>
      <c r="AI173" s="231"/>
      <c r="AJ173" s="231"/>
    </row>
    <row r="174" spans="1:36" s="203" customFormat="1">
      <c r="A174" s="119" t="s">
        <v>145</v>
      </c>
      <c r="B174" s="47"/>
      <c r="C174" s="47"/>
      <c r="D174" s="47"/>
      <c r="E174" s="157"/>
      <c r="F174" s="146"/>
      <c r="G174" s="118"/>
      <c r="H174" s="146"/>
      <c r="I174" s="29"/>
      <c r="J174" s="231"/>
      <c r="K174" s="231"/>
      <c r="L174" s="231"/>
      <c r="M174" s="231"/>
      <c r="N174" s="231"/>
      <c r="O174" s="231"/>
      <c r="P174" s="231"/>
      <c r="Q174" s="231"/>
      <c r="R174" s="231"/>
      <c r="S174" s="231"/>
      <c r="T174" s="231"/>
      <c r="U174" s="231"/>
      <c r="V174" s="231"/>
      <c r="W174" s="231"/>
      <c r="X174" s="231"/>
      <c r="Y174" s="231"/>
      <c r="Z174" s="231"/>
      <c r="AA174" s="231"/>
      <c r="AB174" s="231"/>
      <c r="AC174" s="231"/>
      <c r="AD174" s="231"/>
      <c r="AE174" s="231"/>
      <c r="AF174" s="231"/>
      <c r="AG174" s="231"/>
      <c r="AH174" s="231"/>
      <c r="AI174" s="231"/>
      <c r="AJ174" s="231"/>
    </row>
    <row r="175" spans="1:36" s="203" customFormat="1">
      <c r="A175" s="120">
        <v>12</v>
      </c>
      <c r="B175" s="47" t="s">
        <v>146</v>
      </c>
      <c r="C175" s="47"/>
      <c r="D175" s="47"/>
      <c r="E175" s="74">
        <v>0</v>
      </c>
      <c r="F175" s="52">
        <v>0</v>
      </c>
      <c r="G175" s="118"/>
      <c r="H175" s="122">
        <v>0</v>
      </c>
      <c r="I175" s="29"/>
      <c r="J175" s="231"/>
      <c r="K175" s="231"/>
      <c r="L175" s="231"/>
      <c r="M175" s="231"/>
      <c r="N175" s="231"/>
      <c r="O175" s="231"/>
      <c r="P175" s="231"/>
      <c r="Q175" s="231"/>
      <c r="R175" s="231"/>
      <c r="S175" s="231"/>
      <c r="T175" s="231"/>
      <c r="U175" s="231"/>
      <c r="V175" s="231"/>
      <c r="W175" s="231"/>
      <c r="X175" s="231"/>
      <c r="Y175" s="231"/>
      <c r="Z175" s="231"/>
      <c r="AA175" s="231"/>
      <c r="AB175" s="231"/>
      <c r="AC175" s="231"/>
      <c r="AD175" s="231"/>
      <c r="AE175" s="231"/>
      <c r="AF175" s="231"/>
      <c r="AG175" s="231"/>
      <c r="AH175" s="231"/>
      <c r="AI175" s="231"/>
      <c r="AJ175" s="231"/>
    </row>
    <row r="176" spans="1:36" s="203" customFormat="1">
      <c r="A176" s="120">
        <v>13</v>
      </c>
      <c r="B176" s="47" t="s">
        <v>147</v>
      </c>
      <c r="C176" s="47"/>
      <c r="D176" s="47"/>
      <c r="E176" s="49">
        <v>919</v>
      </c>
      <c r="F176" s="52">
        <v>1177</v>
      </c>
      <c r="G176" s="118"/>
      <c r="H176" s="122">
        <v>1194</v>
      </c>
      <c r="I176" s="29"/>
      <c r="J176" s="231"/>
      <c r="K176" s="231"/>
      <c r="L176" s="231"/>
      <c r="M176" s="231"/>
      <c r="N176" s="231"/>
      <c r="O176" s="231"/>
      <c r="P176" s="231"/>
      <c r="Q176" s="231"/>
      <c r="R176" s="231"/>
      <c r="S176" s="231"/>
      <c r="T176" s="231"/>
      <c r="U176" s="231"/>
      <c r="V176" s="231"/>
      <c r="W176" s="231"/>
      <c r="X176" s="231"/>
      <c r="Y176" s="231"/>
      <c r="Z176" s="231"/>
      <c r="AA176" s="231"/>
      <c r="AB176" s="231"/>
      <c r="AC176" s="231"/>
      <c r="AD176" s="231"/>
      <c r="AE176" s="231"/>
      <c r="AF176" s="231"/>
      <c r="AG176" s="231"/>
      <c r="AH176" s="231"/>
      <c r="AI176" s="231"/>
      <c r="AJ176" s="231"/>
    </row>
    <row r="177" spans="1:36" s="203" customFormat="1">
      <c r="A177" s="120">
        <v>14</v>
      </c>
      <c r="B177" s="47" t="s">
        <v>148</v>
      </c>
      <c r="C177" s="47"/>
      <c r="D177" s="47"/>
      <c r="E177" s="56">
        <v>442</v>
      </c>
      <c r="F177" s="52">
        <v>246</v>
      </c>
      <c r="G177" s="118"/>
      <c r="H177" s="100">
        <v>193</v>
      </c>
      <c r="I177" s="29"/>
      <c r="J177" s="231"/>
      <c r="K177" s="231"/>
      <c r="L177" s="231"/>
      <c r="M177" s="231"/>
      <c r="N177" s="231"/>
      <c r="O177" s="231"/>
      <c r="P177" s="231"/>
      <c r="Q177" s="231"/>
      <c r="R177" s="231"/>
      <c r="S177" s="231"/>
      <c r="T177" s="231"/>
      <c r="U177" s="231"/>
      <c r="V177" s="231"/>
      <c r="W177" s="231"/>
      <c r="X177" s="231"/>
      <c r="Y177" s="231"/>
      <c r="Z177" s="231"/>
      <c r="AA177" s="231"/>
      <c r="AB177" s="231"/>
      <c r="AC177" s="231"/>
      <c r="AD177" s="231"/>
      <c r="AE177" s="231"/>
      <c r="AF177" s="231"/>
      <c r="AG177" s="231"/>
      <c r="AH177" s="231"/>
      <c r="AI177" s="231"/>
      <c r="AJ177" s="231"/>
    </row>
    <row r="178" spans="1:36" s="203" customFormat="1">
      <c r="A178" s="120">
        <v>15</v>
      </c>
      <c r="B178" s="116" t="s">
        <v>149</v>
      </c>
      <c r="C178" s="116"/>
      <c r="D178" s="116"/>
      <c r="E178" s="80">
        <v>1361</v>
      </c>
      <c r="F178" s="142">
        <f>SUM(F175:F177)</f>
        <v>1423</v>
      </c>
      <c r="G178" s="118"/>
      <c r="H178" s="142">
        <f>SUM(H175:H177)</f>
        <v>1387</v>
      </c>
      <c r="I178" s="29"/>
      <c r="J178" s="231"/>
      <c r="K178" s="231"/>
      <c r="L178" s="231"/>
      <c r="M178" s="231"/>
      <c r="N178" s="231"/>
      <c r="O178" s="231"/>
      <c r="P178" s="231"/>
      <c r="Q178" s="231"/>
      <c r="R178" s="231"/>
      <c r="S178" s="231"/>
      <c r="T178" s="231"/>
      <c r="U178" s="231"/>
      <c r="V178" s="231"/>
      <c r="W178" s="231"/>
      <c r="X178" s="231"/>
      <c r="Y178" s="231"/>
      <c r="Z178" s="231"/>
      <c r="AA178" s="231"/>
      <c r="AB178" s="231"/>
      <c r="AC178" s="231"/>
      <c r="AD178" s="231"/>
      <c r="AE178" s="231"/>
      <c r="AF178" s="231"/>
      <c r="AG178" s="231"/>
      <c r="AH178" s="231"/>
      <c r="AI178" s="231"/>
      <c r="AJ178" s="231"/>
    </row>
    <row r="179" spans="1:36" s="203" customFormat="1">
      <c r="A179" s="120">
        <v>16</v>
      </c>
      <c r="B179" s="116" t="s">
        <v>150</v>
      </c>
      <c r="C179" s="116"/>
      <c r="D179" s="116"/>
      <c r="E179" s="80">
        <v>1609</v>
      </c>
      <c r="F179" s="158">
        <f>F172+F178</f>
        <v>1423</v>
      </c>
      <c r="G179" s="118"/>
      <c r="H179" s="158">
        <f>H172+H178</f>
        <v>1387</v>
      </c>
      <c r="I179" s="29"/>
      <c r="J179" s="231"/>
      <c r="K179" s="231"/>
      <c r="L179" s="231"/>
      <c r="M179" s="231"/>
      <c r="N179" s="231"/>
      <c r="O179" s="231"/>
      <c r="P179" s="231"/>
      <c r="Q179" s="231"/>
      <c r="R179" s="231"/>
      <c r="S179" s="231"/>
      <c r="T179" s="231"/>
      <c r="U179" s="231"/>
      <c r="V179" s="231"/>
      <c r="W179" s="231"/>
      <c r="X179" s="231"/>
      <c r="Y179" s="231"/>
      <c r="Z179" s="231"/>
      <c r="AA179" s="231"/>
      <c r="AB179" s="231"/>
      <c r="AC179" s="231"/>
      <c r="AD179" s="231"/>
      <c r="AE179" s="231"/>
      <c r="AF179" s="231"/>
      <c r="AG179" s="231"/>
      <c r="AH179" s="231"/>
      <c r="AI179" s="231"/>
      <c r="AJ179" s="231"/>
    </row>
    <row r="180" spans="1:36" s="203" customFormat="1">
      <c r="A180" s="120">
        <v>17</v>
      </c>
      <c r="B180" s="116" t="s">
        <v>151</v>
      </c>
      <c r="C180" s="116"/>
      <c r="D180" s="116"/>
      <c r="E180" s="159">
        <v>7592</v>
      </c>
      <c r="F180" s="61">
        <f>SUM(F163+F169+F171+F179)</f>
        <v>8698</v>
      </c>
      <c r="G180" s="118"/>
      <c r="H180" s="61">
        <f>SUM(H163+H169+H171+H179)</f>
        <v>7459</v>
      </c>
      <c r="I180" s="29"/>
      <c r="J180" s="231"/>
      <c r="K180" s="231"/>
      <c r="L180" s="231"/>
      <c r="M180" s="231"/>
      <c r="N180" s="231"/>
      <c r="O180" s="231"/>
      <c r="P180" s="231"/>
      <c r="Q180" s="231"/>
      <c r="R180" s="231"/>
      <c r="S180" s="231"/>
      <c r="T180" s="231"/>
      <c r="U180" s="231"/>
      <c r="V180" s="231"/>
      <c r="W180" s="231"/>
      <c r="X180" s="231"/>
      <c r="Y180" s="231"/>
      <c r="Z180" s="231"/>
      <c r="AA180" s="231"/>
      <c r="AB180" s="231"/>
      <c r="AC180" s="231"/>
      <c r="AD180" s="231"/>
      <c r="AE180" s="231"/>
      <c r="AF180" s="231"/>
      <c r="AG180" s="231"/>
      <c r="AH180" s="231"/>
      <c r="AI180" s="231"/>
      <c r="AJ180" s="231"/>
    </row>
    <row r="181" spans="1:36" s="203" customFormat="1">
      <c r="A181" s="46"/>
      <c r="B181" s="132"/>
      <c r="C181" s="132"/>
      <c r="D181" s="132"/>
      <c r="E181" s="156"/>
      <c r="F181" s="139"/>
      <c r="G181" s="118"/>
      <c r="H181" s="139"/>
      <c r="I181" s="29"/>
      <c r="J181" s="231"/>
      <c r="K181" s="231"/>
      <c r="L181" s="231"/>
      <c r="M181" s="231"/>
      <c r="N181" s="231"/>
      <c r="O181" s="231"/>
      <c r="P181" s="231"/>
      <c r="Q181" s="231"/>
      <c r="R181" s="231"/>
      <c r="S181" s="231"/>
      <c r="T181" s="231"/>
      <c r="U181" s="231"/>
      <c r="V181" s="231"/>
      <c r="W181" s="231"/>
      <c r="X181" s="231"/>
      <c r="Y181" s="231"/>
      <c r="Z181" s="231"/>
      <c r="AA181" s="231"/>
      <c r="AB181" s="231"/>
      <c r="AC181" s="231"/>
      <c r="AD181" s="231"/>
      <c r="AE181" s="231"/>
      <c r="AF181" s="231"/>
      <c r="AG181" s="231"/>
      <c r="AH181" s="231"/>
      <c r="AI181" s="231"/>
      <c r="AJ181" s="231"/>
    </row>
    <row r="182" spans="1:36" s="203" customFormat="1">
      <c r="A182" s="119" t="s">
        <v>152</v>
      </c>
      <c r="B182" s="47"/>
      <c r="C182" s="47"/>
      <c r="D182" s="116"/>
      <c r="E182" s="117"/>
      <c r="F182" s="118"/>
      <c r="G182" s="118"/>
      <c r="H182" s="118"/>
      <c r="I182" s="29"/>
      <c r="J182" s="231"/>
      <c r="K182" s="231"/>
      <c r="L182" s="231"/>
      <c r="M182" s="231"/>
      <c r="N182" s="231"/>
      <c r="O182" s="231"/>
      <c r="P182" s="231"/>
      <c r="Q182" s="231"/>
      <c r="R182" s="231"/>
      <c r="S182" s="231"/>
      <c r="T182" s="231"/>
      <c r="U182" s="231"/>
      <c r="V182" s="231"/>
      <c r="W182" s="231"/>
      <c r="X182" s="231"/>
      <c r="Y182" s="231"/>
      <c r="Z182" s="231"/>
      <c r="AA182" s="231"/>
      <c r="AB182" s="231"/>
      <c r="AC182" s="231"/>
      <c r="AD182" s="231"/>
      <c r="AE182" s="231"/>
      <c r="AF182" s="231"/>
      <c r="AG182" s="231"/>
      <c r="AH182" s="231"/>
      <c r="AI182" s="231"/>
      <c r="AJ182" s="231"/>
    </row>
    <row r="183" spans="1:36" s="203" customFormat="1">
      <c r="A183" s="120">
        <v>18</v>
      </c>
      <c r="B183" s="47" t="s">
        <v>153</v>
      </c>
      <c r="C183" s="47"/>
      <c r="D183" s="47"/>
      <c r="E183" s="41">
        <v>669</v>
      </c>
      <c r="F183" s="121">
        <v>550</v>
      </c>
      <c r="G183" s="118"/>
      <c r="H183" s="133">
        <v>676</v>
      </c>
      <c r="I183" s="29"/>
      <c r="J183" s="231"/>
      <c r="K183" s="231"/>
      <c r="L183" s="231"/>
      <c r="M183" s="231"/>
      <c r="N183" s="231"/>
      <c r="O183" s="231"/>
      <c r="P183" s="231"/>
      <c r="Q183" s="231"/>
      <c r="R183" s="231"/>
      <c r="S183" s="231"/>
      <c r="T183" s="231"/>
      <c r="U183" s="231"/>
      <c r="V183" s="231"/>
      <c r="W183" s="231"/>
      <c r="X183" s="231"/>
      <c r="Y183" s="231"/>
      <c r="Z183" s="231"/>
      <c r="AA183" s="231"/>
      <c r="AB183" s="231"/>
      <c r="AC183" s="231"/>
      <c r="AD183" s="231"/>
      <c r="AE183" s="231"/>
      <c r="AF183" s="231"/>
      <c r="AG183" s="231"/>
      <c r="AH183" s="231"/>
      <c r="AI183" s="231"/>
      <c r="AJ183" s="231"/>
    </row>
    <row r="184" spans="1:36" s="203" customFormat="1">
      <c r="A184" s="120">
        <v>19</v>
      </c>
      <c r="B184" s="47" t="s">
        <v>154</v>
      </c>
      <c r="C184" s="47"/>
      <c r="D184" s="47"/>
      <c r="E184" s="49">
        <v>118</v>
      </c>
      <c r="F184" s="52">
        <v>0</v>
      </c>
      <c r="G184" s="118"/>
      <c r="H184" s="122">
        <v>0</v>
      </c>
      <c r="I184" s="29"/>
      <c r="J184" s="231"/>
      <c r="K184" s="231"/>
      <c r="L184" s="231"/>
      <c r="M184" s="231"/>
      <c r="N184" s="231"/>
      <c r="O184" s="231"/>
      <c r="P184" s="231"/>
      <c r="Q184" s="231"/>
      <c r="R184" s="231"/>
      <c r="S184" s="231"/>
      <c r="T184" s="231"/>
      <c r="U184" s="231"/>
      <c r="V184" s="231"/>
      <c r="W184" s="231"/>
      <c r="X184" s="231"/>
      <c r="Y184" s="231"/>
      <c r="Z184" s="231"/>
      <c r="AA184" s="231"/>
      <c r="AB184" s="231"/>
      <c r="AC184" s="231"/>
      <c r="AD184" s="231"/>
      <c r="AE184" s="231"/>
      <c r="AF184" s="231"/>
      <c r="AG184" s="231"/>
      <c r="AH184" s="231"/>
      <c r="AI184" s="231"/>
      <c r="AJ184" s="231"/>
    </row>
    <row r="185" spans="1:36" s="203" customFormat="1">
      <c r="A185" s="120">
        <v>20</v>
      </c>
      <c r="B185" s="47" t="s">
        <v>155</v>
      </c>
      <c r="C185" s="47"/>
      <c r="D185" s="47"/>
      <c r="E185" s="49">
        <v>0</v>
      </c>
      <c r="F185" s="52">
        <v>0</v>
      </c>
      <c r="G185" s="118"/>
      <c r="H185" s="122">
        <v>0</v>
      </c>
      <c r="I185" s="29"/>
      <c r="J185" s="231"/>
      <c r="K185" s="231"/>
      <c r="L185" s="231"/>
      <c r="M185" s="231"/>
      <c r="N185" s="231"/>
      <c r="O185" s="231"/>
      <c r="P185" s="231"/>
      <c r="Q185" s="231"/>
      <c r="R185" s="231"/>
      <c r="S185" s="231"/>
      <c r="T185" s="231"/>
      <c r="U185" s="231"/>
      <c r="V185" s="231"/>
      <c r="W185" s="231"/>
      <c r="X185" s="231"/>
      <c r="Y185" s="231"/>
      <c r="Z185" s="231"/>
      <c r="AA185" s="231"/>
      <c r="AB185" s="231"/>
      <c r="AC185" s="231"/>
      <c r="AD185" s="231"/>
      <c r="AE185" s="231"/>
      <c r="AF185" s="231"/>
      <c r="AG185" s="231"/>
      <c r="AH185" s="231"/>
      <c r="AI185" s="231"/>
      <c r="AJ185" s="231"/>
    </row>
    <row r="186" spans="1:36" s="203" customFormat="1">
      <c r="A186" s="120">
        <v>21</v>
      </c>
      <c r="B186" s="47" t="s">
        <v>156</v>
      </c>
      <c r="C186" s="47"/>
      <c r="D186" s="47"/>
      <c r="E186" s="49">
        <v>0</v>
      </c>
      <c r="F186" s="52">
        <v>0</v>
      </c>
      <c r="G186" s="118"/>
      <c r="H186" s="122">
        <v>0</v>
      </c>
      <c r="I186" s="29"/>
      <c r="J186" s="231"/>
      <c r="K186" s="231"/>
      <c r="L186" s="231"/>
      <c r="M186" s="231"/>
      <c r="N186" s="231"/>
      <c r="O186" s="231"/>
      <c r="P186" s="231"/>
      <c r="Q186" s="231"/>
      <c r="R186" s="231"/>
      <c r="S186" s="231"/>
      <c r="T186" s="231"/>
      <c r="U186" s="231"/>
      <c r="V186" s="231"/>
      <c r="W186" s="231"/>
      <c r="X186" s="231"/>
      <c r="Y186" s="231"/>
      <c r="Z186" s="231"/>
      <c r="AA186" s="231"/>
      <c r="AB186" s="231"/>
      <c r="AC186" s="231"/>
      <c r="AD186" s="231"/>
      <c r="AE186" s="231"/>
      <c r="AF186" s="231"/>
      <c r="AG186" s="231"/>
      <c r="AH186" s="231"/>
      <c r="AI186" s="231"/>
      <c r="AJ186" s="231"/>
    </row>
    <row r="187" spans="1:36" s="203" customFormat="1">
      <c r="A187" s="120">
        <v>22</v>
      </c>
      <c r="B187" s="47" t="s">
        <v>157</v>
      </c>
      <c r="C187" s="47"/>
      <c r="D187" s="47"/>
      <c r="E187" s="49">
        <v>0</v>
      </c>
      <c r="F187" s="52">
        <v>0</v>
      </c>
      <c r="G187" s="118"/>
      <c r="H187" s="122">
        <v>0</v>
      </c>
      <c r="I187" s="29"/>
      <c r="J187" s="231"/>
      <c r="K187" s="231"/>
      <c r="L187" s="231"/>
      <c r="M187" s="231"/>
      <c r="N187" s="231"/>
      <c r="O187" s="231"/>
      <c r="P187" s="231"/>
      <c r="Q187" s="231"/>
      <c r="R187" s="231"/>
      <c r="S187" s="231"/>
      <c r="T187" s="231"/>
      <c r="U187" s="231"/>
      <c r="V187" s="231"/>
      <c r="W187" s="231"/>
      <c r="X187" s="231"/>
      <c r="Y187" s="231"/>
      <c r="Z187" s="231"/>
      <c r="AA187" s="231"/>
      <c r="AB187" s="231"/>
      <c r="AC187" s="231"/>
      <c r="AD187" s="231"/>
      <c r="AE187" s="231"/>
      <c r="AF187" s="231"/>
      <c r="AG187" s="231"/>
      <c r="AH187" s="231"/>
      <c r="AI187" s="231"/>
      <c r="AJ187" s="231"/>
    </row>
    <row r="188" spans="1:36" s="203" customFormat="1">
      <c r="A188" s="120">
        <v>23</v>
      </c>
      <c r="B188" s="47" t="s">
        <v>158</v>
      </c>
      <c r="C188" s="47"/>
      <c r="D188" s="47"/>
      <c r="E188" s="49">
        <v>0</v>
      </c>
      <c r="F188" s="52">
        <v>0</v>
      </c>
      <c r="G188" s="118"/>
      <c r="H188" s="122">
        <v>0</v>
      </c>
      <c r="I188" s="29"/>
      <c r="J188" s="231"/>
      <c r="K188" s="231"/>
      <c r="L188" s="231"/>
      <c r="M188" s="231"/>
      <c r="N188" s="231"/>
      <c r="O188" s="231"/>
      <c r="P188" s="231"/>
      <c r="Q188" s="231"/>
      <c r="R188" s="231"/>
      <c r="S188" s="231"/>
      <c r="T188" s="231"/>
      <c r="U188" s="231"/>
      <c r="V188" s="231"/>
      <c r="W188" s="231"/>
      <c r="X188" s="231"/>
      <c r="Y188" s="231"/>
      <c r="Z188" s="231"/>
      <c r="AA188" s="231"/>
      <c r="AB188" s="231"/>
      <c r="AC188" s="231"/>
      <c r="AD188" s="231"/>
      <c r="AE188" s="231"/>
      <c r="AF188" s="231"/>
      <c r="AG188" s="231"/>
      <c r="AH188" s="231"/>
      <c r="AI188" s="231"/>
      <c r="AJ188" s="231"/>
    </row>
    <row r="189" spans="1:36" s="203" customFormat="1">
      <c r="A189" s="120">
        <v>24</v>
      </c>
      <c r="B189" s="47" t="s">
        <v>159</v>
      </c>
      <c r="C189" s="47"/>
      <c r="D189" s="47"/>
      <c r="E189" s="49">
        <v>0</v>
      </c>
      <c r="F189" s="52">
        <v>0</v>
      </c>
      <c r="G189" s="118"/>
      <c r="H189" s="122">
        <v>0</v>
      </c>
      <c r="I189" s="29"/>
      <c r="J189" s="231"/>
      <c r="K189" s="231"/>
      <c r="L189" s="231"/>
      <c r="M189" s="231"/>
      <c r="N189" s="231"/>
      <c r="O189" s="231"/>
      <c r="P189" s="231"/>
      <c r="Q189" s="231"/>
      <c r="R189" s="231"/>
      <c r="S189" s="231"/>
      <c r="T189" s="231"/>
      <c r="U189" s="231"/>
      <c r="V189" s="231"/>
      <c r="W189" s="231"/>
      <c r="X189" s="231"/>
      <c r="Y189" s="231"/>
      <c r="Z189" s="231"/>
      <c r="AA189" s="231"/>
      <c r="AB189" s="231"/>
      <c r="AC189" s="231"/>
      <c r="AD189" s="231"/>
      <c r="AE189" s="231"/>
      <c r="AF189" s="231"/>
      <c r="AG189" s="231"/>
      <c r="AH189" s="231"/>
      <c r="AI189" s="231"/>
      <c r="AJ189" s="231"/>
    </row>
    <row r="190" spans="1:36" s="203" customFormat="1">
      <c r="A190" s="124">
        <v>25</v>
      </c>
      <c r="B190" s="54" t="s">
        <v>160</v>
      </c>
      <c r="C190" s="54"/>
      <c r="D190" s="54"/>
      <c r="E190" s="56">
        <v>0</v>
      </c>
      <c r="F190" s="126">
        <v>0</v>
      </c>
      <c r="G190" s="118"/>
      <c r="H190" s="100">
        <v>0</v>
      </c>
      <c r="I190" s="24"/>
      <c r="J190" s="231"/>
      <c r="K190" s="231"/>
      <c r="L190" s="231"/>
      <c r="M190" s="231"/>
      <c r="N190" s="231"/>
      <c r="O190" s="231"/>
      <c r="P190" s="231"/>
      <c r="Q190" s="231"/>
      <c r="R190" s="231"/>
      <c r="S190" s="231"/>
      <c r="T190" s="231"/>
      <c r="U190" s="231"/>
      <c r="V190" s="231"/>
      <c r="W190" s="231"/>
      <c r="X190" s="231"/>
      <c r="Y190" s="231"/>
      <c r="Z190" s="231"/>
      <c r="AA190" s="231"/>
      <c r="AB190" s="231"/>
      <c r="AC190" s="231"/>
      <c r="AD190" s="231"/>
      <c r="AE190" s="231"/>
      <c r="AF190" s="231"/>
      <c r="AG190" s="231"/>
      <c r="AH190" s="231"/>
      <c r="AI190" s="231"/>
      <c r="AJ190" s="231"/>
    </row>
    <row r="191" spans="1:36" s="203" customFormat="1">
      <c r="A191" s="161"/>
      <c r="B191" s="129"/>
      <c r="C191" s="129"/>
      <c r="D191" s="149"/>
      <c r="E191" s="162"/>
      <c r="F191" s="29"/>
      <c r="G191" s="118"/>
      <c r="H191" s="207"/>
      <c r="I191" s="29"/>
      <c r="J191" s="231"/>
      <c r="K191" s="231"/>
      <c r="L191" s="231"/>
      <c r="M191" s="231"/>
      <c r="N191" s="231"/>
      <c r="O191" s="231"/>
      <c r="P191" s="231"/>
      <c r="Q191" s="231"/>
      <c r="R191" s="231"/>
      <c r="S191" s="231"/>
      <c r="T191" s="231"/>
      <c r="U191" s="231"/>
      <c r="V191" s="231"/>
      <c r="W191" s="231"/>
      <c r="X191" s="231"/>
      <c r="Y191" s="231"/>
      <c r="Z191" s="231"/>
      <c r="AA191" s="231"/>
      <c r="AB191" s="231"/>
      <c r="AC191" s="231"/>
      <c r="AD191" s="231"/>
      <c r="AE191" s="231"/>
      <c r="AF191" s="231"/>
      <c r="AG191" s="231"/>
      <c r="AH191" s="231"/>
      <c r="AI191" s="231"/>
      <c r="AJ191" s="231"/>
    </row>
    <row r="192" spans="1:36" s="203" customFormat="1">
      <c r="A192" s="161"/>
      <c r="B192" s="129"/>
      <c r="C192" s="129"/>
      <c r="D192" s="151"/>
      <c r="E192" s="163"/>
      <c r="F192" s="29"/>
      <c r="G192" s="29"/>
      <c r="H192" s="131" t="s">
        <v>27</v>
      </c>
      <c r="I192" s="29"/>
      <c r="J192" s="231"/>
      <c r="K192" s="231"/>
      <c r="L192" s="231"/>
      <c r="M192" s="231"/>
      <c r="N192" s="231"/>
      <c r="O192" s="231"/>
      <c r="P192" s="231"/>
      <c r="Q192" s="231"/>
      <c r="R192" s="231"/>
      <c r="S192" s="231"/>
      <c r="T192" s="231"/>
      <c r="U192" s="231"/>
      <c r="V192" s="231"/>
      <c r="W192" s="231"/>
      <c r="X192" s="231"/>
      <c r="Y192" s="231"/>
      <c r="Z192" s="231"/>
      <c r="AA192" s="231"/>
      <c r="AB192" s="231"/>
      <c r="AC192" s="231"/>
      <c r="AD192" s="231"/>
      <c r="AE192" s="231"/>
      <c r="AF192" s="231"/>
      <c r="AG192" s="231"/>
      <c r="AH192" s="231"/>
      <c r="AI192" s="231"/>
      <c r="AJ192" s="231"/>
    </row>
    <row r="193" spans="1:36" s="203" customFormat="1" ht="12.75" customHeight="1">
      <c r="A193" s="106" t="s">
        <v>23</v>
      </c>
      <c r="B193" s="164"/>
      <c r="C193" s="164"/>
      <c r="D193" s="164"/>
      <c r="E193" s="856" t="s">
        <v>377</v>
      </c>
      <c r="F193" s="856" t="s">
        <v>402</v>
      </c>
      <c r="G193" s="130"/>
      <c r="H193" s="856" t="s">
        <v>403</v>
      </c>
      <c r="I193" s="130"/>
      <c r="J193" s="231"/>
      <c r="K193" s="231"/>
      <c r="L193" s="231"/>
      <c r="M193" s="231"/>
      <c r="N193" s="231"/>
      <c r="O193" s="231"/>
      <c r="P193" s="231"/>
      <c r="Q193" s="231"/>
      <c r="R193" s="231"/>
      <c r="S193" s="231"/>
      <c r="T193" s="231"/>
      <c r="U193" s="231"/>
      <c r="V193" s="231"/>
      <c r="W193" s="231"/>
      <c r="X193" s="231"/>
      <c r="Y193" s="231"/>
      <c r="Z193" s="231"/>
      <c r="AA193" s="231"/>
      <c r="AB193" s="231"/>
      <c r="AC193" s="231"/>
      <c r="AD193" s="231"/>
      <c r="AE193" s="231"/>
      <c r="AF193" s="231"/>
      <c r="AG193" s="231"/>
      <c r="AH193" s="231"/>
      <c r="AI193" s="231"/>
      <c r="AJ193" s="231"/>
    </row>
    <row r="194" spans="1:36" s="203" customFormat="1" ht="23.25" customHeight="1">
      <c r="A194" s="165"/>
      <c r="B194" s="132"/>
      <c r="C194" s="132"/>
      <c r="D194" s="132"/>
      <c r="E194" s="859"/>
      <c r="F194" s="859"/>
      <c r="G194" s="130"/>
      <c r="H194" s="859"/>
      <c r="I194" s="130"/>
      <c r="J194" s="231"/>
      <c r="K194" s="231"/>
      <c r="L194" s="231"/>
      <c r="M194" s="231"/>
      <c r="N194" s="231"/>
      <c r="O194" s="231"/>
      <c r="P194" s="231"/>
      <c r="Q194" s="231"/>
      <c r="R194" s="231"/>
      <c r="S194" s="231"/>
      <c r="T194" s="231"/>
      <c r="U194" s="231"/>
      <c r="V194" s="231"/>
      <c r="W194" s="231"/>
      <c r="X194" s="231"/>
      <c r="Y194" s="231"/>
      <c r="Z194" s="231"/>
      <c r="AA194" s="231"/>
      <c r="AB194" s="231"/>
      <c r="AC194" s="231"/>
      <c r="AD194" s="231"/>
      <c r="AE194" s="231"/>
      <c r="AF194" s="231"/>
      <c r="AG194" s="231"/>
      <c r="AH194" s="231"/>
      <c r="AI194" s="231"/>
      <c r="AJ194" s="231"/>
    </row>
    <row r="195" spans="1:36" s="203" customFormat="1">
      <c r="A195" s="154" t="s">
        <v>161</v>
      </c>
      <c r="B195" s="116"/>
      <c r="C195" s="116"/>
      <c r="D195" s="116"/>
      <c r="E195" s="859"/>
      <c r="F195" s="859"/>
      <c r="G195" s="130"/>
      <c r="H195" s="859"/>
      <c r="I195" s="130"/>
      <c r="J195" s="231"/>
      <c r="K195" s="231"/>
      <c r="L195" s="231"/>
      <c r="M195" s="231"/>
      <c r="N195" s="231"/>
      <c r="O195" s="231"/>
      <c r="P195" s="231"/>
      <c r="Q195" s="231"/>
      <c r="R195" s="231"/>
      <c r="S195" s="231"/>
      <c r="T195" s="231"/>
      <c r="U195" s="231"/>
      <c r="V195" s="231"/>
      <c r="W195" s="231"/>
      <c r="X195" s="231"/>
      <c r="Y195" s="231"/>
      <c r="Z195" s="231"/>
      <c r="AA195" s="231"/>
      <c r="AB195" s="231"/>
      <c r="AC195" s="231"/>
      <c r="AD195" s="231"/>
      <c r="AE195" s="231"/>
      <c r="AF195" s="231"/>
      <c r="AG195" s="231"/>
      <c r="AH195" s="231"/>
      <c r="AI195" s="231"/>
      <c r="AJ195" s="231"/>
    </row>
    <row r="196" spans="1:36" s="203" customFormat="1">
      <c r="A196" s="109" t="s">
        <v>83</v>
      </c>
      <c r="B196" s="47"/>
      <c r="C196" s="47"/>
      <c r="D196" s="47"/>
      <c r="E196" s="859"/>
      <c r="F196" s="859"/>
      <c r="G196" s="130"/>
      <c r="H196" s="859"/>
      <c r="I196" s="130"/>
      <c r="J196" s="231"/>
      <c r="K196" s="231"/>
      <c r="L196" s="231"/>
      <c r="M196" s="231"/>
      <c r="N196" s="231"/>
      <c r="O196" s="231"/>
      <c r="P196" s="231"/>
      <c r="Q196" s="231"/>
      <c r="R196" s="231"/>
      <c r="S196" s="231"/>
      <c r="T196" s="231"/>
      <c r="U196" s="231"/>
      <c r="V196" s="231"/>
      <c r="W196" s="231"/>
      <c r="X196" s="231"/>
      <c r="Y196" s="231"/>
      <c r="Z196" s="231"/>
      <c r="AA196" s="231"/>
      <c r="AB196" s="231"/>
      <c r="AC196" s="231"/>
      <c r="AD196" s="231"/>
      <c r="AE196" s="231"/>
      <c r="AF196" s="231"/>
      <c r="AG196" s="231"/>
      <c r="AH196" s="231"/>
      <c r="AI196" s="231"/>
      <c r="AJ196" s="231"/>
    </row>
    <row r="197" spans="1:36" s="203" customFormat="1">
      <c r="A197" s="110" t="s">
        <v>84</v>
      </c>
      <c r="B197" s="132"/>
      <c r="C197" s="132"/>
      <c r="D197" s="132"/>
      <c r="E197" s="860"/>
      <c r="F197" s="860"/>
      <c r="G197" s="130"/>
      <c r="H197" s="860"/>
      <c r="I197" s="130"/>
      <c r="J197" s="231"/>
      <c r="K197" s="231"/>
      <c r="L197" s="231"/>
      <c r="M197" s="231"/>
      <c r="N197" s="231"/>
      <c r="O197" s="231"/>
      <c r="P197" s="231"/>
      <c r="Q197" s="231"/>
      <c r="R197" s="231"/>
      <c r="S197" s="231"/>
      <c r="T197" s="231"/>
      <c r="U197" s="231"/>
      <c r="V197" s="231"/>
      <c r="W197" s="231"/>
      <c r="X197" s="231"/>
      <c r="Y197" s="231"/>
      <c r="Z197" s="231"/>
      <c r="AA197" s="231"/>
      <c r="AB197" s="231"/>
      <c r="AC197" s="231"/>
      <c r="AD197" s="231"/>
      <c r="AE197" s="231"/>
      <c r="AF197" s="231"/>
      <c r="AG197" s="231"/>
      <c r="AH197" s="231"/>
      <c r="AI197" s="231"/>
      <c r="AJ197" s="231"/>
    </row>
    <row r="198" spans="1:36" s="203" customFormat="1">
      <c r="A198" s="153" t="s">
        <v>162</v>
      </c>
      <c r="B198" s="166"/>
      <c r="C198" s="166"/>
      <c r="D198" s="166"/>
      <c r="E198" s="167"/>
      <c r="F198" s="146"/>
      <c r="G198" s="118"/>
      <c r="H198" s="146"/>
      <c r="I198" s="29"/>
      <c r="J198" s="231"/>
      <c r="K198" s="231"/>
      <c r="L198" s="231"/>
      <c r="M198" s="231"/>
      <c r="N198" s="231"/>
      <c r="O198" s="231"/>
      <c r="P198" s="231"/>
      <c r="Q198" s="231"/>
      <c r="R198" s="231"/>
      <c r="S198" s="231"/>
      <c r="T198" s="231"/>
      <c r="U198" s="231"/>
      <c r="V198" s="231"/>
      <c r="W198" s="231"/>
      <c r="X198" s="231"/>
      <c r="Y198" s="231"/>
      <c r="Z198" s="231"/>
      <c r="AA198" s="231"/>
      <c r="AB198" s="231"/>
      <c r="AC198" s="231"/>
      <c r="AD198" s="231"/>
      <c r="AE198" s="231"/>
      <c r="AF198" s="231"/>
      <c r="AG198" s="231"/>
      <c r="AH198" s="231"/>
      <c r="AI198" s="231"/>
      <c r="AJ198" s="231"/>
    </row>
    <row r="199" spans="1:36" s="203" customFormat="1">
      <c r="A199" s="120">
        <v>1</v>
      </c>
      <c r="B199" s="47" t="s">
        <v>163</v>
      </c>
      <c r="C199" s="47"/>
      <c r="D199" s="47"/>
      <c r="E199" s="74">
        <v>572</v>
      </c>
      <c r="F199" s="52">
        <v>741</v>
      </c>
      <c r="G199" s="118"/>
      <c r="H199" s="122">
        <v>690</v>
      </c>
      <c r="I199" s="29"/>
      <c r="J199" s="231"/>
      <c r="K199" s="231"/>
      <c r="L199" s="231"/>
      <c r="M199" s="231"/>
      <c r="N199" s="231"/>
      <c r="O199" s="231"/>
      <c r="P199" s="231"/>
      <c r="Q199" s="231"/>
      <c r="R199" s="231"/>
      <c r="S199" s="231"/>
      <c r="T199" s="231"/>
      <c r="U199" s="231"/>
      <c r="V199" s="231"/>
      <c r="W199" s="231"/>
      <c r="X199" s="231"/>
      <c r="Y199" s="231"/>
      <c r="Z199" s="231"/>
      <c r="AA199" s="231"/>
      <c r="AB199" s="231"/>
      <c r="AC199" s="231"/>
      <c r="AD199" s="231"/>
      <c r="AE199" s="231"/>
      <c r="AF199" s="231"/>
      <c r="AG199" s="231"/>
      <c r="AH199" s="231"/>
      <c r="AI199" s="231"/>
      <c r="AJ199" s="231"/>
    </row>
    <row r="200" spans="1:36" s="203" customFormat="1">
      <c r="A200" s="120">
        <v>2</v>
      </c>
      <c r="B200" s="47" t="s">
        <v>164</v>
      </c>
      <c r="C200" s="47"/>
      <c r="D200" s="47"/>
      <c r="E200" s="56">
        <v>333</v>
      </c>
      <c r="F200" s="52">
        <v>234</v>
      </c>
      <c r="G200" s="118"/>
      <c r="H200" s="100">
        <v>287</v>
      </c>
      <c r="I200" s="29"/>
      <c r="J200" s="231"/>
      <c r="K200" s="231"/>
      <c r="L200" s="231"/>
      <c r="M200" s="231"/>
      <c r="N200" s="231"/>
      <c r="O200" s="231"/>
      <c r="P200" s="231"/>
      <c r="Q200" s="231"/>
      <c r="R200" s="231"/>
      <c r="S200" s="231"/>
      <c r="T200" s="231"/>
      <c r="U200" s="231"/>
      <c r="V200" s="231"/>
      <c r="W200" s="231"/>
      <c r="X200" s="231"/>
      <c r="Y200" s="231"/>
      <c r="Z200" s="231"/>
      <c r="AA200" s="231"/>
      <c r="AB200" s="231"/>
      <c r="AC200" s="231"/>
      <c r="AD200" s="231"/>
      <c r="AE200" s="231"/>
      <c r="AF200" s="231"/>
      <c r="AG200" s="231"/>
      <c r="AH200" s="231"/>
      <c r="AI200" s="231"/>
      <c r="AJ200" s="231"/>
    </row>
    <row r="201" spans="1:36" s="203" customFormat="1">
      <c r="A201" s="120">
        <v>3</v>
      </c>
      <c r="B201" s="116" t="s">
        <v>165</v>
      </c>
      <c r="C201" s="116"/>
      <c r="D201" s="116"/>
      <c r="E201" s="80">
        <v>905</v>
      </c>
      <c r="F201" s="142">
        <f>SUM(F199:F200)</f>
        <v>975</v>
      </c>
      <c r="G201" s="118"/>
      <c r="H201" s="142">
        <f>SUM(H199:H200)</f>
        <v>977</v>
      </c>
      <c r="I201" s="29"/>
      <c r="J201" s="231"/>
      <c r="K201" s="231"/>
      <c r="L201" s="231"/>
      <c r="M201" s="231"/>
      <c r="N201" s="231"/>
      <c r="O201" s="231"/>
      <c r="P201" s="231"/>
      <c r="Q201" s="231"/>
      <c r="R201" s="231"/>
      <c r="S201" s="231"/>
      <c r="T201" s="231"/>
      <c r="U201" s="231"/>
      <c r="V201" s="231"/>
      <c r="W201" s="231"/>
      <c r="X201" s="231"/>
      <c r="Y201" s="231"/>
      <c r="Z201" s="231"/>
      <c r="AA201" s="231"/>
      <c r="AB201" s="231"/>
      <c r="AC201" s="231"/>
      <c r="AD201" s="231"/>
      <c r="AE201" s="231"/>
      <c r="AF201" s="231"/>
      <c r="AG201" s="231"/>
      <c r="AH201" s="231"/>
      <c r="AI201" s="231"/>
      <c r="AJ201" s="231"/>
    </row>
    <row r="202" spans="1:36" s="203" customFormat="1">
      <c r="A202" s="46"/>
      <c r="B202" s="132"/>
      <c r="C202" s="132"/>
      <c r="D202" s="132"/>
      <c r="E202" s="156"/>
      <c r="F202" s="139"/>
      <c r="G202" s="139"/>
      <c r="H202" s="139"/>
      <c r="I202" s="29"/>
      <c r="J202" s="231"/>
      <c r="K202" s="231"/>
      <c r="L202" s="231"/>
      <c r="M202" s="231"/>
      <c r="N202" s="231"/>
      <c r="O202" s="231"/>
      <c r="P202" s="231"/>
      <c r="Q202" s="231"/>
      <c r="R202" s="231"/>
      <c r="S202" s="231"/>
      <c r="T202" s="231"/>
      <c r="U202" s="231"/>
      <c r="V202" s="231"/>
      <c r="W202" s="231"/>
      <c r="X202" s="231"/>
      <c r="Y202" s="231"/>
      <c r="Z202" s="231"/>
      <c r="AA202" s="231"/>
      <c r="AB202" s="231"/>
      <c r="AC202" s="231"/>
      <c r="AD202" s="231"/>
      <c r="AE202" s="231"/>
      <c r="AF202" s="231"/>
      <c r="AG202" s="231"/>
      <c r="AH202" s="231"/>
      <c r="AI202" s="231"/>
      <c r="AJ202" s="231"/>
    </row>
    <row r="203" spans="1:36" s="203" customFormat="1">
      <c r="A203" s="153" t="s">
        <v>166</v>
      </c>
      <c r="B203" s="116"/>
      <c r="C203" s="116"/>
      <c r="D203" s="116"/>
      <c r="E203" s="140"/>
      <c r="F203" s="146"/>
      <c r="G203" s="118"/>
      <c r="H203" s="146"/>
      <c r="I203" s="29"/>
      <c r="J203" s="231"/>
      <c r="K203" s="231"/>
      <c r="L203" s="231"/>
      <c r="M203" s="231"/>
      <c r="N203" s="231"/>
      <c r="O203" s="231"/>
      <c r="P203" s="231"/>
      <c r="Q203" s="231"/>
      <c r="R203" s="231"/>
      <c r="S203" s="231"/>
      <c r="T203" s="231"/>
      <c r="U203" s="231"/>
      <c r="V203" s="231"/>
      <c r="W203" s="231"/>
      <c r="X203" s="231"/>
      <c r="Y203" s="231"/>
      <c r="Z203" s="231"/>
      <c r="AA203" s="231"/>
      <c r="AB203" s="231"/>
      <c r="AC203" s="231"/>
      <c r="AD203" s="231"/>
      <c r="AE203" s="231"/>
      <c r="AF203" s="231"/>
      <c r="AG203" s="231"/>
      <c r="AH203" s="231"/>
      <c r="AI203" s="231"/>
      <c r="AJ203" s="231"/>
    </row>
    <row r="204" spans="1:36" s="203" customFormat="1">
      <c r="A204" s="120">
        <v>4</v>
      </c>
      <c r="B204" s="47" t="s">
        <v>167</v>
      </c>
      <c r="C204" s="47"/>
      <c r="D204" s="47"/>
      <c r="E204" s="74">
        <v>4638</v>
      </c>
      <c r="F204" s="52">
        <v>5774</v>
      </c>
      <c r="G204" s="118"/>
      <c r="H204" s="122">
        <v>5555</v>
      </c>
      <c r="I204" s="29"/>
      <c r="J204" s="231"/>
      <c r="K204" s="231"/>
      <c r="L204" s="231"/>
      <c r="M204" s="231"/>
      <c r="N204" s="231"/>
      <c r="O204" s="231"/>
      <c r="P204" s="231"/>
      <c r="Q204" s="231"/>
      <c r="R204" s="231"/>
      <c r="S204" s="231"/>
      <c r="T204" s="231"/>
      <c r="U204" s="231"/>
      <c r="V204" s="231"/>
      <c r="W204" s="231"/>
      <c r="X204" s="231"/>
      <c r="Y204" s="231"/>
      <c r="Z204" s="231"/>
      <c r="AA204" s="231"/>
      <c r="AB204" s="231"/>
      <c r="AC204" s="231"/>
      <c r="AD204" s="231"/>
      <c r="AE204" s="231"/>
      <c r="AF204" s="231"/>
      <c r="AG204" s="231"/>
      <c r="AH204" s="231"/>
      <c r="AI204" s="231"/>
      <c r="AJ204" s="231"/>
    </row>
    <row r="205" spans="1:36" s="203" customFormat="1">
      <c r="A205" s="120">
        <v>5</v>
      </c>
      <c r="B205" s="47" t="s">
        <v>168</v>
      </c>
      <c r="C205" s="47"/>
      <c r="D205" s="47"/>
      <c r="E205" s="49">
        <v>4168</v>
      </c>
      <c r="F205" s="52">
        <v>3806</v>
      </c>
      <c r="G205" s="118"/>
      <c r="H205" s="122">
        <v>3891</v>
      </c>
      <c r="I205" s="29"/>
      <c r="J205" s="231"/>
      <c r="K205" s="231"/>
      <c r="L205" s="231"/>
      <c r="M205" s="231"/>
      <c r="N205" s="231"/>
      <c r="O205" s="231"/>
      <c r="P205" s="231"/>
      <c r="Q205" s="231"/>
      <c r="R205" s="231"/>
      <c r="S205" s="231"/>
      <c r="T205" s="231"/>
      <c r="U205" s="231"/>
      <c r="V205" s="231"/>
      <c r="W205" s="231"/>
      <c r="X205" s="231"/>
      <c r="Y205" s="231"/>
      <c r="Z205" s="231"/>
      <c r="AA205" s="231"/>
      <c r="AB205" s="231"/>
      <c r="AC205" s="231"/>
      <c r="AD205" s="231"/>
      <c r="AE205" s="231"/>
      <c r="AF205" s="231"/>
      <c r="AG205" s="231"/>
      <c r="AH205" s="231"/>
      <c r="AI205" s="231"/>
      <c r="AJ205" s="231"/>
    </row>
    <row r="206" spans="1:36" s="203" customFormat="1">
      <c r="A206" s="120">
        <v>6</v>
      </c>
      <c r="B206" s="47" t="s">
        <v>169</v>
      </c>
      <c r="C206" s="47"/>
      <c r="D206" s="47"/>
      <c r="E206" s="49">
        <v>2186</v>
      </c>
      <c r="F206" s="52">
        <v>2344</v>
      </c>
      <c r="G206" s="118"/>
      <c r="H206" s="100">
        <v>2292</v>
      </c>
      <c r="I206" s="29"/>
      <c r="J206" s="231"/>
      <c r="K206" s="231"/>
      <c r="L206" s="231"/>
      <c r="M206" s="231"/>
      <c r="N206" s="231"/>
      <c r="O206" s="231"/>
      <c r="P206" s="231"/>
      <c r="Q206" s="231"/>
      <c r="R206" s="231"/>
      <c r="S206" s="231"/>
      <c r="T206" s="231"/>
      <c r="U206" s="231"/>
      <c r="V206" s="231"/>
      <c r="W206" s="231"/>
      <c r="X206" s="231"/>
      <c r="Y206" s="231"/>
      <c r="Z206" s="231"/>
      <c r="AA206" s="231"/>
      <c r="AB206" s="231"/>
      <c r="AC206" s="231"/>
      <c r="AD206" s="231"/>
      <c r="AE206" s="231"/>
      <c r="AF206" s="231"/>
      <c r="AG206" s="231"/>
      <c r="AH206" s="231"/>
      <c r="AI206" s="231"/>
      <c r="AJ206" s="231"/>
    </row>
    <row r="207" spans="1:36" s="203" customFormat="1">
      <c r="A207" s="120">
        <v>7</v>
      </c>
      <c r="B207" s="116" t="s">
        <v>170</v>
      </c>
      <c r="C207" s="116"/>
      <c r="D207" s="116"/>
      <c r="E207" s="80">
        <v>10992</v>
      </c>
      <c r="F207" s="142">
        <f>SUM(F204:F206)</f>
        <v>11924</v>
      </c>
      <c r="G207" s="118"/>
      <c r="H207" s="142">
        <f>SUM(H204:H206)</f>
        <v>11738</v>
      </c>
      <c r="I207" s="29"/>
      <c r="J207" s="231"/>
      <c r="K207" s="231"/>
      <c r="L207" s="231"/>
      <c r="M207" s="231"/>
      <c r="N207" s="231"/>
      <c r="O207" s="231"/>
      <c r="P207" s="231"/>
      <c r="Q207" s="231"/>
      <c r="R207" s="231"/>
      <c r="S207" s="231"/>
      <c r="T207" s="231"/>
      <c r="U207" s="231"/>
      <c r="V207" s="231"/>
      <c r="W207" s="231"/>
      <c r="X207" s="231"/>
      <c r="Y207" s="231"/>
      <c r="Z207" s="231"/>
      <c r="AA207" s="231"/>
      <c r="AB207" s="231"/>
      <c r="AC207" s="231"/>
      <c r="AD207" s="231"/>
      <c r="AE207" s="231"/>
      <c r="AF207" s="231"/>
      <c r="AG207" s="231"/>
      <c r="AH207" s="231"/>
      <c r="AI207" s="231"/>
      <c r="AJ207" s="231"/>
    </row>
    <row r="208" spans="1:36" s="203" customFormat="1">
      <c r="A208" s="46"/>
      <c r="B208" s="132"/>
      <c r="C208" s="132"/>
      <c r="D208" s="132"/>
      <c r="E208" s="156"/>
      <c r="F208" s="139"/>
      <c r="G208" s="139"/>
      <c r="H208" s="139"/>
      <c r="I208" s="29"/>
      <c r="J208" s="231"/>
      <c r="K208" s="231"/>
      <c r="L208" s="231"/>
      <c r="M208" s="231"/>
      <c r="N208" s="231"/>
      <c r="O208" s="231"/>
      <c r="P208" s="231"/>
      <c r="Q208" s="231"/>
      <c r="R208" s="231"/>
      <c r="S208" s="231"/>
      <c r="T208" s="231"/>
      <c r="U208" s="231"/>
      <c r="V208" s="231"/>
      <c r="W208" s="231"/>
      <c r="X208" s="231"/>
      <c r="Y208" s="231"/>
      <c r="Z208" s="231"/>
      <c r="AA208" s="231"/>
      <c r="AB208" s="231"/>
      <c r="AC208" s="231"/>
      <c r="AD208" s="231"/>
      <c r="AE208" s="231"/>
      <c r="AF208" s="231"/>
      <c r="AG208" s="231"/>
      <c r="AH208" s="231"/>
      <c r="AI208" s="231"/>
      <c r="AJ208" s="231"/>
    </row>
    <row r="209" spans="1:36" s="203" customFormat="1">
      <c r="A209" s="153" t="s">
        <v>121</v>
      </c>
      <c r="B209" s="168"/>
      <c r="C209" s="168"/>
      <c r="D209" s="168"/>
      <c r="E209" s="140"/>
      <c r="F209" s="146"/>
      <c r="G209" s="118"/>
      <c r="H209" s="146"/>
      <c r="I209" s="29"/>
      <c r="J209" s="231"/>
      <c r="K209" s="231"/>
      <c r="L209" s="231"/>
      <c r="M209" s="231"/>
      <c r="N209" s="231"/>
      <c r="O209" s="231"/>
      <c r="P209" s="231"/>
      <c r="Q209" s="231"/>
      <c r="R209" s="231"/>
      <c r="S209" s="231"/>
      <c r="T209" s="231"/>
      <c r="U209" s="231"/>
      <c r="V209" s="231"/>
      <c r="W209" s="231"/>
      <c r="X209" s="231"/>
      <c r="Y209" s="231"/>
      <c r="Z209" s="231"/>
      <c r="AA209" s="231"/>
      <c r="AB209" s="231"/>
      <c r="AC209" s="231"/>
      <c r="AD209" s="231"/>
      <c r="AE209" s="231"/>
      <c r="AF209" s="231"/>
      <c r="AG209" s="231"/>
      <c r="AH209" s="231"/>
      <c r="AI209" s="231"/>
      <c r="AJ209" s="231"/>
    </row>
    <row r="210" spans="1:36" s="203" customFormat="1">
      <c r="A210" s="120">
        <v>8</v>
      </c>
      <c r="B210" s="47" t="s">
        <v>171</v>
      </c>
      <c r="C210" s="47"/>
      <c r="D210" s="47"/>
      <c r="E210" s="74">
        <v>107</v>
      </c>
      <c r="F210" s="52">
        <v>84</v>
      </c>
      <c r="G210" s="118"/>
      <c r="H210" s="122">
        <v>29</v>
      </c>
      <c r="I210" s="29"/>
      <c r="J210" s="231"/>
      <c r="K210" s="231"/>
      <c r="L210" s="231"/>
      <c r="M210" s="231"/>
      <c r="N210" s="231"/>
      <c r="O210" s="231"/>
      <c r="P210" s="231"/>
      <c r="Q210" s="231"/>
      <c r="R210" s="231"/>
      <c r="S210" s="231"/>
      <c r="T210" s="231"/>
      <c r="U210" s="231"/>
      <c r="V210" s="231"/>
      <c r="W210" s="231"/>
      <c r="X210" s="231"/>
      <c r="Y210" s="231"/>
      <c r="Z210" s="231"/>
      <c r="AA210" s="231"/>
      <c r="AB210" s="231"/>
      <c r="AC210" s="231"/>
      <c r="AD210" s="231"/>
      <c r="AE210" s="231"/>
      <c r="AF210" s="231"/>
      <c r="AG210" s="231"/>
      <c r="AH210" s="231"/>
      <c r="AI210" s="231"/>
      <c r="AJ210" s="231"/>
    </row>
    <row r="211" spans="1:36" s="203" customFormat="1">
      <c r="A211" s="120">
        <v>9</v>
      </c>
      <c r="B211" s="47" t="s">
        <v>172</v>
      </c>
      <c r="C211" s="47"/>
      <c r="D211" s="47"/>
      <c r="E211" s="49">
        <v>0</v>
      </c>
      <c r="F211" s="52">
        <v>0</v>
      </c>
      <c r="G211" s="118"/>
      <c r="H211" s="122">
        <v>0</v>
      </c>
      <c r="I211" s="29"/>
      <c r="J211" s="231"/>
      <c r="K211" s="231"/>
      <c r="L211" s="231"/>
      <c r="M211" s="231"/>
      <c r="N211" s="231"/>
      <c r="O211" s="231"/>
      <c r="P211" s="231"/>
      <c r="Q211" s="231"/>
      <c r="R211" s="231"/>
      <c r="S211" s="231"/>
      <c r="T211" s="231"/>
      <c r="U211" s="231"/>
      <c r="V211" s="231"/>
      <c r="W211" s="231"/>
      <c r="X211" s="231"/>
      <c r="Y211" s="231"/>
      <c r="Z211" s="231"/>
      <c r="AA211" s="231"/>
      <c r="AB211" s="231"/>
      <c r="AC211" s="231"/>
      <c r="AD211" s="231"/>
      <c r="AE211" s="231"/>
      <c r="AF211" s="231"/>
      <c r="AG211" s="231"/>
      <c r="AH211" s="231"/>
      <c r="AI211" s="231"/>
      <c r="AJ211" s="231"/>
    </row>
    <row r="212" spans="1:36" s="203" customFormat="1">
      <c r="A212" s="120">
        <v>10</v>
      </c>
      <c r="B212" s="47" t="s">
        <v>173</v>
      </c>
      <c r="C212" s="47"/>
      <c r="D212" s="47"/>
      <c r="E212" s="49">
        <v>412</v>
      </c>
      <c r="F212" s="52">
        <v>381</v>
      </c>
      <c r="G212" s="118"/>
      <c r="H212" s="122">
        <v>401</v>
      </c>
      <c r="I212" s="29"/>
      <c r="J212" s="231"/>
      <c r="K212" s="231"/>
      <c r="L212" s="231"/>
      <c r="M212" s="231"/>
      <c r="N212" s="231"/>
      <c r="O212" s="231"/>
      <c r="P212" s="231"/>
      <c r="Q212" s="231"/>
      <c r="R212" s="231"/>
      <c r="S212" s="231"/>
      <c r="T212" s="231"/>
      <c r="U212" s="231"/>
      <c r="V212" s="231"/>
      <c r="W212" s="231"/>
      <c r="X212" s="231"/>
      <c r="Y212" s="231"/>
      <c r="Z212" s="231"/>
      <c r="AA212" s="231"/>
      <c r="AB212" s="231"/>
      <c r="AC212" s="231"/>
      <c r="AD212" s="231"/>
      <c r="AE212" s="231"/>
      <c r="AF212" s="231"/>
      <c r="AG212" s="231"/>
      <c r="AH212" s="231"/>
      <c r="AI212" s="231"/>
      <c r="AJ212" s="231"/>
    </row>
    <row r="213" spans="1:36" s="203" customFormat="1">
      <c r="A213" s="120">
        <v>11</v>
      </c>
      <c r="B213" s="47" t="s">
        <v>174</v>
      </c>
      <c r="C213" s="47"/>
      <c r="D213" s="47"/>
      <c r="E213" s="49">
        <v>2428</v>
      </c>
      <c r="F213" s="52">
        <v>2014</v>
      </c>
      <c r="G213" s="118"/>
      <c r="H213" s="99">
        <v>2137</v>
      </c>
      <c r="I213" s="29"/>
      <c r="J213" s="231"/>
      <c r="K213" s="231"/>
      <c r="L213" s="231"/>
      <c r="M213" s="231"/>
      <c r="N213" s="231"/>
      <c r="O213" s="231"/>
      <c r="P213" s="231"/>
      <c r="Q213" s="231"/>
      <c r="R213" s="231"/>
      <c r="S213" s="231"/>
      <c r="T213" s="231"/>
      <c r="U213" s="231"/>
      <c r="V213" s="231"/>
      <c r="W213" s="231"/>
      <c r="X213" s="231"/>
      <c r="Y213" s="231"/>
      <c r="Z213" s="231"/>
      <c r="AA213" s="231"/>
      <c r="AB213" s="231"/>
      <c r="AC213" s="231"/>
      <c r="AD213" s="231"/>
      <c r="AE213" s="231"/>
      <c r="AF213" s="231"/>
      <c r="AG213" s="231"/>
      <c r="AH213" s="231"/>
      <c r="AI213" s="231"/>
      <c r="AJ213" s="231"/>
    </row>
    <row r="214" spans="1:36" s="203" customFormat="1">
      <c r="A214" s="120">
        <v>12</v>
      </c>
      <c r="B214" s="116" t="s">
        <v>175</v>
      </c>
      <c r="C214" s="116"/>
      <c r="D214" s="116"/>
      <c r="E214" s="159">
        <v>14844</v>
      </c>
      <c r="F214" s="61">
        <f>F201+F207+SUM(F210:F213)</f>
        <v>15378</v>
      </c>
      <c r="G214" s="118"/>
      <c r="H214" s="61">
        <f>H201+H207+SUM(H210:H213)</f>
        <v>15282</v>
      </c>
      <c r="I214" s="29"/>
      <c r="J214" s="231"/>
      <c r="K214" s="231"/>
      <c r="L214" s="231"/>
      <c r="M214" s="231"/>
      <c r="N214" s="231"/>
      <c r="O214" s="231"/>
      <c r="P214" s="231"/>
      <c r="Q214" s="231"/>
      <c r="R214" s="231"/>
      <c r="S214" s="231"/>
      <c r="T214" s="231"/>
      <c r="U214" s="231"/>
      <c r="V214" s="231"/>
      <c r="W214" s="231"/>
      <c r="X214" s="231"/>
      <c r="Y214" s="231"/>
      <c r="Z214" s="231"/>
      <c r="AA214" s="231"/>
      <c r="AB214" s="231"/>
      <c r="AC214" s="231"/>
      <c r="AD214" s="231"/>
      <c r="AE214" s="231"/>
      <c r="AF214" s="231"/>
      <c r="AG214" s="231"/>
      <c r="AH214" s="231"/>
      <c r="AI214" s="231"/>
      <c r="AJ214" s="231"/>
    </row>
    <row r="215" spans="1:36" s="203" customFormat="1">
      <c r="A215" s="111"/>
      <c r="B215" s="47"/>
      <c r="C215" s="47"/>
      <c r="D215" s="47"/>
      <c r="E215" s="117"/>
      <c r="F215" s="118"/>
      <c r="G215" s="118"/>
      <c r="H215" s="118"/>
      <c r="I215" s="29"/>
      <c r="J215" s="231"/>
      <c r="K215" s="231"/>
      <c r="L215" s="231"/>
      <c r="M215" s="231"/>
      <c r="N215" s="231"/>
      <c r="O215" s="231"/>
      <c r="P215" s="231"/>
      <c r="Q215" s="231"/>
      <c r="R215" s="231"/>
      <c r="S215" s="231"/>
      <c r="T215" s="231"/>
      <c r="U215" s="231"/>
      <c r="V215" s="231"/>
      <c r="W215" s="231"/>
      <c r="X215" s="231"/>
      <c r="Y215" s="231"/>
      <c r="Z215" s="231"/>
      <c r="AA215" s="231"/>
      <c r="AB215" s="231"/>
      <c r="AC215" s="231"/>
      <c r="AD215" s="231"/>
      <c r="AE215" s="231"/>
      <c r="AF215" s="231"/>
      <c r="AG215" s="231"/>
      <c r="AH215" s="231"/>
      <c r="AI215" s="231"/>
      <c r="AJ215" s="231"/>
    </row>
    <row r="216" spans="1:36" s="203" customFormat="1">
      <c r="A216" s="119" t="s">
        <v>176</v>
      </c>
      <c r="B216" s="116"/>
      <c r="C216" s="116"/>
      <c r="D216" s="116"/>
      <c r="E216" s="117"/>
      <c r="F216" s="160"/>
      <c r="G216" s="118"/>
      <c r="H216" s="160"/>
      <c r="I216" s="29"/>
      <c r="J216" s="231"/>
      <c r="K216" s="231"/>
      <c r="L216" s="231"/>
      <c r="M216" s="231"/>
      <c r="N216" s="231"/>
      <c r="O216" s="231"/>
      <c r="P216" s="231"/>
      <c r="Q216" s="231"/>
      <c r="R216" s="231"/>
      <c r="S216" s="231"/>
      <c r="T216" s="231"/>
      <c r="U216" s="231"/>
      <c r="V216" s="231"/>
      <c r="W216" s="231"/>
      <c r="X216" s="231"/>
      <c r="Y216" s="231"/>
      <c r="Z216" s="231"/>
      <c r="AA216" s="231"/>
      <c r="AB216" s="231"/>
      <c r="AC216" s="231"/>
      <c r="AD216" s="231"/>
      <c r="AE216" s="231"/>
      <c r="AF216" s="231"/>
      <c r="AG216" s="231"/>
      <c r="AH216" s="231"/>
      <c r="AI216" s="231"/>
      <c r="AJ216" s="231"/>
    </row>
    <row r="217" spans="1:36" s="203" customFormat="1">
      <c r="A217" s="120">
        <v>13</v>
      </c>
      <c r="B217" s="47" t="s">
        <v>177</v>
      </c>
      <c r="C217" s="47"/>
      <c r="D217" s="47"/>
      <c r="E217" s="41">
        <v>13</v>
      </c>
      <c r="F217" s="121">
        <v>129</v>
      </c>
      <c r="G217" s="118"/>
      <c r="H217" s="169">
        <v>129</v>
      </c>
      <c r="I217" s="29"/>
      <c r="J217" s="231"/>
      <c r="K217" s="231"/>
      <c r="L217" s="231"/>
      <c r="M217" s="231"/>
      <c r="N217" s="231"/>
      <c r="O217" s="231"/>
      <c r="P217" s="231"/>
      <c r="Q217" s="231"/>
      <c r="R217" s="231"/>
      <c r="S217" s="231"/>
      <c r="T217" s="231"/>
      <c r="U217" s="231"/>
      <c r="V217" s="231"/>
      <c r="W217" s="231"/>
      <c r="X217" s="231"/>
      <c r="Y217" s="231"/>
      <c r="Z217" s="231"/>
      <c r="AA217" s="231"/>
      <c r="AB217" s="231"/>
      <c r="AC217" s="231"/>
      <c r="AD217" s="231"/>
      <c r="AE217" s="231"/>
      <c r="AF217" s="231"/>
      <c r="AG217" s="231"/>
      <c r="AH217" s="231"/>
      <c r="AI217" s="231"/>
      <c r="AJ217" s="231"/>
    </row>
    <row r="218" spans="1:36" s="203" customFormat="1">
      <c r="A218" s="124">
        <v>14</v>
      </c>
      <c r="B218" s="54" t="s">
        <v>178</v>
      </c>
      <c r="C218" s="54"/>
      <c r="D218" s="54"/>
      <c r="E218" s="56">
        <v>1825</v>
      </c>
      <c r="F218" s="126">
        <v>1876</v>
      </c>
      <c r="G218" s="118"/>
      <c r="H218" s="100">
        <v>1888</v>
      </c>
      <c r="I218" s="29"/>
      <c r="J218" s="231"/>
      <c r="K218" s="231"/>
      <c r="L218" s="231"/>
      <c r="M218" s="231"/>
      <c r="N218" s="231"/>
      <c r="O218" s="231"/>
      <c r="P218" s="231"/>
      <c r="Q218" s="231"/>
      <c r="R218" s="231"/>
      <c r="S218" s="231"/>
      <c r="T218" s="231"/>
      <c r="U218" s="231"/>
      <c r="V218" s="231"/>
      <c r="W218" s="231"/>
      <c r="X218" s="231"/>
      <c r="Y218" s="231"/>
      <c r="Z218" s="231"/>
      <c r="AA218" s="231"/>
      <c r="AB218" s="231"/>
      <c r="AC218" s="231"/>
      <c r="AD218" s="231"/>
      <c r="AE218" s="231"/>
      <c r="AF218" s="231"/>
      <c r="AG218" s="231"/>
      <c r="AH218" s="231"/>
      <c r="AI218" s="231"/>
      <c r="AJ218" s="231"/>
    </row>
    <row r="219" spans="1:36" s="203" customFormat="1">
      <c r="A219" s="148"/>
      <c r="B219" s="29"/>
      <c r="C219" s="29"/>
      <c r="D219" s="170"/>
      <c r="E219" s="171"/>
      <c r="F219" s="29"/>
      <c r="G219" s="29"/>
      <c r="H219" s="207"/>
      <c r="I219" s="29"/>
      <c r="J219" s="231"/>
      <c r="K219" s="231"/>
      <c r="L219" s="231"/>
      <c r="M219" s="231"/>
      <c r="N219" s="231"/>
      <c r="O219" s="231"/>
      <c r="P219" s="231"/>
      <c r="Q219" s="231"/>
      <c r="R219" s="231"/>
      <c r="S219" s="231"/>
      <c r="T219" s="231"/>
      <c r="U219" s="231"/>
      <c r="V219" s="231"/>
      <c r="W219" s="231"/>
      <c r="X219" s="231"/>
      <c r="Y219" s="231"/>
      <c r="Z219" s="231"/>
      <c r="AA219" s="231"/>
      <c r="AB219" s="231"/>
      <c r="AC219" s="231"/>
      <c r="AD219" s="231"/>
      <c r="AE219" s="231"/>
      <c r="AF219" s="231"/>
      <c r="AG219" s="231"/>
      <c r="AH219" s="231"/>
      <c r="AI219" s="231"/>
      <c r="AJ219" s="231"/>
    </row>
    <row r="220" spans="1:36" s="203" customFormat="1">
      <c r="A220" s="148"/>
      <c r="B220" s="29"/>
      <c r="C220" s="29"/>
      <c r="D220" s="172"/>
      <c r="E220" s="152"/>
      <c r="F220" s="29"/>
      <c r="G220" s="29"/>
      <c r="H220" s="131" t="s">
        <v>27</v>
      </c>
      <c r="I220" s="29"/>
      <c r="J220" s="231"/>
      <c r="K220" s="231"/>
      <c r="L220" s="231"/>
      <c r="M220" s="231"/>
      <c r="N220" s="231"/>
      <c r="O220" s="231"/>
      <c r="P220" s="231"/>
      <c r="Q220" s="231"/>
      <c r="R220" s="231"/>
      <c r="S220" s="231"/>
      <c r="T220" s="231"/>
      <c r="U220" s="231"/>
      <c r="V220" s="231"/>
      <c r="W220" s="231"/>
      <c r="X220" s="231"/>
      <c r="Y220" s="231"/>
      <c r="Z220" s="231"/>
      <c r="AA220" s="231"/>
      <c r="AB220" s="231"/>
      <c r="AC220" s="231"/>
      <c r="AD220" s="231"/>
      <c r="AE220" s="231"/>
      <c r="AF220" s="231"/>
      <c r="AG220" s="231"/>
      <c r="AH220" s="231"/>
      <c r="AI220" s="231"/>
      <c r="AJ220" s="231"/>
    </row>
    <row r="221" spans="1:36" s="203" customFormat="1" ht="12.75" customHeight="1">
      <c r="A221" s="106" t="s">
        <v>10</v>
      </c>
      <c r="B221" s="164"/>
      <c r="C221" s="164"/>
      <c r="D221" s="164"/>
      <c r="E221" s="856" t="s">
        <v>377</v>
      </c>
      <c r="F221" s="856" t="s">
        <v>402</v>
      </c>
      <c r="G221" s="130"/>
      <c r="H221" s="856" t="s">
        <v>403</v>
      </c>
      <c r="I221" s="130"/>
      <c r="J221" s="231"/>
      <c r="K221" s="231"/>
      <c r="L221" s="231"/>
      <c r="M221" s="231"/>
      <c r="N221" s="231"/>
      <c r="O221" s="231"/>
      <c r="P221" s="231"/>
      <c r="Q221" s="231"/>
      <c r="R221" s="231"/>
      <c r="S221" s="231"/>
      <c r="T221" s="231"/>
      <c r="U221" s="231"/>
      <c r="V221" s="231"/>
      <c r="W221" s="231"/>
      <c r="X221" s="231"/>
      <c r="Y221" s="231"/>
      <c r="Z221" s="231"/>
      <c r="AA221" s="231"/>
      <c r="AB221" s="231"/>
      <c r="AC221" s="231"/>
      <c r="AD221" s="231"/>
      <c r="AE221" s="231"/>
      <c r="AF221" s="231"/>
      <c r="AG221" s="231"/>
      <c r="AH221" s="231"/>
      <c r="AI221" s="231"/>
      <c r="AJ221" s="231"/>
    </row>
    <row r="222" spans="1:36" s="203" customFormat="1">
      <c r="A222" s="109"/>
      <c r="B222" s="132"/>
      <c r="C222" s="132"/>
      <c r="D222" s="132"/>
      <c r="E222" s="859"/>
      <c r="F222" s="859"/>
      <c r="G222" s="130"/>
      <c r="H222" s="859"/>
      <c r="I222" s="130"/>
      <c r="J222" s="231"/>
      <c r="K222" s="231"/>
      <c r="L222" s="231"/>
      <c r="M222" s="231"/>
      <c r="N222" s="231"/>
      <c r="O222" s="231"/>
      <c r="P222" s="231"/>
      <c r="Q222" s="231"/>
      <c r="R222" s="231"/>
      <c r="S222" s="231"/>
      <c r="T222" s="231"/>
      <c r="U222" s="231"/>
      <c r="V222" s="231"/>
      <c r="W222" s="231"/>
      <c r="X222" s="231"/>
      <c r="Y222" s="231"/>
      <c r="Z222" s="231"/>
      <c r="AA222" s="231"/>
      <c r="AB222" s="231"/>
      <c r="AC222" s="231"/>
      <c r="AD222" s="231"/>
      <c r="AE222" s="231"/>
      <c r="AF222" s="231"/>
      <c r="AG222" s="231"/>
      <c r="AH222" s="231"/>
      <c r="AI222" s="231"/>
      <c r="AJ222" s="231"/>
    </row>
    <row r="223" spans="1:36" s="203" customFormat="1">
      <c r="A223" s="154" t="s">
        <v>179</v>
      </c>
      <c r="B223" s="116"/>
      <c r="C223" s="116"/>
      <c r="D223" s="116"/>
      <c r="E223" s="859"/>
      <c r="F223" s="859"/>
      <c r="G223" s="130"/>
      <c r="H223" s="859"/>
      <c r="I223" s="130"/>
      <c r="J223" s="231"/>
      <c r="K223" s="231"/>
      <c r="L223" s="231"/>
      <c r="M223" s="231"/>
      <c r="N223" s="231"/>
      <c r="O223" s="231"/>
      <c r="P223" s="231"/>
      <c r="Q223" s="231"/>
      <c r="R223" s="231"/>
      <c r="S223" s="231"/>
      <c r="T223" s="231"/>
      <c r="U223" s="231"/>
      <c r="V223" s="231"/>
      <c r="W223" s="231"/>
      <c r="X223" s="231"/>
      <c r="Y223" s="231"/>
      <c r="Z223" s="231"/>
      <c r="AA223" s="231"/>
      <c r="AB223" s="231"/>
      <c r="AC223" s="231"/>
      <c r="AD223" s="231"/>
      <c r="AE223" s="231"/>
      <c r="AF223" s="231"/>
      <c r="AG223" s="231"/>
      <c r="AH223" s="231"/>
      <c r="AI223" s="231"/>
      <c r="AJ223" s="231"/>
    </row>
    <row r="224" spans="1:36" s="203" customFormat="1">
      <c r="A224" s="109" t="s">
        <v>83</v>
      </c>
      <c r="B224" s="47"/>
      <c r="C224" s="47"/>
      <c r="D224" s="47"/>
      <c r="E224" s="859"/>
      <c r="F224" s="859"/>
      <c r="G224" s="130"/>
      <c r="H224" s="859"/>
      <c r="I224" s="130"/>
      <c r="J224" s="231"/>
      <c r="K224" s="231"/>
      <c r="L224" s="231"/>
      <c r="M224" s="231"/>
      <c r="N224" s="231"/>
      <c r="O224" s="231"/>
      <c r="P224" s="231"/>
      <c r="Q224" s="231"/>
      <c r="R224" s="231"/>
      <c r="S224" s="231"/>
      <c r="T224" s="231"/>
      <c r="U224" s="231"/>
      <c r="V224" s="231"/>
      <c r="W224" s="231"/>
      <c r="X224" s="231"/>
      <c r="Y224" s="231"/>
      <c r="Z224" s="231"/>
      <c r="AA224" s="231"/>
      <c r="AB224" s="231"/>
      <c r="AC224" s="231"/>
      <c r="AD224" s="231"/>
      <c r="AE224" s="231"/>
      <c r="AF224" s="231"/>
      <c r="AG224" s="231"/>
      <c r="AH224" s="231"/>
      <c r="AI224" s="231"/>
      <c r="AJ224" s="231"/>
    </row>
    <row r="225" spans="1:36" s="203" customFormat="1">
      <c r="A225" s="110" t="s">
        <v>84</v>
      </c>
      <c r="B225" s="132"/>
      <c r="C225" s="132"/>
      <c r="D225" s="132"/>
      <c r="E225" s="860"/>
      <c r="F225" s="860"/>
      <c r="G225" s="130"/>
      <c r="H225" s="860"/>
      <c r="I225" s="130"/>
      <c r="J225" s="231"/>
      <c r="K225" s="231"/>
      <c r="L225" s="231"/>
      <c r="M225" s="231"/>
      <c r="N225" s="231"/>
      <c r="O225" s="231"/>
      <c r="P225" s="231"/>
      <c r="Q225" s="231"/>
      <c r="R225" s="231"/>
      <c r="S225" s="231"/>
      <c r="T225" s="231"/>
      <c r="U225" s="231"/>
      <c r="V225" s="231"/>
      <c r="W225" s="231"/>
      <c r="X225" s="231"/>
      <c r="Y225" s="231"/>
      <c r="Z225" s="231"/>
      <c r="AA225" s="231"/>
      <c r="AB225" s="231"/>
      <c r="AC225" s="231"/>
      <c r="AD225" s="231"/>
      <c r="AE225" s="231"/>
      <c r="AF225" s="231"/>
      <c r="AG225" s="231"/>
      <c r="AH225" s="231"/>
      <c r="AI225" s="231"/>
      <c r="AJ225" s="231"/>
    </row>
    <row r="226" spans="1:36" s="203" customFormat="1">
      <c r="A226" s="120">
        <v>1</v>
      </c>
      <c r="B226" s="47" t="s">
        <v>180</v>
      </c>
      <c r="C226" s="47"/>
      <c r="D226" s="47"/>
      <c r="E226" s="41">
        <v>-61</v>
      </c>
      <c r="F226" s="52">
        <v>-53</v>
      </c>
      <c r="G226" s="118"/>
      <c r="H226" s="133">
        <v>-54</v>
      </c>
      <c r="I226" s="29"/>
      <c r="J226" s="231"/>
      <c r="K226" s="231"/>
      <c r="L226" s="231"/>
      <c r="M226" s="231"/>
      <c r="N226" s="231"/>
      <c r="O226" s="231"/>
      <c r="P226" s="231"/>
      <c r="Q226" s="231"/>
      <c r="R226" s="231"/>
      <c r="S226" s="231"/>
      <c r="T226" s="231"/>
      <c r="U226" s="231"/>
      <c r="V226" s="231"/>
      <c r="W226" s="231"/>
      <c r="X226" s="231"/>
      <c r="Y226" s="231"/>
      <c r="Z226" s="231"/>
      <c r="AA226" s="231"/>
      <c r="AB226" s="231"/>
      <c r="AC226" s="231"/>
      <c r="AD226" s="231"/>
      <c r="AE226" s="231"/>
      <c r="AF226" s="231"/>
      <c r="AG226" s="231"/>
      <c r="AH226" s="231"/>
      <c r="AI226" s="231"/>
      <c r="AJ226" s="231"/>
    </row>
    <row r="227" spans="1:36" s="203" customFormat="1">
      <c r="A227" s="120">
        <v>2</v>
      </c>
      <c r="B227" s="47" t="s">
        <v>181</v>
      </c>
      <c r="C227" s="47"/>
      <c r="D227" s="47"/>
      <c r="E227" s="49">
        <v>86</v>
      </c>
      <c r="F227" s="52">
        <v>61</v>
      </c>
      <c r="G227" s="118"/>
      <c r="H227" s="122">
        <v>83</v>
      </c>
      <c r="I227" s="29"/>
      <c r="J227" s="231"/>
      <c r="K227" s="231"/>
      <c r="L227" s="231"/>
      <c r="M227" s="231"/>
      <c r="N227" s="231"/>
      <c r="O227" s="231"/>
      <c r="P227" s="231"/>
      <c r="Q227" s="231"/>
      <c r="R227" s="231"/>
      <c r="S227" s="231"/>
      <c r="T227" s="231"/>
      <c r="U227" s="231"/>
      <c r="V227" s="231"/>
      <c r="W227" s="231"/>
      <c r="X227" s="231"/>
      <c r="Y227" s="231"/>
      <c r="Z227" s="231"/>
      <c r="AA227" s="231"/>
      <c r="AB227" s="231"/>
      <c r="AC227" s="231"/>
      <c r="AD227" s="231"/>
      <c r="AE227" s="231"/>
      <c r="AF227" s="231"/>
      <c r="AG227" s="231"/>
      <c r="AH227" s="231"/>
      <c r="AI227" s="231"/>
      <c r="AJ227" s="231"/>
    </row>
    <row r="228" spans="1:36" s="203" customFormat="1">
      <c r="A228" s="120">
        <v>3</v>
      </c>
      <c r="B228" s="47" t="s">
        <v>182</v>
      </c>
      <c r="C228" s="47"/>
      <c r="D228" s="47"/>
      <c r="E228" s="114">
        <v>536</v>
      </c>
      <c r="F228" s="52">
        <v>496</v>
      </c>
      <c r="G228" s="118"/>
      <c r="H228" s="122">
        <v>546</v>
      </c>
      <c r="I228" s="29"/>
      <c r="J228" s="231"/>
      <c r="K228" s="231"/>
      <c r="L228" s="231"/>
      <c r="M228" s="231"/>
      <c r="N228" s="231"/>
      <c r="O228" s="231"/>
      <c r="P228" s="231"/>
      <c r="Q228" s="231"/>
      <c r="R228" s="231"/>
      <c r="S228" s="231"/>
      <c r="T228" s="231"/>
      <c r="U228" s="231"/>
      <c r="V228" s="231"/>
      <c r="W228" s="231"/>
      <c r="X228" s="231"/>
      <c r="Y228" s="231"/>
      <c r="Z228" s="231"/>
      <c r="AA228" s="231"/>
      <c r="AB228" s="231"/>
      <c r="AC228" s="231"/>
      <c r="AD228" s="231"/>
      <c r="AE228" s="231"/>
      <c r="AF228" s="231"/>
      <c r="AG228" s="231"/>
      <c r="AH228" s="231"/>
      <c r="AI228" s="231"/>
      <c r="AJ228" s="231"/>
    </row>
    <row r="229" spans="1:36" s="203" customFormat="1">
      <c r="A229" s="120">
        <v>4</v>
      </c>
      <c r="B229" s="47" t="s">
        <v>183</v>
      </c>
      <c r="C229" s="47"/>
      <c r="D229" s="47"/>
      <c r="E229" s="114">
        <v>555</v>
      </c>
      <c r="F229" s="52">
        <v>777</v>
      </c>
      <c r="G229" s="118"/>
      <c r="H229" s="122">
        <v>266</v>
      </c>
      <c r="I229" s="29"/>
      <c r="J229" s="231"/>
      <c r="K229" s="231"/>
      <c r="L229" s="231"/>
      <c r="M229" s="231"/>
      <c r="N229" s="231"/>
      <c r="O229" s="231"/>
      <c r="P229" s="231"/>
      <c r="Q229" s="231"/>
      <c r="R229" s="231"/>
      <c r="S229" s="231"/>
      <c r="T229" s="231"/>
      <c r="U229" s="231"/>
      <c r="V229" s="231"/>
      <c r="W229" s="231"/>
      <c r="X229" s="231"/>
      <c r="Y229" s="231"/>
      <c r="Z229" s="231"/>
      <c r="AA229" s="231"/>
      <c r="AB229" s="231"/>
      <c r="AC229" s="231"/>
      <c r="AD229" s="231"/>
      <c r="AE229" s="231"/>
      <c r="AF229" s="231"/>
      <c r="AG229" s="231"/>
      <c r="AH229" s="231"/>
      <c r="AI229" s="231"/>
      <c r="AJ229" s="231"/>
    </row>
    <row r="230" spans="1:36" s="203" customFormat="1">
      <c r="A230" s="120">
        <v>5</v>
      </c>
      <c r="B230" s="47" t="s">
        <v>184</v>
      </c>
      <c r="C230" s="47"/>
      <c r="D230" s="47"/>
      <c r="E230" s="114">
        <v>1282</v>
      </c>
      <c r="F230" s="52">
        <v>1475</v>
      </c>
      <c r="G230" s="118"/>
      <c r="H230" s="99">
        <v>1129</v>
      </c>
      <c r="I230" s="29"/>
      <c r="J230" s="231"/>
      <c r="K230" s="231"/>
      <c r="L230" s="231"/>
      <c r="M230" s="231"/>
      <c r="N230" s="231"/>
      <c r="O230" s="231"/>
      <c r="P230" s="231"/>
      <c r="Q230" s="231"/>
      <c r="R230" s="231"/>
      <c r="S230" s="231"/>
      <c r="T230" s="231"/>
      <c r="U230" s="231"/>
      <c r="V230" s="231"/>
      <c r="W230" s="231"/>
      <c r="X230" s="231"/>
      <c r="Y230" s="231"/>
      <c r="Z230" s="231"/>
      <c r="AA230" s="231"/>
      <c r="AB230" s="231"/>
      <c r="AC230" s="231"/>
      <c r="AD230" s="231"/>
      <c r="AE230" s="231"/>
      <c r="AF230" s="231"/>
      <c r="AG230" s="231"/>
      <c r="AH230" s="231"/>
      <c r="AI230" s="231"/>
      <c r="AJ230" s="231"/>
    </row>
    <row r="231" spans="1:36" s="203" customFormat="1">
      <c r="A231" s="124">
        <v>6</v>
      </c>
      <c r="B231" s="173" t="s">
        <v>185</v>
      </c>
      <c r="C231" s="173"/>
      <c r="D231" s="173"/>
      <c r="E231" s="159">
        <v>2398</v>
      </c>
      <c r="F231" s="61">
        <f>SUM(F226:F230)</f>
        <v>2756</v>
      </c>
      <c r="G231" s="118"/>
      <c r="H231" s="61">
        <f>SUM(H226:H230)</f>
        <v>1970</v>
      </c>
      <c r="I231" s="29"/>
      <c r="J231" s="231"/>
      <c r="K231" s="231"/>
      <c r="L231" s="231"/>
      <c r="M231" s="231"/>
      <c r="N231" s="231"/>
      <c r="O231" s="231"/>
      <c r="P231" s="231"/>
      <c r="Q231" s="231"/>
      <c r="R231" s="231"/>
      <c r="S231" s="231"/>
      <c r="T231" s="231"/>
      <c r="U231" s="231"/>
      <c r="V231" s="231"/>
      <c r="W231" s="231"/>
      <c r="X231" s="231"/>
      <c r="Y231" s="231"/>
      <c r="Z231" s="231"/>
      <c r="AA231" s="231"/>
      <c r="AB231" s="231"/>
      <c r="AC231" s="231"/>
      <c r="AD231" s="231"/>
      <c r="AE231" s="231"/>
      <c r="AF231" s="231"/>
      <c r="AG231" s="231"/>
      <c r="AH231" s="231"/>
      <c r="AI231" s="231"/>
      <c r="AJ231" s="231"/>
    </row>
    <row r="232" spans="1:36" s="203" customFormat="1">
      <c r="A232" s="148"/>
      <c r="B232" s="29"/>
      <c r="C232" s="29"/>
      <c r="D232" s="170"/>
      <c r="E232" s="150"/>
      <c r="F232" s="29"/>
      <c r="G232" s="29"/>
      <c r="H232" s="207"/>
      <c r="I232" s="29"/>
      <c r="J232" s="231"/>
      <c r="K232" s="231"/>
      <c r="L232" s="231"/>
      <c r="M232" s="231"/>
      <c r="N232" s="231"/>
      <c r="O232" s="231"/>
      <c r="P232" s="231"/>
      <c r="Q232" s="231"/>
      <c r="R232" s="231"/>
      <c r="S232" s="231"/>
      <c r="T232" s="231"/>
      <c r="U232" s="231"/>
      <c r="V232" s="231"/>
      <c r="W232" s="231"/>
      <c r="X232" s="231"/>
      <c r="Y232" s="231"/>
      <c r="Z232" s="231"/>
      <c r="AA232" s="231"/>
      <c r="AB232" s="231"/>
      <c r="AC232" s="231"/>
      <c r="AD232" s="231"/>
      <c r="AE232" s="231"/>
      <c r="AF232" s="231"/>
      <c r="AG232" s="231"/>
      <c r="AH232" s="231"/>
      <c r="AI232" s="231"/>
      <c r="AJ232" s="231"/>
    </row>
    <row r="233" spans="1:36" s="203" customFormat="1">
      <c r="A233" s="148"/>
      <c r="B233" s="29"/>
      <c r="C233" s="29"/>
      <c r="D233" s="172"/>
      <c r="E233" s="152"/>
      <c r="F233" s="29"/>
      <c r="G233" s="29"/>
      <c r="H233" s="131" t="s">
        <v>27</v>
      </c>
      <c r="I233" s="29"/>
      <c r="J233" s="231"/>
      <c r="K233" s="231"/>
      <c r="L233" s="231"/>
      <c r="M233" s="231"/>
      <c r="N233" s="231"/>
      <c r="O233" s="231"/>
      <c r="P233" s="231"/>
      <c r="Q233" s="231"/>
      <c r="R233" s="231"/>
      <c r="S233" s="231"/>
      <c r="T233" s="231"/>
      <c r="U233" s="231"/>
      <c r="V233" s="231"/>
      <c r="W233" s="231"/>
      <c r="X233" s="231"/>
      <c r="Y233" s="231"/>
      <c r="Z233" s="231"/>
      <c r="AA233" s="231"/>
      <c r="AB233" s="231"/>
      <c r="AC233" s="231"/>
      <c r="AD233" s="231"/>
      <c r="AE233" s="231"/>
      <c r="AF233" s="231"/>
      <c r="AG233" s="231"/>
      <c r="AH233" s="231"/>
      <c r="AI233" s="231"/>
      <c r="AJ233" s="231"/>
    </row>
    <row r="234" spans="1:36" s="203" customFormat="1" ht="12.75" customHeight="1">
      <c r="A234" s="106" t="s">
        <v>12</v>
      </c>
      <c r="B234" s="164"/>
      <c r="C234" s="164"/>
      <c r="D234" s="164"/>
      <c r="E234" s="856" t="s">
        <v>377</v>
      </c>
      <c r="F234" s="856" t="s">
        <v>402</v>
      </c>
      <c r="G234" s="130"/>
      <c r="H234" s="856" t="s">
        <v>403</v>
      </c>
      <c r="I234" s="130"/>
      <c r="J234" s="231"/>
      <c r="K234" s="231"/>
      <c r="L234" s="231"/>
      <c r="M234" s="231"/>
      <c r="N234" s="231"/>
      <c r="O234" s="231"/>
      <c r="P234" s="231"/>
      <c r="Q234" s="231"/>
      <c r="R234" s="231"/>
      <c r="S234" s="231"/>
      <c r="T234" s="231"/>
      <c r="U234" s="231"/>
      <c r="V234" s="231"/>
      <c r="W234" s="231"/>
      <c r="X234" s="231"/>
      <c r="Y234" s="231"/>
      <c r="Z234" s="231"/>
      <c r="AA234" s="231"/>
      <c r="AB234" s="231"/>
      <c r="AC234" s="231"/>
      <c r="AD234" s="231"/>
      <c r="AE234" s="231"/>
      <c r="AF234" s="231"/>
      <c r="AG234" s="231"/>
      <c r="AH234" s="231"/>
      <c r="AI234" s="231"/>
      <c r="AJ234" s="231"/>
    </row>
    <row r="235" spans="1:36" s="203" customFormat="1">
      <c r="A235" s="165"/>
      <c r="B235" s="47"/>
      <c r="C235" s="47"/>
      <c r="D235" s="47"/>
      <c r="E235" s="859"/>
      <c r="F235" s="859"/>
      <c r="G235" s="130"/>
      <c r="H235" s="859"/>
      <c r="I235" s="130"/>
      <c r="J235" s="231"/>
      <c r="K235" s="231"/>
      <c r="L235" s="231"/>
      <c r="M235" s="231"/>
      <c r="N235" s="231"/>
      <c r="O235" s="231"/>
      <c r="P235" s="231"/>
      <c r="Q235" s="231"/>
      <c r="R235" s="231"/>
      <c r="S235" s="231"/>
      <c r="T235" s="231"/>
      <c r="U235" s="231"/>
      <c r="V235" s="231"/>
      <c r="W235" s="231"/>
      <c r="X235" s="231"/>
      <c r="Y235" s="231"/>
      <c r="Z235" s="231"/>
      <c r="AA235" s="231"/>
      <c r="AB235" s="231"/>
      <c r="AC235" s="231"/>
      <c r="AD235" s="231"/>
      <c r="AE235" s="231"/>
      <c r="AF235" s="231"/>
      <c r="AG235" s="231"/>
      <c r="AH235" s="231"/>
      <c r="AI235" s="231"/>
      <c r="AJ235" s="231"/>
    </row>
    <row r="236" spans="1:36" s="203" customFormat="1">
      <c r="A236" s="154" t="s">
        <v>186</v>
      </c>
      <c r="B236" s="174"/>
      <c r="C236" s="174"/>
      <c r="D236" s="174"/>
      <c r="E236" s="859"/>
      <c r="F236" s="859"/>
      <c r="G236" s="130"/>
      <c r="H236" s="859"/>
      <c r="I236" s="130"/>
      <c r="J236" s="231"/>
      <c r="K236" s="231"/>
      <c r="L236" s="231"/>
      <c r="M236" s="231"/>
      <c r="N236" s="231"/>
      <c r="O236" s="231"/>
      <c r="P236" s="231"/>
      <c r="Q236" s="231"/>
      <c r="R236" s="231"/>
      <c r="S236" s="231"/>
      <c r="T236" s="231"/>
      <c r="U236" s="231"/>
      <c r="V236" s="231"/>
      <c r="W236" s="231"/>
      <c r="X236" s="231"/>
      <c r="Y236" s="231"/>
      <c r="Z236" s="231"/>
      <c r="AA236" s="231"/>
      <c r="AB236" s="231"/>
      <c r="AC236" s="231"/>
      <c r="AD236" s="231"/>
      <c r="AE236" s="231"/>
      <c r="AF236" s="231"/>
      <c r="AG236" s="231"/>
      <c r="AH236" s="231"/>
      <c r="AI236" s="231"/>
      <c r="AJ236" s="231"/>
    </row>
    <row r="237" spans="1:36" s="203" customFormat="1">
      <c r="A237" s="109" t="s">
        <v>83</v>
      </c>
      <c r="B237" s="47"/>
      <c r="C237" s="47"/>
      <c r="D237" s="47"/>
      <c r="E237" s="859"/>
      <c r="F237" s="859"/>
      <c r="G237" s="130"/>
      <c r="H237" s="859"/>
      <c r="I237" s="130"/>
      <c r="J237" s="231"/>
      <c r="K237" s="231"/>
      <c r="L237" s="231"/>
      <c r="M237" s="231"/>
      <c r="N237" s="231"/>
      <c r="O237" s="231"/>
      <c r="P237" s="231"/>
      <c r="Q237" s="231"/>
      <c r="R237" s="231"/>
      <c r="S237" s="231"/>
      <c r="T237" s="231"/>
      <c r="U237" s="231"/>
      <c r="V237" s="231"/>
      <c r="W237" s="231"/>
      <c r="X237" s="231"/>
      <c r="Y237" s="231"/>
      <c r="Z237" s="231"/>
      <c r="AA237" s="231"/>
      <c r="AB237" s="231"/>
      <c r="AC237" s="231"/>
      <c r="AD237" s="231"/>
      <c r="AE237" s="231"/>
      <c r="AF237" s="231"/>
      <c r="AG237" s="231"/>
      <c r="AH237" s="231"/>
      <c r="AI237" s="231"/>
      <c r="AJ237" s="231"/>
    </row>
    <row r="238" spans="1:36" s="203" customFormat="1">
      <c r="A238" s="110" t="s">
        <v>84</v>
      </c>
      <c r="B238" s="174"/>
      <c r="C238" s="174"/>
      <c r="D238" s="174"/>
      <c r="E238" s="860"/>
      <c r="F238" s="860"/>
      <c r="G238" s="130"/>
      <c r="H238" s="860"/>
      <c r="I238" s="130"/>
      <c r="J238" s="231"/>
      <c r="K238" s="231"/>
      <c r="L238" s="231"/>
      <c r="M238" s="231"/>
      <c r="N238" s="231"/>
      <c r="O238" s="231"/>
      <c r="P238" s="231"/>
      <c r="Q238" s="231"/>
      <c r="R238" s="231"/>
      <c r="S238" s="231"/>
      <c r="T238" s="231"/>
      <c r="U238" s="231"/>
      <c r="V238" s="231"/>
      <c r="W238" s="231"/>
      <c r="X238" s="231"/>
      <c r="Y238" s="231"/>
      <c r="Z238" s="231"/>
      <c r="AA238" s="231"/>
      <c r="AB238" s="231"/>
      <c r="AC238" s="231"/>
      <c r="AD238" s="231"/>
      <c r="AE238" s="231"/>
      <c r="AF238" s="231"/>
      <c r="AG238" s="231"/>
      <c r="AH238" s="231"/>
      <c r="AI238" s="231"/>
      <c r="AJ238" s="231"/>
    </row>
    <row r="239" spans="1:36" s="203" customFormat="1">
      <c r="A239" s="153" t="s">
        <v>187</v>
      </c>
      <c r="B239" s="116"/>
      <c r="C239" s="116"/>
      <c r="D239" s="116"/>
      <c r="E239" s="167"/>
      <c r="F239" s="146"/>
      <c r="G239" s="118"/>
      <c r="H239" s="146"/>
      <c r="I239" s="29"/>
      <c r="J239" s="231"/>
      <c r="K239" s="231"/>
      <c r="L239" s="231"/>
      <c r="M239" s="231"/>
      <c r="N239" s="231"/>
      <c r="O239" s="231"/>
      <c r="P239" s="231"/>
      <c r="Q239" s="231"/>
      <c r="R239" s="231"/>
      <c r="S239" s="231"/>
      <c r="T239" s="231"/>
      <c r="U239" s="231"/>
      <c r="V239" s="231"/>
      <c r="W239" s="231"/>
      <c r="X239" s="231"/>
      <c r="Y239" s="231"/>
      <c r="Z239" s="231"/>
      <c r="AA239" s="231"/>
      <c r="AB239" s="231"/>
      <c r="AC239" s="231"/>
      <c r="AD239" s="231"/>
      <c r="AE239" s="231"/>
      <c r="AF239" s="231"/>
      <c r="AG239" s="231"/>
      <c r="AH239" s="231"/>
      <c r="AI239" s="231"/>
      <c r="AJ239" s="231"/>
    </row>
    <row r="240" spans="1:36" s="203" customFormat="1">
      <c r="A240" s="120">
        <v>1</v>
      </c>
      <c r="B240" s="47" t="s">
        <v>188</v>
      </c>
      <c r="C240" s="47"/>
      <c r="D240" s="47"/>
      <c r="E240" s="74">
        <v>452</v>
      </c>
      <c r="F240" s="52">
        <v>341</v>
      </c>
      <c r="G240" s="118"/>
      <c r="H240" s="122">
        <v>330</v>
      </c>
      <c r="I240" s="29"/>
      <c r="J240" s="231"/>
      <c r="K240" s="231"/>
      <c r="L240" s="231"/>
      <c r="M240" s="231"/>
      <c r="N240" s="231"/>
      <c r="O240" s="231"/>
      <c r="P240" s="231"/>
      <c r="Q240" s="231"/>
      <c r="R240" s="231"/>
      <c r="S240" s="231"/>
      <c r="T240" s="231"/>
      <c r="U240" s="231"/>
      <c r="V240" s="231"/>
      <c r="W240" s="231"/>
      <c r="X240" s="231"/>
      <c r="Y240" s="231"/>
      <c r="Z240" s="231"/>
      <c r="AA240" s="231"/>
      <c r="AB240" s="231"/>
      <c r="AC240" s="231"/>
      <c r="AD240" s="231"/>
      <c r="AE240" s="231"/>
      <c r="AF240" s="231"/>
      <c r="AG240" s="231"/>
      <c r="AH240" s="231"/>
      <c r="AI240" s="231"/>
      <c r="AJ240" s="231"/>
    </row>
    <row r="241" spans="1:36" s="203" customFormat="1">
      <c r="A241" s="674">
        <v>2</v>
      </c>
      <c r="B241" s="47" t="s">
        <v>189</v>
      </c>
      <c r="C241" s="47"/>
      <c r="D241" s="47"/>
      <c r="E241" s="114">
        <v>1017</v>
      </c>
      <c r="F241" s="52">
        <v>1192</v>
      </c>
      <c r="G241" s="118"/>
      <c r="H241" s="100">
        <v>1172</v>
      </c>
      <c r="I241" s="29"/>
      <c r="J241" s="231"/>
      <c r="K241" s="231"/>
      <c r="L241" s="231"/>
      <c r="M241" s="231"/>
      <c r="N241" s="231"/>
      <c r="O241" s="231"/>
      <c r="P241" s="231"/>
      <c r="Q241" s="231"/>
      <c r="R241" s="231"/>
      <c r="S241" s="231"/>
      <c r="T241" s="231"/>
      <c r="U241" s="231"/>
      <c r="V241" s="231"/>
      <c r="W241" s="231"/>
      <c r="X241" s="231"/>
      <c r="Y241" s="231"/>
      <c r="Z241" s="231"/>
      <c r="AA241" s="231"/>
      <c r="AB241" s="231"/>
      <c r="AC241" s="231"/>
      <c r="AD241" s="231"/>
      <c r="AE241" s="231"/>
      <c r="AF241" s="231"/>
      <c r="AG241" s="231"/>
      <c r="AH241" s="231"/>
      <c r="AI241" s="231"/>
      <c r="AJ241" s="231"/>
    </row>
    <row r="242" spans="1:36" s="203" customFormat="1">
      <c r="A242" s="674">
        <v>3</v>
      </c>
      <c r="B242" s="168" t="s">
        <v>190</v>
      </c>
      <c r="C242" s="168"/>
      <c r="D242" s="168"/>
      <c r="E242" s="80">
        <v>1469</v>
      </c>
      <c r="F242" s="142">
        <f>SUM(F240:F241)</f>
        <v>1533</v>
      </c>
      <c r="G242" s="118"/>
      <c r="H242" s="142">
        <f>SUM(H240:H241)</f>
        <v>1502</v>
      </c>
      <c r="I242" s="29"/>
      <c r="J242" s="231"/>
      <c r="K242" s="231"/>
      <c r="L242" s="231"/>
      <c r="M242" s="231"/>
      <c r="N242" s="231"/>
      <c r="O242" s="231"/>
      <c r="P242" s="231"/>
      <c r="Q242" s="231"/>
      <c r="R242" s="231"/>
      <c r="S242" s="231"/>
      <c r="T242" s="231"/>
      <c r="U242" s="231"/>
      <c r="V242" s="231"/>
      <c r="W242" s="231"/>
      <c r="X242" s="231"/>
      <c r="Y242" s="231"/>
      <c r="Z242" s="231"/>
      <c r="AA242" s="231"/>
      <c r="AB242" s="231"/>
      <c r="AC242" s="231"/>
      <c r="AD242" s="231"/>
      <c r="AE242" s="231"/>
      <c r="AF242" s="231"/>
      <c r="AG242" s="231"/>
      <c r="AH242" s="231"/>
      <c r="AI242" s="231"/>
      <c r="AJ242" s="231"/>
    </row>
    <row r="243" spans="1:36" s="203" customFormat="1">
      <c r="A243" s="674"/>
      <c r="B243" s="116"/>
      <c r="C243" s="116"/>
      <c r="D243" s="116"/>
      <c r="E243" s="117"/>
      <c r="F243" s="118"/>
      <c r="G243" s="118"/>
      <c r="H243" s="118"/>
      <c r="I243" s="29"/>
      <c r="J243" s="231"/>
      <c r="K243" s="231"/>
      <c r="L243" s="231"/>
      <c r="M243" s="231"/>
      <c r="N243" s="231"/>
      <c r="O243" s="231"/>
      <c r="P243" s="231"/>
      <c r="Q243" s="231"/>
      <c r="R243" s="231"/>
      <c r="S243" s="231"/>
      <c r="T243" s="231"/>
      <c r="U243" s="231"/>
      <c r="V243" s="231"/>
      <c r="W243" s="231"/>
      <c r="X243" s="231"/>
      <c r="Y243" s="231"/>
      <c r="Z243" s="231"/>
      <c r="AA243" s="231"/>
      <c r="AB243" s="231"/>
      <c r="AC243" s="231"/>
      <c r="AD243" s="231"/>
      <c r="AE243" s="231"/>
      <c r="AF243" s="231"/>
      <c r="AG243" s="231"/>
      <c r="AH243" s="231"/>
      <c r="AI243" s="231"/>
      <c r="AJ243" s="231"/>
    </row>
    <row r="244" spans="1:36" s="203" customFormat="1">
      <c r="A244" s="108" t="s">
        <v>191</v>
      </c>
      <c r="B244" s="47"/>
      <c r="C244" s="47"/>
      <c r="D244" s="47"/>
      <c r="E244" s="140"/>
      <c r="F244" s="146"/>
      <c r="G244" s="118"/>
      <c r="H244" s="146"/>
      <c r="I244" s="29"/>
      <c r="J244" s="231"/>
      <c r="K244" s="231"/>
      <c r="L244" s="231"/>
      <c r="M244" s="231"/>
      <c r="N244" s="231"/>
      <c r="O244" s="231"/>
      <c r="P244" s="231"/>
      <c r="Q244" s="231"/>
      <c r="R244" s="231"/>
      <c r="S244" s="231"/>
      <c r="T244" s="231"/>
      <c r="U244" s="231"/>
      <c r="V244" s="231"/>
      <c r="W244" s="231"/>
      <c r="X244" s="231"/>
      <c r="Y244" s="231"/>
      <c r="Z244" s="231"/>
      <c r="AA244" s="231"/>
      <c r="AB244" s="231"/>
      <c r="AC244" s="231"/>
      <c r="AD244" s="231"/>
      <c r="AE244" s="231"/>
      <c r="AF244" s="231"/>
      <c r="AG244" s="231"/>
      <c r="AH244" s="231"/>
      <c r="AI244" s="231"/>
      <c r="AJ244" s="231"/>
    </row>
    <row r="245" spans="1:36" s="203" customFormat="1">
      <c r="A245" s="674">
        <v>4</v>
      </c>
      <c r="B245" s="47" t="s">
        <v>192</v>
      </c>
      <c r="C245" s="47"/>
      <c r="D245" s="47"/>
      <c r="E245" s="74">
        <v>0</v>
      </c>
      <c r="F245" s="52">
        <v>68</v>
      </c>
      <c r="G245" s="118"/>
      <c r="H245" s="122">
        <v>0</v>
      </c>
      <c r="I245" s="29"/>
      <c r="J245" s="231"/>
      <c r="K245" s="231"/>
      <c r="L245" s="231"/>
      <c r="M245" s="231"/>
      <c r="N245" s="231"/>
      <c r="O245" s="231"/>
      <c r="P245" s="231"/>
      <c r="Q245" s="231"/>
      <c r="R245" s="231"/>
      <c r="S245" s="231"/>
      <c r="T245" s="231"/>
      <c r="U245" s="231"/>
      <c r="V245" s="231"/>
      <c r="W245" s="231"/>
      <c r="X245" s="231"/>
      <c r="Y245" s="231"/>
      <c r="Z245" s="231"/>
      <c r="AA245" s="231"/>
      <c r="AB245" s="231"/>
      <c r="AC245" s="231"/>
      <c r="AD245" s="231"/>
      <c r="AE245" s="231"/>
      <c r="AF245" s="231"/>
      <c r="AG245" s="231"/>
      <c r="AH245" s="231"/>
      <c r="AI245" s="231"/>
      <c r="AJ245" s="231"/>
    </row>
    <row r="246" spans="1:36" s="203" customFormat="1">
      <c r="A246" s="674">
        <v>5</v>
      </c>
      <c r="B246" s="47" t="s">
        <v>193</v>
      </c>
      <c r="C246" s="47"/>
      <c r="D246" s="47"/>
      <c r="E246" s="49">
        <v>1</v>
      </c>
      <c r="F246" s="52">
        <v>1</v>
      </c>
      <c r="G246" s="118"/>
      <c r="H246" s="100">
        <v>1</v>
      </c>
      <c r="I246" s="29"/>
      <c r="J246" s="231"/>
      <c r="K246" s="231"/>
      <c r="L246" s="231"/>
      <c r="M246" s="231"/>
      <c r="N246" s="231"/>
      <c r="O246" s="231"/>
      <c r="P246" s="231"/>
      <c r="Q246" s="231"/>
      <c r="R246" s="231"/>
      <c r="S246" s="231"/>
      <c r="T246" s="231"/>
      <c r="U246" s="231"/>
      <c r="V246" s="231"/>
      <c r="W246" s="231"/>
      <c r="X246" s="231"/>
      <c r="Y246" s="231"/>
      <c r="Z246" s="231"/>
      <c r="AA246" s="231"/>
      <c r="AB246" s="231"/>
      <c r="AC246" s="231"/>
      <c r="AD246" s="231"/>
      <c r="AE246" s="231"/>
      <c r="AF246" s="231"/>
      <c r="AG246" s="231"/>
      <c r="AH246" s="231"/>
      <c r="AI246" s="231"/>
      <c r="AJ246" s="231"/>
    </row>
    <row r="247" spans="1:36" s="203" customFormat="1">
      <c r="A247" s="674">
        <v>6</v>
      </c>
      <c r="B247" s="116" t="s">
        <v>194</v>
      </c>
      <c r="C247" s="116"/>
      <c r="D247" s="116"/>
      <c r="E247" s="80">
        <v>1</v>
      </c>
      <c r="F247" s="142">
        <f>SUM(F245:F246)</f>
        <v>69</v>
      </c>
      <c r="G247" s="118"/>
      <c r="H247" s="142">
        <f>SUM(H245:H246)</f>
        <v>1</v>
      </c>
      <c r="I247" s="29"/>
      <c r="J247" s="231"/>
      <c r="K247" s="231"/>
      <c r="L247" s="231"/>
      <c r="M247" s="231"/>
      <c r="N247" s="231"/>
      <c r="O247" s="231"/>
      <c r="P247" s="231"/>
      <c r="Q247" s="231"/>
      <c r="R247" s="231"/>
      <c r="S247" s="231"/>
      <c r="T247" s="231"/>
      <c r="U247" s="231"/>
      <c r="V247" s="231"/>
      <c r="W247" s="231"/>
      <c r="X247" s="231"/>
      <c r="Y247" s="231"/>
      <c r="Z247" s="231"/>
      <c r="AA247" s="231"/>
      <c r="AB247" s="231"/>
      <c r="AC247" s="231"/>
      <c r="AD247" s="231"/>
      <c r="AE247" s="231"/>
      <c r="AF247" s="231"/>
      <c r="AG247" s="231"/>
      <c r="AH247" s="231"/>
      <c r="AI247" s="231"/>
      <c r="AJ247" s="231"/>
    </row>
    <row r="248" spans="1:36" s="203" customFormat="1">
      <c r="A248" s="674"/>
      <c r="B248" s="116"/>
      <c r="C248" s="116"/>
      <c r="D248" s="116"/>
      <c r="E248" s="117"/>
      <c r="F248" s="118"/>
      <c r="G248" s="118"/>
      <c r="H248" s="118"/>
      <c r="I248" s="29"/>
      <c r="J248" s="231"/>
      <c r="K248" s="231"/>
      <c r="L248" s="231"/>
      <c r="M248" s="231"/>
      <c r="N248" s="231"/>
      <c r="O248" s="231"/>
      <c r="P248" s="231"/>
      <c r="Q248" s="231"/>
      <c r="R248" s="231"/>
      <c r="S248" s="231"/>
      <c r="T248" s="231"/>
      <c r="U248" s="231"/>
      <c r="V248" s="231"/>
      <c r="W248" s="231"/>
      <c r="X248" s="231"/>
      <c r="Y248" s="231"/>
      <c r="Z248" s="231"/>
      <c r="AA248" s="231"/>
      <c r="AB248" s="231"/>
      <c r="AC248" s="231"/>
      <c r="AD248" s="231"/>
      <c r="AE248" s="231"/>
      <c r="AF248" s="231"/>
      <c r="AG248" s="231"/>
      <c r="AH248" s="231"/>
      <c r="AI248" s="231"/>
      <c r="AJ248" s="231"/>
    </row>
    <row r="249" spans="1:36" s="203" customFormat="1">
      <c r="A249" s="108" t="s">
        <v>195</v>
      </c>
      <c r="B249" s="116"/>
      <c r="C249" s="116"/>
      <c r="D249" s="116"/>
      <c r="E249" s="140"/>
      <c r="F249" s="146"/>
      <c r="G249" s="118"/>
      <c r="H249" s="146"/>
      <c r="I249" s="29"/>
      <c r="J249" s="231"/>
      <c r="K249" s="231"/>
      <c r="L249" s="231"/>
      <c r="M249" s="231"/>
      <c r="N249" s="231"/>
      <c r="O249" s="231"/>
      <c r="P249" s="231"/>
      <c r="Q249" s="231"/>
      <c r="R249" s="231"/>
      <c r="S249" s="231"/>
      <c r="T249" s="231"/>
      <c r="U249" s="231"/>
      <c r="V249" s="231"/>
      <c r="W249" s="231"/>
      <c r="X249" s="231"/>
      <c r="Y249" s="231"/>
      <c r="Z249" s="231"/>
      <c r="AA249" s="231"/>
      <c r="AB249" s="231"/>
      <c r="AC249" s="231"/>
      <c r="AD249" s="231"/>
      <c r="AE249" s="231"/>
      <c r="AF249" s="231"/>
      <c r="AG249" s="231"/>
      <c r="AH249" s="231"/>
      <c r="AI249" s="231"/>
      <c r="AJ249" s="231"/>
    </row>
    <row r="250" spans="1:36" s="203" customFormat="1">
      <c r="A250" s="674">
        <v>7</v>
      </c>
      <c r="B250" s="47" t="s">
        <v>196</v>
      </c>
      <c r="C250" s="47"/>
      <c r="D250" s="47"/>
      <c r="E250" s="74">
        <v>363</v>
      </c>
      <c r="F250" s="52">
        <v>321</v>
      </c>
      <c r="G250" s="118"/>
      <c r="H250" s="52">
        <v>316</v>
      </c>
      <c r="I250" s="29"/>
      <c r="J250" s="231"/>
      <c r="K250" s="231"/>
      <c r="L250" s="231"/>
      <c r="M250" s="231"/>
      <c r="N250" s="231"/>
      <c r="O250" s="231"/>
      <c r="P250" s="231"/>
      <c r="Q250" s="231"/>
      <c r="R250" s="231"/>
      <c r="S250" s="231"/>
      <c r="T250" s="231"/>
      <c r="U250" s="231"/>
      <c r="V250" s="231"/>
      <c r="W250" s="231"/>
      <c r="X250" s="231"/>
      <c r="Y250" s="231"/>
      <c r="Z250" s="231"/>
      <c r="AA250" s="231"/>
      <c r="AB250" s="231"/>
      <c r="AC250" s="231"/>
      <c r="AD250" s="231"/>
      <c r="AE250" s="231"/>
      <c r="AF250" s="231"/>
      <c r="AG250" s="231"/>
      <c r="AH250" s="231"/>
      <c r="AI250" s="231"/>
      <c r="AJ250" s="231"/>
    </row>
    <row r="251" spans="1:36" s="203" customFormat="1">
      <c r="A251" s="674">
        <v>8</v>
      </c>
      <c r="B251" s="47" t="s">
        <v>197</v>
      </c>
      <c r="C251" s="47"/>
      <c r="D251" s="47"/>
      <c r="E251" s="49">
        <v>1841</v>
      </c>
      <c r="F251" s="52">
        <v>2308</v>
      </c>
      <c r="G251" s="118"/>
      <c r="H251" s="122">
        <v>2039</v>
      </c>
      <c r="I251" s="29"/>
      <c r="J251" s="231"/>
      <c r="K251" s="231"/>
      <c r="L251" s="231"/>
      <c r="M251" s="231"/>
      <c r="N251" s="231"/>
      <c r="O251" s="231"/>
      <c r="P251" s="231"/>
      <c r="Q251" s="231"/>
      <c r="R251" s="231"/>
      <c r="S251" s="231"/>
      <c r="T251" s="231"/>
      <c r="U251" s="231"/>
      <c r="V251" s="231"/>
      <c r="W251" s="231"/>
      <c r="X251" s="231"/>
      <c r="Y251" s="231"/>
      <c r="Z251" s="231"/>
      <c r="AA251" s="231"/>
      <c r="AB251" s="231"/>
      <c r="AC251" s="231"/>
      <c r="AD251" s="231"/>
      <c r="AE251" s="231"/>
      <c r="AF251" s="231"/>
      <c r="AG251" s="231"/>
      <c r="AH251" s="231"/>
      <c r="AI251" s="231"/>
      <c r="AJ251" s="231"/>
    </row>
    <row r="252" spans="1:36" s="203" customFormat="1">
      <c r="A252" s="674">
        <v>9</v>
      </c>
      <c r="B252" s="47" t="s">
        <v>198</v>
      </c>
      <c r="C252" s="47"/>
      <c r="D252" s="47"/>
      <c r="E252" s="49">
        <v>2202</v>
      </c>
      <c r="F252" s="52">
        <v>2386</v>
      </c>
      <c r="G252" s="118"/>
      <c r="H252" s="122">
        <v>2241</v>
      </c>
      <c r="I252" s="29"/>
      <c r="J252" s="231"/>
      <c r="K252" s="231"/>
      <c r="L252" s="231"/>
      <c r="M252" s="231"/>
      <c r="N252" s="231"/>
      <c r="O252" s="231"/>
      <c r="P252" s="231"/>
      <c r="Q252" s="231"/>
      <c r="R252" s="231"/>
      <c r="S252" s="231"/>
      <c r="T252" s="231"/>
      <c r="U252" s="231"/>
      <c r="V252" s="231"/>
      <c r="W252" s="231"/>
      <c r="X252" s="231"/>
      <c r="Y252" s="231"/>
      <c r="Z252" s="231"/>
      <c r="AA252" s="231"/>
      <c r="AB252" s="231"/>
      <c r="AC252" s="231"/>
      <c r="AD252" s="231"/>
      <c r="AE252" s="231"/>
      <c r="AF252" s="231"/>
      <c r="AG252" s="231"/>
      <c r="AH252" s="231"/>
      <c r="AI252" s="231"/>
      <c r="AJ252" s="231"/>
    </row>
    <row r="253" spans="1:36" s="203" customFormat="1">
      <c r="A253" s="674">
        <v>10</v>
      </c>
      <c r="B253" s="47" t="s">
        <v>199</v>
      </c>
      <c r="C253" s="47"/>
      <c r="D253" s="47"/>
      <c r="E253" s="49">
        <v>1141</v>
      </c>
      <c r="F253" s="52">
        <v>1335</v>
      </c>
      <c r="G253" s="118"/>
      <c r="H253" s="100">
        <v>1235</v>
      </c>
      <c r="I253" s="29"/>
      <c r="J253" s="231"/>
      <c r="K253" s="231"/>
      <c r="L253" s="231"/>
      <c r="M253" s="231"/>
      <c r="N253" s="231"/>
      <c r="O253" s="231"/>
      <c r="P253" s="231"/>
      <c r="Q253" s="231"/>
      <c r="R253" s="231"/>
      <c r="S253" s="231"/>
      <c r="T253" s="231"/>
      <c r="U253" s="231"/>
      <c r="V253" s="231"/>
      <c r="W253" s="231"/>
      <c r="X253" s="231"/>
      <c r="Y253" s="231"/>
      <c r="Z253" s="231"/>
      <c r="AA253" s="231"/>
      <c r="AB253" s="231"/>
      <c r="AC253" s="231"/>
      <c r="AD253" s="231"/>
      <c r="AE253" s="231"/>
      <c r="AF253" s="231"/>
      <c r="AG253" s="231"/>
      <c r="AH253" s="231"/>
      <c r="AI253" s="231"/>
      <c r="AJ253" s="231"/>
    </row>
    <row r="254" spans="1:36" s="203" customFormat="1">
      <c r="A254" s="674">
        <v>11</v>
      </c>
      <c r="B254" s="116" t="s">
        <v>200</v>
      </c>
      <c r="C254" s="116"/>
      <c r="D254" s="116"/>
      <c r="E254" s="80">
        <v>5547</v>
      </c>
      <c r="F254" s="142">
        <f>SUM(F250:F253)</f>
        <v>6350</v>
      </c>
      <c r="G254" s="118"/>
      <c r="H254" s="142">
        <f>SUM(H250:H253)</f>
        <v>5831</v>
      </c>
      <c r="I254" s="260"/>
      <c r="J254" s="231"/>
      <c r="K254" s="231"/>
      <c r="L254" s="231"/>
      <c r="M254" s="231"/>
      <c r="N254" s="231"/>
      <c r="O254" s="231"/>
      <c r="P254" s="231"/>
      <c r="Q254" s="231"/>
      <c r="R254" s="231"/>
      <c r="S254" s="231"/>
      <c r="T254" s="231"/>
      <c r="U254" s="231"/>
      <c r="V254" s="231"/>
      <c r="W254" s="231"/>
      <c r="X254" s="231"/>
      <c r="Y254" s="231"/>
      <c r="Z254" s="231"/>
      <c r="AA254" s="231"/>
      <c r="AB254" s="231"/>
      <c r="AC254" s="231"/>
      <c r="AD254" s="231"/>
      <c r="AE254" s="231"/>
      <c r="AF254" s="231"/>
      <c r="AG254" s="231"/>
      <c r="AH254" s="231"/>
      <c r="AI254" s="231"/>
      <c r="AJ254" s="231"/>
    </row>
    <row r="255" spans="1:36" s="203" customFormat="1">
      <c r="A255" s="674"/>
      <c r="B255" s="116"/>
      <c r="C255" s="116"/>
      <c r="D255" s="116"/>
      <c r="E255" s="117"/>
      <c r="F255" s="118"/>
      <c r="G255" s="118"/>
      <c r="H255" s="118"/>
      <c r="I255" s="29"/>
      <c r="J255" s="231"/>
      <c r="K255" s="231"/>
      <c r="L255" s="231"/>
      <c r="M255" s="231"/>
      <c r="N255" s="231"/>
      <c r="O255" s="231"/>
      <c r="P255" s="231"/>
      <c r="Q255" s="231"/>
      <c r="R255" s="231"/>
      <c r="S255" s="231"/>
      <c r="T255" s="231"/>
      <c r="U255" s="231"/>
      <c r="V255" s="231"/>
      <c r="W255" s="231"/>
      <c r="X255" s="231"/>
      <c r="Y255" s="231"/>
      <c r="Z255" s="231"/>
      <c r="AA255" s="231"/>
      <c r="AB255" s="231"/>
      <c r="AC255" s="231"/>
      <c r="AD255" s="231"/>
      <c r="AE255" s="231"/>
      <c r="AF255" s="231"/>
      <c r="AG255" s="231"/>
      <c r="AH255" s="231"/>
      <c r="AI255" s="231"/>
      <c r="AJ255" s="231"/>
    </row>
    <row r="256" spans="1:36" s="203" customFormat="1">
      <c r="A256" s="674">
        <v>12</v>
      </c>
      <c r="B256" s="47" t="s">
        <v>201</v>
      </c>
      <c r="C256" s="47"/>
      <c r="D256" s="47"/>
      <c r="E256" s="176">
        <v>2310</v>
      </c>
      <c r="F256" s="136">
        <v>2632</v>
      </c>
      <c r="G256" s="118"/>
      <c r="H256" s="177">
        <v>2626</v>
      </c>
      <c r="I256" s="260"/>
      <c r="J256" s="231"/>
      <c r="K256" s="231"/>
      <c r="L256" s="231"/>
      <c r="M256" s="231"/>
      <c r="N256" s="231"/>
      <c r="O256" s="231"/>
      <c r="P256" s="231"/>
      <c r="Q256" s="231"/>
      <c r="R256" s="231"/>
      <c r="S256" s="231"/>
      <c r="T256" s="231"/>
      <c r="U256" s="231"/>
      <c r="V256" s="231"/>
      <c r="W256" s="231"/>
      <c r="X256" s="231"/>
      <c r="Y256" s="231"/>
      <c r="Z256" s="231"/>
      <c r="AA256" s="231"/>
      <c r="AB256" s="231"/>
      <c r="AC256" s="231"/>
      <c r="AD256" s="231"/>
      <c r="AE256" s="231"/>
      <c r="AF256" s="231"/>
      <c r="AG256" s="231"/>
      <c r="AH256" s="231"/>
      <c r="AI256" s="231"/>
      <c r="AJ256" s="231"/>
    </row>
    <row r="257" spans="1:36" s="203" customFormat="1">
      <c r="A257" s="124">
        <v>13</v>
      </c>
      <c r="B257" s="94" t="s">
        <v>202</v>
      </c>
      <c r="C257" s="94"/>
      <c r="D257" s="94"/>
      <c r="E257" s="159">
        <v>9327</v>
      </c>
      <c r="F257" s="61">
        <f>F242+F247+F254+F256</f>
        <v>10584</v>
      </c>
      <c r="G257" s="118"/>
      <c r="H257" s="61">
        <f>H242+H247+H254+H256</f>
        <v>9960</v>
      </c>
      <c r="I257" s="21"/>
      <c r="J257" s="231"/>
      <c r="K257" s="231"/>
      <c r="L257" s="231"/>
      <c r="M257" s="231"/>
      <c r="N257" s="231"/>
      <c r="O257" s="231"/>
      <c r="P257" s="231"/>
      <c r="Q257" s="231"/>
      <c r="R257" s="231"/>
      <c r="S257" s="231"/>
      <c r="T257" s="231"/>
      <c r="U257" s="231"/>
      <c r="V257" s="231"/>
      <c r="W257" s="231"/>
      <c r="X257" s="231"/>
      <c r="Y257" s="231"/>
      <c r="Z257" s="231"/>
      <c r="AA257" s="231"/>
      <c r="AB257" s="231"/>
      <c r="AC257" s="231"/>
      <c r="AD257" s="231"/>
      <c r="AE257" s="231"/>
      <c r="AF257" s="231"/>
      <c r="AG257" s="231"/>
      <c r="AH257" s="231"/>
      <c r="AI257" s="231"/>
      <c r="AJ257" s="231"/>
    </row>
    <row r="258" spans="1:36" s="203" customFormat="1">
      <c r="A258" s="207"/>
      <c r="B258" s="207"/>
      <c r="C258" s="207"/>
      <c r="D258" s="208"/>
      <c r="E258" s="208"/>
      <c r="F258" s="207"/>
      <c r="G258" s="207"/>
      <c r="H258" s="207"/>
      <c r="I258" s="21"/>
      <c r="J258" s="231"/>
      <c r="K258" s="231"/>
      <c r="L258" s="231"/>
      <c r="M258" s="231"/>
      <c r="N258" s="231"/>
      <c r="O258" s="231"/>
      <c r="P258" s="231"/>
      <c r="Q258" s="231"/>
      <c r="R258" s="231"/>
      <c r="S258" s="231"/>
      <c r="T258" s="231"/>
      <c r="U258" s="231"/>
      <c r="V258" s="231"/>
      <c r="W258" s="231"/>
      <c r="X258" s="231"/>
      <c r="Y258" s="231"/>
      <c r="Z258" s="231"/>
      <c r="AA258" s="231"/>
      <c r="AB258" s="231"/>
      <c r="AC258" s="231"/>
      <c r="AD258" s="231"/>
      <c r="AE258" s="231"/>
      <c r="AF258" s="231"/>
      <c r="AG258" s="231"/>
      <c r="AH258" s="231"/>
      <c r="AI258" s="231"/>
      <c r="AJ258" s="231"/>
    </row>
    <row r="259" spans="1:36" s="203" customFormat="1">
      <c r="A259" s="23"/>
      <c r="B259" s="207"/>
      <c r="C259" s="207"/>
      <c r="D259" s="207"/>
      <c r="E259" s="207"/>
      <c r="F259" s="207"/>
      <c r="G259" s="207"/>
      <c r="H259" s="21"/>
      <c r="I259" s="21"/>
      <c r="J259" s="231"/>
      <c r="K259" s="231"/>
      <c r="L259" s="231"/>
      <c r="M259" s="231"/>
      <c r="N259" s="231"/>
      <c r="O259" s="231"/>
      <c r="P259" s="231"/>
      <c r="Q259" s="231"/>
      <c r="R259" s="231"/>
      <c r="S259" s="231"/>
      <c r="T259" s="231"/>
      <c r="U259" s="231"/>
      <c r="V259" s="231"/>
      <c r="W259" s="231"/>
      <c r="X259" s="231"/>
      <c r="Y259" s="231"/>
      <c r="Z259" s="231"/>
      <c r="AA259" s="231"/>
      <c r="AB259" s="231"/>
      <c r="AC259" s="231"/>
      <c r="AD259" s="231"/>
      <c r="AE259" s="231"/>
      <c r="AF259" s="231"/>
      <c r="AG259" s="231"/>
      <c r="AH259" s="231"/>
      <c r="AI259" s="231"/>
      <c r="AJ259" s="231"/>
    </row>
    <row r="260" spans="1:36" s="203" customFormat="1">
      <c r="A260" s="148"/>
      <c r="B260" s="29"/>
      <c r="C260" s="29"/>
      <c r="D260" s="172"/>
      <c r="E260" s="152"/>
      <c r="F260" s="29"/>
      <c r="G260" s="29"/>
      <c r="H260" s="131" t="s">
        <v>27</v>
      </c>
      <c r="I260" s="21"/>
      <c r="J260" s="231"/>
      <c r="K260" s="231"/>
      <c r="L260" s="231"/>
      <c r="M260" s="231"/>
      <c r="N260" s="231"/>
      <c r="O260" s="231"/>
      <c r="P260" s="231"/>
      <c r="Q260" s="231"/>
      <c r="R260" s="231"/>
      <c r="S260" s="231"/>
      <c r="T260" s="231"/>
      <c r="U260" s="231"/>
      <c r="V260" s="231"/>
      <c r="W260" s="231"/>
      <c r="X260" s="231"/>
      <c r="Y260" s="231"/>
      <c r="Z260" s="231"/>
      <c r="AA260" s="231"/>
      <c r="AB260" s="231"/>
      <c r="AC260" s="231"/>
      <c r="AD260" s="231"/>
      <c r="AE260" s="231"/>
      <c r="AF260" s="231"/>
      <c r="AG260" s="231"/>
      <c r="AH260" s="231"/>
      <c r="AI260" s="231"/>
      <c r="AJ260" s="231"/>
    </row>
    <row r="261" spans="1:36" s="203" customFormat="1" ht="12.75" customHeight="1">
      <c r="A261" s="106" t="s">
        <v>15</v>
      </c>
      <c r="B261" s="164"/>
      <c r="C261" s="164"/>
      <c r="D261" s="164"/>
      <c r="E261" s="856" t="s">
        <v>377</v>
      </c>
      <c r="F261" s="856" t="s">
        <v>402</v>
      </c>
      <c r="G261" s="130"/>
      <c r="H261" s="856" t="s">
        <v>403</v>
      </c>
      <c r="I261" s="21"/>
      <c r="J261" s="231"/>
      <c r="K261" s="231"/>
      <c r="L261" s="231"/>
      <c r="M261" s="231"/>
      <c r="N261" s="231"/>
      <c r="O261" s="231"/>
      <c r="P261" s="231"/>
      <c r="Q261" s="231"/>
      <c r="R261" s="231"/>
      <c r="S261" s="231"/>
      <c r="T261" s="231"/>
      <c r="U261" s="231"/>
      <c r="V261" s="231"/>
      <c r="W261" s="231"/>
      <c r="X261" s="231"/>
      <c r="Y261" s="231"/>
      <c r="Z261" s="231"/>
      <c r="AA261" s="231"/>
      <c r="AB261" s="231"/>
      <c r="AC261" s="231"/>
      <c r="AD261" s="231"/>
      <c r="AE261" s="231"/>
      <c r="AF261" s="231"/>
      <c r="AG261" s="231"/>
      <c r="AH261" s="231"/>
      <c r="AI261" s="231"/>
      <c r="AJ261" s="231"/>
    </row>
    <row r="262" spans="1:36" s="203" customFormat="1">
      <c r="A262" s="165"/>
      <c r="B262" s="47"/>
      <c r="C262" s="47"/>
      <c r="D262" s="47"/>
      <c r="E262" s="859"/>
      <c r="F262" s="859"/>
      <c r="G262" s="130"/>
      <c r="H262" s="859"/>
      <c r="I262" s="21"/>
      <c r="J262" s="231"/>
      <c r="K262" s="231"/>
      <c r="L262" s="231"/>
      <c r="M262" s="231"/>
      <c r="N262" s="231"/>
      <c r="O262" s="231"/>
      <c r="P262" s="231"/>
      <c r="Q262" s="231"/>
      <c r="R262" s="231"/>
      <c r="S262" s="231"/>
      <c r="T262" s="231"/>
      <c r="U262" s="231"/>
      <c r="V262" s="231"/>
      <c r="W262" s="231"/>
      <c r="X262" s="231"/>
      <c r="Y262" s="231"/>
      <c r="Z262" s="231"/>
      <c r="AA262" s="231"/>
      <c r="AB262" s="231"/>
      <c r="AC262" s="231"/>
      <c r="AD262" s="231"/>
      <c r="AE262" s="231"/>
      <c r="AF262" s="231"/>
      <c r="AG262" s="231"/>
      <c r="AH262" s="231"/>
      <c r="AI262" s="231"/>
      <c r="AJ262" s="231"/>
    </row>
    <row r="263" spans="1:36" s="203" customFormat="1">
      <c r="A263" s="109"/>
      <c r="B263" s="174"/>
      <c r="C263" s="174"/>
      <c r="D263" s="174"/>
      <c r="E263" s="859"/>
      <c r="F263" s="859"/>
      <c r="G263" s="130"/>
      <c r="H263" s="859"/>
      <c r="I263" s="21"/>
      <c r="J263" s="231"/>
      <c r="K263" s="231"/>
      <c r="L263" s="231"/>
      <c r="M263" s="231"/>
      <c r="N263" s="231"/>
      <c r="O263" s="231"/>
      <c r="P263" s="231"/>
      <c r="Q263" s="231"/>
      <c r="R263" s="231"/>
      <c r="S263" s="231"/>
      <c r="T263" s="231"/>
      <c r="U263" s="231"/>
      <c r="V263" s="231"/>
      <c r="W263" s="231"/>
      <c r="X263" s="231"/>
      <c r="Y263" s="231"/>
      <c r="Z263" s="231"/>
      <c r="AA263" s="231"/>
      <c r="AB263" s="231"/>
      <c r="AC263" s="231"/>
      <c r="AD263" s="231"/>
      <c r="AE263" s="231"/>
      <c r="AF263" s="231"/>
      <c r="AG263" s="231"/>
      <c r="AH263" s="231"/>
      <c r="AI263" s="231"/>
      <c r="AJ263" s="231"/>
    </row>
    <row r="264" spans="1:36" s="203" customFormat="1">
      <c r="A264" s="154" t="s">
        <v>203</v>
      </c>
      <c r="B264" s="47"/>
      <c r="C264" s="47"/>
      <c r="D264" s="47"/>
      <c r="E264" s="859"/>
      <c r="F264" s="859"/>
      <c r="G264" s="130"/>
      <c r="H264" s="859"/>
      <c r="I264" s="21"/>
      <c r="J264" s="231"/>
      <c r="K264" s="231"/>
      <c r="L264" s="231"/>
      <c r="M264" s="231"/>
      <c r="N264" s="231"/>
      <c r="O264" s="231"/>
      <c r="P264" s="231"/>
      <c r="Q264" s="231"/>
      <c r="R264" s="231"/>
      <c r="S264" s="231"/>
      <c r="T264" s="231"/>
      <c r="U264" s="231"/>
      <c r="V264" s="231"/>
      <c r="W264" s="231"/>
      <c r="X264" s="231"/>
      <c r="Y264" s="231"/>
      <c r="Z264" s="231"/>
      <c r="AA264" s="231"/>
      <c r="AB264" s="231"/>
      <c r="AC264" s="231"/>
      <c r="AD264" s="231"/>
      <c r="AE264" s="231"/>
      <c r="AF264" s="231"/>
      <c r="AG264" s="231"/>
      <c r="AH264" s="231"/>
      <c r="AI264" s="231"/>
      <c r="AJ264" s="231"/>
    </row>
    <row r="265" spans="1:36" s="203" customFormat="1">
      <c r="A265" s="109" t="s">
        <v>83</v>
      </c>
      <c r="B265" s="174"/>
      <c r="C265" s="174"/>
      <c r="D265" s="174"/>
      <c r="E265" s="860"/>
      <c r="F265" s="860"/>
      <c r="G265" s="130"/>
      <c r="H265" s="860"/>
      <c r="I265" s="21"/>
      <c r="J265" s="231"/>
      <c r="K265" s="231"/>
      <c r="L265" s="231"/>
      <c r="M265" s="231"/>
      <c r="N265" s="231"/>
      <c r="O265" s="231"/>
      <c r="P265" s="231"/>
      <c r="Q265" s="231"/>
      <c r="R265" s="231"/>
      <c r="S265" s="231"/>
      <c r="T265" s="231"/>
      <c r="U265" s="231"/>
      <c r="V265" s="231"/>
      <c r="W265" s="231"/>
      <c r="X265" s="231"/>
      <c r="Y265" s="231"/>
      <c r="Z265" s="231"/>
      <c r="AA265" s="231"/>
      <c r="AB265" s="231"/>
      <c r="AC265" s="231"/>
      <c r="AD265" s="231"/>
      <c r="AE265" s="231"/>
      <c r="AF265" s="231"/>
      <c r="AG265" s="231"/>
      <c r="AH265" s="231"/>
      <c r="AI265" s="231"/>
      <c r="AJ265" s="231"/>
    </row>
    <row r="266" spans="1:36" s="203" customFormat="1">
      <c r="A266" s="110" t="s">
        <v>84</v>
      </c>
      <c r="B266" s="116"/>
      <c r="C266" s="116"/>
      <c r="D266" s="116"/>
      <c r="E266" s="178"/>
      <c r="F266" s="146"/>
      <c r="G266" s="118"/>
      <c r="H266" s="146"/>
      <c r="I266" s="21"/>
      <c r="J266" s="231"/>
      <c r="K266" s="231"/>
      <c r="L266" s="231"/>
      <c r="M266" s="231"/>
      <c r="N266" s="231"/>
      <c r="O266" s="231"/>
      <c r="P266" s="231"/>
      <c r="Q266" s="231"/>
      <c r="R266" s="231"/>
      <c r="S266" s="231"/>
      <c r="T266" s="231"/>
      <c r="U266" s="231"/>
      <c r="V266" s="231"/>
      <c r="W266" s="231"/>
      <c r="X266" s="231"/>
      <c r="Y266" s="231"/>
      <c r="Z266" s="231"/>
      <c r="AA266" s="231"/>
      <c r="AB266" s="231"/>
      <c r="AC266" s="231"/>
      <c r="AD266" s="231"/>
      <c r="AE266" s="231"/>
      <c r="AF266" s="231"/>
      <c r="AG266" s="231"/>
      <c r="AH266" s="231"/>
      <c r="AI266" s="231"/>
      <c r="AJ266" s="231"/>
    </row>
    <row r="267" spans="1:36" s="203" customFormat="1">
      <c r="A267" s="120">
        <v>1</v>
      </c>
      <c r="B267" s="47" t="s">
        <v>204</v>
      </c>
      <c r="C267" s="47"/>
      <c r="D267" s="47"/>
      <c r="E267" s="74">
        <v>0</v>
      </c>
      <c r="F267" s="52">
        <v>0</v>
      </c>
      <c r="G267" s="118"/>
      <c r="H267" s="122">
        <v>0</v>
      </c>
      <c r="I267" s="21"/>
      <c r="J267" s="231"/>
      <c r="K267" s="231"/>
      <c r="L267" s="231"/>
      <c r="M267" s="231"/>
      <c r="N267" s="231"/>
      <c r="O267" s="231"/>
      <c r="P267" s="231"/>
      <c r="Q267" s="231"/>
      <c r="R267" s="231"/>
      <c r="S267" s="231"/>
      <c r="T267" s="231"/>
      <c r="U267" s="231"/>
      <c r="V267" s="231"/>
      <c r="W267" s="231"/>
      <c r="X267" s="231"/>
      <c r="Y267" s="231"/>
      <c r="Z267" s="231"/>
      <c r="AA267" s="231"/>
      <c r="AB267" s="231"/>
      <c r="AC267" s="231"/>
      <c r="AD267" s="231"/>
      <c r="AE267" s="231"/>
      <c r="AF267" s="231"/>
      <c r="AG267" s="231"/>
      <c r="AH267" s="231"/>
      <c r="AI267" s="231"/>
      <c r="AJ267" s="231"/>
    </row>
    <row r="268" spans="1:36" s="203" customFormat="1">
      <c r="A268" s="674">
        <v>2</v>
      </c>
      <c r="B268" s="166" t="s">
        <v>205</v>
      </c>
      <c r="C268" s="166"/>
      <c r="D268" s="47"/>
      <c r="E268" s="114">
        <v>0</v>
      </c>
      <c r="F268" s="52">
        <v>0</v>
      </c>
      <c r="G268" s="118"/>
      <c r="H268" s="122">
        <v>0</v>
      </c>
      <c r="I268" s="21"/>
      <c r="J268" s="231"/>
      <c r="K268" s="231"/>
      <c r="L268" s="231"/>
      <c r="M268" s="231"/>
      <c r="N268" s="231"/>
      <c r="O268" s="231"/>
      <c r="P268" s="231"/>
      <c r="Q268" s="231"/>
      <c r="R268" s="231"/>
      <c r="S268" s="231"/>
      <c r="T268" s="231"/>
      <c r="U268" s="231"/>
      <c r="V268" s="231"/>
      <c r="W268" s="231"/>
      <c r="X268" s="231"/>
      <c r="Y268" s="231"/>
      <c r="Z268" s="231"/>
      <c r="AA268" s="231"/>
      <c r="AB268" s="231"/>
      <c r="AC268" s="231"/>
      <c r="AD268" s="231"/>
      <c r="AE268" s="231"/>
      <c r="AF268" s="231"/>
      <c r="AG268" s="231"/>
      <c r="AH268" s="231"/>
      <c r="AI268" s="231"/>
      <c r="AJ268" s="231"/>
    </row>
    <row r="269" spans="1:36" s="203" customFormat="1">
      <c r="A269" s="120">
        <v>3</v>
      </c>
      <c r="B269" s="47" t="s">
        <v>206</v>
      </c>
      <c r="C269" s="47"/>
      <c r="D269" s="168"/>
      <c r="E269" s="114">
        <v>172</v>
      </c>
      <c r="F269" s="52">
        <v>147</v>
      </c>
      <c r="G269" s="118"/>
      <c r="H269" s="122">
        <v>139</v>
      </c>
      <c r="I269" s="21"/>
      <c r="J269" s="231"/>
      <c r="K269" s="231"/>
      <c r="L269" s="231"/>
      <c r="M269" s="231"/>
      <c r="N269" s="231"/>
      <c r="O269" s="231"/>
      <c r="P269" s="231"/>
      <c r="Q269" s="231"/>
      <c r="R269" s="231"/>
      <c r="S269" s="231"/>
      <c r="T269" s="231"/>
      <c r="U269" s="231"/>
      <c r="V269" s="231"/>
      <c r="W269" s="231"/>
      <c r="X269" s="231"/>
      <c r="Y269" s="231"/>
      <c r="Z269" s="231"/>
      <c r="AA269" s="231"/>
      <c r="AB269" s="231"/>
      <c r="AC269" s="231"/>
      <c r="AD269" s="231"/>
      <c r="AE269" s="231"/>
      <c r="AF269" s="231"/>
      <c r="AG269" s="231"/>
      <c r="AH269" s="231"/>
      <c r="AI269" s="231"/>
      <c r="AJ269" s="231"/>
    </row>
    <row r="270" spans="1:36" s="203" customFormat="1">
      <c r="A270" s="674">
        <v>4</v>
      </c>
      <c r="B270" s="47" t="s">
        <v>207</v>
      </c>
      <c r="C270" s="47"/>
      <c r="D270" s="116"/>
      <c r="E270" s="114">
        <v>1</v>
      </c>
      <c r="F270" s="52">
        <v>47</v>
      </c>
      <c r="G270" s="118"/>
      <c r="H270" s="122">
        <v>13</v>
      </c>
      <c r="I270" s="21"/>
      <c r="J270" s="231"/>
      <c r="K270" s="231"/>
      <c r="L270" s="231"/>
      <c r="M270" s="231"/>
      <c r="N270" s="231"/>
      <c r="O270" s="231"/>
      <c r="P270" s="231"/>
      <c r="Q270" s="231"/>
      <c r="R270" s="231"/>
      <c r="S270" s="231"/>
      <c r="T270" s="231"/>
      <c r="U270" s="231"/>
      <c r="V270" s="231"/>
      <c r="W270" s="231"/>
      <c r="X270" s="231"/>
      <c r="Y270" s="231"/>
      <c r="Z270" s="231"/>
      <c r="AA270" s="231"/>
      <c r="AB270" s="231"/>
      <c r="AC270" s="231"/>
      <c r="AD270" s="231"/>
      <c r="AE270" s="231"/>
      <c r="AF270" s="231"/>
      <c r="AG270" s="231"/>
      <c r="AH270" s="231"/>
      <c r="AI270" s="231"/>
      <c r="AJ270" s="231"/>
    </row>
    <row r="271" spans="1:36" s="203" customFormat="1">
      <c r="A271" s="120">
        <v>5</v>
      </c>
      <c r="B271" s="47" t="s">
        <v>208</v>
      </c>
      <c r="C271" s="47"/>
      <c r="D271" s="47"/>
      <c r="E271" s="114">
        <v>0</v>
      </c>
      <c r="F271" s="52">
        <v>0</v>
      </c>
      <c r="G271" s="118"/>
      <c r="H271" s="122">
        <v>0</v>
      </c>
      <c r="I271" s="21"/>
      <c r="J271" s="231"/>
      <c r="K271" s="231"/>
      <c r="L271" s="231"/>
      <c r="M271" s="231"/>
      <c r="N271" s="231"/>
      <c r="O271" s="231"/>
      <c r="P271" s="231"/>
      <c r="Q271" s="231"/>
      <c r="R271" s="231"/>
      <c r="S271" s="231"/>
      <c r="T271" s="231"/>
      <c r="U271" s="231"/>
      <c r="V271" s="231"/>
      <c r="W271" s="231"/>
      <c r="X271" s="231"/>
      <c r="Y271" s="231"/>
      <c r="Z271" s="231"/>
      <c r="AA271" s="231"/>
      <c r="AB271" s="231"/>
      <c r="AC271" s="231"/>
      <c r="AD271" s="231"/>
      <c r="AE271" s="231"/>
      <c r="AF271" s="231"/>
      <c r="AG271" s="231"/>
      <c r="AH271" s="231"/>
      <c r="AI271" s="231"/>
      <c r="AJ271" s="231"/>
    </row>
    <row r="272" spans="1:36" s="203" customFormat="1">
      <c r="A272" s="674">
        <v>6</v>
      </c>
      <c r="B272" s="47" t="s">
        <v>209</v>
      </c>
      <c r="C272" s="47"/>
      <c r="D272" s="47"/>
      <c r="E272" s="114">
        <v>0</v>
      </c>
      <c r="F272" s="52">
        <v>0</v>
      </c>
      <c r="G272" s="118"/>
      <c r="H272" s="122">
        <v>0</v>
      </c>
      <c r="I272" s="21"/>
      <c r="J272" s="231"/>
      <c r="K272" s="231"/>
      <c r="L272" s="231"/>
      <c r="M272" s="231"/>
      <c r="N272" s="231"/>
      <c r="O272" s="231"/>
      <c r="P272" s="231"/>
      <c r="Q272" s="231"/>
      <c r="R272" s="231"/>
      <c r="S272" s="231"/>
      <c r="T272" s="231"/>
      <c r="U272" s="231"/>
      <c r="V272" s="231"/>
      <c r="W272" s="231"/>
      <c r="X272" s="231"/>
      <c r="Y272" s="231"/>
      <c r="Z272" s="231"/>
      <c r="AA272" s="231"/>
      <c r="AB272" s="231"/>
      <c r="AC272" s="231"/>
      <c r="AD272" s="231"/>
      <c r="AE272" s="231"/>
      <c r="AF272" s="231"/>
      <c r="AG272" s="231"/>
      <c r="AH272" s="231"/>
      <c r="AI272" s="231"/>
      <c r="AJ272" s="231"/>
    </row>
    <row r="273" spans="1:36" s="203" customFormat="1">
      <c r="A273" s="120">
        <v>7</v>
      </c>
      <c r="B273" s="47" t="s">
        <v>210</v>
      </c>
      <c r="C273" s="47"/>
      <c r="D273" s="47"/>
      <c r="E273" s="114">
        <v>2258</v>
      </c>
      <c r="F273" s="52">
        <v>2328</v>
      </c>
      <c r="G273" s="118"/>
      <c r="H273" s="122">
        <v>2343</v>
      </c>
      <c r="I273" s="21"/>
      <c r="J273" s="231"/>
      <c r="K273" s="231"/>
      <c r="L273" s="231"/>
      <c r="M273" s="231"/>
      <c r="N273" s="231"/>
      <c r="O273" s="231"/>
      <c r="P273" s="231"/>
      <c r="Q273" s="231"/>
      <c r="R273" s="231"/>
      <c r="S273" s="231"/>
      <c r="T273" s="231"/>
      <c r="U273" s="231"/>
      <c r="V273" s="231"/>
      <c r="W273" s="231"/>
      <c r="X273" s="231"/>
      <c r="Y273" s="231"/>
      <c r="Z273" s="231"/>
      <c r="AA273" s="231"/>
      <c r="AB273" s="231"/>
      <c r="AC273" s="231"/>
      <c r="AD273" s="231"/>
      <c r="AE273" s="231"/>
      <c r="AF273" s="231"/>
      <c r="AG273" s="231"/>
      <c r="AH273" s="231"/>
      <c r="AI273" s="231"/>
      <c r="AJ273" s="231"/>
    </row>
    <row r="274" spans="1:36" s="203" customFormat="1">
      <c r="A274" s="674">
        <v>8</v>
      </c>
      <c r="B274" s="47" t="s">
        <v>211</v>
      </c>
      <c r="C274" s="47"/>
      <c r="D274" s="47"/>
      <c r="E274" s="114">
        <v>4409</v>
      </c>
      <c r="F274" s="52">
        <v>4890</v>
      </c>
      <c r="G274" s="118"/>
      <c r="H274" s="122">
        <v>4880</v>
      </c>
      <c r="I274" s="21"/>
      <c r="J274" s="231"/>
      <c r="K274" s="231"/>
      <c r="L274" s="231"/>
      <c r="M274" s="231"/>
      <c r="N274" s="231"/>
      <c r="O274" s="231"/>
      <c r="P274" s="231"/>
      <c r="Q274" s="231"/>
      <c r="R274" s="231"/>
      <c r="S274" s="231"/>
      <c r="T274" s="231"/>
      <c r="U274" s="231"/>
      <c r="V274" s="231"/>
      <c r="W274" s="231"/>
      <c r="X274" s="231"/>
      <c r="Y274" s="231"/>
      <c r="Z274" s="231"/>
      <c r="AA274" s="231"/>
      <c r="AB274" s="231"/>
      <c r="AC274" s="231"/>
      <c r="AD274" s="231"/>
      <c r="AE274" s="231"/>
      <c r="AF274" s="231"/>
      <c r="AG274" s="231"/>
      <c r="AH274" s="231"/>
      <c r="AI274" s="231"/>
      <c r="AJ274" s="231"/>
    </row>
    <row r="275" spans="1:36" s="203" customFormat="1">
      <c r="A275" s="120">
        <v>9</v>
      </c>
      <c r="B275" s="47" t="s">
        <v>212</v>
      </c>
      <c r="C275" s="47"/>
      <c r="D275" s="47"/>
      <c r="E275" s="114">
        <v>0</v>
      </c>
      <c r="F275" s="52">
        <v>0</v>
      </c>
      <c r="G275" s="118"/>
      <c r="H275" s="122">
        <v>0</v>
      </c>
      <c r="I275" s="21"/>
      <c r="J275" s="231"/>
      <c r="K275" s="231"/>
      <c r="L275" s="231"/>
      <c r="M275" s="231"/>
      <c r="N275" s="231"/>
      <c r="O275" s="231"/>
      <c r="P275" s="231"/>
      <c r="Q275" s="231"/>
      <c r="R275" s="231"/>
      <c r="S275" s="231"/>
      <c r="T275" s="231"/>
      <c r="U275" s="231"/>
      <c r="V275" s="231"/>
      <c r="W275" s="231"/>
      <c r="X275" s="231"/>
      <c r="Y275" s="231"/>
      <c r="Z275" s="231"/>
      <c r="AA275" s="231"/>
      <c r="AB275" s="231"/>
      <c r="AC275" s="231"/>
      <c r="AD275" s="231"/>
      <c r="AE275" s="231"/>
      <c r="AF275" s="231"/>
      <c r="AG275" s="231"/>
      <c r="AH275" s="231"/>
      <c r="AI275" s="231"/>
      <c r="AJ275" s="231"/>
    </row>
    <row r="276" spans="1:36" s="203" customFormat="1">
      <c r="A276" s="674">
        <v>10</v>
      </c>
      <c r="B276" s="47" t="s">
        <v>213</v>
      </c>
      <c r="C276" s="47"/>
      <c r="D276" s="47"/>
      <c r="E276" s="114">
        <v>266</v>
      </c>
      <c r="F276" s="52">
        <v>291</v>
      </c>
      <c r="G276" s="118"/>
      <c r="H276" s="99">
        <v>269</v>
      </c>
      <c r="I276" s="21"/>
      <c r="J276" s="231"/>
      <c r="K276" s="231"/>
      <c r="L276" s="231"/>
      <c r="M276" s="231"/>
      <c r="N276" s="231"/>
      <c r="O276" s="231"/>
      <c r="P276" s="231"/>
      <c r="Q276" s="231"/>
      <c r="R276" s="231"/>
      <c r="S276" s="231"/>
      <c r="T276" s="231"/>
      <c r="U276" s="231"/>
      <c r="V276" s="231"/>
      <c r="W276" s="231"/>
      <c r="X276" s="231"/>
      <c r="Y276" s="231"/>
      <c r="Z276" s="231"/>
      <c r="AA276" s="231"/>
      <c r="AB276" s="231"/>
      <c r="AC276" s="231"/>
      <c r="AD276" s="231"/>
      <c r="AE276" s="231"/>
      <c r="AF276" s="231"/>
      <c r="AG276" s="231"/>
      <c r="AH276" s="231"/>
      <c r="AI276" s="231"/>
      <c r="AJ276" s="231"/>
    </row>
    <row r="277" spans="1:36" s="203" customFormat="1">
      <c r="A277" s="124">
        <v>11</v>
      </c>
      <c r="B277" s="94" t="s">
        <v>214</v>
      </c>
      <c r="C277" s="94"/>
      <c r="D277" s="94"/>
      <c r="E277" s="159">
        <v>7106</v>
      </c>
      <c r="F277" s="61">
        <f>SUM(F267:F276)</f>
        <v>7703</v>
      </c>
      <c r="G277" s="118"/>
      <c r="H277" s="61">
        <f>SUM(H267:H276)</f>
        <v>7644</v>
      </c>
      <c r="I277" s="21"/>
      <c r="J277" s="231"/>
      <c r="K277" s="231"/>
      <c r="L277" s="231"/>
      <c r="M277" s="231"/>
      <c r="N277" s="231"/>
      <c r="O277" s="231"/>
      <c r="P277" s="231"/>
      <c r="Q277" s="231"/>
      <c r="R277" s="231"/>
      <c r="S277" s="231"/>
      <c r="T277" s="231"/>
      <c r="U277" s="231"/>
      <c r="V277" s="231"/>
      <c r="W277" s="231"/>
      <c r="X277" s="231"/>
      <c r="Y277" s="231"/>
      <c r="Z277" s="231"/>
      <c r="AA277" s="231"/>
      <c r="AB277" s="231"/>
      <c r="AC277" s="231"/>
      <c r="AD277" s="231"/>
      <c r="AE277" s="231"/>
      <c r="AF277" s="231"/>
      <c r="AG277" s="231"/>
      <c r="AH277" s="231"/>
      <c r="AI277" s="231"/>
      <c r="AJ277" s="231"/>
    </row>
    <row r="278" spans="1:36" s="203" customFormat="1">
      <c r="A278" s="207"/>
      <c r="B278" s="207"/>
      <c r="C278" s="207"/>
      <c r="D278" s="207"/>
      <c r="E278" s="207"/>
      <c r="F278" s="207"/>
      <c r="G278" s="207"/>
      <c r="H278" s="207"/>
      <c r="I278" s="21"/>
      <c r="J278" s="231"/>
      <c r="K278" s="231"/>
      <c r="L278" s="231"/>
      <c r="M278" s="231"/>
      <c r="N278" s="231"/>
      <c r="O278" s="231"/>
      <c r="P278" s="231"/>
      <c r="Q278" s="231"/>
      <c r="R278" s="231"/>
      <c r="S278" s="231"/>
      <c r="T278" s="231"/>
      <c r="U278" s="231"/>
      <c r="V278" s="231"/>
      <c r="W278" s="231"/>
      <c r="X278" s="231"/>
      <c r="Y278" s="231"/>
      <c r="Z278" s="231"/>
      <c r="AA278" s="231"/>
      <c r="AB278" s="231"/>
      <c r="AC278" s="231"/>
      <c r="AD278" s="231"/>
      <c r="AE278" s="231"/>
      <c r="AF278" s="231"/>
      <c r="AG278" s="231"/>
      <c r="AH278" s="231"/>
      <c r="AI278" s="231"/>
      <c r="AJ278" s="231"/>
    </row>
    <row r="279" spans="1:36" s="203" customFormat="1">
      <c r="A279" s="207"/>
      <c r="B279" s="207"/>
      <c r="C279" s="207"/>
      <c r="D279" s="207"/>
      <c r="E279" s="207"/>
      <c r="F279" s="207"/>
      <c r="G279" s="207"/>
      <c r="H279" s="131" t="s">
        <v>27</v>
      </c>
      <c r="I279" s="21"/>
      <c r="J279" s="231"/>
      <c r="K279" s="231"/>
      <c r="L279" s="231"/>
      <c r="M279" s="231"/>
      <c r="N279" s="231"/>
      <c r="O279" s="231"/>
      <c r="P279" s="231"/>
      <c r="Q279" s="231"/>
      <c r="R279" s="231"/>
      <c r="S279" s="231"/>
      <c r="T279" s="231"/>
      <c r="U279" s="231"/>
      <c r="V279" s="231"/>
      <c r="W279" s="231"/>
      <c r="X279" s="231"/>
      <c r="Y279" s="231"/>
      <c r="Z279" s="231"/>
      <c r="AA279" s="231"/>
      <c r="AB279" s="231"/>
      <c r="AC279" s="231"/>
      <c r="AD279" s="231"/>
      <c r="AE279" s="231"/>
      <c r="AF279" s="231"/>
      <c r="AG279" s="231"/>
      <c r="AH279" s="231"/>
      <c r="AI279" s="231"/>
      <c r="AJ279" s="231"/>
    </row>
    <row r="280" spans="1:36" s="203" customFormat="1" ht="12.75" customHeight="1">
      <c r="A280" s="106" t="s">
        <v>18</v>
      </c>
      <c r="B280" s="164"/>
      <c r="C280" s="164"/>
      <c r="D280" s="164"/>
      <c r="E280" s="856" t="s">
        <v>377</v>
      </c>
      <c r="F280" s="856" t="s">
        <v>402</v>
      </c>
      <c r="G280" s="130"/>
      <c r="H280" s="856" t="s">
        <v>403</v>
      </c>
      <c r="I280" s="21"/>
      <c r="J280" s="231"/>
      <c r="K280" s="231"/>
      <c r="L280" s="231"/>
      <c r="M280" s="231"/>
      <c r="N280" s="231"/>
      <c r="O280" s="231"/>
      <c r="P280" s="231"/>
      <c r="Q280" s="231"/>
      <c r="R280" s="231"/>
      <c r="S280" s="231"/>
      <c r="T280" s="231"/>
      <c r="U280" s="231"/>
      <c r="V280" s="231"/>
      <c r="W280" s="231"/>
      <c r="X280" s="231"/>
      <c r="Y280" s="231"/>
      <c r="Z280" s="231"/>
      <c r="AA280" s="231"/>
      <c r="AB280" s="231"/>
      <c r="AC280" s="231"/>
      <c r="AD280" s="231"/>
      <c r="AE280" s="231"/>
      <c r="AF280" s="231"/>
      <c r="AG280" s="231"/>
      <c r="AH280" s="231"/>
      <c r="AI280" s="231"/>
      <c r="AJ280" s="231"/>
    </row>
    <row r="281" spans="1:36" s="203" customFormat="1">
      <c r="A281" s="165"/>
      <c r="B281" s="47"/>
      <c r="C281" s="47"/>
      <c r="D281" s="47"/>
      <c r="E281" s="859"/>
      <c r="F281" s="859"/>
      <c r="G281" s="130"/>
      <c r="H281" s="859"/>
      <c r="I281" s="21"/>
      <c r="J281" s="231"/>
      <c r="K281" s="231"/>
      <c r="L281" s="231"/>
      <c r="M281" s="231"/>
      <c r="N281" s="231"/>
      <c r="O281" s="231"/>
      <c r="P281" s="231"/>
      <c r="Q281" s="231"/>
      <c r="R281" s="231"/>
      <c r="S281" s="231"/>
      <c r="T281" s="231"/>
      <c r="U281" s="231"/>
      <c r="V281" s="231"/>
      <c r="W281" s="231"/>
      <c r="X281" s="231"/>
      <c r="Y281" s="231"/>
      <c r="Z281" s="231"/>
      <c r="AA281" s="231"/>
      <c r="AB281" s="231"/>
      <c r="AC281" s="231"/>
      <c r="AD281" s="231"/>
      <c r="AE281" s="231"/>
      <c r="AF281" s="231"/>
      <c r="AG281" s="231"/>
      <c r="AH281" s="231"/>
      <c r="AI281" s="231"/>
      <c r="AJ281" s="231"/>
    </row>
    <row r="282" spans="1:36" s="203" customFormat="1" ht="21.75" customHeight="1">
      <c r="A282" s="109"/>
      <c r="B282" s="174"/>
      <c r="C282" s="174"/>
      <c r="D282" s="174"/>
      <c r="E282" s="859"/>
      <c r="F282" s="859"/>
      <c r="G282" s="130"/>
      <c r="H282" s="859"/>
      <c r="I282" s="21"/>
      <c r="J282" s="231"/>
      <c r="K282" s="231"/>
      <c r="L282" s="231"/>
      <c r="M282" s="231"/>
      <c r="N282" s="231"/>
      <c r="O282" s="231"/>
      <c r="P282" s="231"/>
      <c r="Q282" s="231"/>
      <c r="R282" s="231"/>
      <c r="S282" s="231"/>
      <c r="T282" s="231"/>
      <c r="U282" s="231"/>
      <c r="V282" s="231"/>
      <c r="W282" s="231"/>
      <c r="X282" s="231"/>
      <c r="Y282" s="231"/>
      <c r="Z282" s="231"/>
      <c r="AA282" s="231"/>
      <c r="AB282" s="231"/>
      <c r="AC282" s="231"/>
      <c r="AD282" s="231"/>
      <c r="AE282" s="231"/>
      <c r="AF282" s="231"/>
      <c r="AG282" s="231"/>
      <c r="AH282" s="231"/>
      <c r="AI282" s="231"/>
      <c r="AJ282" s="231"/>
    </row>
    <row r="283" spans="1:36" s="203" customFormat="1">
      <c r="A283" s="154" t="s">
        <v>215</v>
      </c>
      <c r="B283" s="47"/>
      <c r="C283" s="47"/>
      <c r="D283" s="47"/>
      <c r="E283" s="859"/>
      <c r="F283" s="859"/>
      <c r="G283" s="130"/>
      <c r="H283" s="859"/>
      <c r="I283" s="21"/>
      <c r="J283" s="231"/>
      <c r="K283" s="231"/>
      <c r="L283" s="231"/>
      <c r="M283" s="231"/>
      <c r="N283" s="231"/>
      <c r="O283" s="231"/>
      <c r="P283" s="231"/>
      <c r="Q283" s="231"/>
      <c r="R283" s="231"/>
      <c r="S283" s="231"/>
      <c r="T283" s="231"/>
      <c r="U283" s="231"/>
      <c r="V283" s="231"/>
      <c r="W283" s="231"/>
      <c r="X283" s="231"/>
      <c r="Y283" s="231"/>
      <c r="Z283" s="231"/>
      <c r="AA283" s="231"/>
      <c r="AB283" s="231"/>
      <c r="AC283" s="231"/>
      <c r="AD283" s="231"/>
      <c r="AE283" s="231"/>
      <c r="AF283" s="231"/>
      <c r="AG283" s="231"/>
      <c r="AH283" s="231"/>
      <c r="AI283" s="231"/>
      <c r="AJ283" s="231"/>
    </row>
    <row r="284" spans="1:36" s="203" customFormat="1">
      <c r="A284" s="109" t="s">
        <v>83</v>
      </c>
      <c r="B284" s="174"/>
      <c r="C284" s="174"/>
      <c r="D284" s="174"/>
      <c r="E284" s="860"/>
      <c r="F284" s="860"/>
      <c r="G284" s="130"/>
      <c r="H284" s="860"/>
      <c r="I284" s="21"/>
      <c r="J284" s="231"/>
      <c r="K284" s="231"/>
      <c r="L284" s="231"/>
      <c r="M284" s="231"/>
      <c r="N284" s="231"/>
      <c r="O284" s="231"/>
      <c r="P284" s="231"/>
      <c r="Q284" s="231"/>
      <c r="R284" s="231"/>
      <c r="S284" s="231"/>
      <c r="T284" s="231"/>
      <c r="U284" s="231"/>
      <c r="V284" s="231"/>
      <c r="W284" s="231"/>
      <c r="X284" s="231"/>
      <c r="Y284" s="231"/>
      <c r="Z284" s="231"/>
      <c r="AA284" s="231"/>
      <c r="AB284" s="231"/>
      <c r="AC284" s="231"/>
      <c r="AD284" s="231"/>
      <c r="AE284" s="231"/>
      <c r="AF284" s="231"/>
      <c r="AG284" s="231"/>
      <c r="AH284" s="231"/>
      <c r="AI284" s="231"/>
      <c r="AJ284" s="231"/>
    </row>
    <row r="285" spans="1:36" s="203" customFormat="1">
      <c r="A285" s="110" t="s">
        <v>84</v>
      </c>
      <c r="B285" s="116"/>
      <c r="C285" s="116"/>
      <c r="D285" s="116"/>
      <c r="E285" s="178"/>
      <c r="F285" s="146"/>
      <c r="G285" s="118"/>
      <c r="H285" s="146"/>
      <c r="I285" s="21"/>
      <c r="J285" s="231"/>
      <c r="K285" s="231"/>
      <c r="L285" s="231"/>
      <c r="M285" s="231"/>
      <c r="N285" s="231"/>
      <c r="O285" s="231"/>
      <c r="P285" s="231"/>
      <c r="Q285" s="231"/>
      <c r="R285" s="231"/>
      <c r="S285" s="231"/>
      <c r="T285" s="231"/>
      <c r="U285" s="231"/>
      <c r="V285" s="231"/>
      <c r="W285" s="231"/>
      <c r="X285" s="231"/>
      <c r="Y285" s="231"/>
      <c r="Z285" s="231"/>
      <c r="AA285" s="231"/>
      <c r="AB285" s="231"/>
      <c r="AC285" s="231"/>
      <c r="AD285" s="231"/>
      <c r="AE285" s="231"/>
      <c r="AF285" s="231"/>
      <c r="AG285" s="231"/>
      <c r="AH285" s="231"/>
      <c r="AI285" s="231"/>
      <c r="AJ285" s="231"/>
    </row>
    <row r="286" spans="1:36" s="203" customFormat="1">
      <c r="A286" s="120">
        <v>1</v>
      </c>
      <c r="B286" s="47" t="s">
        <v>216</v>
      </c>
      <c r="C286" s="47"/>
      <c r="D286" s="47"/>
      <c r="E286" s="74">
        <v>385</v>
      </c>
      <c r="F286" s="52">
        <v>347</v>
      </c>
      <c r="G286" s="118"/>
      <c r="H286" s="122">
        <v>365</v>
      </c>
      <c r="I286" s="21"/>
      <c r="J286" s="231"/>
      <c r="K286" s="231"/>
      <c r="L286" s="231"/>
      <c r="M286" s="231"/>
      <c r="N286" s="231"/>
      <c r="O286" s="231"/>
      <c r="P286" s="231"/>
      <c r="Q286" s="231"/>
      <c r="R286" s="231"/>
      <c r="S286" s="231"/>
      <c r="T286" s="231"/>
      <c r="U286" s="231"/>
      <c r="V286" s="231"/>
      <c r="W286" s="231"/>
      <c r="X286" s="231"/>
      <c r="Y286" s="231"/>
      <c r="Z286" s="231"/>
      <c r="AA286" s="231"/>
      <c r="AB286" s="231"/>
      <c r="AC286" s="231"/>
      <c r="AD286" s="231"/>
      <c r="AE286" s="231"/>
      <c r="AF286" s="231"/>
      <c r="AG286" s="231"/>
      <c r="AH286" s="231"/>
      <c r="AI286" s="231"/>
      <c r="AJ286" s="231"/>
    </row>
    <row r="287" spans="1:36" s="203" customFormat="1">
      <c r="A287" s="674">
        <v>2</v>
      </c>
      <c r="B287" s="47" t="s">
        <v>217</v>
      </c>
      <c r="C287" s="47"/>
      <c r="D287" s="47"/>
      <c r="E287" s="114">
        <v>41</v>
      </c>
      <c r="F287" s="52">
        <v>43</v>
      </c>
      <c r="G287" s="118"/>
      <c r="H287" s="122">
        <v>44</v>
      </c>
      <c r="I287" s="21"/>
      <c r="J287" s="231"/>
      <c r="K287" s="231"/>
      <c r="L287" s="231"/>
      <c r="M287" s="231"/>
      <c r="N287" s="231"/>
      <c r="O287" s="231"/>
      <c r="P287" s="231"/>
      <c r="Q287" s="231"/>
      <c r="R287" s="231"/>
      <c r="S287" s="231"/>
      <c r="T287" s="231"/>
      <c r="U287" s="231"/>
      <c r="V287" s="231"/>
      <c r="W287" s="231"/>
      <c r="X287" s="231"/>
      <c r="Y287" s="231"/>
      <c r="Z287" s="231"/>
      <c r="AA287" s="231"/>
      <c r="AB287" s="231"/>
      <c r="AC287" s="231"/>
      <c r="AD287" s="231"/>
      <c r="AE287" s="231"/>
      <c r="AF287" s="231"/>
      <c r="AG287" s="231"/>
      <c r="AH287" s="231"/>
      <c r="AI287" s="231"/>
      <c r="AJ287" s="231"/>
    </row>
    <row r="288" spans="1:36" s="203" customFormat="1">
      <c r="A288" s="120">
        <v>3</v>
      </c>
      <c r="B288" s="90" t="s">
        <v>218</v>
      </c>
      <c r="C288" s="166"/>
      <c r="D288" s="168"/>
      <c r="E288" s="114">
        <v>175</v>
      </c>
      <c r="F288" s="52">
        <v>130</v>
      </c>
      <c r="G288" s="118"/>
      <c r="H288" s="122">
        <v>122</v>
      </c>
      <c r="I288" s="21"/>
      <c r="J288" s="231"/>
      <c r="K288" s="231"/>
      <c r="L288" s="231"/>
      <c r="M288" s="231"/>
      <c r="N288" s="231"/>
      <c r="O288" s="231"/>
      <c r="P288" s="231"/>
      <c r="Q288" s="231"/>
      <c r="R288" s="231"/>
      <c r="S288" s="231"/>
      <c r="T288" s="231"/>
      <c r="U288" s="231"/>
      <c r="V288" s="231"/>
      <c r="W288" s="231"/>
      <c r="X288" s="231"/>
      <c r="Y288" s="231"/>
      <c r="Z288" s="231"/>
      <c r="AA288" s="231"/>
      <c r="AB288" s="231"/>
      <c r="AC288" s="231"/>
      <c r="AD288" s="231"/>
      <c r="AE288" s="231"/>
      <c r="AF288" s="231"/>
      <c r="AG288" s="231"/>
      <c r="AH288" s="231"/>
      <c r="AI288" s="231"/>
      <c r="AJ288" s="231"/>
    </row>
    <row r="289" spans="1:36" s="203" customFormat="1">
      <c r="A289" s="674">
        <v>4</v>
      </c>
      <c r="B289" s="47" t="s">
        <v>219</v>
      </c>
      <c r="C289" s="47"/>
      <c r="D289" s="116"/>
      <c r="E289" s="114">
        <v>147</v>
      </c>
      <c r="F289" s="52">
        <v>36</v>
      </c>
      <c r="G289" s="118"/>
      <c r="H289" s="122">
        <v>39</v>
      </c>
      <c r="I289" s="21"/>
      <c r="J289" s="231"/>
      <c r="K289" s="231"/>
      <c r="L289" s="231"/>
      <c r="M289" s="231"/>
      <c r="N289" s="231"/>
      <c r="O289" s="231"/>
      <c r="P289" s="231"/>
      <c r="Q289" s="231"/>
      <c r="R289" s="231"/>
      <c r="S289" s="231"/>
      <c r="T289" s="231"/>
      <c r="U289" s="231"/>
      <c r="V289" s="231"/>
      <c r="W289" s="231"/>
      <c r="X289" s="231"/>
      <c r="Y289" s="231"/>
      <c r="Z289" s="231"/>
      <c r="AA289" s="231"/>
      <c r="AB289" s="231"/>
      <c r="AC289" s="231"/>
      <c r="AD289" s="231"/>
      <c r="AE289" s="231"/>
      <c r="AF289" s="231"/>
      <c r="AG289" s="231"/>
      <c r="AH289" s="231"/>
      <c r="AI289" s="231"/>
      <c r="AJ289" s="231"/>
    </row>
    <row r="290" spans="1:36" s="203" customFormat="1">
      <c r="A290" s="674">
        <v>5</v>
      </c>
      <c r="B290" s="47" t="s">
        <v>220</v>
      </c>
      <c r="C290" s="47"/>
      <c r="D290" s="47"/>
      <c r="E290" s="114">
        <v>-101</v>
      </c>
      <c r="F290" s="52">
        <v>-50</v>
      </c>
      <c r="G290" s="118"/>
      <c r="H290" s="122">
        <v>-34</v>
      </c>
      <c r="I290" s="21"/>
      <c r="J290" s="231"/>
      <c r="K290" s="231"/>
      <c r="L290" s="231"/>
      <c r="M290" s="231"/>
      <c r="N290" s="231"/>
      <c r="O290" s="231"/>
      <c r="P290" s="231"/>
      <c r="Q290" s="231"/>
      <c r="R290" s="231"/>
      <c r="S290" s="231"/>
      <c r="T290" s="231"/>
      <c r="U290" s="231"/>
      <c r="V290" s="231"/>
      <c r="W290" s="231"/>
      <c r="X290" s="231"/>
      <c r="Y290" s="231"/>
      <c r="Z290" s="231"/>
      <c r="AA290" s="231"/>
      <c r="AB290" s="231"/>
      <c r="AC290" s="231"/>
      <c r="AD290" s="231"/>
      <c r="AE290" s="231"/>
      <c r="AF290" s="231"/>
      <c r="AG290" s="231"/>
      <c r="AH290" s="231"/>
      <c r="AI290" s="231"/>
      <c r="AJ290" s="231"/>
    </row>
    <row r="291" spans="1:36" s="203" customFormat="1">
      <c r="A291" s="120">
        <v>6</v>
      </c>
      <c r="B291" s="47" t="s">
        <v>221</v>
      </c>
      <c r="C291" s="47"/>
      <c r="D291" s="47"/>
      <c r="E291" s="114">
        <v>83</v>
      </c>
      <c r="F291" s="52">
        <v>205</v>
      </c>
      <c r="G291" s="118"/>
      <c r="H291" s="122">
        <v>34</v>
      </c>
      <c r="I291" s="21"/>
      <c r="J291" s="231"/>
      <c r="K291" s="231"/>
      <c r="L291" s="231"/>
      <c r="M291" s="231"/>
      <c r="N291" s="231"/>
      <c r="O291" s="231"/>
      <c r="P291" s="231"/>
      <c r="Q291" s="231"/>
      <c r="R291" s="231"/>
      <c r="S291" s="231"/>
      <c r="T291" s="231"/>
      <c r="U291" s="231"/>
      <c r="V291" s="231"/>
      <c r="W291" s="231"/>
      <c r="X291" s="231"/>
      <c r="Y291" s="231"/>
      <c r="Z291" s="231"/>
      <c r="AA291" s="231"/>
      <c r="AB291" s="231"/>
      <c r="AC291" s="231"/>
      <c r="AD291" s="231"/>
      <c r="AE291" s="231"/>
      <c r="AF291" s="231"/>
      <c r="AG291" s="231"/>
      <c r="AH291" s="231"/>
      <c r="AI291" s="231"/>
      <c r="AJ291" s="231"/>
    </row>
    <row r="292" spans="1:36" s="203" customFormat="1">
      <c r="A292" s="674">
        <v>7</v>
      </c>
      <c r="B292" s="47" t="s">
        <v>222</v>
      </c>
      <c r="C292" s="47"/>
      <c r="D292" s="116"/>
      <c r="E292" s="114">
        <v>181</v>
      </c>
      <c r="F292" s="52">
        <v>174</v>
      </c>
      <c r="G292" s="118"/>
      <c r="H292" s="122">
        <v>179</v>
      </c>
      <c r="I292" s="21"/>
      <c r="J292" s="231"/>
      <c r="K292" s="231"/>
      <c r="L292" s="231"/>
      <c r="M292" s="231"/>
      <c r="N292" s="231"/>
      <c r="O292" s="231"/>
      <c r="P292" s="231"/>
      <c r="Q292" s="231"/>
      <c r="R292" s="231"/>
      <c r="S292" s="231"/>
      <c r="T292" s="231"/>
      <c r="U292" s="231"/>
      <c r="V292" s="231"/>
      <c r="W292" s="231"/>
      <c r="X292" s="231"/>
      <c r="Y292" s="231"/>
      <c r="Z292" s="231"/>
      <c r="AA292" s="231"/>
      <c r="AB292" s="231"/>
      <c r="AC292" s="231"/>
      <c r="AD292" s="231"/>
      <c r="AE292" s="231"/>
      <c r="AF292" s="231"/>
      <c r="AG292" s="231"/>
      <c r="AH292" s="231"/>
      <c r="AI292" s="231"/>
      <c r="AJ292" s="231"/>
    </row>
    <row r="293" spans="1:36" s="203" customFormat="1">
      <c r="A293" s="120">
        <v>8</v>
      </c>
      <c r="B293" s="47" t="s">
        <v>223</v>
      </c>
      <c r="C293" s="47"/>
      <c r="D293" s="116"/>
      <c r="E293" s="114">
        <v>451</v>
      </c>
      <c r="F293" s="52">
        <v>434</v>
      </c>
      <c r="G293" s="118"/>
      <c r="H293" s="122">
        <v>448</v>
      </c>
      <c r="I293" s="21"/>
      <c r="J293" s="231"/>
      <c r="K293" s="231"/>
      <c r="L293" s="231"/>
      <c r="M293" s="231"/>
      <c r="N293" s="231"/>
      <c r="O293" s="231"/>
      <c r="P293" s="231"/>
      <c r="Q293" s="231"/>
      <c r="R293" s="231"/>
      <c r="S293" s="231"/>
      <c r="T293" s="231"/>
      <c r="U293" s="231"/>
      <c r="V293" s="231"/>
      <c r="W293" s="231"/>
      <c r="X293" s="231"/>
      <c r="Y293" s="231"/>
      <c r="Z293" s="231"/>
      <c r="AA293" s="231"/>
      <c r="AB293" s="231"/>
      <c r="AC293" s="231"/>
      <c r="AD293" s="231"/>
      <c r="AE293" s="231"/>
      <c r="AF293" s="231"/>
      <c r="AG293" s="231"/>
      <c r="AH293" s="231"/>
      <c r="AI293" s="231"/>
      <c r="AJ293" s="231"/>
    </row>
    <row r="294" spans="1:36" s="203" customFormat="1">
      <c r="A294" s="674">
        <v>9</v>
      </c>
      <c r="B294" s="47" t="s">
        <v>224</v>
      </c>
      <c r="C294" s="47"/>
      <c r="D294" s="116"/>
      <c r="E294" s="114">
        <v>271</v>
      </c>
      <c r="F294" s="52">
        <v>261</v>
      </c>
      <c r="G294" s="118"/>
      <c r="H294" s="122">
        <v>268</v>
      </c>
      <c r="I294" s="21"/>
      <c r="J294" s="231"/>
      <c r="K294" s="231"/>
      <c r="L294" s="231"/>
      <c r="M294" s="231"/>
      <c r="N294" s="231"/>
      <c r="O294" s="231"/>
      <c r="P294" s="231"/>
      <c r="Q294" s="231"/>
      <c r="R294" s="231"/>
      <c r="S294" s="231"/>
      <c r="T294" s="231"/>
      <c r="U294" s="231"/>
      <c r="V294" s="231"/>
      <c r="W294" s="231"/>
      <c r="X294" s="231"/>
      <c r="Y294" s="231"/>
      <c r="Z294" s="231"/>
      <c r="AA294" s="231"/>
      <c r="AB294" s="231"/>
      <c r="AC294" s="231"/>
      <c r="AD294" s="231"/>
      <c r="AE294" s="231"/>
      <c r="AF294" s="231"/>
      <c r="AG294" s="231"/>
      <c r="AH294" s="231"/>
      <c r="AI294" s="231"/>
      <c r="AJ294" s="231"/>
    </row>
    <row r="295" spans="1:36" s="203" customFormat="1">
      <c r="A295" s="120">
        <v>10</v>
      </c>
      <c r="B295" s="47" t="s">
        <v>225</v>
      </c>
      <c r="C295" s="47"/>
      <c r="D295" s="47"/>
      <c r="E295" s="114">
        <v>62</v>
      </c>
      <c r="F295" s="52">
        <v>62</v>
      </c>
      <c r="G295" s="118"/>
      <c r="H295" s="122">
        <v>66</v>
      </c>
      <c r="I295" s="21"/>
      <c r="J295" s="231"/>
      <c r="K295" s="231"/>
      <c r="L295" s="231"/>
      <c r="M295" s="231"/>
      <c r="N295" s="231"/>
      <c r="O295" s="231"/>
      <c r="P295" s="231"/>
      <c r="Q295" s="231"/>
      <c r="R295" s="231"/>
      <c r="S295" s="231"/>
      <c r="T295" s="231"/>
      <c r="U295" s="231"/>
      <c r="V295" s="231"/>
      <c r="W295" s="231"/>
      <c r="X295" s="231"/>
      <c r="Y295" s="231"/>
      <c r="Z295" s="231"/>
      <c r="AA295" s="231"/>
      <c r="AB295" s="231"/>
      <c r="AC295" s="231"/>
      <c r="AD295" s="231"/>
      <c r="AE295" s="231"/>
      <c r="AF295" s="231"/>
      <c r="AG295" s="231"/>
      <c r="AH295" s="231"/>
      <c r="AI295" s="231"/>
      <c r="AJ295" s="231"/>
    </row>
    <row r="296" spans="1:36" s="203" customFormat="1">
      <c r="A296" s="674">
        <v>11</v>
      </c>
      <c r="B296" s="47" t="s">
        <v>226</v>
      </c>
      <c r="C296" s="47"/>
      <c r="D296" s="47"/>
      <c r="E296" s="114">
        <v>0</v>
      </c>
      <c r="F296" s="52">
        <v>152</v>
      </c>
      <c r="G296" s="118"/>
      <c r="H296" s="122">
        <v>0</v>
      </c>
      <c r="I296" s="21"/>
      <c r="J296" s="231"/>
      <c r="K296" s="231"/>
      <c r="L296" s="231"/>
      <c r="M296" s="231"/>
      <c r="N296" s="231"/>
      <c r="O296" s="231"/>
      <c r="P296" s="231"/>
      <c r="Q296" s="231"/>
      <c r="R296" s="231"/>
      <c r="S296" s="231"/>
      <c r="T296" s="231"/>
      <c r="U296" s="231"/>
      <c r="V296" s="231"/>
      <c r="W296" s="231"/>
      <c r="X296" s="231"/>
      <c r="Y296" s="231"/>
      <c r="Z296" s="231"/>
      <c r="AA296" s="231"/>
      <c r="AB296" s="231"/>
      <c r="AC296" s="231"/>
      <c r="AD296" s="231"/>
      <c r="AE296" s="231"/>
      <c r="AF296" s="231"/>
      <c r="AG296" s="231"/>
      <c r="AH296" s="231"/>
      <c r="AI296" s="231"/>
      <c r="AJ296" s="231"/>
    </row>
    <row r="297" spans="1:36" s="203" customFormat="1">
      <c r="A297" s="120">
        <v>12</v>
      </c>
      <c r="B297" s="47" t="s">
        <v>227</v>
      </c>
      <c r="C297" s="47"/>
      <c r="D297" s="47"/>
      <c r="E297" s="114">
        <v>75</v>
      </c>
      <c r="F297" s="52">
        <v>50</v>
      </c>
      <c r="G297" s="118"/>
      <c r="H297" s="122">
        <v>197</v>
      </c>
      <c r="I297" s="21"/>
      <c r="J297" s="231"/>
      <c r="K297" s="231"/>
      <c r="L297" s="231"/>
      <c r="M297" s="231"/>
      <c r="N297" s="231"/>
      <c r="O297" s="231"/>
      <c r="P297" s="231"/>
      <c r="Q297" s="231"/>
      <c r="R297" s="231"/>
      <c r="S297" s="231"/>
      <c r="T297" s="231"/>
      <c r="U297" s="231"/>
      <c r="V297" s="231"/>
      <c r="W297" s="231"/>
      <c r="X297" s="231"/>
      <c r="Y297" s="231"/>
      <c r="Z297" s="231"/>
      <c r="AA297" s="231"/>
      <c r="AB297" s="231"/>
      <c r="AC297" s="231"/>
      <c r="AD297" s="231"/>
      <c r="AE297" s="231"/>
      <c r="AF297" s="231"/>
      <c r="AG297" s="231"/>
      <c r="AH297" s="231"/>
      <c r="AI297" s="231"/>
      <c r="AJ297" s="231"/>
    </row>
    <row r="298" spans="1:36" s="203" customFormat="1">
      <c r="A298" s="674">
        <v>13</v>
      </c>
      <c r="B298" s="47" t="s">
        <v>228</v>
      </c>
      <c r="C298" s="47"/>
      <c r="D298" s="47"/>
      <c r="E298" s="114">
        <v>2604</v>
      </c>
      <c r="F298" s="52">
        <v>2568</v>
      </c>
      <c r="G298" s="118"/>
      <c r="H298" s="122">
        <v>2438</v>
      </c>
      <c r="I298" s="21"/>
      <c r="J298" s="231"/>
      <c r="K298" s="231"/>
      <c r="L298" s="231"/>
      <c r="M298" s="231"/>
      <c r="N298" s="231"/>
      <c r="O298" s="231"/>
      <c r="P298" s="231"/>
      <c r="Q298" s="231"/>
      <c r="R298" s="231"/>
      <c r="S298" s="231"/>
      <c r="T298" s="231"/>
      <c r="U298" s="231"/>
      <c r="V298" s="231"/>
      <c r="W298" s="231"/>
      <c r="X298" s="231"/>
      <c r="Y298" s="231"/>
      <c r="Z298" s="231"/>
      <c r="AA298" s="231"/>
      <c r="AB298" s="231"/>
      <c r="AC298" s="231"/>
      <c r="AD298" s="231"/>
      <c r="AE298" s="231"/>
      <c r="AF298" s="231"/>
      <c r="AG298" s="231"/>
      <c r="AH298" s="231"/>
      <c r="AI298" s="231"/>
      <c r="AJ298" s="231"/>
    </row>
    <row r="299" spans="1:36" s="203" customFormat="1">
      <c r="A299" s="120">
        <v>14</v>
      </c>
      <c r="B299" s="47" t="s">
        <v>229</v>
      </c>
      <c r="C299" s="47"/>
      <c r="D299" s="116"/>
      <c r="E299" s="114">
        <v>0</v>
      </c>
      <c r="F299" s="52">
        <v>0</v>
      </c>
      <c r="G299" s="118"/>
      <c r="H299" s="122">
        <v>0</v>
      </c>
      <c r="I299" s="21"/>
      <c r="J299" s="231"/>
      <c r="K299" s="231"/>
      <c r="L299" s="231"/>
      <c r="M299" s="231"/>
      <c r="N299" s="231"/>
      <c r="O299" s="231"/>
      <c r="P299" s="231"/>
      <c r="Q299" s="231"/>
      <c r="R299" s="231"/>
      <c r="S299" s="231"/>
      <c r="T299" s="231"/>
      <c r="U299" s="231"/>
      <c r="V299" s="231"/>
      <c r="W299" s="231"/>
      <c r="X299" s="231"/>
      <c r="Y299" s="231"/>
      <c r="Z299" s="231"/>
      <c r="AA299" s="231"/>
      <c r="AB299" s="231"/>
      <c r="AC299" s="231"/>
      <c r="AD299" s="231"/>
      <c r="AE299" s="231"/>
      <c r="AF299" s="231"/>
      <c r="AG299" s="231"/>
      <c r="AH299" s="231"/>
      <c r="AI299" s="231"/>
      <c r="AJ299" s="231"/>
    </row>
    <row r="300" spans="1:36" s="203" customFormat="1">
      <c r="A300" s="674">
        <v>15</v>
      </c>
      <c r="B300" s="47" t="s">
        <v>230</v>
      </c>
      <c r="C300" s="47"/>
      <c r="D300" s="116"/>
      <c r="E300" s="114">
        <v>81</v>
      </c>
      <c r="F300" s="52">
        <v>37</v>
      </c>
      <c r="G300" s="118"/>
      <c r="H300" s="122">
        <v>54</v>
      </c>
      <c r="I300" s="21"/>
      <c r="J300" s="231"/>
      <c r="K300" s="231"/>
      <c r="L300" s="231"/>
      <c r="M300" s="231"/>
      <c r="N300" s="231"/>
      <c r="O300" s="231"/>
      <c r="P300" s="231"/>
      <c r="Q300" s="231"/>
      <c r="R300" s="231"/>
      <c r="S300" s="231"/>
      <c r="T300" s="231"/>
      <c r="U300" s="231"/>
      <c r="V300" s="231"/>
      <c r="W300" s="231"/>
      <c r="X300" s="231"/>
      <c r="Y300" s="231"/>
      <c r="Z300" s="231"/>
      <c r="AA300" s="231"/>
      <c r="AB300" s="231"/>
      <c r="AC300" s="231"/>
      <c r="AD300" s="231"/>
      <c r="AE300" s="231"/>
      <c r="AF300" s="231"/>
      <c r="AG300" s="231"/>
      <c r="AH300" s="231"/>
      <c r="AI300" s="231"/>
      <c r="AJ300" s="231"/>
    </row>
    <row r="301" spans="1:36" s="203" customFormat="1">
      <c r="A301" s="120">
        <v>17</v>
      </c>
      <c r="B301" s="47" t="s">
        <v>231</v>
      </c>
      <c r="C301" s="47"/>
      <c r="D301" s="47"/>
      <c r="E301" s="114">
        <v>19</v>
      </c>
      <c r="F301" s="52">
        <v>115</v>
      </c>
      <c r="G301" s="118"/>
      <c r="H301" s="99">
        <v>-1728</v>
      </c>
      <c r="I301" s="21"/>
      <c r="J301" s="231"/>
      <c r="K301" s="231"/>
      <c r="L301" s="231"/>
      <c r="M301" s="231"/>
      <c r="N301" s="231"/>
      <c r="O301" s="231"/>
      <c r="P301" s="231"/>
      <c r="Q301" s="231"/>
      <c r="R301" s="231"/>
      <c r="S301" s="231"/>
      <c r="T301" s="231"/>
      <c r="U301" s="231"/>
      <c r="V301" s="231"/>
      <c r="W301" s="231"/>
      <c r="X301" s="231"/>
      <c r="Y301" s="231"/>
      <c r="Z301" s="231"/>
      <c r="AA301" s="231"/>
      <c r="AB301" s="231"/>
      <c r="AC301" s="231"/>
      <c r="AD301" s="231"/>
      <c r="AE301" s="231"/>
      <c r="AF301" s="231"/>
      <c r="AG301" s="231"/>
      <c r="AH301" s="231"/>
      <c r="AI301" s="231"/>
      <c r="AJ301" s="231"/>
    </row>
    <row r="302" spans="1:36" s="203" customFormat="1">
      <c r="A302" s="675">
        <v>18</v>
      </c>
      <c r="B302" s="94" t="s">
        <v>232</v>
      </c>
      <c r="C302" s="94"/>
      <c r="D302" s="94"/>
      <c r="E302" s="159">
        <v>4474</v>
      </c>
      <c r="F302" s="61">
        <f>SUM(F286:F301)</f>
        <v>4564</v>
      </c>
      <c r="G302" s="118"/>
      <c r="H302" s="61">
        <f>SUM(H286:H301)</f>
        <v>2492</v>
      </c>
      <c r="I302" s="21"/>
      <c r="J302" s="231"/>
      <c r="K302" s="231"/>
      <c r="L302" s="231"/>
      <c r="M302" s="231"/>
      <c r="N302" s="231"/>
      <c r="O302" s="231"/>
      <c r="P302" s="231"/>
      <c r="Q302" s="231"/>
      <c r="R302" s="231"/>
      <c r="S302" s="231"/>
      <c r="T302" s="231"/>
      <c r="U302" s="231"/>
      <c r="V302" s="231"/>
      <c r="W302" s="231"/>
      <c r="X302" s="231"/>
      <c r="Y302" s="231"/>
      <c r="Z302" s="231"/>
      <c r="AA302" s="231"/>
      <c r="AB302" s="231"/>
      <c r="AC302" s="231"/>
      <c r="AD302" s="231"/>
      <c r="AE302" s="231"/>
      <c r="AF302" s="231"/>
      <c r="AG302" s="231"/>
      <c r="AH302" s="231"/>
      <c r="AI302" s="231"/>
      <c r="AJ302" s="231"/>
    </row>
    <row r="303" spans="1:36" s="203" customFormat="1">
      <c r="A303" s="179"/>
      <c r="B303" s="180"/>
      <c r="C303" s="180"/>
      <c r="D303" s="181"/>
      <c r="E303" s="182"/>
      <c r="F303" s="183"/>
      <c r="G303" s="21"/>
      <c r="H303" s="183"/>
      <c r="I303" s="21"/>
      <c r="J303" s="231"/>
      <c r="K303" s="231"/>
      <c r="L303" s="231"/>
      <c r="M303" s="231"/>
      <c r="N303" s="231"/>
      <c r="O303" s="231"/>
      <c r="P303" s="231"/>
      <c r="Q303" s="231"/>
      <c r="R303" s="231"/>
      <c r="S303" s="231"/>
      <c r="T303" s="231"/>
      <c r="U303" s="231"/>
      <c r="V303" s="231"/>
      <c r="W303" s="231"/>
      <c r="X303" s="231"/>
      <c r="Y303" s="231"/>
      <c r="Z303" s="231"/>
      <c r="AA303" s="231"/>
      <c r="AB303" s="231"/>
      <c r="AC303" s="231"/>
      <c r="AD303" s="231"/>
      <c r="AE303" s="231"/>
      <c r="AF303" s="231"/>
      <c r="AG303" s="231"/>
      <c r="AH303" s="231"/>
      <c r="AI303" s="231"/>
      <c r="AJ303" s="231"/>
    </row>
    <row r="304" spans="1:36" s="203" customFormat="1">
      <c r="A304" s="184"/>
      <c r="B304" s="207"/>
      <c r="C304" s="207"/>
      <c r="D304" s="209"/>
      <c r="E304" s="185"/>
      <c r="F304" s="207"/>
      <c r="G304" s="207"/>
      <c r="H304" s="131" t="s">
        <v>27</v>
      </c>
      <c r="I304" s="21"/>
      <c r="J304" s="231"/>
      <c r="K304" s="231"/>
      <c r="L304" s="231"/>
      <c r="M304" s="231"/>
      <c r="N304" s="231"/>
      <c r="O304" s="231"/>
      <c r="P304" s="231"/>
      <c r="Q304" s="231"/>
      <c r="R304" s="231"/>
      <c r="S304" s="231"/>
      <c r="T304" s="231"/>
      <c r="U304" s="231"/>
      <c r="V304" s="231"/>
      <c r="W304" s="231"/>
      <c r="X304" s="231"/>
      <c r="Y304" s="231"/>
      <c r="Z304" s="231"/>
      <c r="AA304" s="231"/>
      <c r="AB304" s="231"/>
      <c r="AC304" s="231"/>
      <c r="AD304" s="231"/>
      <c r="AE304" s="231"/>
      <c r="AF304" s="231"/>
      <c r="AG304" s="231"/>
      <c r="AH304" s="231"/>
      <c r="AI304" s="231"/>
      <c r="AJ304" s="231"/>
    </row>
    <row r="305" spans="1:36" s="203" customFormat="1" ht="12.75" customHeight="1">
      <c r="A305" s="106" t="s">
        <v>21</v>
      </c>
      <c r="B305" s="164"/>
      <c r="C305" s="164"/>
      <c r="D305" s="164"/>
      <c r="E305" s="856" t="s">
        <v>377</v>
      </c>
      <c r="F305" s="856" t="s">
        <v>402</v>
      </c>
      <c r="G305" s="130"/>
      <c r="H305" s="856" t="s">
        <v>403</v>
      </c>
      <c r="I305" s="21"/>
      <c r="J305" s="231"/>
      <c r="K305" s="231"/>
      <c r="L305" s="231"/>
      <c r="M305" s="231"/>
      <c r="N305" s="231"/>
      <c r="O305" s="231"/>
      <c r="P305" s="231"/>
      <c r="Q305" s="231"/>
      <c r="R305" s="231"/>
      <c r="S305" s="231"/>
      <c r="T305" s="231"/>
      <c r="U305" s="231"/>
      <c r="V305" s="231"/>
      <c r="W305" s="231"/>
      <c r="X305" s="231"/>
      <c r="Y305" s="231"/>
      <c r="Z305" s="231"/>
      <c r="AA305" s="231"/>
      <c r="AB305" s="231"/>
      <c r="AC305" s="231"/>
      <c r="AD305" s="231"/>
      <c r="AE305" s="231"/>
      <c r="AF305" s="231"/>
      <c r="AG305" s="231"/>
      <c r="AH305" s="231"/>
      <c r="AI305" s="231"/>
      <c r="AJ305" s="231"/>
    </row>
    <row r="306" spans="1:36" s="203" customFormat="1">
      <c r="A306" s="165"/>
      <c r="B306" s="47"/>
      <c r="C306" s="47"/>
      <c r="D306" s="47"/>
      <c r="E306" s="859"/>
      <c r="F306" s="859"/>
      <c r="G306" s="130"/>
      <c r="H306" s="859"/>
      <c r="I306" s="21"/>
      <c r="J306" s="231"/>
      <c r="K306" s="231"/>
      <c r="L306" s="231"/>
      <c r="M306" s="231"/>
      <c r="N306" s="231"/>
      <c r="O306" s="231"/>
      <c r="P306" s="231"/>
      <c r="Q306" s="231"/>
      <c r="R306" s="231"/>
      <c r="S306" s="231"/>
      <c r="T306" s="231"/>
      <c r="U306" s="231"/>
      <c r="V306" s="231"/>
      <c r="W306" s="231"/>
      <c r="X306" s="231"/>
      <c r="Y306" s="231"/>
      <c r="Z306" s="231"/>
      <c r="AA306" s="231"/>
      <c r="AB306" s="231"/>
      <c r="AC306" s="231"/>
      <c r="AD306" s="231"/>
      <c r="AE306" s="231"/>
      <c r="AF306" s="231"/>
      <c r="AG306" s="231"/>
      <c r="AH306" s="231"/>
      <c r="AI306" s="231"/>
      <c r="AJ306" s="231"/>
    </row>
    <row r="307" spans="1:36" s="203" customFormat="1" ht="12.75" customHeight="1">
      <c r="A307" s="109"/>
      <c r="B307" s="174"/>
      <c r="C307" s="174"/>
      <c r="D307" s="174"/>
      <c r="E307" s="859"/>
      <c r="F307" s="859"/>
      <c r="G307" s="130"/>
      <c r="H307" s="859"/>
      <c r="I307" s="21"/>
      <c r="J307" s="231"/>
      <c r="K307" s="231"/>
      <c r="L307" s="231"/>
      <c r="M307" s="231"/>
      <c r="N307" s="231"/>
      <c r="O307" s="231"/>
      <c r="P307" s="231"/>
      <c r="Q307" s="231"/>
      <c r="R307" s="231"/>
      <c r="S307" s="231"/>
      <c r="T307" s="231"/>
      <c r="U307" s="231"/>
      <c r="V307" s="231"/>
      <c r="W307" s="231"/>
      <c r="X307" s="231"/>
      <c r="Y307" s="231"/>
      <c r="Z307" s="231"/>
      <c r="AA307" s="231"/>
      <c r="AB307" s="231"/>
      <c r="AC307" s="231"/>
      <c r="AD307" s="231"/>
      <c r="AE307" s="231"/>
      <c r="AF307" s="231"/>
      <c r="AG307" s="231"/>
      <c r="AH307" s="231"/>
      <c r="AI307" s="231"/>
      <c r="AJ307" s="231"/>
    </row>
    <row r="308" spans="1:36" s="203" customFormat="1">
      <c r="A308" s="154" t="s">
        <v>233</v>
      </c>
      <c r="B308" s="47"/>
      <c r="C308" s="47"/>
      <c r="D308" s="47"/>
      <c r="E308" s="859"/>
      <c r="F308" s="859"/>
      <c r="G308" s="130"/>
      <c r="H308" s="859"/>
      <c r="I308" s="21"/>
      <c r="J308" s="231"/>
      <c r="K308" s="231"/>
      <c r="L308" s="231"/>
      <c r="M308" s="231"/>
      <c r="N308" s="231"/>
      <c r="O308" s="231"/>
      <c r="P308" s="231"/>
      <c r="Q308" s="231"/>
      <c r="R308" s="231"/>
      <c r="S308" s="231"/>
      <c r="T308" s="231"/>
      <c r="U308" s="231"/>
      <c r="V308" s="231"/>
      <c r="W308" s="231"/>
      <c r="X308" s="231"/>
      <c r="Y308" s="231"/>
      <c r="Z308" s="231"/>
      <c r="AA308" s="231"/>
      <c r="AB308" s="231"/>
      <c r="AC308" s="231"/>
      <c r="AD308" s="231"/>
      <c r="AE308" s="231"/>
      <c r="AF308" s="231"/>
      <c r="AG308" s="231"/>
      <c r="AH308" s="231"/>
      <c r="AI308" s="231"/>
      <c r="AJ308" s="231"/>
    </row>
    <row r="309" spans="1:36" s="203" customFormat="1">
      <c r="A309" s="109" t="s">
        <v>83</v>
      </c>
      <c r="B309" s="174"/>
      <c r="C309" s="174"/>
      <c r="D309" s="174"/>
      <c r="E309" s="860"/>
      <c r="F309" s="860"/>
      <c r="G309" s="130"/>
      <c r="H309" s="860"/>
      <c r="I309" s="21"/>
      <c r="J309" s="231"/>
      <c r="K309" s="231"/>
      <c r="L309" s="231"/>
      <c r="M309" s="231"/>
      <c r="N309" s="231"/>
      <c r="O309" s="231"/>
      <c r="P309" s="231"/>
      <c r="Q309" s="231"/>
      <c r="R309" s="231"/>
      <c r="S309" s="231"/>
      <c r="T309" s="231"/>
      <c r="U309" s="231"/>
      <c r="V309" s="231"/>
      <c r="W309" s="231"/>
      <c r="X309" s="231"/>
      <c r="Y309" s="231"/>
      <c r="Z309" s="231"/>
      <c r="AA309" s="231"/>
      <c r="AB309" s="231"/>
      <c r="AC309" s="231"/>
      <c r="AD309" s="231"/>
      <c r="AE309" s="231"/>
      <c r="AF309" s="231"/>
      <c r="AG309" s="231"/>
      <c r="AH309" s="231"/>
      <c r="AI309" s="231"/>
      <c r="AJ309" s="231"/>
    </row>
    <row r="310" spans="1:36" s="203" customFormat="1">
      <c r="A310" s="110" t="s">
        <v>84</v>
      </c>
      <c r="B310" s="116"/>
      <c r="C310" s="116"/>
      <c r="D310" s="116"/>
      <c r="E310" s="262"/>
      <c r="F310" s="146"/>
      <c r="G310" s="118"/>
      <c r="H310" s="146"/>
      <c r="I310" s="21"/>
      <c r="J310" s="231"/>
      <c r="K310" s="231"/>
      <c r="L310" s="231"/>
      <c r="M310" s="231"/>
      <c r="N310" s="231"/>
      <c r="O310" s="231"/>
      <c r="P310" s="231"/>
      <c r="Q310" s="231"/>
      <c r="R310" s="231"/>
      <c r="S310" s="231"/>
      <c r="T310" s="231"/>
      <c r="U310" s="231"/>
      <c r="V310" s="231"/>
      <c r="W310" s="231"/>
      <c r="X310" s="231"/>
      <c r="Y310" s="231"/>
      <c r="Z310" s="231"/>
      <c r="AA310" s="231"/>
      <c r="AB310" s="231"/>
      <c r="AC310" s="231"/>
      <c r="AD310" s="231"/>
      <c r="AE310" s="231"/>
      <c r="AF310" s="231"/>
      <c r="AG310" s="231"/>
      <c r="AH310" s="231"/>
      <c r="AI310" s="231"/>
      <c r="AJ310" s="231"/>
    </row>
    <row r="311" spans="1:36" s="203" customFormat="1">
      <c r="A311" s="120">
        <v>1</v>
      </c>
      <c r="B311" s="47" t="s">
        <v>258</v>
      </c>
      <c r="C311" s="47"/>
      <c r="D311" s="186"/>
      <c r="E311" s="74">
        <v>0</v>
      </c>
      <c r="F311" s="52">
        <v>0</v>
      </c>
      <c r="G311" s="43"/>
      <c r="H311" s="52">
        <v>0</v>
      </c>
      <c r="I311" s="21"/>
      <c r="J311" s="231"/>
      <c r="K311" s="231"/>
      <c r="L311" s="231"/>
      <c r="M311" s="231"/>
      <c r="N311" s="231"/>
      <c r="O311" s="231"/>
      <c r="P311" s="231"/>
      <c r="Q311" s="231"/>
      <c r="R311" s="231"/>
      <c r="S311" s="231"/>
      <c r="T311" s="231"/>
      <c r="U311" s="231"/>
      <c r="V311" s="231"/>
      <c r="W311" s="231"/>
      <c r="X311" s="231"/>
      <c r="Y311" s="231"/>
      <c r="Z311" s="231"/>
      <c r="AA311" s="231"/>
      <c r="AB311" s="231"/>
      <c r="AC311" s="231"/>
      <c r="AD311" s="231"/>
      <c r="AE311" s="231"/>
      <c r="AF311" s="231"/>
      <c r="AG311" s="231"/>
      <c r="AH311" s="231"/>
      <c r="AI311" s="231"/>
      <c r="AJ311" s="231"/>
    </row>
    <row r="312" spans="1:36" s="203" customFormat="1">
      <c r="A312" s="120">
        <v>2</v>
      </c>
      <c r="B312" s="47" t="s">
        <v>234</v>
      </c>
      <c r="C312" s="47"/>
      <c r="D312" s="186"/>
      <c r="E312" s="114">
        <v>0</v>
      </c>
      <c r="F312" s="52">
        <v>0</v>
      </c>
      <c r="G312" s="43"/>
      <c r="H312" s="52">
        <v>0</v>
      </c>
      <c r="I312" s="21"/>
      <c r="J312" s="231"/>
      <c r="K312" s="231"/>
      <c r="L312" s="231"/>
      <c r="M312" s="231"/>
      <c r="N312" s="231"/>
      <c r="O312" s="231"/>
      <c r="P312" s="231"/>
      <c r="Q312" s="231"/>
      <c r="R312" s="231"/>
      <c r="S312" s="231"/>
      <c r="T312" s="231"/>
      <c r="U312" s="231"/>
      <c r="V312" s="231"/>
      <c r="W312" s="231"/>
      <c r="X312" s="231"/>
      <c r="Y312" s="231"/>
      <c r="Z312" s="231"/>
      <c r="AA312" s="231"/>
      <c r="AB312" s="231"/>
      <c r="AC312" s="231"/>
      <c r="AD312" s="231"/>
      <c r="AE312" s="231"/>
      <c r="AF312" s="231"/>
      <c r="AG312" s="231"/>
      <c r="AH312" s="231"/>
      <c r="AI312" s="231"/>
      <c r="AJ312" s="231"/>
    </row>
    <row r="313" spans="1:36" s="203" customFormat="1">
      <c r="A313" s="120">
        <v>3</v>
      </c>
      <c r="B313" s="47" t="s">
        <v>259</v>
      </c>
      <c r="C313" s="47"/>
      <c r="D313" s="186"/>
      <c r="E313" s="114">
        <v>-1002</v>
      </c>
      <c r="F313" s="52">
        <v>-1638</v>
      </c>
      <c r="G313" s="43"/>
      <c r="H313" s="52">
        <v>-1376</v>
      </c>
      <c r="I313" s="21"/>
      <c r="J313" s="231"/>
      <c r="K313" s="231"/>
      <c r="L313" s="231"/>
      <c r="M313" s="231"/>
      <c r="N313" s="231"/>
      <c r="O313" s="231"/>
      <c r="P313" s="231"/>
      <c r="Q313" s="231"/>
      <c r="R313" s="231"/>
      <c r="S313" s="231"/>
      <c r="T313" s="231"/>
      <c r="U313" s="231"/>
      <c r="V313" s="231"/>
      <c r="W313" s="231"/>
      <c r="X313" s="231"/>
      <c r="Y313" s="231"/>
      <c r="Z313" s="231"/>
      <c r="AA313" s="231"/>
      <c r="AB313" s="231"/>
      <c r="AC313" s="231"/>
      <c r="AD313" s="231"/>
      <c r="AE313" s="231"/>
      <c r="AF313" s="231"/>
      <c r="AG313" s="231"/>
      <c r="AH313" s="231"/>
      <c r="AI313" s="231"/>
      <c r="AJ313" s="231"/>
    </row>
    <row r="314" spans="1:36" s="203" customFormat="1">
      <c r="A314" s="120">
        <v>4</v>
      </c>
      <c r="B314" s="47" t="s">
        <v>235</v>
      </c>
      <c r="C314" s="47"/>
      <c r="D314" s="186"/>
      <c r="E314" s="114">
        <v>5947</v>
      </c>
      <c r="F314" s="52">
        <v>5947</v>
      </c>
      <c r="G314" s="43"/>
      <c r="H314" s="52">
        <v>5000</v>
      </c>
      <c r="I314" s="21"/>
      <c r="J314" s="231"/>
      <c r="K314" s="231"/>
      <c r="L314" s="231"/>
      <c r="M314" s="231"/>
      <c r="N314" s="231"/>
      <c r="O314" s="231"/>
      <c r="P314" s="231"/>
      <c r="Q314" s="231"/>
      <c r="R314" s="231"/>
      <c r="S314" s="231"/>
      <c r="T314" s="231"/>
      <c r="U314" s="231"/>
      <c r="V314" s="231"/>
      <c r="W314" s="231"/>
      <c r="X314" s="231"/>
      <c r="Y314" s="231"/>
      <c r="Z314" s="231"/>
      <c r="AA314" s="231"/>
      <c r="AB314" s="231"/>
      <c r="AC314" s="231"/>
      <c r="AD314" s="231"/>
      <c r="AE314" s="231"/>
      <c r="AF314" s="231"/>
      <c r="AG314" s="231"/>
      <c r="AH314" s="231"/>
      <c r="AI314" s="231"/>
      <c r="AJ314" s="231"/>
    </row>
    <row r="315" spans="1:36" s="203" customFormat="1">
      <c r="A315" s="120">
        <v>5</v>
      </c>
      <c r="B315" s="47" t="s">
        <v>236</v>
      </c>
      <c r="C315" s="47"/>
      <c r="D315" s="186"/>
      <c r="E315" s="114">
        <v>2430</v>
      </c>
      <c r="F315" s="52">
        <v>2430</v>
      </c>
      <c r="G315" s="187"/>
      <c r="H315" s="52">
        <v>2736</v>
      </c>
      <c r="I315" s="21"/>
      <c r="J315" s="231"/>
      <c r="K315" s="231"/>
      <c r="L315" s="231"/>
      <c r="M315" s="231"/>
      <c r="N315" s="231"/>
      <c r="O315" s="231"/>
      <c r="P315" s="231"/>
      <c r="Q315" s="231"/>
      <c r="R315" s="231"/>
      <c r="S315" s="231"/>
      <c r="T315" s="231"/>
      <c r="U315" s="231"/>
      <c r="V315" s="231"/>
      <c r="W315" s="231"/>
      <c r="X315" s="231"/>
      <c r="Y315" s="231"/>
      <c r="Z315" s="231"/>
      <c r="AA315" s="231"/>
      <c r="AB315" s="231"/>
      <c r="AC315" s="231"/>
      <c r="AD315" s="231"/>
      <c r="AE315" s="231"/>
      <c r="AF315" s="231"/>
      <c r="AG315" s="231"/>
      <c r="AH315" s="231"/>
      <c r="AI315" s="231"/>
      <c r="AJ315" s="231"/>
    </row>
    <row r="316" spans="1:36" s="203" customFormat="1">
      <c r="A316" s="120">
        <v>6</v>
      </c>
      <c r="B316" s="47" t="s">
        <v>237</v>
      </c>
      <c r="C316" s="47"/>
      <c r="D316" s="186"/>
      <c r="E316" s="114">
        <v>13788</v>
      </c>
      <c r="F316" s="52">
        <v>14219</v>
      </c>
      <c r="G316" s="43"/>
      <c r="H316" s="52">
        <v>14692</v>
      </c>
      <c r="I316" s="21"/>
      <c r="J316" s="231"/>
      <c r="K316" s="231"/>
      <c r="L316" s="231"/>
      <c r="M316" s="231"/>
      <c r="N316" s="231"/>
      <c r="O316" s="231"/>
      <c r="P316" s="231"/>
      <c r="Q316" s="231"/>
      <c r="R316" s="231"/>
      <c r="S316" s="231"/>
      <c r="T316" s="231"/>
      <c r="U316" s="231"/>
      <c r="V316" s="231"/>
      <c r="W316" s="231"/>
      <c r="X316" s="231"/>
      <c r="Y316" s="231"/>
      <c r="Z316" s="231"/>
      <c r="AA316" s="231"/>
      <c r="AB316" s="231"/>
      <c r="AC316" s="231"/>
      <c r="AD316" s="231"/>
      <c r="AE316" s="231"/>
      <c r="AF316" s="231"/>
      <c r="AG316" s="231"/>
      <c r="AH316" s="231"/>
      <c r="AI316" s="231"/>
      <c r="AJ316" s="231"/>
    </row>
    <row r="317" spans="1:36" s="203" customFormat="1">
      <c r="A317" s="120">
        <v>7</v>
      </c>
      <c r="B317" s="47" t="s">
        <v>238</v>
      </c>
      <c r="C317" s="47"/>
      <c r="D317" s="186"/>
      <c r="E317" s="114">
        <v>0</v>
      </c>
      <c r="F317" s="52">
        <v>0</v>
      </c>
      <c r="G317" s="43"/>
      <c r="H317" s="52">
        <v>0</v>
      </c>
      <c r="I317" s="21"/>
      <c r="J317" s="231"/>
      <c r="K317" s="231"/>
      <c r="L317" s="231"/>
      <c r="M317" s="231"/>
      <c r="N317" s="231"/>
      <c r="O317" s="231"/>
      <c r="P317" s="231"/>
      <c r="Q317" s="231"/>
      <c r="R317" s="231"/>
      <c r="S317" s="231"/>
      <c r="T317" s="231"/>
      <c r="U317" s="231"/>
      <c r="V317" s="231"/>
      <c r="W317" s="231"/>
      <c r="X317" s="231"/>
      <c r="Y317" s="231"/>
      <c r="Z317" s="231"/>
      <c r="AA317" s="231"/>
      <c r="AB317" s="231"/>
      <c r="AC317" s="231"/>
      <c r="AD317" s="231"/>
      <c r="AE317" s="231"/>
      <c r="AF317" s="231"/>
      <c r="AG317" s="231"/>
      <c r="AH317" s="231"/>
      <c r="AI317" s="231"/>
      <c r="AJ317" s="231"/>
    </row>
    <row r="318" spans="1:36" s="203" customFormat="1">
      <c r="A318" s="120">
        <v>8</v>
      </c>
      <c r="B318" s="47" t="s">
        <v>239</v>
      </c>
      <c r="C318" s="47"/>
      <c r="D318" s="186"/>
      <c r="E318" s="114">
        <v>0</v>
      </c>
      <c r="F318" s="52">
        <v>0</v>
      </c>
      <c r="G318" s="43"/>
      <c r="H318" s="52">
        <v>0</v>
      </c>
      <c r="I318" s="21"/>
      <c r="J318" s="231"/>
      <c r="K318" s="231"/>
      <c r="L318" s="231"/>
      <c r="M318" s="231"/>
      <c r="N318" s="231"/>
      <c r="O318" s="231"/>
      <c r="P318" s="231"/>
      <c r="Q318" s="231"/>
      <c r="R318" s="231"/>
      <c r="S318" s="231"/>
      <c r="T318" s="231"/>
      <c r="U318" s="231"/>
      <c r="V318" s="231"/>
      <c r="W318" s="231"/>
      <c r="X318" s="231"/>
      <c r="Y318" s="231"/>
      <c r="Z318" s="231"/>
      <c r="AA318" s="231"/>
      <c r="AB318" s="231"/>
      <c r="AC318" s="231"/>
      <c r="AD318" s="231"/>
      <c r="AE318" s="231"/>
      <c r="AF318" s="231"/>
      <c r="AG318" s="231"/>
      <c r="AH318" s="231"/>
      <c r="AI318" s="231"/>
      <c r="AJ318" s="231"/>
    </row>
    <row r="319" spans="1:36" s="203" customFormat="1">
      <c r="A319" s="674">
        <v>9</v>
      </c>
      <c r="B319" s="90" t="s">
        <v>260</v>
      </c>
      <c r="C319" s="47"/>
      <c r="D319" s="47"/>
      <c r="E319" s="114">
        <v>0</v>
      </c>
      <c r="F319" s="188"/>
      <c r="G319" s="43"/>
      <c r="H319" s="189">
        <v>0</v>
      </c>
      <c r="I319" s="21"/>
      <c r="J319" s="231"/>
      <c r="K319" s="231"/>
      <c r="L319" s="231"/>
      <c r="M319" s="231"/>
      <c r="N319" s="231"/>
      <c r="O319" s="231"/>
      <c r="P319" s="231"/>
      <c r="Q319" s="231"/>
      <c r="R319" s="231"/>
      <c r="S319" s="231"/>
      <c r="T319" s="231"/>
      <c r="U319" s="231"/>
      <c r="V319" s="231"/>
      <c r="W319" s="231"/>
      <c r="X319" s="231"/>
      <c r="Y319" s="231"/>
      <c r="Z319" s="231"/>
      <c r="AA319" s="231"/>
      <c r="AB319" s="231"/>
      <c r="AC319" s="231"/>
      <c r="AD319" s="231"/>
      <c r="AE319" s="231"/>
      <c r="AF319" s="231"/>
      <c r="AG319" s="231"/>
      <c r="AH319" s="231"/>
      <c r="AI319" s="231"/>
      <c r="AJ319" s="231"/>
    </row>
    <row r="320" spans="1:36" s="203" customFormat="1">
      <c r="A320" s="124">
        <v>10</v>
      </c>
      <c r="B320" s="94" t="s">
        <v>62</v>
      </c>
      <c r="C320" s="94"/>
      <c r="D320" s="94"/>
      <c r="E320" s="159">
        <v>21163</v>
      </c>
      <c r="F320" s="61">
        <f>F311+F312+F313+F314+F315+F316+F317+F318</f>
        <v>20958</v>
      </c>
      <c r="G320" s="118"/>
      <c r="H320" s="61">
        <f>H311+H312+H313+H314+H315+H316+H317+H318+H319</f>
        <v>21052</v>
      </c>
      <c r="I320" s="183"/>
      <c r="J320" s="231"/>
      <c r="K320" s="231"/>
      <c r="L320" s="231"/>
      <c r="M320" s="231"/>
      <c r="N320" s="231"/>
      <c r="O320" s="231"/>
      <c r="P320" s="231"/>
      <c r="Q320" s="231"/>
      <c r="R320" s="231"/>
      <c r="S320" s="231"/>
      <c r="T320" s="231"/>
      <c r="U320" s="231"/>
      <c r="V320" s="231"/>
      <c r="W320" s="231"/>
      <c r="X320" s="231"/>
      <c r="Y320" s="231"/>
      <c r="Z320" s="231"/>
      <c r="AA320" s="231"/>
      <c r="AB320" s="231"/>
      <c r="AC320" s="231"/>
      <c r="AD320" s="231"/>
      <c r="AE320" s="231"/>
      <c r="AF320" s="231"/>
      <c r="AG320" s="231"/>
      <c r="AH320" s="231"/>
      <c r="AI320" s="231"/>
      <c r="AJ320" s="231"/>
    </row>
    <row r="321" spans="1:36" s="203" customFormat="1">
      <c r="A321" s="179"/>
      <c r="B321" s="180"/>
      <c r="C321" s="180"/>
      <c r="D321" s="180"/>
      <c r="E321" s="180"/>
      <c r="F321" s="183"/>
      <c r="G321" s="21"/>
      <c r="H321" s="183"/>
      <c r="I321" s="183"/>
      <c r="J321" s="231"/>
      <c r="K321" s="231"/>
      <c r="L321" s="231"/>
      <c r="M321" s="231"/>
      <c r="N321" s="231"/>
      <c r="O321" s="231"/>
      <c r="P321" s="231"/>
      <c r="Q321" s="231"/>
      <c r="R321" s="231"/>
      <c r="S321" s="231"/>
      <c r="T321" s="231"/>
      <c r="U321" s="231"/>
      <c r="V321" s="231"/>
      <c r="W321" s="231"/>
      <c r="X321" s="231"/>
      <c r="Y321" s="231"/>
      <c r="Z321" s="231"/>
      <c r="AA321" s="231"/>
      <c r="AB321" s="231"/>
      <c r="AC321" s="231"/>
      <c r="AD321" s="231"/>
      <c r="AE321" s="231"/>
      <c r="AF321" s="231"/>
      <c r="AG321" s="231"/>
      <c r="AH321" s="231"/>
      <c r="AI321" s="231"/>
      <c r="AJ321" s="231"/>
    </row>
    <row r="322" spans="1:36" s="203" customFormat="1">
      <c r="A322" s="148"/>
      <c r="B322" s="207"/>
      <c r="C322" s="207"/>
      <c r="D322" s="29"/>
      <c r="E322" s="29"/>
      <c r="F322" s="29"/>
      <c r="G322" s="29"/>
      <c r="H322" s="31" t="s">
        <v>27</v>
      </c>
      <c r="I322" s="2"/>
      <c r="J322" s="231"/>
      <c r="K322" s="231"/>
      <c r="L322" s="231"/>
      <c r="M322" s="231"/>
      <c r="N322" s="231"/>
      <c r="O322" s="231"/>
      <c r="P322" s="231"/>
      <c r="Q322" s="231"/>
      <c r="R322" s="231"/>
      <c r="S322" s="231"/>
      <c r="T322" s="231"/>
      <c r="U322" s="231"/>
      <c r="V322" s="231"/>
      <c r="W322" s="231"/>
      <c r="X322" s="231"/>
      <c r="Y322" s="231"/>
      <c r="Z322" s="231"/>
      <c r="AA322" s="231"/>
      <c r="AB322" s="231"/>
      <c r="AC322" s="231"/>
      <c r="AD322" s="231"/>
      <c r="AE322" s="231"/>
      <c r="AF322" s="231"/>
      <c r="AG322" s="231"/>
      <c r="AH322" s="231"/>
      <c r="AI322" s="231"/>
      <c r="AJ322" s="231"/>
    </row>
    <row r="323" spans="1:36" s="203" customFormat="1">
      <c r="A323" s="190" t="s">
        <v>240</v>
      </c>
      <c r="B323" s="263"/>
      <c r="C323" s="861" t="s">
        <v>405</v>
      </c>
      <c r="D323" s="862"/>
      <c r="E323" s="862"/>
      <c r="F323" s="862"/>
      <c r="G323" s="862"/>
      <c r="H323" s="863"/>
      <c r="I323" s="210"/>
      <c r="J323" s="231"/>
      <c r="K323" s="231"/>
      <c r="L323" s="231"/>
      <c r="M323" s="231"/>
      <c r="N323" s="231"/>
      <c r="O323" s="231"/>
      <c r="P323" s="231"/>
      <c r="Q323" s="231"/>
      <c r="R323" s="231"/>
      <c r="S323" s="231"/>
      <c r="T323" s="231"/>
      <c r="U323" s="231"/>
      <c r="V323" s="231"/>
      <c r="W323" s="231"/>
      <c r="X323" s="231"/>
      <c r="Y323" s="231"/>
      <c r="Z323" s="231"/>
      <c r="AA323" s="231"/>
      <c r="AB323" s="231"/>
      <c r="AC323" s="231"/>
      <c r="AD323" s="231"/>
      <c r="AE323" s="231"/>
      <c r="AF323" s="231"/>
      <c r="AG323" s="231"/>
      <c r="AH323" s="231"/>
      <c r="AI323" s="231"/>
      <c r="AJ323" s="231"/>
    </row>
    <row r="324" spans="1:36" s="203" customFormat="1" ht="39" thickBot="1">
      <c r="A324" s="110" t="s">
        <v>84</v>
      </c>
      <c r="B324" s="116"/>
      <c r="C324" s="35" t="s">
        <v>52</v>
      </c>
      <c r="D324" s="35" t="s">
        <v>53</v>
      </c>
      <c r="E324" s="37" t="s">
        <v>54</v>
      </c>
      <c r="F324" s="37" t="s">
        <v>55</v>
      </c>
      <c r="G324" s="37" t="s">
        <v>241</v>
      </c>
      <c r="H324" s="35" t="s">
        <v>121</v>
      </c>
      <c r="I324" s="29"/>
      <c r="J324" s="231"/>
      <c r="K324" s="231"/>
      <c r="L324" s="231"/>
      <c r="M324" s="231"/>
      <c r="N324" s="231"/>
      <c r="O324" s="231"/>
      <c r="P324" s="231"/>
      <c r="Q324" s="231"/>
      <c r="R324" s="231"/>
      <c r="S324" s="231"/>
      <c r="T324" s="231"/>
      <c r="U324" s="231"/>
      <c r="V324" s="231"/>
      <c r="W324" s="231"/>
      <c r="X324" s="231"/>
      <c r="Y324" s="231"/>
      <c r="Z324" s="231"/>
      <c r="AA324" s="231"/>
      <c r="AB324" s="231"/>
      <c r="AC324" s="231"/>
      <c r="AD324" s="231"/>
      <c r="AE324" s="231"/>
      <c r="AF324" s="231"/>
      <c r="AG324" s="231"/>
      <c r="AH324" s="231"/>
      <c r="AI324" s="231"/>
      <c r="AJ324" s="231"/>
    </row>
    <row r="325" spans="1:36" s="203" customFormat="1" ht="13.5" thickBot="1">
      <c r="A325" s="674">
        <v>1</v>
      </c>
      <c r="B325" s="116" t="s">
        <v>242</v>
      </c>
      <c r="C325" s="193">
        <f t="shared" ref="C325:H325" si="0">SUM(C326:C329)</f>
        <v>14697</v>
      </c>
      <c r="D325" s="193">
        <f t="shared" si="0"/>
        <v>0</v>
      </c>
      <c r="E325" s="193">
        <v>0</v>
      </c>
      <c r="F325" s="193">
        <f t="shared" si="0"/>
        <v>0</v>
      </c>
      <c r="G325" s="193">
        <f>SUM(G326:G329)</f>
        <v>0</v>
      </c>
      <c r="H325" s="193">
        <f t="shared" si="0"/>
        <v>0</v>
      </c>
      <c r="I325" s="207"/>
      <c r="J325" s="231"/>
      <c r="K325" s="231"/>
      <c r="L325" s="231"/>
      <c r="M325" s="231"/>
      <c r="N325" s="231"/>
      <c r="O325" s="231"/>
      <c r="P325" s="231"/>
      <c r="Q325" s="231"/>
      <c r="R325" s="231"/>
      <c r="S325" s="231"/>
      <c r="T325" s="231"/>
      <c r="U325" s="231"/>
      <c r="V325" s="231"/>
      <c r="W325" s="231"/>
      <c r="X325" s="231"/>
      <c r="Y325" s="231"/>
      <c r="Z325" s="231"/>
      <c r="AA325" s="231"/>
      <c r="AB325" s="231"/>
      <c r="AC325" s="231"/>
      <c r="AD325" s="231"/>
      <c r="AE325" s="231"/>
      <c r="AF325" s="231"/>
      <c r="AG325" s="231"/>
      <c r="AH325" s="231"/>
      <c r="AI325" s="231"/>
      <c r="AJ325" s="231"/>
    </row>
    <row r="326" spans="1:36" s="203" customFormat="1">
      <c r="A326" s="674">
        <v>2</v>
      </c>
      <c r="B326" s="47" t="s">
        <v>243</v>
      </c>
      <c r="C326" s="169">
        <v>5825</v>
      </c>
      <c r="D326" s="169">
        <v>0</v>
      </c>
      <c r="E326" s="169">
        <v>0</v>
      </c>
      <c r="F326" s="169">
        <v>0</v>
      </c>
      <c r="G326" s="169">
        <v>0</v>
      </c>
      <c r="H326" s="169">
        <v>0</v>
      </c>
      <c r="I326" s="207"/>
      <c r="J326" s="231"/>
      <c r="K326" s="231"/>
      <c r="L326" s="231"/>
      <c r="M326" s="231"/>
      <c r="N326" s="231"/>
      <c r="O326" s="231"/>
      <c r="P326" s="231"/>
      <c r="Q326" s="231"/>
      <c r="R326" s="231"/>
      <c r="S326" s="231"/>
      <c r="T326" s="231"/>
      <c r="U326" s="231"/>
      <c r="V326" s="231"/>
      <c r="W326" s="231"/>
      <c r="X326" s="231"/>
      <c r="Y326" s="231"/>
      <c r="Z326" s="231"/>
      <c r="AA326" s="231"/>
      <c r="AB326" s="231"/>
      <c r="AC326" s="231"/>
      <c r="AD326" s="231"/>
      <c r="AE326" s="231"/>
      <c r="AF326" s="231"/>
      <c r="AG326" s="231"/>
      <c r="AH326" s="231"/>
      <c r="AI326" s="231"/>
      <c r="AJ326" s="231"/>
    </row>
    <row r="327" spans="1:36" s="203" customFormat="1">
      <c r="A327" s="674">
        <v>3</v>
      </c>
      <c r="B327" s="47" t="s">
        <v>244</v>
      </c>
      <c r="C327" s="99">
        <v>6442</v>
      </c>
      <c r="D327" s="99">
        <v>0</v>
      </c>
      <c r="E327" s="99">
        <v>0</v>
      </c>
      <c r="F327" s="99">
        <v>0</v>
      </c>
      <c r="G327" s="99">
        <v>0</v>
      </c>
      <c r="H327" s="99">
        <v>0</v>
      </c>
      <c r="I327" s="207"/>
      <c r="J327" s="231"/>
      <c r="K327" s="231"/>
      <c r="L327" s="231"/>
      <c r="M327" s="231"/>
      <c r="N327" s="231"/>
      <c r="O327" s="231"/>
      <c r="P327" s="231"/>
      <c r="Q327" s="231"/>
      <c r="R327" s="231"/>
      <c r="S327" s="231"/>
      <c r="T327" s="231"/>
      <c r="U327" s="231"/>
      <c r="V327" s="231"/>
      <c r="W327" s="231"/>
      <c r="X327" s="231"/>
      <c r="Y327" s="231"/>
      <c r="Z327" s="231"/>
      <c r="AA327" s="231"/>
      <c r="AB327" s="231"/>
      <c r="AC327" s="231"/>
      <c r="AD327" s="231"/>
      <c r="AE327" s="231"/>
      <c r="AF327" s="231"/>
      <c r="AG327" s="231"/>
      <c r="AH327" s="231"/>
      <c r="AI327" s="231"/>
      <c r="AJ327" s="231"/>
    </row>
    <row r="328" spans="1:36" s="203" customFormat="1">
      <c r="A328" s="674">
        <v>4</v>
      </c>
      <c r="B328" s="47" t="s">
        <v>245</v>
      </c>
      <c r="C328" s="99">
        <v>2430</v>
      </c>
      <c r="D328" s="99">
        <v>0</v>
      </c>
      <c r="E328" s="99">
        <v>0</v>
      </c>
      <c r="F328" s="99">
        <v>0</v>
      </c>
      <c r="G328" s="99">
        <v>0</v>
      </c>
      <c r="H328" s="99">
        <v>0</v>
      </c>
      <c r="I328" s="207"/>
      <c r="J328" s="231"/>
      <c r="K328" s="231"/>
      <c r="L328" s="231"/>
      <c r="M328" s="231"/>
      <c r="N328" s="231"/>
      <c r="O328" s="231"/>
      <c r="P328" s="231"/>
      <c r="Q328" s="231"/>
      <c r="R328" s="231"/>
      <c r="S328" s="231"/>
      <c r="T328" s="231"/>
      <c r="U328" s="231"/>
      <c r="V328" s="231"/>
      <c r="W328" s="231"/>
      <c r="X328" s="231"/>
      <c r="Y328" s="231"/>
      <c r="Z328" s="231"/>
      <c r="AA328" s="231"/>
      <c r="AB328" s="231"/>
      <c r="AC328" s="231"/>
      <c r="AD328" s="231"/>
      <c r="AE328" s="231"/>
      <c r="AF328" s="231"/>
      <c r="AG328" s="231"/>
      <c r="AH328" s="231"/>
      <c r="AI328" s="231"/>
      <c r="AJ328" s="231"/>
    </row>
    <row r="329" spans="1:36" s="203" customFormat="1">
      <c r="A329" s="675">
        <v>5</v>
      </c>
      <c r="B329" s="54" t="s">
        <v>246</v>
      </c>
      <c r="C329" s="100">
        <v>0</v>
      </c>
      <c r="D329" s="100">
        <v>0</v>
      </c>
      <c r="E329" s="100">
        <v>0</v>
      </c>
      <c r="F329" s="100">
        <v>0</v>
      </c>
      <c r="G329" s="100">
        <v>0</v>
      </c>
      <c r="H329" s="100">
        <v>0</v>
      </c>
      <c r="I329" s="207"/>
      <c r="J329" s="231"/>
      <c r="K329" s="231"/>
      <c r="L329" s="231"/>
      <c r="M329" s="231"/>
      <c r="N329" s="231"/>
      <c r="O329" s="231"/>
      <c r="P329" s="231"/>
      <c r="Q329" s="231"/>
      <c r="R329" s="231"/>
      <c r="S329" s="231"/>
      <c r="T329" s="231"/>
      <c r="U329" s="231"/>
      <c r="V329" s="231"/>
      <c r="W329" s="231"/>
      <c r="X329" s="231"/>
      <c r="Y329" s="231"/>
      <c r="Z329" s="231"/>
      <c r="AA329" s="231"/>
      <c r="AB329" s="231"/>
      <c r="AC329" s="231"/>
      <c r="AD329" s="231"/>
      <c r="AE329" s="231"/>
      <c r="AF329" s="231"/>
      <c r="AG329" s="231"/>
      <c r="AH329" s="231"/>
      <c r="AI329" s="231"/>
      <c r="AJ329" s="231"/>
    </row>
    <row r="330" spans="1:36" s="203" customFormat="1">
      <c r="A330" s="674"/>
      <c r="B330" s="47"/>
      <c r="C330" s="864" t="s">
        <v>404</v>
      </c>
      <c r="D330" s="865"/>
      <c r="E330" s="865"/>
      <c r="F330" s="865"/>
      <c r="G330" s="865"/>
      <c r="H330" s="866"/>
      <c r="I330" s="207"/>
      <c r="J330" s="231"/>
      <c r="K330" s="231"/>
      <c r="L330" s="231"/>
      <c r="M330" s="231"/>
      <c r="N330" s="231"/>
      <c r="O330" s="231"/>
      <c r="P330" s="231"/>
      <c r="Q330" s="231"/>
      <c r="R330" s="231"/>
      <c r="S330" s="231"/>
      <c r="T330" s="231"/>
      <c r="U330" s="231"/>
      <c r="V330" s="231"/>
      <c r="W330" s="231"/>
      <c r="X330" s="231"/>
      <c r="Y330" s="231"/>
      <c r="Z330" s="231"/>
      <c r="AA330" s="231"/>
      <c r="AB330" s="231"/>
      <c r="AC330" s="231"/>
      <c r="AD330" s="231"/>
      <c r="AE330" s="231"/>
      <c r="AF330" s="231"/>
      <c r="AG330" s="231"/>
      <c r="AH330" s="231"/>
      <c r="AI330" s="231"/>
      <c r="AJ330" s="231"/>
    </row>
    <row r="331" spans="1:36" s="203" customFormat="1" ht="39" thickBot="1">
      <c r="A331" s="110" t="s">
        <v>84</v>
      </c>
      <c r="B331" s="116"/>
      <c r="C331" s="35" t="s">
        <v>52</v>
      </c>
      <c r="D331" s="35" t="s">
        <v>53</v>
      </c>
      <c r="E331" s="37" t="s">
        <v>54</v>
      </c>
      <c r="F331" s="37" t="s">
        <v>55</v>
      </c>
      <c r="G331" s="37" t="s">
        <v>241</v>
      </c>
      <c r="H331" s="35" t="s">
        <v>121</v>
      </c>
      <c r="I331" s="207"/>
      <c r="J331" s="231"/>
      <c r="K331" s="231"/>
      <c r="L331" s="231"/>
      <c r="M331" s="231"/>
      <c r="N331" s="231"/>
      <c r="O331" s="231"/>
      <c r="P331" s="231"/>
      <c r="Q331" s="231"/>
      <c r="R331" s="231"/>
      <c r="S331" s="231"/>
      <c r="T331" s="231"/>
      <c r="U331" s="231"/>
      <c r="V331" s="231"/>
      <c r="W331" s="231"/>
      <c r="X331" s="231"/>
      <c r="Y331" s="231"/>
      <c r="Z331" s="231"/>
      <c r="AA331" s="231"/>
      <c r="AB331" s="231"/>
      <c r="AC331" s="231"/>
      <c r="AD331" s="231"/>
      <c r="AE331" s="231"/>
      <c r="AF331" s="231"/>
      <c r="AG331" s="231"/>
      <c r="AH331" s="231"/>
      <c r="AI331" s="231"/>
      <c r="AJ331" s="231"/>
    </row>
    <row r="332" spans="1:36" s="203" customFormat="1" ht="13.5" thickBot="1">
      <c r="A332" s="674">
        <v>1</v>
      </c>
      <c r="B332" s="116" t="s">
        <v>242</v>
      </c>
      <c r="C332" s="193">
        <f t="shared" ref="C332:H332" si="1">SUM(C333:C336)</f>
        <v>15097</v>
      </c>
      <c r="D332" s="193">
        <f t="shared" si="1"/>
        <v>0</v>
      </c>
      <c r="E332" s="193">
        <v>0</v>
      </c>
      <c r="F332" s="193">
        <f t="shared" si="1"/>
        <v>0</v>
      </c>
      <c r="G332" s="193">
        <f>SUM(G333:G336)</f>
        <v>0</v>
      </c>
      <c r="H332" s="193">
        <f t="shared" si="1"/>
        <v>0</v>
      </c>
      <c r="I332" s="207"/>
      <c r="J332" s="231"/>
      <c r="K332" s="231"/>
      <c r="L332" s="231"/>
      <c r="M332" s="231"/>
      <c r="N332" s="231"/>
      <c r="O332" s="231"/>
      <c r="P332" s="231"/>
      <c r="Q332" s="231"/>
      <c r="R332" s="231"/>
      <c r="S332" s="231"/>
      <c r="T332" s="231"/>
      <c r="U332" s="231"/>
      <c r="V332" s="231"/>
      <c r="W332" s="231"/>
      <c r="X332" s="231"/>
      <c r="Y332" s="231"/>
      <c r="Z332" s="231"/>
      <c r="AA332" s="231"/>
      <c r="AB332" s="231"/>
      <c r="AC332" s="231"/>
      <c r="AD332" s="231"/>
      <c r="AE332" s="231"/>
      <c r="AF332" s="231"/>
      <c r="AG332" s="231"/>
      <c r="AH332" s="231"/>
      <c r="AI332" s="231"/>
      <c r="AJ332" s="231"/>
    </row>
    <row r="333" spans="1:36" s="203" customFormat="1">
      <c r="A333" s="674">
        <v>2</v>
      </c>
      <c r="B333" s="47" t="s">
        <v>243</v>
      </c>
      <c r="C333" s="169">
        <v>5814</v>
      </c>
      <c r="D333" s="169">
        <v>0</v>
      </c>
      <c r="E333" s="169">
        <v>0</v>
      </c>
      <c r="F333" s="169">
        <v>0</v>
      </c>
      <c r="G333" s="169">
        <v>0</v>
      </c>
      <c r="H333" s="169">
        <v>0</v>
      </c>
      <c r="I333" s="207"/>
      <c r="J333" s="231"/>
      <c r="K333" s="231"/>
      <c r="L333" s="231"/>
      <c r="M333" s="231"/>
      <c r="N333" s="231"/>
      <c r="O333" s="231"/>
      <c r="P333" s="231"/>
      <c r="Q333" s="231"/>
      <c r="R333" s="231"/>
      <c r="S333" s="231"/>
      <c r="T333" s="231"/>
      <c r="U333" s="231"/>
      <c r="V333" s="231"/>
      <c r="W333" s="231"/>
      <c r="X333" s="231"/>
      <c r="Y333" s="231"/>
      <c r="Z333" s="231"/>
      <c r="AA333" s="231"/>
      <c r="AB333" s="231"/>
      <c r="AC333" s="231"/>
      <c r="AD333" s="231"/>
      <c r="AE333" s="231"/>
      <c r="AF333" s="231"/>
      <c r="AG333" s="231"/>
      <c r="AH333" s="231"/>
      <c r="AI333" s="231"/>
      <c r="AJ333" s="231"/>
    </row>
    <row r="334" spans="1:36" s="203" customFormat="1">
      <c r="A334" s="674">
        <v>3</v>
      </c>
      <c r="B334" s="47" t="s">
        <v>244</v>
      </c>
      <c r="C334" s="99">
        <v>6547</v>
      </c>
      <c r="D334" s="99">
        <v>0</v>
      </c>
      <c r="E334" s="99">
        <v>0</v>
      </c>
      <c r="F334" s="99">
        <v>0</v>
      </c>
      <c r="G334" s="99">
        <v>0</v>
      </c>
      <c r="H334" s="99">
        <v>0</v>
      </c>
      <c r="I334" s="207"/>
      <c r="J334" s="231"/>
      <c r="K334" s="231"/>
      <c r="L334" s="231"/>
      <c r="M334" s="231"/>
      <c r="N334" s="231"/>
      <c r="O334" s="231"/>
      <c r="P334" s="231"/>
      <c r="Q334" s="231"/>
      <c r="R334" s="231"/>
      <c r="S334" s="231"/>
      <c r="T334" s="231"/>
      <c r="U334" s="231"/>
      <c r="V334" s="231"/>
      <c r="W334" s="231"/>
      <c r="X334" s="231"/>
      <c r="Y334" s="231"/>
      <c r="Z334" s="231"/>
      <c r="AA334" s="231"/>
      <c r="AB334" s="231"/>
      <c r="AC334" s="231"/>
      <c r="AD334" s="231"/>
      <c r="AE334" s="231"/>
      <c r="AF334" s="231"/>
      <c r="AG334" s="231"/>
      <c r="AH334" s="231"/>
      <c r="AI334" s="231"/>
      <c r="AJ334" s="231"/>
    </row>
    <row r="335" spans="1:36" s="203" customFormat="1">
      <c r="A335" s="674">
        <v>4</v>
      </c>
      <c r="B335" s="47" t="s">
        <v>245</v>
      </c>
      <c r="C335" s="99">
        <v>2736</v>
      </c>
      <c r="D335" s="99">
        <v>0</v>
      </c>
      <c r="E335" s="99">
        <v>0</v>
      </c>
      <c r="F335" s="99">
        <v>0</v>
      </c>
      <c r="G335" s="99">
        <v>0</v>
      </c>
      <c r="H335" s="99">
        <v>0</v>
      </c>
      <c r="I335" s="207"/>
      <c r="J335" s="231"/>
      <c r="K335" s="231"/>
      <c r="L335" s="231"/>
      <c r="M335" s="231"/>
      <c r="N335" s="231"/>
      <c r="O335" s="231"/>
      <c r="P335" s="231"/>
      <c r="Q335" s="231"/>
      <c r="R335" s="231"/>
      <c r="S335" s="231"/>
      <c r="T335" s="231"/>
      <c r="U335" s="231"/>
      <c r="V335" s="231"/>
      <c r="W335" s="231"/>
      <c r="X335" s="231"/>
      <c r="Y335" s="231"/>
      <c r="Z335" s="231"/>
      <c r="AA335" s="231"/>
      <c r="AB335" s="231"/>
      <c r="AC335" s="231"/>
      <c r="AD335" s="231"/>
      <c r="AE335" s="231"/>
      <c r="AF335" s="231"/>
      <c r="AG335" s="231"/>
      <c r="AH335" s="231"/>
      <c r="AI335" s="231"/>
      <c r="AJ335" s="231"/>
    </row>
    <row r="336" spans="1:36" s="203" customFormat="1">
      <c r="A336" s="675">
        <v>5</v>
      </c>
      <c r="B336" s="54" t="s">
        <v>246</v>
      </c>
      <c r="C336" s="100">
        <v>0</v>
      </c>
      <c r="D336" s="100">
        <v>0</v>
      </c>
      <c r="E336" s="100">
        <v>0</v>
      </c>
      <c r="F336" s="100">
        <v>0</v>
      </c>
      <c r="G336" s="100">
        <v>0</v>
      </c>
      <c r="H336" s="100">
        <v>0</v>
      </c>
      <c r="I336" s="207"/>
      <c r="J336" s="231"/>
      <c r="K336" s="231"/>
      <c r="L336" s="231"/>
      <c r="M336" s="231"/>
      <c r="N336" s="231"/>
      <c r="O336" s="231"/>
      <c r="P336" s="231"/>
      <c r="Q336" s="231"/>
      <c r="R336" s="231"/>
      <c r="S336" s="231"/>
      <c r="T336" s="231"/>
      <c r="U336" s="231"/>
      <c r="V336" s="231"/>
      <c r="W336" s="231"/>
      <c r="X336" s="231"/>
      <c r="Y336" s="231"/>
      <c r="Z336" s="231"/>
      <c r="AA336" s="231"/>
      <c r="AB336" s="231"/>
      <c r="AC336" s="231"/>
      <c r="AD336" s="231"/>
      <c r="AE336" s="231"/>
      <c r="AF336" s="231"/>
      <c r="AG336" s="231"/>
      <c r="AH336" s="231"/>
      <c r="AI336" s="231"/>
      <c r="AJ336" s="231"/>
    </row>
    <row r="337" spans="1:36" s="203" customFormat="1">
      <c r="A337" s="23"/>
      <c r="B337" s="207"/>
      <c r="C337" s="207"/>
      <c r="D337" s="207"/>
      <c r="E337" s="207"/>
      <c r="F337" s="207"/>
      <c r="G337" s="207"/>
      <c r="H337" s="21"/>
      <c r="I337" s="21"/>
      <c r="J337" s="231"/>
      <c r="K337" s="231"/>
      <c r="L337" s="231"/>
      <c r="M337" s="231"/>
      <c r="N337" s="231"/>
      <c r="O337" s="231"/>
      <c r="P337" s="231"/>
      <c r="Q337" s="231"/>
      <c r="R337" s="231"/>
      <c r="S337" s="231"/>
      <c r="T337" s="231"/>
      <c r="U337" s="231"/>
      <c r="V337" s="231"/>
      <c r="W337" s="231"/>
      <c r="X337" s="231"/>
      <c r="Y337" s="231"/>
      <c r="Z337" s="231"/>
      <c r="AA337" s="231"/>
      <c r="AB337" s="231"/>
      <c r="AC337" s="231"/>
      <c r="AD337" s="231"/>
      <c r="AE337" s="231"/>
      <c r="AF337" s="231"/>
      <c r="AG337" s="231"/>
      <c r="AH337" s="231"/>
      <c r="AI337" s="231"/>
      <c r="AJ337" s="231"/>
    </row>
    <row r="338" spans="1:36" s="203" customFormat="1" ht="12.75" customHeight="1">
      <c r="A338" s="23"/>
      <c r="B338" s="207"/>
      <c r="C338" s="207"/>
      <c r="D338" s="207"/>
      <c r="E338" s="207"/>
      <c r="F338" s="207"/>
      <c r="G338" s="207"/>
      <c r="H338" s="21"/>
      <c r="I338" s="21"/>
      <c r="J338" s="231"/>
      <c r="K338" s="231"/>
      <c r="L338" s="231"/>
      <c r="M338" s="231"/>
      <c r="N338" s="231"/>
      <c r="O338" s="231"/>
      <c r="P338" s="231"/>
      <c r="Q338" s="231"/>
      <c r="R338" s="231"/>
      <c r="S338" s="231"/>
      <c r="T338" s="231"/>
      <c r="U338" s="231"/>
      <c r="V338" s="231"/>
      <c r="W338" s="231"/>
      <c r="X338" s="231"/>
      <c r="Y338" s="231"/>
      <c r="Z338" s="231"/>
      <c r="AA338" s="231"/>
      <c r="AB338" s="231"/>
      <c r="AC338" s="231"/>
      <c r="AD338" s="231"/>
      <c r="AE338" s="231"/>
      <c r="AF338" s="231"/>
      <c r="AG338" s="231"/>
      <c r="AH338" s="231"/>
      <c r="AI338" s="231"/>
      <c r="AJ338" s="231"/>
    </row>
    <row r="339" spans="1:36" s="203" customFormat="1">
      <c r="A339" s="23"/>
      <c r="B339" s="207"/>
      <c r="C339" s="207"/>
      <c r="D339" s="207"/>
      <c r="E339" s="207"/>
      <c r="F339" s="207"/>
      <c r="G339" s="207"/>
      <c r="H339" s="21"/>
      <c r="I339" s="21"/>
      <c r="J339" s="231"/>
      <c r="K339" s="231"/>
      <c r="L339" s="231"/>
      <c r="M339" s="231"/>
      <c r="N339" s="231"/>
      <c r="O339" s="231"/>
      <c r="P339" s="231"/>
      <c r="Q339" s="231"/>
      <c r="R339" s="231"/>
      <c r="S339" s="231"/>
      <c r="T339" s="231"/>
      <c r="U339" s="231"/>
      <c r="V339" s="231"/>
      <c r="W339" s="231"/>
      <c r="X339" s="231"/>
      <c r="Y339" s="231"/>
      <c r="Z339" s="231"/>
      <c r="AA339" s="231"/>
      <c r="AB339" s="231"/>
      <c r="AC339" s="231"/>
      <c r="AD339" s="231"/>
      <c r="AE339" s="231"/>
      <c r="AF339" s="231"/>
      <c r="AG339" s="231"/>
      <c r="AH339" s="231"/>
      <c r="AI339" s="231"/>
      <c r="AJ339" s="231"/>
    </row>
    <row r="340" spans="1:36" s="203" customFormat="1">
      <c r="A340" s="23"/>
      <c r="B340" s="207"/>
      <c r="C340" s="207"/>
      <c r="D340" s="207"/>
      <c r="E340" s="207"/>
      <c r="F340" s="207"/>
      <c r="G340" s="207"/>
      <c r="H340" s="131" t="s">
        <v>27</v>
      </c>
      <c r="I340" s="21"/>
      <c r="J340" s="231"/>
      <c r="K340" s="231"/>
      <c r="L340" s="231"/>
      <c r="M340" s="231"/>
      <c r="N340" s="231"/>
      <c r="O340" s="231"/>
      <c r="P340" s="231"/>
      <c r="Q340" s="231"/>
      <c r="R340" s="231"/>
      <c r="S340" s="231"/>
      <c r="T340" s="231"/>
      <c r="U340" s="231"/>
      <c r="V340" s="231"/>
      <c r="W340" s="231"/>
      <c r="X340" s="231"/>
      <c r="Y340" s="231"/>
      <c r="Z340" s="231"/>
      <c r="AA340" s="231"/>
      <c r="AB340" s="231"/>
      <c r="AC340" s="231"/>
      <c r="AD340" s="231"/>
      <c r="AE340" s="231"/>
      <c r="AF340" s="231"/>
      <c r="AG340" s="231"/>
      <c r="AH340" s="231"/>
      <c r="AI340" s="231"/>
      <c r="AJ340" s="231"/>
    </row>
    <row r="341" spans="1:36" s="203" customFormat="1">
      <c r="A341" s="197"/>
      <c r="B341" s="69"/>
      <c r="C341" s="69"/>
      <c r="D341" s="69"/>
      <c r="E341" s="856" t="s">
        <v>377</v>
      </c>
      <c r="F341" s="853" t="s">
        <v>402</v>
      </c>
      <c r="G341" s="207"/>
      <c r="H341" s="856" t="s">
        <v>403</v>
      </c>
      <c r="I341" s="21"/>
      <c r="J341" s="231"/>
      <c r="K341" s="231"/>
      <c r="L341" s="231"/>
      <c r="M341" s="231"/>
      <c r="N341" s="231"/>
      <c r="O341" s="231"/>
      <c r="P341" s="231"/>
      <c r="Q341" s="231"/>
      <c r="R341" s="231"/>
      <c r="S341" s="231"/>
      <c r="T341" s="231"/>
      <c r="U341" s="231"/>
      <c r="V341" s="231"/>
      <c r="W341" s="231"/>
      <c r="X341" s="231"/>
      <c r="Y341" s="231"/>
      <c r="Z341" s="231"/>
      <c r="AA341" s="231"/>
      <c r="AB341" s="231"/>
      <c r="AC341" s="231"/>
      <c r="AD341" s="231"/>
      <c r="AE341" s="231"/>
      <c r="AF341" s="231"/>
      <c r="AG341" s="231"/>
      <c r="AH341" s="231"/>
      <c r="AI341" s="231"/>
      <c r="AJ341" s="231"/>
    </row>
    <row r="342" spans="1:36" s="203" customFormat="1">
      <c r="A342" s="144" t="s">
        <v>261</v>
      </c>
      <c r="B342" s="116"/>
      <c r="C342" s="116"/>
      <c r="D342" s="116"/>
      <c r="E342" s="859"/>
      <c r="F342" s="854"/>
      <c r="G342" s="207"/>
      <c r="H342" s="857"/>
      <c r="I342" s="21"/>
      <c r="J342" s="231"/>
      <c r="K342" s="231"/>
      <c r="L342" s="231"/>
      <c r="M342" s="231"/>
      <c r="N342" s="231"/>
      <c r="O342" s="231"/>
      <c r="P342" s="231"/>
      <c r="Q342" s="231"/>
      <c r="R342" s="231"/>
      <c r="S342" s="231"/>
      <c r="T342" s="231"/>
      <c r="U342" s="231"/>
      <c r="V342" s="231"/>
      <c r="W342" s="231"/>
      <c r="X342" s="231"/>
      <c r="Y342" s="231"/>
      <c r="Z342" s="231"/>
      <c r="AA342" s="231"/>
      <c r="AB342" s="231"/>
      <c r="AC342" s="231"/>
      <c r="AD342" s="231"/>
      <c r="AE342" s="231"/>
      <c r="AF342" s="231"/>
      <c r="AG342" s="231"/>
      <c r="AH342" s="231"/>
      <c r="AI342" s="231"/>
      <c r="AJ342" s="231"/>
    </row>
    <row r="343" spans="1:36" s="203" customFormat="1">
      <c r="A343" s="119"/>
      <c r="B343" s="116"/>
      <c r="C343" s="116"/>
      <c r="D343" s="116"/>
      <c r="E343" s="859"/>
      <c r="F343" s="854"/>
      <c r="G343" s="207"/>
      <c r="H343" s="857"/>
      <c r="I343" s="21"/>
      <c r="J343" s="231"/>
      <c r="K343" s="231"/>
      <c r="L343" s="231"/>
      <c r="M343" s="231"/>
      <c r="N343" s="231"/>
      <c r="O343" s="231"/>
      <c r="P343" s="231"/>
      <c r="Q343" s="231"/>
      <c r="R343" s="231"/>
      <c r="S343" s="231"/>
      <c r="T343" s="231"/>
      <c r="U343" s="231"/>
      <c r="V343" s="231"/>
      <c r="W343" s="231"/>
      <c r="X343" s="231"/>
      <c r="Y343" s="231"/>
      <c r="Z343" s="231"/>
      <c r="AA343" s="231"/>
      <c r="AB343" s="231"/>
      <c r="AC343" s="231"/>
      <c r="AD343" s="231"/>
      <c r="AE343" s="231"/>
      <c r="AF343" s="231"/>
      <c r="AG343" s="231"/>
      <c r="AH343" s="231"/>
      <c r="AI343" s="231"/>
      <c r="AJ343" s="231"/>
    </row>
    <row r="344" spans="1:36" s="203" customFormat="1">
      <c r="A344" s="198" t="s">
        <v>262</v>
      </c>
      <c r="B344" s="116"/>
      <c r="C344" s="116"/>
      <c r="D344" s="116"/>
      <c r="E344" s="859"/>
      <c r="F344" s="854"/>
      <c r="G344" s="207"/>
      <c r="H344" s="857"/>
      <c r="I344" s="21"/>
      <c r="J344" s="231"/>
      <c r="K344" s="231"/>
      <c r="L344" s="231"/>
      <c r="M344" s="231"/>
      <c r="N344" s="231"/>
      <c r="O344" s="231"/>
      <c r="P344" s="231"/>
      <c r="Q344" s="231"/>
      <c r="R344" s="231"/>
      <c r="S344" s="231"/>
      <c r="T344" s="231"/>
      <c r="U344" s="231"/>
      <c r="V344" s="231"/>
      <c r="W344" s="231"/>
      <c r="X344" s="231"/>
      <c r="Y344" s="231"/>
      <c r="Z344" s="231"/>
      <c r="AA344" s="231"/>
      <c r="AB344" s="231"/>
      <c r="AC344" s="231"/>
      <c r="AD344" s="231"/>
      <c r="AE344" s="231"/>
      <c r="AF344" s="231"/>
      <c r="AG344" s="231"/>
      <c r="AH344" s="231"/>
      <c r="AI344" s="231"/>
      <c r="AJ344" s="231"/>
    </row>
    <row r="345" spans="1:36" s="203" customFormat="1">
      <c r="A345" s="198" t="s">
        <v>330</v>
      </c>
      <c r="B345" s="116"/>
      <c r="C345" s="116"/>
      <c r="D345" s="116"/>
      <c r="E345" s="860"/>
      <c r="F345" s="855"/>
      <c r="G345" s="207"/>
      <c r="H345" s="858"/>
      <c r="I345" s="21"/>
      <c r="J345" s="231"/>
      <c r="K345" s="231"/>
      <c r="L345" s="231"/>
      <c r="M345" s="231"/>
      <c r="N345" s="231"/>
      <c r="O345" s="231"/>
      <c r="P345" s="231"/>
      <c r="Q345" s="231"/>
      <c r="R345" s="231"/>
      <c r="S345" s="231"/>
      <c r="T345" s="231"/>
      <c r="U345" s="231"/>
      <c r="V345" s="231"/>
      <c r="W345" s="231"/>
      <c r="X345" s="231"/>
      <c r="Y345" s="231"/>
      <c r="Z345" s="231"/>
      <c r="AA345" s="231"/>
      <c r="AB345" s="231"/>
      <c r="AC345" s="231"/>
      <c r="AD345" s="231"/>
      <c r="AE345" s="231"/>
      <c r="AF345" s="231"/>
      <c r="AG345" s="231"/>
      <c r="AH345" s="231"/>
      <c r="AI345" s="231"/>
      <c r="AJ345" s="231"/>
    </row>
    <row r="346" spans="1:36" s="203" customFormat="1">
      <c r="A346" s="119"/>
      <c r="B346" s="47"/>
      <c r="C346" s="116"/>
      <c r="D346" s="116"/>
      <c r="E346" s="178"/>
      <c r="F346" s="146"/>
      <c r="G346" s="23"/>
      <c r="H346" s="264"/>
      <c r="I346" s="21"/>
      <c r="J346" s="231"/>
      <c r="K346" s="231"/>
      <c r="L346" s="231"/>
      <c r="M346" s="231"/>
      <c r="N346" s="231"/>
      <c r="O346" s="231"/>
      <c r="P346" s="231"/>
      <c r="Q346" s="231"/>
      <c r="R346" s="231"/>
      <c r="S346" s="231"/>
      <c r="T346" s="231"/>
      <c r="U346" s="231"/>
      <c r="V346" s="231"/>
      <c r="W346" s="231"/>
      <c r="X346" s="231"/>
      <c r="Y346" s="231"/>
      <c r="Z346" s="231"/>
      <c r="AA346" s="231"/>
      <c r="AB346" s="231"/>
      <c r="AC346" s="231"/>
      <c r="AD346" s="231"/>
      <c r="AE346" s="231"/>
      <c r="AF346" s="231"/>
      <c r="AG346" s="231"/>
      <c r="AH346" s="231"/>
      <c r="AI346" s="231"/>
      <c r="AJ346" s="231"/>
    </row>
    <row r="347" spans="1:36" s="203" customFormat="1">
      <c r="A347" s="674">
        <v>1</v>
      </c>
      <c r="B347" s="47" t="s">
        <v>263</v>
      </c>
      <c r="C347" s="116"/>
      <c r="D347" s="116"/>
      <c r="E347" s="354">
        <v>3965</v>
      </c>
      <c r="F347" s="265">
        <v>3965</v>
      </c>
      <c r="G347" s="43"/>
      <c r="H347" s="126">
        <v>4000</v>
      </c>
      <c r="I347" s="86"/>
      <c r="J347" s="231"/>
      <c r="K347" s="231"/>
      <c r="L347" s="231"/>
      <c r="M347" s="231"/>
      <c r="N347" s="231"/>
      <c r="O347" s="231"/>
      <c r="P347" s="231"/>
      <c r="Q347" s="231"/>
      <c r="R347" s="231"/>
      <c r="S347" s="231"/>
      <c r="T347" s="231"/>
      <c r="U347" s="231"/>
      <c r="V347" s="231"/>
      <c r="W347" s="231"/>
      <c r="X347" s="231"/>
      <c r="Y347" s="231"/>
      <c r="Z347" s="231"/>
      <c r="AA347" s="231"/>
      <c r="AB347" s="231"/>
      <c r="AC347" s="231"/>
      <c r="AD347" s="231"/>
      <c r="AE347" s="231"/>
      <c r="AF347" s="231"/>
      <c r="AG347" s="231"/>
      <c r="AH347" s="231"/>
      <c r="AI347" s="231"/>
      <c r="AJ347" s="231"/>
    </row>
    <row r="348" spans="1:36" s="203" customFormat="1">
      <c r="A348" s="674"/>
      <c r="B348" s="47"/>
      <c r="C348" s="116"/>
      <c r="D348" s="116"/>
      <c r="E348" s="355"/>
      <c r="F348" s="188"/>
      <c r="G348" s="43"/>
      <c r="H348" s="188"/>
      <c r="I348" s="86"/>
      <c r="J348" s="231"/>
      <c r="K348" s="231"/>
      <c r="L348" s="231"/>
      <c r="M348" s="231"/>
      <c r="N348" s="231"/>
      <c r="O348" s="231"/>
      <c r="P348" s="231"/>
      <c r="Q348" s="231"/>
      <c r="R348" s="231"/>
      <c r="S348" s="231"/>
      <c r="T348" s="231"/>
      <c r="U348" s="231"/>
      <c r="V348" s="231"/>
      <c r="W348" s="231"/>
      <c r="X348" s="231"/>
      <c r="Y348" s="231"/>
      <c r="Z348" s="231"/>
      <c r="AA348" s="231"/>
      <c r="AB348" s="231"/>
      <c r="AC348" s="231"/>
      <c r="AD348" s="231"/>
      <c r="AE348" s="231"/>
      <c r="AF348" s="231"/>
      <c r="AG348" s="231"/>
      <c r="AH348" s="231"/>
      <c r="AI348" s="231"/>
      <c r="AJ348" s="231"/>
    </row>
    <row r="349" spans="1:36" s="203" customFormat="1">
      <c r="A349" s="108" t="s">
        <v>378</v>
      </c>
      <c r="B349" s="47"/>
      <c r="C349" s="116"/>
      <c r="D349" s="116"/>
      <c r="E349" s="355"/>
      <c r="F349" s="188"/>
      <c r="G349" s="43"/>
      <c r="H349" s="188"/>
      <c r="I349" s="86"/>
      <c r="J349" s="231"/>
      <c r="K349" s="231"/>
      <c r="L349" s="231"/>
      <c r="M349" s="231"/>
      <c r="N349" s="231"/>
      <c r="O349" s="231"/>
      <c r="P349" s="231"/>
      <c r="Q349" s="231"/>
      <c r="R349" s="231"/>
      <c r="S349" s="231"/>
      <c r="T349" s="231"/>
      <c r="U349" s="231"/>
      <c r="V349" s="231"/>
      <c r="W349" s="231"/>
      <c r="X349" s="231"/>
      <c r="Y349" s="231"/>
      <c r="Z349" s="231"/>
      <c r="AA349" s="231"/>
      <c r="AB349" s="231"/>
      <c r="AC349" s="231"/>
      <c r="AD349" s="231"/>
      <c r="AE349" s="231"/>
      <c r="AF349" s="231"/>
      <c r="AG349" s="231"/>
      <c r="AH349" s="231"/>
      <c r="AI349" s="231"/>
      <c r="AJ349" s="231"/>
    </row>
    <row r="350" spans="1:36" s="203" customFormat="1">
      <c r="A350" s="674"/>
      <c r="B350" s="47"/>
      <c r="C350" s="116"/>
      <c r="D350" s="116"/>
      <c r="E350" s="355"/>
      <c r="F350" s="188"/>
      <c r="G350" s="43"/>
      <c r="H350" s="188"/>
      <c r="I350" s="86"/>
      <c r="J350" s="231"/>
      <c r="K350" s="231"/>
      <c r="L350" s="231"/>
      <c r="M350" s="231"/>
      <c r="N350" s="231"/>
      <c r="O350" s="231"/>
      <c r="P350" s="231"/>
      <c r="Q350" s="231"/>
      <c r="R350" s="231"/>
      <c r="S350" s="231"/>
      <c r="T350" s="231"/>
      <c r="U350" s="231"/>
      <c r="V350" s="231"/>
      <c r="W350" s="231"/>
      <c r="X350" s="231"/>
      <c r="Y350" s="231"/>
      <c r="Z350" s="231"/>
      <c r="AA350" s="231"/>
      <c r="AB350" s="231"/>
      <c r="AC350" s="231"/>
      <c r="AD350" s="231"/>
      <c r="AE350" s="231"/>
      <c r="AF350" s="231"/>
      <c r="AG350" s="231"/>
      <c r="AH350" s="231"/>
      <c r="AI350" s="231"/>
      <c r="AJ350" s="231"/>
    </row>
    <row r="351" spans="1:36" s="203" customFormat="1">
      <c r="A351" s="198" t="s">
        <v>379</v>
      </c>
      <c r="B351" s="47"/>
      <c r="C351" s="116"/>
      <c r="D351" s="116"/>
      <c r="E351" s="355"/>
      <c r="F351" s="188"/>
      <c r="G351" s="43"/>
      <c r="H351" s="188"/>
      <c r="I351" s="86"/>
      <c r="J351" s="231"/>
      <c r="K351" s="231"/>
      <c r="L351" s="231"/>
      <c r="M351" s="231"/>
      <c r="N351" s="231"/>
      <c r="O351" s="231"/>
      <c r="P351" s="231"/>
      <c r="Q351" s="231"/>
      <c r="R351" s="231"/>
      <c r="S351" s="231"/>
      <c r="T351" s="231"/>
      <c r="U351" s="231"/>
      <c r="V351" s="231"/>
      <c r="W351" s="231"/>
      <c r="X351" s="231"/>
      <c r="Y351" s="231"/>
      <c r="Z351" s="231"/>
      <c r="AA351" s="231"/>
      <c r="AB351" s="231"/>
      <c r="AC351" s="231"/>
      <c r="AD351" s="231"/>
      <c r="AE351" s="231"/>
      <c r="AF351" s="231"/>
      <c r="AG351" s="231"/>
      <c r="AH351" s="231"/>
      <c r="AI351" s="231"/>
      <c r="AJ351" s="231"/>
    </row>
    <row r="352" spans="1:36" s="203" customFormat="1">
      <c r="A352" s="674"/>
      <c r="B352" s="47"/>
      <c r="C352" s="116"/>
      <c r="D352" s="116"/>
      <c r="E352" s="355"/>
      <c r="F352" s="188"/>
      <c r="G352" s="43"/>
      <c r="H352" s="188"/>
      <c r="I352" s="86"/>
      <c r="J352" s="231"/>
      <c r="K352" s="231"/>
      <c r="L352" s="231"/>
      <c r="M352" s="231"/>
      <c r="N352" s="231"/>
      <c r="O352" s="231"/>
      <c r="P352" s="231"/>
      <c r="Q352" s="231"/>
      <c r="R352" s="231"/>
      <c r="S352" s="231"/>
      <c r="T352" s="231"/>
      <c r="U352" s="231"/>
      <c r="V352" s="231"/>
      <c r="W352" s="231"/>
      <c r="X352" s="231"/>
      <c r="Y352" s="231"/>
      <c r="Z352" s="231"/>
      <c r="AA352" s="231"/>
      <c r="AB352" s="231"/>
      <c r="AC352" s="231"/>
      <c r="AD352" s="231"/>
      <c r="AE352" s="231"/>
      <c r="AF352" s="231"/>
      <c r="AG352" s="231"/>
      <c r="AH352" s="231"/>
      <c r="AI352" s="231"/>
      <c r="AJ352" s="231"/>
    </row>
    <row r="353" spans="1:36" s="203" customFormat="1">
      <c r="A353" s="674">
        <v>2</v>
      </c>
      <c r="B353" s="47" t="s">
        <v>52</v>
      </c>
      <c r="C353" s="116"/>
      <c r="D353" s="116"/>
      <c r="E353" s="74">
        <v>0</v>
      </c>
      <c r="F353" s="265">
        <v>0</v>
      </c>
      <c r="G353" s="43"/>
      <c r="H353" s="126">
        <v>0</v>
      </c>
      <c r="I353" s="86"/>
      <c r="J353" s="231"/>
      <c r="K353" s="231"/>
      <c r="L353" s="231"/>
      <c r="M353" s="231"/>
      <c r="N353" s="231"/>
      <c r="O353" s="231"/>
      <c r="P353" s="231"/>
      <c r="Q353" s="231"/>
      <c r="R353" s="231"/>
      <c r="S353" s="231"/>
      <c r="T353" s="231"/>
      <c r="U353" s="231"/>
      <c r="V353" s="231"/>
      <c r="W353" s="231"/>
      <c r="X353" s="231"/>
      <c r="Y353" s="231"/>
      <c r="Z353" s="231"/>
      <c r="AA353" s="231"/>
      <c r="AB353" s="231"/>
      <c r="AC353" s="231"/>
      <c r="AD353" s="231"/>
      <c r="AE353" s="231"/>
      <c r="AF353" s="231"/>
      <c r="AG353" s="231"/>
      <c r="AH353" s="231"/>
      <c r="AI353" s="231"/>
      <c r="AJ353" s="231"/>
    </row>
    <row r="354" spans="1:36" s="203" customFormat="1">
      <c r="A354" s="674">
        <v>3</v>
      </c>
      <c r="B354" s="47" t="s">
        <v>53</v>
      </c>
      <c r="C354" s="116"/>
      <c r="D354" s="116"/>
      <c r="E354" s="49">
        <v>0</v>
      </c>
      <c r="F354" s="265">
        <v>0</v>
      </c>
      <c r="G354" s="43"/>
      <c r="H354" s="126">
        <v>0</v>
      </c>
      <c r="I354" s="86"/>
      <c r="J354" s="231"/>
      <c r="K354" s="231"/>
      <c r="L354" s="231"/>
      <c r="M354" s="231"/>
      <c r="N354" s="231"/>
      <c r="O354" s="231"/>
      <c r="P354" s="231"/>
      <c r="Q354" s="231"/>
      <c r="R354" s="231"/>
      <c r="S354" s="231"/>
      <c r="T354" s="231"/>
      <c r="U354" s="231"/>
      <c r="V354" s="231"/>
      <c r="W354" s="231"/>
      <c r="X354" s="231"/>
      <c r="Y354" s="231"/>
      <c r="Z354" s="231"/>
      <c r="AA354" s="231"/>
      <c r="AB354" s="231"/>
      <c r="AC354" s="231"/>
      <c r="AD354" s="231"/>
      <c r="AE354" s="231"/>
      <c r="AF354" s="231"/>
      <c r="AG354" s="231"/>
      <c r="AH354" s="231"/>
      <c r="AI354" s="231"/>
      <c r="AJ354" s="231"/>
    </row>
    <row r="355" spans="1:36" s="203" customFormat="1">
      <c r="A355" s="674">
        <v>4</v>
      </c>
      <c r="B355" s="47" t="s">
        <v>54</v>
      </c>
      <c r="C355" s="116"/>
      <c r="D355" s="116"/>
      <c r="E355" s="49">
        <v>0</v>
      </c>
      <c r="F355" s="265">
        <v>0</v>
      </c>
      <c r="G355" s="43"/>
      <c r="H355" s="126">
        <v>0</v>
      </c>
      <c r="I355" s="86"/>
      <c r="J355" s="231"/>
      <c r="K355" s="231"/>
      <c r="L355" s="231"/>
      <c r="M355" s="231"/>
      <c r="N355" s="231"/>
      <c r="O355" s="231"/>
      <c r="P355" s="231"/>
      <c r="Q355" s="231"/>
      <c r="R355" s="231"/>
      <c r="S355" s="231"/>
      <c r="T355" s="231"/>
      <c r="U355" s="231"/>
      <c r="V355" s="231"/>
      <c r="W355" s="231"/>
      <c r="X355" s="231"/>
      <c r="Y355" s="231"/>
      <c r="Z355" s="231"/>
      <c r="AA355" s="231"/>
      <c r="AB355" s="231"/>
      <c r="AC355" s="231"/>
      <c r="AD355" s="231"/>
      <c r="AE355" s="231"/>
      <c r="AF355" s="231"/>
      <c r="AG355" s="231"/>
      <c r="AH355" s="231"/>
      <c r="AI355" s="231"/>
      <c r="AJ355" s="231"/>
    </row>
    <row r="356" spans="1:36" s="203" customFormat="1">
      <c r="A356" s="674">
        <v>5</v>
      </c>
      <c r="B356" s="47" t="s">
        <v>55</v>
      </c>
      <c r="C356" s="116"/>
      <c r="D356" s="116"/>
      <c r="E356" s="49">
        <v>0</v>
      </c>
      <c r="F356" s="265">
        <v>0</v>
      </c>
      <c r="G356" s="43"/>
      <c r="H356" s="126">
        <v>0</v>
      </c>
      <c r="I356" s="86"/>
      <c r="J356" s="231"/>
      <c r="K356" s="231"/>
      <c r="L356" s="231"/>
      <c r="M356" s="231"/>
      <c r="N356" s="231"/>
      <c r="O356" s="231"/>
      <c r="P356" s="231"/>
      <c r="Q356" s="231"/>
      <c r="R356" s="231"/>
      <c r="S356" s="231"/>
      <c r="T356" s="231"/>
      <c r="U356" s="231"/>
      <c r="V356" s="231"/>
      <c r="W356" s="231"/>
      <c r="X356" s="231"/>
      <c r="Y356" s="231"/>
      <c r="Z356" s="231"/>
      <c r="AA356" s="231"/>
      <c r="AB356" s="231"/>
      <c r="AC356" s="231"/>
      <c r="AD356" s="231"/>
      <c r="AE356" s="231"/>
      <c r="AF356" s="231"/>
      <c r="AG356" s="231"/>
      <c r="AH356" s="231"/>
      <c r="AI356" s="231"/>
      <c r="AJ356" s="231"/>
    </row>
    <row r="357" spans="1:36" s="203" customFormat="1">
      <c r="A357" s="674">
        <v>6</v>
      </c>
      <c r="B357" s="47" t="s">
        <v>56</v>
      </c>
      <c r="C357" s="116"/>
      <c r="D357" s="116"/>
      <c r="E357" s="49">
        <v>0</v>
      </c>
      <c r="F357" s="265">
        <v>0</v>
      </c>
      <c r="G357" s="43"/>
      <c r="H357" s="126">
        <v>0</v>
      </c>
      <c r="I357" s="86"/>
      <c r="J357" s="231"/>
      <c r="K357" s="231"/>
      <c r="L357" s="231"/>
      <c r="M357" s="231"/>
      <c r="N357" s="231"/>
      <c r="O357" s="231"/>
      <c r="P357" s="231"/>
      <c r="Q357" s="231"/>
      <c r="R357" s="231"/>
      <c r="S357" s="231"/>
      <c r="T357" s="231"/>
      <c r="U357" s="231"/>
      <c r="V357" s="231"/>
      <c r="W357" s="231"/>
      <c r="X357" s="231"/>
      <c r="Y357" s="231"/>
      <c r="Z357" s="231"/>
      <c r="AA357" s="231"/>
      <c r="AB357" s="231"/>
      <c r="AC357" s="231"/>
      <c r="AD357" s="231"/>
      <c r="AE357" s="231"/>
      <c r="AF357" s="231"/>
      <c r="AG357" s="231"/>
      <c r="AH357" s="231"/>
      <c r="AI357" s="231"/>
      <c r="AJ357" s="231"/>
    </row>
    <row r="358" spans="1:36" s="203" customFormat="1">
      <c r="A358" s="674">
        <v>7</v>
      </c>
      <c r="B358" s="47" t="s">
        <v>57</v>
      </c>
      <c r="C358" s="116"/>
      <c r="D358" s="116"/>
      <c r="E358" s="49">
        <v>0</v>
      </c>
      <c r="F358" s="265">
        <v>0</v>
      </c>
      <c r="G358" s="43"/>
      <c r="H358" s="126">
        <v>0</v>
      </c>
      <c r="I358" s="86"/>
      <c r="J358" s="231"/>
      <c r="K358" s="231"/>
      <c r="L358" s="231"/>
      <c r="M358" s="231"/>
      <c r="N358" s="231"/>
      <c r="O358" s="231"/>
      <c r="P358" s="231"/>
      <c r="Q358" s="231"/>
      <c r="R358" s="231"/>
      <c r="S358" s="231"/>
      <c r="T358" s="231"/>
      <c r="U358" s="231"/>
      <c r="V358" s="231"/>
      <c r="W358" s="231"/>
      <c r="X358" s="231"/>
      <c r="Y358" s="231"/>
      <c r="Z358" s="231"/>
      <c r="AA358" s="231"/>
      <c r="AB358" s="231"/>
      <c r="AC358" s="231"/>
      <c r="AD358" s="231"/>
      <c r="AE358" s="231"/>
      <c r="AF358" s="231"/>
      <c r="AG358" s="231"/>
      <c r="AH358" s="231"/>
      <c r="AI358" s="231"/>
      <c r="AJ358" s="231"/>
    </row>
    <row r="359" spans="1:36" s="203" customFormat="1">
      <c r="A359" s="674">
        <v>8</v>
      </c>
      <c r="B359" s="47" t="s">
        <v>58</v>
      </c>
      <c r="C359" s="116"/>
      <c r="D359" s="116"/>
      <c r="E359" s="49">
        <v>0</v>
      </c>
      <c r="F359" s="265">
        <v>0</v>
      </c>
      <c r="G359" s="43"/>
      <c r="H359" s="126">
        <v>0</v>
      </c>
      <c r="I359" s="86"/>
      <c r="J359" s="231"/>
      <c r="K359" s="231"/>
      <c r="L359" s="231"/>
      <c r="M359" s="231"/>
      <c r="N359" s="231"/>
      <c r="O359" s="231"/>
      <c r="P359" s="231"/>
      <c r="Q359" s="231"/>
      <c r="R359" s="231"/>
      <c r="S359" s="231"/>
      <c r="T359" s="231"/>
      <c r="U359" s="231"/>
      <c r="V359" s="231"/>
      <c r="W359" s="231"/>
      <c r="X359" s="231"/>
      <c r="Y359" s="231"/>
      <c r="Z359" s="231"/>
      <c r="AA359" s="231"/>
      <c r="AB359" s="231"/>
      <c r="AC359" s="231"/>
      <c r="AD359" s="231"/>
      <c r="AE359" s="231"/>
      <c r="AF359" s="231"/>
      <c r="AG359" s="231"/>
      <c r="AH359" s="231"/>
      <c r="AI359" s="231"/>
      <c r="AJ359" s="231"/>
    </row>
    <row r="360" spans="1:36" s="203" customFormat="1">
      <c r="A360" s="674">
        <v>9</v>
      </c>
      <c r="B360" s="47" t="s">
        <v>59</v>
      </c>
      <c r="C360" s="116"/>
      <c r="D360" s="116"/>
      <c r="E360" s="49">
        <v>0</v>
      </c>
      <c r="F360" s="265">
        <v>0</v>
      </c>
      <c r="G360" s="43"/>
      <c r="H360" s="126">
        <v>0</v>
      </c>
      <c r="I360" s="86"/>
      <c r="J360" s="231"/>
      <c r="K360" s="231"/>
      <c r="L360" s="231"/>
      <c r="M360" s="231"/>
      <c r="N360" s="231"/>
      <c r="O360" s="231"/>
      <c r="P360" s="231"/>
      <c r="Q360" s="231"/>
      <c r="R360" s="231"/>
      <c r="S360" s="231"/>
      <c r="T360" s="231"/>
      <c r="U360" s="231"/>
      <c r="V360" s="231"/>
      <c r="W360" s="231"/>
      <c r="X360" s="231"/>
      <c r="Y360" s="231"/>
      <c r="Z360" s="231"/>
      <c r="AA360" s="231"/>
      <c r="AB360" s="231"/>
      <c r="AC360" s="231"/>
      <c r="AD360" s="231"/>
      <c r="AE360" s="231"/>
      <c r="AF360" s="231"/>
      <c r="AG360" s="231"/>
      <c r="AH360" s="231"/>
      <c r="AI360" s="231"/>
      <c r="AJ360" s="231"/>
    </row>
    <row r="361" spans="1:36" s="203" customFormat="1">
      <c r="A361" s="674">
        <v>10</v>
      </c>
      <c r="B361" s="47" t="s">
        <v>60</v>
      </c>
      <c r="C361" s="116"/>
      <c r="D361" s="116"/>
      <c r="E361" s="49">
        <v>0</v>
      </c>
      <c r="F361" s="265">
        <v>0</v>
      </c>
      <c r="G361" s="43"/>
      <c r="H361" s="126">
        <v>0</v>
      </c>
      <c r="I361" s="86"/>
      <c r="J361" s="231"/>
      <c r="K361" s="231"/>
      <c r="L361" s="231"/>
      <c r="M361" s="231"/>
      <c r="N361" s="231"/>
      <c r="O361" s="231"/>
      <c r="P361" s="231"/>
      <c r="Q361" s="231"/>
      <c r="R361" s="231"/>
      <c r="S361" s="231"/>
      <c r="T361" s="231"/>
      <c r="U361" s="231"/>
      <c r="V361" s="231"/>
      <c r="W361" s="231"/>
      <c r="X361" s="231"/>
      <c r="Y361" s="231"/>
      <c r="Z361" s="231"/>
      <c r="AA361" s="231"/>
      <c r="AB361" s="231"/>
      <c r="AC361" s="231"/>
      <c r="AD361" s="231"/>
      <c r="AE361" s="231"/>
      <c r="AF361" s="231"/>
      <c r="AG361" s="231"/>
      <c r="AH361" s="231"/>
      <c r="AI361" s="231"/>
      <c r="AJ361" s="231"/>
    </row>
    <row r="362" spans="1:36" s="203" customFormat="1">
      <c r="A362" s="674">
        <v>11</v>
      </c>
      <c r="B362" s="47" t="s">
        <v>61</v>
      </c>
      <c r="C362" s="116"/>
      <c r="D362" s="116"/>
      <c r="E362" s="49">
        <v>0</v>
      </c>
      <c r="F362" s="265">
        <v>0</v>
      </c>
      <c r="G362" s="43"/>
      <c r="H362" s="126">
        <v>0</v>
      </c>
      <c r="I362" s="86"/>
      <c r="J362" s="231"/>
      <c r="K362" s="231"/>
      <c r="L362" s="231"/>
      <c r="M362" s="231"/>
      <c r="N362" s="231"/>
      <c r="O362" s="231"/>
      <c r="P362" s="231"/>
      <c r="Q362" s="231"/>
      <c r="R362" s="231"/>
      <c r="S362" s="231"/>
      <c r="T362" s="231"/>
      <c r="U362" s="231"/>
      <c r="V362" s="231"/>
      <c r="W362" s="231"/>
      <c r="X362" s="231"/>
      <c r="Y362" s="231"/>
      <c r="Z362" s="231"/>
      <c r="AA362" s="231"/>
      <c r="AB362" s="231"/>
      <c r="AC362" s="231"/>
      <c r="AD362" s="231"/>
      <c r="AE362" s="231"/>
      <c r="AF362" s="231"/>
      <c r="AG362" s="231"/>
      <c r="AH362" s="231"/>
      <c r="AI362" s="231"/>
      <c r="AJ362" s="231"/>
    </row>
    <row r="363" spans="1:36" s="203" customFormat="1">
      <c r="A363" s="675">
        <v>12</v>
      </c>
      <c r="B363" s="54" t="s">
        <v>380</v>
      </c>
      <c r="C363" s="94"/>
      <c r="D363" s="94"/>
      <c r="E363" s="135">
        <v>0</v>
      </c>
      <c r="F363" s="61">
        <f>SUM(F353:F362)</f>
        <v>0</v>
      </c>
      <c r="G363" s="43"/>
      <c r="H363" s="61">
        <f>SUM(H353:H362)</f>
        <v>0</v>
      </c>
      <c r="I363" s="86"/>
      <c r="J363" s="231"/>
      <c r="K363" s="231"/>
      <c r="L363" s="231"/>
      <c r="M363" s="231"/>
      <c r="N363" s="231"/>
      <c r="O363" s="231"/>
      <c r="P363" s="231"/>
      <c r="Q363" s="231"/>
      <c r="R363" s="231"/>
      <c r="S363" s="231"/>
      <c r="T363" s="231"/>
      <c r="U363" s="231"/>
      <c r="V363" s="231"/>
      <c r="W363" s="231"/>
      <c r="X363" s="231"/>
      <c r="Y363" s="231"/>
      <c r="Z363" s="231"/>
      <c r="AA363" s="231"/>
      <c r="AB363" s="231"/>
      <c r="AC363" s="231"/>
      <c r="AD363" s="231"/>
      <c r="AE363" s="231"/>
      <c r="AF363" s="231"/>
      <c r="AG363" s="231"/>
      <c r="AH363" s="231"/>
      <c r="AI363" s="231"/>
      <c r="AJ363" s="231"/>
    </row>
    <row r="364" spans="1:36" s="203" customFormat="1">
      <c r="A364" s="199"/>
      <c r="B364" s="15"/>
      <c r="C364" s="15"/>
      <c r="D364" s="15"/>
      <c r="E364" s="15"/>
      <c r="F364" s="15"/>
      <c r="G364" s="15"/>
      <c r="H364" s="15"/>
      <c r="I364" s="86"/>
      <c r="J364" s="231"/>
      <c r="K364" s="231"/>
      <c r="L364" s="231"/>
      <c r="M364" s="231"/>
      <c r="N364" s="231"/>
      <c r="O364" s="231"/>
      <c r="P364" s="231"/>
      <c r="Q364" s="231"/>
      <c r="R364" s="231"/>
      <c r="S364" s="231"/>
      <c r="T364" s="231"/>
      <c r="U364" s="231"/>
      <c r="V364" s="231"/>
      <c r="W364" s="231"/>
      <c r="X364" s="231"/>
      <c r="Y364" s="231"/>
      <c r="Z364" s="231"/>
      <c r="AA364" s="231"/>
      <c r="AB364" s="231"/>
      <c r="AC364" s="231"/>
      <c r="AD364" s="231"/>
      <c r="AE364" s="231"/>
      <c r="AF364" s="231"/>
      <c r="AG364" s="231"/>
      <c r="AH364" s="231"/>
      <c r="AI364" s="231"/>
      <c r="AJ364" s="231"/>
    </row>
    <row r="365" spans="1:36" s="203" customFormat="1">
      <c r="A365" s="199"/>
      <c r="B365" s="15"/>
      <c r="C365" s="15"/>
      <c r="D365" s="15"/>
      <c r="E365" s="15"/>
      <c r="F365" s="15"/>
      <c r="G365" s="15"/>
      <c r="H365" s="86"/>
      <c r="I365" s="86"/>
      <c r="J365" s="231"/>
      <c r="K365" s="231"/>
      <c r="L365" s="231"/>
      <c r="M365" s="231"/>
      <c r="N365" s="231"/>
      <c r="O365" s="231"/>
      <c r="P365" s="231"/>
      <c r="Q365" s="231"/>
      <c r="R365" s="231"/>
      <c r="S365" s="231"/>
      <c r="T365" s="231"/>
      <c r="U365" s="231"/>
      <c r="V365" s="231"/>
      <c r="W365" s="231"/>
      <c r="X365" s="231"/>
      <c r="Y365" s="231"/>
      <c r="Z365" s="231"/>
      <c r="AA365" s="231"/>
      <c r="AB365" s="231"/>
      <c r="AC365" s="231"/>
      <c r="AD365" s="231"/>
      <c r="AE365" s="231"/>
      <c r="AF365" s="231"/>
      <c r="AG365" s="231"/>
      <c r="AH365" s="231"/>
      <c r="AI365" s="231"/>
      <c r="AJ365" s="231"/>
    </row>
    <row r="366" spans="1:36" s="203" customFormat="1">
      <c r="A366" s="199"/>
      <c r="B366" s="15"/>
      <c r="C366" s="15"/>
      <c r="D366" s="15"/>
      <c r="E366" s="15"/>
      <c r="F366" s="15"/>
      <c r="G366" s="15"/>
      <c r="H366" s="86"/>
      <c r="I366" s="86"/>
      <c r="J366" s="231"/>
      <c r="K366" s="231"/>
      <c r="L366" s="231"/>
      <c r="M366" s="231"/>
      <c r="N366" s="231"/>
      <c r="O366" s="231"/>
      <c r="P366" s="231"/>
      <c r="Q366" s="231"/>
      <c r="R366" s="231"/>
      <c r="S366" s="231"/>
      <c r="T366" s="231"/>
      <c r="U366" s="231"/>
      <c r="V366" s="231"/>
      <c r="W366" s="231"/>
      <c r="X366" s="231"/>
      <c r="Y366" s="231"/>
      <c r="Z366" s="231"/>
      <c r="AA366" s="231"/>
      <c r="AB366" s="231"/>
      <c r="AC366" s="231"/>
      <c r="AD366" s="231"/>
      <c r="AE366" s="231"/>
      <c r="AF366" s="231"/>
      <c r="AG366" s="231"/>
      <c r="AH366" s="231"/>
      <c r="AI366" s="231"/>
      <c r="AJ366" s="231"/>
    </row>
    <row r="367" spans="1:36" s="8" customFormat="1"/>
    <row r="368" spans="1:36" s="8" customFormat="1"/>
    <row r="369" s="8" customFormat="1"/>
    <row r="370" s="8" customFormat="1"/>
    <row r="371" s="8" customFormat="1"/>
    <row r="372" s="8" customFormat="1"/>
    <row r="373" s="8" customFormat="1"/>
    <row r="374" s="8" customFormat="1"/>
    <row r="375" s="8" customFormat="1"/>
    <row r="376" s="8" customFormat="1"/>
    <row r="377" s="8" customFormat="1"/>
    <row r="378" s="8" customFormat="1"/>
    <row r="379" s="8" customFormat="1"/>
    <row r="380" s="8" customFormat="1"/>
    <row r="381" s="8" customFormat="1"/>
    <row r="382" s="8" customFormat="1"/>
    <row r="383" s="8" customFormat="1"/>
    <row r="384" s="8" customFormat="1"/>
    <row r="385" spans="1:9" s="8" customFormat="1"/>
    <row r="386" spans="1:9" s="8" customFormat="1"/>
    <row r="387" spans="1:9" s="8" customFormat="1"/>
    <row r="388" spans="1:9" s="8" customFormat="1"/>
    <row r="389" spans="1:9" s="8" customFormat="1"/>
    <row r="390" spans="1:9" s="8" customFormat="1"/>
    <row r="391" spans="1:9" s="8" customFormat="1"/>
    <row r="392" spans="1:9" s="8" customFormat="1"/>
    <row r="393" spans="1:9" s="8" customFormat="1"/>
    <row r="394" spans="1:9" s="8" customFormat="1"/>
    <row r="395" spans="1:9" s="8" customFormat="1"/>
    <row r="396" spans="1:9" s="8" customFormat="1"/>
    <row r="397" spans="1:9" s="8" customFormat="1"/>
    <row r="398" spans="1:9" s="8" customFormat="1"/>
    <row r="399" spans="1:9" s="8" customFormat="1"/>
    <row r="400" spans="1:9">
      <c r="A400" s="8"/>
      <c r="B400" s="8"/>
      <c r="C400" s="8"/>
      <c r="D400" s="8"/>
      <c r="E400" s="8"/>
      <c r="F400" s="8"/>
      <c r="G400" s="8"/>
      <c r="H400" s="8"/>
      <c r="I400" s="8"/>
    </row>
    <row r="401" spans="1:9">
      <c r="A401" s="8"/>
      <c r="B401" s="8"/>
      <c r="C401" s="8"/>
      <c r="D401" s="8"/>
      <c r="E401" s="8"/>
      <c r="F401" s="8"/>
      <c r="G401" s="8"/>
      <c r="H401" s="8"/>
      <c r="I401" s="8"/>
    </row>
    <row r="402" spans="1:9">
      <c r="A402" s="8"/>
      <c r="B402" s="8"/>
      <c r="C402" s="8"/>
      <c r="D402" s="8"/>
      <c r="E402" s="8"/>
      <c r="F402" s="8"/>
      <c r="G402" s="8"/>
      <c r="H402" s="8"/>
      <c r="I402" s="8"/>
    </row>
    <row r="403" spans="1:9">
      <c r="A403" s="8"/>
      <c r="B403" s="8"/>
      <c r="C403" s="8"/>
      <c r="D403" s="8"/>
      <c r="E403" s="8"/>
      <c r="F403" s="8"/>
      <c r="G403" s="8"/>
      <c r="H403" s="8"/>
      <c r="I403" s="8"/>
    </row>
    <row r="404" spans="1:9">
      <c r="A404" s="8"/>
      <c r="B404" s="8"/>
      <c r="C404" s="8"/>
      <c r="D404" s="8"/>
      <c r="E404" s="8"/>
      <c r="F404" s="8"/>
      <c r="G404" s="8"/>
      <c r="H404" s="8"/>
      <c r="I404" s="8"/>
    </row>
    <row r="405" spans="1:9">
      <c r="A405" s="8"/>
      <c r="B405" s="8"/>
      <c r="C405" s="8"/>
      <c r="D405" s="8"/>
      <c r="E405" s="8"/>
      <c r="F405" s="8"/>
      <c r="G405" s="8"/>
      <c r="H405" s="8"/>
      <c r="I405" s="8"/>
    </row>
    <row r="406" spans="1:9">
      <c r="A406" s="8"/>
      <c r="B406" s="8"/>
      <c r="C406" s="8"/>
      <c r="D406" s="8"/>
      <c r="E406" s="8"/>
      <c r="F406" s="8"/>
      <c r="G406" s="8"/>
      <c r="H406" s="8"/>
      <c r="I406" s="8"/>
    </row>
    <row r="407" spans="1:9">
      <c r="A407" s="8"/>
      <c r="B407" s="8"/>
      <c r="C407" s="8"/>
      <c r="D407" s="8"/>
      <c r="E407" s="8"/>
      <c r="F407" s="8"/>
      <c r="G407" s="8"/>
      <c r="H407" s="8"/>
      <c r="I407" s="8"/>
    </row>
    <row r="408" spans="1:9">
      <c r="A408" s="8"/>
      <c r="B408" s="8"/>
      <c r="C408" s="8"/>
      <c r="D408" s="8"/>
      <c r="E408" s="8"/>
      <c r="F408" s="8"/>
      <c r="G408" s="8"/>
      <c r="H408" s="8"/>
      <c r="I408" s="8"/>
    </row>
    <row r="409" spans="1:9">
      <c r="A409" s="8"/>
      <c r="B409" s="8"/>
      <c r="C409" s="8"/>
      <c r="D409" s="8"/>
      <c r="E409" s="8"/>
      <c r="F409" s="8"/>
      <c r="G409" s="8"/>
      <c r="H409" s="8"/>
      <c r="I409" s="8"/>
    </row>
    <row r="410" spans="1:9">
      <c r="A410" s="8"/>
      <c r="B410" s="8"/>
      <c r="C410" s="8"/>
      <c r="D410" s="8"/>
      <c r="E410" s="8"/>
      <c r="F410" s="8"/>
      <c r="G410" s="8"/>
      <c r="H410" s="8"/>
      <c r="I410" s="8"/>
    </row>
    <row r="411" spans="1:9">
      <c r="A411" s="8"/>
      <c r="B411" s="8"/>
      <c r="C411" s="8"/>
      <c r="D411" s="8"/>
      <c r="E411" s="8"/>
      <c r="F411" s="8"/>
      <c r="G411" s="8"/>
      <c r="H411" s="8"/>
      <c r="I411" s="8"/>
    </row>
    <row r="412" spans="1:9">
      <c r="A412" s="8"/>
      <c r="B412" s="8"/>
      <c r="C412" s="8"/>
      <c r="D412" s="8"/>
      <c r="E412" s="8"/>
      <c r="F412" s="8"/>
      <c r="G412" s="8"/>
      <c r="H412" s="8"/>
      <c r="I412" s="8"/>
    </row>
    <row r="413" spans="1:9">
      <c r="A413" s="8"/>
      <c r="B413" s="8"/>
      <c r="C413" s="8"/>
      <c r="D413" s="8"/>
      <c r="E413" s="8"/>
      <c r="F413" s="8"/>
      <c r="G413" s="8"/>
      <c r="H413" s="8"/>
      <c r="I413" s="8"/>
    </row>
    <row r="414" spans="1:9">
      <c r="A414" s="8"/>
      <c r="B414" s="8"/>
      <c r="C414" s="8"/>
      <c r="D414" s="8"/>
      <c r="E414" s="8"/>
      <c r="F414" s="8"/>
      <c r="G414" s="8"/>
      <c r="H414" s="8"/>
      <c r="I414" s="8"/>
    </row>
  </sheetData>
  <mergeCells count="59">
    <mergeCell ref="F341:F345"/>
    <mergeCell ref="H341:H345"/>
    <mergeCell ref="E261:E265"/>
    <mergeCell ref="F261:F265"/>
    <mergeCell ref="H261:H265"/>
    <mergeCell ref="E280:E284"/>
    <mergeCell ref="F280:F284"/>
    <mergeCell ref="H280:H284"/>
    <mergeCell ref="E305:E309"/>
    <mergeCell ref="F305:F309"/>
    <mergeCell ref="H305:H309"/>
    <mergeCell ref="C323:H323"/>
    <mergeCell ref="C330:H330"/>
    <mergeCell ref="E341:E345"/>
    <mergeCell ref="E221:E225"/>
    <mergeCell ref="F221:F225"/>
    <mergeCell ref="H221:H225"/>
    <mergeCell ref="E234:E238"/>
    <mergeCell ref="F234:F238"/>
    <mergeCell ref="H234:H238"/>
    <mergeCell ref="G66:G70"/>
    <mergeCell ref="H66:H70"/>
    <mergeCell ref="F91:F95"/>
    <mergeCell ref="H91:H95"/>
    <mergeCell ref="E193:E197"/>
    <mergeCell ref="F193:F197"/>
    <mergeCell ref="H193:H197"/>
    <mergeCell ref="E153:E157"/>
    <mergeCell ref="F153:F157"/>
    <mergeCell ref="H153:H157"/>
    <mergeCell ref="E91:E95"/>
    <mergeCell ref="I66:I70"/>
    <mergeCell ref="A23:D24"/>
    <mergeCell ref="E23:E24"/>
    <mergeCell ref="F23:F24"/>
    <mergeCell ref="H23:H24"/>
    <mergeCell ref="A25:A27"/>
    <mergeCell ref="B25:D27"/>
    <mergeCell ref="E25:E27"/>
    <mergeCell ref="F25:F27"/>
    <mergeCell ref="H25:H27"/>
    <mergeCell ref="A40:D41"/>
    <mergeCell ref="E40:E41"/>
    <mergeCell ref="F40:F41"/>
    <mergeCell ref="H40:H41"/>
    <mergeCell ref="E66:E70"/>
    <mergeCell ref="F66:F70"/>
    <mergeCell ref="C19:F19"/>
    <mergeCell ref="B3:B4"/>
    <mergeCell ref="C3:D4"/>
    <mergeCell ref="A5:B5"/>
    <mergeCell ref="D6:H6"/>
    <mergeCell ref="A9:I9"/>
    <mergeCell ref="D10:F10"/>
    <mergeCell ref="C14:F14"/>
    <mergeCell ref="C15:F15"/>
    <mergeCell ref="C16:F16"/>
    <mergeCell ref="C17:F17"/>
    <mergeCell ref="C18:F18"/>
  </mergeCells>
  <phoneticPr fontId="10" type="noConversion"/>
  <conditionalFormatting sqref="F71:F76 F286:F301 F311:F318 F80:F88 F96:F97 F103:F104 F106 F110:F114 F118:F124 F128:F134 F138:F142 F146:F149 F159:F162 F166:F168 F171:F172 F175:F177 F183:F190 F199:F200 F204:F206 F210:F213 F217:F218 F226:F230 F240:F241 F245:F246 F250:F253 F256 F267:F276 H250">
    <cfRule type="expression" dxfId="6" priority="303" stopIfTrue="1">
      <formula>ISBLANK(F71)</formula>
    </cfRule>
    <cfRule type="expression" dxfId="5" priority="304" stopIfTrue="1">
      <formula>IF(AND(OR(F71-E71&gt;500,F71-E71&lt;-500),OR(#REF!&gt;0.1,#REF!&lt;-0.1)),TRUE,FALSE)</formula>
    </cfRule>
  </conditionalFormatting>
  <dataValidations count="1">
    <dataValidation type="list" errorStyle="information" allowBlank="1" showInputMessage="1" showErrorMessage="1" errorTitle="POBE 2006" error="Please select from the drop-down menu..." prompt="Please select your Authority from the drop-down menu..." sqref="C3:D4">
      <formula1>#REF!</formula1>
    </dataValidation>
  </dataValidations>
  <hyperlinks>
    <hyperlink ref="F7" r:id="rId1" display="lgfstats@scotland.gsi.gov.uk"/>
    <hyperlink ref="D6" r:id="rId2"/>
    <hyperlink ref="D10" r:id="rId3" display="^lgfstats@gov.scot"/>
    <hyperlink ref="B14" location="'POBE 2017'!A28" display="PART 1 - Expenditure"/>
    <hyperlink ref="C19:F19" location="'POBE 2017'!A323" display="Sheet 10. - PUBLIC PRIVATE PARTNERSHIPS/PRIVATE FINANCE INITIATIVES"/>
    <hyperlink ref="B15" location="'POBE 2017'!A40" display="PART 2 - Income and Balances"/>
    <hyperlink ref="B16" location="'POBE 2017'!A66" display="Sheet 1. EDUCATION"/>
    <hyperlink ref="B17" location="'POBE 2017'!A91" display="Sheet 2. SOCIAL WORK"/>
    <hyperlink ref="B18" location="'POBE 2017'!A153" display="Sheet 3. ROADS AND TRANSPORT"/>
    <hyperlink ref="B19" location="'POBE 2017'!A193" display="Sheet 4. ENVIRONMENTAL SERVICES"/>
    <hyperlink ref="C14:F14" location="'POBE 2017'!A221" display="Sheet 5. PLANNING AND DEVELOPMENT SERVICES"/>
    <hyperlink ref="C15:F15" location="'POBE 2017'!A234" display="Sheet 6. CULTURAL AND RELATED SERVICES"/>
    <hyperlink ref="C16:F16" location="'POBE 2017'!A261" display="Sheet 7. HOUSING"/>
    <hyperlink ref="C17:F17" location="'POBE 2017'!A280" display="Sheet 8. CENTRAL SERVICES"/>
    <hyperlink ref="C18:F18" location="'POBE 2017'!A305" display="Sheet 9. OTHER EXPENDITURE"/>
  </hyperlinks>
  <pageMargins left="0.75" right="0.75" top="1" bottom="1" header="0.5" footer="0.5"/>
  <pageSetup paperSize="9" orientation="portrait" r:id="rId4"/>
  <headerFooter alignWithMargins="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dimension ref="A1:AJ414"/>
  <sheetViews>
    <sheetView zoomScale="80" zoomScaleNormal="80" workbookViewId="0">
      <selection activeCell="I1" sqref="I1"/>
    </sheetView>
  </sheetViews>
  <sheetFormatPr defaultColWidth="9.140625" defaultRowHeight="12.75"/>
  <cols>
    <col min="1" max="1" width="10.5703125" style="1" customWidth="1"/>
    <col min="2" max="2" width="43" style="1" customWidth="1"/>
    <col min="3" max="3" width="24.5703125" style="1" customWidth="1"/>
    <col min="4" max="4" width="14.7109375" style="1" customWidth="1"/>
    <col min="5" max="5" width="21.5703125" style="1" customWidth="1"/>
    <col min="6" max="6" width="19.140625" style="1" customWidth="1"/>
    <col min="7" max="7" width="17.42578125" style="1" customWidth="1"/>
    <col min="8" max="8" width="19.28515625" style="1" customWidth="1"/>
    <col min="9" max="9" width="17.85546875" style="1" customWidth="1"/>
    <col min="10" max="18" width="9.140625" style="8" customWidth="1"/>
    <col min="19" max="29" width="9.140625" style="8"/>
    <col min="30" max="30" width="0" style="8" hidden="1" customWidth="1"/>
    <col min="31" max="36" width="9.140625" style="8"/>
    <col min="37" max="16384" width="9.140625" style="1"/>
  </cols>
  <sheetData>
    <row r="1" spans="1:36" s="203" customFormat="1" ht="51" customHeight="1">
      <c r="A1" s="3" t="s">
        <v>410</v>
      </c>
      <c r="B1" s="4"/>
      <c r="C1" s="224"/>
      <c r="D1" s="224"/>
      <c r="E1" s="224"/>
      <c r="F1" s="224"/>
      <c r="G1" s="225"/>
      <c r="H1" s="226"/>
      <c r="I1" s="227"/>
      <c r="J1" s="231"/>
      <c r="K1" s="231"/>
      <c r="L1" s="231"/>
      <c r="M1" s="231"/>
      <c r="N1" s="231"/>
      <c r="O1" s="231"/>
      <c r="P1" s="231"/>
      <c r="Q1" s="231"/>
      <c r="R1" s="231"/>
      <c r="S1" s="231"/>
      <c r="T1" s="231"/>
      <c r="U1" s="231"/>
      <c r="V1" s="231"/>
      <c r="W1" s="231"/>
      <c r="X1" s="231"/>
      <c r="Y1" s="231"/>
      <c r="Z1" s="231"/>
      <c r="AA1" s="231"/>
      <c r="AB1" s="231"/>
      <c r="AC1" s="231"/>
      <c r="AD1" s="231"/>
      <c r="AE1" s="231"/>
      <c r="AF1" s="231"/>
      <c r="AG1" s="231"/>
      <c r="AH1" s="231"/>
      <c r="AI1" s="231"/>
      <c r="AJ1" s="231"/>
    </row>
    <row r="2" spans="1:36" s="203" customFormat="1" ht="35.25">
      <c r="A2" s="9"/>
      <c r="B2" s="10"/>
      <c r="C2" s="232"/>
      <c r="D2" s="232"/>
      <c r="E2" s="232"/>
      <c r="F2" s="11"/>
      <c r="G2" s="11"/>
      <c r="H2" s="11"/>
      <c r="I2" s="11"/>
      <c r="J2" s="231"/>
      <c r="K2" s="231"/>
      <c r="L2" s="231"/>
      <c r="M2" s="231"/>
      <c r="N2" s="231"/>
      <c r="O2" s="231"/>
      <c r="P2" s="231"/>
      <c r="Q2" s="231"/>
      <c r="R2" s="231"/>
      <c r="S2" s="231"/>
      <c r="T2" s="231"/>
      <c r="U2" s="231"/>
      <c r="V2" s="231"/>
      <c r="W2" s="231"/>
      <c r="X2" s="231"/>
      <c r="Y2" s="231"/>
      <c r="Z2" s="231"/>
      <c r="AA2" s="231"/>
      <c r="AB2" s="231"/>
      <c r="AC2" s="231"/>
      <c r="AD2" s="231"/>
      <c r="AE2" s="231"/>
      <c r="AF2" s="231"/>
      <c r="AG2" s="231"/>
      <c r="AH2" s="231"/>
      <c r="AI2" s="231"/>
      <c r="AJ2" s="231"/>
    </row>
    <row r="3" spans="1:36" s="203" customFormat="1" ht="15">
      <c r="A3" s="12"/>
      <c r="B3" s="882" t="s">
        <v>0</v>
      </c>
      <c r="C3" s="884" t="s">
        <v>46</v>
      </c>
      <c r="D3" s="885"/>
      <c r="E3" s="13"/>
      <c r="F3" s="14"/>
      <c r="G3" s="14"/>
      <c r="H3" s="15"/>
      <c r="I3" s="14"/>
      <c r="J3" s="231"/>
      <c r="K3" s="231"/>
      <c r="L3" s="231"/>
      <c r="M3" s="231"/>
      <c r="N3" s="231"/>
      <c r="O3" s="231"/>
      <c r="P3" s="231"/>
      <c r="Q3" s="231"/>
      <c r="R3" s="231"/>
      <c r="S3" s="231"/>
      <c r="T3" s="231"/>
      <c r="U3" s="231"/>
      <c r="V3" s="231"/>
      <c r="W3" s="231"/>
      <c r="X3" s="231"/>
      <c r="Y3" s="231"/>
      <c r="Z3" s="231"/>
      <c r="AA3" s="231"/>
      <c r="AB3" s="231"/>
      <c r="AC3" s="231"/>
      <c r="AD3" s="231"/>
      <c r="AE3" s="231"/>
      <c r="AF3" s="231"/>
      <c r="AG3" s="231"/>
      <c r="AH3" s="231"/>
      <c r="AI3" s="231"/>
      <c r="AJ3" s="231"/>
    </row>
    <row r="4" spans="1:36" s="203" customFormat="1" ht="15">
      <c r="A4" s="17"/>
      <c r="B4" s="883"/>
      <c r="C4" s="886"/>
      <c r="D4" s="887"/>
      <c r="E4" s="13"/>
      <c r="F4" s="14"/>
      <c r="G4" s="14"/>
      <c r="H4" s="15"/>
      <c r="I4" s="14"/>
      <c r="J4" s="231"/>
      <c r="K4" s="231"/>
      <c r="L4" s="231"/>
      <c r="M4" s="231"/>
      <c r="N4" s="231"/>
      <c r="O4" s="231"/>
      <c r="P4" s="231"/>
      <c r="Q4" s="231"/>
      <c r="R4" s="231"/>
      <c r="S4" s="231"/>
      <c r="T4" s="231"/>
      <c r="U4" s="231"/>
      <c r="V4" s="231"/>
      <c r="W4" s="231"/>
      <c r="X4" s="231"/>
      <c r="Y4" s="231"/>
      <c r="Z4" s="231"/>
      <c r="AA4" s="231"/>
      <c r="AB4" s="231"/>
      <c r="AC4" s="231"/>
      <c r="AD4" s="231"/>
      <c r="AE4" s="231"/>
      <c r="AF4" s="231"/>
      <c r="AG4" s="231"/>
      <c r="AH4" s="231"/>
      <c r="AI4" s="231"/>
      <c r="AJ4" s="231"/>
    </row>
    <row r="5" spans="1:36" s="203" customFormat="1" ht="15">
      <c r="A5" s="888"/>
      <c r="B5" s="889"/>
      <c r="C5" s="18"/>
      <c r="D5" s="206"/>
      <c r="E5" s="206"/>
      <c r="F5" s="14"/>
      <c r="G5" s="14"/>
      <c r="H5" s="14"/>
      <c r="I5" s="234"/>
      <c r="J5" s="231"/>
      <c r="K5" s="231"/>
      <c r="L5" s="231"/>
      <c r="M5" s="231"/>
      <c r="N5" s="231"/>
      <c r="O5" s="231"/>
      <c r="P5" s="231"/>
      <c r="Q5" s="231"/>
      <c r="R5" s="231"/>
      <c r="S5" s="231"/>
      <c r="T5" s="231"/>
      <c r="U5" s="231"/>
      <c r="V5" s="231"/>
      <c r="W5" s="231"/>
      <c r="X5" s="231"/>
      <c r="Y5" s="231"/>
      <c r="Z5" s="231"/>
      <c r="AA5" s="231"/>
      <c r="AB5" s="231"/>
      <c r="AC5" s="231"/>
      <c r="AD5" s="231"/>
      <c r="AE5" s="231"/>
      <c r="AF5" s="231"/>
      <c r="AG5" s="231"/>
      <c r="AH5" s="231"/>
      <c r="AI5" s="231"/>
      <c r="AJ5" s="231"/>
    </row>
    <row r="6" spans="1:36" s="203" customFormat="1" ht="23.25" customHeight="1">
      <c r="A6" s="19" t="s">
        <v>1</v>
      </c>
      <c r="B6" s="207"/>
      <c r="C6" s="20"/>
      <c r="D6" s="890" t="s">
        <v>249</v>
      </c>
      <c r="E6" s="890"/>
      <c r="F6" s="890"/>
      <c r="G6" s="890"/>
      <c r="H6" s="890"/>
      <c r="I6" s="29"/>
      <c r="J6" s="231"/>
      <c r="K6" s="231"/>
      <c r="L6" s="231"/>
      <c r="M6" s="231"/>
      <c r="N6" s="231"/>
      <c r="O6" s="231"/>
      <c r="P6" s="231"/>
      <c r="Q6" s="231"/>
      <c r="R6" s="231"/>
      <c r="S6" s="231"/>
      <c r="T6" s="231"/>
      <c r="U6" s="231"/>
      <c r="V6" s="231"/>
      <c r="W6" s="231"/>
      <c r="X6" s="231"/>
      <c r="Y6" s="231"/>
      <c r="Z6" s="231"/>
      <c r="AA6" s="231"/>
      <c r="AB6" s="231"/>
      <c r="AC6" s="231"/>
      <c r="AD6" s="231"/>
      <c r="AE6" s="231"/>
      <c r="AF6" s="231"/>
      <c r="AG6" s="231"/>
      <c r="AH6" s="231"/>
      <c r="AI6" s="231"/>
      <c r="AJ6" s="231"/>
    </row>
    <row r="7" spans="1:36" s="203" customFormat="1" ht="18.75" customHeight="1">
      <c r="A7" s="19" t="s">
        <v>419</v>
      </c>
      <c r="B7" s="207"/>
      <c r="C7" s="207"/>
      <c r="D7" s="207"/>
      <c r="E7" s="207"/>
      <c r="F7" s="362" t="s">
        <v>250</v>
      </c>
      <c r="G7" s="1"/>
      <c r="H7" s="21"/>
      <c r="I7" s="29"/>
      <c r="J7" s="231"/>
      <c r="K7" s="231"/>
      <c r="L7" s="231"/>
      <c r="M7" s="231"/>
      <c r="N7" s="231"/>
      <c r="O7" s="231"/>
      <c r="P7" s="231"/>
      <c r="Q7" s="231"/>
      <c r="R7" s="231"/>
      <c r="S7" s="231"/>
      <c r="T7" s="231"/>
      <c r="U7" s="231"/>
      <c r="V7" s="231"/>
      <c r="W7" s="231"/>
      <c r="X7" s="231"/>
      <c r="Y7" s="231"/>
      <c r="Z7" s="231"/>
      <c r="AA7" s="231"/>
      <c r="AB7" s="231"/>
      <c r="AC7" s="231"/>
      <c r="AD7" s="231"/>
      <c r="AE7" s="231"/>
      <c r="AF7" s="231"/>
      <c r="AG7" s="231"/>
      <c r="AH7" s="231"/>
      <c r="AI7" s="231"/>
      <c r="AJ7" s="231"/>
    </row>
    <row r="8" spans="1:36" s="203" customFormat="1" ht="24" customHeight="1">
      <c r="A8" s="22" t="s">
        <v>408</v>
      </c>
      <c r="B8" s="207"/>
      <c r="C8" s="207"/>
      <c r="D8" s="207"/>
      <c r="E8" s="207"/>
      <c r="F8" s="207"/>
      <c r="G8" s="782"/>
      <c r="H8" s="21"/>
      <c r="I8" s="29"/>
      <c r="J8" s="231"/>
      <c r="K8" s="231"/>
      <c r="L8" s="231"/>
      <c r="M8" s="231"/>
      <c r="N8" s="231"/>
      <c r="O8" s="231"/>
      <c r="P8" s="231"/>
      <c r="Q8" s="231"/>
      <c r="R8" s="231"/>
      <c r="S8" s="231"/>
      <c r="T8" s="231"/>
      <c r="U8" s="231"/>
      <c r="V8" s="231"/>
      <c r="W8" s="231"/>
      <c r="X8" s="231"/>
      <c r="Y8" s="231"/>
      <c r="Z8" s="231"/>
      <c r="AA8" s="231"/>
      <c r="AB8" s="231"/>
      <c r="AC8" s="231"/>
      <c r="AD8" s="231"/>
      <c r="AE8" s="231"/>
      <c r="AF8" s="231"/>
      <c r="AG8" s="231"/>
      <c r="AH8" s="231"/>
      <c r="AI8" s="231"/>
      <c r="AJ8" s="231"/>
    </row>
    <row r="9" spans="1:36" s="203" customFormat="1" ht="30.75" customHeight="1">
      <c r="A9" s="891" t="s">
        <v>420</v>
      </c>
      <c r="B9" s="892"/>
      <c r="C9" s="892"/>
      <c r="D9" s="892"/>
      <c r="E9" s="892"/>
      <c r="F9" s="892"/>
      <c r="G9" s="892"/>
      <c r="H9" s="892"/>
      <c r="I9" s="892"/>
      <c r="J9" s="231"/>
      <c r="K9" s="231"/>
      <c r="L9" s="231"/>
      <c r="M9" s="231"/>
      <c r="N9" s="231"/>
      <c r="O9" s="231"/>
      <c r="P9" s="231"/>
      <c r="Q9" s="231"/>
      <c r="R9" s="231"/>
      <c r="S9" s="231"/>
      <c r="T9" s="231"/>
      <c r="U9" s="231"/>
      <c r="V9" s="231"/>
      <c r="W9" s="231"/>
      <c r="X9" s="231"/>
      <c r="Y9" s="231"/>
      <c r="Z9" s="231"/>
      <c r="AA9" s="231"/>
      <c r="AB9" s="231"/>
      <c r="AC9" s="231"/>
      <c r="AD9" s="231"/>
      <c r="AE9" s="231"/>
      <c r="AF9" s="231"/>
      <c r="AG9" s="231"/>
      <c r="AH9" s="231"/>
      <c r="AI9" s="231"/>
      <c r="AJ9" s="231"/>
    </row>
    <row r="10" spans="1:36" s="203" customFormat="1" ht="12.75" customHeight="1">
      <c r="A10" s="22" t="s">
        <v>409</v>
      </c>
      <c r="B10" s="19"/>
      <c r="C10" s="1"/>
      <c r="D10" s="880" t="s">
        <v>250</v>
      </c>
      <c r="E10" s="881"/>
      <c r="F10" s="881"/>
      <c r="G10" s="207"/>
      <c r="H10" s="207"/>
      <c r="I10" s="29"/>
      <c r="J10" s="231"/>
      <c r="K10" s="231"/>
      <c r="L10" s="231"/>
      <c r="M10" s="231"/>
      <c r="N10" s="231"/>
      <c r="O10" s="231"/>
      <c r="P10" s="231"/>
      <c r="Q10" s="231"/>
      <c r="R10" s="231"/>
      <c r="S10" s="231"/>
      <c r="T10" s="231"/>
      <c r="U10" s="231"/>
      <c r="V10" s="231"/>
      <c r="W10" s="231"/>
      <c r="X10" s="231"/>
      <c r="Y10" s="231"/>
      <c r="Z10" s="231"/>
      <c r="AA10" s="231"/>
      <c r="AB10" s="231"/>
      <c r="AC10" s="231"/>
      <c r="AD10" s="231"/>
      <c r="AE10" s="231"/>
      <c r="AF10" s="231"/>
      <c r="AG10" s="231"/>
      <c r="AH10" s="231"/>
      <c r="AI10" s="231"/>
      <c r="AJ10" s="231"/>
    </row>
    <row r="11" spans="1:36" s="203" customFormat="1">
      <c r="A11" s="23"/>
      <c r="B11" s="207"/>
      <c r="C11" s="207"/>
      <c r="D11" s="207"/>
      <c r="E11" s="207"/>
      <c r="F11" s="207"/>
      <c r="G11" s="21"/>
      <c r="H11" s="21"/>
      <c r="I11" s="29"/>
      <c r="J11" s="231"/>
      <c r="K11" s="231"/>
      <c r="L11" s="231"/>
      <c r="M11" s="231"/>
      <c r="N11" s="231"/>
      <c r="O11" s="231"/>
      <c r="P11" s="231"/>
      <c r="Q11" s="231"/>
      <c r="R11" s="231"/>
      <c r="S11" s="231"/>
      <c r="T11" s="231"/>
      <c r="U11" s="231"/>
      <c r="V11" s="231"/>
      <c r="W11" s="231"/>
      <c r="X11" s="231"/>
      <c r="Y11" s="231"/>
      <c r="Z11" s="231"/>
      <c r="AA11" s="231"/>
      <c r="AB11" s="231"/>
      <c r="AC11" s="231"/>
      <c r="AD11" s="231"/>
      <c r="AE11" s="231"/>
      <c r="AF11" s="231"/>
      <c r="AG11" s="231"/>
      <c r="AH11" s="231"/>
      <c r="AI11" s="231"/>
      <c r="AJ11" s="231"/>
    </row>
    <row r="12" spans="1:36" s="203" customFormat="1">
      <c r="A12" s="24"/>
      <c r="B12" s="25" t="s">
        <v>7</v>
      </c>
      <c r="C12" s="26"/>
      <c r="D12" s="356"/>
      <c r="E12" s="356"/>
      <c r="F12" s="357"/>
      <c r="G12" s="21"/>
      <c r="H12" s="21"/>
      <c r="I12" s="29"/>
      <c r="J12" s="231"/>
      <c r="K12" s="231"/>
      <c r="L12" s="231"/>
      <c r="M12" s="231"/>
      <c r="N12" s="231"/>
      <c r="O12" s="231"/>
      <c r="P12" s="231"/>
      <c r="Q12" s="231"/>
      <c r="R12" s="231"/>
      <c r="S12" s="231"/>
      <c r="T12" s="231"/>
      <c r="U12" s="231"/>
      <c r="V12" s="231"/>
      <c r="W12" s="231"/>
      <c r="X12" s="231"/>
      <c r="Y12" s="231"/>
      <c r="Z12" s="231"/>
      <c r="AA12" s="231"/>
      <c r="AB12" s="231"/>
      <c r="AC12" s="231"/>
      <c r="AD12" s="231"/>
      <c r="AE12" s="231"/>
      <c r="AF12" s="231"/>
      <c r="AG12" s="231"/>
      <c r="AH12" s="231"/>
      <c r="AI12" s="231"/>
      <c r="AJ12" s="231"/>
    </row>
    <row r="13" spans="1:36" s="203" customFormat="1">
      <c r="A13" s="23"/>
      <c r="B13" s="27"/>
      <c r="C13" s="358"/>
      <c r="D13" s="15"/>
      <c r="E13" s="15"/>
      <c r="F13" s="359"/>
      <c r="G13" s="207"/>
      <c r="H13" s="21"/>
      <c r="I13" s="29"/>
      <c r="J13" s="231"/>
      <c r="K13" s="231"/>
      <c r="L13" s="231"/>
      <c r="M13" s="231"/>
      <c r="N13" s="231"/>
      <c r="O13" s="231"/>
      <c r="P13" s="231"/>
      <c r="Q13" s="231"/>
      <c r="R13" s="231"/>
      <c r="S13" s="231"/>
      <c r="T13" s="231"/>
      <c r="U13" s="231"/>
      <c r="V13" s="231"/>
      <c r="W13" s="231"/>
      <c r="X13" s="231"/>
      <c r="Y13" s="231"/>
      <c r="Z13" s="231"/>
      <c r="AA13" s="231"/>
      <c r="AB13" s="231"/>
      <c r="AC13" s="231"/>
      <c r="AD13" s="231"/>
      <c r="AE13" s="231"/>
      <c r="AF13" s="231"/>
      <c r="AG13" s="231"/>
      <c r="AH13" s="231"/>
      <c r="AI13" s="231"/>
      <c r="AJ13" s="231"/>
    </row>
    <row r="14" spans="1:36" s="203" customFormat="1">
      <c r="A14" s="23"/>
      <c r="B14" s="363" t="s">
        <v>328</v>
      </c>
      <c r="C14" s="870" t="s">
        <v>10</v>
      </c>
      <c r="D14" s="870"/>
      <c r="E14" s="870"/>
      <c r="F14" s="871"/>
      <c r="G14" s="207"/>
      <c r="H14" s="21"/>
      <c r="I14" s="29"/>
      <c r="J14" s="231"/>
      <c r="K14" s="231"/>
      <c r="L14" s="231"/>
      <c r="M14" s="231"/>
      <c r="N14" s="231"/>
      <c r="O14" s="231"/>
      <c r="P14" s="231"/>
      <c r="Q14" s="231"/>
      <c r="R14" s="231"/>
      <c r="S14" s="231"/>
      <c r="T14" s="231"/>
      <c r="U14" s="231"/>
      <c r="V14" s="231"/>
      <c r="W14" s="231"/>
      <c r="X14" s="231"/>
      <c r="Y14" s="231"/>
      <c r="Z14" s="231"/>
      <c r="AA14" s="231"/>
      <c r="AB14" s="231"/>
      <c r="AC14" s="231"/>
      <c r="AD14" s="231"/>
      <c r="AE14" s="231"/>
      <c r="AF14" s="231"/>
      <c r="AG14" s="231"/>
      <c r="AH14" s="231"/>
      <c r="AI14" s="231"/>
      <c r="AJ14" s="231"/>
    </row>
    <row r="15" spans="1:36" s="203" customFormat="1">
      <c r="A15" s="23"/>
      <c r="B15" s="363" t="s">
        <v>329</v>
      </c>
      <c r="C15" s="870" t="s">
        <v>12</v>
      </c>
      <c r="D15" s="870"/>
      <c r="E15" s="870"/>
      <c r="F15" s="871"/>
      <c r="G15" s="207"/>
      <c r="H15" s="21"/>
      <c r="I15" s="29"/>
      <c r="J15" s="231"/>
      <c r="K15" s="231"/>
      <c r="L15" s="231"/>
      <c r="M15" s="231"/>
      <c r="N15" s="231"/>
      <c r="O15" s="231"/>
      <c r="P15" s="231"/>
      <c r="Q15" s="231"/>
      <c r="R15" s="231"/>
      <c r="S15" s="231"/>
      <c r="T15" s="231"/>
      <c r="U15" s="231"/>
      <c r="V15" s="231"/>
      <c r="W15" s="231"/>
      <c r="X15" s="231"/>
      <c r="Y15" s="231"/>
      <c r="Z15" s="231"/>
      <c r="AA15" s="231"/>
      <c r="AB15" s="231"/>
      <c r="AC15" s="231"/>
      <c r="AD15" s="231"/>
      <c r="AE15" s="231"/>
      <c r="AF15" s="231"/>
      <c r="AG15" s="231"/>
      <c r="AH15" s="231"/>
      <c r="AI15" s="231"/>
      <c r="AJ15" s="231"/>
    </row>
    <row r="16" spans="1:36" s="203" customFormat="1">
      <c r="A16" s="23"/>
      <c r="B16" s="360" t="s">
        <v>14</v>
      </c>
      <c r="C16" s="870" t="s">
        <v>15</v>
      </c>
      <c r="D16" s="870"/>
      <c r="E16" s="870"/>
      <c r="F16" s="871"/>
      <c r="G16" s="207"/>
      <c r="H16" s="21"/>
      <c r="I16" s="29"/>
      <c r="J16" s="231"/>
      <c r="K16" s="231"/>
      <c r="L16" s="231"/>
      <c r="M16" s="231"/>
      <c r="N16" s="231"/>
      <c r="O16" s="231"/>
      <c r="P16" s="231"/>
      <c r="Q16" s="231"/>
      <c r="R16" s="231"/>
      <c r="S16" s="231"/>
      <c r="T16" s="231"/>
      <c r="U16" s="231"/>
      <c r="V16" s="231"/>
      <c r="W16" s="231"/>
      <c r="X16" s="231"/>
      <c r="Y16" s="231"/>
      <c r="Z16" s="231"/>
      <c r="AA16" s="231"/>
      <c r="AB16" s="231"/>
      <c r="AC16" s="231"/>
      <c r="AD16" s="231"/>
      <c r="AE16" s="231"/>
      <c r="AF16" s="231"/>
      <c r="AG16" s="231"/>
      <c r="AH16" s="231"/>
      <c r="AI16" s="231"/>
      <c r="AJ16" s="231"/>
    </row>
    <row r="17" spans="1:36" s="203" customFormat="1">
      <c r="A17" s="23"/>
      <c r="B17" s="360" t="s">
        <v>17</v>
      </c>
      <c r="C17" s="870" t="s">
        <v>18</v>
      </c>
      <c r="D17" s="870"/>
      <c r="E17" s="870"/>
      <c r="F17" s="871"/>
      <c r="G17" s="207"/>
      <c r="H17" s="21"/>
      <c r="I17" s="29"/>
      <c r="J17" s="231"/>
      <c r="K17" s="231"/>
      <c r="L17" s="231"/>
      <c r="M17" s="231"/>
      <c r="N17" s="231"/>
      <c r="O17" s="231"/>
      <c r="P17" s="231"/>
      <c r="Q17" s="231"/>
      <c r="R17" s="231"/>
      <c r="S17" s="231"/>
      <c r="T17" s="231"/>
      <c r="U17" s="231"/>
      <c r="V17" s="231"/>
      <c r="W17" s="231"/>
      <c r="X17" s="231"/>
      <c r="Y17" s="231"/>
      <c r="Z17" s="231"/>
      <c r="AA17" s="231"/>
      <c r="AB17" s="231"/>
      <c r="AC17" s="231"/>
      <c r="AD17" s="231"/>
      <c r="AE17" s="231"/>
      <c r="AF17" s="231"/>
      <c r="AG17" s="231"/>
      <c r="AH17" s="231"/>
      <c r="AI17" s="231"/>
      <c r="AJ17" s="231"/>
    </row>
    <row r="18" spans="1:36" s="203" customFormat="1">
      <c r="A18" s="23"/>
      <c r="B18" s="360" t="s">
        <v>20</v>
      </c>
      <c r="C18" s="870" t="s">
        <v>21</v>
      </c>
      <c r="D18" s="870"/>
      <c r="E18" s="870"/>
      <c r="F18" s="871"/>
      <c r="G18" s="207"/>
      <c r="H18" s="21"/>
      <c r="I18" s="29"/>
      <c r="J18" s="231"/>
      <c r="K18" s="231"/>
      <c r="L18" s="231"/>
      <c r="M18" s="231"/>
      <c r="N18" s="231"/>
      <c r="O18" s="231"/>
      <c r="P18" s="231"/>
      <c r="Q18" s="231"/>
      <c r="R18" s="231"/>
      <c r="S18" s="231"/>
      <c r="T18" s="231"/>
      <c r="U18" s="231"/>
      <c r="V18" s="231"/>
      <c r="W18" s="231"/>
      <c r="X18" s="231"/>
      <c r="Y18" s="231"/>
      <c r="Z18" s="231"/>
      <c r="AA18" s="231"/>
      <c r="AB18" s="231"/>
      <c r="AC18" s="231"/>
      <c r="AD18" s="231"/>
      <c r="AE18" s="231"/>
      <c r="AF18" s="231"/>
      <c r="AG18" s="231"/>
      <c r="AH18" s="231"/>
      <c r="AI18" s="231"/>
      <c r="AJ18" s="231"/>
    </row>
    <row r="19" spans="1:36" s="203" customFormat="1">
      <c r="A19" s="23"/>
      <c r="B19" s="361" t="s">
        <v>23</v>
      </c>
      <c r="C19" s="872" t="s">
        <v>24</v>
      </c>
      <c r="D19" s="872"/>
      <c r="E19" s="872"/>
      <c r="F19" s="873"/>
      <c r="G19" s="21"/>
      <c r="H19" s="21"/>
      <c r="I19" s="29"/>
      <c r="J19" s="231"/>
      <c r="K19" s="231"/>
      <c r="L19" s="231"/>
      <c r="M19" s="231"/>
      <c r="N19" s="231"/>
      <c r="O19" s="231"/>
      <c r="P19" s="231"/>
      <c r="Q19" s="231"/>
      <c r="R19" s="231"/>
      <c r="S19" s="231"/>
      <c r="T19" s="231"/>
      <c r="U19" s="231"/>
      <c r="V19" s="231"/>
      <c r="W19" s="231"/>
      <c r="X19" s="231"/>
      <c r="Y19" s="231"/>
      <c r="Z19" s="231"/>
      <c r="AA19" s="231"/>
      <c r="AB19" s="231"/>
      <c r="AC19" s="231"/>
      <c r="AD19" s="231"/>
      <c r="AE19" s="231"/>
      <c r="AF19" s="231"/>
      <c r="AG19" s="231"/>
      <c r="AH19" s="231"/>
      <c r="AI19" s="231"/>
      <c r="AJ19" s="231"/>
    </row>
    <row r="20" spans="1:36" s="203" customFormat="1">
      <c r="A20" s="236"/>
      <c r="B20" s="206"/>
      <c r="C20" s="206"/>
      <c r="D20" s="206"/>
      <c r="E20" s="206"/>
      <c r="F20" s="206"/>
      <c r="G20" s="206"/>
      <c r="H20" s="206"/>
      <c r="I20" s="206"/>
      <c r="J20" s="231"/>
      <c r="K20" s="231"/>
      <c r="L20" s="231"/>
      <c r="M20" s="231"/>
      <c r="N20" s="231"/>
      <c r="O20" s="231"/>
      <c r="P20" s="231"/>
      <c r="Q20" s="231"/>
      <c r="R20" s="231"/>
      <c r="S20" s="231"/>
      <c r="T20" s="231"/>
      <c r="U20" s="231"/>
      <c r="V20" s="231"/>
      <c r="W20" s="231"/>
      <c r="X20" s="231"/>
      <c r="Y20" s="231"/>
      <c r="Z20" s="231"/>
      <c r="AA20" s="231"/>
      <c r="AB20" s="231"/>
      <c r="AC20" s="231"/>
      <c r="AD20" s="231"/>
      <c r="AE20" s="231"/>
      <c r="AF20" s="231"/>
      <c r="AG20" s="231"/>
      <c r="AH20" s="231"/>
      <c r="AI20" s="231"/>
      <c r="AJ20" s="231"/>
    </row>
    <row r="21" spans="1:36" s="203" customFormat="1" ht="19.5">
      <c r="A21" s="30"/>
      <c r="B21" s="13"/>
      <c r="C21" s="13"/>
      <c r="D21" s="13"/>
      <c r="E21" s="13"/>
      <c r="F21" s="13"/>
      <c r="G21" s="13"/>
      <c r="H21" s="31" t="s">
        <v>27</v>
      </c>
      <c r="I21" s="237"/>
      <c r="J21" s="231"/>
      <c r="K21" s="231"/>
      <c r="L21" s="231"/>
      <c r="M21" s="231"/>
      <c r="N21" s="231"/>
      <c r="O21" s="231"/>
      <c r="P21" s="231"/>
      <c r="Q21" s="231"/>
      <c r="R21" s="231"/>
      <c r="S21" s="231"/>
      <c r="T21" s="231"/>
      <c r="U21" s="231"/>
      <c r="V21" s="231"/>
      <c r="W21" s="231"/>
      <c r="X21" s="231"/>
      <c r="Y21" s="231"/>
      <c r="Z21" s="231"/>
      <c r="AA21" s="231"/>
      <c r="AB21" s="231"/>
      <c r="AC21" s="231"/>
      <c r="AD21" s="231"/>
      <c r="AE21" s="231"/>
      <c r="AF21" s="231"/>
      <c r="AG21" s="231"/>
      <c r="AH21" s="231"/>
      <c r="AI21" s="231"/>
      <c r="AJ21" s="231"/>
    </row>
    <row r="22" spans="1:36" s="203" customFormat="1" ht="18.75" customHeight="1">
      <c r="A22" s="32"/>
      <c r="B22" s="29"/>
      <c r="C22" s="29"/>
      <c r="D22" s="29"/>
      <c r="E22" s="29"/>
      <c r="F22" s="33">
        <v>1</v>
      </c>
      <c r="G22" s="34"/>
      <c r="H22" s="33">
        <v>2</v>
      </c>
      <c r="I22" s="34"/>
      <c r="J22" s="231"/>
      <c r="K22" s="231"/>
      <c r="L22" s="231"/>
      <c r="M22" s="231"/>
      <c r="N22" s="231"/>
      <c r="O22" s="231"/>
      <c r="P22" s="231"/>
      <c r="Q22" s="231"/>
      <c r="R22" s="231"/>
      <c r="S22" s="231"/>
      <c r="T22" s="231"/>
      <c r="U22" s="231"/>
      <c r="V22" s="231"/>
      <c r="W22" s="231"/>
      <c r="X22" s="231"/>
      <c r="Y22" s="231"/>
      <c r="Z22" s="231"/>
      <c r="AA22" s="231"/>
      <c r="AB22" s="231"/>
      <c r="AC22" s="231"/>
      <c r="AD22" s="231"/>
      <c r="AE22" s="231"/>
      <c r="AF22" s="231"/>
      <c r="AG22" s="231"/>
      <c r="AH22" s="231"/>
      <c r="AI22" s="231"/>
      <c r="AJ22" s="231"/>
    </row>
    <row r="23" spans="1:36" s="203" customFormat="1" ht="21.95" customHeight="1">
      <c r="A23" s="874" t="s">
        <v>30</v>
      </c>
      <c r="B23" s="875"/>
      <c r="C23" s="875"/>
      <c r="D23" s="875"/>
      <c r="E23" s="878" t="s">
        <v>376</v>
      </c>
      <c r="F23" s="856" t="s">
        <v>407</v>
      </c>
      <c r="G23" s="36"/>
      <c r="H23" s="878" t="s">
        <v>406</v>
      </c>
      <c r="I23" s="36"/>
      <c r="J23" s="231"/>
      <c r="K23" s="231"/>
      <c r="L23" s="231"/>
      <c r="M23" s="231"/>
      <c r="N23" s="231"/>
      <c r="O23" s="231"/>
      <c r="P23" s="231"/>
      <c r="Q23" s="231"/>
      <c r="R23" s="231"/>
      <c r="S23" s="231"/>
      <c r="T23" s="231"/>
      <c r="U23" s="231"/>
      <c r="V23" s="231"/>
      <c r="W23" s="231"/>
      <c r="X23" s="231"/>
      <c r="Y23" s="231"/>
      <c r="Z23" s="231"/>
      <c r="AA23" s="231"/>
      <c r="AB23" s="231"/>
      <c r="AC23" s="231"/>
      <c r="AD23" s="231"/>
      <c r="AE23" s="231"/>
      <c r="AF23" s="231"/>
      <c r="AG23" s="231"/>
      <c r="AH23" s="231"/>
      <c r="AI23" s="231"/>
      <c r="AJ23" s="231"/>
    </row>
    <row r="24" spans="1:36" s="203" customFormat="1" ht="21.95" customHeight="1">
      <c r="A24" s="876"/>
      <c r="B24" s="877"/>
      <c r="C24" s="877"/>
      <c r="D24" s="877"/>
      <c r="E24" s="879"/>
      <c r="F24" s="860"/>
      <c r="G24" s="23"/>
      <c r="H24" s="879"/>
      <c r="I24" s="36"/>
      <c r="J24" s="231"/>
      <c r="K24" s="231"/>
      <c r="L24" s="231"/>
      <c r="M24" s="231"/>
      <c r="N24" s="231"/>
      <c r="O24" s="231"/>
      <c r="P24" s="231"/>
      <c r="Q24" s="231"/>
      <c r="R24" s="231"/>
      <c r="S24" s="231"/>
      <c r="T24" s="231"/>
      <c r="U24" s="231"/>
      <c r="V24" s="231"/>
      <c r="W24" s="231"/>
      <c r="X24" s="231"/>
      <c r="Y24" s="231"/>
      <c r="Z24" s="231"/>
      <c r="AA24" s="231"/>
      <c r="AB24" s="231"/>
      <c r="AC24" s="231"/>
      <c r="AD24" s="231"/>
      <c r="AE24" s="231"/>
      <c r="AF24" s="231"/>
      <c r="AG24" s="231"/>
      <c r="AH24" s="231"/>
      <c r="AI24" s="231"/>
      <c r="AJ24" s="231"/>
    </row>
    <row r="25" spans="1:36" s="203" customFormat="1" ht="21.95" customHeight="1">
      <c r="A25" s="898" t="s">
        <v>48</v>
      </c>
      <c r="B25" s="901" t="s">
        <v>49</v>
      </c>
      <c r="C25" s="901"/>
      <c r="D25" s="902"/>
      <c r="E25" s="907" t="s">
        <v>50</v>
      </c>
      <c r="F25" s="909" t="s">
        <v>51</v>
      </c>
      <c r="G25" s="34"/>
      <c r="H25" s="907" t="s">
        <v>50</v>
      </c>
      <c r="I25" s="36"/>
      <c r="J25" s="231"/>
      <c r="K25" s="231"/>
      <c r="L25" s="231"/>
      <c r="M25" s="231"/>
      <c r="N25" s="231"/>
      <c r="O25" s="231"/>
      <c r="P25" s="231"/>
      <c r="Q25" s="231"/>
      <c r="R25" s="231"/>
      <c r="S25" s="231"/>
      <c r="T25" s="231"/>
      <c r="U25" s="231"/>
      <c r="V25" s="231"/>
      <c r="W25" s="231"/>
      <c r="X25" s="231"/>
      <c r="Y25" s="231"/>
      <c r="Z25" s="231"/>
      <c r="AA25" s="231"/>
      <c r="AB25" s="231"/>
      <c r="AC25" s="231"/>
      <c r="AD25" s="231"/>
      <c r="AE25" s="231"/>
      <c r="AF25" s="231"/>
      <c r="AG25" s="231"/>
      <c r="AH25" s="231"/>
      <c r="AI25" s="231"/>
      <c r="AJ25" s="231"/>
    </row>
    <row r="26" spans="1:36" s="203" customFormat="1" ht="21.95" customHeight="1">
      <c r="A26" s="899"/>
      <c r="B26" s="903"/>
      <c r="C26" s="903"/>
      <c r="D26" s="904"/>
      <c r="E26" s="908"/>
      <c r="F26" s="859"/>
      <c r="G26" s="34"/>
      <c r="H26" s="908"/>
      <c r="I26" s="36"/>
      <c r="J26" s="231"/>
      <c r="K26" s="231"/>
      <c r="L26" s="231"/>
      <c r="M26" s="231"/>
      <c r="N26" s="231"/>
      <c r="O26" s="231"/>
      <c r="P26" s="231"/>
      <c r="Q26" s="231"/>
      <c r="R26" s="231"/>
      <c r="S26" s="231"/>
      <c r="T26" s="231"/>
      <c r="U26" s="231"/>
      <c r="V26" s="231"/>
      <c r="W26" s="231"/>
      <c r="X26" s="231"/>
      <c r="Y26" s="231"/>
      <c r="Z26" s="231"/>
      <c r="AA26" s="231"/>
      <c r="AB26" s="231"/>
      <c r="AC26" s="231"/>
      <c r="AD26" s="231"/>
      <c r="AE26" s="231"/>
      <c r="AF26" s="231"/>
      <c r="AG26" s="231"/>
      <c r="AH26" s="231"/>
      <c r="AI26" s="231"/>
      <c r="AJ26" s="231"/>
    </row>
    <row r="27" spans="1:36" s="203" customFormat="1" ht="21.95" customHeight="1">
      <c r="A27" s="900"/>
      <c r="B27" s="905"/>
      <c r="C27" s="905"/>
      <c r="D27" s="906"/>
      <c r="E27" s="879"/>
      <c r="F27" s="860"/>
      <c r="G27" s="34"/>
      <c r="H27" s="879"/>
      <c r="I27" s="36"/>
      <c r="J27" s="231"/>
      <c r="K27" s="231"/>
      <c r="L27" s="231"/>
      <c r="M27" s="231"/>
      <c r="N27" s="231"/>
      <c r="O27" s="231"/>
      <c r="P27" s="231"/>
      <c r="Q27" s="231"/>
      <c r="R27" s="231"/>
      <c r="S27" s="231"/>
      <c r="T27" s="231"/>
      <c r="U27" s="231"/>
      <c r="V27" s="231"/>
      <c r="W27" s="231"/>
      <c r="X27" s="231"/>
      <c r="Y27" s="231"/>
      <c r="Z27" s="231"/>
      <c r="AA27" s="231"/>
      <c r="AB27" s="231"/>
      <c r="AC27" s="231"/>
      <c r="AD27" s="231"/>
      <c r="AE27" s="231"/>
      <c r="AF27" s="231"/>
      <c r="AG27" s="231"/>
      <c r="AH27" s="231"/>
      <c r="AI27" s="231"/>
      <c r="AJ27" s="231"/>
    </row>
    <row r="28" spans="1:36" s="203" customFormat="1">
      <c r="A28" s="38">
        <v>1</v>
      </c>
      <c r="B28" s="39" t="s">
        <v>52</v>
      </c>
      <c r="C28" s="39"/>
      <c r="D28" s="40"/>
      <c r="E28" s="41">
        <v>100156</v>
      </c>
      <c r="F28" s="42">
        <f>F77</f>
        <v>101348.62418682754</v>
      </c>
      <c r="G28" s="43"/>
      <c r="H28" s="44">
        <f>H77</f>
        <v>109207.53730507808</v>
      </c>
      <c r="I28" s="43"/>
      <c r="J28" s="231"/>
      <c r="K28" s="231"/>
      <c r="L28" s="231"/>
      <c r="M28" s="231"/>
      <c r="N28" s="231"/>
      <c r="O28" s="231"/>
      <c r="P28" s="231"/>
      <c r="Q28" s="231"/>
      <c r="R28" s="231"/>
      <c r="S28" s="231"/>
      <c r="T28" s="231"/>
      <c r="U28" s="231"/>
      <c r="V28" s="231"/>
      <c r="W28" s="231"/>
      <c r="X28" s="231"/>
      <c r="Y28" s="231"/>
      <c r="Z28" s="231"/>
      <c r="AA28" s="231"/>
      <c r="AB28" s="231"/>
      <c r="AC28" s="231"/>
      <c r="AD28" s="231"/>
      <c r="AE28" s="231"/>
      <c r="AF28" s="231"/>
      <c r="AG28" s="231"/>
      <c r="AH28" s="231"/>
      <c r="AI28" s="231"/>
      <c r="AJ28" s="231"/>
    </row>
    <row r="29" spans="1:36" s="203" customFormat="1">
      <c r="A29" s="46">
        <v>2</v>
      </c>
      <c r="B29" s="47" t="s">
        <v>53</v>
      </c>
      <c r="C29" s="47"/>
      <c r="D29" s="48"/>
      <c r="E29" s="49">
        <v>63111</v>
      </c>
      <c r="F29" s="50">
        <f>F105</f>
        <v>63384</v>
      </c>
      <c r="G29" s="43"/>
      <c r="H29" s="51">
        <f>H105</f>
        <v>70323</v>
      </c>
      <c r="I29" s="43"/>
      <c r="J29" s="231"/>
      <c r="K29" s="231"/>
      <c r="L29" s="231"/>
      <c r="M29" s="231"/>
      <c r="N29" s="231"/>
      <c r="O29" s="231"/>
      <c r="P29" s="231"/>
      <c r="Q29" s="231"/>
      <c r="R29" s="231"/>
      <c r="S29" s="231"/>
      <c r="T29" s="231"/>
      <c r="U29" s="231"/>
      <c r="V29" s="231"/>
      <c r="W29" s="231"/>
      <c r="X29" s="231"/>
      <c r="Y29" s="231"/>
      <c r="Z29" s="231"/>
      <c r="AA29" s="231"/>
      <c r="AB29" s="231"/>
      <c r="AC29" s="231"/>
      <c r="AD29" s="231"/>
      <c r="AE29" s="231"/>
      <c r="AF29" s="231"/>
      <c r="AG29" s="231"/>
      <c r="AH29" s="231"/>
      <c r="AI29" s="231"/>
      <c r="AJ29" s="231"/>
    </row>
    <row r="30" spans="1:36" s="203" customFormat="1">
      <c r="A30" s="46">
        <v>3</v>
      </c>
      <c r="B30" s="47" t="s">
        <v>54</v>
      </c>
      <c r="C30" s="47"/>
      <c r="D30" s="48"/>
      <c r="E30" s="49">
        <v>5729</v>
      </c>
      <c r="F30" s="50">
        <f>F180</f>
        <v>5627</v>
      </c>
      <c r="G30" s="43"/>
      <c r="H30" s="51">
        <f>H180</f>
        <v>5490</v>
      </c>
      <c r="I30" s="43"/>
      <c r="J30" s="231"/>
      <c r="K30" s="231"/>
      <c r="L30" s="231"/>
      <c r="M30" s="231"/>
      <c r="N30" s="231"/>
      <c r="O30" s="231"/>
      <c r="P30" s="231"/>
      <c r="Q30" s="231"/>
      <c r="R30" s="231"/>
      <c r="S30" s="231"/>
      <c r="T30" s="231"/>
      <c r="U30" s="231"/>
      <c r="V30" s="231"/>
      <c r="W30" s="231"/>
      <c r="X30" s="231"/>
      <c r="Y30" s="231"/>
      <c r="Z30" s="231"/>
      <c r="AA30" s="231"/>
      <c r="AB30" s="231"/>
      <c r="AC30" s="231"/>
      <c r="AD30" s="231"/>
      <c r="AE30" s="231"/>
      <c r="AF30" s="231"/>
      <c r="AG30" s="231"/>
      <c r="AH30" s="231"/>
      <c r="AI30" s="231"/>
      <c r="AJ30" s="231"/>
    </row>
    <row r="31" spans="1:36" s="203" customFormat="1">
      <c r="A31" s="46">
        <v>4</v>
      </c>
      <c r="B31" s="47" t="s">
        <v>55</v>
      </c>
      <c r="C31" s="47"/>
      <c r="D31" s="48"/>
      <c r="E31" s="49">
        <v>10045</v>
      </c>
      <c r="F31" s="50">
        <f>F214</f>
        <v>9765</v>
      </c>
      <c r="G31" s="43"/>
      <c r="H31" s="51">
        <f>H214</f>
        <v>10366</v>
      </c>
      <c r="I31" s="43"/>
      <c r="J31" s="231"/>
      <c r="K31" s="231"/>
      <c r="L31" s="231"/>
      <c r="M31" s="231"/>
      <c r="N31" s="231"/>
      <c r="O31" s="231"/>
      <c r="P31" s="231"/>
      <c r="Q31" s="231"/>
      <c r="R31" s="231"/>
      <c r="S31" s="231"/>
      <c r="T31" s="231"/>
      <c r="U31" s="231"/>
      <c r="V31" s="231"/>
      <c r="W31" s="231"/>
      <c r="X31" s="231"/>
      <c r="Y31" s="231"/>
      <c r="Z31" s="231"/>
      <c r="AA31" s="231"/>
      <c r="AB31" s="231"/>
      <c r="AC31" s="231"/>
      <c r="AD31" s="231"/>
      <c r="AE31" s="231"/>
      <c r="AF31" s="231"/>
      <c r="AG31" s="231"/>
      <c r="AH31" s="231"/>
      <c r="AI31" s="231"/>
      <c r="AJ31" s="231"/>
    </row>
    <row r="32" spans="1:36" s="203" customFormat="1">
      <c r="A32" s="46">
        <v>5</v>
      </c>
      <c r="B32" s="47" t="s">
        <v>56</v>
      </c>
      <c r="C32" s="47"/>
      <c r="D32" s="48"/>
      <c r="E32" s="49">
        <v>3391</v>
      </c>
      <c r="F32" s="50">
        <f>F231</f>
        <v>3655</v>
      </c>
      <c r="G32" s="43"/>
      <c r="H32" s="51">
        <f>H231</f>
        <v>4013</v>
      </c>
      <c r="I32" s="43"/>
      <c r="J32" s="231"/>
      <c r="K32" s="231"/>
      <c r="L32" s="231"/>
      <c r="M32" s="231"/>
      <c r="N32" s="231"/>
      <c r="O32" s="231"/>
      <c r="P32" s="231"/>
      <c r="Q32" s="231"/>
      <c r="R32" s="231"/>
      <c r="S32" s="231"/>
      <c r="T32" s="231"/>
      <c r="U32" s="231"/>
      <c r="V32" s="231"/>
      <c r="W32" s="231"/>
      <c r="X32" s="231"/>
      <c r="Y32" s="231"/>
      <c r="Z32" s="231"/>
      <c r="AA32" s="231"/>
      <c r="AB32" s="231"/>
      <c r="AC32" s="231"/>
      <c r="AD32" s="231"/>
      <c r="AE32" s="231"/>
      <c r="AF32" s="231"/>
      <c r="AG32" s="231"/>
      <c r="AH32" s="231"/>
      <c r="AI32" s="231"/>
      <c r="AJ32" s="231"/>
    </row>
    <row r="33" spans="1:36" s="203" customFormat="1">
      <c r="A33" s="46">
        <v>6</v>
      </c>
      <c r="B33" s="47" t="s">
        <v>57</v>
      </c>
      <c r="C33" s="47"/>
      <c r="D33" s="48"/>
      <c r="E33" s="49">
        <v>10563</v>
      </c>
      <c r="F33" s="50">
        <f>F257</f>
        <v>11168</v>
      </c>
      <c r="G33" s="43"/>
      <c r="H33" s="51">
        <f>H257</f>
        <v>11049</v>
      </c>
      <c r="I33" s="43"/>
      <c r="J33" s="231"/>
      <c r="K33" s="231"/>
      <c r="L33" s="231"/>
      <c r="M33" s="231"/>
      <c r="N33" s="231"/>
      <c r="O33" s="231"/>
      <c r="P33" s="231"/>
      <c r="Q33" s="231"/>
      <c r="R33" s="231"/>
      <c r="S33" s="231"/>
      <c r="T33" s="231"/>
      <c r="U33" s="231"/>
      <c r="V33" s="231"/>
      <c r="W33" s="231"/>
      <c r="X33" s="231"/>
      <c r="Y33" s="231"/>
      <c r="Z33" s="231"/>
      <c r="AA33" s="231"/>
      <c r="AB33" s="231"/>
      <c r="AC33" s="231"/>
      <c r="AD33" s="231"/>
      <c r="AE33" s="231"/>
      <c r="AF33" s="231"/>
      <c r="AG33" s="231"/>
      <c r="AH33" s="231"/>
      <c r="AI33" s="231"/>
      <c r="AJ33" s="231"/>
    </row>
    <row r="34" spans="1:36" s="203" customFormat="1">
      <c r="A34" s="46">
        <v>7</v>
      </c>
      <c r="B34" s="47" t="s">
        <v>58</v>
      </c>
      <c r="C34" s="47"/>
      <c r="D34" s="48"/>
      <c r="E34" s="49">
        <v>7131</v>
      </c>
      <c r="F34" s="50">
        <f>F277</f>
        <v>6736</v>
      </c>
      <c r="G34" s="43"/>
      <c r="H34" s="50">
        <f>H277</f>
        <v>6932</v>
      </c>
      <c r="I34" s="43"/>
      <c r="J34" s="231"/>
      <c r="K34" s="231"/>
      <c r="L34" s="231"/>
      <c r="M34" s="231"/>
      <c r="N34" s="231"/>
      <c r="O34" s="231"/>
      <c r="P34" s="231"/>
      <c r="Q34" s="231"/>
      <c r="R34" s="231"/>
      <c r="S34" s="231"/>
      <c r="T34" s="231"/>
      <c r="U34" s="231"/>
      <c r="V34" s="231"/>
      <c r="W34" s="231"/>
      <c r="X34" s="231"/>
      <c r="Y34" s="231"/>
      <c r="Z34" s="231"/>
      <c r="AA34" s="231"/>
      <c r="AB34" s="231"/>
      <c r="AC34" s="231"/>
      <c r="AD34" s="231"/>
      <c r="AE34" s="231"/>
      <c r="AF34" s="231"/>
      <c r="AG34" s="231"/>
      <c r="AH34" s="231"/>
      <c r="AI34" s="231"/>
      <c r="AJ34" s="231"/>
    </row>
    <row r="35" spans="1:36" s="203" customFormat="1">
      <c r="A35" s="46">
        <v>8</v>
      </c>
      <c r="B35" s="47" t="s">
        <v>59</v>
      </c>
      <c r="C35" s="47"/>
      <c r="D35" s="48"/>
      <c r="E35" s="49">
        <v>4513</v>
      </c>
      <c r="F35" s="50">
        <f>F302</f>
        <v>7025</v>
      </c>
      <c r="G35" s="43"/>
      <c r="H35" s="50">
        <f>H302</f>
        <v>1989</v>
      </c>
      <c r="I35" s="21"/>
      <c r="J35" s="231"/>
      <c r="K35" s="231"/>
      <c r="L35" s="231"/>
      <c r="M35" s="231"/>
      <c r="N35" s="231"/>
      <c r="O35" s="231"/>
      <c r="P35" s="231"/>
      <c r="Q35" s="231"/>
      <c r="R35" s="231"/>
      <c r="S35" s="231"/>
      <c r="T35" s="231"/>
      <c r="U35" s="231"/>
      <c r="V35" s="231"/>
      <c r="W35" s="231"/>
      <c r="X35" s="231"/>
      <c r="Y35" s="231"/>
      <c r="Z35" s="231"/>
      <c r="AA35" s="231"/>
      <c r="AB35" s="231"/>
      <c r="AC35" s="231"/>
      <c r="AD35" s="231"/>
      <c r="AE35" s="231"/>
      <c r="AF35" s="231"/>
      <c r="AG35" s="231"/>
      <c r="AH35" s="231"/>
      <c r="AI35" s="231"/>
      <c r="AJ35" s="231"/>
    </row>
    <row r="36" spans="1:36" s="203" customFormat="1">
      <c r="A36" s="46">
        <v>9</v>
      </c>
      <c r="B36" s="47" t="s">
        <v>60</v>
      </c>
      <c r="C36" s="47"/>
      <c r="D36" s="48"/>
      <c r="E36" s="49">
        <v>0</v>
      </c>
      <c r="F36" s="52"/>
      <c r="G36" s="43"/>
      <c r="H36" s="52"/>
      <c r="I36" s="21"/>
      <c r="J36" s="231"/>
      <c r="K36" s="231"/>
      <c r="L36" s="231"/>
      <c r="M36" s="231"/>
      <c r="N36" s="231"/>
      <c r="O36" s="231"/>
      <c r="P36" s="231"/>
      <c r="Q36" s="231"/>
      <c r="R36" s="231"/>
      <c r="S36" s="231"/>
      <c r="T36" s="231"/>
      <c r="U36" s="231"/>
      <c r="V36" s="231"/>
      <c r="W36" s="231"/>
      <c r="X36" s="231"/>
      <c r="Y36" s="231"/>
      <c r="Z36" s="231"/>
      <c r="AA36" s="231"/>
      <c r="AB36" s="231"/>
      <c r="AC36" s="231"/>
      <c r="AD36" s="231"/>
      <c r="AE36" s="231"/>
      <c r="AF36" s="231"/>
      <c r="AG36" s="231"/>
      <c r="AH36" s="231"/>
      <c r="AI36" s="231"/>
      <c r="AJ36" s="231"/>
    </row>
    <row r="37" spans="1:36" s="203" customFormat="1">
      <c r="A37" s="53">
        <v>10</v>
      </c>
      <c r="B37" s="54" t="s">
        <v>61</v>
      </c>
      <c r="C37" s="54"/>
      <c r="D37" s="55"/>
      <c r="E37" s="56">
        <v>10114</v>
      </c>
      <c r="F37" s="57">
        <f>F320</f>
        <v>10302</v>
      </c>
      <c r="G37" s="43"/>
      <c r="H37" s="57">
        <f>H320</f>
        <v>7943</v>
      </c>
      <c r="I37" s="21"/>
      <c r="J37" s="231"/>
      <c r="K37" s="231"/>
      <c r="L37" s="231"/>
      <c r="M37" s="231"/>
      <c r="N37" s="231"/>
      <c r="O37" s="231"/>
      <c r="P37" s="231"/>
      <c r="Q37" s="231"/>
      <c r="R37" s="231"/>
      <c r="S37" s="231"/>
      <c r="T37" s="231"/>
      <c r="U37" s="231"/>
      <c r="V37" s="231"/>
      <c r="W37" s="231"/>
      <c r="X37" s="231"/>
      <c r="Y37" s="231"/>
      <c r="Z37" s="231"/>
      <c r="AA37" s="231"/>
      <c r="AB37" s="231"/>
      <c r="AC37" s="231"/>
      <c r="AD37" s="231"/>
      <c r="AE37" s="231"/>
      <c r="AF37" s="231"/>
      <c r="AG37" s="231"/>
      <c r="AH37" s="231"/>
      <c r="AI37" s="231"/>
      <c r="AJ37" s="231"/>
    </row>
    <row r="38" spans="1:36" s="203" customFormat="1">
      <c r="A38" s="33">
        <v>11</v>
      </c>
      <c r="B38" s="58" t="s">
        <v>62</v>
      </c>
      <c r="C38" s="58"/>
      <c r="D38" s="59"/>
      <c r="E38" s="60">
        <v>214753</v>
      </c>
      <c r="F38" s="61">
        <f>SUM(F28:F37)</f>
        <v>219010.62418682754</v>
      </c>
      <c r="G38" s="43"/>
      <c r="H38" s="61">
        <f>SUM(H28:H37)</f>
        <v>227312.53730507806</v>
      </c>
      <c r="I38" s="68"/>
      <c r="J38" s="231"/>
      <c r="K38" s="231"/>
      <c r="L38" s="231"/>
      <c r="M38" s="231"/>
      <c r="N38" s="231"/>
      <c r="O38" s="231"/>
      <c r="P38" s="231"/>
      <c r="Q38" s="231"/>
      <c r="R38" s="231"/>
      <c r="S38" s="231"/>
      <c r="T38" s="231"/>
      <c r="U38" s="231"/>
      <c r="V38" s="231"/>
      <c r="W38" s="231"/>
      <c r="X38" s="231"/>
      <c r="Y38" s="231"/>
      <c r="Z38" s="231"/>
      <c r="AA38" s="231"/>
      <c r="AB38" s="231"/>
      <c r="AC38" s="231"/>
      <c r="AD38" s="231"/>
      <c r="AE38" s="231"/>
      <c r="AF38" s="231"/>
      <c r="AG38" s="231"/>
      <c r="AH38" s="231"/>
      <c r="AI38" s="231"/>
      <c r="AJ38" s="231"/>
    </row>
    <row r="39" spans="1:36" s="203" customFormat="1" ht="12.75" customHeight="1">
      <c r="A39" s="63"/>
      <c r="B39" s="64"/>
      <c r="C39" s="64"/>
      <c r="D39" s="65"/>
      <c r="E39" s="66"/>
      <c r="F39" s="67"/>
      <c r="G39" s="21"/>
      <c r="H39" s="67"/>
      <c r="I39" s="68"/>
      <c r="J39" s="231"/>
      <c r="K39" s="231"/>
      <c r="L39" s="231"/>
      <c r="M39" s="231"/>
      <c r="N39" s="231"/>
      <c r="O39" s="231"/>
      <c r="P39" s="231"/>
      <c r="Q39" s="231"/>
      <c r="R39" s="231"/>
      <c r="S39" s="231"/>
      <c r="T39" s="231"/>
      <c r="U39" s="231"/>
      <c r="V39" s="231"/>
      <c r="W39" s="231"/>
      <c r="X39" s="231"/>
      <c r="Y39" s="231"/>
      <c r="Z39" s="231"/>
      <c r="AA39" s="231"/>
      <c r="AB39" s="231"/>
      <c r="AC39" s="231"/>
      <c r="AD39" s="231"/>
      <c r="AE39" s="231"/>
      <c r="AF39" s="231"/>
      <c r="AG39" s="231"/>
      <c r="AH39" s="231"/>
      <c r="AI39" s="231"/>
      <c r="AJ39" s="231"/>
    </row>
    <row r="40" spans="1:36" s="203" customFormat="1" ht="12.75" customHeight="1">
      <c r="A40" s="893" t="s">
        <v>63</v>
      </c>
      <c r="B40" s="894"/>
      <c r="C40" s="894"/>
      <c r="D40" s="895"/>
      <c r="E40" s="878" t="s">
        <v>376</v>
      </c>
      <c r="F40" s="856" t="s">
        <v>407</v>
      </c>
      <c r="G40" s="36"/>
      <c r="H40" s="878" t="s">
        <v>406</v>
      </c>
      <c r="I40" s="43"/>
      <c r="J40" s="231"/>
      <c r="K40" s="231"/>
      <c r="L40" s="231"/>
      <c r="M40" s="231"/>
      <c r="N40" s="231"/>
      <c r="O40" s="231"/>
      <c r="P40" s="231"/>
      <c r="Q40" s="231"/>
      <c r="R40" s="231"/>
      <c r="S40" s="231"/>
      <c r="T40" s="231"/>
      <c r="U40" s="231"/>
      <c r="V40" s="231"/>
      <c r="W40" s="231"/>
      <c r="X40" s="231"/>
      <c r="Y40" s="231"/>
      <c r="Z40" s="231"/>
      <c r="AA40" s="231"/>
      <c r="AB40" s="231"/>
      <c r="AC40" s="231"/>
      <c r="AD40" s="231"/>
      <c r="AE40" s="231"/>
      <c r="AF40" s="231"/>
      <c r="AG40" s="231"/>
      <c r="AH40" s="231"/>
      <c r="AI40" s="231"/>
      <c r="AJ40" s="231"/>
    </row>
    <row r="41" spans="1:36" s="203" customFormat="1" ht="27.75" customHeight="1">
      <c r="A41" s="876"/>
      <c r="B41" s="877"/>
      <c r="C41" s="877"/>
      <c r="D41" s="896"/>
      <c r="E41" s="879"/>
      <c r="F41" s="860"/>
      <c r="G41" s="23"/>
      <c r="H41" s="879"/>
      <c r="I41" s="43"/>
      <c r="J41" s="231"/>
      <c r="K41" s="231"/>
      <c r="L41" s="231"/>
      <c r="M41" s="231"/>
      <c r="N41" s="231"/>
      <c r="O41" s="231"/>
      <c r="P41" s="231"/>
      <c r="Q41" s="231"/>
      <c r="R41" s="231"/>
      <c r="S41" s="231"/>
      <c r="T41" s="231"/>
      <c r="U41" s="231"/>
      <c r="V41" s="231"/>
      <c r="W41" s="231"/>
      <c r="X41" s="231"/>
      <c r="Y41" s="231"/>
      <c r="Z41" s="231"/>
      <c r="AA41" s="231"/>
      <c r="AB41" s="231"/>
      <c r="AC41" s="231"/>
      <c r="AD41" s="231"/>
      <c r="AE41" s="231"/>
      <c r="AF41" s="231"/>
      <c r="AG41" s="231"/>
      <c r="AH41" s="231"/>
      <c r="AI41" s="231"/>
      <c r="AJ41" s="231"/>
    </row>
    <row r="42" spans="1:36" s="203" customFormat="1">
      <c r="A42" s="783" t="s">
        <v>64</v>
      </c>
      <c r="B42" s="69" t="s">
        <v>65</v>
      </c>
      <c r="C42" s="69"/>
      <c r="D42" s="70"/>
      <c r="E42" s="71"/>
      <c r="F42" s="72" t="str">
        <f>IF(OR(F43&lt;0,F44&lt;0,F47&lt;0,F48&lt;0,H43&lt;0,H44&lt;0,H47&lt;0,H48&lt;0),"Funding should be recorded as positive figures",".")</f>
        <v>.</v>
      </c>
      <c r="G42" s="45"/>
      <c r="H42" s="73"/>
      <c r="I42" s="43"/>
      <c r="J42" s="231"/>
      <c r="K42" s="231"/>
      <c r="L42" s="231"/>
      <c r="M42" s="231"/>
      <c r="N42" s="231"/>
      <c r="O42" s="231"/>
      <c r="P42" s="231"/>
      <c r="Q42" s="231"/>
      <c r="R42" s="231"/>
      <c r="S42" s="231"/>
      <c r="T42" s="231"/>
      <c r="U42" s="231"/>
      <c r="V42" s="231"/>
      <c r="W42" s="231"/>
      <c r="X42" s="231"/>
      <c r="Y42" s="231"/>
      <c r="Z42" s="231"/>
      <c r="AA42" s="231"/>
      <c r="AB42" s="231"/>
      <c r="AC42" s="231"/>
      <c r="AD42" s="231"/>
      <c r="AE42" s="231"/>
      <c r="AF42" s="231"/>
      <c r="AG42" s="231"/>
      <c r="AH42" s="231"/>
      <c r="AI42" s="231"/>
      <c r="AJ42" s="231"/>
    </row>
    <row r="43" spans="1:36" s="203" customFormat="1">
      <c r="A43" s="46">
        <v>1</v>
      </c>
      <c r="B43" s="47" t="s">
        <v>66</v>
      </c>
      <c r="C43" s="47"/>
      <c r="D43" s="48"/>
      <c r="E43" s="74">
        <v>97915</v>
      </c>
      <c r="F43" s="241">
        <v>100486</v>
      </c>
      <c r="G43" s="45"/>
      <c r="H43" s="75">
        <v>96829</v>
      </c>
      <c r="I43" s="43"/>
      <c r="J43" s="231"/>
      <c r="K43" s="231"/>
      <c r="L43" s="231"/>
      <c r="M43" s="231"/>
      <c r="N43" s="231"/>
      <c r="O43" s="231"/>
      <c r="P43" s="231"/>
      <c r="Q43" s="231"/>
      <c r="R43" s="231"/>
      <c r="S43" s="231"/>
      <c r="T43" s="231"/>
      <c r="U43" s="231"/>
      <c r="V43" s="231"/>
      <c r="W43" s="231"/>
      <c r="X43" s="231"/>
      <c r="Y43" s="231"/>
      <c r="Z43" s="231"/>
      <c r="AA43" s="231"/>
      <c r="AB43" s="231"/>
      <c r="AC43" s="231"/>
      <c r="AD43" s="231"/>
      <c r="AE43" s="231"/>
      <c r="AF43" s="231"/>
      <c r="AG43" s="231"/>
      <c r="AH43" s="231"/>
      <c r="AI43" s="231"/>
      <c r="AJ43" s="231"/>
    </row>
    <row r="44" spans="1:36" s="203" customFormat="1">
      <c r="A44" s="46">
        <v>2</v>
      </c>
      <c r="B44" s="47" t="s">
        <v>67</v>
      </c>
      <c r="C44" s="47"/>
      <c r="D44" s="48"/>
      <c r="E44" s="49">
        <v>78812</v>
      </c>
      <c r="F44" s="241">
        <v>78812</v>
      </c>
      <c r="G44" s="45"/>
      <c r="H44" s="75">
        <v>84736</v>
      </c>
      <c r="I44" s="43"/>
      <c r="J44" s="231"/>
      <c r="K44" s="231"/>
      <c r="L44" s="231"/>
      <c r="M44" s="231"/>
      <c r="N44" s="231"/>
      <c r="O44" s="231"/>
      <c r="P44" s="231"/>
      <c r="Q44" s="231"/>
      <c r="R44" s="231"/>
      <c r="S44" s="231"/>
      <c r="T44" s="231"/>
      <c r="U44" s="231"/>
      <c r="V44" s="231"/>
      <c r="W44" s="231"/>
      <c r="X44" s="231"/>
      <c r="Y44" s="231"/>
      <c r="Z44" s="231"/>
      <c r="AA44" s="231"/>
      <c r="AB44" s="231"/>
      <c r="AC44" s="231"/>
      <c r="AD44" s="231"/>
      <c r="AE44" s="231"/>
      <c r="AF44" s="231"/>
      <c r="AG44" s="231"/>
      <c r="AH44" s="231"/>
      <c r="AI44" s="231"/>
      <c r="AJ44" s="231"/>
    </row>
    <row r="45" spans="1:36" s="203" customFormat="1">
      <c r="A45" s="46">
        <v>3</v>
      </c>
      <c r="B45" s="47" t="s">
        <v>68</v>
      </c>
      <c r="C45" s="47"/>
      <c r="D45" s="48"/>
      <c r="E45" s="49">
        <v>0</v>
      </c>
      <c r="F45" s="52"/>
      <c r="G45" s="45"/>
      <c r="H45" s="75"/>
      <c r="I45" s="43"/>
      <c r="J45" s="231"/>
      <c r="K45" s="231"/>
      <c r="L45" s="231"/>
      <c r="M45" s="231"/>
      <c r="N45" s="231"/>
      <c r="O45" s="231"/>
      <c r="P45" s="231"/>
      <c r="Q45" s="231"/>
      <c r="R45" s="231"/>
      <c r="S45" s="231"/>
      <c r="T45" s="231"/>
      <c r="U45" s="231"/>
      <c r="V45" s="231"/>
      <c r="W45" s="231"/>
      <c r="X45" s="231"/>
      <c r="Y45" s="231"/>
      <c r="Z45" s="231"/>
      <c r="AA45" s="231"/>
      <c r="AB45" s="231"/>
      <c r="AC45" s="231"/>
      <c r="AD45" s="231"/>
      <c r="AE45" s="231"/>
      <c r="AF45" s="231"/>
      <c r="AG45" s="231"/>
      <c r="AH45" s="231"/>
      <c r="AI45" s="231"/>
      <c r="AJ45" s="231"/>
    </row>
    <row r="46" spans="1:36" s="203" customFormat="1">
      <c r="A46" s="46">
        <v>4</v>
      </c>
      <c r="B46" s="47" t="s">
        <v>70</v>
      </c>
      <c r="C46" s="47"/>
      <c r="D46" s="48"/>
      <c r="E46" s="49">
        <v>0</v>
      </c>
      <c r="F46" s="52"/>
      <c r="G46" s="45"/>
      <c r="H46" s="75"/>
      <c r="I46" s="43"/>
      <c r="J46" s="231"/>
      <c r="K46" s="231"/>
      <c r="L46" s="231"/>
      <c r="M46" s="231"/>
      <c r="N46" s="231"/>
      <c r="O46" s="231"/>
      <c r="P46" s="231"/>
      <c r="Q46" s="231"/>
      <c r="R46" s="231"/>
      <c r="S46" s="231"/>
      <c r="T46" s="231"/>
      <c r="U46" s="231"/>
      <c r="V46" s="231"/>
      <c r="W46" s="231"/>
      <c r="X46" s="231"/>
      <c r="Y46" s="231"/>
      <c r="Z46" s="231"/>
      <c r="AA46" s="231"/>
      <c r="AB46" s="231"/>
      <c r="AC46" s="231"/>
      <c r="AD46" s="231"/>
      <c r="AE46" s="231"/>
      <c r="AF46" s="231"/>
      <c r="AG46" s="231"/>
      <c r="AH46" s="231"/>
      <c r="AI46" s="231"/>
      <c r="AJ46" s="231"/>
    </row>
    <row r="47" spans="1:36" s="203" customFormat="1">
      <c r="A47" s="46">
        <v>5</v>
      </c>
      <c r="B47" s="47" t="s">
        <v>69</v>
      </c>
      <c r="C47" s="47"/>
      <c r="D47" s="48"/>
      <c r="E47" s="49">
        <v>3405</v>
      </c>
      <c r="F47" s="52">
        <v>6148</v>
      </c>
      <c r="G47" s="45"/>
      <c r="H47" s="76">
        <v>9976</v>
      </c>
      <c r="I47" s="43"/>
      <c r="J47" s="231"/>
      <c r="K47" s="231"/>
      <c r="L47" s="231"/>
      <c r="M47" s="231"/>
      <c r="N47" s="231"/>
      <c r="O47" s="231"/>
      <c r="P47" s="231"/>
      <c r="Q47" s="231"/>
      <c r="R47" s="231"/>
      <c r="S47" s="231"/>
      <c r="T47" s="231"/>
      <c r="U47" s="231"/>
      <c r="V47" s="231"/>
      <c r="W47" s="231"/>
      <c r="X47" s="231"/>
      <c r="Y47" s="231"/>
      <c r="Z47" s="231"/>
      <c r="AA47" s="231"/>
      <c r="AB47" s="231"/>
      <c r="AC47" s="231"/>
      <c r="AD47" s="231"/>
      <c r="AE47" s="231"/>
      <c r="AF47" s="231"/>
      <c r="AG47" s="231"/>
      <c r="AH47" s="231"/>
      <c r="AI47" s="231"/>
      <c r="AJ47" s="231"/>
    </row>
    <row r="48" spans="1:36" s="203" customFormat="1">
      <c r="A48" s="46">
        <v>6</v>
      </c>
      <c r="B48" s="90" t="s">
        <v>253</v>
      </c>
      <c r="C48" s="47"/>
      <c r="D48" s="195"/>
      <c r="E48" s="49">
        <v>33448</v>
      </c>
      <c r="F48" s="52">
        <v>33498</v>
      </c>
      <c r="G48" s="45"/>
      <c r="H48" s="52">
        <v>34797</v>
      </c>
      <c r="I48" s="43"/>
      <c r="J48" s="231"/>
      <c r="K48" s="231"/>
      <c r="L48" s="231"/>
      <c r="M48" s="231"/>
      <c r="N48" s="231"/>
      <c r="O48" s="231"/>
      <c r="P48" s="231"/>
      <c r="Q48" s="231"/>
      <c r="R48" s="231"/>
      <c r="S48" s="231"/>
      <c r="T48" s="231"/>
      <c r="U48" s="231"/>
      <c r="V48" s="231"/>
      <c r="W48" s="231"/>
      <c r="X48" s="231"/>
      <c r="Y48" s="231"/>
      <c r="Z48" s="231"/>
      <c r="AA48" s="231"/>
      <c r="AB48" s="231"/>
      <c r="AC48" s="231"/>
      <c r="AD48" s="231"/>
      <c r="AE48" s="231"/>
      <c r="AF48" s="231"/>
      <c r="AG48" s="231"/>
      <c r="AH48" s="231"/>
      <c r="AI48" s="231"/>
      <c r="AJ48" s="231"/>
    </row>
    <row r="49" spans="1:36" s="203" customFormat="1">
      <c r="A49" s="77">
        <v>7</v>
      </c>
      <c r="B49" s="78" t="s">
        <v>71</v>
      </c>
      <c r="C49" s="58"/>
      <c r="D49" s="79"/>
      <c r="E49" s="80">
        <v>213580</v>
      </c>
      <c r="F49" s="81">
        <f>SUM(F43:F48)</f>
        <v>218944</v>
      </c>
      <c r="G49" s="82"/>
      <c r="H49" s="62">
        <f>SUM(H43:H48)</f>
        <v>226338</v>
      </c>
      <c r="I49" s="242"/>
      <c r="J49" s="231"/>
      <c r="K49" s="231"/>
      <c r="L49" s="231"/>
      <c r="M49" s="231"/>
      <c r="N49" s="231"/>
      <c r="O49" s="231"/>
      <c r="P49" s="231"/>
      <c r="Q49" s="231"/>
      <c r="R49" s="231"/>
      <c r="S49" s="231"/>
      <c r="T49" s="231"/>
      <c r="U49" s="231"/>
      <c r="V49" s="231"/>
      <c r="W49" s="231"/>
      <c r="X49" s="231"/>
      <c r="Y49" s="231"/>
      <c r="Z49" s="231"/>
      <c r="AA49" s="231"/>
      <c r="AB49" s="231"/>
      <c r="AC49" s="231"/>
      <c r="AD49" s="231"/>
      <c r="AE49" s="231"/>
      <c r="AF49" s="231"/>
      <c r="AG49" s="231"/>
      <c r="AH49" s="231"/>
      <c r="AI49" s="231"/>
      <c r="AJ49" s="231"/>
    </row>
    <row r="50" spans="1:36" s="203" customFormat="1">
      <c r="A50" s="83"/>
      <c r="B50" s="244"/>
      <c r="C50" s="244"/>
      <c r="D50" s="244"/>
      <c r="E50" s="85"/>
      <c r="F50" s="244"/>
      <c r="G50" s="86"/>
      <c r="H50" s="86"/>
      <c r="I50" s="21"/>
      <c r="J50" s="231"/>
      <c r="K50" s="231"/>
      <c r="L50" s="231"/>
      <c r="M50" s="231"/>
      <c r="N50" s="231"/>
      <c r="O50" s="231"/>
      <c r="P50" s="231"/>
      <c r="Q50" s="231"/>
      <c r="R50" s="231"/>
      <c r="S50" s="231"/>
      <c r="T50" s="231"/>
      <c r="U50" s="231"/>
      <c r="V50" s="231"/>
      <c r="W50" s="231"/>
      <c r="X50" s="231"/>
      <c r="Y50" s="231"/>
      <c r="Z50" s="231"/>
      <c r="AA50" s="231"/>
      <c r="AB50" s="231"/>
      <c r="AC50" s="231"/>
      <c r="AD50" s="231"/>
      <c r="AE50" s="231"/>
      <c r="AF50" s="231"/>
      <c r="AG50" s="231"/>
      <c r="AH50" s="231"/>
      <c r="AI50" s="231"/>
      <c r="AJ50" s="231"/>
    </row>
    <row r="51" spans="1:36" s="203" customFormat="1">
      <c r="A51" s="783" t="s">
        <v>72</v>
      </c>
      <c r="B51" s="196" t="s">
        <v>254</v>
      </c>
      <c r="C51" s="69"/>
      <c r="D51" s="70"/>
      <c r="E51" s="87"/>
      <c r="F51" s="88"/>
      <c r="G51" s="45"/>
      <c r="H51" s="89"/>
      <c r="I51" s="43"/>
      <c r="J51" s="231"/>
      <c r="K51" s="231"/>
      <c r="L51" s="231"/>
      <c r="M51" s="231"/>
      <c r="N51" s="231"/>
      <c r="O51" s="231"/>
      <c r="P51" s="231"/>
      <c r="Q51" s="231"/>
      <c r="R51" s="231"/>
      <c r="S51" s="231"/>
      <c r="T51" s="231"/>
      <c r="U51" s="231"/>
      <c r="V51" s="231"/>
      <c r="W51" s="231"/>
      <c r="X51" s="231"/>
      <c r="Y51" s="231"/>
      <c r="Z51" s="231"/>
      <c r="AA51" s="231"/>
      <c r="AB51" s="231"/>
      <c r="AC51" s="231"/>
      <c r="AD51" s="231"/>
      <c r="AE51" s="231"/>
      <c r="AF51" s="231"/>
      <c r="AG51" s="231"/>
      <c r="AH51" s="231"/>
      <c r="AI51" s="231"/>
      <c r="AJ51" s="231"/>
    </row>
    <row r="52" spans="1:36" s="203" customFormat="1">
      <c r="A52" s="46">
        <v>8</v>
      </c>
      <c r="B52" s="90" t="s">
        <v>73</v>
      </c>
      <c r="C52" s="47"/>
      <c r="D52" s="48"/>
      <c r="E52" s="74">
        <v>214753</v>
      </c>
      <c r="F52" s="50">
        <f>F38</f>
        <v>219010.62418682754</v>
      </c>
      <c r="G52" s="45"/>
      <c r="H52" s="91">
        <f>H38</f>
        <v>227312.53730507806</v>
      </c>
      <c r="I52" s="43"/>
      <c r="J52" s="231"/>
      <c r="K52" s="231"/>
      <c r="L52" s="231"/>
      <c r="M52" s="231"/>
      <c r="N52" s="231"/>
      <c r="O52" s="231"/>
      <c r="P52" s="231"/>
      <c r="Q52" s="231"/>
      <c r="R52" s="231"/>
      <c r="S52" s="231"/>
      <c r="T52" s="231"/>
      <c r="U52" s="231"/>
      <c r="V52" s="231"/>
      <c r="W52" s="231"/>
      <c r="X52" s="231"/>
      <c r="Y52" s="231"/>
      <c r="Z52" s="231"/>
      <c r="AA52" s="231"/>
      <c r="AB52" s="231"/>
      <c r="AC52" s="231"/>
      <c r="AD52" s="231"/>
      <c r="AE52" s="231"/>
      <c r="AF52" s="231"/>
      <c r="AG52" s="231"/>
      <c r="AH52" s="231"/>
      <c r="AI52" s="231"/>
      <c r="AJ52" s="231"/>
    </row>
    <row r="53" spans="1:36" s="203" customFormat="1">
      <c r="A53" s="46">
        <v>9</v>
      </c>
      <c r="B53" s="90" t="s">
        <v>74</v>
      </c>
      <c r="C53" s="47"/>
      <c r="D53" s="48"/>
      <c r="E53" s="49">
        <v>213580</v>
      </c>
      <c r="F53" s="92">
        <f>F49</f>
        <v>218944</v>
      </c>
      <c r="G53" s="45"/>
      <c r="H53" s="91">
        <f>H49</f>
        <v>226338</v>
      </c>
      <c r="I53" s="43"/>
      <c r="J53" s="231"/>
      <c r="K53" s="231"/>
      <c r="L53" s="231"/>
      <c r="M53" s="231"/>
      <c r="N53" s="231"/>
      <c r="O53" s="231"/>
      <c r="P53" s="231"/>
      <c r="Q53" s="231"/>
      <c r="R53" s="231"/>
      <c r="S53" s="231"/>
      <c r="T53" s="231"/>
      <c r="U53" s="231"/>
      <c r="V53" s="231"/>
      <c r="W53" s="231"/>
      <c r="X53" s="231"/>
      <c r="Y53" s="231"/>
      <c r="Z53" s="231"/>
      <c r="AA53" s="231"/>
      <c r="AB53" s="231"/>
      <c r="AC53" s="231"/>
      <c r="AD53" s="231"/>
      <c r="AE53" s="231"/>
      <c r="AF53" s="231"/>
      <c r="AG53" s="231"/>
      <c r="AH53" s="231"/>
      <c r="AI53" s="231"/>
      <c r="AJ53" s="231"/>
    </row>
    <row r="54" spans="1:36" s="203" customFormat="1">
      <c r="A54" s="785">
        <v>10</v>
      </c>
      <c r="B54" s="93" t="s">
        <v>255</v>
      </c>
      <c r="C54" s="94"/>
      <c r="D54" s="55"/>
      <c r="E54" s="95">
        <v>-1173</v>
      </c>
      <c r="F54" s="96">
        <f>F53-F52</f>
        <v>-66.624186827539233</v>
      </c>
      <c r="G54" s="45"/>
      <c r="H54" s="97">
        <f>H53-H52</f>
        <v>-974.53730507806176</v>
      </c>
      <c r="I54" s="43"/>
      <c r="J54" s="231"/>
      <c r="K54" s="231"/>
      <c r="L54" s="231"/>
      <c r="M54" s="231"/>
      <c r="N54" s="231"/>
      <c r="O54" s="231"/>
      <c r="P54" s="231"/>
      <c r="Q54" s="231"/>
      <c r="R54" s="231"/>
      <c r="S54" s="231"/>
      <c r="T54" s="231"/>
      <c r="U54" s="231"/>
      <c r="V54" s="231"/>
      <c r="W54" s="231"/>
      <c r="X54" s="231"/>
      <c r="Y54" s="231"/>
      <c r="Z54" s="231"/>
      <c r="AA54" s="231"/>
      <c r="AB54" s="231"/>
      <c r="AC54" s="231"/>
      <c r="AD54" s="231"/>
      <c r="AE54" s="231"/>
      <c r="AF54" s="231"/>
      <c r="AG54" s="231"/>
      <c r="AH54" s="231"/>
      <c r="AI54" s="231"/>
      <c r="AJ54" s="231"/>
    </row>
    <row r="55" spans="1:36" s="203" customFormat="1">
      <c r="A55" s="83"/>
      <c r="B55" s="244"/>
      <c r="C55" s="244"/>
      <c r="D55" s="244"/>
      <c r="E55" s="85"/>
      <c r="F55" s="244"/>
      <c r="G55" s="86"/>
      <c r="H55" s="86"/>
      <c r="I55" s="21"/>
      <c r="J55" s="231"/>
      <c r="K55" s="231"/>
      <c r="L55" s="231"/>
      <c r="M55" s="231"/>
      <c r="N55" s="231"/>
      <c r="O55" s="231"/>
      <c r="P55" s="231"/>
      <c r="Q55" s="231"/>
      <c r="R55" s="231"/>
      <c r="S55" s="231"/>
      <c r="T55" s="231"/>
      <c r="U55" s="231"/>
      <c r="V55" s="231"/>
      <c r="W55" s="231"/>
      <c r="X55" s="231"/>
      <c r="Y55" s="231"/>
      <c r="Z55" s="231"/>
      <c r="AA55" s="231"/>
      <c r="AB55" s="231"/>
      <c r="AC55" s="231"/>
      <c r="AD55" s="231"/>
      <c r="AE55" s="231"/>
      <c r="AF55" s="231"/>
      <c r="AG55" s="231"/>
      <c r="AH55" s="231"/>
      <c r="AI55" s="231"/>
      <c r="AJ55" s="231"/>
    </row>
    <row r="56" spans="1:36" s="203" customFormat="1">
      <c r="A56" s="783" t="s">
        <v>75</v>
      </c>
      <c r="B56" s="69" t="s">
        <v>256</v>
      </c>
      <c r="C56" s="69"/>
      <c r="D56" s="70"/>
      <c r="E56" s="87"/>
      <c r="F56" s="88"/>
      <c r="G56" s="45"/>
      <c r="H56" s="89"/>
      <c r="I56" s="43"/>
      <c r="J56" s="231"/>
      <c r="K56" s="231"/>
      <c r="L56" s="231"/>
      <c r="M56" s="231"/>
      <c r="N56" s="231"/>
      <c r="O56" s="231"/>
      <c r="P56" s="231"/>
      <c r="Q56" s="231"/>
      <c r="R56" s="231"/>
      <c r="S56" s="231"/>
      <c r="T56" s="231"/>
      <c r="U56" s="231"/>
      <c r="V56" s="231"/>
      <c r="W56" s="231"/>
      <c r="X56" s="231"/>
      <c r="Y56" s="231"/>
      <c r="Z56" s="231"/>
      <c r="AA56" s="231"/>
      <c r="AB56" s="231"/>
      <c r="AC56" s="231"/>
      <c r="AD56" s="231"/>
      <c r="AE56" s="231"/>
      <c r="AF56" s="231"/>
      <c r="AG56" s="231"/>
      <c r="AH56" s="231"/>
      <c r="AI56" s="231"/>
      <c r="AJ56" s="231"/>
    </row>
    <row r="57" spans="1:36" s="203" customFormat="1">
      <c r="A57" s="46">
        <v>11</v>
      </c>
      <c r="B57" s="47" t="s">
        <v>76</v>
      </c>
      <c r="C57" s="47"/>
      <c r="D57" s="48"/>
      <c r="E57" s="74">
        <v>10447</v>
      </c>
      <c r="F57" s="52">
        <v>10975</v>
      </c>
      <c r="G57" s="45"/>
      <c r="H57" s="91">
        <f>F61</f>
        <v>10908.375813172461</v>
      </c>
      <c r="I57" s="43"/>
      <c r="J57" s="231"/>
      <c r="K57" s="231"/>
      <c r="L57" s="231"/>
      <c r="M57" s="231"/>
      <c r="N57" s="231"/>
      <c r="O57" s="231"/>
      <c r="P57" s="231"/>
      <c r="Q57" s="231"/>
      <c r="R57" s="231"/>
      <c r="S57" s="231"/>
      <c r="T57" s="231"/>
      <c r="U57" s="231"/>
      <c r="V57" s="231"/>
      <c r="W57" s="231"/>
      <c r="X57" s="231"/>
      <c r="Y57" s="231"/>
      <c r="Z57" s="231"/>
      <c r="AA57" s="231"/>
      <c r="AB57" s="231"/>
      <c r="AC57" s="231"/>
      <c r="AD57" s="231"/>
      <c r="AE57" s="231"/>
      <c r="AF57" s="231"/>
      <c r="AG57" s="231"/>
      <c r="AH57" s="231"/>
      <c r="AI57" s="231"/>
      <c r="AJ57" s="231"/>
    </row>
    <row r="58" spans="1:36" s="203" customFormat="1">
      <c r="A58" s="46">
        <v>12</v>
      </c>
      <c r="B58" s="90" t="s">
        <v>257</v>
      </c>
      <c r="C58" s="47"/>
      <c r="D58" s="48"/>
      <c r="E58" s="49">
        <v>-1173</v>
      </c>
      <c r="F58" s="92">
        <f>F54</f>
        <v>-66.624186827539233</v>
      </c>
      <c r="G58" s="45"/>
      <c r="H58" s="98">
        <f>H54</f>
        <v>-974.53730507806176</v>
      </c>
      <c r="I58" s="43"/>
      <c r="J58" s="231"/>
      <c r="K58" s="231"/>
      <c r="L58" s="231"/>
      <c r="M58" s="231"/>
      <c r="N58" s="231"/>
      <c r="O58" s="231"/>
      <c r="P58" s="231"/>
      <c r="Q58" s="231"/>
      <c r="R58" s="231"/>
      <c r="S58" s="231"/>
      <c r="T58" s="231"/>
      <c r="U58" s="231"/>
      <c r="V58" s="231"/>
      <c r="W58" s="231"/>
      <c r="X58" s="231"/>
      <c r="Y58" s="231"/>
      <c r="Z58" s="231"/>
      <c r="AA58" s="231"/>
      <c r="AB58" s="231"/>
      <c r="AC58" s="231"/>
      <c r="AD58" s="231"/>
      <c r="AE58" s="231"/>
      <c r="AF58" s="231"/>
      <c r="AG58" s="231"/>
      <c r="AH58" s="231"/>
      <c r="AI58" s="231"/>
      <c r="AJ58" s="231"/>
    </row>
    <row r="59" spans="1:36" s="203" customFormat="1">
      <c r="A59" s="46">
        <v>13</v>
      </c>
      <c r="B59" s="47" t="s">
        <v>77</v>
      </c>
      <c r="C59" s="47"/>
      <c r="D59" s="48"/>
      <c r="E59" s="49">
        <v>0</v>
      </c>
      <c r="F59" s="52"/>
      <c r="G59" s="45"/>
      <c r="H59" s="99"/>
      <c r="I59" s="43"/>
      <c r="J59" s="231"/>
      <c r="K59" s="231"/>
      <c r="L59" s="231"/>
      <c r="M59" s="231"/>
      <c r="N59" s="231"/>
      <c r="O59" s="231"/>
      <c r="P59" s="231"/>
      <c r="Q59" s="231"/>
      <c r="R59" s="231"/>
      <c r="S59" s="231"/>
      <c r="T59" s="231"/>
      <c r="U59" s="231"/>
      <c r="V59" s="231"/>
      <c r="W59" s="231"/>
      <c r="X59" s="231"/>
      <c r="Y59" s="231"/>
      <c r="Z59" s="231"/>
      <c r="AA59" s="231"/>
      <c r="AB59" s="231"/>
      <c r="AC59" s="231"/>
      <c r="AD59" s="231"/>
      <c r="AE59" s="231"/>
      <c r="AF59" s="231"/>
      <c r="AG59" s="231"/>
      <c r="AH59" s="231"/>
      <c r="AI59" s="231"/>
      <c r="AJ59" s="231"/>
    </row>
    <row r="60" spans="1:36" s="203" customFormat="1">
      <c r="A60" s="46">
        <v>14</v>
      </c>
      <c r="B60" s="47" t="s">
        <v>78</v>
      </c>
      <c r="C60" s="47"/>
      <c r="D60" s="48"/>
      <c r="E60" s="49">
        <v>0</v>
      </c>
      <c r="F60" s="52"/>
      <c r="G60" s="45"/>
      <c r="H60" s="100"/>
      <c r="I60" s="43"/>
      <c r="J60" s="231"/>
      <c r="K60" s="231"/>
      <c r="L60" s="231"/>
      <c r="M60" s="231"/>
      <c r="N60" s="231"/>
      <c r="O60" s="231"/>
      <c r="P60" s="231"/>
      <c r="Q60" s="231"/>
      <c r="R60" s="231"/>
      <c r="S60" s="231"/>
      <c r="T60" s="231"/>
      <c r="U60" s="231"/>
      <c r="V60" s="231"/>
      <c r="W60" s="231"/>
      <c r="X60" s="231"/>
      <c r="Y60" s="231"/>
      <c r="Z60" s="231"/>
      <c r="AA60" s="231"/>
      <c r="AB60" s="231"/>
      <c r="AC60" s="231"/>
      <c r="AD60" s="231"/>
      <c r="AE60" s="231"/>
      <c r="AF60" s="231"/>
      <c r="AG60" s="231"/>
      <c r="AH60" s="231"/>
      <c r="AI60" s="231"/>
      <c r="AJ60" s="231"/>
    </row>
    <row r="61" spans="1:36" s="203" customFormat="1">
      <c r="A61" s="53">
        <v>15</v>
      </c>
      <c r="B61" s="54" t="s">
        <v>79</v>
      </c>
      <c r="C61" s="54"/>
      <c r="D61" s="55"/>
      <c r="E61" s="56">
        <v>9274</v>
      </c>
      <c r="F61" s="96">
        <f>F57+F58+F59+F60</f>
        <v>10908.375813172461</v>
      </c>
      <c r="G61" s="45"/>
      <c r="H61" s="101">
        <f>H57+H58+H59+H60</f>
        <v>9933.838508094399</v>
      </c>
      <c r="I61" s="43"/>
      <c r="J61" s="231"/>
      <c r="K61" s="231"/>
      <c r="L61" s="231"/>
      <c r="M61" s="231"/>
      <c r="N61" s="231"/>
      <c r="O61" s="231"/>
      <c r="P61" s="231"/>
      <c r="Q61" s="231"/>
      <c r="R61" s="231"/>
      <c r="S61" s="231"/>
      <c r="T61" s="231"/>
      <c r="U61" s="231"/>
      <c r="V61" s="231"/>
      <c r="W61" s="231"/>
      <c r="X61" s="231"/>
      <c r="Y61" s="231"/>
      <c r="Z61" s="231"/>
      <c r="AA61" s="231"/>
      <c r="AB61" s="231"/>
      <c r="AC61" s="231"/>
      <c r="AD61" s="231"/>
      <c r="AE61" s="231"/>
      <c r="AF61" s="231"/>
      <c r="AG61" s="231"/>
      <c r="AH61" s="231"/>
      <c r="AI61" s="231"/>
      <c r="AJ61" s="231"/>
    </row>
    <row r="62" spans="1:36" s="203" customFormat="1">
      <c r="A62" s="102"/>
      <c r="B62" s="207"/>
      <c r="C62" s="207"/>
      <c r="D62" s="207"/>
      <c r="E62" s="103"/>
      <c r="F62" s="21"/>
      <c r="G62" s="21"/>
      <c r="H62" s="21"/>
      <c r="I62" s="21"/>
      <c r="J62" s="231"/>
      <c r="K62" s="231"/>
      <c r="L62" s="231"/>
      <c r="M62" s="231"/>
      <c r="N62" s="231"/>
      <c r="O62" s="231"/>
      <c r="P62" s="231"/>
      <c r="Q62" s="231"/>
      <c r="R62" s="231"/>
      <c r="S62" s="231"/>
      <c r="T62" s="231"/>
      <c r="U62" s="231"/>
      <c r="V62" s="231"/>
      <c r="W62" s="231"/>
      <c r="X62" s="231"/>
      <c r="Y62" s="231"/>
      <c r="Z62" s="231"/>
      <c r="AA62" s="231"/>
      <c r="AB62" s="231"/>
      <c r="AC62" s="231"/>
      <c r="AD62" s="231"/>
      <c r="AE62" s="231"/>
      <c r="AF62" s="231"/>
      <c r="AG62" s="231"/>
      <c r="AH62" s="231"/>
      <c r="AI62" s="231"/>
      <c r="AJ62" s="231"/>
    </row>
    <row r="63" spans="1:36" s="203" customFormat="1" ht="12.75" customHeight="1">
      <c r="A63" s="23"/>
      <c r="B63" s="207"/>
      <c r="C63" s="207"/>
      <c r="D63" s="207"/>
      <c r="E63" s="15"/>
      <c r="F63" s="207"/>
      <c r="G63" s="207"/>
      <c r="H63" s="21"/>
      <c r="I63" s="21"/>
      <c r="J63" s="231"/>
      <c r="K63" s="231"/>
      <c r="L63" s="231"/>
      <c r="M63" s="231"/>
      <c r="N63" s="231"/>
      <c r="O63" s="231"/>
      <c r="P63" s="231"/>
      <c r="Q63" s="231"/>
      <c r="R63" s="231"/>
      <c r="S63" s="231"/>
      <c r="T63" s="231"/>
      <c r="U63" s="231"/>
      <c r="V63" s="231"/>
      <c r="W63" s="231"/>
      <c r="X63" s="231"/>
      <c r="Y63" s="231"/>
      <c r="Z63" s="231"/>
      <c r="AA63" s="231"/>
      <c r="AB63" s="231"/>
      <c r="AC63" s="231"/>
      <c r="AD63" s="231"/>
      <c r="AE63" s="231"/>
      <c r="AF63" s="231"/>
      <c r="AG63" s="231"/>
      <c r="AH63" s="231"/>
      <c r="AI63" s="231"/>
      <c r="AJ63" s="231"/>
    </row>
    <row r="64" spans="1:36" s="203" customFormat="1" ht="15">
      <c r="A64" s="104" t="s">
        <v>80</v>
      </c>
      <c r="B64" s="29"/>
      <c r="C64" s="29"/>
      <c r="D64" s="29"/>
      <c r="E64" s="15"/>
      <c r="F64" s="29"/>
      <c r="G64" s="29"/>
      <c r="H64" s="29"/>
      <c r="I64" s="29"/>
      <c r="J64" s="231"/>
      <c r="K64" s="231"/>
      <c r="L64" s="231"/>
      <c r="M64" s="231"/>
      <c r="N64" s="231"/>
      <c r="O64" s="231"/>
      <c r="P64" s="231"/>
      <c r="Q64" s="231"/>
      <c r="R64" s="231"/>
      <c r="S64" s="231"/>
      <c r="T64" s="231"/>
      <c r="U64" s="231"/>
      <c r="V64" s="231"/>
      <c r="W64" s="231"/>
      <c r="X64" s="231"/>
      <c r="Y64" s="231"/>
      <c r="Z64" s="231"/>
      <c r="AA64" s="231"/>
      <c r="AB64" s="231"/>
      <c r="AC64" s="231"/>
      <c r="AD64" s="231"/>
      <c r="AE64" s="231"/>
      <c r="AF64" s="231"/>
      <c r="AG64" s="231"/>
      <c r="AH64" s="231"/>
      <c r="AI64" s="231"/>
      <c r="AJ64" s="231"/>
    </row>
    <row r="65" spans="1:36" s="203" customFormat="1">
      <c r="A65" s="32"/>
      <c r="B65" s="29"/>
      <c r="C65" s="29"/>
      <c r="D65" s="29"/>
      <c r="E65" s="105"/>
      <c r="F65" s="29"/>
      <c r="G65" s="29"/>
      <c r="H65" s="29"/>
      <c r="I65" s="131" t="s">
        <v>27</v>
      </c>
      <c r="J65" s="231"/>
      <c r="K65" s="231"/>
      <c r="L65" s="231"/>
      <c r="M65" s="231"/>
      <c r="N65" s="231"/>
      <c r="O65" s="231"/>
      <c r="P65" s="231"/>
      <c r="Q65" s="231"/>
      <c r="R65" s="231"/>
      <c r="S65" s="231"/>
      <c r="T65" s="231"/>
      <c r="U65" s="231"/>
      <c r="V65" s="231"/>
      <c r="W65" s="231"/>
      <c r="X65" s="231"/>
      <c r="Y65" s="231"/>
      <c r="Z65" s="231"/>
      <c r="AA65" s="231"/>
      <c r="AB65" s="231"/>
      <c r="AC65" s="231"/>
      <c r="AD65" s="231"/>
      <c r="AE65" s="231"/>
      <c r="AF65" s="231"/>
      <c r="AG65" s="231"/>
      <c r="AH65" s="231"/>
      <c r="AI65" s="231"/>
      <c r="AJ65" s="231"/>
    </row>
    <row r="66" spans="1:36" s="203" customFormat="1">
      <c r="A66" s="106" t="s">
        <v>14</v>
      </c>
      <c r="B66" s="107"/>
      <c r="C66" s="107"/>
      <c r="D66" s="107"/>
      <c r="E66" s="856" t="s">
        <v>377</v>
      </c>
      <c r="F66" s="962" t="s">
        <v>402</v>
      </c>
      <c r="G66" s="867" t="s">
        <v>81</v>
      </c>
      <c r="H66" s="962" t="s">
        <v>403</v>
      </c>
      <c r="I66" s="867" t="s">
        <v>81</v>
      </c>
      <c r="J66" s="231"/>
      <c r="K66" s="231"/>
      <c r="L66" s="231"/>
      <c r="M66" s="231"/>
      <c r="N66" s="231"/>
      <c r="O66" s="231"/>
      <c r="P66" s="231"/>
      <c r="Q66" s="231"/>
      <c r="R66" s="231"/>
      <c r="S66" s="231"/>
      <c r="T66" s="231"/>
      <c r="U66" s="231"/>
      <c r="V66" s="231"/>
      <c r="W66" s="231"/>
      <c r="X66" s="231"/>
      <c r="Y66" s="231"/>
      <c r="Z66" s="231"/>
      <c r="AA66" s="231"/>
      <c r="AB66" s="231"/>
      <c r="AC66" s="231"/>
      <c r="AD66" s="231"/>
      <c r="AE66" s="231"/>
      <c r="AF66" s="231"/>
      <c r="AG66" s="231"/>
      <c r="AH66" s="231"/>
      <c r="AI66" s="231"/>
      <c r="AJ66" s="231"/>
    </row>
    <row r="67" spans="1:36" s="203" customFormat="1" ht="21" customHeight="1">
      <c r="A67" s="108"/>
      <c r="B67" s="47"/>
      <c r="C67" s="47"/>
      <c r="D67" s="47"/>
      <c r="E67" s="859"/>
      <c r="F67" s="963"/>
      <c r="G67" s="868"/>
      <c r="H67" s="963"/>
      <c r="I67" s="868"/>
      <c r="J67" s="231"/>
      <c r="K67" s="231"/>
      <c r="L67" s="231"/>
      <c r="M67" s="231"/>
      <c r="N67" s="231"/>
      <c r="O67" s="231"/>
      <c r="P67" s="231"/>
      <c r="Q67" s="231"/>
      <c r="R67" s="231"/>
      <c r="S67" s="231"/>
      <c r="T67" s="231"/>
      <c r="U67" s="231"/>
      <c r="V67" s="231"/>
      <c r="W67" s="231"/>
      <c r="X67" s="231"/>
      <c r="Y67" s="231"/>
      <c r="Z67" s="231"/>
      <c r="AA67" s="231"/>
      <c r="AB67" s="231"/>
      <c r="AC67" s="231"/>
      <c r="AD67" s="231"/>
      <c r="AE67" s="231"/>
      <c r="AF67" s="231"/>
      <c r="AG67" s="231"/>
      <c r="AH67" s="231"/>
      <c r="AI67" s="231"/>
      <c r="AJ67" s="231"/>
    </row>
    <row r="68" spans="1:36" s="203" customFormat="1">
      <c r="A68" s="109" t="s">
        <v>82</v>
      </c>
      <c r="B68" s="47"/>
      <c r="C68" s="47"/>
      <c r="D68" s="47"/>
      <c r="E68" s="859"/>
      <c r="F68" s="963"/>
      <c r="G68" s="868"/>
      <c r="H68" s="963"/>
      <c r="I68" s="868"/>
      <c r="J68" s="231"/>
      <c r="K68" s="231"/>
      <c r="L68" s="231"/>
      <c r="M68" s="231"/>
      <c r="N68" s="231"/>
      <c r="O68" s="231"/>
      <c r="P68" s="231"/>
      <c r="Q68" s="231"/>
      <c r="R68" s="231"/>
      <c r="S68" s="231"/>
      <c r="T68" s="231"/>
      <c r="U68" s="231"/>
      <c r="V68" s="231"/>
      <c r="W68" s="231"/>
      <c r="X68" s="231"/>
      <c r="Y68" s="231"/>
      <c r="Z68" s="231"/>
      <c r="AA68" s="231"/>
      <c r="AB68" s="231"/>
      <c r="AC68" s="231"/>
      <c r="AD68" s="231"/>
      <c r="AE68" s="231"/>
      <c r="AF68" s="231"/>
      <c r="AG68" s="231"/>
      <c r="AH68" s="231"/>
      <c r="AI68" s="231"/>
      <c r="AJ68" s="231"/>
    </row>
    <row r="69" spans="1:36" s="203" customFormat="1">
      <c r="A69" s="109" t="s">
        <v>83</v>
      </c>
      <c r="B69" s="47"/>
      <c r="C69" s="47"/>
      <c r="D69" s="47"/>
      <c r="E69" s="859"/>
      <c r="F69" s="963"/>
      <c r="G69" s="868"/>
      <c r="H69" s="963"/>
      <c r="I69" s="868"/>
      <c r="J69" s="231"/>
      <c r="K69" s="231"/>
      <c r="L69" s="231"/>
      <c r="M69" s="231"/>
      <c r="N69" s="231"/>
      <c r="O69" s="231"/>
      <c r="P69" s="231"/>
      <c r="Q69" s="231"/>
      <c r="R69" s="231"/>
      <c r="S69" s="231"/>
      <c r="T69" s="231"/>
      <c r="U69" s="231"/>
      <c r="V69" s="231"/>
      <c r="W69" s="231"/>
      <c r="X69" s="231"/>
      <c r="Y69" s="231"/>
      <c r="Z69" s="231"/>
      <c r="AA69" s="231"/>
      <c r="AB69" s="231"/>
      <c r="AC69" s="231"/>
      <c r="AD69" s="231"/>
      <c r="AE69" s="231"/>
      <c r="AF69" s="231"/>
      <c r="AG69" s="231"/>
      <c r="AH69" s="231"/>
      <c r="AI69" s="231"/>
      <c r="AJ69" s="231"/>
    </row>
    <row r="70" spans="1:36" s="203" customFormat="1">
      <c r="A70" s="110" t="s">
        <v>84</v>
      </c>
      <c r="B70" s="47"/>
      <c r="C70" s="47"/>
      <c r="D70" s="47"/>
      <c r="E70" s="860"/>
      <c r="F70" s="964"/>
      <c r="G70" s="869"/>
      <c r="H70" s="964"/>
      <c r="I70" s="869"/>
      <c r="J70" s="231"/>
      <c r="K70" s="231"/>
      <c r="L70" s="231"/>
      <c r="M70" s="231"/>
      <c r="N70" s="231"/>
      <c r="O70" s="231"/>
      <c r="P70" s="231"/>
      <c r="Q70" s="231"/>
      <c r="R70" s="231"/>
      <c r="S70" s="231"/>
      <c r="T70" s="231"/>
      <c r="U70" s="231"/>
      <c r="V70" s="231"/>
      <c r="W70" s="231"/>
      <c r="X70" s="231"/>
      <c r="Y70" s="231"/>
      <c r="Z70" s="231"/>
      <c r="AA70" s="231"/>
      <c r="AB70" s="231"/>
      <c r="AC70" s="231"/>
      <c r="AD70" s="231"/>
      <c r="AE70" s="231"/>
      <c r="AF70" s="231"/>
      <c r="AG70" s="231"/>
      <c r="AH70" s="231"/>
      <c r="AI70" s="231"/>
      <c r="AJ70" s="231"/>
    </row>
    <row r="71" spans="1:36" s="203" customFormat="1">
      <c r="A71" s="111">
        <v>1</v>
      </c>
      <c r="B71" s="47" t="s">
        <v>85</v>
      </c>
      <c r="C71" s="47"/>
      <c r="D71" s="47"/>
      <c r="E71" s="41">
        <v>8383</v>
      </c>
      <c r="F71" s="247">
        <v>8691.0576286702544</v>
      </c>
      <c r="G71" s="112">
        <v>0</v>
      </c>
      <c r="H71" s="248">
        <v>13654.51968969291</v>
      </c>
      <c r="I71" s="112">
        <v>0</v>
      </c>
      <c r="J71" s="231"/>
      <c r="K71" s="231"/>
      <c r="L71" s="231"/>
      <c r="M71" s="231"/>
      <c r="N71" s="231"/>
      <c r="O71" s="231"/>
      <c r="P71" s="231"/>
      <c r="Q71" s="231"/>
      <c r="R71" s="231"/>
      <c r="S71" s="231"/>
      <c r="T71" s="231"/>
      <c r="U71" s="231"/>
      <c r="V71" s="231"/>
      <c r="W71" s="231"/>
      <c r="X71" s="231"/>
      <c r="Y71" s="231"/>
      <c r="Z71" s="231"/>
      <c r="AA71" s="231"/>
      <c r="AB71" s="231"/>
      <c r="AC71" s="231"/>
      <c r="AD71" s="231"/>
      <c r="AE71" s="231"/>
      <c r="AF71" s="231"/>
      <c r="AG71" s="231"/>
      <c r="AH71" s="231"/>
      <c r="AI71" s="231"/>
      <c r="AJ71" s="231"/>
    </row>
    <row r="72" spans="1:36" s="203" customFormat="1">
      <c r="A72" s="111">
        <v>2</v>
      </c>
      <c r="B72" s="47" t="s">
        <v>86</v>
      </c>
      <c r="C72" s="47"/>
      <c r="D72" s="47"/>
      <c r="E72" s="49">
        <v>32751</v>
      </c>
      <c r="F72" s="247">
        <v>34980.724543113938</v>
      </c>
      <c r="G72" s="113">
        <v>25811</v>
      </c>
      <c r="H72" s="123">
        <v>35760.027852795232</v>
      </c>
      <c r="I72" s="113">
        <v>32279.957848322039</v>
      </c>
      <c r="J72" s="231"/>
      <c r="K72" s="231"/>
      <c r="L72" s="231"/>
      <c r="M72" s="231"/>
      <c r="N72" s="231"/>
      <c r="O72" s="231"/>
      <c r="P72" s="231"/>
      <c r="Q72" s="231"/>
      <c r="R72" s="231"/>
      <c r="S72" s="231"/>
      <c r="T72" s="231"/>
      <c r="U72" s="231"/>
      <c r="V72" s="231"/>
      <c r="W72" s="231"/>
      <c r="X72" s="231"/>
      <c r="Y72" s="231"/>
      <c r="Z72" s="231"/>
      <c r="AA72" s="231"/>
      <c r="AB72" s="231"/>
      <c r="AC72" s="231"/>
      <c r="AD72" s="231"/>
      <c r="AE72" s="231"/>
      <c r="AF72" s="231"/>
      <c r="AG72" s="231"/>
      <c r="AH72" s="231"/>
      <c r="AI72" s="231"/>
      <c r="AJ72" s="231"/>
    </row>
    <row r="73" spans="1:36" s="203" customFormat="1">
      <c r="A73" s="111">
        <v>3</v>
      </c>
      <c r="B73" s="47" t="s">
        <v>87</v>
      </c>
      <c r="C73" s="47"/>
      <c r="D73" s="47"/>
      <c r="E73" s="114">
        <v>38570</v>
      </c>
      <c r="F73" s="247">
        <v>42965.418554044925</v>
      </c>
      <c r="G73" s="113">
        <v>34705</v>
      </c>
      <c r="H73" s="123">
        <v>43855.90566752923</v>
      </c>
      <c r="I73" s="113">
        <v>42534.80947474292</v>
      </c>
      <c r="J73" s="231"/>
      <c r="K73" s="231"/>
      <c r="L73" s="231"/>
      <c r="M73" s="231"/>
      <c r="N73" s="231"/>
      <c r="O73" s="231"/>
      <c r="P73" s="231"/>
      <c r="Q73" s="231"/>
      <c r="R73" s="231"/>
      <c r="S73" s="231"/>
      <c r="T73" s="231"/>
      <c r="U73" s="231"/>
      <c r="V73" s="231"/>
      <c r="W73" s="231"/>
      <c r="X73" s="231"/>
      <c r="Y73" s="231"/>
      <c r="Z73" s="231"/>
      <c r="AA73" s="231"/>
      <c r="AB73" s="231"/>
      <c r="AC73" s="231"/>
      <c r="AD73" s="231"/>
      <c r="AE73" s="231"/>
      <c r="AF73" s="231"/>
      <c r="AG73" s="231"/>
      <c r="AH73" s="231"/>
      <c r="AI73" s="231"/>
      <c r="AJ73" s="231"/>
    </row>
    <row r="74" spans="1:36" s="203" customFormat="1">
      <c r="A74" s="111">
        <v>4</v>
      </c>
      <c r="B74" s="47" t="s">
        <v>88</v>
      </c>
      <c r="C74" s="47"/>
      <c r="D74" s="47"/>
      <c r="E74" s="114">
        <v>19507</v>
      </c>
      <c r="F74" s="247">
        <v>13724.423460998425</v>
      </c>
      <c r="G74" s="113">
        <v>0</v>
      </c>
      <c r="H74" s="123">
        <v>14628.646405530922</v>
      </c>
      <c r="I74" s="113">
        <v>0</v>
      </c>
      <c r="J74" s="231"/>
      <c r="K74" s="231"/>
      <c r="L74" s="231"/>
      <c r="M74" s="231"/>
      <c r="N74" s="231"/>
      <c r="O74" s="231"/>
      <c r="P74" s="231"/>
      <c r="Q74" s="231"/>
      <c r="R74" s="231"/>
      <c r="S74" s="231"/>
      <c r="T74" s="231"/>
      <c r="U74" s="231"/>
      <c r="V74" s="231"/>
      <c r="W74" s="231"/>
      <c r="X74" s="231"/>
      <c r="Y74" s="231"/>
      <c r="Z74" s="231"/>
      <c r="AA74" s="231"/>
      <c r="AB74" s="231"/>
      <c r="AC74" s="231"/>
      <c r="AD74" s="231"/>
      <c r="AE74" s="231"/>
      <c r="AF74" s="231"/>
      <c r="AG74" s="231"/>
      <c r="AH74" s="231"/>
      <c r="AI74" s="231"/>
      <c r="AJ74" s="231"/>
    </row>
    <row r="75" spans="1:36" s="203" customFormat="1">
      <c r="A75" s="111">
        <v>5</v>
      </c>
      <c r="B75" s="47" t="s">
        <v>89</v>
      </c>
      <c r="C75" s="47" t="s">
        <v>90</v>
      </c>
      <c r="D75" s="47"/>
      <c r="E75" s="114">
        <v>945</v>
      </c>
      <c r="F75" s="247">
        <v>987</v>
      </c>
      <c r="G75" s="113">
        <v>0</v>
      </c>
      <c r="H75" s="123">
        <v>1308.437689529778</v>
      </c>
      <c r="I75" s="113">
        <v>0</v>
      </c>
      <c r="J75" s="231"/>
      <c r="K75" s="231"/>
      <c r="L75" s="231"/>
      <c r="M75" s="231"/>
      <c r="N75" s="231"/>
      <c r="O75" s="231"/>
      <c r="P75" s="231"/>
      <c r="Q75" s="231"/>
      <c r="R75" s="231"/>
      <c r="S75" s="231"/>
      <c r="T75" s="231"/>
      <c r="U75" s="231"/>
      <c r="V75" s="231"/>
      <c r="W75" s="231"/>
      <c r="X75" s="231"/>
      <c r="Y75" s="231"/>
      <c r="Z75" s="231"/>
      <c r="AA75" s="231"/>
      <c r="AB75" s="231"/>
      <c r="AC75" s="231"/>
      <c r="AD75" s="231"/>
      <c r="AE75" s="231"/>
      <c r="AF75" s="231"/>
      <c r="AG75" s="231"/>
      <c r="AH75" s="231"/>
      <c r="AI75" s="231"/>
      <c r="AJ75" s="231"/>
    </row>
    <row r="76" spans="1:36" s="203" customFormat="1">
      <c r="A76" s="784"/>
      <c r="B76" s="786"/>
      <c r="C76" s="47" t="s">
        <v>91</v>
      </c>
      <c r="D76" s="47"/>
      <c r="E76" s="114">
        <v>0</v>
      </c>
      <c r="F76" s="247">
        <v>0</v>
      </c>
      <c r="G76" s="115">
        <v>0</v>
      </c>
      <c r="H76" s="249">
        <v>0</v>
      </c>
      <c r="I76" s="115">
        <v>0</v>
      </c>
      <c r="J76" s="231"/>
      <c r="K76" s="231"/>
      <c r="L76" s="231"/>
      <c r="M76" s="231"/>
      <c r="N76" s="231"/>
      <c r="O76" s="231"/>
      <c r="P76" s="231"/>
      <c r="Q76" s="231"/>
      <c r="R76" s="231"/>
      <c r="S76" s="231"/>
      <c r="T76" s="231"/>
      <c r="U76" s="231"/>
      <c r="V76" s="231"/>
      <c r="W76" s="231"/>
      <c r="X76" s="231"/>
      <c r="Y76" s="231"/>
      <c r="Z76" s="231"/>
      <c r="AA76" s="231"/>
      <c r="AB76" s="231"/>
      <c r="AC76" s="231"/>
      <c r="AD76" s="231"/>
      <c r="AE76" s="231"/>
      <c r="AF76" s="231"/>
      <c r="AG76" s="231"/>
      <c r="AH76" s="231"/>
      <c r="AI76" s="231"/>
      <c r="AJ76" s="231"/>
    </row>
    <row r="77" spans="1:36" s="203" customFormat="1">
      <c r="A77" s="111">
        <v>6</v>
      </c>
      <c r="B77" s="116" t="s">
        <v>92</v>
      </c>
      <c r="C77" s="116"/>
      <c r="D77" s="47"/>
      <c r="E77" s="80">
        <v>100156</v>
      </c>
      <c r="F77" s="250">
        <f>SUM(F71:F76)</f>
        <v>101348.62418682754</v>
      </c>
      <c r="G77" s="251">
        <f>SUM(G71:G76)</f>
        <v>60516</v>
      </c>
      <c r="H77" s="252">
        <f>SUM(H71:H76)</f>
        <v>109207.53730507808</v>
      </c>
      <c r="I77" s="251">
        <f>SUM(I71:I76)</f>
        <v>74814.767323064967</v>
      </c>
      <c r="J77" s="231"/>
      <c r="K77" s="231"/>
      <c r="L77" s="231"/>
      <c r="M77" s="231"/>
      <c r="N77" s="231"/>
      <c r="O77" s="231"/>
      <c r="P77" s="231"/>
      <c r="Q77" s="231"/>
      <c r="R77" s="231"/>
      <c r="S77" s="231"/>
      <c r="T77" s="231"/>
      <c r="U77" s="231"/>
      <c r="V77" s="231"/>
      <c r="W77" s="231"/>
      <c r="X77" s="231"/>
      <c r="Y77" s="231"/>
      <c r="Z77" s="231"/>
      <c r="AA77" s="231"/>
      <c r="AB77" s="231"/>
      <c r="AC77" s="231"/>
      <c r="AD77" s="231"/>
      <c r="AE77" s="231"/>
      <c r="AF77" s="231"/>
      <c r="AG77" s="231"/>
      <c r="AH77" s="231"/>
      <c r="AI77" s="231"/>
      <c r="AJ77" s="231"/>
    </row>
    <row r="78" spans="1:36" s="203" customFormat="1">
      <c r="A78" s="784"/>
      <c r="B78" s="47"/>
      <c r="C78" s="47"/>
      <c r="D78" s="47"/>
      <c r="E78" s="117"/>
      <c r="F78" s="118"/>
      <c r="G78" s="118"/>
      <c r="H78" s="118"/>
      <c r="I78" s="118"/>
      <c r="J78" s="231"/>
      <c r="K78" s="231"/>
      <c r="L78" s="231"/>
      <c r="M78" s="231"/>
      <c r="N78" s="231"/>
      <c r="O78" s="231"/>
      <c r="P78" s="231"/>
      <c r="Q78" s="231"/>
      <c r="R78" s="231"/>
      <c r="S78" s="231"/>
      <c r="T78" s="231"/>
      <c r="U78" s="231"/>
      <c r="V78" s="231"/>
      <c r="W78" s="231"/>
      <c r="X78" s="231"/>
      <c r="Y78" s="231"/>
      <c r="Z78" s="231"/>
      <c r="AA78" s="231"/>
      <c r="AB78" s="231"/>
      <c r="AC78" s="231"/>
      <c r="AD78" s="231"/>
      <c r="AE78" s="231"/>
      <c r="AF78" s="231"/>
      <c r="AG78" s="231"/>
      <c r="AH78" s="231"/>
      <c r="AI78" s="231"/>
      <c r="AJ78" s="231"/>
    </row>
    <row r="79" spans="1:36" s="203" customFormat="1">
      <c r="A79" s="119" t="s">
        <v>93</v>
      </c>
      <c r="B79" s="116"/>
      <c r="C79" s="116"/>
      <c r="D79" s="116"/>
      <c r="E79" s="117"/>
      <c r="F79" s="118"/>
      <c r="G79" s="118"/>
      <c r="H79" s="118"/>
      <c r="I79" s="118"/>
      <c r="J79" s="231"/>
      <c r="K79" s="231"/>
      <c r="L79" s="231"/>
      <c r="M79" s="231"/>
      <c r="N79" s="231"/>
      <c r="O79" s="231"/>
      <c r="P79" s="231"/>
      <c r="Q79" s="231"/>
      <c r="R79" s="231"/>
      <c r="S79" s="231"/>
      <c r="T79" s="231"/>
      <c r="U79" s="231"/>
      <c r="V79" s="231"/>
      <c r="W79" s="231"/>
      <c r="X79" s="231"/>
      <c r="Y79" s="231"/>
      <c r="Z79" s="231"/>
      <c r="AA79" s="231"/>
      <c r="AB79" s="231"/>
      <c r="AC79" s="231"/>
      <c r="AD79" s="231"/>
      <c r="AE79" s="231"/>
      <c r="AF79" s="231"/>
      <c r="AG79" s="231"/>
      <c r="AH79" s="231"/>
      <c r="AI79" s="231"/>
      <c r="AJ79" s="231"/>
    </row>
    <row r="80" spans="1:36" s="203" customFormat="1">
      <c r="A80" s="120">
        <v>7</v>
      </c>
      <c r="B80" s="47" t="s">
        <v>94</v>
      </c>
      <c r="C80" s="47"/>
      <c r="D80" s="47"/>
      <c r="E80" s="41">
        <v>712</v>
      </c>
      <c r="F80" s="253">
        <v>823</v>
      </c>
      <c r="G80" s="112">
        <v>0</v>
      </c>
      <c r="H80" s="248">
        <v>861.65272425000001</v>
      </c>
      <c r="I80" s="112">
        <v>0</v>
      </c>
      <c r="J80" s="231"/>
      <c r="K80" s="231"/>
      <c r="L80" s="231"/>
      <c r="M80" s="231"/>
      <c r="N80" s="231"/>
      <c r="O80" s="231"/>
      <c r="P80" s="231"/>
      <c r="Q80" s="231"/>
      <c r="R80" s="231"/>
      <c r="S80" s="231"/>
      <c r="T80" s="231"/>
      <c r="U80" s="231"/>
      <c r="V80" s="231"/>
      <c r="W80" s="231"/>
      <c r="X80" s="231"/>
      <c r="Y80" s="231"/>
      <c r="Z80" s="231"/>
      <c r="AA80" s="231"/>
      <c r="AB80" s="231"/>
      <c r="AC80" s="231"/>
      <c r="AD80" s="231"/>
      <c r="AE80" s="231"/>
      <c r="AF80" s="231"/>
      <c r="AG80" s="231"/>
      <c r="AH80" s="231"/>
      <c r="AI80" s="231"/>
      <c r="AJ80" s="231"/>
    </row>
    <row r="81" spans="1:36" s="203" customFormat="1">
      <c r="A81" s="120">
        <v>8</v>
      </c>
      <c r="B81" s="47" t="s">
        <v>95</v>
      </c>
      <c r="C81" s="47"/>
      <c r="D81" s="47"/>
      <c r="E81" s="49">
        <v>20548</v>
      </c>
      <c r="F81" s="247">
        <v>20831</v>
      </c>
      <c r="G81" s="113">
        <v>20191</v>
      </c>
      <c r="H81" s="123">
        <v>22889.501</v>
      </c>
      <c r="I81" s="113">
        <v>21068.258999999998</v>
      </c>
      <c r="J81" s="231"/>
      <c r="K81" s="231"/>
      <c r="L81" s="231"/>
      <c r="M81" s="231"/>
      <c r="N81" s="231"/>
      <c r="O81" s="231"/>
      <c r="P81" s="231"/>
      <c r="Q81" s="231"/>
      <c r="R81" s="231"/>
      <c r="S81" s="231"/>
      <c r="T81" s="231"/>
      <c r="U81" s="231"/>
      <c r="V81" s="231"/>
      <c r="W81" s="231"/>
      <c r="X81" s="231"/>
      <c r="Y81" s="231"/>
      <c r="Z81" s="231"/>
      <c r="AA81" s="231"/>
      <c r="AB81" s="231"/>
      <c r="AC81" s="231"/>
      <c r="AD81" s="231"/>
      <c r="AE81" s="231"/>
      <c r="AF81" s="231"/>
      <c r="AG81" s="231"/>
      <c r="AH81" s="231"/>
      <c r="AI81" s="231"/>
      <c r="AJ81" s="231"/>
    </row>
    <row r="82" spans="1:36" s="203" customFormat="1">
      <c r="A82" s="120">
        <v>9</v>
      </c>
      <c r="B82" s="47" t="s">
        <v>96</v>
      </c>
      <c r="C82" s="47"/>
      <c r="D82" s="47"/>
      <c r="E82" s="49">
        <v>21166</v>
      </c>
      <c r="F82" s="247">
        <v>21618</v>
      </c>
      <c r="G82" s="113">
        <v>20954</v>
      </c>
      <c r="H82" s="123">
        <v>23180.84753347329</v>
      </c>
      <c r="I82" s="113">
        <v>22092.158533473292</v>
      </c>
      <c r="J82" s="231"/>
      <c r="K82" s="231"/>
      <c r="L82" s="231"/>
      <c r="M82" s="231"/>
      <c r="N82" s="231"/>
      <c r="O82" s="231"/>
      <c r="P82" s="231"/>
      <c r="Q82" s="231"/>
      <c r="R82" s="231"/>
      <c r="S82" s="231"/>
      <c r="T82" s="231"/>
      <c r="U82" s="231"/>
      <c r="V82" s="231"/>
      <c r="W82" s="231"/>
      <c r="X82" s="231"/>
      <c r="Y82" s="231"/>
      <c r="Z82" s="231"/>
      <c r="AA82" s="231"/>
      <c r="AB82" s="231"/>
      <c r="AC82" s="231"/>
      <c r="AD82" s="231"/>
      <c r="AE82" s="231"/>
      <c r="AF82" s="231"/>
      <c r="AG82" s="231"/>
      <c r="AH82" s="231"/>
      <c r="AI82" s="231"/>
      <c r="AJ82" s="231"/>
    </row>
    <row r="83" spans="1:36" s="203" customFormat="1">
      <c r="A83" s="120">
        <v>10</v>
      </c>
      <c r="B83" s="90" t="s">
        <v>97</v>
      </c>
      <c r="C83" s="47"/>
      <c r="D83" s="47"/>
      <c r="E83" s="49">
        <v>15159</v>
      </c>
      <c r="F83" s="247">
        <v>10937.763599999998</v>
      </c>
      <c r="G83" s="113">
        <v>0</v>
      </c>
      <c r="H83" s="123">
        <v>11540.954750000003</v>
      </c>
      <c r="I83" s="113">
        <v>0</v>
      </c>
      <c r="J83" s="231"/>
      <c r="K83" s="231"/>
      <c r="L83" s="231"/>
      <c r="M83" s="231"/>
      <c r="N83" s="231"/>
      <c r="O83" s="231"/>
      <c r="P83" s="231"/>
      <c r="Q83" s="231"/>
      <c r="R83" s="231"/>
      <c r="S83" s="231"/>
      <c r="T83" s="231"/>
      <c r="U83" s="231"/>
      <c r="V83" s="231"/>
      <c r="W83" s="231"/>
      <c r="X83" s="231"/>
      <c r="Y83" s="231"/>
      <c r="Z83" s="231"/>
      <c r="AA83" s="231"/>
      <c r="AB83" s="231"/>
      <c r="AC83" s="231"/>
      <c r="AD83" s="231"/>
      <c r="AE83" s="231"/>
      <c r="AF83" s="231"/>
      <c r="AG83" s="231"/>
      <c r="AH83" s="231"/>
      <c r="AI83" s="231"/>
      <c r="AJ83" s="231"/>
    </row>
    <row r="84" spans="1:36" s="203" customFormat="1">
      <c r="A84" s="120">
        <v>11</v>
      </c>
      <c r="B84" s="90" t="s">
        <v>98</v>
      </c>
      <c r="C84" s="47"/>
      <c r="D84" s="47"/>
      <c r="E84" s="49">
        <v>1834</v>
      </c>
      <c r="F84" s="247">
        <v>1931</v>
      </c>
      <c r="G84" s="113">
        <v>0</v>
      </c>
      <c r="H84" s="123">
        <v>1924.1969999999999</v>
      </c>
      <c r="I84" s="113">
        <v>0</v>
      </c>
      <c r="J84" s="231"/>
      <c r="K84" s="231"/>
      <c r="L84" s="231"/>
      <c r="M84" s="231"/>
      <c r="N84" s="231"/>
      <c r="O84" s="231"/>
      <c r="P84" s="231"/>
      <c r="Q84" s="231"/>
      <c r="R84" s="231"/>
      <c r="S84" s="231"/>
      <c r="T84" s="231"/>
      <c r="U84" s="231"/>
      <c r="V84" s="231"/>
      <c r="W84" s="231"/>
      <c r="X84" s="231"/>
      <c r="Y84" s="231"/>
      <c r="Z84" s="231"/>
      <c r="AA84" s="231"/>
      <c r="AB84" s="231"/>
      <c r="AC84" s="231"/>
      <c r="AD84" s="231"/>
      <c r="AE84" s="231"/>
      <c r="AF84" s="231"/>
      <c r="AG84" s="231"/>
      <c r="AH84" s="231"/>
      <c r="AI84" s="231"/>
      <c r="AJ84" s="231"/>
    </row>
    <row r="85" spans="1:36" s="203" customFormat="1">
      <c r="A85" s="120">
        <v>12</v>
      </c>
      <c r="B85" s="47" t="s">
        <v>99</v>
      </c>
      <c r="C85" s="47"/>
      <c r="D85" s="47"/>
      <c r="E85" s="49">
        <v>3059</v>
      </c>
      <c r="F85" s="247">
        <v>2812</v>
      </c>
      <c r="G85" s="113">
        <v>0</v>
      </c>
      <c r="H85" s="123">
        <v>2879.1236222745902</v>
      </c>
      <c r="I85" s="113">
        <v>0</v>
      </c>
      <c r="J85" s="231"/>
      <c r="K85" s="231"/>
      <c r="L85" s="231"/>
      <c r="M85" s="231"/>
      <c r="N85" s="231"/>
      <c r="O85" s="231"/>
      <c r="P85" s="231"/>
      <c r="Q85" s="231"/>
      <c r="R85" s="231"/>
      <c r="S85" s="231"/>
      <c r="T85" s="231"/>
      <c r="U85" s="231"/>
      <c r="V85" s="231"/>
      <c r="W85" s="231"/>
      <c r="X85" s="231"/>
      <c r="Y85" s="231"/>
      <c r="Z85" s="231"/>
      <c r="AA85" s="231"/>
      <c r="AB85" s="231"/>
      <c r="AC85" s="231"/>
      <c r="AD85" s="231"/>
      <c r="AE85" s="231"/>
      <c r="AF85" s="231"/>
      <c r="AG85" s="231"/>
      <c r="AH85" s="231"/>
      <c r="AI85" s="231"/>
      <c r="AJ85" s="231"/>
    </row>
    <row r="86" spans="1:36" s="203" customFormat="1">
      <c r="A86" s="120">
        <v>13</v>
      </c>
      <c r="B86" s="47" t="s">
        <v>100</v>
      </c>
      <c r="C86" s="47"/>
      <c r="D86" s="47"/>
      <c r="E86" s="49">
        <v>8798</v>
      </c>
      <c r="F86" s="247">
        <v>8873</v>
      </c>
      <c r="G86" s="113">
        <v>0</v>
      </c>
      <c r="H86" s="123">
        <v>8881.433940510422</v>
      </c>
      <c r="I86" s="113">
        <v>0</v>
      </c>
      <c r="J86" s="231"/>
      <c r="K86" s="231"/>
      <c r="L86" s="231"/>
      <c r="M86" s="231"/>
      <c r="N86" s="231"/>
      <c r="O86" s="231"/>
      <c r="P86" s="231"/>
      <c r="Q86" s="231"/>
      <c r="R86" s="231"/>
      <c r="S86" s="231"/>
      <c r="T86" s="231"/>
      <c r="U86" s="231"/>
      <c r="V86" s="231"/>
      <c r="W86" s="231"/>
      <c r="X86" s="231"/>
      <c r="Y86" s="231"/>
      <c r="Z86" s="231"/>
      <c r="AA86" s="231"/>
      <c r="AB86" s="231"/>
      <c r="AC86" s="231"/>
      <c r="AD86" s="231"/>
      <c r="AE86" s="231"/>
      <c r="AF86" s="231"/>
      <c r="AG86" s="231"/>
      <c r="AH86" s="231"/>
      <c r="AI86" s="231"/>
      <c r="AJ86" s="231"/>
    </row>
    <row r="87" spans="1:36" s="203" customFormat="1">
      <c r="A87" s="120">
        <v>14</v>
      </c>
      <c r="B87" s="47" t="s">
        <v>101</v>
      </c>
      <c r="C87" s="47"/>
      <c r="D87" s="47"/>
      <c r="E87" s="49">
        <v>0</v>
      </c>
      <c r="F87" s="247">
        <v>0</v>
      </c>
      <c r="G87" s="113">
        <v>0</v>
      </c>
      <c r="H87" s="123">
        <v>0</v>
      </c>
      <c r="I87" s="113">
        <v>0</v>
      </c>
      <c r="J87" s="231"/>
      <c r="K87" s="231"/>
      <c r="L87" s="231"/>
      <c r="M87" s="231"/>
      <c r="N87" s="231"/>
      <c r="O87" s="231"/>
      <c r="P87" s="231"/>
      <c r="Q87" s="231"/>
      <c r="R87" s="231"/>
      <c r="S87" s="231"/>
      <c r="T87" s="231"/>
      <c r="U87" s="231"/>
      <c r="V87" s="231"/>
      <c r="W87" s="231"/>
      <c r="X87" s="231"/>
      <c r="Y87" s="231"/>
      <c r="Z87" s="231"/>
      <c r="AA87" s="231"/>
      <c r="AB87" s="231"/>
      <c r="AC87" s="231"/>
      <c r="AD87" s="231"/>
      <c r="AE87" s="231"/>
      <c r="AF87" s="231"/>
      <c r="AG87" s="231"/>
      <c r="AH87" s="231"/>
      <c r="AI87" s="231"/>
      <c r="AJ87" s="231"/>
    </row>
    <row r="88" spans="1:36" s="203" customFormat="1">
      <c r="A88" s="124">
        <v>15</v>
      </c>
      <c r="B88" s="125" t="s">
        <v>102</v>
      </c>
      <c r="C88" s="54"/>
      <c r="D88" s="54"/>
      <c r="E88" s="56">
        <v>0</v>
      </c>
      <c r="F88" s="254">
        <v>0</v>
      </c>
      <c r="G88" s="127">
        <v>0</v>
      </c>
      <c r="H88" s="255">
        <v>0</v>
      </c>
      <c r="I88" s="127">
        <v>0</v>
      </c>
      <c r="J88" s="231"/>
      <c r="K88" s="231"/>
      <c r="L88" s="231"/>
      <c r="M88" s="231"/>
      <c r="N88" s="231"/>
      <c r="O88" s="231"/>
      <c r="P88" s="231"/>
      <c r="Q88" s="231"/>
      <c r="R88" s="231"/>
      <c r="S88" s="231"/>
      <c r="T88" s="231"/>
      <c r="U88" s="231"/>
      <c r="V88" s="231"/>
      <c r="W88" s="231"/>
      <c r="X88" s="231"/>
      <c r="Y88" s="231"/>
      <c r="Z88" s="231"/>
      <c r="AA88" s="231"/>
      <c r="AB88" s="231"/>
      <c r="AC88" s="231"/>
      <c r="AD88" s="231"/>
      <c r="AE88" s="231"/>
      <c r="AF88" s="231"/>
      <c r="AG88" s="231"/>
      <c r="AH88" s="231"/>
      <c r="AI88" s="231"/>
      <c r="AJ88" s="231"/>
    </row>
    <row r="89" spans="1:36" s="203" customFormat="1">
      <c r="A89" s="128"/>
      <c r="B89" s="129"/>
      <c r="C89" s="129"/>
      <c r="D89" s="129"/>
      <c r="E89" s="15"/>
      <c r="F89" s="130"/>
      <c r="G89" s="29"/>
      <c r="H89" s="207"/>
      <c r="I89" s="29"/>
      <c r="J89" s="231"/>
      <c r="K89" s="231"/>
      <c r="L89" s="231"/>
      <c r="M89" s="231"/>
      <c r="N89" s="231"/>
      <c r="O89" s="231"/>
      <c r="P89" s="231"/>
      <c r="Q89" s="231"/>
      <c r="R89" s="231"/>
      <c r="S89" s="231"/>
      <c r="T89" s="231"/>
      <c r="U89" s="231"/>
      <c r="V89" s="231"/>
      <c r="W89" s="231"/>
      <c r="X89" s="231"/>
      <c r="Y89" s="231"/>
      <c r="Z89" s="231"/>
      <c r="AA89" s="231"/>
      <c r="AB89" s="231"/>
      <c r="AC89" s="231"/>
      <c r="AD89" s="231"/>
      <c r="AE89" s="231"/>
      <c r="AF89" s="231"/>
      <c r="AG89" s="231"/>
      <c r="AH89" s="231"/>
      <c r="AI89" s="231"/>
      <c r="AJ89" s="231"/>
    </row>
    <row r="90" spans="1:36" s="203" customFormat="1">
      <c r="A90" s="128"/>
      <c r="B90" s="129"/>
      <c r="C90" s="129"/>
      <c r="D90" s="129"/>
      <c r="E90" s="105"/>
      <c r="F90" s="130"/>
      <c r="G90" s="29"/>
      <c r="H90" s="131" t="s">
        <v>27</v>
      </c>
      <c r="I90" s="29"/>
      <c r="J90" s="231"/>
      <c r="K90" s="231"/>
      <c r="L90" s="231"/>
      <c r="M90" s="231"/>
      <c r="N90" s="231"/>
      <c r="O90" s="231"/>
      <c r="P90" s="231"/>
      <c r="Q90" s="231"/>
      <c r="R90" s="231"/>
      <c r="S90" s="231"/>
      <c r="T90" s="231"/>
      <c r="U90" s="231"/>
      <c r="V90" s="231"/>
      <c r="W90" s="231"/>
      <c r="X90" s="231"/>
      <c r="Y90" s="231"/>
      <c r="Z90" s="231"/>
      <c r="AA90" s="231"/>
      <c r="AB90" s="231"/>
      <c r="AC90" s="231"/>
      <c r="AD90" s="231"/>
      <c r="AE90" s="231"/>
      <c r="AF90" s="231"/>
      <c r="AG90" s="231"/>
      <c r="AH90" s="231"/>
      <c r="AI90" s="231"/>
      <c r="AJ90" s="231"/>
    </row>
    <row r="91" spans="1:36" s="203" customFormat="1">
      <c r="A91" s="106" t="s">
        <v>17</v>
      </c>
      <c r="B91" s="107"/>
      <c r="C91" s="107"/>
      <c r="D91" s="107"/>
      <c r="E91" s="856" t="s">
        <v>421</v>
      </c>
      <c r="F91" s="856" t="s">
        <v>402</v>
      </c>
      <c r="G91" s="257"/>
      <c r="H91" s="856" t="s">
        <v>403</v>
      </c>
      <c r="I91" s="29"/>
      <c r="J91" s="231"/>
      <c r="K91" s="231"/>
      <c r="L91" s="231"/>
      <c r="M91" s="231"/>
      <c r="N91" s="231"/>
      <c r="O91" s="231"/>
      <c r="P91" s="231"/>
      <c r="Q91" s="231"/>
      <c r="R91" s="231"/>
      <c r="S91" s="231"/>
      <c r="T91" s="231"/>
      <c r="U91" s="231"/>
      <c r="V91" s="231"/>
      <c r="W91" s="231"/>
      <c r="X91" s="231"/>
      <c r="Y91" s="231"/>
      <c r="Z91" s="231"/>
      <c r="AA91" s="231"/>
      <c r="AB91" s="231"/>
      <c r="AC91" s="231"/>
      <c r="AD91" s="231"/>
      <c r="AE91" s="231"/>
      <c r="AF91" s="231"/>
      <c r="AG91" s="231"/>
      <c r="AH91" s="231"/>
      <c r="AI91" s="231"/>
      <c r="AJ91" s="231"/>
    </row>
    <row r="92" spans="1:36" s="203" customFormat="1" ht="12.75" customHeight="1">
      <c r="A92" s="109"/>
      <c r="B92" s="132"/>
      <c r="C92" s="132"/>
      <c r="D92" s="132"/>
      <c r="E92" s="859"/>
      <c r="F92" s="859"/>
      <c r="G92" s="29"/>
      <c r="H92" s="859"/>
      <c r="I92" s="29"/>
      <c r="J92" s="231"/>
      <c r="K92" s="231"/>
      <c r="L92" s="231"/>
      <c r="M92" s="231"/>
      <c r="N92" s="231"/>
      <c r="O92" s="231"/>
      <c r="P92" s="231"/>
      <c r="Q92" s="231"/>
      <c r="R92" s="231"/>
      <c r="S92" s="231"/>
      <c r="T92" s="231"/>
      <c r="U92" s="231"/>
      <c r="V92" s="231"/>
      <c r="W92" s="231"/>
      <c r="X92" s="231"/>
      <c r="Y92" s="231"/>
      <c r="Z92" s="231"/>
      <c r="AA92" s="231"/>
      <c r="AB92" s="231"/>
      <c r="AC92" s="231"/>
      <c r="AD92" s="231"/>
      <c r="AE92" s="231"/>
      <c r="AF92" s="231"/>
      <c r="AG92" s="231"/>
      <c r="AH92" s="231"/>
      <c r="AI92" s="231"/>
      <c r="AJ92" s="231"/>
    </row>
    <row r="93" spans="1:36" s="203" customFormat="1">
      <c r="A93" s="109" t="s">
        <v>103</v>
      </c>
      <c r="B93" s="132"/>
      <c r="C93" s="132"/>
      <c r="D93" s="132"/>
      <c r="E93" s="859"/>
      <c r="F93" s="859"/>
      <c r="G93" s="29"/>
      <c r="H93" s="859"/>
      <c r="I93" s="29"/>
      <c r="J93" s="231"/>
      <c r="K93" s="231"/>
      <c r="L93" s="231"/>
      <c r="M93" s="231"/>
      <c r="N93" s="231"/>
      <c r="O93" s="231"/>
      <c r="P93" s="231"/>
      <c r="Q93" s="231"/>
      <c r="R93" s="231"/>
      <c r="S93" s="231"/>
      <c r="T93" s="231"/>
      <c r="U93" s="231"/>
      <c r="V93" s="231"/>
      <c r="W93" s="231"/>
      <c r="X93" s="231"/>
      <c r="Y93" s="231"/>
      <c r="Z93" s="231"/>
      <c r="AA93" s="231"/>
      <c r="AB93" s="231"/>
      <c r="AC93" s="231"/>
      <c r="AD93" s="231"/>
      <c r="AE93" s="231"/>
      <c r="AF93" s="231"/>
      <c r="AG93" s="231"/>
      <c r="AH93" s="231"/>
      <c r="AI93" s="231"/>
      <c r="AJ93" s="231"/>
    </row>
    <row r="94" spans="1:36" s="203" customFormat="1">
      <c r="A94" s="109" t="s">
        <v>83</v>
      </c>
      <c r="B94" s="132"/>
      <c r="C94" s="132"/>
      <c r="D94" s="132"/>
      <c r="E94" s="859"/>
      <c r="F94" s="859"/>
      <c r="G94" s="130"/>
      <c r="H94" s="859"/>
      <c r="I94" s="29"/>
      <c r="J94" s="231"/>
      <c r="K94" s="231"/>
      <c r="L94" s="231"/>
      <c r="M94" s="231"/>
      <c r="N94" s="231"/>
      <c r="O94" s="231"/>
      <c r="P94" s="231"/>
      <c r="Q94" s="231"/>
      <c r="R94" s="231"/>
      <c r="S94" s="231"/>
      <c r="T94" s="231"/>
      <c r="U94" s="231"/>
      <c r="V94" s="231"/>
      <c r="W94" s="231"/>
      <c r="X94" s="231"/>
      <c r="Y94" s="231"/>
      <c r="Z94" s="231"/>
      <c r="AA94" s="231"/>
      <c r="AB94" s="231"/>
      <c r="AC94" s="231"/>
      <c r="AD94" s="231"/>
      <c r="AE94" s="231"/>
      <c r="AF94" s="231"/>
      <c r="AG94" s="231"/>
      <c r="AH94" s="231"/>
      <c r="AI94" s="231"/>
      <c r="AJ94" s="231"/>
    </row>
    <row r="95" spans="1:36" s="203" customFormat="1">
      <c r="A95" s="110" t="s">
        <v>84</v>
      </c>
      <c r="B95" s="132"/>
      <c r="C95" s="132"/>
      <c r="D95" s="132"/>
      <c r="E95" s="860"/>
      <c r="F95" s="860"/>
      <c r="G95" s="130"/>
      <c r="H95" s="860"/>
      <c r="I95" s="130"/>
      <c r="J95" s="231"/>
      <c r="K95" s="231"/>
      <c r="L95" s="231"/>
      <c r="M95" s="231"/>
      <c r="N95" s="231"/>
      <c r="O95" s="231"/>
      <c r="P95" s="231"/>
      <c r="Q95" s="231"/>
      <c r="R95" s="231"/>
      <c r="S95" s="231"/>
      <c r="T95" s="231"/>
      <c r="U95" s="231"/>
      <c r="V95" s="231"/>
      <c r="W95" s="231"/>
      <c r="X95" s="231"/>
      <c r="Y95" s="231"/>
      <c r="Z95" s="231"/>
      <c r="AA95" s="231"/>
      <c r="AB95" s="231"/>
      <c r="AC95" s="231"/>
      <c r="AD95" s="231"/>
      <c r="AE95" s="231"/>
      <c r="AF95" s="231"/>
      <c r="AG95" s="231"/>
      <c r="AH95" s="231"/>
      <c r="AI95" s="231"/>
      <c r="AJ95" s="231"/>
    </row>
    <row r="96" spans="1:36" s="203" customFormat="1">
      <c r="A96" s="120">
        <v>1</v>
      </c>
      <c r="B96" s="47" t="s">
        <v>104</v>
      </c>
      <c r="C96" s="47"/>
      <c r="D96" s="47"/>
      <c r="E96" s="41">
        <v>1074</v>
      </c>
      <c r="F96" s="52">
        <v>1137</v>
      </c>
      <c r="G96" s="118"/>
      <c r="H96" s="133">
        <v>1436</v>
      </c>
      <c r="I96" s="139"/>
      <c r="J96" s="231"/>
      <c r="K96" s="231"/>
      <c r="L96" s="231"/>
      <c r="M96" s="231"/>
      <c r="N96" s="231"/>
      <c r="O96" s="231"/>
      <c r="P96" s="231"/>
      <c r="Q96" s="231"/>
      <c r="R96" s="231"/>
      <c r="S96" s="231"/>
      <c r="T96" s="231"/>
      <c r="U96" s="231"/>
      <c r="V96" s="231"/>
      <c r="W96" s="231"/>
      <c r="X96" s="231"/>
      <c r="Y96" s="231"/>
      <c r="Z96" s="231"/>
      <c r="AA96" s="231"/>
      <c r="AB96" s="231"/>
      <c r="AC96" s="231"/>
      <c r="AD96" s="231"/>
      <c r="AE96" s="231"/>
      <c r="AF96" s="231"/>
      <c r="AG96" s="231"/>
      <c r="AH96" s="231"/>
      <c r="AI96" s="231"/>
      <c r="AJ96" s="231"/>
    </row>
    <row r="97" spans="1:36" s="203" customFormat="1">
      <c r="A97" s="120">
        <v>2</v>
      </c>
      <c r="B97" s="47" t="s">
        <v>105</v>
      </c>
      <c r="C97" s="47"/>
      <c r="D97" s="47"/>
      <c r="E97" s="49">
        <v>0</v>
      </c>
      <c r="F97" s="52">
        <v>0</v>
      </c>
      <c r="G97" s="118"/>
      <c r="H97" s="122">
        <v>0</v>
      </c>
      <c r="I97" s="139"/>
      <c r="J97" s="231"/>
      <c r="K97" s="231"/>
      <c r="L97" s="231"/>
      <c r="M97" s="231"/>
      <c r="N97" s="231"/>
      <c r="O97" s="231"/>
      <c r="P97" s="231"/>
      <c r="Q97" s="231"/>
      <c r="R97" s="231"/>
      <c r="S97" s="231"/>
      <c r="T97" s="231"/>
      <c r="U97" s="231"/>
      <c r="V97" s="231"/>
      <c r="W97" s="231"/>
      <c r="X97" s="231"/>
      <c r="Y97" s="231"/>
      <c r="Z97" s="231"/>
      <c r="AA97" s="231"/>
      <c r="AB97" s="231"/>
      <c r="AC97" s="231"/>
      <c r="AD97" s="231"/>
      <c r="AE97" s="231"/>
      <c r="AF97" s="231"/>
      <c r="AG97" s="231"/>
      <c r="AH97" s="231"/>
      <c r="AI97" s="231"/>
      <c r="AJ97" s="231"/>
    </row>
    <row r="98" spans="1:36" s="203" customFormat="1">
      <c r="A98" s="120">
        <v>3</v>
      </c>
      <c r="B98" s="47" t="s">
        <v>106</v>
      </c>
      <c r="C98" s="47"/>
      <c r="D98" s="47"/>
      <c r="E98" s="114">
        <v>17274</v>
      </c>
      <c r="F98" s="50">
        <f>F115</f>
        <v>16658</v>
      </c>
      <c r="G98" s="118"/>
      <c r="H98" s="50">
        <f>H115</f>
        <v>18101</v>
      </c>
      <c r="I98" s="139"/>
      <c r="J98" s="231"/>
      <c r="K98" s="231"/>
      <c r="L98" s="231"/>
      <c r="M98" s="231"/>
      <c r="N98" s="231"/>
      <c r="O98" s="231"/>
      <c r="P98" s="231"/>
      <c r="Q98" s="231"/>
      <c r="R98" s="231"/>
      <c r="S98" s="231"/>
      <c r="T98" s="231"/>
      <c r="U98" s="231"/>
      <c r="V98" s="231"/>
      <c r="W98" s="231"/>
      <c r="X98" s="231"/>
      <c r="Y98" s="231"/>
      <c r="Z98" s="231"/>
      <c r="AA98" s="231"/>
      <c r="AB98" s="231"/>
      <c r="AC98" s="231"/>
      <c r="AD98" s="231"/>
      <c r="AE98" s="231"/>
      <c r="AF98" s="231"/>
      <c r="AG98" s="231"/>
      <c r="AH98" s="231"/>
      <c r="AI98" s="231"/>
      <c r="AJ98" s="231"/>
    </row>
    <row r="99" spans="1:36" s="203" customFormat="1">
      <c r="A99" s="120">
        <v>4</v>
      </c>
      <c r="B99" s="47" t="s">
        <v>107</v>
      </c>
      <c r="C99" s="47"/>
      <c r="D99" s="47"/>
      <c r="E99" s="114">
        <v>27661</v>
      </c>
      <c r="F99" s="50">
        <f>F125</f>
        <v>27482</v>
      </c>
      <c r="G99" s="118"/>
      <c r="H99" s="50">
        <f>H125</f>
        <v>29410</v>
      </c>
      <c r="I99" s="139"/>
      <c r="J99" s="231"/>
      <c r="K99" s="231"/>
      <c r="L99" s="231"/>
      <c r="M99" s="231"/>
      <c r="N99" s="231"/>
      <c r="O99" s="231"/>
      <c r="P99" s="231"/>
      <c r="Q99" s="231"/>
      <c r="R99" s="231"/>
      <c r="S99" s="231"/>
      <c r="T99" s="231"/>
      <c r="U99" s="231"/>
      <c r="V99" s="231"/>
      <c r="W99" s="231"/>
      <c r="X99" s="231"/>
      <c r="Y99" s="231"/>
      <c r="Z99" s="231"/>
      <c r="AA99" s="231"/>
      <c r="AB99" s="231"/>
      <c r="AC99" s="231"/>
      <c r="AD99" s="231"/>
      <c r="AE99" s="231"/>
      <c r="AF99" s="231"/>
      <c r="AG99" s="231"/>
      <c r="AH99" s="231"/>
      <c r="AI99" s="231"/>
      <c r="AJ99" s="231"/>
    </row>
    <row r="100" spans="1:36" s="203" customFormat="1">
      <c r="A100" s="120">
        <v>5</v>
      </c>
      <c r="B100" s="47" t="s">
        <v>108</v>
      </c>
      <c r="C100" s="47"/>
      <c r="D100" s="47"/>
      <c r="E100" s="114">
        <v>5080</v>
      </c>
      <c r="F100" s="50">
        <f>F135</f>
        <v>5363</v>
      </c>
      <c r="G100" s="118"/>
      <c r="H100" s="50">
        <f>H135</f>
        <v>5791</v>
      </c>
      <c r="I100" s="139"/>
      <c r="J100" s="231"/>
      <c r="K100" s="231"/>
      <c r="L100" s="231"/>
      <c r="M100" s="231"/>
      <c r="N100" s="231"/>
      <c r="O100" s="231"/>
      <c r="P100" s="231"/>
      <c r="Q100" s="231"/>
      <c r="R100" s="231"/>
      <c r="S100" s="231"/>
      <c r="T100" s="231"/>
      <c r="U100" s="231"/>
      <c r="V100" s="231"/>
      <c r="W100" s="231"/>
      <c r="X100" s="231"/>
      <c r="Y100" s="231"/>
      <c r="Z100" s="231"/>
      <c r="AA100" s="231"/>
      <c r="AB100" s="231"/>
      <c r="AC100" s="231"/>
      <c r="AD100" s="231"/>
      <c r="AE100" s="231"/>
      <c r="AF100" s="231"/>
      <c r="AG100" s="231"/>
      <c r="AH100" s="231"/>
      <c r="AI100" s="231"/>
      <c r="AJ100" s="231"/>
    </row>
    <row r="101" spans="1:36" s="203" customFormat="1">
      <c r="A101" s="120">
        <v>6</v>
      </c>
      <c r="B101" s="47" t="s">
        <v>109</v>
      </c>
      <c r="C101" s="47"/>
      <c r="D101" s="47"/>
      <c r="E101" s="114">
        <v>8853</v>
      </c>
      <c r="F101" s="50">
        <f>F143</f>
        <v>9516</v>
      </c>
      <c r="G101" s="118"/>
      <c r="H101" s="50">
        <f>H143</f>
        <v>10034</v>
      </c>
      <c r="I101" s="139"/>
      <c r="J101" s="231"/>
      <c r="K101" s="231"/>
      <c r="L101" s="231"/>
      <c r="M101" s="231"/>
      <c r="N101" s="231"/>
      <c r="O101" s="231"/>
      <c r="P101" s="231"/>
      <c r="Q101" s="231"/>
      <c r="R101" s="231"/>
      <c r="S101" s="231"/>
      <c r="T101" s="231"/>
      <c r="U101" s="231"/>
      <c r="V101" s="231"/>
      <c r="W101" s="231"/>
      <c r="X101" s="231"/>
      <c r="Y101" s="231"/>
      <c r="Z101" s="231"/>
      <c r="AA101" s="231"/>
      <c r="AB101" s="231"/>
      <c r="AC101" s="231"/>
      <c r="AD101" s="231"/>
      <c r="AE101" s="231"/>
      <c r="AF101" s="231"/>
      <c r="AG101" s="231"/>
      <c r="AH101" s="231"/>
      <c r="AI101" s="231"/>
      <c r="AJ101" s="231"/>
    </row>
    <row r="102" spans="1:36" s="203" customFormat="1">
      <c r="A102" s="120">
        <v>7</v>
      </c>
      <c r="B102" s="47" t="s">
        <v>110</v>
      </c>
      <c r="C102" s="47"/>
      <c r="D102" s="47"/>
      <c r="E102" s="114">
        <v>2041</v>
      </c>
      <c r="F102" s="50">
        <f>F150</f>
        <v>2122</v>
      </c>
      <c r="G102" s="118"/>
      <c r="H102" s="50">
        <f>H150</f>
        <v>2310</v>
      </c>
      <c r="I102" s="139"/>
      <c r="J102" s="231"/>
      <c r="K102" s="231"/>
      <c r="L102" s="231"/>
      <c r="M102" s="231"/>
      <c r="N102" s="231"/>
      <c r="O102" s="231"/>
      <c r="P102" s="231"/>
      <c r="Q102" s="231"/>
      <c r="R102" s="231"/>
      <c r="S102" s="231"/>
      <c r="T102" s="231"/>
      <c r="U102" s="231"/>
      <c r="V102" s="231"/>
      <c r="W102" s="231"/>
      <c r="X102" s="231"/>
      <c r="Y102" s="231"/>
      <c r="Z102" s="231"/>
      <c r="AA102" s="231"/>
      <c r="AB102" s="231"/>
      <c r="AC102" s="231"/>
      <c r="AD102" s="231"/>
      <c r="AE102" s="231"/>
      <c r="AF102" s="231"/>
      <c r="AG102" s="231"/>
      <c r="AH102" s="231"/>
      <c r="AI102" s="231"/>
      <c r="AJ102" s="231"/>
    </row>
    <row r="103" spans="1:36" s="203" customFormat="1">
      <c r="A103" s="120">
        <v>8</v>
      </c>
      <c r="B103" s="47" t="s">
        <v>111</v>
      </c>
      <c r="C103" s="47"/>
      <c r="D103" s="47"/>
      <c r="E103" s="114">
        <v>1123</v>
      </c>
      <c r="F103" s="52">
        <v>1100</v>
      </c>
      <c r="G103" s="118"/>
      <c r="H103" s="122">
        <v>1216</v>
      </c>
      <c r="I103" s="139"/>
      <c r="J103" s="231"/>
      <c r="K103" s="231"/>
      <c r="L103" s="231"/>
      <c r="M103" s="231"/>
      <c r="N103" s="231"/>
      <c r="O103" s="231"/>
      <c r="P103" s="231"/>
      <c r="Q103" s="231"/>
      <c r="R103" s="231"/>
      <c r="S103" s="231"/>
      <c r="T103" s="231"/>
      <c r="U103" s="231"/>
      <c r="V103" s="231"/>
      <c r="W103" s="231"/>
      <c r="X103" s="231"/>
      <c r="Y103" s="231"/>
      <c r="Z103" s="231"/>
      <c r="AA103" s="231"/>
      <c r="AB103" s="231"/>
      <c r="AC103" s="231"/>
      <c r="AD103" s="231"/>
      <c r="AE103" s="231"/>
      <c r="AF103" s="231"/>
      <c r="AG103" s="231"/>
      <c r="AH103" s="231"/>
      <c r="AI103" s="231"/>
      <c r="AJ103" s="231"/>
    </row>
    <row r="104" spans="1:36" s="203" customFormat="1">
      <c r="A104" s="120">
        <v>9</v>
      </c>
      <c r="B104" s="47" t="s">
        <v>112</v>
      </c>
      <c r="C104" s="47"/>
      <c r="D104" s="47"/>
      <c r="E104" s="114">
        <v>5</v>
      </c>
      <c r="F104" s="52">
        <v>6</v>
      </c>
      <c r="G104" s="118"/>
      <c r="H104" s="122">
        <v>2025</v>
      </c>
      <c r="I104" s="139"/>
      <c r="J104" s="231"/>
      <c r="K104" s="231"/>
      <c r="L104" s="231"/>
      <c r="M104" s="231"/>
      <c r="N104" s="231"/>
      <c r="O104" s="231"/>
      <c r="P104" s="231"/>
      <c r="Q104" s="231"/>
      <c r="R104" s="231"/>
      <c r="S104" s="231"/>
      <c r="T104" s="231"/>
      <c r="U104" s="231"/>
      <c r="V104" s="231"/>
      <c r="W104" s="231"/>
      <c r="X104" s="231"/>
      <c r="Y104" s="231"/>
      <c r="Z104" s="231"/>
      <c r="AA104" s="231"/>
      <c r="AB104" s="231"/>
      <c r="AC104" s="231"/>
      <c r="AD104" s="231"/>
      <c r="AE104" s="231"/>
      <c r="AF104" s="231"/>
      <c r="AG104" s="231"/>
      <c r="AH104" s="231"/>
      <c r="AI104" s="231"/>
      <c r="AJ104" s="231"/>
    </row>
    <row r="105" spans="1:36" s="203" customFormat="1">
      <c r="A105" s="111" t="s">
        <v>113</v>
      </c>
      <c r="B105" s="116" t="s">
        <v>114</v>
      </c>
      <c r="C105" s="116"/>
      <c r="D105" s="47"/>
      <c r="E105" s="134">
        <v>63111</v>
      </c>
      <c r="F105" s="61">
        <f>SUM(F96:F104)</f>
        <v>63384</v>
      </c>
      <c r="G105" s="118"/>
      <c r="H105" s="61">
        <f>SUM(H96:H104)</f>
        <v>70323</v>
      </c>
      <c r="I105" s="139"/>
      <c r="J105" s="231"/>
      <c r="K105" s="231"/>
      <c r="L105" s="231"/>
      <c r="M105" s="231"/>
      <c r="N105" s="231"/>
      <c r="O105" s="231"/>
      <c r="P105" s="231"/>
      <c r="Q105" s="231"/>
      <c r="R105" s="231"/>
      <c r="S105" s="231"/>
      <c r="T105" s="231"/>
      <c r="U105" s="231"/>
      <c r="V105" s="231"/>
      <c r="W105" s="231"/>
      <c r="X105" s="231"/>
      <c r="Y105" s="231"/>
      <c r="Z105" s="231"/>
      <c r="AA105" s="231"/>
      <c r="AB105" s="231"/>
      <c r="AC105" s="231"/>
      <c r="AD105" s="231"/>
      <c r="AE105" s="231"/>
      <c r="AF105" s="231"/>
      <c r="AG105" s="231"/>
      <c r="AH105" s="231"/>
      <c r="AI105" s="231"/>
      <c r="AJ105" s="231"/>
    </row>
    <row r="106" spans="1:36" s="203" customFormat="1">
      <c r="A106" s="120">
        <v>11</v>
      </c>
      <c r="B106" s="90" t="s">
        <v>115</v>
      </c>
      <c r="C106" s="47"/>
      <c r="D106" s="47"/>
      <c r="E106" s="135">
        <v>0</v>
      </c>
      <c r="F106" s="136"/>
      <c r="G106" s="118"/>
      <c r="H106" s="137"/>
      <c r="I106" s="139"/>
      <c r="J106" s="231"/>
      <c r="K106" s="231"/>
      <c r="L106" s="231"/>
      <c r="M106" s="231"/>
      <c r="N106" s="231"/>
      <c r="O106" s="231"/>
      <c r="P106" s="231"/>
      <c r="Q106" s="231"/>
      <c r="R106" s="231"/>
      <c r="S106" s="231"/>
      <c r="T106" s="231"/>
      <c r="U106" s="231"/>
      <c r="V106" s="231"/>
      <c r="W106" s="231"/>
      <c r="X106" s="231"/>
      <c r="Y106" s="231"/>
      <c r="Z106" s="231"/>
      <c r="AA106" s="231"/>
      <c r="AB106" s="231"/>
      <c r="AC106" s="231"/>
      <c r="AD106" s="231"/>
      <c r="AE106" s="231"/>
      <c r="AF106" s="231"/>
      <c r="AG106" s="231"/>
      <c r="AH106" s="231"/>
      <c r="AI106" s="231"/>
      <c r="AJ106" s="231"/>
    </row>
    <row r="107" spans="1:36" s="203" customFormat="1">
      <c r="A107" s="111"/>
      <c r="B107" s="47"/>
      <c r="C107" s="47"/>
      <c r="D107" s="138"/>
      <c r="E107" s="117"/>
      <c r="F107" s="139"/>
      <c r="G107" s="139"/>
      <c r="H107" s="139"/>
      <c r="I107" s="139"/>
      <c r="J107" s="231"/>
      <c r="K107" s="231"/>
      <c r="L107" s="231"/>
      <c r="M107" s="231"/>
      <c r="N107" s="231"/>
      <c r="O107" s="231"/>
      <c r="P107" s="231"/>
      <c r="Q107" s="231"/>
      <c r="R107" s="231"/>
      <c r="S107" s="231"/>
      <c r="T107" s="231"/>
      <c r="U107" s="231"/>
      <c r="V107" s="231"/>
      <c r="W107" s="231"/>
      <c r="X107" s="231"/>
      <c r="Y107" s="231"/>
      <c r="Z107" s="231"/>
      <c r="AA107" s="231"/>
      <c r="AB107" s="231"/>
      <c r="AC107" s="231"/>
      <c r="AD107" s="231"/>
      <c r="AE107" s="231"/>
      <c r="AF107" s="231"/>
      <c r="AG107" s="231"/>
      <c r="AH107" s="231"/>
      <c r="AI107" s="231"/>
      <c r="AJ107" s="231"/>
    </row>
    <row r="108" spans="1:36" s="203" customFormat="1">
      <c r="A108" s="119" t="s">
        <v>116</v>
      </c>
      <c r="B108" s="47"/>
      <c r="C108" s="47"/>
      <c r="D108" s="47"/>
      <c r="E108" s="117"/>
      <c r="F108" s="139"/>
      <c r="G108" s="139"/>
      <c r="H108" s="139"/>
      <c r="I108" s="139"/>
      <c r="J108" s="231"/>
      <c r="K108" s="231"/>
      <c r="L108" s="231"/>
      <c r="M108" s="231"/>
      <c r="N108" s="231"/>
      <c r="O108" s="231"/>
      <c r="P108" s="231"/>
      <c r="Q108" s="231"/>
      <c r="R108" s="231"/>
      <c r="S108" s="231"/>
      <c r="T108" s="231"/>
      <c r="U108" s="231"/>
      <c r="V108" s="231"/>
      <c r="W108" s="231"/>
      <c r="X108" s="231"/>
      <c r="Y108" s="231"/>
      <c r="Z108" s="231"/>
      <c r="AA108" s="231"/>
      <c r="AB108" s="231"/>
      <c r="AC108" s="231"/>
      <c r="AD108" s="231"/>
      <c r="AE108" s="231"/>
      <c r="AF108" s="231"/>
      <c r="AG108" s="231"/>
      <c r="AH108" s="231"/>
      <c r="AI108" s="231"/>
      <c r="AJ108" s="231"/>
    </row>
    <row r="109" spans="1:36" s="203" customFormat="1">
      <c r="A109" s="119" t="s">
        <v>106</v>
      </c>
      <c r="B109" s="47"/>
      <c r="C109" s="47"/>
      <c r="D109" s="47"/>
      <c r="E109" s="140"/>
      <c r="F109" s="141"/>
      <c r="G109" s="139"/>
      <c r="H109" s="141"/>
      <c r="I109" s="139"/>
      <c r="J109" s="231"/>
      <c r="K109" s="231"/>
      <c r="L109" s="231"/>
      <c r="M109" s="231"/>
      <c r="N109" s="231"/>
      <c r="O109" s="231"/>
      <c r="P109" s="231"/>
      <c r="Q109" s="231"/>
      <c r="R109" s="231"/>
      <c r="S109" s="231"/>
      <c r="T109" s="231"/>
      <c r="U109" s="231"/>
      <c r="V109" s="231"/>
      <c r="W109" s="231"/>
      <c r="X109" s="231"/>
      <c r="Y109" s="231"/>
      <c r="Z109" s="231"/>
      <c r="AA109" s="231"/>
      <c r="AB109" s="231"/>
      <c r="AC109" s="231"/>
      <c r="AD109" s="231"/>
      <c r="AE109" s="231"/>
      <c r="AF109" s="231"/>
      <c r="AG109" s="231"/>
      <c r="AH109" s="231"/>
      <c r="AI109" s="231"/>
      <c r="AJ109" s="231"/>
    </row>
    <row r="110" spans="1:36" s="203" customFormat="1">
      <c r="A110" s="120">
        <v>12</v>
      </c>
      <c r="B110" s="47" t="s">
        <v>117</v>
      </c>
      <c r="C110" s="47"/>
      <c r="D110" s="47"/>
      <c r="E110" s="49">
        <v>2724</v>
      </c>
      <c r="F110" s="52">
        <v>2547</v>
      </c>
      <c r="G110" s="118"/>
      <c r="H110" s="122">
        <v>2682</v>
      </c>
      <c r="I110" s="139"/>
      <c r="J110" s="231"/>
      <c r="K110" s="231"/>
      <c r="L110" s="231"/>
      <c r="M110" s="231"/>
      <c r="N110" s="231"/>
      <c r="O110" s="231"/>
      <c r="P110" s="231"/>
      <c r="Q110" s="231"/>
      <c r="R110" s="231"/>
      <c r="S110" s="231"/>
      <c r="T110" s="231"/>
      <c r="U110" s="231"/>
      <c r="V110" s="231"/>
      <c r="W110" s="231"/>
      <c r="X110" s="231"/>
      <c r="Y110" s="231"/>
      <c r="Z110" s="231"/>
      <c r="AA110" s="231"/>
      <c r="AB110" s="231"/>
      <c r="AC110" s="231"/>
      <c r="AD110" s="231"/>
      <c r="AE110" s="231"/>
      <c r="AF110" s="231"/>
      <c r="AG110" s="231"/>
      <c r="AH110" s="231"/>
      <c r="AI110" s="231"/>
      <c r="AJ110" s="231"/>
    </row>
    <row r="111" spans="1:36" s="203" customFormat="1">
      <c r="A111" s="120">
        <v>13</v>
      </c>
      <c r="B111" s="47" t="s">
        <v>118</v>
      </c>
      <c r="C111" s="47"/>
      <c r="D111" s="47"/>
      <c r="E111" s="49">
        <v>4675</v>
      </c>
      <c r="F111" s="52">
        <v>4799</v>
      </c>
      <c r="G111" s="118"/>
      <c r="H111" s="122">
        <v>5403</v>
      </c>
      <c r="I111" s="139"/>
      <c r="J111" s="231"/>
      <c r="K111" s="231"/>
      <c r="L111" s="231"/>
      <c r="M111" s="231"/>
      <c r="N111" s="231"/>
      <c r="O111" s="231"/>
      <c r="P111" s="231"/>
      <c r="Q111" s="231"/>
      <c r="R111" s="231"/>
      <c r="S111" s="231"/>
      <c r="T111" s="231"/>
      <c r="U111" s="231"/>
      <c r="V111" s="231"/>
      <c r="W111" s="231"/>
      <c r="X111" s="231"/>
      <c r="Y111" s="231"/>
      <c r="Z111" s="231"/>
      <c r="AA111" s="231"/>
      <c r="AB111" s="231"/>
      <c r="AC111" s="231"/>
      <c r="AD111" s="231"/>
      <c r="AE111" s="231"/>
      <c r="AF111" s="231"/>
      <c r="AG111" s="231"/>
      <c r="AH111" s="231"/>
      <c r="AI111" s="231"/>
      <c r="AJ111" s="231"/>
    </row>
    <row r="112" spans="1:36" s="203" customFormat="1">
      <c r="A112" s="120">
        <v>14</v>
      </c>
      <c r="B112" s="47" t="s">
        <v>119</v>
      </c>
      <c r="C112" s="47"/>
      <c r="D112" s="47"/>
      <c r="E112" s="49">
        <v>5575</v>
      </c>
      <c r="F112" s="52">
        <v>5752</v>
      </c>
      <c r="G112" s="118"/>
      <c r="H112" s="122">
        <v>6178</v>
      </c>
      <c r="I112" s="139"/>
      <c r="J112" s="231"/>
      <c r="K112" s="231"/>
      <c r="L112" s="231"/>
      <c r="M112" s="231"/>
      <c r="N112" s="231"/>
      <c r="O112" s="231"/>
      <c r="P112" s="231"/>
      <c r="Q112" s="231"/>
      <c r="R112" s="231"/>
      <c r="S112" s="231"/>
      <c r="T112" s="231"/>
      <c r="U112" s="231"/>
      <c r="V112" s="231"/>
      <c r="W112" s="231"/>
      <c r="X112" s="231"/>
      <c r="Y112" s="231"/>
      <c r="Z112" s="231"/>
      <c r="AA112" s="231"/>
      <c r="AB112" s="231"/>
      <c r="AC112" s="231"/>
      <c r="AD112" s="231"/>
      <c r="AE112" s="231"/>
      <c r="AF112" s="231"/>
      <c r="AG112" s="231"/>
      <c r="AH112" s="231"/>
      <c r="AI112" s="231"/>
      <c r="AJ112" s="231"/>
    </row>
    <row r="113" spans="1:36" s="203" customFormat="1">
      <c r="A113" s="120">
        <v>15</v>
      </c>
      <c r="B113" s="47" t="s">
        <v>120</v>
      </c>
      <c r="C113" s="47"/>
      <c r="D113" s="47"/>
      <c r="E113" s="49">
        <v>17</v>
      </c>
      <c r="F113" s="52">
        <v>16</v>
      </c>
      <c r="G113" s="118"/>
      <c r="H113" s="122">
        <v>18</v>
      </c>
      <c r="I113" s="139"/>
      <c r="J113" s="231"/>
      <c r="K113" s="231"/>
      <c r="L113" s="231"/>
      <c r="M113" s="231"/>
      <c r="N113" s="231"/>
      <c r="O113" s="231"/>
      <c r="P113" s="231"/>
      <c r="Q113" s="231"/>
      <c r="R113" s="231"/>
      <c r="S113" s="231"/>
      <c r="T113" s="231"/>
      <c r="U113" s="231"/>
      <c r="V113" s="231"/>
      <c r="W113" s="231"/>
      <c r="X113" s="231"/>
      <c r="Y113" s="231"/>
      <c r="Z113" s="231"/>
      <c r="AA113" s="231"/>
      <c r="AB113" s="231"/>
      <c r="AC113" s="231"/>
      <c r="AD113" s="231"/>
      <c r="AE113" s="231"/>
      <c r="AF113" s="231"/>
      <c r="AG113" s="231"/>
      <c r="AH113" s="231"/>
      <c r="AI113" s="231"/>
      <c r="AJ113" s="231"/>
    </row>
    <row r="114" spans="1:36" s="203" customFormat="1">
      <c r="A114" s="120">
        <v>16</v>
      </c>
      <c r="B114" s="47" t="s">
        <v>121</v>
      </c>
      <c r="C114" s="47"/>
      <c r="D114" s="47"/>
      <c r="E114" s="49">
        <v>4283</v>
      </c>
      <c r="F114" s="52">
        <v>3544</v>
      </c>
      <c r="G114" s="118"/>
      <c r="H114" s="100">
        <v>3820</v>
      </c>
      <c r="I114" s="139"/>
      <c r="J114" s="231"/>
      <c r="K114" s="231"/>
      <c r="L114" s="231"/>
      <c r="M114" s="231"/>
      <c r="N114" s="231"/>
      <c r="O114" s="231"/>
      <c r="P114" s="231"/>
      <c r="Q114" s="231"/>
      <c r="R114" s="231"/>
      <c r="S114" s="231"/>
      <c r="T114" s="231"/>
      <c r="U114" s="231"/>
      <c r="V114" s="231"/>
      <c r="W114" s="231"/>
      <c r="X114" s="231"/>
      <c r="Y114" s="231"/>
      <c r="Z114" s="231"/>
      <c r="AA114" s="231"/>
      <c r="AB114" s="231"/>
      <c r="AC114" s="231"/>
      <c r="AD114" s="231"/>
      <c r="AE114" s="231"/>
      <c r="AF114" s="231"/>
      <c r="AG114" s="231"/>
      <c r="AH114" s="231"/>
      <c r="AI114" s="231"/>
      <c r="AJ114" s="231"/>
    </row>
    <row r="115" spans="1:36" s="203" customFormat="1">
      <c r="A115" s="120">
        <v>17</v>
      </c>
      <c r="B115" s="116" t="s">
        <v>122</v>
      </c>
      <c r="C115" s="116"/>
      <c r="D115" s="116"/>
      <c r="E115" s="80">
        <v>17274</v>
      </c>
      <c r="F115" s="142">
        <f>SUM(F110:F114)</f>
        <v>16658</v>
      </c>
      <c r="G115" s="118"/>
      <c r="H115" s="142">
        <f>SUM(H110:H114)</f>
        <v>18101</v>
      </c>
      <c r="I115" s="139"/>
      <c r="J115" s="231"/>
      <c r="K115" s="231"/>
      <c r="L115" s="231"/>
      <c r="M115" s="231"/>
      <c r="N115" s="231"/>
      <c r="O115" s="231"/>
      <c r="P115" s="231"/>
      <c r="Q115" s="231"/>
      <c r="R115" s="231"/>
      <c r="S115" s="231"/>
      <c r="T115" s="231"/>
      <c r="U115" s="231"/>
      <c r="V115" s="231"/>
      <c r="W115" s="231"/>
      <c r="X115" s="231"/>
      <c r="Y115" s="231"/>
      <c r="Z115" s="231"/>
      <c r="AA115" s="231"/>
      <c r="AB115" s="231"/>
      <c r="AC115" s="231"/>
      <c r="AD115" s="231"/>
      <c r="AE115" s="231"/>
      <c r="AF115" s="231"/>
      <c r="AG115" s="231"/>
      <c r="AH115" s="231"/>
      <c r="AI115" s="231"/>
      <c r="AJ115" s="231"/>
    </row>
    <row r="116" spans="1:36" s="203" customFormat="1">
      <c r="A116" s="111"/>
      <c r="B116" s="116"/>
      <c r="C116" s="116"/>
      <c r="D116" s="116"/>
      <c r="E116" s="143"/>
      <c r="F116" s="118"/>
      <c r="G116" s="118"/>
      <c r="H116" s="118"/>
      <c r="I116" s="139"/>
      <c r="J116" s="231"/>
      <c r="K116" s="231"/>
      <c r="L116" s="231"/>
      <c r="M116" s="231"/>
      <c r="N116" s="231"/>
      <c r="O116" s="231"/>
      <c r="P116" s="231"/>
      <c r="Q116" s="231"/>
      <c r="R116" s="231"/>
      <c r="S116" s="231"/>
      <c r="T116" s="231"/>
      <c r="U116" s="231"/>
      <c r="V116" s="231"/>
      <c r="W116" s="231"/>
      <c r="X116" s="231"/>
      <c r="Y116" s="231"/>
      <c r="Z116" s="231"/>
      <c r="AA116" s="231"/>
      <c r="AB116" s="231"/>
      <c r="AC116" s="231"/>
      <c r="AD116" s="231"/>
      <c r="AE116" s="231"/>
      <c r="AF116" s="231"/>
      <c r="AG116" s="231"/>
      <c r="AH116" s="231"/>
      <c r="AI116" s="231"/>
      <c r="AJ116" s="231"/>
    </row>
    <row r="117" spans="1:36" s="203" customFormat="1">
      <c r="A117" s="144" t="s">
        <v>107</v>
      </c>
      <c r="B117" s="116"/>
      <c r="C117" s="116"/>
      <c r="D117" s="116"/>
      <c r="E117" s="145"/>
      <c r="F117" s="146"/>
      <c r="G117" s="118"/>
      <c r="H117" s="146"/>
      <c r="I117" s="139"/>
      <c r="J117" s="231"/>
      <c r="K117" s="231"/>
      <c r="L117" s="231"/>
      <c r="M117" s="231"/>
      <c r="N117" s="231"/>
      <c r="O117" s="231"/>
      <c r="P117" s="231"/>
      <c r="Q117" s="231"/>
      <c r="R117" s="231"/>
      <c r="S117" s="231"/>
      <c r="T117" s="231"/>
      <c r="U117" s="231"/>
      <c r="V117" s="231"/>
      <c r="W117" s="231"/>
      <c r="X117" s="231"/>
      <c r="Y117" s="231"/>
      <c r="Z117" s="231"/>
      <c r="AA117" s="231"/>
      <c r="AB117" s="231"/>
      <c r="AC117" s="231"/>
      <c r="AD117" s="231"/>
      <c r="AE117" s="231"/>
      <c r="AF117" s="231"/>
      <c r="AG117" s="231"/>
      <c r="AH117" s="231"/>
      <c r="AI117" s="231"/>
      <c r="AJ117" s="231"/>
    </row>
    <row r="118" spans="1:36" s="203" customFormat="1">
      <c r="A118" s="120">
        <v>18</v>
      </c>
      <c r="B118" s="47" t="s">
        <v>123</v>
      </c>
      <c r="C118" s="47"/>
      <c r="D118" s="47"/>
      <c r="E118" s="49">
        <v>1490</v>
      </c>
      <c r="F118" s="52">
        <v>1489</v>
      </c>
      <c r="G118" s="118"/>
      <c r="H118" s="122">
        <v>1863</v>
      </c>
      <c r="I118" s="139"/>
      <c r="J118" s="231"/>
      <c r="K118" s="231"/>
      <c r="L118" s="231"/>
      <c r="M118" s="231"/>
      <c r="N118" s="231"/>
      <c r="O118" s="231"/>
      <c r="P118" s="231"/>
      <c r="Q118" s="231"/>
      <c r="R118" s="231"/>
      <c r="S118" s="231"/>
      <c r="T118" s="231"/>
      <c r="U118" s="231"/>
      <c r="V118" s="231"/>
      <c r="W118" s="231"/>
      <c r="X118" s="231"/>
      <c r="Y118" s="231"/>
      <c r="Z118" s="231"/>
      <c r="AA118" s="231"/>
      <c r="AB118" s="231"/>
      <c r="AC118" s="231"/>
      <c r="AD118" s="231"/>
      <c r="AE118" s="231"/>
      <c r="AF118" s="231"/>
      <c r="AG118" s="231"/>
      <c r="AH118" s="231"/>
      <c r="AI118" s="231"/>
      <c r="AJ118" s="231"/>
    </row>
    <row r="119" spans="1:36" s="203" customFormat="1">
      <c r="A119" s="120">
        <v>19</v>
      </c>
      <c r="B119" s="47" t="s">
        <v>124</v>
      </c>
      <c r="C119" s="47"/>
      <c r="D119" s="47"/>
      <c r="E119" s="49">
        <v>8589</v>
      </c>
      <c r="F119" s="52">
        <v>8715</v>
      </c>
      <c r="G119" s="118"/>
      <c r="H119" s="122">
        <v>8950</v>
      </c>
      <c r="I119" s="139"/>
      <c r="J119" s="231"/>
      <c r="K119" s="231"/>
      <c r="L119" s="231"/>
      <c r="M119" s="231"/>
      <c r="N119" s="231"/>
      <c r="O119" s="231"/>
      <c r="P119" s="231"/>
      <c r="Q119" s="231"/>
      <c r="R119" s="231"/>
      <c r="S119" s="231"/>
      <c r="T119" s="231"/>
      <c r="U119" s="231"/>
      <c r="V119" s="231"/>
      <c r="W119" s="231"/>
      <c r="X119" s="231"/>
      <c r="Y119" s="231"/>
      <c r="Z119" s="231"/>
      <c r="AA119" s="231"/>
      <c r="AB119" s="231"/>
      <c r="AC119" s="231"/>
      <c r="AD119" s="231"/>
      <c r="AE119" s="231"/>
      <c r="AF119" s="231"/>
      <c r="AG119" s="231"/>
      <c r="AH119" s="231"/>
      <c r="AI119" s="231"/>
      <c r="AJ119" s="231"/>
    </row>
    <row r="120" spans="1:36" s="203" customFormat="1">
      <c r="A120" s="120">
        <v>20</v>
      </c>
      <c r="B120" s="47" t="s">
        <v>119</v>
      </c>
      <c r="C120" s="47"/>
      <c r="D120" s="47"/>
      <c r="E120" s="49">
        <v>14830</v>
      </c>
      <c r="F120" s="52">
        <v>14634</v>
      </c>
      <c r="G120" s="118"/>
      <c r="H120" s="122">
        <v>15646</v>
      </c>
      <c r="I120" s="139"/>
      <c r="J120" s="231"/>
      <c r="K120" s="231"/>
      <c r="L120" s="231"/>
      <c r="M120" s="231"/>
      <c r="N120" s="231"/>
      <c r="O120" s="231"/>
      <c r="P120" s="231"/>
      <c r="Q120" s="231"/>
      <c r="R120" s="231"/>
      <c r="S120" s="231"/>
      <c r="T120" s="231"/>
      <c r="U120" s="231"/>
      <c r="V120" s="231"/>
      <c r="W120" s="231"/>
      <c r="X120" s="231"/>
      <c r="Y120" s="231"/>
      <c r="Z120" s="231"/>
      <c r="AA120" s="231"/>
      <c r="AB120" s="231"/>
      <c r="AC120" s="231"/>
      <c r="AD120" s="231"/>
      <c r="AE120" s="231"/>
      <c r="AF120" s="231"/>
      <c r="AG120" s="231"/>
      <c r="AH120" s="231"/>
      <c r="AI120" s="231"/>
      <c r="AJ120" s="231"/>
    </row>
    <row r="121" spans="1:36" s="203" customFormat="1">
      <c r="A121" s="120">
        <v>21</v>
      </c>
      <c r="B121" s="47" t="s">
        <v>120</v>
      </c>
      <c r="C121" s="47"/>
      <c r="D121" s="47"/>
      <c r="E121" s="49">
        <v>1199</v>
      </c>
      <c r="F121" s="52">
        <v>1138</v>
      </c>
      <c r="G121" s="118"/>
      <c r="H121" s="122">
        <v>1201</v>
      </c>
      <c r="I121" s="139"/>
      <c r="J121" s="231"/>
      <c r="K121" s="231"/>
      <c r="L121" s="231"/>
      <c r="M121" s="231"/>
      <c r="N121" s="231"/>
      <c r="O121" s="231"/>
      <c r="P121" s="231"/>
      <c r="Q121" s="231"/>
      <c r="R121" s="231"/>
      <c r="S121" s="231"/>
      <c r="T121" s="231"/>
      <c r="U121" s="231"/>
      <c r="V121" s="231"/>
      <c r="W121" s="231"/>
      <c r="X121" s="231"/>
      <c r="Y121" s="231"/>
      <c r="Z121" s="231"/>
      <c r="AA121" s="231"/>
      <c r="AB121" s="231"/>
      <c r="AC121" s="231"/>
      <c r="AD121" s="231"/>
      <c r="AE121" s="231"/>
      <c r="AF121" s="231"/>
      <c r="AG121" s="231"/>
      <c r="AH121" s="231"/>
      <c r="AI121" s="231"/>
      <c r="AJ121" s="231"/>
    </row>
    <row r="122" spans="1:36" s="203" customFormat="1">
      <c r="A122" s="120">
        <v>22</v>
      </c>
      <c r="B122" s="47" t="s">
        <v>125</v>
      </c>
      <c r="C122" s="47"/>
      <c r="D122" s="47"/>
      <c r="E122" s="49">
        <v>247</v>
      </c>
      <c r="F122" s="52">
        <v>291</v>
      </c>
      <c r="G122" s="118"/>
      <c r="H122" s="122">
        <v>305</v>
      </c>
      <c r="I122" s="139"/>
      <c r="J122" s="231"/>
      <c r="K122" s="231"/>
      <c r="L122" s="231"/>
      <c r="M122" s="231"/>
      <c r="N122" s="231"/>
      <c r="O122" s="231"/>
      <c r="P122" s="231"/>
      <c r="Q122" s="231"/>
      <c r="R122" s="231"/>
      <c r="S122" s="231"/>
      <c r="T122" s="231"/>
      <c r="U122" s="231"/>
      <c r="V122" s="231"/>
      <c r="W122" s="231"/>
      <c r="X122" s="231"/>
      <c r="Y122" s="231"/>
      <c r="Z122" s="231"/>
      <c r="AA122" s="231"/>
      <c r="AB122" s="231"/>
      <c r="AC122" s="231"/>
      <c r="AD122" s="231"/>
      <c r="AE122" s="231"/>
      <c r="AF122" s="231"/>
      <c r="AG122" s="231"/>
      <c r="AH122" s="231"/>
      <c r="AI122" s="231"/>
      <c r="AJ122" s="231"/>
    </row>
    <row r="123" spans="1:36" s="203" customFormat="1">
      <c r="A123" s="120">
        <v>23</v>
      </c>
      <c r="B123" s="90" t="s">
        <v>126</v>
      </c>
      <c r="C123" s="47"/>
      <c r="D123" s="47"/>
      <c r="E123" s="49">
        <v>264</v>
      </c>
      <c r="F123" s="52">
        <v>269</v>
      </c>
      <c r="G123" s="118"/>
      <c r="H123" s="99">
        <v>259</v>
      </c>
      <c r="I123" s="139"/>
      <c r="J123" s="231"/>
      <c r="K123" s="231"/>
      <c r="L123" s="231"/>
      <c r="M123" s="231"/>
      <c r="N123" s="231"/>
      <c r="O123" s="231"/>
      <c r="P123" s="231"/>
      <c r="Q123" s="231"/>
      <c r="R123" s="231"/>
      <c r="S123" s="231"/>
      <c r="T123" s="231"/>
      <c r="U123" s="231"/>
      <c r="V123" s="231"/>
      <c r="W123" s="231"/>
      <c r="X123" s="231"/>
      <c r="Y123" s="231"/>
      <c r="Z123" s="231"/>
      <c r="AA123" s="231"/>
      <c r="AB123" s="231"/>
      <c r="AC123" s="231"/>
      <c r="AD123" s="231"/>
      <c r="AE123" s="231"/>
      <c r="AF123" s="231"/>
      <c r="AG123" s="231"/>
      <c r="AH123" s="231"/>
      <c r="AI123" s="231"/>
      <c r="AJ123" s="231"/>
    </row>
    <row r="124" spans="1:36" s="203" customFormat="1">
      <c r="A124" s="120">
        <v>24</v>
      </c>
      <c r="B124" s="47" t="s">
        <v>121</v>
      </c>
      <c r="C124" s="47"/>
      <c r="D124" s="47"/>
      <c r="E124" s="49">
        <v>1042</v>
      </c>
      <c r="F124" s="52">
        <v>946</v>
      </c>
      <c r="G124" s="118"/>
      <c r="H124" s="100">
        <v>1186</v>
      </c>
      <c r="I124" s="139"/>
      <c r="J124" s="231"/>
      <c r="K124" s="231"/>
      <c r="L124" s="231"/>
      <c r="M124" s="231"/>
      <c r="N124" s="231"/>
      <c r="O124" s="231"/>
      <c r="P124" s="231"/>
      <c r="Q124" s="231"/>
      <c r="R124" s="231"/>
      <c r="S124" s="231"/>
      <c r="T124" s="231"/>
      <c r="U124" s="231"/>
      <c r="V124" s="231"/>
      <c r="W124" s="231"/>
      <c r="X124" s="231"/>
      <c r="Y124" s="231"/>
      <c r="Z124" s="231"/>
      <c r="AA124" s="231"/>
      <c r="AB124" s="231"/>
      <c r="AC124" s="231"/>
      <c r="AD124" s="231"/>
      <c r="AE124" s="231"/>
      <c r="AF124" s="231"/>
      <c r="AG124" s="231"/>
      <c r="AH124" s="231"/>
      <c r="AI124" s="231"/>
      <c r="AJ124" s="231"/>
    </row>
    <row r="125" spans="1:36" s="203" customFormat="1">
      <c r="A125" s="120">
        <v>25</v>
      </c>
      <c r="B125" s="147" t="s">
        <v>127</v>
      </c>
      <c r="C125" s="147"/>
      <c r="D125" s="147"/>
      <c r="E125" s="80">
        <v>27661</v>
      </c>
      <c r="F125" s="142">
        <f>SUM(F118:F124)</f>
        <v>27482</v>
      </c>
      <c r="G125" s="118"/>
      <c r="H125" s="142">
        <f>SUM(H118:H124)</f>
        <v>29410</v>
      </c>
      <c r="I125" s="139"/>
      <c r="J125" s="231"/>
      <c r="K125" s="231"/>
      <c r="L125" s="231"/>
      <c r="M125" s="231"/>
      <c r="N125" s="231"/>
      <c r="O125" s="231"/>
      <c r="P125" s="231"/>
      <c r="Q125" s="231"/>
      <c r="R125" s="231"/>
      <c r="S125" s="231"/>
      <c r="T125" s="231"/>
      <c r="U125" s="231"/>
      <c r="V125" s="231"/>
      <c r="W125" s="231"/>
      <c r="X125" s="231"/>
      <c r="Y125" s="231"/>
      <c r="Z125" s="231"/>
      <c r="AA125" s="231"/>
      <c r="AB125" s="231"/>
      <c r="AC125" s="231"/>
      <c r="AD125" s="231"/>
      <c r="AE125" s="231"/>
      <c r="AF125" s="231"/>
      <c r="AG125" s="231"/>
      <c r="AH125" s="231"/>
      <c r="AI125" s="231"/>
      <c r="AJ125" s="231"/>
    </row>
    <row r="126" spans="1:36" s="203" customFormat="1">
      <c r="A126" s="111"/>
      <c r="B126" s="47"/>
      <c r="C126" s="47"/>
      <c r="D126" s="47"/>
      <c r="E126" s="117"/>
      <c r="F126" s="118"/>
      <c r="G126" s="118"/>
      <c r="H126" s="118"/>
      <c r="I126" s="139"/>
      <c r="J126" s="231"/>
      <c r="K126" s="231"/>
      <c r="L126" s="231"/>
      <c r="M126" s="231"/>
      <c r="N126" s="231"/>
      <c r="O126" s="231"/>
      <c r="P126" s="231"/>
      <c r="Q126" s="231"/>
      <c r="R126" s="231"/>
      <c r="S126" s="231"/>
      <c r="T126" s="231"/>
      <c r="U126" s="231"/>
      <c r="V126" s="231"/>
      <c r="W126" s="231"/>
      <c r="X126" s="231"/>
      <c r="Y126" s="231"/>
      <c r="Z126" s="231"/>
      <c r="AA126" s="231"/>
      <c r="AB126" s="231"/>
      <c r="AC126" s="231"/>
      <c r="AD126" s="231"/>
      <c r="AE126" s="231"/>
      <c r="AF126" s="231"/>
      <c r="AG126" s="231"/>
      <c r="AH126" s="231"/>
      <c r="AI126" s="231"/>
      <c r="AJ126" s="231"/>
    </row>
    <row r="127" spans="1:36" s="203" customFormat="1">
      <c r="A127" s="119" t="s">
        <v>108</v>
      </c>
      <c r="B127" s="147"/>
      <c r="C127" s="147"/>
      <c r="D127" s="147"/>
      <c r="E127" s="140"/>
      <c r="F127" s="146"/>
      <c r="G127" s="118"/>
      <c r="H127" s="146"/>
      <c r="I127" s="139"/>
      <c r="J127" s="231"/>
      <c r="K127" s="231"/>
      <c r="L127" s="231"/>
      <c r="M127" s="231"/>
      <c r="N127" s="231"/>
      <c r="O127" s="231"/>
      <c r="P127" s="231"/>
      <c r="Q127" s="231"/>
      <c r="R127" s="231"/>
      <c r="S127" s="231"/>
      <c r="T127" s="231"/>
      <c r="U127" s="231"/>
      <c r="V127" s="231"/>
      <c r="W127" s="231"/>
      <c r="X127" s="231"/>
      <c r="Y127" s="231"/>
      <c r="Z127" s="231"/>
      <c r="AA127" s="231"/>
      <c r="AB127" s="231"/>
      <c r="AC127" s="231"/>
      <c r="AD127" s="231"/>
      <c r="AE127" s="231"/>
      <c r="AF127" s="231"/>
      <c r="AG127" s="231"/>
      <c r="AH127" s="231"/>
      <c r="AI127" s="231"/>
      <c r="AJ127" s="231"/>
    </row>
    <row r="128" spans="1:36" s="203" customFormat="1">
      <c r="A128" s="120">
        <v>26</v>
      </c>
      <c r="B128" s="47" t="s">
        <v>123</v>
      </c>
      <c r="C128" s="47"/>
      <c r="D128" s="47"/>
      <c r="E128" s="74">
        <v>394</v>
      </c>
      <c r="F128" s="52">
        <v>459</v>
      </c>
      <c r="G128" s="118"/>
      <c r="H128" s="122">
        <v>551</v>
      </c>
      <c r="I128" s="139"/>
      <c r="J128" s="231"/>
      <c r="K128" s="231"/>
      <c r="L128" s="231"/>
      <c r="M128" s="231"/>
      <c r="N128" s="231"/>
      <c r="O128" s="231"/>
      <c r="P128" s="231"/>
      <c r="Q128" s="231"/>
      <c r="R128" s="231"/>
      <c r="S128" s="231"/>
      <c r="T128" s="231"/>
      <c r="U128" s="231"/>
      <c r="V128" s="231"/>
      <c r="W128" s="231"/>
      <c r="X128" s="231"/>
      <c r="Y128" s="231"/>
      <c r="Z128" s="231"/>
      <c r="AA128" s="231"/>
      <c r="AB128" s="231"/>
      <c r="AC128" s="231"/>
      <c r="AD128" s="231"/>
      <c r="AE128" s="231"/>
      <c r="AF128" s="231"/>
      <c r="AG128" s="231"/>
      <c r="AH128" s="231"/>
      <c r="AI128" s="231"/>
      <c r="AJ128" s="231"/>
    </row>
    <row r="129" spans="1:36" s="203" customFormat="1">
      <c r="A129" s="120">
        <v>27</v>
      </c>
      <c r="B129" s="47" t="s">
        <v>124</v>
      </c>
      <c r="C129" s="47"/>
      <c r="D129" s="47"/>
      <c r="E129" s="49">
        <v>1495</v>
      </c>
      <c r="F129" s="52">
        <v>1542</v>
      </c>
      <c r="G129" s="118"/>
      <c r="H129" s="122">
        <v>1699</v>
      </c>
      <c r="I129" s="139"/>
      <c r="J129" s="231"/>
      <c r="K129" s="231"/>
      <c r="L129" s="231"/>
      <c r="M129" s="231"/>
      <c r="N129" s="231"/>
      <c r="O129" s="231"/>
      <c r="P129" s="231"/>
      <c r="Q129" s="231"/>
      <c r="R129" s="231"/>
      <c r="S129" s="231"/>
      <c r="T129" s="231"/>
      <c r="U129" s="231"/>
      <c r="V129" s="231"/>
      <c r="W129" s="231"/>
      <c r="X129" s="231"/>
      <c r="Y129" s="231"/>
      <c r="Z129" s="231"/>
      <c r="AA129" s="231"/>
      <c r="AB129" s="231"/>
      <c r="AC129" s="231"/>
      <c r="AD129" s="231"/>
      <c r="AE129" s="231"/>
      <c r="AF129" s="231"/>
      <c r="AG129" s="231"/>
      <c r="AH129" s="231"/>
      <c r="AI129" s="231"/>
      <c r="AJ129" s="231"/>
    </row>
    <row r="130" spans="1:36" s="203" customFormat="1">
      <c r="A130" s="120">
        <v>28</v>
      </c>
      <c r="B130" s="47" t="s">
        <v>119</v>
      </c>
      <c r="C130" s="47"/>
      <c r="D130" s="47"/>
      <c r="E130" s="49">
        <v>1454</v>
      </c>
      <c r="F130" s="52">
        <v>1256</v>
      </c>
      <c r="G130" s="118"/>
      <c r="H130" s="122">
        <v>1373</v>
      </c>
      <c r="I130" s="139"/>
      <c r="J130" s="231"/>
      <c r="K130" s="231"/>
      <c r="L130" s="231"/>
      <c r="M130" s="231"/>
      <c r="N130" s="231"/>
      <c r="O130" s="231"/>
      <c r="P130" s="231"/>
      <c r="Q130" s="231"/>
      <c r="R130" s="231"/>
      <c r="S130" s="231"/>
      <c r="T130" s="231"/>
      <c r="U130" s="231"/>
      <c r="V130" s="231"/>
      <c r="W130" s="231"/>
      <c r="X130" s="231"/>
      <c r="Y130" s="231"/>
      <c r="Z130" s="231"/>
      <c r="AA130" s="231"/>
      <c r="AB130" s="231"/>
      <c r="AC130" s="231"/>
      <c r="AD130" s="231"/>
      <c r="AE130" s="231"/>
      <c r="AF130" s="231"/>
      <c r="AG130" s="231"/>
      <c r="AH130" s="231"/>
      <c r="AI130" s="231"/>
      <c r="AJ130" s="231"/>
    </row>
    <row r="131" spans="1:36" s="203" customFormat="1">
      <c r="A131" s="120">
        <v>29</v>
      </c>
      <c r="B131" s="47" t="s">
        <v>120</v>
      </c>
      <c r="C131" s="47"/>
      <c r="D131" s="47"/>
      <c r="E131" s="49">
        <v>0</v>
      </c>
      <c r="F131" s="52">
        <v>0</v>
      </c>
      <c r="G131" s="118"/>
      <c r="H131" s="122">
        <v>0</v>
      </c>
      <c r="I131" s="139"/>
      <c r="J131" s="231"/>
      <c r="K131" s="231"/>
      <c r="L131" s="231"/>
      <c r="M131" s="231"/>
      <c r="N131" s="231"/>
      <c r="O131" s="231"/>
      <c r="P131" s="231"/>
      <c r="Q131" s="231"/>
      <c r="R131" s="231"/>
      <c r="S131" s="231"/>
      <c r="T131" s="231"/>
      <c r="U131" s="231"/>
      <c r="V131" s="231"/>
      <c r="W131" s="231"/>
      <c r="X131" s="231"/>
      <c r="Y131" s="231"/>
      <c r="Z131" s="231"/>
      <c r="AA131" s="231"/>
      <c r="AB131" s="231"/>
      <c r="AC131" s="231"/>
      <c r="AD131" s="231"/>
      <c r="AE131" s="231"/>
      <c r="AF131" s="231"/>
      <c r="AG131" s="231"/>
      <c r="AH131" s="231"/>
      <c r="AI131" s="231"/>
      <c r="AJ131" s="231"/>
    </row>
    <row r="132" spans="1:36" s="203" customFormat="1">
      <c r="A132" s="120">
        <v>30</v>
      </c>
      <c r="B132" s="47" t="s">
        <v>125</v>
      </c>
      <c r="C132" s="47"/>
      <c r="D132" s="47"/>
      <c r="E132" s="49">
        <v>318</v>
      </c>
      <c r="F132" s="52">
        <v>255</v>
      </c>
      <c r="G132" s="118"/>
      <c r="H132" s="122">
        <v>255</v>
      </c>
      <c r="I132" s="139"/>
      <c r="J132" s="231"/>
      <c r="K132" s="231"/>
      <c r="L132" s="231"/>
      <c r="M132" s="231"/>
      <c r="N132" s="231"/>
      <c r="O132" s="231"/>
      <c r="P132" s="231"/>
      <c r="Q132" s="231"/>
      <c r="R132" s="231"/>
      <c r="S132" s="231"/>
      <c r="T132" s="231"/>
      <c r="U132" s="231"/>
      <c r="V132" s="231"/>
      <c r="W132" s="231"/>
      <c r="X132" s="231"/>
      <c r="Y132" s="231"/>
      <c r="Z132" s="231"/>
      <c r="AA132" s="231"/>
      <c r="AB132" s="231"/>
      <c r="AC132" s="231"/>
      <c r="AD132" s="231"/>
      <c r="AE132" s="231"/>
      <c r="AF132" s="231"/>
      <c r="AG132" s="231"/>
      <c r="AH132" s="231"/>
      <c r="AI132" s="231"/>
      <c r="AJ132" s="231"/>
    </row>
    <row r="133" spans="1:36" s="203" customFormat="1">
      <c r="A133" s="120">
        <v>31</v>
      </c>
      <c r="B133" s="90" t="s">
        <v>126</v>
      </c>
      <c r="C133" s="47"/>
      <c r="D133" s="47"/>
      <c r="E133" s="49">
        <v>697</v>
      </c>
      <c r="F133" s="52">
        <v>730</v>
      </c>
      <c r="G133" s="118"/>
      <c r="H133" s="122">
        <v>703</v>
      </c>
      <c r="I133" s="139"/>
      <c r="J133" s="231"/>
      <c r="K133" s="231"/>
      <c r="L133" s="231"/>
      <c r="M133" s="231"/>
      <c r="N133" s="231"/>
      <c r="O133" s="231"/>
      <c r="P133" s="231"/>
      <c r="Q133" s="231"/>
      <c r="R133" s="231"/>
      <c r="S133" s="231"/>
      <c r="T133" s="231"/>
      <c r="U133" s="231"/>
      <c r="V133" s="231"/>
      <c r="W133" s="231"/>
      <c r="X133" s="231"/>
      <c r="Y133" s="231"/>
      <c r="Z133" s="231"/>
      <c r="AA133" s="231"/>
      <c r="AB133" s="231"/>
      <c r="AC133" s="231"/>
      <c r="AD133" s="231"/>
      <c r="AE133" s="231"/>
      <c r="AF133" s="231"/>
      <c r="AG133" s="231"/>
      <c r="AH133" s="231"/>
      <c r="AI133" s="231"/>
      <c r="AJ133" s="231"/>
    </row>
    <row r="134" spans="1:36" s="203" customFormat="1">
      <c r="A134" s="120">
        <v>32</v>
      </c>
      <c r="B134" s="47" t="s">
        <v>121</v>
      </c>
      <c r="C134" s="47"/>
      <c r="D134" s="47"/>
      <c r="E134" s="49">
        <v>722</v>
      </c>
      <c r="F134" s="52">
        <v>1121</v>
      </c>
      <c r="G134" s="118"/>
      <c r="H134" s="100">
        <v>1210</v>
      </c>
      <c r="I134" s="139"/>
      <c r="J134" s="231"/>
      <c r="K134" s="231"/>
      <c r="L134" s="231"/>
      <c r="M134" s="231"/>
      <c r="N134" s="231"/>
      <c r="O134" s="231"/>
      <c r="P134" s="231"/>
      <c r="Q134" s="231"/>
      <c r="R134" s="231"/>
      <c r="S134" s="231"/>
      <c r="T134" s="231"/>
      <c r="U134" s="231"/>
      <c r="V134" s="231"/>
      <c r="W134" s="231"/>
      <c r="X134" s="231"/>
      <c r="Y134" s="231"/>
      <c r="Z134" s="231"/>
      <c r="AA134" s="231"/>
      <c r="AB134" s="231"/>
      <c r="AC134" s="231"/>
      <c r="AD134" s="231"/>
      <c r="AE134" s="231"/>
      <c r="AF134" s="231"/>
      <c r="AG134" s="231"/>
      <c r="AH134" s="231"/>
      <c r="AI134" s="231"/>
      <c r="AJ134" s="231"/>
    </row>
    <row r="135" spans="1:36" s="203" customFormat="1">
      <c r="A135" s="120">
        <v>33</v>
      </c>
      <c r="B135" s="116" t="s">
        <v>128</v>
      </c>
      <c r="C135" s="116"/>
      <c r="D135" s="116"/>
      <c r="E135" s="80">
        <v>5080</v>
      </c>
      <c r="F135" s="142">
        <f>SUM(F128:F134)</f>
        <v>5363</v>
      </c>
      <c r="G135" s="118"/>
      <c r="H135" s="142">
        <f>SUM(H128:H134)</f>
        <v>5791</v>
      </c>
      <c r="I135" s="139"/>
      <c r="J135" s="231"/>
      <c r="K135" s="231"/>
      <c r="L135" s="231"/>
      <c r="M135" s="231"/>
      <c r="N135" s="231"/>
      <c r="O135" s="231"/>
      <c r="P135" s="231"/>
      <c r="Q135" s="231"/>
      <c r="R135" s="231"/>
      <c r="S135" s="231"/>
      <c r="T135" s="231"/>
      <c r="U135" s="231"/>
      <c r="V135" s="231"/>
      <c r="W135" s="231"/>
      <c r="X135" s="231"/>
      <c r="Y135" s="231"/>
      <c r="Z135" s="231"/>
      <c r="AA135" s="231"/>
      <c r="AB135" s="231"/>
      <c r="AC135" s="231"/>
      <c r="AD135" s="231"/>
      <c r="AE135" s="231"/>
      <c r="AF135" s="231"/>
      <c r="AG135" s="231"/>
      <c r="AH135" s="231"/>
      <c r="AI135" s="231"/>
      <c r="AJ135" s="231"/>
    </row>
    <row r="136" spans="1:36" s="203" customFormat="1">
      <c r="A136" s="111"/>
      <c r="B136" s="47"/>
      <c r="C136" s="47"/>
      <c r="D136" s="138"/>
      <c r="E136" s="117"/>
      <c r="F136" s="118"/>
      <c r="G136" s="118"/>
      <c r="H136" s="118"/>
      <c r="I136" s="139"/>
      <c r="J136" s="231"/>
      <c r="K136" s="231"/>
      <c r="L136" s="231"/>
      <c r="M136" s="231"/>
      <c r="N136" s="231"/>
      <c r="O136" s="231"/>
      <c r="P136" s="231"/>
      <c r="Q136" s="231"/>
      <c r="R136" s="231"/>
      <c r="S136" s="231"/>
      <c r="T136" s="231"/>
      <c r="U136" s="231"/>
      <c r="V136" s="231"/>
      <c r="W136" s="231"/>
      <c r="X136" s="231"/>
      <c r="Y136" s="231"/>
      <c r="Z136" s="231"/>
      <c r="AA136" s="231"/>
      <c r="AB136" s="231"/>
      <c r="AC136" s="231"/>
      <c r="AD136" s="231"/>
      <c r="AE136" s="231"/>
      <c r="AF136" s="231"/>
      <c r="AG136" s="231"/>
      <c r="AH136" s="231"/>
      <c r="AI136" s="231"/>
      <c r="AJ136" s="231"/>
    </row>
    <row r="137" spans="1:36" s="203" customFormat="1">
      <c r="A137" s="119" t="s">
        <v>109</v>
      </c>
      <c r="B137" s="116"/>
      <c r="C137" s="116"/>
      <c r="D137" s="116"/>
      <c r="E137" s="140"/>
      <c r="F137" s="146"/>
      <c r="G137" s="118"/>
      <c r="H137" s="146"/>
      <c r="I137" s="139"/>
      <c r="J137" s="231"/>
      <c r="K137" s="231"/>
      <c r="L137" s="231"/>
      <c r="M137" s="231"/>
      <c r="N137" s="231"/>
      <c r="O137" s="231"/>
      <c r="P137" s="231"/>
      <c r="Q137" s="231"/>
      <c r="R137" s="231"/>
      <c r="S137" s="231"/>
      <c r="T137" s="231"/>
      <c r="U137" s="231"/>
      <c r="V137" s="231"/>
      <c r="W137" s="231"/>
      <c r="X137" s="231"/>
      <c r="Y137" s="231"/>
      <c r="Z137" s="231"/>
      <c r="AA137" s="231"/>
      <c r="AB137" s="231"/>
      <c r="AC137" s="231"/>
      <c r="AD137" s="231"/>
      <c r="AE137" s="231"/>
      <c r="AF137" s="231"/>
      <c r="AG137" s="231"/>
      <c r="AH137" s="231"/>
      <c r="AI137" s="231"/>
      <c r="AJ137" s="231"/>
    </row>
    <row r="138" spans="1:36" s="203" customFormat="1">
      <c r="A138" s="120">
        <v>34</v>
      </c>
      <c r="B138" s="47" t="s">
        <v>123</v>
      </c>
      <c r="C138" s="47"/>
      <c r="D138" s="47"/>
      <c r="E138" s="49">
        <v>286</v>
      </c>
      <c r="F138" s="52">
        <v>227</v>
      </c>
      <c r="G138" s="118"/>
      <c r="H138" s="122">
        <v>223</v>
      </c>
      <c r="I138" s="139"/>
      <c r="J138" s="231"/>
      <c r="K138" s="231"/>
      <c r="L138" s="231"/>
      <c r="M138" s="231"/>
      <c r="N138" s="231"/>
      <c r="O138" s="231"/>
      <c r="P138" s="231"/>
      <c r="Q138" s="231"/>
      <c r="R138" s="231"/>
      <c r="S138" s="231"/>
      <c r="T138" s="231"/>
      <c r="U138" s="231"/>
      <c r="V138" s="231"/>
      <c r="W138" s="231"/>
      <c r="X138" s="231"/>
      <c r="Y138" s="231"/>
      <c r="Z138" s="231"/>
      <c r="AA138" s="231"/>
      <c r="AB138" s="231"/>
      <c r="AC138" s="231"/>
      <c r="AD138" s="231"/>
      <c r="AE138" s="231"/>
      <c r="AF138" s="231"/>
      <c r="AG138" s="231"/>
      <c r="AH138" s="231"/>
      <c r="AI138" s="231"/>
      <c r="AJ138" s="231"/>
    </row>
    <row r="139" spans="1:36" s="203" customFormat="1">
      <c r="A139" s="120">
        <v>35</v>
      </c>
      <c r="B139" s="47" t="s">
        <v>119</v>
      </c>
      <c r="C139" s="47"/>
      <c r="D139" s="47"/>
      <c r="E139" s="49">
        <v>4819</v>
      </c>
      <c r="F139" s="52">
        <v>5157</v>
      </c>
      <c r="G139" s="118"/>
      <c r="H139" s="122">
        <v>5385</v>
      </c>
      <c r="I139" s="139"/>
      <c r="J139" s="231"/>
      <c r="K139" s="231"/>
      <c r="L139" s="231"/>
      <c r="M139" s="231"/>
      <c r="N139" s="231"/>
      <c r="O139" s="231"/>
      <c r="P139" s="231"/>
      <c r="Q139" s="231"/>
      <c r="R139" s="231"/>
      <c r="S139" s="231"/>
      <c r="T139" s="231"/>
      <c r="U139" s="231"/>
      <c r="V139" s="231"/>
      <c r="W139" s="231"/>
      <c r="X139" s="231"/>
      <c r="Y139" s="231"/>
      <c r="Z139" s="231"/>
      <c r="AA139" s="231"/>
      <c r="AB139" s="231"/>
      <c r="AC139" s="231"/>
      <c r="AD139" s="231"/>
      <c r="AE139" s="231"/>
      <c r="AF139" s="231"/>
      <c r="AG139" s="231"/>
      <c r="AH139" s="231"/>
      <c r="AI139" s="231"/>
      <c r="AJ139" s="231"/>
    </row>
    <row r="140" spans="1:36" s="203" customFormat="1">
      <c r="A140" s="120">
        <v>36</v>
      </c>
      <c r="B140" s="47" t="s">
        <v>120</v>
      </c>
      <c r="C140" s="47"/>
      <c r="D140" s="47"/>
      <c r="E140" s="49">
        <v>2285</v>
      </c>
      <c r="F140" s="52">
        <v>2573</v>
      </c>
      <c r="G140" s="118"/>
      <c r="H140" s="122">
        <v>2717</v>
      </c>
      <c r="I140" s="139"/>
      <c r="J140" s="231"/>
      <c r="K140" s="231"/>
      <c r="L140" s="231"/>
      <c r="M140" s="231"/>
      <c r="N140" s="231"/>
      <c r="O140" s="231"/>
      <c r="P140" s="231"/>
      <c r="Q140" s="231"/>
      <c r="R140" s="231"/>
      <c r="S140" s="231"/>
      <c r="T140" s="231"/>
      <c r="U140" s="231"/>
      <c r="V140" s="231"/>
      <c r="W140" s="231"/>
      <c r="X140" s="231"/>
      <c r="Y140" s="231"/>
      <c r="Z140" s="231"/>
      <c r="AA140" s="231"/>
      <c r="AB140" s="231"/>
      <c r="AC140" s="231"/>
      <c r="AD140" s="231"/>
      <c r="AE140" s="231"/>
      <c r="AF140" s="231"/>
      <c r="AG140" s="231"/>
      <c r="AH140" s="231"/>
      <c r="AI140" s="231"/>
      <c r="AJ140" s="231"/>
    </row>
    <row r="141" spans="1:36" s="203" customFormat="1">
      <c r="A141" s="120">
        <v>37</v>
      </c>
      <c r="B141" s="90" t="s">
        <v>126</v>
      </c>
      <c r="C141" s="47"/>
      <c r="D141" s="47"/>
      <c r="E141" s="49">
        <v>585</v>
      </c>
      <c r="F141" s="52">
        <v>599</v>
      </c>
      <c r="G141" s="118"/>
      <c r="H141" s="99">
        <v>594</v>
      </c>
      <c r="I141" s="139"/>
      <c r="J141" s="231"/>
      <c r="K141" s="231"/>
      <c r="L141" s="231"/>
      <c r="M141" s="231"/>
      <c r="N141" s="231"/>
      <c r="O141" s="231"/>
      <c r="P141" s="231"/>
      <c r="Q141" s="231"/>
      <c r="R141" s="231"/>
      <c r="S141" s="231"/>
      <c r="T141" s="231"/>
      <c r="U141" s="231"/>
      <c r="V141" s="231"/>
      <c r="W141" s="231"/>
      <c r="X141" s="231"/>
      <c r="Y141" s="231"/>
      <c r="Z141" s="231"/>
      <c r="AA141" s="231"/>
      <c r="AB141" s="231"/>
      <c r="AC141" s="231"/>
      <c r="AD141" s="231"/>
      <c r="AE141" s="231"/>
      <c r="AF141" s="231"/>
      <c r="AG141" s="231"/>
      <c r="AH141" s="231"/>
      <c r="AI141" s="231"/>
      <c r="AJ141" s="231"/>
    </row>
    <row r="142" spans="1:36" s="203" customFormat="1">
      <c r="A142" s="120">
        <v>38</v>
      </c>
      <c r="B142" s="47" t="s">
        <v>121</v>
      </c>
      <c r="C142" s="47"/>
      <c r="D142" s="47"/>
      <c r="E142" s="49">
        <v>878</v>
      </c>
      <c r="F142" s="52">
        <v>960</v>
      </c>
      <c r="G142" s="118"/>
      <c r="H142" s="100">
        <v>1115</v>
      </c>
      <c r="I142" s="139"/>
      <c r="J142" s="231"/>
      <c r="K142" s="231"/>
      <c r="L142" s="231"/>
      <c r="M142" s="231"/>
      <c r="N142" s="231"/>
      <c r="O142" s="231"/>
      <c r="P142" s="231"/>
      <c r="Q142" s="231"/>
      <c r="R142" s="231"/>
      <c r="S142" s="231"/>
      <c r="T142" s="231"/>
      <c r="U142" s="231"/>
      <c r="V142" s="231"/>
      <c r="W142" s="231"/>
      <c r="X142" s="231"/>
      <c r="Y142" s="231"/>
      <c r="Z142" s="231"/>
      <c r="AA142" s="231"/>
      <c r="AB142" s="231"/>
      <c r="AC142" s="231"/>
      <c r="AD142" s="231"/>
      <c r="AE142" s="231"/>
      <c r="AF142" s="231"/>
      <c r="AG142" s="231"/>
      <c r="AH142" s="231"/>
      <c r="AI142" s="231"/>
      <c r="AJ142" s="231"/>
    </row>
    <row r="143" spans="1:36" s="203" customFormat="1">
      <c r="A143" s="120">
        <v>39</v>
      </c>
      <c r="B143" s="116" t="s">
        <v>129</v>
      </c>
      <c r="C143" s="116"/>
      <c r="D143" s="116"/>
      <c r="E143" s="80">
        <v>8853</v>
      </c>
      <c r="F143" s="142">
        <f>SUM(F138:F142)</f>
        <v>9516</v>
      </c>
      <c r="G143" s="118"/>
      <c r="H143" s="142">
        <f>SUM(H138:H142)</f>
        <v>10034</v>
      </c>
      <c r="I143" s="139"/>
      <c r="J143" s="231"/>
      <c r="K143" s="231"/>
      <c r="L143" s="231"/>
      <c r="M143" s="231"/>
      <c r="N143" s="231"/>
      <c r="O143" s="231"/>
      <c r="P143" s="231"/>
      <c r="Q143" s="231"/>
      <c r="R143" s="231"/>
      <c r="S143" s="231"/>
      <c r="T143" s="231"/>
      <c r="U143" s="231"/>
      <c r="V143" s="231"/>
      <c r="W143" s="231"/>
      <c r="X143" s="231"/>
      <c r="Y143" s="231"/>
      <c r="Z143" s="231"/>
      <c r="AA143" s="231"/>
      <c r="AB143" s="231"/>
      <c r="AC143" s="231"/>
      <c r="AD143" s="231"/>
      <c r="AE143" s="231"/>
      <c r="AF143" s="231"/>
      <c r="AG143" s="231"/>
      <c r="AH143" s="231"/>
      <c r="AI143" s="231"/>
      <c r="AJ143" s="231"/>
    </row>
    <row r="144" spans="1:36" s="203" customFormat="1">
      <c r="A144" s="111"/>
      <c r="B144" s="47"/>
      <c r="C144" s="47"/>
      <c r="D144" s="47"/>
      <c r="E144" s="117"/>
      <c r="F144" s="118"/>
      <c r="G144" s="118"/>
      <c r="H144" s="118"/>
      <c r="I144" s="139"/>
      <c r="J144" s="231"/>
      <c r="K144" s="231"/>
      <c r="L144" s="231"/>
      <c r="M144" s="231"/>
      <c r="N144" s="231"/>
      <c r="O144" s="231"/>
      <c r="P144" s="231"/>
      <c r="Q144" s="231"/>
      <c r="R144" s="231"/>
      <c r="S144" s="231"/>
      <c r="T144" s="231"/>
      <c r="U144" s="231"/>
      <c r="V144" s="231"/>
      <c r="W144" s="231"/>
      <c r="X144" s="231"/>
      <c r="Y144" s="231"/>
      <c r="Z144" s="231"/>
      <c r="AA144" s="231"/>
      <c r="AB144" s="231"/>
      <c r="AC144" s="231"/>
      <c r="AD144" s="231"/>
      <c r="AE144" s="231"/>
      <c r="AF144" s="231"/>
      <c r="AG144" s="231"/>
      <c r="AH144" s="231"/>
      <c r="AI144" s="231"/>
      <c r="AJ144" s="231"/>
    </row>
    <row r="145" spans="1:36" s="203" customFormat="1">
      <c r="A145" s="119" t="s">
        <v>110</v>
      </c>
      <c r="B145" s="116"/>
      <c r="C145" s="116"/>
      <c r="D145" s="116"/>
      <c r="E145" s="140"/>
      <c r="F145" s="146"/>
      <c r="G145" s="118"/>
      <c r="H145" s="146"/>
      <c r="I145" s="139"/>
      <c r="J145" s="231"/>
      <c r="K145" s="231"/>
      <c r="L145" s="231"/>
      <c r="M145" s="231"/>
      <c r="N145" s="231"/>
      <c r="O145" s="231"/>
      <c r="P145" s="231"/>
      <c r="Q145" s="231"/>
      <c r="R145" s="231"/>
      <c r="S145" s="231"/>
      <c r="T145" s="231"/>
      <c r="U145" s="231"/>
      <c r="V145" s="231"/>
      <c r="W145" s="231"/>
      <c r="X145" s="231"/>
      <c r="Y145" s="231"/>
      <c r="Z145" s="231"/>
      <c r="AA145" s="231"/>
      <c r="AB145" s="231"/>
      <c r="AC145" s="231"/>
      <c r="AD145" s="231"/>
      <c r="AE145" s="231"/>
      <c r="AF145" s="231"/>
      <c r="AG145" s="231"/>
      <c r="AH145" s="231"/>
      <c r="AI145" s="231"/>
      <c r="AJ145" s="231"/>
    </row>
    <row r="146" spans="1:36" s="203" customFormat="1">
      <c r="A146" s="120">
        <v>40</v>
      </c>
      <c r="B146" s="47" t="s">
        <v>123</v>
      </c>
      <c r="C146" s="47"/>
      <c r="D146" s="47"/>
      <c r="E146" s="49">
        <v>824</v>
      </c>
      <c r="F146" s="52">
        <v>963</v>
      </c>
      <c r="G146" s="118"/>
      <c r="H146" s="122">
        <v>1061</v>
      </c>
      <c r="I146" s="139"/>
      <c r="J146" s="231"/>
      <c r="K146" s="231"/>
      <c r="L146" s="231"/>
      <c r="M146" s="231"/>
      <c r="N146" s="231"/>
      <c r="O146" s="231"/>
      <c r="P146" s="231"/>
      <c r="Q146" s="231"/>
      <c r="R146" s="231"/>
      <c r="S146" s="231"/>
      <c r="T146" s="231"/>
      <c r="U146" s="231"/>
      <c r="V146" s="231"/>
      <c r="W146" s="231"/>
      <c r="X146" s="231"/>
      <c r="Y146" s="231"/>
      <c r="Z146" s="231"/>
      <c r="AA146" s="231"/>
      <c r="AB146" s="231"/>
      <c r="AC146" s="231"/>
      <c r="AD146" s="231"/>
      <c r="AE146" s="231"/>
      <c r="AF146" s="231"/>
      <c r="AG146" s="231"/>
      <c r="AH146" s="231"/>
      <c r="AI146" s="231"/>
      <c r="AJ146" s="231"/>
    </row>
    <row r="147" spans="1:36" s="203" customFormat="1">
      <c r="A147" s="120">
        <v>41</v>
      </c>
      <c r="B147" s="47" t="s">
        <v>119</v>
      </c>
      <c r="C147" s="47"/>
      <c r="D147" s="47"/>
      <c r="E147" s="49">
        <v>80</v>
      </c>
      <c r="F147" s="52">
        <v>205</v>
      </c>
      <c r="G147" s="118"/>
      <c r="H147" s="122">
        <v>226</v>
      </c>
      <c r="I147" s="139"/>
      <c r="J147" s="231"/>
      <c r="K147" s="231"/>
      <c r="L147" s="231"/>
      <c r="M147" s="231"/>
      <c r="N147" s="231"/>
      <c r="O147" s="231"/>
      <c r="P147" s="231"/>
      <c r="Q147" s="231"/>
      <c r="R147" s="231"/>
      <c r="S147" s="231"/>
      <c r="T147" s="231"/>
      <c r="U147" s="231"/>
      <c r="V147" s="231"/>
      <c r="W147" s="231"/>
      <c r="X147" s="231"/>
      <c r="Y147" s="231"/>
      <c r="Z147" s="231"/>
      <c r="AA147" s="231"/>
      <c r="AB147" s="231"/>
      <c r="AC147" s="231"/>
      <c r="AD147" s="231"/>
      <c r="AE147" s="231"/>
      <c r="AF147" s="231"/>
      <c r="AG147" s="231"/>
      <c r="AH147" s="231"/>
      <c r="AI147" s="231"/>
      <c r="AJ147" s="231"/>
    </row>
    <row r="148" spans="1:36" s="203" customFormat="1">
      <c r="A148" s="120">
        <v>42</v>
      </c>
      <c r="B148" s="47" t="s">
        <v>120</v>
      </c>
      <c r="C148" s="47"/>
      <c r="D148" s="47"/>
      <c r="E148" s="49">
        <v>191</v>
      </c>
      <c r="F148" s="52">
        <v>0</v>
      </c>
      <c r="G148" s="118"/>
      <c r="H148" s="122">
        <v>0</v>
      </c>
      <c r="I148" s="139"/>
      <c r="J148" s="231"/>
      <c r="K148" s="231"/>
      <c r="L148" s="231"/>
      <c r="M148" s="231"/>
      <c r="N148" s="231"/>
      <c r="O148" s="231"/>
      <c r="P148" s="231"/>
      <c r="Q148" s="231"/>
      <c r="R148" s="231"/>
      <c r="S148" s="231"/>
      <c r="T148" s="231"/>
      <c r="U148" s="231"/>
      <c r="V148" s="231"/>
      <c r="W148" s="231"/>
      <c r="X148" s="231"/>
      <c r="Y148" s="231"/>
      <c r="Z148" s="231"/>
      <c r="AA148" s="231"/>
      <c r="AB148" s="231"/>
      <c r="AC148" s="231"/>
      <c r="AD148" s="231"/>
      <c r="AE148" s="231"/>
      <c r="AF148" s="231"/>
      <c r="AG148" s="231"/>
      <c r="AH148" s="231"/>
      <c r="AI148" s="231"/>
      <c r="AJ148" s="231"/>
    </row>
    <row r="149" spans="1:36" s="203" customFormat="1">
      <c r="A149" s="120">
        <v>43</v>
      </c>
      <c r="B149" s="47" t="s">
        <v>121</v>
      </c>
      <c r="C149" s="47"/>
      <c r="D149" s="47"/>
      <c r="E149" s="49">
        <v>946</v>
      </c>
      <c r="F149" s="52">
        <v>954</v>
      </c>
      <c r="G149" s="118"/>
      <c r="H149" s="100">
        <v>1023</v>
      </c>
      <c r="I149" s="139"/>
      <c r="J149" s="231"/>
      <c r="K149" s="231"/>
      <c r="L149" s="231"/>
      <c r="M149" s="231"/>
      <c r="N149" s="231"/>
      <c r="O149" s="231"/>
      <c r="P149" s="231"/>
      <c r="Q149" s="231"/>
      <c r="R149" s="231"/>
      <c r="S149" s="231"/>
      <c r="T149" s="231"/>
      <c r="U149" s="231"/>
      <c r="V149" s="231"/>
      <c r="W149" s="231"/>
      <c r="X149" s="231"/>
      <c r="Y149" s="231"/>
      <c r="Z149" s="231"/>
      <c r="AA149" s="231"/>
      <c r="AB149" s="231"/>
      <c r="AC149" s="231"/>
      <c r="AD149" s="231"/>
      <c r="AE149" s="231"/>
      <c r="AF149" s="231"/>
      <c r="AG149" s="231"/>
      <c r="AH149" s="231"/>
      <c r="AI149" s="231"/>
      <c r="AJ149" s="231"/>
    </row>
    <row r="150" spans="1:36" s="203" customFormat="1">
      <c r="A150" s="124">
        <v>44</v>
      </c>
      <c r="B150" s="94" t="s">
        <v>130</v>
      </c>
      <c r="C150" s="94"/>
      <c r="D150" s="94"/>
      <c r="E150" s="80">
        <v>2041</v>
      </c>
      <c r="F150" s="142">
        <f>SUM(F146:F149)</f>
        <v>2122</v>
      </c>
      <c r="G150" s="259"/>
      <c r="H150" s="142">
        <f>SUM(H146:H149)</f>
        <v>2310</v>
      </c>
      <c r="I150" s="139"/>
      <c r="J150" s="231"/>
      <c r="K150" s="231"/>
      <c r="L150" s="231"/>
      <c r="M150" s="231"/>
      <c r="N150" s="231"/>
      <c r="O150" s="231"/>
      <c r="P150" s="231"/>
      <c r="Q150" s="231"/>
      <c r="R150" s="231"/>
      <c r="S150" s="231"/>
      <c r="T150" s="231"/>
      <c r="U150" s="231"/>
      <c r="V150" s="231"/>
      <c r="W150" s="231"/>
      <c r="X150" s="231"/>
      <c r="Y150" s="231"/>
      <c r="Z150" s="231"/>
      <c r="AA150" s="231"/>
      <c r="AB150" s="231"/>
      <c r="AC150" s="231"/>
      <c r="AD150" s="231"/>
      <c r="AE150" s="231"/>
      <c r="AF150" s="231"/>
      <c r="AG150" s="231"/>
      <c r="AH150" s="231"/>
      <c r="AI150" s="231"/>
      <c r="AJ150" s="231"/>
    </row>
    <row r="151" spans="1:36" s="203" customFormat="1">
      <c r="A151" s="148"/>
      <c r="B151" s="129"/>
      <c r="C151" s="129"/>
      <c r="D151" s="149"/>
      <c r="E151" s="150"/>
      <c r="F151" s="29"/>
      <c r="G151" s="29"/>
      <c r="H151" s="207"/>
      <c r="I151" s="29"/>
      <c r="J151" s="231"/>
      <c r="K151" s="231"/>
      <c r="L151" s="231"/>
      <c r="M151" s="231"/>
      <c r="N151" s="231"/>
      <c r="O151" s="231"/>
      <c r="P151" s="231"/>
      <c r="Q151" s="231"/>
      <c r="R151" s="231"/>
      <c r="S151" s="231"/>
      <c r="T151" s="231"/>
      <c r="U151" s="231"/>
      <c r="V151" s="231"/>
      <c r="W151" s="231"/>
      <c r="X151" s="231"/>
      <c r="Y151" s="231"/>
      <c r="Z151" s="231"/>
      <c r="AA151" s="231"/>
      <c r="AB151" s="231"/>
      <c r="AC151" s="231"/>
      <c r="AD151" s="231"/>
      <c r="AE151" s="231"/>
      <c r="AF151" s="231"/>
      <c r="AG151" s="231"/>
      <c r="AH151" s="231"/>
      <c r="AI151" s="231"/>
      <c r="AJ151" s="231"/>
    </row>
    <row r="152" spans="1:36" s="203" customFormat="1">
      <c r="A152" s="148"/>
      <c r="B152" s="129"/>
      <c r="C152" s="129"/>
      <c r="D152" s="151"/>
      <c r="E152" s="152"/>
      <c r="F152" s="29"/>
      <c r="G152" s="29"/>
      <c r="H152" s="131" t="s">
        <v>27</v>
      </c>
      <c r="I152" s="29"/>
      <c r="J152" s="231"/>
      <c r="K152" s="231"/>
      <c r="L152" s="231"/>
      <c r="M152" s="231"/>
      <c r="N152" s="231"/>
      <c r="O152" s="231"/>
      <c r="P152" s="231"/>
      <c r="Q152" s="231"/>
      <c r="R152" s="231"/>
      <c r="S152" s="231"/>
      <c r="T152" s="231"/>
      <c r="U152" s="231"/>
      <c r="V152" s="231"/>
      <c r="W152" s="231"/>
      <c r="X152" s="231"/>
      <c r="Y152" s="231"/>
      <c r="Z152" s="231"/>
      <c r="AA152" s="231"/>
      <c r="AB152" s="231"/>
      <c r="AC152" s="231"/>
      <c r="AD152" s="231"/>
      <c r="AE152" s="231"/>
      <c r="AF152" s="231"/>
      <c r="AG152" s="231"/>
      <c r="AH152" s="231"/>
      <c r="AI152" s="231"/>
      <c r="AJ152" s="231"/>
    </row>
    <row r="153" spans="1:36" s="203" customFormat="1">
      <c r="A153" s="106" t="s">
        <v>20</v>
      </c>
      <c r="B153" s="107"/>
      <c r="C153" s="107"/>
      <c r="D153" s="107"/>
      <c r="E153" s="856" t="s">
        <v>377</v>
      </c>
      <c r="F153" s="856" t="s">
        <v>402</v>
      </c>
      <c r="G153" s="130"/>
      <c r="H153" s="856" t="s">
        <v>403</v>
      </c>
      <c r="I153" s="130"/>
      <c r="J153" s="231"/>
      <c r="K153" s="231"/>
      <c r="L153" s="231"/>
      <c r="M153" s="231"/>
      <c r="N153" s="231"/>
      <c r="O153" s="231"/>
      <c r="P153" s="231"/>
      <c r="Q153" s="231"/>
      <c r="R153" s="231"/>
      <c r="S153" s="231"/>
      <c r="T153" s="231"/>
      <c r="U153" s="231"/>
      <c r="V153" s="231"/>
      <c r="W153" s="231"/>
      <c r="X153" s="231"/>
      <c r="Y153" s="231"/>
      <c r="Z153" s="231"/>
      <c r="AA153" s="231"/>
      <c r="AB153" s="231"/>
      <c r="AC153" s="231"/>
      <c r="AD153" s="231"/>
      <c r="AE153" s="231"/>
      <c r="AF153" s="231"/>
      <c r="AG153" s="231"/>
      <c r="AH153" s="231"/>
      <c r="AI153" s="231"/>
      <c r="AJ153" s="231"/>
    </row>
    <row r="154" spans="1:36" s="203" customFormat="1">
      <c r="A154" s="153"/>
      <c r="B154" s="132"/>
      <c r="C154" s="132"/>
      <c r="D154" s="132"/>
      <c r="E154" s="859"/>
      <c r="F154" s="859"/>
      <c r="G154" s="130"/>
      <c r="H154" s="859"/>
      <c r="I154" s="130"/>
      <c r="J154" s="231"/>
      <c r="K154" s="231"/>
      <c r="L154" s="231"/>
      <c r="M154" s="231"/>
      <c r="N154" s="231"/>
      <c r="O154" s="231"/>
      <c r="P154" s="231"/>
      <c r="Q154" s="231"/>
      <c r="R154" s="231"/>
      <c r="S154" s="231"/>
      <c r="T154" s="231"/>
      <c r="U154" s="231"/>
      <c r="V154" s="231"/>
      <c r="W154" s="231"/>
      <c r="X154" s="231"/>
      <c r="Y154" s="231"/>
      <c r="Z154" s="231"/>
      <c r="AA154" s="231"/>
      <c r="AB154" s="231"/>
      <c r="AC154" s="231"/>
      <c r="AD154" s="231"/>
      <c r="AE154" s="231"/>
      <c r="AF154" s="231"/>
      <c r="AG154" s="231"/>
      <c r="AH154" s="231"/>
      <c r="AI154" s="231"/>
      <c r="AJ154" s="231"/>
    </row>
    <row r="155" spans="1:36" s="203" customFormat="1">
      <c r="A155" s="154" t="s">
        <v>131</v>
      </c>
      <c r="B155" s="116"/>
      <c r="C155" s="116"/>
      <c r="D155" s="116"/>
      <c r="E155" s="859"/>
      <c r="F155" s="859"/>
      <c r="G155" s="130"/>
      <c r="H155" s="859"/>
      <c r="I155" s="130"/>
      <c r="J155" s="231"/>
      <c r="K155" s="231"/>
      <c r="L155" s="231"/>
      <c r="M155" s="231"/>
      <c r="N155" s="231"/>
      <c r="O155" s="231"/>
      <c r="P155" s="231"/>
      <c r="Q155" s="231"/>
      <c r="R155" s="231"/>
      <c r="S155" s="231"/>
      <c r="T155" s="231"/>
      <c r="U155" s="231"/>
      <c r="V155" s="231"/>
      <c r="W155" s="231"/>
      <c r="X155" s="231"/>
      <c r="Y155" s="231"/>
      <c r="Z155" s="231"/>
      <c r="AA155" s="231"/>
      <c r="AB155" s="231"/>
      <c r="AC155" s="231"/>
      <c r="AD155" s="231"/>
      <c r="AE155" s="231"/>
      <c r="AF155" s="231"/>
      <c r="AG155" s="231"/>
      <c r="AH155" s="231"/>
      <c r="AI155" s="231"/>
      <c r="AJ155" s="231"/>
    </row>
    <row r="156" spans="1:36" s="203" customFormat="1" ht="12.75" customHeight="1">
      <c r="A156" s="109" t="s">
        <v>83</v>
      </c>
      <c r="B156" s="47"/>
      <c r="C156" s="47"/>
      <c r="D156" s="47"/>
      <c r="E156" s="859"/>
      <c r="F156" s="859"/>
      <c r="G156" s="130"/>
      <c r="H156" s="859"/>
      <c r="I156" s="130"/>
      <c r="J156" s="231"/>
      <c r="K156" s="231"/>
      <c r="L156" s="231"/>
      <c r="M156" s="231"/>
      <c r="N156" s="231"/>
      <c r="O156" s="231"/>
      <c r="P156" s="231"/>
      <c r="Q156" s="231"/>
      <c r="R156" s="231"/>
      <c r="S156" s="231"/>
      <c r="T156" s="231"/>
      <c r="U156" s="231"/>
      <c r="V156" s="231"/>
      <c r="W156" s="231"/>
      <c r="X156" s="231"/>
      <c r="Y156" s="231"/>
      <c r="Z156" s="231"/>
      <c r="AA156" s="231"/>
      <c r="AB156" s="231"/>
      <c r="AC156" s="231"/>
      <c r="AD156" s="231"/>
      <c r="AE156" s="231"/>
      <c r="AF156" s="231"/>
      <c r="AG156" s="231"/>
      <c r="AH156" s="231"/>
      <c r="AI156" s="231"/>
      <c r="AJ156" s="231"/>
    </row>
    <row r="157" spans="1:36" s="203" customFormat="1">
      <c r="A157" s="110" t="s">
        <v>84</v>
      </c>
      <c r="B157" s="132"/>
      <c r="C157" s="132"/>
      <c r="D157" s="132"/>
      <c r="E157" s="860"/>
      <c r="F157" s="860"/>
      <c r="G157" s="130"/>
      <c r="H157" s="860"/>
      <c r="I157" s="130"/>
      <c r="J157" s="231"/>
      <c r="K157" s="231"/>
      <c r="L157" s="231"/>
      <c r="M157" s="231"/>
      <c r="N157" s="231"/>
      <c r="O157" s="231"/>
      <c r="P157" s="231"/>
      <c r="Q157" s="231"/>
      <c r="R157" s="231"/>
      <c r="S157" s="231"/>
      <c r="T157" s="231"/>
      <c r="U157" s="231"/>
      <c r="V157" s="231"/>
      <c r="W157" s="231"/>
      <c r="X157" s="231"/>
      <c r="Y157" s="231"/>
      <c r="Z157" s="231"/>
      <c r="AA157" s="231"/>
      <c r="AB157" s="231"/>
      <c r="AC157" s="231"/>
      <c r="AD157" s="231"/>
      <c r="AE157" s="231"/>
      <c r="AF157" s="231"/>
      <c r="AG157" s="231"/>
      <c r="AH157" s="231"/>
      <c r="AI157" s="231"/>
      <c r="AJ157" s="231"/>
    </row>
    <row r="158" spans="1:36" s="203" customFormat="1">
      <c r="A158" s="119" t="s">
        <v>132</v>
      </c>
      <c r="B158" s="47"/>
      <c r="C158" s="47"/>
      <c r="D158" s="47"/>
      <c r="E158" s="155"/>
      <c r="F158" s="146" t="s">
        <v>133</v>
      </c>
      <c r="G158" s="118"/>
      <c r="H158" s="146"/>
      <c r="I158" s="29"/>
      <c r="J158" s="231"/>
      <c r="K158" s="231"/>
      <c r="L158" s="231"/>
      <c r="M158" s="231"/>
      <c r="N158" s="231"/>
      <c r="O158" s="231"/>
      <c r="P158" s="231"/>
      <c r="Q158" s="231"/>
      <c r="R158" s="231"/>
      <c r="S158" s="231"/>
      <c r="T158" s="231"/>
      <c r="U158" s="231"/>
      <c r="V158" s="231"/>
      <c r="W158" s="231"/>
      <c r="X158" s="231"/>
      <c r="Y158" s="231"/>
      <c r="Z158" s="231"/>
      <c r="AA158" s="231"/>
      <c r="AB158" s="231"/>
      <c r="AC158" s="231"/>
      <c r="AD158" s="231"/>
      <c r="AE158" s="231"/>
      <c r="AF158" s="231"/>
      <c r="AG158" s="231"/>
      <c r="AH158" s="231"/>
      <c r="AI158" s="231"/>
      <c r="AJ158" s="231"/>
    </row>
    <row r="159" spans="1:36" s="203" customFormat="1">
      <c r="A159" s="120">
        <v>1</v>
      </c>
      <c r="B159" s="47" t="s">
        <v>134</v>
      </c>
      <c r="C159" s="47"/>
      <c r="D159" s="47"/>
      <c r="E159" s="74">
        <v>0</v>
      </c>
      <c r="F159" s="52">
        <v>0</v>
      </c>
      <c r="G159" s="118"/>
      <c r="H159" s="122">
        <v>0</v>
      </c>
      <c r="I159" s="29"/>
      <c r="J159" s="231"/>
      <c r="K159" s="231"/>
      <c r="L159" s="231"/>
      <c r="M159" s="231"/>
      <c r="N159" s="231"/>
      <c r="O159" s="231"/>
      <c r="P159" s="231"/>
      <c r="Q159" s="231"/>
      <c r="R159" s="231"/>
      <c r="S159" s="231"/>
      <c r="T159" s="231"/>
      <c r="U159" s="231"/>
      <c r="V159" s="231"/>
      <c r="W159" s="231"/>
      <c r="X159" s="231"/>
      <c r="Y159" s="231"/>
      <c r="Z159" s="231"/>
      <c r="AA159" s="231"/>
      <c r="AB159" s="231"/>
      <c r="AC159" s="231"/>
      <c r="AD159" s="231"/>
      <c r="AE159" s="231"/>
      <c r="AF159" s="231"/>
      <c r="AG159" s="231"/>
      <c r="AH159" s="231"/>
      <c r="AI159" s="231"/>
      <c r="AJ159" s="231"/>
    </row>
    <row r="160" spans="1:36" s="203" customFormat="1">
      <c r="A160" s="120">
        <v>2</v>
      </c>
      <c r="B160" s="47" t="s">
        <v>135</v>
      </c>
      <c r="C160" s="47"/>
      <c r="D160" s="47"/>
      <c r="E160" s="49">
        <v>350</v>
      </c>
      <c r="F160" s="52">
        <v>350</v>
      </c>
      <c r="G160" s="118"/>
      <c r="H160" s="122">
        <v>350</v>
      </c>
      <c r="I160" s="29"/>
      <c r="J160" s="231"/>
      <c r="K160" s="231"/>
      <c r="L160" s="231"/>
      <c r="M160" s="231"/>
      <c r="N160" s="231"/>
      <c r="O160" s="231"/>
      <c r="P160" s="231"/>
      <c r="Q160" s="231"/>
      <c r="R160" s="231"/>
      <c r="S160" s="231"/>
      <c r="T160" s="231"/>
      <c r="U160" s="231"/>
      <c r="V160" s="231"/>
      <c r="W160" s="231"/>
      <c r="X160" s="231"/>
      <c r="Y160" s="231"/>
      <c r="Z160" s="231"/>
      <c r="AA160" s="231"/>
      <c r="AB160" s="231"/>
      <c r="AC160" s="231"/>
      <c r="AD160" s="231"/>
      <c r="AE160" s="231"/>
      <c r="AF160" s="231"/>
      <c r="AG160" s="231"/>
      <c r="AH160" s="231"/>
      <c r="AI160" s="231"/>
      <c r="AJ160" s="231"/>
    </row>
    <row r="161" spans="1:36" s="203" customFormat="1">
      <c r="A161" s="120">
        <v>3</v>
      </c>
      <c r="B161" s="47" t="s">
        <v>136</v>
      </c>
      <c r="C161" s="47"/>
      <c r="D161" s="47"/>
      <c r="E161" s="114">
        <v>2495</v>
      </c>
      <c r="F161" s="52">
        <v>2343</v>
      </c>
      <c r="G161" s="118"/>
      <c r="H161" s="122">
        <v>2241</v>
      </c>
      <c r="I161" s="29"/>
      <c r="J161" s="231"/>
      <c r="K161" s="231"/>
      <c r="L161" s="231"/>
      <c r="M161" s="231"/>
      <c r="N161" s="231"/>
      <c r="O161" s="231"/>
      <c r="P161" s="231"/>
      <c r="Q161" s="231"/>
      <c r="R161" s="231"/>
      <c r="S161" s="231"/>
      <c r="T161" s="231"/>
      <c r="U161" s="231"/>
      <c r="V161" s="231"/>
      <c r="W161" s="231"/>
      <c r="X161" s="231"/>
      <c r="Y161" s="231"/>
      <c r="Z161" s="231"/>
      <c r="AA161" s="231"/>
      <c r="AB161" s="231"/>
      <c r="AC161" s="231"/>
      <c r="AD161" s="231"/>
      <c r="AE161" s="231"/>
      <c r="AF161" s="231"/>
      <c r="AG161" s="231"/>
      <c r="AH161" s="231"/>
      <c r="AI161" s="231"/>
      <c r="AJ161" s="231"/>
    </row>
    <row r="162" spans="1:36" s="203" customFormat="1">
      <c r="A162" s="120">
        <v>4</v>
      </c>
      <c r="B162" s="47" t="s">
        <v>137</v>
      </c>
      <c r="C162" s="47"/>
      <c r="D162" s="47"/>
      <c r="E162" s="114">
        <v>713</v>
      </c>
      <c r="F162" s="52">
        <v>808</v>
      </c>
      <c r="G162" s="118"/>
      <c r="H162" s="100">
        <v>870</v>
      </c>
      <c r="I162" s="29"/>
      <c r="J162" s="231"/>
      <c r="K162" s="231"/>
      <c r="L162" s="231"/>
      <c r="M162" s="231"/>
      <c r="N162" s="231"/>
      <c r="O162" s="231"/>
      <c r="P162" s="231"/>
      <c r="Q162" s="231"/>
      <c r="R162" s="231"/>
      <c r="S162" s="231"/>
      <c r="T162" s="231"/>
      <c r="U162" s="231"/>
      <c r="V162" s="231"/>
      <c r="W162" s="231"/>
      <c r="X162" s="231"/>
      <c r="Y162" s="231"/>
      <c r="Z162" s="231"/>
      <c r="AA162" s="231"/>
      <c r="AB162" s="231"/>
      <c r="AC162" s="231"/>
      <c r="AD162" s="231"/>
      <c r="AE162" s="231"/>
      <c r="AF162" s="231"/>
      <c r="AG162" s="231"/>
      <c r="AH162" s="231"/>
      <c r="AI162" s="231"/>
      <c r="AJ162" s="231"/>
    </row>
    <row r="163" spans="1:36" s="203" customFormat="1">
      <c r="A163" s="120">
        <v>5</v>
      </c>
      <c r="B163" s="116" t="s">
        <v>138</v>
      </c>
      <c r="C163" s="116"/>
      <c r="D163" s="116"/>
      <c r="E163" s="80">
        <v>3558</v>
      </c>
      <c r="F163" s="142">
        <f>SUM(F159:F162)</f>
        <v>3501</v>
      </c>
      <c r="G163" s="118"/>
      <c r="H163" s="142">
        <f>SUM(H159:H162)</f>
        <v>3461</v>
      </c>
      <c r="I163" s="29"/>
      <c r="J163" s="231"/>
      <c r="K163" s="231"/>
      <c r="L163" s="231"/>
      <c r="M163" s="231"/>
      <c r="N163" s="231"/>
      <c r="O163" s="231"/>
      <c r="P163" s="231"/>
      <c r="Q163" s="231"/>
      <c r="R163" s="231"/>
      <c r="S163" s="231"/>
      <c r="T163" s="231"/>
      <c r="U163" s="231"/>
      <c r="V163" s="231"/>
      <c r="W163" s="231"/>
      <c r="X163" s="231"/>
      <c r="Y163" s="231"/>
      <c r="Z163" s="231"/>
      <c r="AA163" s="231"/>
      <c r="AB163" s="231"/>
      <c r="AC163" s="231"/>
      <c r="AD163" s="231"/>
      <c r="AE163" s="231"/>
      <c r="AF163" s="231"/>
      <c r="AG163" s="231"/>
      <c r="AH163" s="231"/>
      <c r="AI163" s="231"/>
      <c r="AJ163" s="231"/>
    </row>
    <row r="164" spans="1:36" s="203" customFormat="1">
      <c r="A164" s="46"/>
      <c r="B164" s="132"/>
      <c r="C164" s="132"/>
      <c r="D164" s="132"/>
      <c r="E164" s="156"/>
      <c r="F164" s="139"/>
      <c r="G164" s="139"/>
      <c r="H164" s="139"/>
      <c r="I164" s="29"/>
      <c r="J164" s="231"/>
      <c r="K164" s="231"/>
      <c r="L164" s="231"/>
      <c r="M164" s="231"/>
      <c r="N164" s="231"/>
      <c r="O164" s="231"/>
      <c r="P164" s="231"/>
      <c r="Q164" s="231"/>
      <c r="R164" s="231"/>
      <c r="S164" s="231"/>
      <c r="T164" s="231"/>
      <c r="U164" s="231"/>
      <c r="V164" s="231"/>
      <c r="W164" s="231"/>
      <c r="X164" s="231"/>
      <c r="Y164" s="231"/>
      <c r="Z164" s="231"/>
      <c r="AA164" s="231"/>
      <c r="AB164" s="231"/>
      <c r="AC164" s="231"/>
      <c r="AD164" s="231"/>
      <c r="AE164" s="231"/>
      <c r="AF164" s="231"/>
      <c r="AG164" s="231"/>
      <c r="AH164" s="231"/>
      <c r="AI164" s="231"/>
      <c r="AJ164" s="231"/>
    </row>
    <row r="165" spans="1:36" s="203" customFormat="1">
      <c r="A165" s="119" t="s">
        <v>139</v>
      </c>
      <c r="B165" s="47"/>
      <c r="C165" s="47"/>
      <c r="D165" s="47"/>
      <c r="E165" s="140"/>
      <c r="F165" s="146"/>
      <c r="G165" s="118"/>
      <c r="H165" s="146"/>
      <c r="I165" s="29"/>
      <c r="J165" s="231"/>
      <c r="K165" s="231"/>
      <c r="L165" s="231"/>
      <c r="M165" s="231"/>
      <c r="N165" s="231"/>
      <c r="O165" s="231"/>
      <c r="P165" s="231"/>
      <c r="Q165" s="231"/>
      <c r="R165" s="231"/>
      <c r="S165" s="231"/>
      <c r="T165" s="231"/>
      <c r="U165" s="231"/>
      <c r="V165" s="231"/>
      <c r="W165" s="231"/>
      <c r="X165" s="231"/>
      <c r="Y165" s="231"/>
      <c r="Z165" s="231"/>
      <c r="AA165" s="231"/>
      <c r="AB165" s="231"/>
      <c r="AC165" s="231"/>
      <c r="AD165" s="231"/>
      <c r="AE165" s="231"/>
      <c r="AF165" s="231"/>
      <c r="AG165" s="231"/>
      <c r="AH165" s="231"/>
      <c r="AI165" s="231"/>
      <c r="AJ165" s="231"/>
    </row>
    <row r="166" spans="1:36" s="203" customFormat="1">
      <c r="A166" s="120">
        <v>6</v>
      </c>
      <c r="B166" s="47" t="s">
        <v>140</v>
      </c>
      <c r="C166" s="47"/>
      <c r="D166" s="47"/>
      <c r="E166" s="74">
        <v>187</v>
      </c>
      <c r="F166" s="52">
        <v>172</v>
      </c>
      <c r="G166" s="118"/>
      <c r="H166" s="122">
        <v>189</v>
      </c>
      <c r="I166" s="29"/>
      <c r="J166" s="231"/>
      <c r="K166" s="231"/>
      <c r="L166" s="231"/>
      <c r="M166" s="231"/>
      <c r="N166" s="231"/>
      <c r="O166" s="231"/>
      <c r="P166" s="231"/>
      <c r="Q166" s="231"/>
      <c r="R166" s="231"/>
      <c r="S166" s="231"/>
      <c r="T166" s="231"/>
      <c r="U166" s="231"/>
      <c r="V166" s="231"/>
      <c r="W166" s="231"/>
      <c r="X166" s="231"/>
      <c r="Y166" s="231"/>
      <c r="Z166" s="231"/>
      <c r="AA166" s="231"/>
      <c r="AB166" s="231"/>
      <c r="AC166" s="231"/>
      <c r="AD166" s="231"/>
      <c r="AE166" s="231"/>
      <c r="AF166" s="231"/>
      <c r="AG166" s="231"/>
      <c r="AH166" s="231"/>
      <c r="AI166" s="231"/>
      <c r="AJ166" s="231"/>
    </row>
    <row r="167" spans="1:36" s="203" customFormat="1">
      <c r="A167" s="120">
        <v>7</v>
      </c>
      <c r="B167" s="47" t="s">
        <v>141</v>
      </c>
      <c r="C167" s="47"/>
      <c r="D167" s="47"/>
      <c r="E167" s="49">
        <v>142</v>
      </c>
      <c r="F167" s="52">
        <v>105</v>
      </c>
      <c r="G167" s="118"/>
      <c r="H167" s="122">
        <v>147</v>
      </c>
      <c r="I167" s="29"/>
      <c r="J167" s="231"/>
      <c r="K167" s="231"/>
      <c r="L167" s="231"/>
      <c r="M167" s="231"/>
      <c r="N167" s="231"/>
      <c r="O167" s="231"/>
      <c r="P167" s="231"/>
      <c r="Q167" s="231"/>
      <c r="R167" s="231"/>
      <c r="S167" s="231"/>
      <c r="T167" s="231"/>
      <c r="U167" s="231"/>
      <c r="V167" s="231"/>
      <c r="W167" s="231"/>
      <c r="X167" s="231"/>
      <c r="Y167" s="231"/>
      <c r="Z167" s="231"/>
      <c r="AA167" s="231"/>
      <c r="AB167" s="231"/>
      <c r="AC167" s="231"/>
      <c r="AD167" s="231"/>
      <c r="AE167" s="231"/>
      <c r="AF167" s="231"/>
      <c r="AG167" s="231"/>
      <c r="AH167" s="231"/>
      <c r="AI167" s="231"/>
      <c r="AJ167" s="231"/>
    </row>
    <row r="168" spans="1:36" s="203" customFormat="1">
      <c r="A168" s="120">
        <v>8</v>
      </c>
      <c r="B168" s="47" t="s">
        <v>121</v>
      </c>
      <c r="C168" s="47"/>
      <c r="D168" s="47"/>
      <c r="E168" s="49">
        <v>0</v>
      </c>
      <c r="F168" s="52">
        <v>0</v>
      </c>
      <c r="G168" s="118"/>
      <c r="H168" s="100">
        <v>0</v>
      </c>
      <c r="I168" s="29"/>
      <c r="J168" s="231"/>
      <c r="K168" s="231"/>
      <c r="L168" s="231"/>
      <c r="M168" s="231"/>
      <c r="N168" s="231"/>
      <c r="O168" s="231"/>
      <c r="P168" s="231"/>
      <c r="Q168" s="231"/>
      <c r="R168" s="231"/>
      <c r="S168" s="231"/>
      <c r="T168" s="231"/>
      <c r="U168" s="231"/>
      <c r="V168" s="231"/>
      <c r="W168" s="231"/>
      <c r="X168" s="231"/>
      <c r="Y168" s="231"/>
      <c r="Z168" s="231"/>
      <c r="AA168" s="231"/>
      <c r="AB168" s="231"/>
      <c r="AC168" s="231"/>
      <c r="AD168" s="231"/>
      <c r="AE168" s="231"/>
      <c r="AF168" s="231"/>
      <c r="AG168" s="231"/>
      <c r="AH168" s="231"/>
      <c r="AI168" s="231"/>
      <c r="AJ168" s="231"/>
    </row>
    <row r="169" spans="1:36" s="203" customFormat="1">
      <c r="A169" s="120">
        <v>9</v>
      </c>
      <c r="B169" s="116" t="s">
        <v>142</v>
      </c>
      <c r="C169" s="116"/>
      <c r="D169" s="116"/>
      <c r="E169" s="80">
        <v>329</v>
      </c>
      <c r="F169" s="142">
        <f>SUM(F166:F168)</f>
        <v>277</v>
      </c>
      <c r="G169" s="118"/>
      <c r="H169" s="142">
        <f>SUM(H166:H168)</f>
        <v>336</v>
      </c>
      <c r="I169" s="29"/>
      <c r="J169" s="231"/>
      <c r="K169" s="231"/>
      <c r="L169" s="231"/>
      <c r="M169" s="231"/>
      <c r="N169" s="231"/>
      <c r="O169" s="231"/>
      <c r="P169" s="231"/>
      <c r="Q169" s="231"/>
      <c r="R169" s="231"/>
      <c r="S169" s="231"/>
      <c r="T169" s="231"/>
      <c r="U169" s="231"/>
      <c r="V169" s="231"/>
      <c r="W169" s="231"/>
      <c r="X169" s="231"/>
      <c r="Y169" s="231"/>
      <c r="Z169" s="231"/>
      <c r="AA169" s="231"/>
      <c r="AB169" s="231"/>
      <c r="AC169" s="231"/>
      <c r="AD169" s="231"/>
      <c r="AE169" s="231"/>
      <c r="AF169" s="231"/>
      <c r="AG169" s="231"/>
      <c r="AH169" s="231"/>
      <c r="AI169" s="231"/>
      <c r="AJ169" s="231"/>
    </row>
    <row r="170" spans="1:36" s="203" customFormat="1">
      <c r="A170" s="46"/>
      <c r="B170" s="132"/>
      <c r="C170" s="132"/>
      <c r="D170" s="132"/>
      <c r="E170" s="156"/>
      <c r="F170" s="139"/>
      <c r="G170" s="139"/>
      <c r="H170" s="139"/>
      <c r="I170" s="29"/>
      <c r="J170" s="231"/>
      <c r="K170" s="231"/>
      <c r="L170" s="231"/>
      <c r="M170" s="231"/>
      <c r="N170" s="231"/>
      <c r="O170" s="231"/>
      <c r="P170" s="231"/>
      <c r="Q170" s="231"/>
      <c r="R170" s="231"/>
      <c r="S170" s="231"/>
      <c r="T170" s="231"/>
      <c r="U170" s="231"/>
      <c r="V170" s="231"/>
      <c r="W170" s="231"/>
      <c r="X170" s="231"/>
      <c r="Y170" s="231"/>
      <c r="Z170" s="231"/>
      <c r="AA170" s="231"/>
      <c r="AB170" s="231"/>
      <c r="AC170" s="231"/>
      <c r="AD170" s="231"/>
      <c r="AE170" s="231"/>
      <c r="AF170" s="231"/>
      <c r="AG170" s="231"/>
      <c r="AH170" s="231"/>
      <c r="AI170" s="231"/>
      <c r="AJ170" s="231"/>
    </row>
    <row r="171" spans="1:36" s="203" customFormat="1">
      <c r="A171" s="120">
        <v>10</v>
      </c>
      <c r="B171" s="47" t="s">
        <v>143</v>
      </c>
      <c r="C171" s="47"/>
      <c r="D171" s="47"/>
      <c r="E171" s="41">
        <v>94</v>
      </c>
      <c r="F171" s="121">
        <v>101</v>
      </c>
      <c r="G171" s="118"/>
      <c r="H171" s="133">
        <v>101</v>
      </c>
      <c r="I171" s="29"/>
      <c r="J171" s="231"/>
      <c r="K171" s="231"/>
      <c r="L171" s="231"/>
      <c r="M171" s="231"/>
      <c r="N171" s="231"/>
      <c r="O171" s="231"/>
      <c r="P171" s="231"/>
      <c r="Q171" s="231"/>
      <c r="R171" s="231"/>
      <c r="S171" s="231"/>
      <c r="T171" s="231"/>
      <c r="U171" s="231"/>
      <c r="V171" s="231"/>
      <c r="W171" s="231"/>
      <c r="X171" s="231"/>
      <c r="Y171" s="231"/>
      <c r="Z171" s="231"/>
      <c r="AA171" s="231"/>
      <c r="AB171" s="231"/>
      <c r="AC171" s="231"/>
      <c r="AD171" s="231"/>
      <c r="AE171" s="231"/>
      <c r="AF171" s="231"/>
      <c r="AG171" s="231"/>
      <c r="AH171" s="231"/>
      <c r="AI171" s="231"/>
      <c r="AJ171" s="231"/>
    </row>
    <row r="172" spans="1:36" s="203" customFormat="1">
      <c r="A172" s="120">
        <v>11</v>
      </c>
      <c r="B172" s="47" t="s">
        <v>144</v>
      </c>
      <c r="C172" s="47"/>
      <c r="D172" s="47"/>
      <c r="E172" s="56">
        <v>0</v>
      </c>
      <c r="F172" s="126">
        <v>0</v>
      </c>
      <c r="G172" s="118"/>
      <c r="H172" s="100">
        <v>0</v>
      </c>
      <c r="I172" s="29"/>
      <c r="J172" s="231"/>
      <c r="K172" s="231"/>
      <c r="L172" s="231"/>
      <c r="M172" s="231"/>
      <c r="N172" s="231"/>
      <c r="O172" s="231"/>
      <c r="P172" s="231"/>
      <c r="Q172" s="231"/>
      <c r="R172" s="231"/>
      <c r="S172" s="231"/>
      <c r="T172" s="231"/>
      <c r="U172" s="231"/>
      <c r="V172" s="231"/>
      <c r="W172" s="231"/>
      <c r="X172" s="231"/>
      <c r="Y172" s="231"/>
      <c r="Z172" s="231"/>
      <c r="AA172" s="231"/>
      <c r="AB172" s="231"/>
      <c r="AC172" s="231"/>
      <c r="AD172" s="231"/>
      <c r="AE172" s="231"/>
      <c r="AF172" s="231"/>
      <c r="AG172" s="231"/>
      <c r="AH172" s="231"/>
      <c r="AI172" s="231"/>
      <c r="AJ172" s="231"/>
    </row>
    <row r="173" spans="1:36" s="203" customFormat="1">
      <c r="A173" s="46"/>
      <c r="B173" s="132"/>
      <c r="C173" s="132"/>
      <c r="D173" s="132"/>
      <c r="E173" s="156"/>
      <c r="F173" s="139"/>
      <c r="G173" s="139"/>
      <c r="H173" s="139"/>
      <c r="I173" s="29"/>
      <c r="J173" s="231"/>
      <c r="K173" s="231"/>
      <c r="L173" s="231"/>
      <c r="M173" s="231"/>
      <c r="N173" s="231"/>
      <c r="O173" s="231"/>
      <c r="P173" s="231"/>
      <c r="Q173" s="231"/>
      <c r="R173" s="231"/>
      <c r="S173" s="231"/>
      <c r="T173" s="231"/>
      <c r="U173" s="231"/>
      <c r="V173" s="231"/>
      <c r="W173" s="231"/>
      <c r="X173" s="231"/>
      <c r="Y173" s="231"/>
      <c r="Z173" s="231"/>
      <c r="AA173" s="231"/>
      <c r="AB173" s="231"/>
      <c r="AC173" s="231"/>
      <c r="AD173" s="231"/>
      <c r="AE173" s="231"/>
      <c r="AF173" s="231"/>
      <c r="AG173" s="231"/>
      <c r="AH173" s="231"/>
      <c r="AI173" s="231"/>
      <c r="AJ173" s="231"/>
    </row>
    <row r="174" spans="1:36" s="203" customFormat="1">
      <c r="A174" s="119" t="s">
        <v>145</v>
      </c>
      <c r="B174" s="47"/>
      <c r="C174" s="47"/>
      <c r="D174" s="47"/>
      <c r="E174" s="157"/>
      <c r="F174" s="146"/>
      <c r="G174" s="118"/>
      <c r="H174" s="146"/>
      <c r="I174" s="29"/>
      <c r="J174" s="231"/>
      <c r="K174" s="231"/>
      <c r="L174" s="231"/>
      <c r="M174" s="231"/>
      <c r="N174" s="231"/>
      <c r="O174" s="231"/>
      <c r="P174" s="231"/>
      <c r="Q174" s="231"/>
      <c r="R174" s="231"/>
      <c r="S174" s="231"/>
      <c r="T174" s="231"/>
      <c r="U174" s="231"/>
      <c r="V174" s="231"/>
      <c r="W174" s="231"/>
      <c r="X174" s="231"/>
      <c r="Y174" s="231"/>
      <c r="Z174" s="231"/>
      <c r="AA174" s="231"/>
      <c r="AB174" s="231"/>
      <c r="AC174" s="231"/>
      <c r="AD174" s="231"/>
      <c r="AE174" s="231"/>
      <c r="AF174" s="231"/>
      <c r="AG174" s="231"/>
      <c r="AH174" s="231"/>
      <c r="AI174" s="231"/>
      <c r="AJ174" s="231"/>
    </row>
    <row r="175" spans="1:36" s="203" customFormat="1">
      <c r="A175" s="120">
        <v>12</v>
      </c>
      <c r="B175" s="47" t="s">
        <v>146</v>
      </c>
      <c r="C175" s="47"/>
      <c r="D175" s="47"/>
      <c r="E175" s="74">
        <v>171</v>
      </c>
      <c r="F175" s="52">
        <v>171</v>
      </c>
      <c r="G175" s="118"/>
      <c r="H175" s="122">
        <v>171</v>
      </c>
      <c r="I175" s="29"/>
      <c r="J175" s="231"/>
      <c r="K175" s="231"/>
      <c r="L175" s="231"/>
      <c r="M175" s="231"/>
      <c r="N175" s="231"/>
      <c r="O175" s="231"/>
      <c r="P175" s="231"/>
      <c r="Q175" s="231"/>
      <c r="R175" s="231"/>
      <c r="S175" s="231"/>
      <c r="T175" s="231"/>
      <c r="U175" s="231"/>
      <c r="V175" s="231"/>
      <c r="W175" s="231"/>
      <c r="X175" s="231"/>
      <c r="Y175" s="231"/>
      <c r="Z175" s="231"/>
      <c r="AA175" s="231"/>
      <c r="AB175" s="231"/>
      <c r="AC175" s="231"/>
      <c r="AD175" s="231"/>
      <c r="AE175" s="231"/>
      <c r="AF175" s="231"/>
      <c r="AG175" s="231"/>
      <c r="AH175" s="231"/>
      <c r="AI175" s="231"/>
      <c r="AJ175" s="231"/>
    </row>
    <row r="176" spans="1:36" s="203" customFormat="1">
      <c r="A176" s="120">
        <v>13</v>
      </c>
      <c r="B176" s="47" t="s">
        <v>147</v>
      </c>
      <c r="C176" s="47"/>
      <c r="D176" s="47"/>
      <c r="E176" s="49">
        <v>1397</v>
      </c>
      <c r="F176" s="52">
        <v>1432</v>
      </c>
      <c r="G176" s="118"/>
      <c r="H176" s="122">
        <v>1297</v>
      </c>
      <c r="I176" s="29"/>
      <c r="J176" s="231"/>
      <c r="K176" s="231"/>
      <c r="L176" s="231"/>
      <c r="M176" s="231"/>
      <c r="N176" s="231"/>
      <c r="O176" s="231"/>
      <c r="P176" s="231"/>
      <c r="Q176" s="231"/>
      <c r="R176" s="231"/>
      <c r="S176" s="231"/>
      <c r="T176" s="231"/>
      <c r="U176" s="231"/>
      <c r="V176" s="231"/>
      <c r="W176" s="231"/>
      <c r="X176" s="231"/>
      <c r="Y176" s="231"/>
      <c r="Z176" s="231"/>
      <c r="AA176" s="231"/>
      <c r="AB176" s="231"/>
      <c r="AC176" s="231"/>
      <c r="AD176" s="231"/>
      <c r="AE176" s="231"/>
      <c r="AF176" s="231"/>
      <c r="AG176" s="231"/>
      <c r="AH176" s="231"/>
      <c r="AI176" s="231"/>
      <c r="AJ176" s="231"/>
    </row>
    <row r="177" spans="1:36" s="203" customFormat="1">
      <c r="A177" s="120">
        <v>14</v>
      </c>
      <c r="B177" s="47" t="s">
        <v>148</v>
      </c>
      <c r="C177" s="47"/>
      <c r="D177" s="47"/>
      <c r="E177" s="56">
        <v>180</v>
      </c>
      <c r="F177" s="52">
        <v>145</v>
      </c>
      <c r="G177" s="118"/>
      <c r="H177" s="100">
        <v>124</v>
      </c>
      <c r="I177" s="29"/>
      <c r="J177" s="231"/>
      <c r="K177" s="231"/>
      <c r="L177" s="231"/>
      <c r="M177" s="231"/>
      <c r="N177" s="231"/>
      <c r="O177" s="231"/>
      <c r="P177" s="231"/>
      <c r="Q177" s="231"/>
      <c r="R177" s="231"/>
      <c r="S177" s="231"/>
      <c r="T177" s="231"/>
      <c r="U177" s="231"/>
      <c r="V177" s="231"/>
      <c r="W177" s="231"/>
      <c r="X177" s="231"/>
      <c r="Y177" s="231"/>
      <c r="Z177" s="231"/>
      <c r="AA177" s="231"/>
      <c r="AB177" s="231"/>
      <c r="AC177" s="231"/>
      <c r="AD177" s="231"/>
      <c r="AE177" s="231"/>
      <c r="AF177" s="231"/>
      <c r="AG177" s="231"/>
      <c r="AH177" s="231"/>
      <c r="AI177" s="231"/>
      <c r="AJ177" s="231"/>
    </row>
    <row r="178" spans="1:36" s="203" customFormat="1">
      <c r="A178" s="120">
        <v>15</v>
      </c>
      <c r="B178" s="116" t="s">
        <v>149</v>
      </c>
      <c r="C178" s="116"/>
      <c r="D178" s="116"/>
      <c r="E178" s="80">
        <v>1748</v>
      </c>
      <c r="F178" s="142">
        <f>SUM(F175:F177)</f>
        <v>1748</v>
      </c>
      <c r="G178" s="118"/>
      <c r="H178" s="142">
        <f>SUM(H175:H177)</f>
        <v>1592</v>
      </c>
      <c r="I178" s="29"/>
      <c r="J178" s="231"/>
      <c r="K178" s="231"/>
      <c r="L178" s="231"/>
      <c r="M178" s="231"/>
      <c r="N178" s="231"/>
      <c r="O178" s="231"/>
      <c r="P178" s="231"/>
      <c r="Q178" s="231"/>
      <c r="R178" s="231"/>
      <c r="S178" s="231"/>
      <c r="T178" s="231"/>
      <c r="U178" s="231"/>
      <c r="V178" s="231"/>
      <c r="W178" s="231"/>
      <c r="X178" s="231"/>
      <c r="Y178" s="231"/>
      <c r="Z178" s="231"/>
      <c r="AA178" s="231"/>
      <c r="AB178" s="231"/>
      <c r="AC178" s="231"/>
      <c r="AD178" s="231"/>
      <c r="AE178" s="231"/>
      <c r="AF178" s="231"/>
      <c r="AG178" s="231"/>
      <c r="AH178" s="231"/>
      <c r="AI178" s="231"/>
      <c r="AJ178" s="231"/>
    </row>
    <row r="179" spans="1:36" s="203" customFormat="1">
      <c r="A179" s="120">
        <v>16</v>
      </c>
      <c r="B179" s="116" t="s">
        <v>150</v>
      </c>
      <c r="C179" s="116"/>
      <c r="D179" s="116"/>
      <c r="E179" s="80">
        <v>1748</v>
      </c>
      <c r="F179" s="158">
        <f>F172+F178</f>
        <v>1748</v>
      </c>
      <c r="G179" s="118"/>
      <c r="H179" s="158">
        <f>H172+H178</f>
        <v>1592</v>
      </c>
      <c r="I179" s="29"/>
      <c r="J179" s="231"/>
      <c r="K179" s="231"/>
      <c r="L179" s="231"/>
      <c r="M179" s="231"/>
      <c r="N179" s="231"/>
      <c r="O179" s="231"/>
      <c r="P179" s="231"/>
      <c r="Q179" s="231"/>
      <c r="R179" s="231"/>
      <c r="S179" s="231"/>
      <c r="T179" s="231"/>
      <c r="U179" s="231"/>
      <c r="V179" s="231"/>
      <c r="W179" s="231"/>
      <c r="X179" s="231"/>
      <c r="Y179" s="231"/>
      <c r="Z179" s="231"/>
      <c r="AA179" s="231"/>
      <c r="AB179" s="231"/>
      <c r="AC179" s="231"/>
      <c r="AD179" s="231"/>
      <c r="AE179" s="231"/>
      <c r="AF179" s="231"/>
      <c r="AG179" s="231"/>
      <c r="AH179" s="231"/>
      <c r="AI179" s="231"/>
      <c r="AJ179" s="231"/>
    </row>
    <row r="180" spans="1:36" s="203" customFormat="1">
      <c r="A180" s="120">
        <v>17</v>
      </c>
      <c r="B180" s="116" t="s">
        <v>151</v>
      </c>
      <c r="C180" s="116"/>
      <c r="D180" s="116"/>
      <c r="E180" s="159">
        <v>5729</v>
      </c>
      <c r="F180" s="61">
        <f>SUM(F163+F169+F171+F179)</f>
        <v>5627</v>
      </c>
      <c r="G180" s="118"/>
      <c r="H180" s="61">
        <f>SUM(H163+H169+H171+H179)</f>
        <v>5490</v>
      </c>
      <c r="I180" s="29"/>
      <c r="J180" s="231"/>
      <c r="K180" s="231"/>
      <c r="L180" s="231"/>
      <c r="M180" s="231"/>
      <c r="N180" s="231"/>
      <c r="O180" s="231"/>
      <c r="P180" s="231"/>
      <c r="Q180" s="231"/>
      <c r="R180" s="231"/>
      <c r="S180" s="231"/>
      <c r="T180" s="231"/>
      <c r="U180" s="231"/>
      <c r="V180" s="231"/>
      <c r="W180" s="231"/>
      <c r="X180" s="231"/>
      <c r="Y180" s="231"/>
      <c r="Z180" s="231"/>
      <c r="AA180" s="231"/>
      <c r="AB180" s="231"/>
      <c r="AC180" s="231"/>
      <c r="AD180" s="231"/>
      <c r="AE180" s="231"/>
      <c r="AF180" s="231"/>
      <c r="AG180" s="231"/>
      <c r="AH180" s="231"/>
      <c r="AI180" s="231"/>
      <c r="AJ180" s="231"/>
    </row>
    <row r="181" spans="1:36" s="203" customFormat="1">
      <c r="A181" s="46"/>
      <c r="B181" s="132"/>
      <c r="C181" s="132"/>
      <c r="D181" s="132"/>
      <c r="E181" s="156"/>
      <c r="F181" s="139"/>
      <c r="G181" s="139"/>
      <c r="H181" s="139"/>
      <c r="I181" s="29"/>
      <c r="J181" s="231"/>
      <c r="K181" s="231"/>
      <c r="L181" s="231"/>
      <c r="M181" s="231"/>
      <c r="N181" s="231"/>
      <c r="O181" s="231"/>
      <c r="P181" s="231"/>
      <c r="Q181" s="231"/>
      <c r="R181" s="231"/>
      <c r="S181" s="231"/>
      <c r="T181" s="231"/>
      <c r="U181" s="231"/>
      <c r="V181" s="231"/>
      <c r="W181" s="231"/>
      <c r="X181" s="231"/>
      <c r="Y181" s="231"/>
      <c r="Z181" s="231"/>
      <c r="AA181" s="231"/>
      <c r="AB181" s="231"/>
      <c r="AC181" s="231"/>
      <c r="AD181" s="231"/>
      <c r="AE181" s="231"/>
      <c r="AF181" s="231"/>
      <c r="AG181" s="231"/>
      <c r="AH181" s="231"/>
      <c r="AI181" s="231"/>
      <c r="AJ181" s="231"/>
    </row>
    <row r="182" spans="1:36" s="203" customFormat="1">
      <c r="A182" s="119" t="s">
        <v>152</v>
      </c>
      <c r="B182" s="47"/>
      <c r="C182" s="47"/>
      <c r="D182" s="116"/>
      <c r="E182" s="117"/>
      <c r="F182" s="118"/>
      <c r="G182" s="118"/>
      <c r="H182" s="118"/>
      <c r="I182" s="29"/>
      <c r="J182" s="231"/>
      <c r="K182" s="231"/>
      <c r="L182" s="231"/>
      <c r="M182" s="231"/>
      <c r="N182" s="231"/>
      <c r="O182" s="231"/>
      <c r="P182" s="231"/>
      <c r="Q182" s="231"/>
      <c r="R182" s="231"/>
      <c r="S182" s="231"/>
      <c r="T182" s="231"/>
      <c r="U182" s="231"/>
      <c r="V182" s="231"/>
      <c r="W182" s="231"/>
      <c r="X182" s="231"/>
      <c r="Y182" s="231"/>
      <c r="Z182" s="231"/>
      <c r="AA182" s="231"/>
      <c r="AB182" s="231"/>
      <c r="AC182" s="231"/>
      <c r="AD182" s="231"/>
      <c r="AE182" s="231"/>
      <c r="AF182" s="231"/>
      <c r="AG182" s="231"/>
      <c r="AH182" s="231"/>
      <c r="AI182" s="231"/>
      <c r="AJ182" s="231"/>
    </row>
    <row r="183" spans="1:36" s="203" customFormat="1">
      <c r="A183" s="120">
        <v>18</v>
      </c>
      <c r="B183" s="47" t="s">
        <v>153</v>
      </c>
      <c r="C183" s="47"/>
      <c r="D183" s="47"/>
      <c r="E183" s="41">
        <v>540</v>
      </c>
      <c r="F183" s="121">
        <v>525</v>
      </c>
      <c r="G183" s="118"/>
      <c r="H183" s="133">
        <v>520</v>
      </c>
      <c r="I183" s="29"/>
      <c r="J183" s="231"/>
      <c r="K183" s="231"/>
      <c r="L183" s="231"/>
      <c r="M183" s="231"/>
      <c r="N183" s="231"/>
      <c r="O183" s="231"/>
      <c r="P183" s="231"/>
      <c r="Q183" s="231"/>
      <c r="R183" s="231"/>
      <c r="S183" s="231"/>
      <c r="T183" s="231"/>
      <c r="U183" s="231"/>
      <c r="V183" s="231"/>
      <c r="W183" s="231"/>
      <c r="X183" s="231"/>
      <c r="Y183" s="231"/>
      <c r="Z183" s="231"/>
      <c r="AA183" s="231"/>
      <c r="AB183" s="231"/>
      <c r="AC183" s="231"/>
      <c r="AD183" s="231"/>
      <c r="AE183" s="231"/>
      <c r="AF183" s="231"/>
      <c r="AG183" s="231"/>
      <c r="AH183" s="231"/>
      <c r="AI183" s="231"/>
      <c r="AJ183" s="231"/>
    </row>
    <row r="184" spans="1:36" s="203" customFormat="1">
      <c r="A184" s="120">
        <v>19</v>
      </c>
      <c r="B184" s="47" t="s">
        <v>154</v>
      </c>
      <c r="C184" s="47"/>
      <c r="D184" s="47"/>
      <c r="E184" s="49">
        <v>180</v>
      </c>
      <c r="F184" s="52">
        <v>145</v>
      </c>
      <c r="G184" s="118"/>
      <c r="H184" s="122">
        <v>124</v>
      </c>
      <c r="I184" s="29"/>
      <c r="J184" s="231"/>
      <c r="K184" s="231"/>
      <c r="L184" s="231"/>
      <c r="M184" s="231"/>
      <c r="N184" s="231"/>
      <c r="O184" s="231"/>
      <c r="P184" s="231"/>
      <c r="Q184" s="231"/>
      <c r="R184" s="231"/>
      <c r="S184" s="231"/>
      <c r="T184" s="231"/>
      <c r="U184" s="231"/>
      <c r="V184" s="231"/>
      <c r="W184" s="231"/>
      <c r="X184" s="231"/>
      <c r="Y184" s="231"/>
      <c r="Z184" s="231"/>
      <c r="AA184" s="231"/>
      <c r="AB184" s="231"/>
      <c r="AC184" s="231"/>
      <c r="AD184" s="231"/>
      <c r="AE184" s="231"/>
      <c r="AF184" s="231"/>
      <c r="AG184" s="231"/>
      <c r="AH184" s="231"/>
      <c r="AI184" s="231"/>
      <c r="AJ184" s="231"/>
    </row>
    <row r="185" spans="1:36" s="203" customFormat="1">
      <c r="A185" s="120">
        <v>20</v>
      </c>
      <c r="B185" s="47" t="s">
        <v>155</v>
      </c>
      <c r="C185" s="47"/>
      <c r="D185" s="47"/>
      <c r="E185" s="49">
        <v>0</v>
      </c>
      <c r="F185" s="52">
        <v>0</v>
      </c>
      <c r="G185" s="118"/>
      <c r="H185" s="122">
        <v>0</v>
      </c>
      <c r="I185" s="29"/>
      <c r="J185" s="231"/>
      <c r="K185" s="231"/>
      <c r="L185" s="231"/>
      <c r="M185" s="231"/>
      <c r="N185" s="231"/>
      <c r="O185" s="231"/>
      <c r="P185" s="231"/>
      <c r="Q185" s="231"/>
      <c r="R185" s="231"/>
      <c r="S185" s="231"/>
      <c r="T185" s="231"/>
      <c r="U185" s="231"/>
      <c r="V185" s="231"/>
      <c r="W185" s="231"/>
      <c r="X185" s="231"/>
      <c r="Y185" s="231"/>
      <c r="Z185" s="231"/>
      <c r="AA185" s="231"/>
      <c r="AB185" s="231"/>
      <c r="AC185" s="231"/>
      <c r="AD185" s="231"/>
      <c r="AE185" s="231"/>
      <c r="AF185" s="231"/>
      <c r="AG185" s="231"/>
      <c r="AH185" s="231"/>
      <c r="AI185" s="231"/>
      <c r="AJ185" s="231"/>
    </row>
    <row r="186" spans="1:36" s="203" customFormat="1">
      <c r="A186" s="120">
        <v>21</v>
      </c>
      <c r="B186" s="47" t="s">
        <v>156</v>
      </c>
      <c r="C186" s="47"/>
      <c r="D186" s="47"/>
      <c r="E186" s="49">
        <v>16</v>
      </c>
      <c r="F186" s="52">
        <v>15</v>
      </c>
      <c r="G186" s="118"/>
      <c r="H186" s="122">
        <v>14</v>
      </c>
      <c r="I186" s="29"/>
      <c r="J186" s="231"/>
      <c r="K186" s="231"/>
      <c r="L186" s="231"/>
      <c r="M186" s="231"/>
      <c r="N186" s="231"/>
      <c r="O186" s="231"/>
      <c r="P186" s="231"/>
      <c r="Q186" s="231"/>
      <c r="R186" s="231"/>
      <c r="S186" s="231"/>
      <c r="T186" s="231"/>
      <c r="U186" s="231"/>
      <c r="V186" s="231"/>
      <c r="W186" s="231"/>
      <c r="X186" s="231"/>
      <c r="Y186" s="231"/>
      <c r="Z186" s="231"/>
      <c r="AA186" s="231"/>
      <c r="AB186" s="231"/>
      <c r="AC186" s="231"/>
      <c r="AD186" s="231"/>
      <c r="AE186" s="231"/>
      <c r="AF186" s="231"/>
      <c r="AG186" s="231"/>
      <c r="AH186" s="231"/>
      <c r="AI186" s="231"/>
      <c r="AJ186" s="231"/>
    </row>
    <row r="187" spans="1:36" s="203" customFormat="1">
      <c r="A187" s="120">
        <v>22</v>
      </c>
      <c r="B187" s="47" t="s">
        <v>157</v>
      </c>
      <c r="C187" s="47"/>
      <c r="D187" s="47"/>
      <c r="E187" s="49">
        <v>482</v>
      </c>
      <c r="F187" s="52">
        <v>576</v>
      </c>
      <c r="G187" s="118"/>
      <c r="H187" s="122">
        <v>473</v>
      </c>
      <c r="I187" s="29"/>
      <c r="J187" s="231"/>
      <c r="K187" s="231"/>
      <c r="L187" s="231"/>
      <c r="M187" s="231"/>
      <c r="N187" s="231"/>
      <c r="O187" s="231"/>
      <c r="P187" s="231"/>
      <c r="Q187" s="231"/>
      <c r="R187" s="231"/>
      <c r="S187" s="231"/>
      <c r="T187" s="231"/>
      <c r="U187" s="231"/>
      <c r="V187" s="231"/>
      <c r="W187" s="231"/>
      <c r="X187" s="231"/>
      <c r="Y187" s="231"/>
      <c r="Z187" s="231"/>
      <c r="AA187" s="231"/>
      <c r="AB187" s="231"/>
      <c r="AC187" s="231"/>
      <c r="AD187" s="231"/>
      <c r="AE187" s="231"/>
      <c r="AF187" s="231"/>
      <c r="AG187" s="231"/>
      <c r="AH187" s="231"/>
      <c r="AI187" s="231"/>
      <c r="AJ187" s="231"/>
    </row>
    <row r="188" spans="1:36" s="203" customFormat="1">
      <c r="A188" s="120">
        <v>23</v>
      </c>
      <c r="B188" s="47" t="s">
        <v>158</v>
      </c>
      <c r="C188" s="47"/>
      <c r="D188" s="47"/>
      <c r="E188" s="49">
        <v>0</v>
      </c>
      <c r="F188" s="52">
        <v>0</v>
      </c>
      <c r="G188" s="118"/>
      <c r="H188" s="122">
        <v>0</v>
      </c>
      <c r="I188" s="29"/>
      <c r="J188" s="231"/>
      <c r="K188" s="231"/>
      <c r="L188" s="231"/>
      <c r="M188" s="231"/>
      <c r="N188" s="231"/>
      <c r="O188" s="231"/>
      <c r="P188" s="231"/>
      <c r="Q188" s="231"/>
      <c r="R188" s="231"/>
      <c r="S188" s="231"/>
      <c r="T188" s="231"/>
      <c r="U188" s="231"/>
      <c r="V188" s="231"/>
      <c r="W188" s="231"/>
      <c r="X188" s="231"/>
      <c r="Y188" s="231"/>
      <c r="Z188" s="231"/>
      <c r="AA188" s="231"/>
      <c r="AB188" s="231"/>
      <c r="AC188" s="231"/>
      <c r="AD188" s="231"/>
      <c r="AE188" s="231"/>
      <c r="AF188" s="231"/>
      <c r="AG188" s="231"/>
      <c r="AH188" s="231"/>
      <c r="AI188" s="231"/>
      <c r="AJ188" s="231"/>
    </row>
    <row r="189" spans="1:36" s="203" customFormat="1">
      <c r="A189" s="120">
        <v>24</v>
      </c>
      <c r="B189" s="47" t="s">
        <v>159</v>
      </c>
      <c r="C189" s="47"/>
      <c r="D189" s="47"/>
      <c r="E189" s="49">
        <v>0</v>
      </c>
      <c r="F189" s="52">
        <v>0</v>
      </c>
      <c r="G189" s="118"/>
      <c r="H189" s="122">
        <v>0</v>
      </c>
      <c r="I189" s="29"/>
      <c r="J189" s="231"/>
      <c r="K189" s="231"/>
      <c r="L189" s="231"/>
      <c r="M189" s="231"/>
      <c r="N189" s="231"/>
      <c r="O189" s="231"/>
      <c r="P189" s="231"/>
      <c r="Q189" s="231"/>
      <c r="R189" s="231"/>
      <c r="S189" s="231"/>
      <c r="T189" s="231"/>
      <c r="U189" s="231"/>
      <c r="V189" s="231"/>
      <c r="W189" s="231"/>
      <c r="X189" s="231"/>
      <c r="Y189" s="231"/>
      <c r="Z189" s="231"/>
      <c r="AA189" s="231"/>
      <c r="AB189" s="231"/>
      <c r="AC189" s="231"/>
      <c r="AD189" s="231"/>
      <c r="AE189" s="231"/>
      <c r="AF189" s="231"/>
      <c r="AG189" s="231"/>
      <c r="AH189" s="231"/>
      <c r="AI189" s="231"/>
      <c r="AJ189" s="231"/>
    </row>
    <row r="190" spans="1:36" s="203" customFormat="1">
      <c r="A190" s="124">
        <v>25</v>
      </c>
      <c r="B190" s="54" t="s">
        <v>160</v>
      </c>
      <c r="C190" s="54"/>
      <c r="D190" s="54"/>
      <c r="E190" s="56">
        <v>359</v>
      </c>
      <c r="F190" s="126">
        <v>316</v>
      </c>
      <c r="G190" s="118"/>
      <c r="H190" s="100">
        <v>298</v>
      </c>
      <c r="I190" s="24"/>
      <c r="J190" s="231"/>
      <c r="K190" s="231"/>
      <c r="L190" s="231"/>
      <c r="M190" s="231"/>
      <c r="N190" s="231"/>
      <c r="O190" s="231"/>
      <c r="P190" s="231"/>
      <c r="Q190" s="231"/>
      <c r="R190" s="231"/>
      <c r="S190" s="231"/>
      <c r="T190" s="231"/>
      <c r="U190" s="231"/>
      <c r="V190" s="231"/>
      <c r="W190" s="231"/>
      <c r="X190" s="231"/>
      <c r="Y190" s="231"/>
      <c r="Z190" s="231"/>
      <c r="AA190" s="231"/>
      <c r="AB190" s="231"/>
      <c r="AC190" s="231"/>
      <c r="AD190" s="231"/>
      <c r="AE190" s="231"/>
      <c r="AF190" s="231"/>
      <c r="AG190" s="231"/>
      <c r="AH190" s="231"/>
      <c r="AI190" s="231"/>
      <c r="AJ190" s="231"/>
    </row>
    <row r="191" spans="1:36" s="203" customFormat="1">
      <c r="A191" s="161"/>
      <c r="B191" s="129"/>
      <c r="C191" s="129"/>
      <c r="D191" s="149"/>
      <c r="E191" s="162"/>
      <c r="F191" s="29"/>
      <c r="G191" s="29"/>
      <c r="H191" s="207"/>
      <c r="I191" s="29"/>
      <c r="J191" s="231"/>
      <c r="K191" s="231"/>
      <c r="L191" s="231"/>
      <c r="M191" s="231"/>
      <c r="N191" s="231"/>
      <c r="O191" s="231"/>
      <c r="P191" s="231"/>
      <c r="Q191" s="231"/>
      <c r="R191" s="231"/>
      <c r="S191" s="231"/>
      <c r="T191" s="231"/>
      <c r="U191" s="231"/>
      <c r="V191" s="231"/>
      <c r="W191" s="231"/>
      <c r="X191" s="231"/>
      <c r="Y191" s="231"/>
      <c r="Z191" s="231"/>
      <c r="AA191" s="231"/>
      <c r="AB191" s="231"/>
      <c r="AC191" s="231"/>
      <c r="AD191" s="231"/>
      <c r="AE191" s="231"/>
      <c r="AF191" s="231"/>
      <c r="AG191" s="231"/>
      <c r="AH191" s="231"/>
      <c r="AI191" s="231"/>
      <c r="AJ191" s="231"/>
    </row>
    <row r="192" spans="1:36" s="203" customFormat="1">
      <c r="A192" s="161"/>
      <c r="B192" s="129"/>
      <c r="C192" s="129"/>
      <c r="D192" s="151"/>
      <c r="E192" s="163"/>
      <c r="F192" s="29"/>
      <c r="G192" s="29"/>
      <c r="H192" s="131" t="s">
        <v>27</v>
      </c>
      <c r="I192" s="29"/>
      <c r="J192" s="231"/>
      <c r="K192" s="231"/>
      <c r="L192" s="231"/>
      <c r="M192" s="231"/>
      <c r="N192" s="231"/>
      <c r="O192" s="231"/>
      <c r="P192" s="231"/>
      <c r="Q192" s="231"/>
      <c r="R192" s="231"/>
      <c r="S192" s="231"/>
      <c r="T192" s="231"/>
      <c r="U192" s="231"/>
      <c r="V192" s="231"/>
      <c r="W192" s="231"/>
      <c r="X192" s="231"/>
      <c r="Y192" s="231"/>
      <c r="Z192" s="231"/>
      <c r="AA192" s="231"/>
      <c r="AB192" s="231"/>
      <c r="AC192" s="231"/>
      <c r="AD192" s="231"/>
      <c r="AE192" s="231"/>
      <c r="AF192" s="231"/>
      <c r="AG192" s="231"/>
      <c r="AH192" s="231"/>
      <c r="AI192" s="231"/>
      <c r="AJ192" s="231"/>
    </row>
    <row r="193" spans="1:36" s="203" customFormat="1" ht="12.75" customHeight="1">
      <c r="A193" s="106" t="s">
        <v>23</v>
      </c>
      <c r="B193" s="164"/>
      <c r="C193" s="164"/>
      <c r="D193" s="164"/>
      <c r="E193" s="856" t="s">
        <v>377</v>
      </c>
      <c r="F193" s="856" t="s">
        <v>402</v>
      </c>
      <c r="G193" s="130"/>
      <c r="H193" s="856" t="s">
        <v>403</v>
      </c>
      <c r="I193" s="130"/>
      <c r="J193" s="231"/>
      <c r="K193" s="231"/>
      <c r="L193" s="231"/>
      <c r="M193" s="231"/>
      <c r="N193" s="231"/>
      <c r="O193" s="231"/>
      <c r="P193" s="231"/>
      <c r="Q193" s="231"/>
      <c r="R193" s="231"/>
      <c r="S193" s="231"/>
      <c r="T193" s="231"/>
      <c r="U193" s="231"/>
      <c r="V193" s="231"/>
      <c r="W193" s="231"/>
      <c r="X193" s="231"/>
      <c r="Y193" s="231"/>
      <c r="Z193" s="231"/>
      <c r="AA193" s="231"/>
      <c r="AB193" s="231"/>
      <c r="AC193" s="231"/>
      <c r="AD193" s="231"/>
      <c r="AE193" s="231"/>
      <c r="AF193" s="231"/>
      <c r="AG193" s="231"/>
      <c r="AH193" s="231"/>
      <c r="AI193" s="231"/>
      <c r="AJ193" s="231"/>
    </row>
    <row r="194" spans="1:36" s="203" customFormat="1" ht="23.25" customHeight="1">
      <c r="A194" s="165"/>
      <c r="B194" s="132"/>
      <c r="C194" s="132"/>
      <c r="D194" s="132"/>
      <c r="E194" s="859"/>
      <c r="F194" s="859"/>
      <c r="G194" s="130"/>
      <c r="H194" s="859"/>
      <c r="I194" s="130"/>
      <c r="J194" s="231"/>
      <c r="K194" s="231"/>
      <c r="L194" s="231"/>
      <c r="M194" s="231"/>
      <c r="N194" s="231"/>
      <c r="O194" s="231"/>
      <c r="P194" s="231"/>
      <c r="Q194" s="231"/>
      <c r="R194" s="231"/>
      <c r="S194" s="231"/>
      <c r="T194" s="231"/>
      <c r="U194" s="231"/>
      <c r="V194" s="231"/>
      <c r="W194" s="231"/>
      <c r="X194" s="231"/>
      <c r="Y194" s="231"/>
      <c r="Z194" s="231"/>
      <c r="AA194" s="231"/>
      <c r="AB194" s="231"/>
      <c r="AC194" s="231"/>
      <c r="AD194" s="231"/>
      <c r="AE194" s="231"/>
      <c r="AF194" s="231"/>
      <c r="AG194" s="231"/>
      <c r="AH194" s="231"/>
      <c r="AI194" s="231"/>
      <c r="AJ194" s="231"/>
    </row>
    <row r="195" spans="1:36" s="203" customFormat="1">
      <c r="A195" s="154" t="s">
        <v>161</v>
      </c>
      <c r="B195" s="116"/>
      <c r="C195" s="116"/>
      <c r="D195" s="116"/>
      <c r="E195" s="859"/>
      <c r="F195" s="859"/>
      <c r="G195" s="130"/>
      <c r="H195" s="859"/>
      <c r="I195" s="130"/>
      <c r="J195" s="231"/>
      <c r="K195" s="231"/>
      <c r="L195" s="231"/>
      <c r="M195" s="231"/>
      <c r="N195" s="231"/>
      <c r="O195" s="231"/>
      <c r="P195" s="231"/>
      <c r="Q195" s="231"/>
      <c r="R195" s="231"/>
      <c r="S195" s="231"/>
      <c r="T195" s="231"/>
      <c r="U195" s="231"/>
      <c r="V195" s="231"/>
      <c r="W195" s="231"/>
      <c r="X195" s="231"/>
      <c r="Y195" s="231"/>
      <c r="Z195" s="231"/>
      <c r="AA195" s="231"/>
      <c r="AB195" s="231"/>
      <c r="AC195" s="231"/>
      <c r="AD195" s="231"/>
      <c r="AE195" s="231"/>
      <c r="AF195" s="231"/>
      <c r="AG195" s="231"/>
      <c r="AH195" s="231"/>
      <c r="AI195" s="231"/>
      <c r="AJ195" s="231"/>
    </row>
    <row r="196" spans="1:36" s="203" customFormat="1">
      <c r="A196" s="109" t="s">
        <v>83</v>
      </c>
      <c r="B196" s="47"/>
      <c r="C196" s="47"/>
      <c r="D196" s="47"/>
      <c r="E196" s="859"/>
      <c r="F196" s="859"/>
      <c r="G196" s="130"/>
      <c r="H196" s="859"/>
      <c r="I196" s="130"/>
      <c r="J196" s="231"/>
      <c r="K196" s="231"/>
      <c r="L196" s="231"/>
      <c r="M196" s="231"/>
      <c r="N196" s="231"/>
      <c r="O196" s="231"/>
      <c r="P196" s="231"/>
      <c r="Q196" s="231"/>
      <c r="R196" s="231"/>
      <c r="S196" s="231"/>
      <c r="T196" s="231"/>
      <c r="U196" s="231"/>
      <c r="V196" s="231"/>
      <c r="W196" s="231"/>
      <c r="X196" s="231"/>
      <c r="Y196" s="231"/>
      <c r="Z196" s="231"/>
      <c r="AA196" s="231"/>
      <c r="AB196" s="231"/>
      <c r="AC196" s="231"/>
      <c r="AD196" s="231"/>
      <c r="AE196" s="231"/>
      <c r="AF196" s="231"/>
      <c r="AG196" s="231"/>
      <c r="AH196" s="231"/>
      <c r="AI196" s="231"/>
      <c r="AJ196" s="231"/>
    </row>
    <row r="197" spans="1:36" s="203" customFormat="1">
      <c r="A197" s="110" t="s">
        <v>84</v>
      </c>
      <c r="B197" s="132"/>
      <c r="C197" s="132"/>
      <c r="D197" s="132"/>
      <c r="E197" s="860"/>
      <c r="F197" s="860"/>
      <c r="G197" s="130"/>
      <c r="H197" s="860"/>
      <c r="I197" s="130"/>
      <c r="J197" s="231"/>
      <c r="K197" s="231"/>
      <c r="L197" s="231"/>
      <c r="M197" s="231"/>
      <c r="N197" s="231"/>
      <c r="O197" s="231"/>
      <c r="P197" s="231"/>
      <c r="Q197" s="231"/>
      <c r="R197" s="231"/>
      <c r="S197" s="231"/>
      <c r="T197" s="231"/>
      <c r="U197" s="231"/>
      <c r="V197" s="231"/>
      <c r="W197" s="231"/>
      <c r="X197" s="231"/>
      <c r="Y197" s="231"/>
      <c r="Z197" s="231"/>
      <c r="AA197" s="231"/>
      <c r="AB197" s="231"/>
      <c r="AC197" s="231"/>
      <c r="AD197" s="231"/>
      <c r="AE197" s="231"/>
      <c r="AF197" s="231"/>
      <c r="AG197" s="231"/>
      <c r="AH197" s="231"/>
      <c r="AI197" s="231"/>
      <c r="AJ197" s="231"/>
    </row>
    <row r="198" spans="1:36" s="203" customFormat="1">
      <c r="A198" s="153" t="s">
        <v>162</v>
      </c>
      <c r="B198" s="166"/>
      <c r="C198" s="166"/>
      <c r="D198" s="166"/>
      <c r="E198" s="167"/>
      <c r="F198" s="146"/>
      <c r="G198" s="118"/>
      <c r="H198" s="146"/>
      <c r="I198" s="29"/>
      <c r="J198" s="231"/>
      <c r="K198" s="231"/>
      <c r="L198" s="231"/>
      <c r="M198" s="231"/>
      <c r="N198" s="231"/>
      <c r="O198" s="231"/>
      <c r="P198" s="231"/>
      <c r="Q198" s="231"/>
      <c r="R198" s="231"/>
      <c r="S198" s="231"/>
      <c r="T198" s="231"/>
      <c r="U198" s="231"/>
      <c r="V198" s="231"/>
      <c r="W198" s="231"/>
      <c r="X198" s="231"/>
      <c r="Y198" s="231"/>
      <c r="Z198" s="231"/>
      <c r="AA198" s="231"/>
      <c r="AB198" s="231"/>
      <c r="AC198" s="231"/>
      <c r="AD198" s="231"/>
      <c r="AE198" s="231"/>
      <c r="AF198" s="231"/>
      <c r="AG198" s="231"/>
      <c r="AH198" s="231"/>
      <c r="AI198" s="231"/>
      <c r="AJ198" s="231"/>
    </row>
    <row r="199" spans="1:36" s="203" customFormat="1">
      <c r="A199" s="120">
        <v>1</v>
      </c>
      <c r="B199" s="47" t="s">
        <v>163</v>
      </c>
      <c r="C199" s="47"/>
      <c r="D199" s="47"/>
      <c r="E199" s="74">
        <v>0</v>
      </c>
      <c r="F199" s="52">
        <v>0</v>
      </c>
      <c r="G199" s="118"/>
      <c r="H199" s="122">
        <v>0</v>
      </c>
      <c r="I199" s="29"/>
      <c r="J199" s="231"/>
      <c r="K199" s="231"/>
      <c r="L199" s="231"/>
      <c r="M199" s="231"/>
      <c r="N199" s="231"/>
      <c r="O199" s="231"/>
      <c r="P199" s="231"/>
      <c r="Q199" s="231"/>
      <c r="R199" s="231"/>
      <c r="S199" s="231"/>
      <c r="T199" s="231"/>
      <c r="U199" s="231"/>
      <c r="V199" s="231"/>
      <c r="W199" s="231"/>
      <c r="X199" s="231"/>
      <c r="Y199" s="231"/>
      <c r="Z199" s="231"/>
      <c r="AA199" s="231"/>
      <c r="AB199" s="231"/>
      <c r="AC199" s="231"/>
      <c r="AD199" s="231"/>
      <c r="AE199" s="231"/>
      <c r="AF199" s="231"/>
      <c r="AG199" s="231"/>
      <c r="AH199" s="231"/>
      <c r="AI199" s="231"/>
      <c r="AJ199" s="231"/>
    </row>
    <row r="200" spans="1:36" s="203" customFormat="1">
      <c r="A200" s="120">
        <v>2</v>
      </c>
      <c r="B200" s="47" t="s">
        <v>164</v>
      </c>
      <c r="C200" s="47"/>
      <c r="D200" s="47"/>
      <c r="E200" s="56">
        <v>366</v>
      </c>
      <c r="F200" s="52">
        <v>298</v>
      </c>
      <c r="G200" s="118"/>
      <c r="H200" s="100">
        <v>333</v>
      </c>
      <c r="I200" s="29"/>
      <c r="J200" s="231"/>
      <c r="K200" s="231"/>
      <c r="L200" s="231"/>
      <c r="M200" s="231"/>
      <c r="N200" s="231"/>
      <c r="O200" s="231"/>
      <c r="P200" s="231"/>
      <c r="Q200" s="231"/>
      <c r="R200" s="231"/>
      <c r="S200" s="231"/>
      <c r="T200" s="231"/>
      <c r="U200" s="231"/>
      <c r="V200" s="231"/>
      <c r="W200" s="231"/>
      <c r="X200" s="231"/>
      <c r="Y200" s="231"/>
      <c r="Z200" s="231"/>
      <c r="AA200" s="231"/>
      <c r="AB200" s="231"/>
      <c r="AC200" s="231"/>
      <c r="AD200" s="231"/>
      <c r="AE200" s="231"/>
      <c r="AF200" s="231"/>
      <c r="AG200" s="231"/>
      <c r="AH200" s="231"/>
      <c r="AI200" s="231"/>
      <c r="AJ200" s="231"/>
    </row>
    <row r="201" spans="1:36" s="203" customFormat="1">
      <c r="A201" s="120">
        <v>3</v>
      </c>
      <c r="B201" s="116" t="s">
        <v>165</v>
      </c>
      <c r="C201" s="116"/>
      <c r="D201" s="116"/>
      <c r="E201" s="80">
        <v>366</v>
      </c>
      <c r="F201" s="142">
        <f>SUM(F199:F200)</f>
        <v>298</v>
      </c>
      <c r="G201" s="118"/>
      <c r="H201" s="142">
        <f>SUM(H199:H200)</f>
        <v>333</v>
      </c>
      <c r="I201" s="29"/>
      <c r="J201" s="231"/>
      <c r="K201" s="231"/>
      <c r="L201" s="231"/>
      <c r="M201" s="231"/>
      <c r="N201" s="231"/>
      <c r="O201" s="231"/>
      <c r="P201" s="231"/>
      <c r="Q201" s="231"/>
      <c r="R201" s="231"/>
      <c r="S201" s="231"/>
      <c r="T201" s="231"/>
      <c r="U201" s="231"/>
      <c r="V201" s="231"/>
      <c r="W201" s="231"/>
      <c r="X201" s="231"/>
      <c r="Y201" s="231"/>
      <c r="Z201" s="231"/>
      <c r="AA201" s="231"/>
      <c r="AB201" s="231"/>
      <c r="AC201" s="231"/>
      <c r="AD201" s="231"/>
      <c r="AE201" s="231"/>
      <c r="AF201" s="231"/>
      <c r="AG201" s="231"/>
      <c r="AH201" s="231"/>
      <c r="AI201" s="231"/>
      <c r="AJ201" s="231"/>
    </row>
    <row r="202" spans="1:36" s="203" customFormat="1">
      <c r="A202" s="46"/>
      <c r="B202" s="132"/>
      <c r="C202" s="132"/>
      <c r="D202" s="132"/>
      <c r="E202" s="156"/>
      <c r="F202" s="139"/>
      <c r="G202" s="139"/>
      <c r="H202" s="139"/>
      <c r="I202" s="29"/>
      <c r="J202" s="231"/>
      <c r="K202" s="231"/>
      <c r="L202" s="231"/>
      <c r="M202" s="231"/>
      <c r="N202" s="231"/>
      <c r="O202" s="231"/>
      <c r="P202" s="231"/>
      <c r="Q202" s="231"/>
      <c r="R202" s="231"/>
      <c r="S202" s="231"/>
      <c r="T202" s="231"/>
      <c r="U202" s="231"/>
      <c r="V202" s="231"/>
      <c r="W202" s="231"/>
      <c r="X202" s="231"/>
      <c r="Y202" s="231"/>
      <c r="Z202" s="231"/>
      <c r="AA202" s="231"/>
      <c r="AB202" s="231"/>
      <c r="AC202" s="231"/>
      <c r="AD202" s="231"/>
      <c r="AE202" s="231"/>
      <c r="AF202" s="231"/>
      <c r="AG202" s="231"/>
      <c r="AH202" s="231"/>
      <c r="AI202" s="231"/>
      <c r="AJ202" s="231"/>
    </row>
    <row r="203" spans="1:36" s="203" customFormat="1">
      <c r="A203" s="153" t="s">
        <v>166</v>
      </c>
      <c r="B203" s="116"/>
      <c r="C203" s="116"/>
      <c r="D203" s="116"/>
      <c r="E203" s="140"/>
      <c r="F203" s="146"/>
      <c r="G203" s="118"/>
      <c r="H203" s="146"/>
      <c r="I203" s="29"/>
      <c r="J203" s="231"/>
      <c r="K203" s="231"/>
      <c r="L203" s="231"/>
      <c r="M203" s="231"/>
      <c r="N203" s="231"/>
      <c r="O203" s="231"/>
      <c r="P203" s="231"/>
      <c r="Q203" s="231"/>
      <c r="R203" s="231"/>
      <c r="S203" s="231"/>
      <c r="T203" s="231"/>
      <c r="U203" s="231"/>
      <c r="V203" s="231"/>
      <c r="W203" s="231"/>
      <c r="X203" s="231"/>
      <c r="Y203" s="231"/>
      <c r="Z203" s="231"/>
      <c r="AA203" s="231"/>
      <c r="AB203" s="231"/>
      <c r="AC203" s="231"/>
      <c r="AD203" s="231"/>
      <c r="AE203" s="231"/>
      <c r="AF203" s="231"/>
      <c r="AG203" s="231"/>
      <c r="AH203" s="231"/>
      <c r="AI203" s="231"/>
      <c r="AJ203" s="231"/>
    </row>
    <row r="204" spans="1:36" s="203" customFormat="1">
      <c r="A204" s="120">
        <v>4</v>
      </c>
      <c r="B204" s="47" t="s">
        <v>167</v>
      </c>
      <c r="C204" s="47"/>
      <c r="D204" s="47"/>
      <c r="E204" s="74">
        <v>1908</v>
      </c>
      <c r="F204" s="52">
        <v>2059</v>
      </c>
      <c r="G204" s="118"/>
      <c r="H204" s="122">
        <v>2389</v>
      </c>
      <c r="I204" s="29"/>
      <c r="J204" s="231"/>
      <c r="K204" s="231"/>
      <c r="L204" s="231"/>
      <c r="M204" s="231"/>
      <c r="N204" s="231"/>
      <c r="O204" s="231"/>
      <c r="P204" s="231"/>
      <c r="Q204" s="231"/>
      <c r="R204" s="231"/>
      <c r="S204" s="231"/>
      <c r="T204" s="231"/>
      <c r="U204" s="231"/>
      <c r="V204" s="231"/>
      <c r="W204" s="231"/>
      <c r="X204" s="231"/>
      <c r="Y204" s="231"/>
      <c r="Z204" s="231"/>
      <c r="AA204" s="231"/>
      <c r="AB204" s="231"/>
      <c r="AC204" s="231"/>
      <c r="AD204" s="231"/>
      <c r="AE204" s="231"/>
      <c r="AF204" s="231"/>
      <c r="AG204" s="231"/>
      <c r="AH204" s="231"/>
      <c r="AI204" s="231"/>
      <c r="AJ204" s="231"/>
    </row>
    <row r="205" spans="1:36" s="203" customFormat="1">
      <c r="A205" s="120">
        <v>5</v>
      </c>
      <c r="B205" s="47" t="s">
        <v>168</v>
      </c>
      <c r="C205" s="47"/>
      <c r="D205" s="47"/>
      <c r="E205" s="49">
        <v>5498</v>
      </c>
      <c r="F205" s="52">
        <v>5412</v>
      </c>
      <c r="G205" s="118"/>
      <c r="H205" s="122">
        <v>5744</v>
      </c>
      <c r="I205" s="29"/>
      <c r="J205" s="231"/>
      <c r="K205" s="231"/>
      <c r="L205" s="231"/>
      <c r="M205" s="231"/>
      <c r="N205" s="231"/>
      <c r="O205" s="231"/>
      <c r="P205" s="231"/>
      <c r="Q205" s="231"/>
      <c r="R205" s="231"/>
      <c r="S205" s="231"/>
      <c r="T205" s="231"/>
      <c r="U205" s="231"/>
      <c r="V205" s="231"/>
      <c r="W205" s="231"/>
      <c r="X205" s="231"/>
      <c r="Y205" s="231"/>
      <c r="Z205" s="231"/>
      <c r="AA205" s="231"/>
      <c r="AB205" s="231"/>
      <c r="AC205" s="231"/>
      <c r="AD205" s="231"/>
      <c r="AE205" s="231"/>
      <c r="AF205" s="231"/>
      <c r="AG205" s="231"/>
      <c r="AH205" s="231"/>
      <c r="AI205" s="231"/>
      <c r="AJ205" s="231"/>
    </row>
    <row r="206" spans="1:36" s="203" customFormat="1">
      <c r="A206" s="120">
        <v>6</v>
      </c>
      <c r="B206" s="47" t="s">
        <v>169</v>
      </c>
      <c r="C206" s="47"/>
      <c r="D206" s="47"/>
      <c r="E206" s="49">
        <v>1806</v>
      </c>
      <c r="F206" s="52">
        <v>1757</v>
      </c>
      <c r="G206" s="118"/>
      <c r="H206" s="100">
        <v>1747</v>
      </c>
      <c r="I206" s="29"/>
      <c r="J206" s="231"/>
      <c r="K206" s="231"/>
      <c r="L206" s="231"/>
      <c r="M206" s="231"/>
      <c r="N206" s="231"/>
      <c r="O206" s="231"/>
      <c r="P206" s="231"/>
      <c r="Q206" s="231"/>
      <c r="R206" s="231"/>
      <c r="S206" s="231"/>
      <c r="T206" s="231"/>
      <c r="U206" s="231"/>
      <c r="V206" s="231"/>
      <c r="W206" s="231"/>
      <c r="X206" s="231"/>
      <c r="Y206" s="231"/>
      <c r="Z206" s="231"/>
      <c r="AA206" s="231"/>
      <c r="AB206" s="231"/>
      <c r="AC206" s="231"/>
      <c r="AD206" s="231"/>
      <c r="AE206" s="231"/>
      <c r="AF206" s="231"/>
      <c r="AG206" s="231"/>
      <c r="AH206" s="231"/>
      <c r="AI206" s="231"/>
      <c r="AJ206" s="231"/>
    </row>
    <row r="207" spans="1:36" s="203" customFormat="1">
      <c r="A207" s="120">
        <v>7</v>
      </c>
      <c r="B207" s="116" t="s">
        <v>170</v>
      </c>
      <c r="C207" s="116"/>
      <c r="D207" s="116"/>
      <c r="E207" s="80">
        <v>9212</v>
      </c>
      <c r="F207" s="142">
        <f>SUM(F204:F206)</f>
        <v>9228</v>
      </c>
      <c r="G207" s="118"/>
      <c r="H207" s="142">
        <f>SUM(H204:H206)</f>
        <v>9880</v>
      </c>
      <c r="I207" s="29"/>
      <c r="J207" s="231"/>
      <c r="K207" s="231"/>
      <c r="L207" s="231"/>
      <c r="M207" s="231"/>
      <c r="N207" s="231"/>
      <c r="O207" s="231"/>
      <c r="P207" s="231"/>
      <c r="Q207" s="231"/>
      <c r="R207" s="231"/>
      <c r="S207" s="231"/>
      <c r="T207" s="231"/>
      <c r="U207" s="231"/>
      <c r="V207" s="231"/>
      <c r="W207" s="231"/>
      <c r="X207" s="231"/>
      <c r="Y207" s="231"/>
      <c r="Z207" s="231"/>
      <c r="AA207" s="231"/>
      <c r="AB207" s="231"/>
      <c r="AC207" s="231"/>
      <c r="AD207" s="231"/>
      <c r="AE207" s="231"/>
      <c r="AF207" s="231"/>
      <c r="AG207" s="231"/>
      <c r="AH207" s="231"/>
      <c r="AI207" s="231"/>
      <c r="AJ207" s="231"/>
    </row>
    <row r="208" spans="1:36" s="203" customFormat="1">
      <c r="A208" s="46"/>
      <c r="B208" s="132"/>
      <c r="C208" s="132"/>
      <c r="D208" s="132"/>
      <c r="E208" s="156"/>
      <c r="F208" s="139"/>
      <c r="G208" s="139"/>
      <c r="H208" s="139"/>
      <c r="I208" s="29"/>
      <c r="J208" s="231"/>
      <c r="K208" s="231"/>
      <c r="L208" s="231"/>
      <c r="M208" s="231"/>
      <c r="N208" s="231"/>
      <c r="O208" s="231"/>
      <c r="P208" s="231"/>
      <c r="Q208" s="231"/>
      <c r="R208" s="231"/>
      <c r="S208" s="231"/>
      <c r="T208" s="231"/>
      <c r="U208" s="231"/>
      <c r="V208" s="231"/>
      <c r="W208" s="231"/>
      <c r="X208" s="231"/>
      <c r="Y208" s="231"/>
      <c r="Z208" s="231"/>
      <c r="AA208" s="231"/>
      <c r="AB208" s="231"/>
      <c r="AC208" s="231"/>
      <c r="AD208" s="231"/>
      <c r="AE208" s="231"/>
      <c r="AF208" s="231"/>
      <c r="AG208" s="231"/>
      <c r="AH208" s="231"/>
      <c r="AI208" s="231"/>
      <c r="AJ208" s="231"/>
    </row>
    <row r="209" spans="1:36" s="203" customFormat="1">
      <c r="A209" s="153" t="s">
        <v>121</v>
      </c>
      <c r="B209" s="168"/>
      <c r="C209" s="168"/>
      <c r="D209" s="168"/>
      <c r="E209" s="140"/>
      <c r="F209" s="146"/>
      <c r="G209" s="118"/>
      <c r="H209" s="146"/>
      <c r="I209" s="29"/>
      <c r="J209" s="231"/>
      <c r="K209" s="231"/>
      <c r="L209" s="231"/>
      <c r="M209" s="231"/>
      <c r="N209" s="231"/>
      <c r="O209" s="231"/>
      <c r="P209" s="231"/>
      <c r="Q209" s="231"/>
      <c r="R209" s="231"/>
      <c r="S209" s="231"/>
      <c r="T209" s="231"/>
      <c r="U209" s="231"/>
      <c r="V209" s="231"/>
      <c r="W209" s="231"/>
      <c r="X209" s="231"/>
      <c r="Y209" s="231"/>
      <c r="Z209" s="231"/>
      <c r="AA209" s="231"/>
      <c r="AB209" s="231"/>
      <c r="AC209" s="231"/>
      <c r="AD209" s="231"/>
      <c r="AE209" s="231"/>
      <c r="AF209" s="231"/>
      <c r="AG209" s="231"/>
      <c r="AH209" s="231"/>
      <c r="AI209" s="231"/>
      <c r="AJ209" s="231"/>
    </row>
    <row r="210" spans="1:36" s="203" customFormat="1">
      <c r="A210" s="120">
        <v>8</v>
      </c>
      <c r="B210" s="47" t="s">
        <v>171</v>
      </c>
      <c r="C210" s="47"/>
      <c r="D210" s="47"/>
      <c r="E210" s="74">
        <v>-906</v>
      </c>
      <c r="F210" s="52">
        <v>-817</v>
      </c>
      <c r="G210" s="118"/>
      <c r="H210" s="122">
        <v>-873</v>
      </c>
      <c r="I210" s="29"/>
      <c r="J210" s="231"/>
      <c r="K210" s="231"/>
      <c r="L210" s="231"/>
      <c r="M210" s="231"/>
      <c r="N210" s="231"/>
      <c r="O210" s="231"/>
      <c r="P210" s="231"/>
      <c r="Q210" s="231"/>
      <c r="R210" s="231"/>
      <c r="S210" s="231"/>
      <c r="T210" s="231"/>
      <c r="U210" s="231"/>
      <c r="V210" s="231"/>
      <c r="W210" s="231"/>
      <c r="X210" s="231"/>
      <c r="Y210" s="231"/>
      <c r="Z210" s="231"/>
      <c r="AA210" s="231"/>
      <c r="AB210" s="231"/>
      <c r="AC210" s="231"/>
      <c r="AD210" s="231"/>
      <c r="AE210" s="231"/>
      <c r="AF210" s="231"/>
      <c r="AG210" s="231"/>
      <c r="AH210" s="231"/>
      <c r="AI210" s="231"/>
      <c r="AJ210" s="231"/>
    </row>
    <row r="211" spans="1:36" s="203" customFormat="1">
      <c r="A211" s="120">
        <v>9</v>
      </c>
      <c r="B211" s="47" t="s">
        <v>172</v>
      </c>
      <c r="C211" s="47"/>
      <c r="D211" s="47"/>
      <c r="E211" s="49">
        <v>0</v>
      </c>
      <c r="F211" s="52"/>
      <c r="G211" s="118"/>
      <c r="H211" s="122">
        <v>0</v>
      </c>
      <c r="I211" s="29"/>
      <c r="J211" s="231"/>
      <c r="K211" s="231"/>
      <c r="L211" s="231"/>
      <c r="M211" s="231"/>
      <c r="N211" s="231"/>
      <c r="O211" s="231"/>
      <c r="P211" s="231"/>
      <c r="Q211" s="231"/>
      <c r="R211" s="231"/>
      <c r="S211" s="231"/>
      <c r="T211" s="231"/>
      <c r="U211" s="231"/>
      <c r="V211" s="231"/>
      <c r="W211" s="231"/>
      <c r="X211" s="231"/>
      <c r="Y211" s="231"/>
      <c r="Z211" s="231"/>
      <c r="AA211" s="231"/>
      <c r="AB211" s="231"/>
      <c r="AC211" s="231"/>
      <c r="AD211" s="231"/>
      <c r="AE211" s="231"/>
      <c r="AF211" s="231"/>
      <c r="AG211" s="231"/>
      <c r="AH211" s="231"/>
      <c r="AI211" s="231"/>
      <c r="AJ211" s="231"/>
    </row>
    <row r="212" spans="1:36" s="203" customFormat="1">
      <c r="A212" s="120">
        <v>10</v>
      </c>
      <c r="B212" s="47" t="s">
        <v>173</v>
      </c>
      <c r="C212" s="47"/>
      <c r="D212" s="47"/>
      <c r="E212" s="49">
        <v>0</v>
      </c>
      <c r="F212" s="52"/>
      <c r="G212" s="118"/>
      <c r="H212" s="122">
        <v>0</v>
      </c>
      <c r="I212" s="29"/>
      <c r="J212" s="231"/>
      <c r="K212" s="231"/>
      <c r="L212" s="231"/>
      <c r="M212" s="231"/>
      <c r="N212" s="231"/>
      <c r="O212" s="231"/>
      <c r="P212" s="231"/>
      <c r="Q212" s="231"/>
      <c r="R212" s="231"/>
      <c r="S212" s="231"/>
      <c r="T212" s="231"/>
      <c r="U212" s="231"/>
      <c r="V212" s="231"/>
      <c r="W212" s="231"/>
      <c r="X212" s="231"/>
      <c r="Y212" s="231"/>
      <c r="Z212" s="231"/>
      <c r="AA212" s="231"/>
      <c r="AB212" s="231"/>
      <c r="AC212" s="231"/>
      <c r="AD212" s="231"/>
      <c r="AE212" s="231"/>
      <c r="AF212" s="231"/>
      <c r="AG212" s="231"/>
      <c r="AH212" s="231"/>
      <c r="AI212" s="231"/>
      <c r="AJ212" s="231"/>
    </row>
    <row r="213" spans="1:36" s="203" customFormat="1">
      <c r="A213" s="120">
        <v>11</v>
      </c>
      <c r="B213" s="47" t="s">
        <v>174</v>
      </c>
      <c r="C213" s="47"/>
      <c r="D213" s="47"/>
      <c r="E213" s="49">
        <v>1373</v>
      </c>
      <c r="F213" s="52">
        <v>1056</v>
      </c>
      <c r="G213" s="118"/>
      <c r="H213" s="99">
        <v>1026</v>
      </c>
      <c r="I213" s="29"/>
      <c r="J213" s="231"/>
      <c r="K213" s="231"/>
      <c r="L213" s="231"/>
      <c r="M213" s="231"/>
      <c r="N213" s="231"/>
      <c r="O213" s="231"/>
      <c r="P213" s="231"/>
      <c r="Q213" s="231"/>
      <c r="R213" s="231"/>
      <c r="S213" s="231"/>
      <c r="T213" s="231"/>
      <c r="U213" s="231"/>
      <c r="V213" s="231"/>
      <c r="W213" s="231"/>
      <c r="X213" s="231"/>
      <c r="Y213" s="231"/>
      <c r="Z213" s="231"/>
      <c r="AA213" s="231"/>
      <c r="AB213" s="231"/>
      <c r="AC213" s="231"/>
      <c r="AD213" s="231"/>
      <c r="AE213" s="231"/>
      <c r="AF213" s="231"/>
      <c r="AG213" s="231"/>
      <c r="AH213" s="231"/>
      <c r="AI213" s="231"/>
      <c r="AJ213" s="231"/>
    </row>
    <row r="214" spans="1:36" s="203" customFormat="1">
      <c r="A214" s="120">
        <v>12</v>
      </c>
      <c r="B214" s="116" t="s">
        <v>175</v>
      </c>
      <c r="C214" s="116"/>
      <c r="D214" s="116"/>
      <c r="E214" s="159">
        <v>10045</v>
      </c>
      <c r="F214" s="61">
        <f>F201+F207+SUM(F210:F213)</f>
        <v>9765</v>
      </c>
      <c r="G214" s="118"/>
      <c r="H214" s="61">
        <f>H201+H207+SUM(H210:H213)</f>
        <v>10366</v>
      </c>
      <c r="I214" s="29"/>
      <c r="J214" s="231"/>
      <c r="K214" s="231"/>
      <c r="L214" s="231"/>
      <c r="M214" s="231"/>
      <c r="N214" s="231"/>
      <c r="O214" s="231"/>
      <c r="P214" s="231"/>
      <c r="Q214" s="231"/>
      <c r="R214" s="231"/>
      <c r="S214" s="231"/>
      <c r="T214" s="231"/>
      <c r="U214" s="231"/>
      <c r="V214" s="231"/>
      <c r="W214" s="231"/>
      <c r="X214" s="231"/>
      <c r="Y214" s="231"/>
      <c r="Z214" s="231"/>
      <c r="AA214" s="231"/>
      <c r="AB214" s="231"/>
      <c r="AC214" s="231"/>
      <c r="AD214" s="231"/>
      <c r="AE214" s="231"/>
      <c r="AF214" s="231"/>
      <c r="AG214" s="231"/>
      <c r="AH214" s="231"/>
      <c r="AI214" s="231"/>
      <c r="AJ214" s="231"/>
    </row>
    <row r="215" spans="1:36" s="203" customFormat="1">
      <c r="A215" s="111"/>
      <c r="B215" s="47"/>
      <c r="C215" s="47"/>
      <c r="D215" s="47"/>
      <c r="E215" s="117"/>
      <c r="F215" s="118"/>
      <c r="G215" s="118"/>
      <c r="H215" s="118"/>
      <c r="I215" s="29"/>
      <c r="J215" s="231"/>
      <c r="K215" s="231"/>
      <c r="L215" s="231"/>
      <c r="M215" s="231"/>
      <c r="N215" s="231"/>
      <c r="O215" s="231"/>
      <c r="P215" s="231"/>
      <c r="Q215" s="231"/>
      <c r="R215" s="231"/>
      <c r="S215" s="231"/>
      <c r="T215" s="231"/>
      <c r="U215" s="231"/>
      <c r="V215" s="231"/>
      <c r="W215" s="231"/>
      <c r="X215" s="231"/>
      <c r="Y215" s="231"/>
      <c r="Z215" s="231"/>
      <c r="AA215" s="231"/>
      <c r="AB215" s="231"/>
      <c r="AC215" s="231"/>
      <c r="AD215" s="231"/>
      <c r="AE215" s="231"/>
      <c r="AF215" s="231"/>
      <c r="AG215" s="231"/>
      <c r="AH215" s="231"/>
      <c r="AI215" s="231"/>
      <c r="AJ215" s="231"/>
    </row>
    <row r="216" spans="1:36" s="203" customFormat="1">
      <c r="A216" s="119" t="s">
        <v>176</v>
      </c>
      <c r="B216" s="116"/>
      <c r="C216" s="116"/>
      <c r="D216" s="116"/>
      <c r="E216" s="117"/>
      <c r="F216" s="160"/>
      <c r="G216" s="118"/>
      <c r="H216" s="160"/>
      <c r="I216" s="29"/>
      <c r="J216" s="231"/>
      <c r="K216" s="231"/>
      <c r="L216" s="231"/>
      <c r="M216" s="231"/>
      <c r="N216" s="231"/>
      <c r="O216" s="231"/>
      <c r="P216" s="231"/>
      <c r="Q216" s="231"/>
      <c r="R216" s="231"/>
      <c r="S216" s="231"/>
      <c r="T216" s="231"/>
      <c r="U216" s="231"/>
      <c r="V216" s="231"/>
      <c r="W216" s="231"/>
      <c r="X216" s="231"/>
      <c r="Y216" s="231"/>
      <c r="Z216" s="231"/>
      <c r="AA216" s="231"/>
      <c r="AB216" s="231"/>
      <c r="AC216" s="231"/>
      <c r="AD216" s="231"/>
      <c r="AE216" s="231"/>
      <c r="AF216" s="231"/>
      <c r="AG216" s="231"/>
      <c r="AH216" s="231"/>
      <c r="AI216" s="231"/>
      <c r="AJ216" s="231"/>
    </row>
    <row r="217" spans="1:36" s="203" customFormat="1">
      <c r="A217" s="120">
        <v>13</v>
      </c>
      <c r="B217" s="47" t="s">
        <v>177</v>
      </c>
      <c r="C217" s="47"/>
      <c r="D217" s="47"/>
      <c r="E217" s="41">
        <v>175</v>
      </c>
      <c r="F217" s="121">
        <v>178</v>
      </c>
      <c r="G217" s="118"/>
      <c r="H217" s="169">
        <v>177</v>
      </c>
      <c r="I217" s="29"/>
      <c r="J217" s="231"/>
      <c r="K217" s="231"/>
      <c r="L217" s="231"/>
      <c r="M217" s="231"/>
      <c r="N217" s="231"/>
      <c r="O217" s="231"/>
      <c r="P217" s="231"/>
      <c r="Q217" s="231"/>
      <c r="R217" s="231"/>
      <c r="S217" s="231"/>
      <c r="T217" s="231"/>
      <c r="U217" s="231"/>
      <c r="V217" s="231"/>
      <c r="W217" s="231"/>
      <c r="X217" s="231"/>
      <c r="Y217" s="231"/>
      <c r="Z217" s="231"/>
      <c r="AA217" s="231"/>
      <c r="AB217" s="231"/>
      <c r="AC217" s="231"/>
      <c r="AD217" s="231"/>
      <c r="AE217" s="231"/>
      <c r="AF217" s="231"/>
      <c r="AG217" s="231"/>
      <c r="AH217" s="231"/>
      <c r="AI217" s="231"/>
      <c r="AJ217" s="231"/>
    </row>
    <row r="218" spans="1:36" s="203" customFormat="1">
      <c r="A218" s="124">
        <v>14</v>
      </c>
      <c r="B218" s="54" t="s">
        <v>178</v>
      </c>
      <c r="C218" s="54"/>
      <c r="D218" s="54"/>
      <c r="E218" s="56">
        <v>1806</v>
      </c>
      <c r="F218" s="126">
        <v>1795</v>
      </c>
      <c r="G218" s="118"/>
      <c r="H218" s="100">
        <v>1747</v>
      </c>
      <c r="I218" s="29"/>
      <c r="J218" s="231"/>
      <c r="K218" s="231"/>
      <c r="L218" s="231"/>
      <c r="M218" s="231"/>
      <c r="N218" s="231"/>
      <c r="O218" s="231"/>
      <c r="P218" s="231"/>
      <c r="Q218" s="231"/>
      <c r="R218" s="231"/>
      <c r="S218" s="231"/>
      <c r="T218" s="231"/>
      <c r="U218" s="231"/>
      <c r="V218" s="231"/>
      <c r="W218" s="231"/>
      <c r="X218" s="231"/>
      <c r="Y218" s="231"/>
      <c r="Z218" s="231"/>
      <c r="AA218" s="231"/>
      <c r="AB218" s="231"/>
      <c r="AC218" s="231"/>
      <c r="AD218" s="231"/>
      <c r="AE218" s="231"/>
      <c r="AF218" s="231"/>
      <c r="AG218" s="231"/>
      <c r="AH218" s="231"/>
      <c r="AI218" s="231"/>
      <c r="AJ218" s="231"/>
    </row>
    <row r="219" spans="1:36" s="203" customFormat="1">
      <c r="A219" s="148"/>
      <c r="B219" s="29"/>
      <c r="C219" s="29"/>
      <c r="D219" s="170"/>
      <c r="E219" s="171"/>
      <c r="F219" s="29"/>
      <c r="G219" s="29"/>
      <c r="H219" s="207"/>
      <c r="I219" s="29"/>
      <c r="J219" s="231"/>
      <c r="K219" s="231"/>
      <c r="L219" s="231"/>
      <c r="M219" s="231"/>
      <c r="N219" s="231"/>
      <c r="O219" s="231"/>
      <c r="P219" s="231"/>
      <c r="Q219" s="231"/>
      <c r="R219" s="231"/>
      <c r="S219" s="231"/>
      <c r="T219" s="231"/>
      <c r="U219" s="231"/>
      <c r="V219" s="231"/>
      <c r="W219" s="231"/>
      <c r="X219" s="231"/>
      <c r="Y219" s="231"/>
      <c r="Z219" s="231"/>
      <c r="AA219" s="231"/>
      <c r="AB219" s="231"/>
      <c r="AC219" s="231"/>
      <c r="AD219" s="231"/>
      <c r="AE219" s="231"/>
      <c r="AF219" s="231"/>
      <c r="AG219" s="231"/>
      <c r="AH219" s="231"/>
      <c r="AI219" s="231"/>
      <c r="AJ219" s="231"/>
    </row>
    <row r="220" spans="1:36" s="203" customFormat="1">
      <c r="A220" s="148"/>
      <c r="B220" s="29"/>
      <c r="C220" s="29"/>
      <c r="D220" s="172"/>
      <c r="E220" s="152"/>
      <c r="F220" s="29"/>
      <c r="G220" s="29"/>
      <c r="H220" s="131" t="s">
        <v>27</v>
      </c>
      <c r="I220" s="29"/>
      <c r="J220" s="231"/>
      <c r="K220" s="231"/>
      <c r="L220" s="231"/>
      <c r="M220" s="231"/>
      <c r="N220" s="231"/>
      <c r="O220" s="231"/>
      <c r="P220" s="231"/>
      <c r="Q220" s="231"/>
      <c r="R220" s="231"/>
      <c r="S220" s="231"/>
      <c r="T220" s="231"/>
      <c r="U220" s="231"/>
      <c r="V220" s="231"/>
      <c r="W220" s="231"/>
      <c r="X220" s="231"/>
      <c r="Y220" s="231"/>
      <c r="Z220" s="231"/>
      <c r="AA220" s="231"/>
      <c r="AB220" s="231"/>
      <c r="AC220" s="231"/>
      <c r="AD220" s="231"/>
      <c r="AE220" s="231"/>
      <c r="AF220" s="231"/>
      <c r="AG220" s="231"/>
      <c r="AH220" s="231"/>
      <c r="AI220" s="231"/>
      <c r="AJ220" s="231"/>
    </row>
    <row r="221" spans="1:36" s="203" customFormat="1" ht="12.75" customHeight="1">
      <c r="A221" s="106" t="s">
        <v>10</v>
      </c>
      <c r="B221" s="164"/>
      <c r="C221" s="164"/>
      <c r="D221" s="164"/>
      <c r="E221" s="856" t="s">
        <v>377</v>
      </c>
      <c r="F221" s="856" t="s">
        <v>402</v>
      </c>
      <c r="G221" s="130"/>
      <c r="H221" s="856" t="s">
        <v>403</v>
      </c>
      <c r="I221" s="130"/>
      <c r="J221" s="231"/>
      <c r="K221" s="231"/>
      <c r="L221" s="231"/>
      <c r="M221" s="231"/>
      <c r="N221" s="231"/>
      <c r="O221" s="231"/>
      <c r="P221" s="231"/>
      <c r="Q221" s="231"/>
      <c r="R221" s="231"/>
      <c r="S221" s="231"/>
      <c r="T221" s="231"/>
      <c r="U221" s="231"/>
      <c r="V221" s="231"/>
      <c r="W221" s="231"/>
      <c r="X221" s="231"/>
      <c r="Y221" s="231"/>
      <c r="Z221" s="231"/>
      <c r="AA221" s="231"/>
      <c r="AB221" s="231"/>
      <c r="AC221" s="231"/>
      <c r="AD221" s="231"/>
      <c r="AE221" s="231"/>
      <c r="AF221" s="231"/>
      <c r="AG221" s="231"/>
      <c r="AH221" s="231"/>
      <c r="AI221" s="231"/>
      <c r="AJ221" s="231"/>
    </row>
    <row r="222" spans="1:36" s="203" customFormat="1">
      <c r="A222" s="109"/>
      <c r="B222" s="132"/>
      <c r="C222" s="132"/>
      <c r="D222" s="132"/>
      <c r="E222" s="859"/>
      <c r="F222" s="859"/>
      <c r="G222" s="130"/>
      <c r="H222" s="859"/>
      <c r="I222" s="130"/>
      <c r="J222" s="231"/>
      <c r="K222" s="231"/>
      <c r="L222" s="231"/>
      <c r="M222" s="231"/>
      <c r="N222" s="231"/>
      <c r="O222" s="231"/>
      <c r="P222" s="231"/>
      <c r="Q222" s="231"/>
      <c r="R222" s="231"/>
      <c r="S222" s="231"/>
      <c r="T222" s="231"/>
      <c r="U222" s="231"/>
      <c r="V222" s="231"/>
      <c r="W222" s="231"/>
      <c r="X222" s="231"/>
      <c r="Y222" s="231"/>
      <c r="Z222" s="231"/>
      <c r="AA222" s="231"/>
      <c r="AB222" s="231"/>
      <c r="AC222" s="231"/>
      <c r="AD222" s="231"/>
      <c r="AE222" s="231"/>
      <c r="AF222" s="231"/>
      <c r="AG222" s="231"/>
      <c r="AH222" s="231"/>
      <c r="AI222" s="231"/>
      <c r="AJ222" s="231"/>
    </row>
    <row r="223" spans="1:36" s="203" customFormat="1">
      <c r="A223" s="154" t="s">
        <v>179</v>
      </c>
      <c r="B223" s="116"/>
      <c r="C223" s="116"/>
      <c r="D223" s="116"/>
      <c r="E223" s="859"/>
      <c r="F223" s="859"/>
      <c r="G223" s="130"/>
      <c r="H223" s="859"/>
      <c r="I223" s="130"/>
      <c r="J223" s="231"/>
      <c r="K223" s="231"/>
      <c r="L223" s="231"/>
      <c r="M223" s="231"/>
      <c r="N223" s="231"/>
      <c r="O223" s="231"/>
      <c r="P223" s="231"/>
      <c r="Q223" s="231"/>
      <c r="R223" s="231"/>
      <c r="S223" s="231"/>
      <c r="T223" s="231"/>
      <c r="U223" s="231"/>
      <c r="V223" s="231"/>
      <c r="W223" s="231"/>
      <c r="X223" s="231"/>
      <c r="Y223" s="231"/>
      <c r="Z223" s="231"/>
      <c r="AA223" s="231"/>
      <c r="AB223" s="231"/>
      <c r="AC223" s="231"/>
      <c r="AD223" s="231"/>
      <c r="AE223" s="231"/>
      <c r="AF223" s="231"/>
      <c r="AG223" s="231"/>
      <c r="AH223" s="231"/>
      <c r="AI223" s="231"/>
      <c r="AJ223" s="231"/>
    </row>
    <row r="224" spans="1:36" s="203" customFormat="1">
      <c r="A224" s="109" t="s">
        <v>83</v>
      </c>
      <c r="B224" s="47"/>
      <c r="C224" s="47"/>
      <c r="D224" s="47"/>
      <c r="E224" s="859"/>
      <c r="F224" s="859"/>
      <c r="G224" s="130"/>
      <c r="H224" s="859"/>
      <c r="I224" s="130"/>
      <c r="J224" s="231"/>
      <c r="K224" s="231"/>
      <c r="L224" s="231"/>
      <c r="M224" s="231"/>
      <c r="N224" s="231"/>
      <c r="O224" s="231"/>
      <c r="P224" s="231"/>
      <c r="Q224" s="231"/>
      <c r="R224" s="231"/>
      <c r="S224" s="231"/>
      <c r="T224" s="231"/>
      <c r="U224" s="231"/>
      <c r="V224" s="231"/>
      <c r="W224" s="231"/>
      <c r="X224" s="231"/>
      <c r="Y224" s="231"/>
      <c r="Z224" s="231"/>
      <c r="AA224" s="231"/>
      <c r="AB224" s="231"/>
      <c r="AC224" s="231"/>
      <c r="AD224" s="231"/>
      <c r="AE224" s="231"/>
      <c r="AF224" s="231"/>
      <c r="AG224" s="231"/>
      <c r="AH224" s="231"/>
      <c r="AI224" s="231"/>
      <c r="AJ224" s="231"/>
    </row>
    <row r="225" spans="1:36" s="203" customFormat="1">
      <c r="A225" s="110" t="s">
        <v>84</v>
      </c>
      <c r="B225" s="132"/>
      <c r="C225" s="132"/>
      <c r="D225" s="132"/>
      <c r="E225" s="860"/>
      <c r="F225" s="860"/>
      <c r="G225" s="130"/>
      <c r="H225" s="860"/>
      <c r="I225" s="130"/>
      <c r="J225" s="231"/>
      <c r="K225" s="231"/>
      <c r="L225" s="231"/>
      <c r="M225" s="231"/>
      <c r="N225" s="231"/>
      <c r="O225" s="231"/>
      <c r="P225" s="231"/>
      <c r="Q225" s="231"/>
      <c r="R225" s="231"/>
      <c r="S225" s="231"/>
      <c r="T225" s="231"/>
      <c r="U225" s="231"/>
      <c r="V225" s="231"/>
      <c r="W225" s="231"/>
      <c r="X225" s="231"/>
      <c r="Y225" s="231"/>
      <c r="Z225" s="231"/>
      <c r="AA225" s="231"/>
      <c r="AB225" s="231"/>
      <c r="AC225" s="231"/>
      <c r="AD225" s="231"/>
      <c r="AE225" s="231"/>
      <c r="AF225" s="231"/>
      <c r="AG225" s="231"/>
      <c r="AH225" s="231"/>
      <c r="AI225" s="231"/>
      <c r="AJ225" s="231"/>
    </row>
    <row r="226" spans="1:36" s="203" customFormat="1">
      <c r="A226" s="120">
        <v>1</v>
      </c>
      <c r="B226" s="47" t="s">
        <v>180</v>
      </c>
      <c r="C226" s="47"/>
      <c r="D226" s="47"/>
      <c r="E226" s="41">
        <v>62</v>
      </c>
      <c r="F226" s="52">
        <v>28</v>
      </c>
      <c r="G226" s="118"/>
      <c r="H226" s="133">
        <v>81</v>
      </c>
      <c r="I226" s="29"/>
      <c r="J226" s="231"/>
      <c r="K226" s="231"/>
      <c r="L226" s="231"/>
      <c r="M226" s="231"/>
      <c r="N226" s="231"/>
      <c r="O226" s="231"/>
      <c r="P226" s="231"/>
      <c r="Q226" s="231"/>
      <c r="R226" s="231"/>
      <c r="S226" s="231"/>
      <c r="T226" s="231"/>
      <c r="U226" s="231"/>
      <c r="V226" s="231"/>
      <c r="W226" s="231"/>
      <c r="X226" s="231"/>
      <c r="Y226" s="231"/>
      <c r="Z226" s="231"/>
      <c r="AA226" s="231"/>
      <c r="AB226" s="231"/>
      <c r="AC226" s="231"/>
      <c r="AD226" s="231"/>
      <c r="AE226" s="231"/>
      <c r="AF226" s="231"/>
      <c r="AG226" s="231"/>
      <c r="AH226" s="231"/>
      <c r="AI226" s="231"/>
      <c r="AJ226" s="231"/>
    </row>
    <row r="227" spans="1:36" s="203" customFormat="1">
      <c r="A227" s="120">
        <v>2</v>
      </c>
      <c r="B227" s="47" t="s">
        <v>181</v>
      </c>
      <c r="C227" s="47"/>
      <c r="D227" s="47"/>
      <c r="E227" s="49">
        <v>216</v>
      </c>
      <c r="F227" s="52">
        <v>235</v>
      </c>
      <c r="G227" s="118"/>
      <c r="H227" s="122">
        <v>134</v>
      </c>
      <c r="I227" s="29"/>
      <c r="J227" s="231"/>
      <c r="K227" s="231"/>
      <c r="L227" s="231"/>
      <c r="M227" s="231"/>
      <c r="N227" s="231"/>
      <c r="O227" s="231"/>
      <c r="P227" s="231"/>
      <c r="Q227" s="231"/>
      <c r="R227" s="231"/>
      <c r="S227" s="231"/>
      <c r="T227" s="231"/>
      <c r="U227" s="231"/>
      <c r="V227" s="231"/>
      <c r="W227" s="231"/>
      <c r="X227" s="231"/>
      <c r="Y227" s="231"/>
      <c r="Z227" s="231"/>
      <c r="AA227" s="231"/>
      <c r="AB227" s="231"/>
      <c r="AC227" s="231"/>
      <c r="AD227" s="231"/>
      <c r="AE227" s="231"/>
      <c r="AF227" s="231"/>
      <c r="AG227" s="231"/>
      <c r="AH227" s="231"/>
      <c r="AI227" s="231"/>
      <c r="AJ227" s="231"/>
    </row>
    <row r="228" spans="1:36" s="203" customFormat="1">
      <c r="A228" s="120">
        <v>3</v>
      </c>
      <c r="B228" s="47" t="s">
        <v>182</v>
      </c>
      <c r="C228" s="47"/>
      <c r="D228" s="47"/>
      <c r="E228" s="114">
        <v>408</v>
      </c>
      <c r="F228" s="52">
        <v>384</v>
      </c>
      <c r="G228" s="118"/>
      <c r="H228" s="122">
        <v>400</v>
      </c>
      <c r="I228" s="29"/>
      <c r="J228" s="231"/>
      <c r="K228" s="231"/>
      <c r="L228" s="231"/>
      <c r="M228" s="231"/>
      <c r="N228" s="231"/>
      <c r="O228" s="231"/>
      <c r="P228" s="231"/>
      <c r="Q228" s="231"/>
      <c r="R228" s="231"/>
      <c r="S228" s="231"/>
      <c r="T228" s="231"/>
      <c r="U228" s="231"/>
      <c r="V228" s="231"/>
      <c r="W228" s="231"/>
      <c r="X228" s="231"/>
      <c r="Y228" s="231"/>
      <c r="Z228" s="231"/>
      <c r="AA228" s="231"/>
      <c r="AB228" s="231"/>
      <c r="AC228" s="231"/>
      <c r="AD228" s="231"/>
      <c r="AE228" s="231"/>
      <c r="AF228" s="231"/>
      <c r="AG228" s="231"/>
      <c r="AH228" s="231"/>
      <c r="AI228" s="231"/>
      <c r="AJ228" s="231"/>
    </row>
    <row r="229" spans="1:36" s="203" customFormat="1">
      <c r="A229" s="120">
        <v>4</v>
      </c>
      <c r="B229" s="47" t="s">
        <v>183</v>
      </c>
      <c r="C229" s="47"/>
      <c r="D229" s="47"/>
      <c r="E229" s="114">
        <v>7</v>
      </c>
      <c r="F229" s="52">
        <v>183</v>
      </c>
      <c r="G229" s="118"/>
      <c r="H229" s="122">
        <v>183</v>
      </c>
      <c r="I229" s="29"/>
      <c r="J229" s="231"/>
      <c r="K229" s="231"/>
      <c r="L229" s="231"/>
      <c r="M229" s="231"/>
      <c r="N229" s="231"/>
      <c r="O229" s="231"/>
      <c r="P229" s="231"/>
      <c r="Q229" s="231"/>
      <c r="R229" s="231"/>
      <c r="S229" s="231"/>
      <c r="T229" s="231"/>
      <c r="U229" s="231"/>
      <c r="V229" s="231"/>
      <c r="W229" s="231"/>
      <c r="X229" s="231"/>
      <c r="Y229" s="231"/>
      <c r="Z229" s="231"/>
      <c r="AA229" s="231"/>
      <c r="AB229" s="231"/>
      <c r="AC229" s="231"/>
      <c r="AD229" s="231"/>
      <c r="AE229" s="231"/>
      <c r="AF229" s="231"/>
      <c r="AG229" s="231"/>
      <c r="AH229" s="231"/>
      <c r="AI229" s="231"/>
      <c r="AJ229" s="231"/>
    </row>
    <row r="230" spans="1:36" s="203" customFormat="1">
      <c r="A230" s="120">
        <v>5</v>
      </c>
      <c r="B230" s="47" t="s">
        <v>184</v>
      </c>
      <c r="C230" s="47"/>
      <c r="D230" s="47"/>
      <c r="E230" s="114">
        <v>2698</v>
      </c>
      <c r="F230" s="52">
        <v>2825</v>
      </c>
      <c r="G230" s="118"/>
      <c r="H230" s="99">
        <v>3215</v>
      </c>
      <c r="I230" s="29"/>
      <c r="J230" s="231"/>
      <c r="K230" s="231"/>
      <c r="L230" s="231"/>
      <c r="M230" s="231"/>
      <c r="N230" s="231"/>
      <c r="O230" s="231"/>
      <c r="P230" s="231"/>
      <c r="Q230" s="231"/>
      <c r="R230" s="231"/>
      <c r="S230" s="231"/>
      <c r="T230" s="231"/>
      <c r="U230" s="231"/>
      <c r="V230" s="231"/>
      <c r="W230" s="231"/>
      <c r="X230" s="231"/>
      <c r="Y230" s="231"/>
      <c r="Z230" s="231"/>
      <c r="AA230" s="231"/>
      <c r="AB230" s="231"/>
      <c r="AC230" s="231"/>
      <c r="AD230" s="231"/>
      <c r="AE230" s="231"/>
      <c r="AF230" s="231"/>
      <c r="AG230" s="231"/>
      <c r="AH230" s="231"/>
      <c r="AI230" s="231"/>
      <c r="AJ230" s="231"/>
    </row>
    <row r="231" spans="1:36" s="203" customFormat="1">
      <c r="A231" s="124">
        <v>6</v>
      </c>
      <c r="B231" s="173" t="s">
        <v>185</v>
      </c>
      <c r="C231" s="173"/>
      <c r="D231" s="173"/>
      <c r="E231" s="159">
        <v>3391</v>
      </c>
      <c r="F231" s="61">
        <f>SUM(F226:F230)</f>
        <v>3655</v>
      </c>
      <c r="G231" s="118"/>
      <c r="H231" s="61">
        <f>SUM(H226:H230)</f>
        <v>4013</v>
      </c>
      <c r="I231" s="29"/>
      <c r="J231" s="231"/>
      <c r="K231" s="231"/>
      <c r="L231" s="231"/>
      <c r="M231" s="231"/>
      <c r="N231" s="231"/>
      <c r="O231" s="231"/>
      <c r="P231" s="231"/>
      <c r="Q231" s="231"/>
      <c r="R231" s="231"/>
      <c r="S231" s="231"/>
      <c r="T231" s="231"/>
      <c r="U231" s="231"/>
      <c r="V231" s="231"/>
      <c r="W231" s="231"/>
      <c r="X231" s="231"/>
      <c r="Y231" s="231"/>
      <c r="Z231" s="231"/>
      <c r="AA231" s="231"/>
      <c r="AB231" s="231"/>
      <c r="AC231" s="231"/>
      <c r="AD231" s="231"/>
      <c r="AE231" s="231"/>
      <c r="AF231" s="231"/>
      <c r="AG231" s="231"/>
      <c r="AH231" s="231"/>
      <c r="AI231" s="231"/>
      <c r="AJ231" s="231"/>
    </row>
    <row r="232" spans="1:36" s="203" customFormat="1">
      <c r="A232" s="148"/>
      <c r="B232" s="29"/>
      <c r="C232" s="29"/>
      <c r="D232" s="170"/>
      <c r="E232" s="150"/>
      <c r="F232" s="29"/>
      <c r="G232" s="29"/>
      <c r="H232" s="207"/>
      <c r="I232" s="29"/>
      <c r="J232" s="231"/>
      <c r="K232" s="231"/>
      <c r="L232" s="231"/>
      <c r="M232" s="231"/>
      <c r="N232" s="231"/>
      <c r="O232" s="231"/>
      <c r="P232" s="231"/>
      <c r="Q232" s="231"/>
      <c r="R232" s="231"/>
      <c r="S232" s="231"/>
      <c r="T232" s="231"/>
      <c r="U232" s="231"/>
      <c r="V232" s="231"/>
      <c r="W232" s="231"/>
      <c r="X232" s="231"/>
      <c r="Y232" s="231"/>
      <c r="Z232" s="231"/>
      <c r="AA232" s="231"/>
      <c r="AB232" s="231"/>
      <c r="AC232" s="231"/>
      <c r="AD232" s="231"/>
      <c r="AE232" s="231"/>
      <c r="AF232" s="231"/>
      <c r="AG232" s="231"/>
      <c r="AH232" s="231"/>
      <c r="AI232" s="231"/>
      <c r="AJ232" s="231"/>
    </row>
    <row r="233" spans="1:36" s="203" customFormat="1">
      <c r="A233" s="148"/>
      <c r="B233" s="29"/>
      <c r="C233" s="29"/>
      <c r="D233" s="172"/>
      <c r="E233" s="152"/>
      <c r="F233" s="29"/>
      <c r="G233" s="29"/>
      <c r="H233" s="131" t="s">
        <v>27</v>
      </c>
      <c r="I233" s="29"/>
      <c r="J233" s="231"/>
      <c r="K233" s="231"/>
      <c r="L233" s="231"/>
      <c r="M233" s="231"/>
      <c r="N233" s="231"/>
      <c r="O233" s="231"/>
      <c r="P233" s="231"/>
      <c r="Q233" s="231"/>
      <c r="R233" s="231"/>
      <c r="S233" s="231"/>
      <c r="T233" s="231"/>
      <c r="U233" s="231"/>
      <c r="V233" s="231"/>
      <c r="W233" s="231"/>
      <c r="X233" s="231"/>
      <c r="Y233" s="231"/>
      <c r="Z233" s="231"/>
      <c r="AA233" s="231"/>
      <c r="AB233" s="231"/>
      <c r="AC233" s="231"/>
      <c r="AD233" s="231"/>
      <c r="AE233" s="231"/>
      <c r="AF233" s="231"/>
      <c r="AG233" s="231"/>
      <c r="AH233" s="231"/>
      <c r="AI233" s="231"/>
      <c r="AJ233" s="231"/>
    </row>
    <row r="234" spans="1:36" s="203" customFormat="1" ht="12.75" customHeight="1">
      <c r="A234" s="106" t="s">
        <v>12</v>
      </c>
      <c r="B234" s="164"/>
      <c r="C234" s="164"/>
      <c r="D234" s="164"/>
      <c r="E234" s="856" t="s">
        <v>377</v>
      </c>
      <c r="F234" s="856" t="s">
        <v>402</v>
      </c>
      <c r="G234" s="130"/>
      <c r="H234" s="856" t="s">
        <v>403</v>
      </c>
      <c r="I234" s="130"/>
      <c r="J234" s="231"/>
      <c r="K234" s="231"/>
      <c r="L234" s="231"/>
      <c r="M234" s="231"/>
      <c r="N234" s="231"/>
      <c r="O234" s="231"/>
      <c r="P234" s="231"/>
      <c r="Q234" s="231"/>
      <c r="R234" s="231"/>
      <c r="S234" s="231"/>
      <c r="T234" s="231"/>
      <c r="U234" s="231"/>
      <c r="V234" s="231"/>
      <c r="W234" s="231"/>
      <c r="X234" s="231"/>
      <c r="Y234" s="231"/>
      <c r="Z234" s="231"/>
      <c r="AA234" s="231"/>
      <c r="AB234" s="231"/>
      <c r="AC234" s="231"/>
      <c r="AD234" s="231"/>
      <c r="AE234" s="231"/>
      <c r="AF234" s="231"/>
      <c r="AG234" s="231"/>
      <c r="AH234" s="231"/>
      <c r="AI234" s="231"/>
      <c r="AJ234" s="231"/>
    </row>
    <row r="235" spans="1:36" s="203" customFormat="1">
      <c r="A235" s="165"/>
      <c r="B235" s="47"/>
      <c r="C235" s="47"/>
      <c r="D235" s="47"/>
      <c r="E235" s="859"/>
      <c r="F235" s="859"/>
      <c r="G235" s="130"/>
      <c r="H235" s="859"/>
      <c r="I235" s="130"/>
      <c r="J235" s="231"/>
      <c r="K235" s="231"/>
      <c r="L235" s="231"/>
      <c r="M235" s="231"/>
      <c r="N235" s="231"/>
      <c r="O235" s="231"/>
      <c r="P235" s="231"/>
      <c r="Q235" s="231"/>
      <c r="R235" s="231"/>
      <c r="S235" s="231"/>
      <c r="T235" s="231"/>
      <c r="U235" s="231"/>
      <c r="V235" s="231"/>
      <c r="W235" s="231"/>
      <c r="X235" s="231"/>
      <c r="Y235" s="231"/>
      <c r="Z235" s="231"/>
      <c r="AA235" s="231"/>
      <c r="AB235" s="231"/>
      <c r="AC235" s="231"/>
      <c r="AD235" s="231"/>
      <c r="AE235" s="231"/>
      <c r="AF235" s="231"/>
      <c r="AG235" s="231"/>
      <c r="AH235" s="231"/>
      <c r="AI235" s="231"/>
      <c r="AJ235" s="231"/>
    </row>
    <row r="236" spans="1:36" s="203" customFormat="1">
      <c r="A236" s="154" t="s">
        <v>186</v>
      </c>
      <c r="B236" s="174"/>
      <c r="C236" s="174"/>
      <c r="D236" s="174"/>
      <c r="E236" s="859"/>
      <c r="F236" s="859"/>
      <c r="G236" s="130"/>
      <c r="H236" s="859"/>
      <c r="I236" s="130"/>
      <c r="J236" s="231"/>
      <c r="K236" s="231"/>
      <c r="L236" s="231"/>
      <c r="M236" s="231"/>
      <c r="N236" s="231"/>
      <c r="O236" s="231"/>
      <c r="P236" s="231"/>
      <c r="Q236" s="231"/>
      <c r="R236" s="231"/>
      <c r="S236" s="231"/>
      <c r="T236" s="231"/>
      <c r="U236" s="231"/>
      <c r="V236" s="231"/>
      <c r="W236" s="231"/>
      <c r="X236" s="231"/>
      <c r="Y236" s="231"/>
      <c r="Z236" s="231"/>
      <c r="AA236" s="231"/>
      <c r="AB236" s="231"/>
      <c r="AC236" s="231"/>
      <c r="AD236" s="231"/>
      <c r="AE236" s="231"/>
      <c r="AF236" s="231"/>
      <c r="AG236" s="231"/>
      <c r="AH236" s="231"/>
      <c r="AI236" s="231"/>
      <c r="AJ236" s="231"/>
    </row>
    <row r="237" spans="1:36" s="203" customFormat="1">
      <c r="A237" s="109" t="s">
        <v>83</v>
      </c>
      <c r="B237" s="47"/>
      <c r="C237" s="47"/>
      <c r="D237" s="47"/>
      <c r="E237" s="859"/>
      <c r="F237" s="859"/>
      <c r="G237" s="130"/>
      <c r="H237" s="859"/>
      <c r="I237" s="130"/>
      <c r="J237" s="231"/>
      <c r="K237" s="231"/>
      <c r="L237" s="231"/>
      <c r="M237" s="231"/>
      <c r="N237" s="231"/>
      <c r="O237" s="231"/>
      <c r="P237" s="231"/>
      <c r="Q237" s="231"/>
      <c r="R237" s="231"/>
      <c r="S237" s="231"/>
      <c r="T237" s="231"/>
      <c r="U237" s="231"/>
      <c r="V237" s="231"/>
      <c r="W237" s="231"/>
      <c r="X237" s="231"/>
      <c r="Y237" s="231"/>
      <c r="Z237" s="231"/>
      <c r="AA237" s="231"/>
      <c r="AB237" s="231"/>
      <c r="AC237" s="231"/>
      <c r="AD237" s="231"/>
      <c r="AE237" s="231"/>
      <c r="AF237" s="231"/>
      <c r="AG237" s="231"/>
      <c r="AH237" s="231"/>
      <c r="AI237" s="231"/>
      <c r="AJ237" s="231"/>
    </row>
    <row r="238" spans="1:36" s="203" customFormat="1">
      <c r="A238" s="110" t="s">
        <v>84</v>
      </c>
      <c r="B238" s="174"/>
      <c r="C238" s="174"/>
      <c r="D238" s="174"/>
      <c r="E238" s="860"/>
      <c r="F238" s="860"/>
      <c r="G238" s="130"/>
      <c r="H238" s="860"/>
      <c r="I238" s="130"/>
      <c r="J238" s="231"/>
      <c r="K238" s="231"/>
      <c r="L238" s="231"/>
      <c r="M238" s="231"/>
      <c r="N238" s="231"/>
      <c r="O238" s="231"/>
      <c r="P238" s="231"/>
      <c r="Q238" s="231"/>
      <c r="R238" s="231"/>
      <c r="S238" s="231"/>
      <c r="T238" s="231"/>
      <c r="U238" s="231"/>
      <c r="V238" s="231"/>
      <c r="W238" s="231"/>
      <c r="X238" s="231"/>
      <c r="Y238" s="231"/>
      <c r="Z238" s="231"/>
      <c r="AA238" s="231"/>
      <c r="AB238" s="231"/>
      <c r="AC238" s="231"/>
      <c r="AD238" s="231"/>
      <c r="AE238" s="231"/>
      <c r="AF238" s="231"/>
      <c r="AG238" s="231"/>
      <c r="AH238" s="231"/>
      <c r="AI238" s="231"/>
      <c r="AJ238" s="231"/>
    </row>
    <row r="239" spans="1:36" s="203" customFormat="1">
      <c r="A239" s="153" t="s">
        <v>187</v>
      </c>
      <c r="B239" s="116"/>
      <c r="C239" s="116"/>
      <c r="D239" s="116"/>
      <c r="E239" s="167"/>
      <c r="F239" s="146"/>
      <c r="G239" s="118"/>
      <c r="H239" s="146"/>
      <c r="I239" s="29"/>
      <c r="J239" s="231"/>
      <c r="K239" s="231"/>
      <c r="L239" s="231"/>
      <c r="M239" s="231"/>
      <c r="N239" s="231"/>
      <c r="O239" s="231"/>
      <c r="P239" s="231"/>
      <c r="Q239" s="231"/>
      <c r="R239" s="231"/>
      <c r="S239" s="231"/>
      <c r="T239" s="231"/>
      <c r="U239" s="231"/>
      <c r="V239" s="231"/>
      <c r="W239" s="231"/>
      <c r="X239" s="231"/>
      <c r="Y239" s="231"/>
      <c r="Z239" s="231"/>
      <c r="AA239" s="231"/>
      <c r="AB239" s="231"/>
      <c r="AC239" s="231"/>
      <c r="AD239" s="231"/>
      <c r="AE239" s="231"/>
      <c r="AF239" s="231"/>
      <c r="AG239" s="231"/>
      <c r="AH239" s="231"/>
      <c r="AI239" s="231"/>
      <c r="AJ239" s="231"/>
    </row>
    <row r="240" spans="1:36" s="203" customFormat="1">
      <c r="A240" s="120">
        <v>1</v>
      </c>
      <c r="B240" s="47" t="s">
        <v>188</v>
      </c>
      <c r="C240" s="47"/>
      <c r="D240" s="47"/>
      <c r="E240" s="74">
        <v>141</v>
      </c>
      <c r="F240" s="52">
        <v>173</v>
      </c>
      <c r="G240" s="118"/>
      <c r="H240" s="122">
        <v>126</v>
      </c>
      <c r="I240" s="29"/>
      <c r="J240" s="231"/>
      <c r="K240" s="231"/>
      <c r="L240" s="231"/>
      <c r="M240" s="231"/>
      <c r="N240" s="231"/>
      <c r="O240" s="231"/>
      <c r="P240" s="231"/>
      <c r="Q240" s="231"/>
      <c r="R240" s="231"/>
      <c r="S240" s="231"/>
      <c r="T240" s="231"/>
      <c r="U240" s="231"/>
      <c r="V240" s="231"/>
      <c r="W240" s="231"/>
      <c r="X240" s="231"/>
      <c r="Y240" s="231"/>
      <c r="Z240" s="231"/>
      <c r="AA240" s="231"/>
      <c r="AB240" s="231"/>
      <c r="AC240" s="231"/>
      <c r="AD240" s="231"/>
      <c r="AE240" s="231"/>
      <c r="AF240" s="231"/>
      <c r="AG240" s="231"/>
      <c r="AH240" s="231"/>
      <c r="AI240" s="231"/>
      <c r="AJ240" s="231"/>
    </row>
    <row r="241" spans="1:36" s="203" customFormat="1">
      <c r="A241" s="784">
        <v>2</v>
      </c>
      <c r="B241" s="47" t="s">
        <v>189</v>
      </c>
      <c r="C241" s="47"/>
      <c r="D241" s="47"/>
      <c r="E241" s="114">
        <v>588</v>
      </c>
      <c r="F241" s="52">
        <v>699</v>
      </c>
      <c r="G241" s="118"/>
      <c r="H241" s="100">
        <v>707</v>
      </c>
      <c r="I241" s="29"/>
      <c r="J241" s="231"/>
      <c r="K241" s="231"/>
      <c r="L241" s="231"/>
      <c r="M241" s="231"/>
      <c r="N241" s="231"/>
      <c r="O241" s="231"/>
      <c r="P241" s="231"/>
      <c r="Q241" s="231"/>
      <c r="R241" s="231"/>
      <c r="S241" s="231"/>
      <c r="T241" s="231"/>
      <c r="U241" s="231"/>
      <c r="V241" s="231"/>
      <c r="W241" s="231"/>
      <c r="X241" s="231"/>
      <c r="Y241" s="231"/>
      <c r="Z241" s="231"/>
      <c r="AA241" s="231"/>
      <c r="AB241" s="231"/>
      <c r="AC241" s="231"/>
      <c r="AD241" s="231"/>
      <c r="AE241" s="231"/>
      <c r="AF241" s="231"/>
      <c r="AG241" s="231"/>
      <c r="AH241" s="231"/>
      <c r="AI241" s="231"/>
      <c r="AJ241" s="231"/>
    </row>
    <row r="242" spans="1:36" s="203" customFormat="1">
      <c r="A242" s="784">
        <v>3</v>
      </c>
      <c r="B242" s="168" t="s">
        <v>190</v>
      </c>
      <c r="C242" s="168"/>
      <c r="D242" s="168"/>
      <c r="E242" s="80">
        <v>729</v>
      </c>
      <c r="F242" s="142">
        <f>SUM(F240:F241)</f>
        <v>872</v>
      </c>
      <c r="G242" s="118"/>
      <c r="H242" s="142">
        <f>SUM(H240:H241)</f>
        <v>833</v>
      </c>
      <c r="I242" s="29"/>
      <c r="J242" s="231"/>
      <c r="K242" s="231"/>
      <c r="L242" s="231"/>
      <c r="M242" s="231"/>
      <c r="N242" s="231"/>
      <c r="O242" s="231"/>
      <c r="P242" s="231"/>
      <c r="Q242" s="231"/>
      <c r="R242" s="231"/>
      <c r="S242" s="231"/>
      <c r="T242" s="231"/>
      <c r="U242" s="231"/>
      <c r="V242" s="231"/>
      <c r="W242" s="231"/>
      <c r="X242" s="231"/>
      <c r="Y242" s="231"/>
      <c r="Z242" s="231"/>
      <c r="AA242" s="231"/>
      <c r="AB242" s="231"/>
      <c r="AC242" s="231"/>
      <c r="AD242" s="231"/>
      <c r="AE242" s="231"/>
      <c r="AF242" s="231"/>
      <c r="AG242" s="231"/>
      <c r="AH242" s="231"/>
      <c r="AI242" s="231"/>
      <c r="AJ242" s="231"/>
    </row>
    <row r="243" spans="1:36" s="203" customFormat="1">
      <c r="A243" s="784"/>
      <c r="B243" s="116"/>
      <c r="C243" s="116"/>
      <c r="D243" s="116"/>
      <c r="E243" s="117"/>
      <c r="F243" s="118"/>
      <c r="G243" s="118"/>
      <c r="H243" s="118"/>
      <c r="I243" s="29"/>
      <c r="J243" s="231"/>
      <c r="K243" s="231"/>
      <c r="L243" s="231"/>
      <c r="M243" s="231"/>
      <c r="N243" s="231"/>
      <c r="O243" s="231"/>
      <c r="P243" s="231"/>
      <c r="Q243" s="231"/>
      <c r="R243" s="231"/>
      <c r="S243" s="231"/>
      <c r="T243" s="231"/>
      <c r="U243" s="231"/>
      <c r="V243" s="231"/>
      <c r="W243" s="231"/>
      <c r="X243" s="231"/>
      <c r="Y243" s="231"/>
      <c r="Z243" s="231"/>
      <c r="AA243" s="231"/>
      <c r="AB243" s="231"/>
      <c r="AC243" s="231"/>
      <c r="AD243" s="231"/>
      <c r="AE243" s="231"/>
      <c r="AF243" s="231"/>
      <c r="AG243" s="231"/>
      <c r="AH243" s="231"/>
      <c r="AI243" s="231"/>
      <c r="AJ243" s="231"/>
    </row>
    <row r="244" spans="1:36" s="203" customFormat="1">
      <c r="A244" s="108" t="s">
        <v>191</v>
      </c>
      <c r="B244" s="47"/>
      <c r="C244" s="47"/>
      <c r="D244" s="47"/>
      <c r="E244" s="140"/>
      <c r="F244" s="146"/>
      <c r="G244" s="118"/>
      <c r="H244" s="146"/>
      <c r="I244" s="29"/>
      <c r="J244" s="231"/>
      <c r="K244" s="231"/>
      <c r="L244" s="231"/>
      <c r="M244" s="231"/>
      <c r="N244" s="231"/>
      <c r="O244" s="231"/>
      <c r="P244" s="231"/>
      <c r="Q244" s="231"/>
      <c r="R244" s="231"/>
      <c r="S244" s="231"/>
      <c r="T244" s="231"/>
      <c r="U244" s="231"/>
      <c r="V244" s="231"/>
      <c r="W244" s="231"/>
      <c r="X244" s="231"/>
      <c r="Y244" s="231"/>
      <c r="Z244" s="231"/>
      <c r="AA244" s="231"/>
      <c r="AB244" s="231"/>
      <c r="AC244" s="231"/>
      <c r="AD244" s="231"/>
      <c r="AE244" s="231"/>
      <c r="AF244" s="231"/>
      <c r="AG244" s="231"/>
      <c r="AH244" s="231"/>
      <c r="AI244" s="231"/>
      <c r="AJ244" s="231"/>
    </row>
    <row r="245" spans="1:36" s="203" customFormat="1">
      <c r="A245" s="784">
        <v>4</v>
      </c>
      <c r="B245" s="47" t="s">
        <v>192</v>
      </c>
      <c r="C245" s="47"/>
      <c r="D245" s="47"/>
      <c r="E245" s="74">
        <v>123</v>
      </c>
      <c r="F245" s="52">
        <v>129</v>
      </c>
      <c r="G245" s="118"/>
      <c r="H245" s="122">
        <v>132</v>
      </c>
      <c r="I245" s="29"/>
      <c r="J245" s="231"/>
      <c r="K245" s="231"/>
      <c r="L245" s="231"/>
      <c r="M245" s="231"/>
      <c r="N245" s="231"/>
      <c r="O245" s="231"/>
      <c r="P245" s="231"/>
      <c r="Q245" s="231"/>
      <c r="R245" s="231"/>
      <c r="S245" s="231"/>
      <c r="T245" s="231"/>
      <c r="U245" s="231"/>
      <c r="V245" s="231"/>
      <c r="W245" s="231"/>
      <c r="X245" s="231"/>
      <c r="Y245" s="231"/>
      <c r="Z245" s="231"/>
      <c r="AA245" s="231"/>
      <c r="AB245" s="231"/>
      <c r="AC245" s="231"/>
      <c r="AD245" s="231"/>
      <c r="AE245" s="231"/>
      <c r="AF245" s="231"/>
      <c r="AG245" s="231"/>
      <c r="AH245" s="231"/>
      <c r="AI245" s="231"/>
      <c r="AJ245" s="231"/>
    </row>
    <row r="246" spans="1:36" s="203" customFormat="1">
      <c r="A246" s="784">
        <v>5</v>
      </c>
      <c r="B246" s="47" t="s">
        <v>193</v>
      </c>
      <c r="C246" s="47"/>
      <c r="D246" s="47"/>
      <c r="E246" s="49">
        <v>33</v>
      </c>
      <c r="F246" s="52">
        <v>0</v>
      </c>
      <c r="G246" s="118"/>
      <c r="H246" s="100">
        <v>0</v>
      </c>
      <c r="I246" s="29"/>
      <c r="J246" s="231"/>
      <c r="K246" s="231"/>
      <c r="L246" s="231"/>
      <c r="M246" s="231"/>
      <c r="N246" s="231"/>
      <c r="O246" s="231"/>
      <c r="P246" s="231"/>
      <c r="Q246" s="231"/>
      <c r="R246" s="231"/>
      <c r="S246" s="231"/>
      <c r="T246" s="231"/>
      <c r="U246" s="231"/>
      <c r="V246" s="231"/>
      <c r="W246" s="231"/>
      <c r="X246" s="231"/>
      <c r="Y246" s="231"/>
      <c r="Z246" s="231"/>
      <c r="AA246" s="231"/>
      <c r="AB246" s="231"/>
      <c r="AC246" s="231"/>
      <c r="AD246" s="231"/>
      <c r="AE246" s="231"/>
      <c r="AF246" s="231"/>
      <c r="AG246" s="231"/>
      <c r="AH246" s="231"/>
      <c r="AI246" s="231"/>
      <c r="AJ246" s="231"/>
    </row>
    <row r="247" spans="1:36" s="203" customFormat="1">
      <c r="A247" s="784">
        <v>6</v>
      </c>
      <c r="B247" s="116" t="s">
        <v>194</v>
      </c>
      <c r="C247" s="116"/>
      <c r="D247" s="116"/>
      <c r="E247" s="80">
        <v>156</v>
      </c>
      <c r="F247" s="142">
        <f>SUM(F245:F246)</f>
        <v>129</v>
      </c>
      <c r="G247" s="118"/>
      <c r="H247" s="142">
        <f>SUM(H245:H246)</f>
        <v>132</v>
      </c>
      <c r="I247" s="29"/>
      <c r="J247" s="231"/>
      <c r="K247" s="231"/>
      <c r="L247" s="231"/>
      <c r="M247" s="231"/>
      <c r="N247" s="231"/>
      <c r="O247" s="231"/>
      <c r="P247" s="231"/>
      <c r="Q247" s="231"/>
      <c r="R247" s="231"/>
      <c r="S247" s="231"/>
      <c r="T247" s="231"/>
      <c r="U247" s="231"/>
      <c r="V247" s="231"/>
      <c r="W247" s="231"/>
      <c r="X247" s="231"/>
      <c r="Y247" s="231"/>
      <c r="Z247" s="231"/>
      <c r="AA247" s="231"/>
      <c r="AB247" s="231"/>
      <c r="AC247" s="231"/>
      <c r="AD247" s="231"/>
      <c r="AE247" s="231"/>
      <c r="AF247" s="231"/>
      <c r="AG247" s="231"/>
      <c r="AH247" s="231"/>
      <c r="AI247" s="231"/>
      <c r="AJ247" s="231"/>
    </row>
    <row r="248" spans="1:36" s="203" customFormat="1">
      <c r="A248" s="784"/>
      <c r="B248" s="116"/>
      <c r="C248" s="116"/>
      <c r="D248" s="116"/>
      <c r="E248" s="117"/>
      <c r="F248" s="118"/>
      <c r="G248" s="118"/>
      <c r="H248" s="118"/>
      <c r="I248" s="29"/>
      <c r="J248" s="231"/>
      <c r="K248" s="231"/>
      <c r="L248" s="231"/>
      <c r="M248" s="231"/>
      <c r="N248" s="231"/>
      <c r="O248" s="231"/>
      <c r="P248" s="231"/>
      <c r="Q248" s="231"/>
      <c r="R248" s="231"/>
      <c r="S248" s="231"/>
      <c r="T248" s="231"/>
      <c r="U248" s="231"/>
      <c r="V248" s="231"/>
      <c r="W248" s="231"/>
      <c r="X248" s="231"/>
      <c r="Y248" s="231"/>
      <c r="Z248" s="231"/>
      <c r="AA248" s="231"/>
      <c r="AB248" s="231"/>
      <c r="AC248" s="231"/>
      <c r="AD248" s="231"/>
      <c r="AE248" s="231"/>
      <c r="AF248" s="231"/>
      <c r="AG248" s="231"/>
      <c r="AH248" s="231"/>
      <c r="AI248" s="231"/>
      <c r="AJ248" s="231"/>
    </row>
    <row r="249" spans="1:36" s="203" customFormat="1">
      <c r="A249" s="108" t="s">
        <v>195</v>
      </c>
      <c r="B249" s="116"/>
      <c r="C249" s="116"/>
      <c r="D249" s="116"/>
      <c r="E249" s="140"/>
      <c r="F249" s="146"/>
      <c r="G249" s="118"/>
      <c r="H249" s="146"/>
      <c r="I249" s="29"/>
      <c r="J249" s="231"/>
      <c r="K249" s="231"/>
      <c r="L249" s="231"/>
      <c r="M249" s="231"/>
      <c r="N249" s="231"/>
      <c r="O249" s="231"/>
      <c r="P249" s="231"/>
      <c r="Q249" s="231"/>
      <c r="R249" s="231"/>
      <c r="S249" s="231"/>
      <c r="T249" s="231"/>
      <c r="U249" s="231"/>
      <c r="V249" s="231"/>
      <c r="W249" s="231"/>
      <c r="X249" s="231"/>
      <c r="Y249" s="231"/>
      <c r="Z249" s="231"/>
      <c r="AA249" s="231"/>
      <c r="AB249" s="231"/>
      <c r="AC249" s="231"/>
      <c r="AD249" s="231"/>
      <c r="AE249" s="231"/>
      <c r="AF249" s="231"/>
      <c r="AG249" s="231"/>
      <c r="AH249" s="231"/>
      <c r="AI249" s="231"/>
      <c r="AJ249" s="231"/>
    </row>
    <row r="250" spans="1:36" s="203" customFormat="1">
      <c r="A250" s="784">
        <v>7</v>
      </c>
      <c r="B250" s="47" t="s">
        <v>196</v>
      </c>
      <c r="C250" s="47"/>
      <c r="D250" s="47"/>
      <c r="E250" s="74">
        <v>198</v>
      </c>
      <c r="F250" s="52">
        <v>249</v>
      </c>
      <c r="G250" s="118"/>
      <c r="H250" s="52">
        <v>227</v>
      </c>
      <c r="I250" s="29"/>
      <c r="J250" s="231"/>
      <c r="K250" s="231"/>
      <c r="L250" s="231"/>
      <c r="M250" s="231"/>
      <c r="N250" s="231"/>
      <c r="O250" s="231"/>
      <c r="P250" s="231"/>
      <c r="Q250" s="231"/>
      <c r="R250" s="231"/>
      <c r="S250" s="231"/>
      <c r="T250" s="231"/>
      <c r="U250" s="231"/>
      <c r="V250" s="231"/>
      <c r="W250" s="231"/>
      <c r="X250" s="231"/>
      <c r="Y250" s="231"/>
      <c r="Z250" s="231"/>
      <c r="AA250" s="231"/>
      <c r="AB250" s="231"/>
      <c r="AC250" s="231"/>
      <c r="AD250" s="231"/>
      <c r="AE250" s="231"/>
      <c r="AF250" s="231"/>
      <c r="AG250" s="231"/>
      <c r="AH250" s="231"/>
      <c r="AI250" s="231"/>
      <c r="AJ250" s="231"/>
    </row>
    <row r="251" spans="1:36" s="203" customFormat="1">
      <c r="A251" s="784">
        <v>8</v>
      </c>
      <c r="B251" s="47" t="s">
        <v>197</v>
      </c>
      <c r="C251" s="47"/>
      <c r="D251" s="47"/>
      <c r="E251" s="49">
        <v>4142</v>
      </c>
      <c r="F251" s="52">
        <v>4532</v>
      </c>
      <c r="G251" s="118"/>
      <c r="H251" s="122">
        <v>4326</v>
      </c>
      <c r="I251" s="29"/>
      <c r="J251" s="231"/>
      <c r="K251" s="231"/>
      <c r="L251" s="231"/>
      <c r="M251" s="231"/>
      <c r="N251" s="231"/>
      <c r="O251" s="231"/>
      <c r="P251" s="231"/>
      <c r="Q251" s="231"/>
      <c r="R251" s="231"/>
      <c r="S251" s="231"/>
      <c r="T251" s="231"/>
      <c r="U251" s="231"/>
      <c r="V251" s="231"/>
      <c r="W251" s="231"/>
      <c r="X251" s="231"/>
      <c r="Y251" s="231"/>
      <c r="Z251" s="231"/>
      <c r="AA251" s="231"/>
      <c r="AB251" s="231"/>
      <c r="AC251" s="231"/>
      <c r="AD251" s="231"/>
      <c r="AE251" s="231"/>
      <c r="AF251" s="231"/>
      <c r="AG251" s="231"/>
      <c r="AH251" s="231"/>
      <c r="AI251" s="231"/>
      <c r="AJ251" s="231"/>
    </row>
    <row r="252" spans="1:36" s="203" customFormat="1">
      <c r="A252" s="784">
        <v>9</v>
      </c>
      <c r="B252" s="47" t="s">
        <v>198</v>
      </c>
      <c r="C252" s="47"/>
      <c r="D252" s="47"/>
      <c r="E252" s="49">
        <v>2772</v>
      </c>
      <c r="F252" s="52">
        <v>3128</v>
      </c>
      <c r="G252" s="118"/>
      <c r="H252" s="122">
        <v>3202</v>
      </c>
      <c r="I252" s="29"/>
      <c r="J252" s="231"/>
      <c r="K252" s="231"/>
      <c r="L252" s="231"/>
      <c r="M252" s="231"/>
      <c r="N252" s="231"/>
      <c r="O252" s="231"/>
      <c r="P252" s="231"/>
      <c r="Q252" s="231"/>
      <c r="R252" s="231"/>
      <c r="S252" s="231"/>
      <c r="T252" s="231"/>
      <c r="U252" s="231"/>
      <c r="V252" s="231"/>
      <c r="W252" s="231"/>
      <c r="X252" s="231"/>
      <c r="Y252" s="231"/>
      <c r="Z252" s="231"/>
      <c r="AA252" s="231"/>
      <c r="AB252" s="231"/>
      <c r="AC252" s="231"/>
      <c r="AD252" s="231"/>
      <c r="AE252" s="231"/>
      <c r="AF252" s="231"/>
      <c r="AG252" s="231"/>
      <c r="AH252" s="231"/>
      <c r="AI252" s="231"/>
      <c r="AJ252" s="231"/>
    </row>
    <row r="253" spans="1:36" s="203" customFormat="1">
      <c r="A253" s="784">
        <v>10</v>
      </c>
      <c r="B253" s="47" t="s">
        <v>199</v>
      </c>
      <c r="C253" s="47"/>
      <c r="D253" s="47"/>
      <c r="E253" s="49">
        <v>116</v>
      </c>
      <c r="F253" s="52">
        <v>140</v>
      </c>
      <c r="G253" s="118"/>
      <c r="H253" s="100">
        <v>175</v>
      </c>
      <c r="I253" s="29"/>
      <c r="J253" s="231"/>
      <c r="K253" s="231"/>
      <c r="L253" s="231"/>
      <c r="M253" s="231"/>
      <c r="N253" s="231"/>
      <c r="O253" s="231"/>
      <c r="P253" s="231"/>
      <c r="Q253" s="231"/>
      <c r="R253" s="231"/>
      <c r="S253" s="231"/>
      <c r="T253" s="231"/>
      <c r="U253" s="231"/>
      <c r="V253" s="231"/>
      <c r="W253" s="231"/>
      <c r="X253" s="231"/>
      <c r="Y253" s="231"/>
      <c r="Z253" s="231"/>
      <c r="AA253" s="231"/>
      <c r="AB253" s="231"/>
      <c r="AC253" s="231"/>
      <c r="AD253" s="231"/>
      <c r="AE253" s="231"/>
      <c r="AF253" s="231"/>
      <c r="AG253" s="231"/>
      <c r="AH253" s="231"/>
      <c r="AI253" s="231"/>
      <c r="AJ253" s="231"/>
    </row>
    <row r="254" spans="1:36" s="203" customFormat="1">
      <c r="A254" s="784">
        <v>11</v>
      </c>
      <c r="B254" s="116" t="s">
        <v>200</v>
      </c>
      <c r="C254" s="116"/>
      <c r="D254" s="116"/>
      <c r="E254" s="80">
        <v>7228</v>
      </c>
      <c r="F254" s="142">
        <f>SUM(F250:F253)</f>
        <v>8049</v>
      </c>
      <c r="G254" s="118"/>
      <c r="H254" s="142">
        <f>SUM(H250:H253)</f>
        <v>7930</v>
      </c>
      <c r="I254" s="260"/>
      <c r="J254" s="231"/>
      <c r="K254" s="231"/>
      <c r="L254" s="231"/>
      <c r="M254" s="231"/>
      <c r="N254" s="231"/>
      <c r="O254" s="231"/>
      <c r="P254" s="231"/>
      <c r="Q254" s="231"/>
      <c r="R254" s="231"/>
      <c r="S254" s="231"/>
      <c r="T254" s="231"/>
      <c r="U254" s="231"/>
      <c r="V254" s="231"/>
      <c r="W254" s="231"/>
      <c r="X254" s="231"/>
      <c r="Y254" s="231"/>
      <c r="Z254" s="231"/>
      <c r="AA254" s="231"/>
      <c r="AB254" s="231"/>
      <c r="AC254" s="231"/>
      <c r="AD254" s="231"/>
      <c r="AE254" s="231"/>
      <c r="AF254" s="231"/>
      <c r="AG254" s="231"/>
      <c r="AH254" s="231"/>
      <c r="AI254" s="231"/>
      <c r="AJ254" s="231"/>
    </row>
    <row r="255" spans="1:36" s="203" customFormat="1">
      <c r="A255" s="784"/>
      <c r="B255" s="116"/>
      <c r="C255" s="116"/>
      <c r="D255" s="116"/>
      <c r="E255" s="117"/>
      <c r="F255" s="118"/>
      <c r="G255" s="118"/>
      <c r="H255" s="118"/>
      <c r="I255" s="29"/>
      <c r="J255" s="231"/>
      <c r="K255" s="231"/>
      <c r="L255" s="231"/>
      <c r="M255" s="231"/>
      <c r="N255" s="231"/>
      <c r="O255" s="231"/>
      <c r="P255" s="231"/>
      <c r="Q255" s="231"/>
      <c r="R255" s="231"/>
      <c r="S255" s="231"/>
      <c r="T255" s="231"/>
      <c r="U255" s="231"/>
      <c r="V255" s="231"/>
      <c r="W255" s="231"/>
      <c r="X255" s="231"/>
      <c r="Y255" s="231"/>
      <c r="Z255" s="231"/>
      <c r="AA255" s="231"/>
      <c r="AB255" s="231"/>
      <c r="AC255" s="231"/>
      <c r="AD255" s="231"/>
      <c r="AE255" s="231"/>
      <c r="AF255" s="231"/>
      <c r="AG255" s="231"/>
      <c r="AH255" s="231"/>
      <c r="AI255" s="231"/>
      <c r="AJ255" s="231"/>
    </row>
    <row r="256" spans="1:36" s="203" customFormat="1">
      <c r="A256" s="784">
        <v>12</v>
      </c>
      <c r="B256" s="47" t="s">
        <v>201</v>
      </c>
      <c r="C256" s="47"/>
      <c r="D256" s="47"/>
      <c r="E256" s="176">
        <v>2450</v>
      </c>
      <c r="F256" s="136">
        <v>2118</v>
      </c>
      <c r="G256" s="118"/>
      <c r="H256" s="177">
        <v>2154</v>
      </c>
      <c r="I256" s="260"/>
      <c r="J256" s="231"/>
      <c r="K256" s="231"/>
      <c r="L256" s="231"/>
      <c r="M256" s="231"/>
      <c r="N256" s="231"/>
      <c r="O256" s="231"/>
      <c r="P256" s="231"/>
      <c r="Q256" s="231"/>
      <c r="R256" s="231"/>
      <c r="S256" s="231"/>
      <c r="T256" s="231"/>
      <c r="U256" s="231"/>
      <c r="V256" s="231"/>
      <c r="W256" s="231"/>
      <c r="X256" s="231"/>
      <c r="Y256" s="231"/>
      <c r="Z256" s="231"/>
      <c r="AA256" s="231"/>
      <c r="AB256" s="231"/>
      <c r="AC256" s="231"/>
      <c r="AD256" s="231"/>
      <c r="AE256" s="231"/>
      <c r="AF256" s="231"/>
      <c r="AG256" s="231"/>
      <c r="AH256" s="231"/>
      <c r="AI256" s="231"/>
      <c r="AJ256" s="231"/>
    </row>
    <row r="257" spans="1:36" s="203" customFormat="1">
      <c r="A257" s="124">
        <v>13</v>
      </c>
      <c r="B257" s="94" t="s">
        <v>202</v>
      </c>
      <c r="C257" s="94"/>
      <c r="D257" s="94"/>
      <c r="E257" s="159">
        <v>10563</v>
      </c>
      <c r="F257" s="61">
        <f>F242+F247+F254+F256</f>
        <v>11168</v>
      </c>
      <c r="G257" s="118"/>
      <c r="H257" s="61">
        <f>H242+H247+H254+H256</f>
        <v>11049</v>
      </c>
      <c r="I257" s="21"/>
      <c r="J257" s="231"/>
      <c r="K257" s="231"/>
      <c r="L257" s="231"/>
      <c r="M257" s="231"/>
      <c r="N257" s="231"/>
      <c r="O257" s="231"/>
      <c r="P257" s="231"/>
      <c r="Q257" s="231"/>
      <c r="R257" s="231"/>
      <c r="S257" s="231"/>
      <c r="T257" s="231"/>
      <c r="U257" s="231"/>
      <c r="V257" s="231"/>
      <c r="W257" s="231"/>
      <c r="X257" s="231"/>
      <c r="Y257" s="231"/>
      <c r="Z257" s="231"/>
      <c r="AA257" s="231"/>
      <c r="AB257" s="231"/>
      <c r="AC257" s="231"/>
      <c r="AD257" s="231"/>
      <c r="AE257" s="231"/>
      <c r="AF257" s="231"/>
      <c r="AG257" s="231"/>
      <c r="AH257" s="231"/>
      <c r="AI257" s="231"/>
      <c r="AJ257" s="231"/>
    </row>
    <row r="258" spans="1:36" s="203" customFormat="1">
      <c r="A258" s="207"/>
      <c r="B258" s="207"/>
      <c r="C258" s="207"/>
      <c r="D258" s="208"/>
      <c r="E258" s="208"/>
      <c r="F258" s="207"/>
      <c r="G258" s="207"/>
      <c r="H258" s="207"/>
      <c r="I258" s="21"/>
      <c r="J258" s="231"/>
      <c r="K258" s="231"/>
      <c r="L258" s="231"/>
      <c r="M258" s="231"/>
      <c r="N258" s="231"/>
      <c r="O258" s="231"/>
      <c r="P258" s="231"/>
      <c r="Q258" s="231"/>
      <c r="R258" s="231"/>
      <c r="S258" s="231"/>
      <c r="T258" s="231"/>
      <c r="U258" s="231"/>
      <c r="V258" s="231"/>
      <c r="W258" s="231"/>
      <c r="X258" s="231"/>
      <c r="Y258" s="231"/>
      <c r="Z258" s="231"/>
      <c r="AA258" s="231"/>
      <c r="AB258" s="231"/>
      <c r="AC258" s="231"/>
      <c r="AD258" s="231"/>
      <c r="AE258" s="231"/>
      <c r="AF258" s="231"/>
      <c r="AG258" s="231"/>
      <c r="AH258" s="231"/>
      <c r="AI258" s="231"/>
      <c r="AJ258" s="231"/>
    </row>
    <row r="259" spans="1:36" s="203" customFormat="1">
      <c r="A259" s="23"/>
      <c r="B259" s="207"/>
      <c r="C259" s="207"/>
      <c r="D259" s="207"/>
      <c r="E259" s="207"/>
      <c r="F259" s="207"/>
      <c r="G259" s="207"/>
      <c r="H259" s="21"/>
      <c r="I259" s="21"/>
      <c r="J259" s="231"/>
      <c r="K259" s="231"/>
      <c r="L259" s="231"/>
      <c r="M259" s="231"/>
      <c r="N259" s="231"/>
      <c r="O259" s="231"/>
      <c r="P259" s="231"/>
      <c r="Q259" s="231"/>
      <c r="R259" s="231"/>
      <c r="S259" s="231"/>
      <c r="T259" s="231"/>
      <c r="U259" s="231"/>
      <c r="V259" s="231"/>
      <c r="W259" s="231"/>
      <c r="X259" s="231"/>
      <c r="Y259" s="231"/>
      <c r="Z259" s="231"/>
      <c r="AA259" s="231"/>
      <c r="AB259" s="231"/>
      <c r="AC259" s="231"/>
      <c r="AD259" s="231"/>
      <c r="AE259" s="231"/>
      <c r="AF259" s="231"/>
      <c r="AG259" s="231"/>
      <c r="AH259" s="231"/>
      <c r="AI259" s="231"/>
      <c r="AJ259" s="231"/>
    </row>
    <row r="260" spans="1:36" s="203" customFormat="1">
      <c r="A260" s="148"/>
      <c r="B260" s="29"/>
      <c r="C260" s="29"/>
      <c r="D260" s="172"/>
      <c r="E260" s="152"/>
      <c r="F260" s="29"/>
      <c r="G260" s="29"/>
      <c r="H260" s="131" t="s">
        <v>27</v>
      </c>
      <c r="I260" s="21"/>
      <c r="J260" s="231"/>
      <c r="K260" s="231"/>
      <c r="L260" s="231"/>
      <c r="M260" s="231"/>
      <c r="N260" s="231"/>
      <c r="O260" s="231"/>
      <c r="P260" s="231"/>
      <c r="Q260" s="231"/>
      <c r="R260" s="231"/>
      <c r="S260" s="231"/>
      <c r="T260" s="231"/>
      <c r="U260" s="231"/>
      <c r="V260" s="231"/>
      <c r="W260" s="231"/>
      <c r="X260" s="231"/>
      <c r="Y260" s="231"/>
      <c r="Z260" s="231"/>
      <c r="AA260" s="231"/>
      <c r="AB260" s="231"/>
      <c r="AC260" s="231"/>
      <c r="AD260" s="231"/>
      <c r="AE260" s="231"/>
      <c r="AF260" s="231"/>
      <c r="AG260" s="231"/>
      <c r="AH260" s="231"/>
      <c r="AI260" s="231"/>
      <c r="AJ260" s="231"/>
    </row>
    <row r="261" spans="1:36" s="203" customFormat="1" ht="12.75" customHeight="1">
      <c r="A261" s="106" t="s">
        <v>15</v>
      </c>
      <c r="B261" s="164"/>
      <c r="C261" s="164"/>
      <c r="D261" s="164"/>
      <c r="E261" s="856" t="s">
        <v>377</v>
      </c>
      <c r="F261" s="856" t="s">
        <v>402</v>
      </c>
      <c r="G261" s="130"/>
      <c r="H261" s="856" t="s">
        <v>403</v>
      </c>
      <c r="I261" s="21"/>
      <c r="J261" s="231"/>
      <c r="K261" s="231"/>
      <c r="L261" s="231"/>
      <c r="M261" s="231"/>
      <c r="N261" s="231"/>
      <c r="O261" s="231"/>
      <c r="P261" s="231"/>
      <c r="Q261" s="231"/>
      <c r="R261" s="231"/>
      <c r="S261" s="231"/>
      <c r="T261" s="231"/>
      <c r="U261" s="231"/>
      <c r="V261" s="231"/>
      <c r="W261" s="231"/>
      <c r="X261" s="231"/>
      <c r="Y261" s="231"/>
      <c r="Z261" s="231"/>
      <c r="AA261" s="231"/>
      <c r="AB261" s="231"/>
      <c r="AC261" s="231"/>
      <c r="AD261" s="231"/>
      <c r="AE261" s="231"/>
      <c r="AF261" s="231"/>
      <c r="AG261" s="231"/>
      <c r="AH261" s="231"/>
      <c r="AI261" s="231"/>
      <c r="AJ261" s="231"/>
    </row>
    <row r="262" spans="1:36" s="203" customFormat="1">
      <c r="A262" s="165"/>
      <c r="B262" s="47"/>
      <c r="C262" s="47"/>
      <c r="D262" s="47"/>
      <c r="E262" s="859"/>
      <c r="F262" s="859"/>
      <c r="G262" s="130"/>
      <c r="H262" s="859"/>
      <c r="I262" s="21"/>
      <c r="J262" s="231"/>
      <c r="K262" s="231"/>
      <c r="L262" s="231"/>
      <c r="M262" s="231"/>
      <c r="N262" s="231"/>
      <c r="O262" s="231"/>
      <c r="P262" s="231"/>
      <c r="Q262" s="231"/>
      <c r="R262" s="231"/>
      <c r="S262" s="231"/>
      <c r="T262" s="231"/>
      <c r="U262" s="231"/>
      <c r="V262" s="231"/>
      <c r="W262" s="231"/>
      <c r="X262" s="231"/>
      <c r="Y262" s="231"/>
      <c r="Z262" s="231"/>
      <c r="AA262" s="231"/>
      <c r="AB262" s="231"/>
      <c r="AC262" s="231"/>
      <c r="AD262" s="231"/>
      <c r="AE262" s="231"/>
      <c r="AF262" s="231"/>
      <c r="AG262" s="231"/>
      <c r="AH262" s="231"/>
      <c r="AI262" s="231"/>
      <c r="AJ262" s="231"/>
    </row>
    <row r="263" spans="1:36" s="203" customFormat="1">
      <c r="A263" s="109"/>
      <c r="B263" s="174"/>
      <c r="C263" s="174"/>
      <c r="D263" s="174"/>
      <c r="E263" s="859"/>
      <c r="F263" s="859"/>
      <c r="G263" s="130"/>
      <c r="H263" s="859"/>
      <c r="I263" s="21"/>
      <c r="J263" s="231"/>
      <c r="K263" s="231"/>
      <c r="L263" s="231"/>
      <c r="M263" s="231"/>
      <c r="N263" s="231"/>
      <c r="O263" s="231"/>
      <c r="P263" s="231"/>
      <c r="Q263" s="231"/>
      <c r="R263" s="231"/>
      <c r="S263" s="231"/>
      <c r="T263" s="231"/>
      <c r="U263" s="231"/>
      <c r="V263" s="231"/>
      <c r="W263" s="231"/>
      <c r="X263" s="231"/>
      <c r="Y263" s="231"/>
      <c r="Z263" s="231"/>
      <c r="AA263" s="231"/>
      <c r="AB263" s="231"/>
      <c r="AC263" s="231"/>
      <c r="AD263" s="231"/>
      <c r="AE263" s="231"/>
      <c r="AF263" s="231"/>
      <c r="AG263" s="231"/>
      <c r="AH263" s="231"/>
      <c r="AI263" s="231"/>
      <c r="AJ263" s="231"/>
    </row>
    <row r="264" spans="1:36" s="203" customFormat="1">
      <c r="A264" s="154" t="s">
        <v>203</v>
      </c>
      <c r="B264" s="47"/>
      <c r="C264" s="47"/>
      <c r="D264" s="47"/>
      <c r="E264" s="859"/>
      <c r="F264" s="859"/>
      <c r="G264" s="130"/>
      <c r="H264" s="859"/>
      <c r="I264" s="21"/>
      <c r="J264" s="231"/>
      <c r="K264" s="231"/>
      <c r="L264" s="231"/>
      <c r="M264" s="231"/>
      <c r="N264" s="231"/>
      <c r="O264" s="231"/>
      <c r="P264" s="231"/>
      <c r="Q264" s="231"/>
      <c r="R264" s="231"/>
      <c r="S264" s="231"/>
      <c r="T264" s="231"/>
      <c r="U264" s="231"/>
      <c r="V264" s="231"/>
      <c r="W264" s="231"/>
      <c r="X264" s="231"/>
      <c r="Y264" s="231"/>
      <c r="Z264" s="231"/>
      <c r="AA264" s="231"/>
      <c r="AB264" s="231"/>
      <c r="AC264" s="231"/>
      <c r="AD264" s="231"/>
      <c r="AE264" s="231"/>
      <c r="AF264" s="231"/>
      <c r="AG264" s="231"/>
      <c r="AH264" s="231"/>
      <c r="AI264" s="231"/>
      <c r="AJ264" s="231"/>
    </row>
    <row r="265" spans="1:36" s="203" customFormat="1">
      <c r="A265" s="109" t="s">
        <v>83</v>
      </c>
      <c r="B265" s="174"/>
      <c r="C265" s="174"/>
      <c r="D265" s="174"/>
      <c r="E265" s="860"/>
      <c r="F265" s="860"/>
      <c r="G265" s="130"/>
      <c r="H265" s="860"/>
      <c r="I265" s="21"/>
      <c r="J265" s="231"/>
      <c r="K265" s="231"/>
      <c r="L265" s="231"/>
      <c r="M265" s="231"/>
      <c r="N265" s="231"/>
      <c r="O265" s="231"/>
      <c r="P265" s="231"/>
      <c r="Q265" s="231"/>
      <c r="R265" s="231"/>
      <c r="S265" s="231"/>
      <c r="T265" s="231"/>
      <c r="U265" s="231"/>
      <c r="V265" s="231"/>
      <c r="W265" s="231"/>
      <c r="X265" s="231"/>
      <c r="Y265" s="231"/>
      <c r="Z265" s="231"/>
      <c r="AA265" s="231"/>
      <c r="AB265" s="231"/>
      <c r="AC265" s="231"/>
      <c r="AD265" s="231"/>
      <c r="AE265" s="231"/>
      <c r="AF265" s="231"/>
      <c r="AG265" s="231"/>
      <c r="AH265" s="231"/>
      <c r="AI265" s="231"/>
      <c r="AJ265" s="231"/>
    </row>
    <row r="266" spans="1:36" s="203" customFormat="1">
      <c r="A266" s="110" t="s">
        <v>84</v>
      </c>
      <c r="B266" s="116"/>
      <c r="C266" s="116"/>
      <c r="D266" s="116"/>
      <c r="E266" s="178"/>
      <c r="F266" s="146"/>
      <c r="G266" s="118"/>
      <c r="H266" s="146"/>
      <c r="I266" s="21"/>
      <c r="J266" s="231"/>
      <c r="K266" s="231"/>
      <c r="L266" s="231"/>
      <c r="M266" s="231"/>
      <c r="N266" s="231"/>
      <c r="O266" s="231"/>
      <c r="P266" s="231"/>
      <c r="Q266" s="231"/>
      <c r="R266" s="231"/>
      <c r="S266" s="231"/>
      <c r="T266" s="231"/>
      <c r="U266" s="231"/>
      <c r="V266" s="231"/>
      <c r="W266" s="231"/>
      <c r="X266" s="231"/>
      <c r="Y266" s="231"/>
      <c r="Z266" s="231"/>
      <c r="AA266" s="231"/>
      <c r="AB266" s="231"/>
      <c r="AC266" s="231"/>
      <c r="AD266" s="231"/>
      <c r="AE266" s="231"/>
      <c r="AF266" s="231"/>
      <c r="AG266" s="231"/>
      <c r="AH266" s="231"/>
      <c r="AI266" s="231"/>
      <c r="AJ266" s="231"/>
    </row>
    <row r="267" spans="1:36" s="203" customFormat="1">
      <c r="A267" s="120">
        <v>1</v>
      </c>
      <c r="B267" s="47" t="s">
        <v>204</v>
      </c>
      <c r="C267" s="47"/>
      <c r="D267" s="47"/>
      <c r="E267" s="74">
        <v>0</v>
      </c>
      <c r="F267" s="52">
        <v>0</v>
      </c>
      <c r="G267" s="118"/>
      <c r="H267" s="122">
        <v>0</v>
      </c>
      <c r="I267" s="21"/>
      <c r="J267" s="231"/>
      <c r="K267" s="231"/>
      <c r="L267" s="231"/>
      <c r="M267" s="231"/>
      <c r="N267" s="231"/>
      <c r="O267" s="231"/>
      <c r="P267" s="231"/>
      <c r="Q267" s="231"/>
      <c r="R267" s="231"/>
      <c r="S267" s="231"/>
      <c r="T267" s="231"/>
      <c r="U267" s="231"/>
      <c r="V267" s="231"/>
      <c r="W267" s="231"/>
      <c r="X267" s="231"/>
      <c r="Y267" s="231"/>
      <c r="Z267" s="231"/>
      <c r="AA267" s="231"/>
      <c r="AB267" s="231"/>
      <c r="AC267" s="231"/>
      <c r="AD267" s="231"/>
      <c r="AE267" s="231"/>
      <c r="AF267" s="231"/>
      <c r="AG267" s="231"/>
      <c r="AH267" s="231"/>
      <c r="AI267" s="231"/>
      <c r="AJ267" s="231"/>
    </row>
    <row r="268" spans="1:36" s="203" customFormat="1">
      <c r="A268" s="784">
        <v>2</v>
      </c>
      <c r="B268" s="166" t="s">
        <v>205</v>
      </c>
      <c r="C268" s="166"/>
      <c r="D268" s="47"/>
      <c r="E268" s="114">
        <v>0</v>
      </c>
      <c r="F268" s="52">
        <v>0</v>
      </c>
      <c r="G268" s="118"/>
      <c r="H268" s="122">
        <v>0</v>
      </c>
      <c r="I268" s="21"/>
      <c r="J268" s="231"/>
      <c r="K268" s="231"/>
      <c r="L268" s="231"/>
      <c r="M268" s="231"/>
      <c r="N268" s="231"/>
      <c r="O268" s="231"/>
      <c r="P268" s="231"/>
      <c r="Q268" s="231"/>
      <c r="R268" s="231"/>
      <c r="S268" s="231"/>
      <c r="T268" s="231"/>
      <c r="U268" s="231"/>
      <c r="V268" s="231"/>
      <c r="W268" s="231"/>
      <c r="X268" s="231"/>
      <c r="Y268" s="231"/>
      <c r="Z268" s="231"/>
      <c r="AA268" s="231"/>
      <c r="AB268" s="231"/>
      <c r="AC268" s="231"/>
      <c r="AD268" s="231"/>
      <c r="AE268" s="231"/>
      <c r="AF268" s="231"/>
      <c r="AG268" s="231"/>
      <c r="AH268" s="231"/>
      <c r="AI268" s="231"/>
      <c r="AJ268" s="231"/>
    </row>
    <row r="269" spans="1:36" s="203" customFormat="1">
      <c r="A269" s="120">
        <v>3</v>
      </c>
      <c r="B269" s="47" t="s">
        <v>206</v>
      </c>
      <c r="C269" s="47"/>
      <c r="D269" s="168"/>
      <c r="E269" s="114">
        <v>0</v>
      </c>
      <c r="F269" s="52">
        <v>0</v>
      </c>
      <c r="G269" s="118"/>
      <c r="H269" s="122">
        <v>0</v>
      </c>
      <c r="I269" s="21"/>
      <c r="J269" s="231"/>
      <c r="K269" s="231"/>
      <c r="L269" s="231"/>
      <c r="M269" s="231"/>
      <c r="N269" s="231"/>
      <c r="O269" s="231"/>
      <c r="P269" s="231"/>
      <c r="Q269" s="231"/>
      <c r="R269" s="231"/>
      <c r="S269" s="231"/>
      <c r="T269" s="231"/>
      <c r="U269" s="231"/>
      <c r="V269" s="231"/>
      <c r="W269" s="231"/>
      <c r="X269" s="231"/>
      <c r="Y269" s="231"/>
      <c r="Z269" s="231"/>
      <c r="AA269" s="231"/>
      <c r="AB269" s="231"/>
      <c r="AC269" s="231"/>
      <c r="AD269" s="231"/>
      <c r="AE269" s="231"/>
      <c r="AF269" s="231"/>
      <c r="AG269" s="231"/>
      <c r="AH269" s="231"/>
      <c r="AI269" s="231"/>
      <c r="AJ269" s="231"/>
    </row>
    <row r="270" spans="1:36" s="203" customFormat="1">
      <c r="A270" s="784">
        <v>4</v>
      </c>
      <c r="B270" s="47" t="s">
        <v>207</v>
      </c>
      <c r="C270" s="47"/>
      <c r="D270" s="116"/>
      <c r="E270" s="114">
        <v>0</v>
      </c>
      <c r="F270" s="52">
        <v>0</v>
      </c>
      <c r="G270" s="118"/>
      <c r="H270" s="122">
        <v>0</v>
      </c>
      <c r="I270" s="21"/>
      <c r="J270" s="231"/>
      <c r="K270" s="231"/>
      <c r="L270" s="231"/>
      <c r="M270" s="231"/>
      <c r="N270" s="231"/>
      <c r="O270" s="231"/>
      <c r="P270" s="231"/>
      <c r="Q270" s="231"/>
      <c r="R270" s="231"/>
      <c r="S270" s="231"/>
      <c r="T270" s="231"/>
      <c r="U270" s="231"/>
      <c r="V270" s="231"/>
      <c r="W270" s="231"/>
      <c r="X270" s="231"/>
      <c r="Y270" s="231"/>
      <c r="Z270" s="231"/>
      <c r="AA270" s="231"/>
      <c r="AB270" s="231"/>
      <c r="AC270" s="231"/>
      <c r="AD270" s="231"/>
      <c r="AE270" s="231"/>
      <c r="AF270" s="231"/>
      <c r="AG270" s="231"/>
      <c r="AH270" s="231"/>
      <c r="AI270" s="231"/>
      <c r="AJ270" s="231"/>
    </row>
    <row r="271" spans="1:36" s="203" customFormat="1">
      <c r="A271" s="120">
        <v>5</v>
      </c>
      <c r="B271" s="47" t="s">
        <v>208</v>
      </c>
      <c r="C271" s="47"/>
      <c r="D271" s="47"/>
      <c r="E271" s="114">
        <v>11</v>
      </c>
      <c r="F271" s="52">
        <v>11</v>
      </c>
      <c r="G271" s="118"/>
      <c r="H271" s="122">
        <v>27</v>
      </c>
      <c r="I271" s="21"/>
      <c r="J271" s="231"/>
      <c r="K271" s="231"/>
      <c r="L271" s="231"/>
      <c r="M271" s="231"/>
      <c r="N271" s="231"/>
      <c r="O271" s="231"/>
      <c r="P271" s="231"/>
      <c r="Q271" s="231"/>
      <c r="R271" s="231"/>
      <c r="S271" s="231"/>
      <c r="T271" s="231"/>
      <c r="U271" s="231"/>
      <c r="V271" s="231"/>
      <c r="W271" s="231"/>
      <c r="X271" s="231"/>
      <c r="Y271" s="231"/>
      <c r="Z271" s="231"/>
      <c r="AA271" s="231"/>
      <c r="AB271" s="231"/>
      <c r="AC271" s="231"/>
      <c r="AD271" s="231"/>
      <c r="AE271" s="231"/>
      <c r="AF271" s="231"/>
      <c r="AG271" s="231"/>
      <c r="AH271" s="231"/>
      <c r="AI271" s="231"/>
      <c r="AJ271" s="231"/>
    </row>
    <row r="272" spans="1:36" s="203" customFormat="1">
      <c r="A272" s="784">
        <v>6</v>
      </c>
      <c r="B272" s="47" t="s">
        <v>209</v>
      </c>
      <c r="C272" s="47"/>
      <c r="D272" s="47"/>
      <c r="E272" s="114">
        <v>11</v>
      </c>
      <c r="F272" s="52">
        <v>11</v>
      </c>
      <c r="G272" s="118"/>
      <c r="H272" s="122">
        <v>27</v>
      </c>
      <c r="I272" s="21"/>
      <c r="J272" s="231"/>
      <c r="K272" s="231"/>
      <c r="L272" s="231"/>
      <c r="M272" s="231"/>
      <c r="N272" s="231"/>
      <c r="O272" s="231"/>
      <c r="P272" s="231"/>
      <c r="Q272" s="231"/>
      <c r="R272" s="231"/>
      <c r="S272" s="231"/>
      <c r="T272" s="231"/>
      <c r="U272" s="231"/>
      <c r="V272" s="231"/>
      <c r="W272" s="231"/>
      <c r="X272" s="231"/>
      <c r="Y272" s="231"/>
      <c r="Z272" s="231"/>
      <c r="AA272" s="231"/>
      <c r="AB272" s="231"/>
      <c r="AC272" s="231"/>
      <c r="AD272" s="231"/>
      <c r="AE272" s="231"/>
      <c r="AF272" s="231"/>
      <c r="AG272" s="231"/>
      <c r="AH272" s="231"/>
      <c r="AI272" s="231"/>
      <c r="AJ272" s="231"/>
    </row>
    <row r="273" spans="1:36" s="203" customFormat="1">
      <c r="A273" s="120">
        <v>7</v>
      </c>
      <c r="B273" s="47" t="s">
        <v>210</v>
      </c>
      <c r="C273" s="47"/>
      <c r="D273" s="47"/>
      <c r="E273" s="114">
        <v>456</v>
      </c>
      <c r="F273" s="52">
        <v>524</v>
      </c>
      <c r="G273" s="118"/>
      <c r="H273" s="122">
        <v>551</v>
      </c>
      <c r="I273" s="21"/>
      <c r="J273" s="231"/>
      <c r="K273" s="231"/>
      <c r="L273" s="231"/>
      <c r="M273" s="231"/>
      <c r="N273" s="231"/>
      <c r="O273" s="231"/>
      <c r="P273" s="231"/>
      <c r="Q273" s="231"/>
      <c r="R273" s="231"/>
      <c r="S273" s="231"/>
      <c r="T273" s="231"/>
      <c r="U273" s="231"/>
      <c r="V273" s="231"/>
      <c r="W273" s="231"/>
      <c r="X273" s="231"/>
      <c r="Y273" s="231"/>
      <c r="Z273" s="231"/>
      <c r="AA273" s="231"/>
      <c r="AB273" s="231"/>
      <c r="AC273" s="231"/>
      <c r="AD273" s="231"/>
      <c r="AE273" s="231"/>
      <c r="AF273" s="231"/>
      <c r="AG273" s="231"/>
      <c r="AH273" s="231"/>
      <c r="AI273" s="231"/>
      <c r="AJ273" s="231"/>
    </row>
    <row r="274" spans="1:36" s="203" customFormat="1">
      <c r="A274" s="784">
        <v>8</v>
      </c>
      <c r="B274" s="47" t="s">
        <v>211</v>
      </c>
      <c r="C274" s="47"/>
      <c r="D274" s="47"/>
      <c r="E274" s="114">
        <v>4876</v>
      </c>
      <c r="F274" s="52">
        <v>4607</v>
      </c>
      <c r="G274" s="118"/>
      <c r="H274" s="122">
        <v>4606</v>
      </c>
      <c r="I274" s="21"/>
      <c r="J274" s="231"/>
      <c r="K274" s="231"/>
      <c r="L274" s="231"/>
      <c r="M274" s="231"/>
      <c r="N274" s="231"/>
      <c r="O274" s="231"/>
      <c r="P274" s="231"/>
      <c r="Q274" s="231"/>
      <c r="R274" s="231"/>
      <c r="S274" s="231"/>
      <c r="T274" s="231"/>
      <c r="U274" s="231"/>
      <c r="V274" s="231"/>
      <c r="W274" s="231"/>
      <c r="X274" s="231"/>
      <c r="Y274" s="231"/>
      <c r="Z274" s="231"/>
      <c r="AA274" s="231"/>
      <c r="AB274" s="231"/>
      <c r="AC274" s="231"/>
      <c r="AD274" s="231"/>
      <c r="AE274" s="231"/>
      <c r="AF274" s="231"/>
      <c r="AG274" s="231"/>
      <c r="AH274" s="231"/>
      <c r="AI274" s="231"/>
      <c r="AJ274" s="231"/>
    </row>
    <row r="275" spans="1:36" s="203" customFormat="1">
      <c r="A275" s="120">
        <v>9</v>
      </c>
      <c r="B275" s="47" t="s">
        <v>212</v>
      </c>
      <c r="C275" s="47"/>
      <c r="D275" s="47"/>
      <c r="E275" s="114">
        <v>0</v>
      </c>
      <c r="F275" s="52">
        <v>0</v>
      </c>
      <c r="G275" s="118"/>
      <c r="H275" s="122">
        <v>0</v>
      </c>
      <c r="I275" s="21"/>
      <c r="J275" s="231"/>
      <c r="K275" s="231"/>
      <c r="L275" s="231"/>
      <c r="M275" s="231"/>
      <c r="N275" s="231"/>
      <c r="O275" s="231"/>
      <c r="P275" s="231"/>
      <c r="Q275" s="231"/>
      <c r="R275" s="231"/>
      <c r="S275" s="231"/>
      <c r="T275" s="231"/>
      <c r="U275" s="231"/>
      <c r="V275" s="231"/>
      <c r="W275" s="231"/>
      <c r="X275" s="231"/>
      <c r="Y275" s="231"/>
      <c r="Z275" s="231"/>
      <c r="AA275" s="231"/>
      <c r="AB275" s="231"/>
      <c r="AC275" s="231"/>
      <c r="AD275" s="231"/>
      <c r="AE275" s="231"/>
      <c r="AF275" s="231"/>
      <c r="AG275" s="231"/>
      <c r="AH275" s="231"/>
      <c r="AI275" s="231"/>
      <c r="AJ275" s="231"/>
    </row>
    <row r="276" spans="1:36" s="203" customFormat="1">
      <c r="A276" s="784">
        <v>10</v>
      </c>
      <c r="B276" s="47" t="s">
        <v>213</v>
      </c>
      <c r="C276" s="47"/>
      <c r="D276" s="47"/>
      <c r="E276" s="114">
        <v>1777</v>
      </c>
      <c r="F276" s="52">
        <v>1583</v>
      </c>
      <c r="G276" s="118"/>
      <c r="H276" s="99">
        <v>1721</v>
      </c>
      <c r="I276" s="21"/>
      <c r="J276" s="231"/>
      <c r="K276" s="231"/>
      <c r="L276" s="231"/>
      <c r="M276" s="231"/>
      <c r="N276" s="231"/>
      <c r="O276" s="231"/>
      <c r="P276" s="231"/>
      <c r="Q276" s="231"/>
      <c r="R276" s="231"/>
      <c r="S276" s="231"/>
      <c r="T276" s="231"/>
      <c r="U276" s="231"/>
      <c r="V276" s="231"/>
      <c r="W276" s="231"/>
      <c r="X276" s="231"/>
      <c r="Y276" s="231"/>
      <c r="Z276" s="231"/>
      <c r="AA276" s="231"/>
      <c r="AB276" s="231"/>
      <c r="AC276" s="231"/>
      <c r="AD276" s="231"/>
      <c r="AE276" s="231"/>
      <c r="AF276" s="231"/>
      <c r="AG276" s="231"/>
      <c r="AH276" s="231"/>
      <c r="AI276" s="231"/>
      <c r="AJ276" s="231"/>
    </row>
    <row r="277" spans="1:36" s="203" customFormat="1">
      <c r="A277" s="124">
        <v>11</v>
      </c>
      <c r="B277" s="94" t="s">
        <v>214</v>
      </c>
      <c r="C277" s="94"/>
      <c r="D277" s="94"/>
      <c r="E277" s="159">
        <v>7131</v>
      </c>
      <c r="F277" s="61">
        <f>SUM(F267:F276)</f>
        <v>6736</v>
      </c>
      <c r="G277" s="118"/>
      <c r="H277" s="61">
        <f>SUM(H267:H276)</f>
        <v>6932</v>
      </c>
      <c r="I277" s="21"/>
      <c r="J277" s="231"/>
      <c r="K277" s="231"/>
      <c r="L277" s="231"/>
      <c r="M277" s="231"/>
      <c r="N277" s="231"/>
      <c r="O277" s="231"/>
      <c r="P277" s="231"/>
      <c r="Q277" s="231"/>
      <c r="R277" s="231"/>
      <c r="S277" s="231"/>
      <c r="T277" s="231"/>
      <c r="U277" s="231"/>
      <c r="V277" s="231"/>
      <c r="W277" s="231"/>
      <c r="X277" s="231"/>
      <c r="Y277" s="231"/>
      <c r="Z277" s="231"/>
      <c r="AA277" s="231"/>
      <c r="AB277" s="231"/>
      <c r="AC277" s="231"/>
      <c r="AD277" s="231"/>
      <c r="AE277" s="231"/>
      <c r="AF277" s="231"/>
      <c r="AG277" s="231"/>
      <c r="AH277" s="231"/>
      <c r="AI277" s="231"/>
      <c r="AJ277" s="231"/>
    </row>
    <row r="278" spans="1:36" s="203" customFormat="1">
      <c r="A278" s="207"/>
      <c r="B278" s="207"/>
      <c r="C278" s="207"/>
      <c r="D278" s="207"/>
      <c r="E278" s="207"/>
      <c r="F278" s="207"/>
      <c r="G278" s="207"/>
      <c r="H278" s="207"/>
      <c r="I278" s="21"/>
      <c r="J278" s="231"/>
      <c r="K278" s="231"/>
      <c r="L278" s="231"/>
      <c r="M278" s="231"/>
      <c r="N278" s="231"/>
      <c r="O278" s="231"/>
      <c r="P278" s="231"/>
      <c r="Q278" s="231"/>
      <c r="R278" s="231"/>
      <c r="S278" s="231"/>
      <c r="T278" s="231"/>
      <c r="U278" s="231"/>
      <c r="V278" s="231"/>
      <c r="W278" s="231"/>
      <c r="X278" s="231"/>
      <c r="Y278" s="231"/>
      <c r="Z278" s="231"/>
      <c r="AA278" s="231"/>
      <c r="AB278" s="231"/>
      <c r="AC278" s="231"/>
      <c r="AD278" s="231"/>
      <c r="AE278" s="231"/>
      <c r="AF278" s="231"/>
      <c r="AG278" s="231"/>
      <c r="AH278" s="231"/>
      <c r="AI278" s="231"/>
      <c r="AJ278" s="231"/>
    </row>
    <row r="279" spans="1:36" s="203" customFormat="1">
      <c r="A279" s="207"/>
      <c r="B279" s="207"/>
      <c r="C279" s="207"/>
      <c r="D279" s="207"/>
      <c r="E279" s="207"/>
      <c r="F279" s="207"/>
      <c r="G279" s="207"/>
      <c r="H279" s="131" t="s">
        <v>27</v>
      </c>
      <c r="I279" s="21"/>
      <c r="J279" s="231"/>
      <c r="K279" s="231"/>
      <c r="L279" s="231"/>
      <c r="M279" s="231"/>
      <c r="N279" s="231"/>
      <c r="O279" s="231"/>
      <c r="P279" s="231"/>
      <c r="Q279" s="231"/>
      <c r="R279" s="231"/>
      <c r="S279" s="231"/>
      <c r="T279" s="231"/>
      <c r="U279" s="231"/>
      <c r="V279" s="231"/>
      <c r="W279" s="231"/>
      <c r="X279" s="231"/>
      <c r="Y279" s="231"/>
      <c r="Z279" s="231"/>
      <c r="AA279" s="231"/>
      <c r="AB279" s="231"/>
      <c r="AC279" s="231"/>
      <c r="AD279" s="231"/>
      <c r="AE279" s="231"/>
      <c r="AF279" s="231"/>
      <c r="AG279" s="231"/>
      <c r="AH279" s="231"/>
      <c r="AI279" s="231"/>
      <c r="AJ279" s="231"/>
    </row>
    <row r="280" spans="1:36" s="203" customFormat="1" ht="12.75" customHeight="1">
      <c r="A280" s="106" t="s">
        <v>18</v>
      </c>
      <c r="B280" s="164"/>
      <c r="C280" s="164"/>
      <c r="D280" s="164"/>
      <c r="E280" s="856" t="s">
        <v>377</v>
      </c>
      <c r="F280" s="856" t="s">
        <v>402</v>
      </c>
      <c r="G280" s="130"/>
      <c r="H280" s="856" t="s">
        <v>403</v>
      </c>
      <c r="I280" s="21"/>
      <c r="J280" s="231"/>
      <c r="K280" s="231"/>
      <c r="L280" s="231"/>
      <c r="M280" s="231"/>
      <c r="N280" s="231"/>
      <c r="O280" s="231"/>
      <c r="P280" s="231"/>
      <c r="Q280" s="231"/>
      <c r="R280" s="231"/>
      <c r="S280" s="231"/>
      <c r="T280" s="231"/>
      <c r="U280" s="231"/>
      <c r="V280" s="231"/>
      <c r="W280" s="231"/>
      <c r="X280" s="231"/>
      <c r="Y280" s="231"/>
      <c r="Z280" s="231"/>
      <c r="AA280" s="231"/>
      <c r="AB280" s="231"/>
      <c r="AC280" s="231"/>
      <c r="AD280" s="231"/>
      <c r="AE280" s="231"/>
      <c r="AF280" s="231"/>
      <c r="AG280" s="231"/>
      <c r="AH280" s="231"/>
      <c r="AI280" s="231"/>
      <c r="AJ280" s="231"/>
    </row>
    <row r="281" spans="1:36" s="203" customFormat="1">
      <c r="A281" s="165"/>
      <c r="B281" s="47"/>
      <c r="C281" s="47"/>
      <c r="D281" s="47"/>
      <c r="E281" s="859"/>
      <c r="F281" s="859"/>
      <c r="G281" s="130"/>
      <c r="H281" s="859"/>
      <c r="I281" s="21"/>
      <c r="J281" s="231"/>
      <c r="K281" s="231"/>
      <c r="L281" s="231"/>
      <c r="M281" s="231"/>
      <c r="N281" s="231"/>
      <c r="O281" s="231"/>
      <c r="P281" s="231"/>
      <c r="Q281" s="231"/>
      <c r="R281" s="231"/>
      <c r="S281" s="231"/>
      <c r="T281" s="231"/>
      <c r="U281" s="231"/>
      <c r="V281" s="231"/>
      <c r="W281" s="231"/>
      <c r="X281" s="231"/>
      <c r="Y281" s="231"/>
      <c r="Z281" s="231"/>
      <c r="AA281" s="231"/>
      <c r="AB281" s="231"/>
      <c r="AC281" s="231"/>
      <c r="AD281" s="231"/>
      <c r="AE281" s="231"/>
      <c r="AF281" s="231"/>
      <c r="AG281" s="231"/>
      <c r="AH281" s="231"/>
      <c r="AI281" s="231"/>
      <c r="AJ281" s="231"/>
    </row>
    <row r="282" spans="1:36" s="203" customFormat="1" ht="21.75" customHeight="1">
      <c r="A282" s="109"/>
      <c r="B282" s="174"/>
      <c r="C282" s="174"/>
      <c r="D282" s="174"/>
      <c r="E282" s="859"/>
      <c r="F282" s="859"/>
      <c r="G282" s="130"/>
      <c r="H282" s="859"/>
      <c r="I282" s="21"/>
      <c r="J282" s="231"/>
      <c r="K282" s="231"/>
      <c r="L282" s="231"/>
      <c r="M282" s="231"/>
      <c r="N282" s="231"/>
      <c r="O282" s="231"/>
      <c r="P282" s="231"/>
      <c r="Q282" s="231"/>
      <c r="R282" s="231"/>
      <c r="S282" s="231"/>
      <c r="T282" s="231"/>
      <c r="U282" s="231"/>
      <c r="V282" s="231"/>
      <c r="W282" s="231"/>
      <c r="X282" s="231"/>
      <c r="Y282" s="231"/>
      <c r="Z282" s="231"/>
      <c r="AA282" s="231"/>
      <c r="AB282" s="231"/>
      <c r="AC282" s="231"/>
      <c r="AD282" s="231"/>
      <c r="AE282" s="231"/>
      <c r="AF282" s="231"/>
      <c r="AG282" s="231"/>
      <c r="AH282" s="231"/>
      <c r="AI282" s="231"/>
      <c r="AJ282" s="231"/>
    </row>
    <row r="283" spans="1:36" s="203" customFormat="1">
      <c r="A283" s="154" t="s">
        <v>215</v>
      </c>
      <c r="B283" s="47"/>
      <c r="C283" s="47"/>
      <c r="D283" s="47"/>
      <c r="E283" s="859"/>
      <c r="F283" s="859"/>
      <c r="G283" s="130"/>
      <c r="H283" s="859"/>
      <c r="I283" s="21"/>
      <c r="J283" s="231"/>
      <c r="K283" s="231"/>
      <c r="L283" s="231"/>
      <c r="M283" s="231"/>
      <c r="N283" s="231"/>
      <c r="O283" s="231"/>
      <c r="P283" s="231"/>
      <c r="Q283" s="231"/>
      <c r="R283" s="231"/>
      <c r="S283" s="231"/>
      <c r="T283" s="231"/>
      <c r="U283" s="231"/>
      <c r="V283" s="231"/>
      <c r="W283" s="231"/>
      <c r="X283" s="231"/>
      <c r="Y283" s="231"/>
      <c r="Z283" s="231"/>
      <c r="AA283" s="231"/>
      <c r="AB283" s="231"/>
      <c r="AC283" s="231"/>
      <c r="AD283" s="231"/>
      <c r="AE283" s="231"/>
      <c r="AF283" s="231"/>
      <c r="AG283" s="231"/>
      <c r="AH283" s="231"/>
      <c r="AI283" s="231"/>
      <c r="AJ283" s="231"/>
    </row>
    <row r="284" spans="1:36" s="203" customFormat="1">
      <c r="A284" s="109" t="s">
        <v>83</v>
      </c>
      <c r="B284" s="174"/>
      <c r="C284" s="174"/>
      <c r="D284" s="174"/>
      <c r="E284" s="860"/>
      <c r="F284" s="860"/>
      <c r="G284" s="130"/>
      <c r="H284" s="860"/>
      <c r="I284" s="21"/>
      <c r="J284" s="231"/>
      <c r="K284" s="231"/>
      <c r="L284" s="231"/>
      <c r="M284" s="231"/>
      <c r="N284" s="231"/>
      <c r="O284" s="231"/>
      <c r="P284" s="231"/>
      <c r="Q284" s="231"/>
      <c r="R284" s="231"/>
      <c r="S284" s="231"/>
      <c r="T284" s="231"/>
      <c r="U284" s="231"/>
      <c r="V284" s="231"/>
      <c r="W284" s="231"/>
      <c r="X284" s="231"/>
      <c r="Y284" s="231"/>
      <c r="Z284" s="231"/>
      <c r="AA284" s="231"/>
      <c r="AB284" s="231"/>
      <c r="AC284" s="231"/>
      <c r="AD284" s="231"/>
      <c r="AE284" s="231"/>
      <c r="AF284" s="231"/>
      <c r="AG284" s="231"/>
      <c r="AH284" s="231"/>
      <c r="AI284" s="231"/>
      <c r="AJ284" s="231"/>
    </row>
    <row r="285" spans="1:36" s="203" customFormat="1">
      <c r="A285" s="110" t="s">
        <v>84</v>
      </c>
      <c r="B285" s="116"/>
      <c r="C285" s="116"/>
      <c r="D285" s="116"/>
      <c r="E285" s="178"/>
      <c r="F285" s="146"/>
      <c r="G285" s="118"/>
      <c r="H285" s="146"/>
      <c r="I285" s="21"/>
      <c r="J285" s="231"/>
      <c r="K285" s="231"/>
      <c r="L285" s="231"/>
      <c r="M285" s="231"/>
      <c r="N285" s="231"/>
      <c r="O285" s="231"/>
      <c r="P285" s="231"/>
      <c r="Q285" s="231"/>
      <c r="R285" s="231"/>
      <c r="S285" s="231"/>
      <c r="T285" s="231"/>
      <c r="U285" s="231"/>
      <c r="V285" s="231"/>
      <c r="W285" s="231"/>
      <c r="X285" s="231"/>
      <c r="Y285" s="231"/>
      <c r="Z285" s="231"/>
      <c r="AA285" s="231"/>
      <c r="AB285" s="231"/>
      <c r="AC285" s="231"/>
      <c r="AD285" s="231"/>
      <c r="AE285" s="231"/>
      <c r="AF285" s="231"/>
      <c r="AG285" s="231"/>
      <c r="AH285" s="231"/>
      <c r="AI285" s="231"/>
      <c r="AJ285" s="231"/>
    </row>
    <row r="286" spans="1:36" s="203" customFormat="1">
      <c r="A286" s="120">
        <v>1</v>
      </c>
      <c r="B286" s="47" t="s">
        <v>216</v>
      </c>
      <c r="C286" s="47"/>
      <c r="D286" s="47"/>
      <c r="E286" s="74">
        <v>551</v>
      </c>
      <c r="F286" s="52">
        <v>472</v>
      </c>
      <c r="G286" s="118"/>
      <c r="H286" s="122">
        <v>463</v>
      </c>
      <c r="I286" s="21"/>
      <c r="J286" s="231"/>
      <c r="K286" s="231"/>
      <c r="L286" s="231"/>
      <c r="M286" s="231"/>
      <c r="N286" s="231"/>
      <c r="O286" s="231"/>
      <c r="P286" s="231"/>
      <c r="Q286" s="231"/>
      <c r="R286" s="231"/>
      <c r="S286" s="231"/>
      <c r="T286" s="231"/>
      <c r="U286" s="231"/>
      <c r="V286" s="231"/>
      <c r="W286" s="231"/>
      <c r="X286" s="231"/>
      <c r="Y286" s="231"/>
      <c r="Z286" s="231"/>
      <c r="AA286" s="231"/>
      <c r="AB286" s="231"/>
      <c r="AC286" s="231"/>
      <c r="AD286" s="231"/>
      <c r="AE286" s="231"/>
      <c r="AF286" s="231"/>
      <c r="AG286" s="231"/>
      <c r="AH286" s="231"/>
      <c r="AI286" s="231"/>
      <c r="AJ286" s="231"/>
    </row>
    <row r="287" spans="1:36" s="203" customFormat="1">
      <c r="A287" s="784">
        <v>2</v>
      </c>
      <c r="B287" s="47" t="s">
        <v>217</v>
      </c>
      <c r="C287" s="47"/>
      <c r="D287" s="47"/>
      <c r="E287" s="114">
        <v>240</v>
      </c>
      <c r="F287" s="52">
        <v>234</v>
      </c>
      <c r="G287" s="118"/>
      <c r="H287" s="122">
        <v>232</v>
      </c>
      <c r="I287" s="21"/>
      <c r="J287" s="231"/>
      <c r="K287" s="231"/>
      <c r="L287" s="231"/>
      <c r="M287" s="231"/>
      <c r="N287" s="231"/>
      <c r="O287" s="231"/>
      <c r="P287" s="231"/>
      <c r="Q287" s="231"/>
      <c r="R287" s="231"/>
      <c r="S287" s="231"/>
      <c r="T287" s="231"/>
      <c r="U287" s="231"/>
      <c r="V287" s="231"/>
      <c r="W287" s="231"/>
      <c r="X287" s="231"/>
      <c r="Y287" s="231"/>
      <c r="Z287" s="231"/>
      <c r="AA287" s="231"/>
      <c r="AB287" s="231"/>
      <c r="AC287" s="231"/>
      <c r="AD287" s="231"/>
      <c r="AE287" s="231"/>
      <c r="AF287" s="231"/>
      <c r="AG287" s="231"/>
      <c r="AH287" s="231"/>
      <c r="AI287" s="231"/>
      <c r="AJ287" s="231"/>
    </row>
    <row r="288" spans="1:36" s="203" customFormat="1">
      <c r="A288" s="120">
        <v>3</v>
      </c>
      <c r="B288" s="90" t="s">
        <v>218</v>
      </c>
      <c r="C288" s="166"/>
      <c r="D288" s="168"/>
      <c r="E288" s="114">
        <v>282</v>
      </c>
      <c r="F288" s="52">
        <v>264</v>
      </c>
      <c r="G288" s="118"/>
      <c r="H288" s="122">
        <v>250</v>
      </c>
      <c r="I288" s="21"/>
      <c r="J288" s="231"/>
      <c r="K288" s="231"/>
      <c r="L288" s="231"/>
      <c r="M288" s="231"/>
      <c r="N288" s="231"/>
      <c r="O288" s="231"/>
      <c r="P288" s="231"/>
      <c r="Q288" s="231"/>
      <c r="R288" s="231"/>
      <c r="S288" s="231"/>
      <c r="T288" s="231"/>
      <c r="U288" s="231"/>
      <c r="V288" s="231"/>
      <c r="W288" s="231"/>
      <c r="X288" s="231"/>
      <c r="Y288" s="231"/>
      <c r="Z288" s="231"/>
      <c r="AA288" s="231"/>
      <c r="AB288" s="231"/>
      <c r="AC288" s="231"/>
      <c r="AD288" s="231"/>
      <c r="AE288" s="231"/>
      <c r="AF288" s="231"/>
      <c r="AG288" s="231"/>
      <c r="AH288" s="231"/>
      <c r="AI288" s="231"/>
      <c r="AJ288" s="231"/>
    </row>
    <row r="289" spans="1:36" s="203" customFormat="1">
      <c r="A289" s="784">
        <v>4</v>
      </c>
      <c r="B289" s="47" t="s">
        <v>219</v>
      </c>
      <c r="C289" s="47"/>
      <c r="D289" s="116"/>
      <c r="E289" s="114">
        <v>39</v>
      </c>
      <c r="F289" s="52">
        <v>36</v>
      </c>
      <c r="G289" s="118"/>
      <c r="H289" s="122">
        <v>16</v>
      </c>
      <c r="I289" s="21"/>
      <c r="J289" s="231"/>
      <c r="K289" s="231"/>
      <c r="L289" s="231"/>
      <c r="M289" s="231"/>
      <c r="N289" s="231"/>
      <c r="O289" s="231"/>
      <c r="P289" s="231"/>
      <c r="Q289" s="231"/>
      <c r="R289" s="231"/>
      <c r="S289" s="231"/>
      <c r="T289" s="231"/>
      <c r="U289" s="231"/>
      <c r="V289" s="231"/>
      <c r="W289" s="231"/>
      <c r="X289" s="231"/>
      <c r="Y289" s="231"/>
      <c r="Z289" s="231"/>
      <c r="AA289" s="231"/>
      <c r="AB289" s="231"/>
      <c r="AC289" s="231"/>
      <c r="AD289" s="231"/>
      <c r="AE289" s="231"/>
      <c r="AF289" s="231"/>
      <c r="AG289" s="231"/>
      <c r="AH289" s="231"/>
      <c r="AI289" s="231"/>
      <c r="AJ289" s="231"/>
    </row>
    <row r="290" spans="1:36" s="203" customFormat="1">
      <c r="A290" s="784">
        <v>5</v>
      </c>
      <c r="B290" s="47" t="s">
        <v>220</v>
      </c>
      <c r="C290" s="47"/>
      <c r="D290" s="47"/>
      <c r="E290" s="114">
        <v>-87</v>
      </c>
      <c r="F290" s="52">
        <v>-87</v>
      </c>
      <c r="G290" s="118"/>
      <c r="H290" s="122">
        <v>-129</v>
      </c>
      <c r="I290" s="21"/>
      <c r="J290" s="231"/>
      <c r="K290" s="231"/>
      <c r="L290" s="231"/>
      <c r="M290" s="231"/>
      <c r="N290" s="231"/>
      <c r="O290" s="231"/>
      <c r="P290" s="231"/>
      <c r="Q290" s="231"/>
      <c r="R290" s="231"/>
      <c r="S290" s="231"/>
      <c r="T290" s="231"/>
      <c r="U290" s="231"/>
      <c r="V290" s="231"/>
      <c r="W290" s="231"/>
      <c r="X290" s="231"/>
      <c r="Y290" s="231"/>
      <c r="Z290" s="231"/>
      <c r="AA290" s="231"/>
      <c r="AB290" s="231"/>
      <c r="AC290" s="231"/>
      <c r="AD290" s="231"/>
      <c r="AE290" s="231"/>
      <c r="AF290" s="231"/>
      <c r="AG290" s="231"/>
      <c r="AH290" s="231"/>
      <c r="AI290" s="231"/>
      <c r="AJ290" s="231"/>
    </row>
    <row r="291" spans="1:36" s="203" customFormat="1">
      <c r="A291" s="120">
        <v>6</v>
      </c>
      <c r="B291" s="47" t="s">
        <v>221</v>
      </c>
      <c r="C291" s="47"/>
      <c r="D291" s="47"/>
      <c r="E291" s="114">
        <v>0</v>
      </c>
      <c r="F291" s="52">
        <v>0</v>
      </c>
      <c r="G291" s="118"/>
      <c r="H291" s="122">
        <v>0</v>
      </c>
      <c r="I291" s="21"/>
      <c r="J291" s="231"/>
      <c r="K291" s="231"/>
      <c r="L291" s="231"/>
      <c r="M291" s="231"/>
      <c r="N291" s="231"/>
      <c r="O291" s="231"/>
      <c r="P291" s="231"/>
      <c r="Q291" s="231"/>
      <c r="R291" s="231"/>
      <c r="S291" s="231"/>
      <c r="T291" s="231"/>
      <c r="U291" s="231"/>
      <c r="V291" s="231"/>
      <c r="W291" s="231"/>
      <c r="X291" s="231"/>
      <c r="Y291" s="231"/>
      <c r="Z291" s="231"/>
      <c r="AA291" s="231"/>
      <c r="AB291" s="231"/>
      <c r="AC291" s="231"/>
      <c r="AD291" s="231"/>
      <c r="AE291" s="231"/>
      <c r="AF291" s="231"/>
      <c r="AG291" s="231"/>
      <c r="AH291" s="231"/>
      <c r="AI291" s="231"/>
      <c r="AJ291" s="231"/>
    </row>
    <row r="292" spans="1:36" s="203" customFormat="1">
      <c r="A292" s="784">
        <v>7</v>
      </c>
      <c r="B292" s="47" t="s">
        <v>222</v>
      </c>
      <c r="C292" s="47"/>
      <c r="D292" s="116"/>
      <c r="E292" s="114">
        <v>165</v>
      </c>
      <c r="F292" s="52">
        <v>165</v>
      </c>
      <c r="G292" s="118"/>
      <c r="H292" s="122">
        <v>169</v>
      </c>
      <c r="I292" s="21"/>
      <c r="J292" s="231"/>
      <c r="K292" s="231"/>
      <c r="L292" s="231"/>
      <c r="M292" s="231"/>
      <c r="N292" s="231"/>
      <c r="O292" s="231"/>
      <c r="P292" s="231"/>
      <c r="Q292" s="231"/>
      <c r="R292" s="231"/>
      <c r="S292" s="231"/>
      <c r="T292" s="231"/>
      <c r="U292" s="231"/>
      <c r="V292" s="231"/>
      <c r="W292" s="231"/>
      <c r="X292" s="231"/>
      <c r="Y292" s="231"/>
      <c r="Z292" s="231"/>
      <c r="AA292" s="231"/>
      <c r="AB292" s="231"/>
      <c r="AC292" s="231"/>
      <c r="AD292" s="231"/>
      <c r="AE292" s="231"/>
      <c r="AF292" s="231"/>
      <c r="AG292" s="231"/>
      <c r="AH292" s="231"/>
      <c r="AI292" s="231"/>
      <c r="AJ292" s="231"/>
    </row>
    <row r="293" spans="1:36" s="203" customFormat="1">
      <c r="A293" s="120">
        <v>8</v>
      </c>
      <c r="B293" s="47" t="s">
        <v>223</v>
      </c>
      <c r="C293" s="47"/>
      <c r="D293" s="116"/>
      <c r="E293" s="114">
        <v>309</v>
      </c>
      <c r="F293" s="52">
        <v>309</v>
      </c>
      <c r="G293" s="118"/>
      <c r="H293" s="122">
        <v>309</v>
      </c>
      <c r="I293" s="21"/>
      <c r="J293" s="231"/>
      <c r="K293" s="231"/>
      <c r="L293" s="231"/>
      <c r="M293" s="231"/>
      <c r="N293" s="231"/>
      <c r="O293" s="231"/>
      <c r="P293" s="231"/>
      <c r="Q293" s="231"/>
      <c r="R293" s="231"/>
      <c r="S293" s="231"/>
      <c r="T293" s="231"/>
      <c r="U293" s="231"/>
      <c r="V293" s="231"/>
      <c r="W293" s="231"/>
      <c r="X293" s="231"/>
      <c r="Y293" s="231"/>
      <c r="Z293" s="231"/>
      <c r="AA293" s="231"/>
      <c r="AB293" s="231"/>
      <c r="AC293" s="231"/>
      <c r="AD293" s="231"/>
      <c r="AE293" s="231"/>
      <c r="AF293" s="231"/>
      <c r="AG293" s="231"/>
      <c r="AH293" s="231"/>
      <c r="AI293" s="231"/>
      <c r="AJ293" s="231"/>
    </row>
    <row r="294" spans="1:36" s="203" customFormat="1">
      <c r="A294" s="784">
        <v>9</v>
      </c>
      <c r="B294" s="47" t="s">
        <v>224</v>
      </c>
      <c r="C294" s="47"/>
      <c r="D294" s="116"/>
      <c r="E294" s="114">
        <v>244</v>
      </c>
      <c r="F294" s="52">
        <v>244</v>
      </c>
      <c r="G294" s="118"/>
      <c r="H294" s="122">
        <v>244</v>
      </c>
      <c r="I294" s="21"/>
      <c r="J294" s="231"/>
      <c r="K294" s="231"/>
      <c r="L294" s="231"/>
      <c r="M294" s="231"/>
      <c r="N294" s="231"/>
      <c r="O294" s="231"/>
      <c r="P294" s="231"/>
      <c r="Q294" s="231"/>
      <c r="R294" s="231"/>
      <c r="S294" s="231"/>
      <c r="T294" s="231"/>
      <c r="U294" s="231"/>
      <c r="V294" s="231"/>
      <c r="W294" s="231"/>
      <c r="X294" s="231"/>
      <c r="Y294" s="231"/>
      <c r="Z294" s="231"/>
      <c r="AA294" s="231"/>
      <c r="AB294" s="231"/>
      <c r="AC294" s="231"/>
      <c r="AD294" s="231"/>
      <c r="AE294" s="231"/>
      <c r="AF294" s="231"/>
      <c r="AG294" s="231"/>
      <c r="AH294" s="231"/>
      <c r="AI294" s="231"/>
      <c r="AJ294" s="231"/>
    </row>
    <row r="295" spans="1:36" s="203" customFormat="1">
      <c r="A295" s="120">
        <v>10</v>
      </c>
      <c r="B295" s="47" t="s">
        <v>225</v>
      </c>
      <c r="C295" s="47"/>
      <c r="D295" s="47"/>
      <c r="E295" s="114">
        <v>0</v>
      </c>
      <c r="F295" s="52">
        <v>0</v>
      </c>
      <c r="G295" s="118"/>
      <c r="H295" s="122">
        <v>0</v>
      </c>
      <c r="I295" s="21"/>
      <c r="J295" s="231"/>
      <c r="K295" s="231"/>
      <c r="L295" s="231"/>
      <c r="M295" s="231"/>
      <c r="N295" s="231"/>
      <c r="O295" s="231"/>
      <c r="P295" s="231"/>
      <c r="Q295" s="231"/>
      <c r="R295" s="231"/>
      <c r="S295" s="231"/>
      <c r="T295" s="231"/>
      <c r="U295" s="231"/>
      <c r="V295" s="231"/>
      <c r="W295" s="231"/>
      <c r="X295" s="231"/>
      <c r="Y295" s="231"/>
      <c r="Z295" s="231"/>
      <c r="AA295" s="231"/>
      <c r="AB295" s="231"/>
      <c r="AC295" s="231"/>
      <c r="AD295" s="231"/>
      <c r="AE295" s="231"/>
      <c r="AF295" s="231"/>
      <c r="AG295" s="231"/>
      <c r="AH295" s="231"/>
      <c r="AI295" s="231"/>
      <c r="AJ295" s="231"/>
    </row>
    <row r="296" spans="1:36" s="203" customFormat="1">
      <c r="A296" s="784">
        <v>11</v>
      </c>
      <c r="B296" s="47" t="s">
        <v>226</v>
      </c>
      <c r="C296" s="47"/>
      <c r="D296" s="47"/>
      <c r="E296" s="114">
        <v>350</v>
      </c>
      <c r="F296" s="52">
        <v>96</v>
      </c>
      <c r="G296" s="118"/>
      <c r="H296" s="122">
        <v>76</v>
      </c>
      <c r="I296" s="21"/>
      <c r="J296" s="231"/>
      <c r="K296" s="231"/>
      <c r="L296" s="231"/>
      <c r="M296" s="231"/>
      <c r="N296" s="231"/>
      <c r="O296" s="231"/>
      <c r="P296" s="231"/>
      <c r="Q296" s="231"/>
      <c r="R296" s="231"/>
      <c r="S296" s="231"/>
      <c r="T296" s="231"/>
      <c r="U296" s="231"/>
      <c r="V296" s="231"/>
      <c r="W296" s="231"/>
      <c r="X296" s="231"/>
      <c r="Y296" s="231"/>
      <c r="Z296" s="231"/>
      <c r="AA296" s="231"/>
      <c r="AB296" s="231"/>
      <c r="AC296" s="231"/>
      <c r="AD296" s="231"/>
      <c r="AE296" s="231"/>
      <c r="AF296" s="231"/>
      <c r="AG296" s="231"/>
      <c r="AH296" s="231"/>
      <c r="AI296" s="231"/>
      <c r="AJ296" s="231"/>
    </row>
    <row r="297" spans="1:36" s="203" customFormat="1">
      <c r="A297" s="120">
        <v>12</v>
      </c>
      <c r="B297" s="47" t="s">
        <v>227</v>
      </c>
      <c r="C297" s="47"/>
      <c r="D297" s="47"/>
      <c r="E297" s="114">
        <v>222</v>
      </c>
      <c r="F297" s="52">
        <v>194</v>
      </c>
      <c r="G297" s="118"/>
      <c r="H297" s="122">
        <v>185</v>
      </c>
      <c r="I297" s="21"/>
      <c r="J297" s="231"/>
      <c r="K297" s="231"/>
      <c r="L297" s="231"/>
      <c r="M297" s="231"/>
      <c r="N297" s="231"/>
      <c r="O297" s="231"/>
      <c r="P297" s="231"/>
      <c r="Q297" s="231"/>
      <c r="R297" s="231"/>
      <c r="S297" s="231"/>
      <c r="T297" s="231"/>
      <c r="U297" s="231"/>
      <c r="V297" s="231"/>
      <c r="W297" s="231"/>
      <c r="X297" s="231"/>
      <c r="Y297" s="231"/>
      <c r="Z297" s="231"/>
      <c r="AA297" s="231"/>
      <c r="AB297" s="231"/>
      <c r="AC297" s="231"/>
      <c r="AD297" s="231"/>
      <c r="AE297" s="231"/>
      <c r="AF297" s="231"/>
      <c r="AG297" s="231"/>
      <c r="AH297" s="231"/>
      <c r="AI297" s="231"/>
      <c r="AJ297" s="231"/>
    </row>
    <row r="298" spans="1:36" s="203" customFormat="1">
      <c r="A298" s="784">
        <v>13</v>
      </c>
      <c r="B298" s="47" t="s">
        <v>228</v>
      </c>
      <c r="C298" s="47"/>
      <c r="D298" s="47"/>
      <c r="E298" s="114">
        <v>3640</v>
      </c>
      <c r="F298" s="52">
        <v>3133</v>
      </c>
      <c r="G298" s="118"/>
      <c r="H298" s="122">
        <v>3427</v>
      </c>
      <c r="I298" s="21"/>
      <c r="J298" s="231"/>
      <c r="K298" s="231"/>
      <c r="L298" s="231"/>
      <c r="M298" s="231"/>
      <c r="N298" s="231"/>
      <c r="O298" s="231"/>
      <c r="P298" s="231"/>
      <c r="Q298" s="231"/>
      <c r="R298" s="231"/>
      <c r="S298" s="231"/>
      <c r="T298" s="231"/>
      <c r="U298" s="231"/>
      <c r="V298" s="231"/>
      <c r="W298" s="231"/>
      <c r="X298" s="231"/>
      <c r="Y298" s="231"/>
      <c r="Z298" s="231"/>
      <c r="AA298" s="231"/>
      <c r="AB298" s="231"/>
      <c r="AC298" s="231"/>
      <c r="AD298" s="231"/>
      <c r="AE298" s="231"/>
      <c r="AF298" s="231"/>
      <c r="AG298" s="231"/>
      <c r="AH298" s="231"/>
      <c r="AI298" s="231"/>
      <c r="AJ298" s="231"/>
    </row>
    <row r="299" spans="1:36" s="203" customFormat="1">
      <c r="A299" s="120">
        <v>14</v>
      </c>
      <c r="B299" s="47" t="s">
        <v>229</v>
      </c>
      <c r="C299" s="47"/>
      <c r="D299" s="116"/>
      <c r="E299" s="114">
        <v>0</v>
      </c>
      <c r="F299" s="52">
        <v>0</v>
      </c>
      <c r="G299" s="118"/>
      <c r="H299" s="122">
        <v>0</v>
      </c>
      <c r="I299" s="21"/>
      <c r="J299" s="231"/>
      <c r="K299" s="231"/>
      <c r="L299" s="231"/>
      <c r="M299" s="231"/>
      <c r="N299" s="231"/>
      <c r="O299" s="231"/>
      <c r="P299" s="231"/>
      <c r="Q299" s="231"/>
      <c r="R299" s="231"/>
      <c r="S299" s="231"/>
      <c r="T299" s="231"/>
      <c r="U299" s="231"/>
      <c r="V299" s="231"/>
      <c r="W299" s="231"/>
      <c r="X299" s="231"/>
      <c r="Y299" s="231"/>
      <c r="Z299" s="231"/>
      <c r="AA299" s="231"/>
      <c r="AB299" s="231"/>
      <c r="AC299" s="231"/>
      <c r="AD299" s="231"/>
      <c r="AE299" s="231"/>
      <c r="AF299" s="231"/>
      <c r="AG299" s="231"/>
      <c r="AH299" s="231"/>
      <c r="AI299" s="231"/>
      <c r="AJ299" s="231"/>
    </row>
    <row r="300" spans="1:36" s="203" customFormat="1">
      <c r="A300" s="784">
        <v>15</v>
      </c>
      <c r="B300" s="47" t="s">
        <v>230</v>
      </c>
      <c r="C300" s="47"/>
      <c r="D300" s="116"/>
      <c r="E300" s="114">
        <v>3100</v>
      </c>
      <c r="F300" s="52">
        <v>3100</v>
      </c>
      <c r="G300" s="118"/>
      <c r="H300" s="122">
        <v>3100</v>
      </c>
      <c r="I300" s="21"/>
      <c r="J300" s="231"/>
      <c r="K300" s="231"/>
      <c r="L300" s="231"/>
      <c r="M300" s="231"/>
      <c r="N300" s="231"/>
      <c r="O300" s="231"/>
      <c r="P300" s="231"/>
      <c r="Q300" s="231"/>
      <c r="R300" s="231"/>
      <c r="S300" s="231"/>
      <c r="T300" s="231"/>
      <c r="U300" s="231"/>
      <c r="V300" s="231"/>
      <c r="W300" s="231"/>
      <c r="X300" s="231"/>
      <c r="Y300" s="231"/>
      <c r="Z300" s="231"/>
      <c r="AA300" s="231"/>
      <c r="AB300" s="231"/>
      <c r="AC300" s="231"/>
      <c r="AD300" s="231"/>
      <c r="AE300" s="231"/>
      <c r="AF300" s="231"/>
      <c r="AG300" s="231"/>
      <c r="AH300" s="231"/>
      <c r="AI300" s="231"/>
      <c r="AJ300" s="231"/>
    </row>
    <row r="301" spans="1:36" s="203" customFormat="1">
      <c r="A301" s="120">
        <v>17</v>
      </c>
      <c r="B301" s="47" t="s">
        <v>231</v>
      </c>
      <c r="C301" s="47"/>
      <c r="D301" s="47"/>
      <c r="E301" s="114">
        <v>-4542</v>
      </c>
      <c r="F301" s="52">
        <v>-1135</v>
      </c>
      <c r="G301" s="118"/>
      <c r="H301" s="99">
        <v>-6353</v>
      </c>
      <c r="I301" s="21"/>
      <c r="J301" s="231"/>
      <c r="K301" s="231"/>
      <c r="L301" s="231"/>
      <c r="M301" s="231"/>
      <c r="N301" s="231"/>
      <c r="O301" s="231"/>
      <c r="P301" s="231"/>
      <c r="Q301" s="231"/>
      <c r="R301" s="231"/>
      <c r="S301" s="231"/>
      <c r="T301" s="231"/>
      <c r="U301" s="231"/>
      <c r="V301" s="231"/>
      <c r="W301" s="231"/>
      <c r="X301" s="231"/>
      <c r="Y301" s="231"/>
      <c r="Z301" s="231"/>
      <c r="AA301" s="231"/>
      <c r="AB301" s="231"/>
      <c r="AC301" s="231"/>
      <c r="AD301" s="231"/>
      <c r="AE301" s="231"/>
      <c r="AF301" s="231"/>
      <c r="AG301" s="231"/>
      <c r="AH301" s="231"/>
      <c r="AI301" s="231"/>
      <c r="AJ301" s="231"/>
    </row>
    <row r="302" spans="1:36" s="203" customFormat="1">
      <c r="A302" s="785">
        <v>18</v>
      </c>
      <c r="B302" s="94" t="s">
        <v>232</v>
      </c>
      <c r="C302" s="94"/>
      <c r="D302" s="94"/>
      <c r="E302" s="159">
        <v>4513</v>
      </c>
      <c r="F302" s="61">
        <f>SUM(F286:F301)</f>
        <v>7025</v>
      </c>
      <c r="G302" s="118"/>
      <c r="H302" s="61">
        <f>SUM(H286:H301)</f>
        <v>1989</v>
      </c>
      <c r="I302" s="21"/>
      <c r="J302" s="231"/>
      <c r="K302" s="231"/>
      <c r="L302" s="231"/>
      <c r="M302" s="231"/>
      <c r="N302" s="231"/>
      <c r="O302" s="231"/>
      <c r="P302" s="231"/>
      <c r="Q302" s="231"/>
      <c r="R302" s="231"/>
      <c r="S302" s="231"/>
      <c r="T302" s="231"/>
      <c r="U302" s="231"/>
      <c r="V302" s="231"/>
      <c r="W302" s="231"/>
      <c r="X302" s="231"/>
      <c r="Y302" s="231"/>
      <c r="Z302" s="231"/>
      <c r="AA302" s="231"/>
      <c r="AB302" s="231"/>
      <c r="AC302" s="231"/>
      <c r="AD302" s="231"/>
      <c r="AE302" s="231"/>
      <c r="AF302" s="231"/>
      <c r="AG302" s="231"/>
      <c r="AH302" s="231"/>
      <c r="AI302" s="231"/>
      <c r="AJ302" s="231"/>
    </row>
    <row r="303" spans="1:36" s="203" customFormat="1">
      <c r="A303" s="179"/>
      <c r="B303" s="180"/>
      <c r="C303" s="180"/>
      <c r="D303" s="181"/>
      <c r="E303" s="182"/>
      <c r="F303" s="183"/>
      <c r="G303" s="21"/>
      <c r="H303" s="183"/>
      <c r="I303" s="21"/>
      <c r="J303" s="231"/>
      <c r="K303" s="231"/>
      <c r="L303" s="231"/>
      <c r="M303" s="231"/>
      <c r="N303" s="231"/>
      <c r="O303" s="231"/>
      <c r="P303" s="231"/>
      <c r="Q303" s="231"/>
      <c r="R303" s="231"/>
      <c r="S303" s="231"/>
      <c r="T303" s="231"/>
      <c r="U303" s="231"/>
      <c r="V303" s="231"/>
      <c r="W303" s="231"/>
      <c r="X303" s="231"/>
      <c r="Y303" s="231"/>
      <c r="Z303" s="231"/>
      <c r="AA303" s="231"/>
      <c r="AB303" s="231"/>
      <c r="AC303" s="231"/>
      <c r="AD303" s="231"/>
      <c r="AE303" s="231"/>
      <c r="AF303" s="231"/>
      <c r="AG303" s="231"/>
      <c r="AH303" s="231"/>
      <c r="AI303" s="231"/>
      <c r="AJ303" s="231"/>
    </row>
    <row r="304" spans="1:36" s="203" customFormat="1">
      <c r="A304" s="184"/>
      <c r="B304" s="207"/>
      <c r="C304" s="207"/>
      <c r="D304" s="209"/>
      <c r="E304" s="185"/>
      <c r="F304" s="207"/>
      <c r="G304" s="207"/>
      <c r="H304" s="131" t="s">
        <v>27</v>
      </c>
      <c r="I304" s="21"/>
      <c r="J304" s="231"/>
      <c r="K304" s="231"/>
      <c r="L304" s="231"/>
      <c r="M304" s="231"/>
      <c r="N304" s="231"/>
      <c r="O304" s="231"/>
      <c r="P304" s="231"/>
      <c r="Q304" s="231"/>
      <c r="R304" s="231"/>
      <c r="S304" s="231"/>
      <c r="T304" s="231"/>
      <c r="U304" s="231"/>
      <c r="V304" s="231"/>
      <c r="W304" s="231"/>
      <c r="X304" s="231"/>
      <c r="Y304" s="231"/>
      <c r="Z304" s="231"/>
      <c r="AA304" s="231"/>
      <c r="AB304" s="231"/>
      <c r="AC304" s="231"/>
      <c r="AD304" s="231"/>
      <c r="AE304" s="231"/>
      <c r="AF304" s="231"/>
      <c r="AG304" s="231"/>
      <c r="AH304" s="231"/>
      <c r="AI304" s="231"/>
      <c r="AJ304" s="231"/>
    </row>
    <row r="305" spans="1:36" s="203" customFormat="1" ht="12.75" customHeight="1">
      <c r="A305" s="106" t="s">
        <v>21</v>
      </c>
      <c r="B305" s="164"/>
      <c r="C305" s="164"/>
      <c r="D305" s="164"/>
      <c r="E305" s="856" t="s">
        <v>377</v>
      </c>
      <c r="F305" s="856" t="s">
        <v>402</v>
      </c>
      <c r="G305" s="130"/>
      <c r="H305" s="856" t="s">
        <v>403</v>
      </c>
      <c r="I305" s="21"/>
      <c r="J305" s="231"/>
      <c r="K305" s="231"/>
      <c r="L305" s="231"/>
      <c r="M305" s="231"/>
      <c r="N305" s="231"/>
      <c r="O305" s="231"/>
      <c r="P305" s="231"/>
      <c r="Q305" s="231"/>
      <c r="R305" s="231"/>
      <c r="S305" s="231"/>
      <c r="T305" s="231"/>
      <c r="U305" s="231"/>
      <c r="V305" s="231"/>
      <c r="W305" s="231"/>
      <c r="X305" s="231"/>
      <c r="Y305" s="231"/>
      <c r="Z305" s="231"/>
      <c r="AA305" s="231"/>
      <c r="AB305" s="231"/>
      <c r="AC305" s="231"/>
      <c r="AD305" s="231"/>
      <c r="AE305" s="231"/>
      <c r="AF305" s="231"/>
      <c r="AG305" s="231"/>
      <c r="AH305" s="231"/>
      <c r="AI305" s="231"/>
      <c r="AJ305" s="231"/>
    </row>
    <row r="306" spans="1:36" s="203" customFormat="1">
      <c r="A306" s="165"/>
      <c r="B306" s="47"/>
      <c r="C306" s="47"/>
      <c r="D306" s="47"/>
      <c r="E306" s="859"/>
      <c r="F306" s="859"/>
      <c r="G306" s="130"/>
      <c r="H306" s="859"/>
      <c r="I306" s="21"/>
      <c r="J306" s="231"/>
      <c r="K306" s="231"/>
      <c r="L306" s="231"/>
      <c r="M306" s="231"/>
      <c r="N306" s="231"/>
      <c r="O306" s="231"/>
      <c r="P306" s="231"/>
      <c r="Q306" s="231"/>
      <c r="R306" s="231"/>
      <c r="S306" s="231"/>
      <c r="T306" s="231"/>
      <c r="U306" s="231"/>
      <c r="V306" s="231"/>
      <c r="W306" s="231"/>
      <c r="X306" s="231"/>
      <c r="Y306" s="231"/>
      <c r="Z306" s="231"/>
      <c r="AA306" s="231"/>
      <c r="AB306" s="231"/>
      <c r="AC306" s="231"/>
      <c r="AD306" s="231"/>
      <c r="AE306" s="231"/>
      <c r="AF306" s="231"/>
      <c r="AG306" s="231"/>
      <c r="AH306" s="231"/>
      <c r="AI306" s="231"/>
      <c r="AJ306" s="231"/>
    </row>
    <row r="307" spans="1:36" s="203" customFormat="1" ht="12.75" customHeight="1">
      <c r="A307" s="109"/>
      <c r="B307" s="174"/>
      <c r="C307" s="174"/>
      <c r="D307" s="174"/>
      <c r="E307" s="859"/>
      <c r="F307" s="859"/>
      <c r="G307" s="130"/>
      <c r="H307" s="859"/>
      <c r="I307" s="21"/>
      <c r="J307" s="231"/>
      <c r="K307" s="231"/>
      <c r="L307" s="231"/>
      <c r="M307" s="231"/>
      <c r="N307" s="231"/>
      <c r="O307" s="231"/>
      <c r="P307" s="231"/>
      <c r="Q307" s="231"/>
      <c r="R307" s="231"/>
      <c r="S307" s="231"/>
      <c r="T307" s="231"/>
      <c r="U307" s="231"/>
      <c r="V307" s="231"/>
      <c r="W307" s="231"/>
      <c r="X307" s="231"/>
      <c r="Y307" s="231"/>
      <c r="Z307" s="231"/>
      <c r="AA307" s="231"/>
      <c r="AB307" s="231"/>
      <c r="AC307" s="231"/>
      <c r="AD307" s="231"/>
      <c r="AE307" s="231"/>
      <c r="AF307" s="231"/>
      <c r="AG307" s="231"/>
      <c r="AH307" s="231"/>
      <c r="AI307" s="231"/>
      <c r="AJ307" s="231"/>
    </row>
    <row r="308" spans="1:36" s="203" customFormat="1">
      <c r="A308" s="154" t="s">
        <v>233</v>
      </c>
      <c r="B308" s="47"/>
      <c r="C308" s="47"/>
      <c r="D308" s="47"/>
      <c r="E308" s="859"/>
      <c r="F308" s="859"/>
      <c r="G308" s="130"/>
      <c r="H308" s="859"/>
      <c r="I308" s="21"/>
      <c r="J308" s="231"/>
      <c r="K308" s="231"/>
      <c r="L308" s="231"/>
      <c r="M308" s="231"/>
      <c r="N308" s="231"/>
      <c r="O308" s="231"/>
      <c r="P308" s="231"/>
      <c r="Q308" s="231"/>
      <c r="R308" s="231"/>
      <c r="S308" s="231"/>
      <c r="T308" s="231"/>
      <c r="U308" s="231"/>
      <c r="V308" s="231"/>
      <c r="W308" s="231"/>
      <c r="X308" s="231"/>
      <c r="Y308" s="231"/>
      <c r="Z308" s="231"/>
      <c r="AA308" s="231"/>
      <c r="AB308" s="231"/>
      <c r="AC308" s="231"/>
      <c r="AD308" s="231"/>
      <c r="AE308" s="231"/>
      <c r="AF308" s="231"/>
      <c r="AG308" s="231"/>
      <c r="AH308" s="231"/>
      <c r="AI308" s="231"/>
      <c r="AJ308" s="231"/>
    </row>
    <row r="309" spans="1:36" s="203" customFormat="1">
      <c r="A309" s="109" t="s">
        <v>83</v>
      </c>
      <c r="B309" s="174"/>
      <c r="C309" s="174"/>
      <c r="D309" s="174"/>
      <c r="E309" s="860"/>
      <c r="F309" s="860"/>
      <c r="G309" s="130"/>
      <c r="H309" s="860"/>
      <c r="I309" s="21"/>
      <c r="J309" s="231"/>
      <c r="K309" s="231"/>
      <c r="L309" s="231"/>
      <c r="M309" s="231"/>
      <c r="N309" s="231"/>
      <c r="O309" s="231"/>
      <c r="P309" s="231"/>
      <c r="Q309" s="231"/>
      <c r="R309" s="231"/>
      <c r="S309" s="231"/>
      <c r="T309" s="231"/>
      <c r="U309" s="231"/>
      <c r="V309" s="231"/>
      <c r="W309" s="231"/>
      <c r="X309" s="231"/>
      <c r="Y309" s="231"/>
      <c r="Z309" s="231"/>
      <c r="AA309" s="231"/>
      <c r="AB309" s="231"/>
      <c r="AC309" s="231"/>
      <c r="AD309" s="231"/>
      <c r="AE309" s="231"/>
      <c r="AF309" s="231"/>
      <c r="AG309" s="231"/>
      <c r="AH309" s="231"/>
      <c r="AI309" s="231"/>
      <c r="AJ309" s="231"/>
    </row>
    <row r="310" spans="1:36" s="203" customFormat="1">
      <c r="A310" s="110" t="s">
        <v>84</v>
      </c>
      <c r="B310" s="116"/>
      <c r="C310" s="116"/>
      <c r="D310" s="116"/>
      <c r="E310" s="262"/>
      <c r="F310" s="146"/>
      <c r="G310" s="118"/>
      <c r="H310" s="146"/>
      <c r="I310" s="21"/>
      <c r="J310" s="231"/>
      <c r="K310" s="231"/>
      <c r="L310" s="231"/>
      <c r="M310" s="231"/>
      <c r="N310" s="231"/>
      <c r="O310" s="231"/>
      <c r="P310" s="231"/>
      <c r="Q310" s="231"/>
      <c r="R310" s="231"/>
      <c r="S310" s="231"/>
      <c r="T310" s="231"/>
      <c r="U310" s="231"/>
      <c r="V310" s="231"/>
      <c r="W310" s="231"/>
      <c r="X310" s="231"/>
      <c r="Y310" s="231"/>
      <c r="Z310" s="231"/>
      <c r="AA310" s="231"/>
      <c r="AB310" s="231"/>
      <c r="AC310" s="231"/>
      <c r="AD310" s="231"/>
      <c r="AE310" s="231"/>
      <c r="AF310" s="231"/>
      <c r="AG310" s="231"/>
      <c r="AH310" s="231"/>
      <c r="AI310" s="231"/>
      <c r="AJ310" s="231"/>
    </row>
    <row r="311" spans="1:36" s="203" customFormat="1">
      <c r="A311" s="120">
        <v>1</v>
      </c>
      <c r="B311" s="47" t="s">
        <v>258</v>
      </c>
      <c r="C311" s="47"/>
      <c r="D311" s="186"/>
      <c r="E311" s="74">
        <v>-2440</v>
      </c>
      <c r="F311" s="52">
        <v>-3020</v>
      </c>
      <c r="G311" s="43"/>
      <c r="H311" s="52">
        <v>-2026</v>
      </c>
      <c r="I311" s="21"/>
      <c r="J311" s="231"/>
      <c r="K311" s="231"/>
      <c r="L311" s="231"/>
      <c r="M311" s="231"/>
      <c r="N311" s="231"/>
      <c r="O311" s="231"/>
      <c r="P311" s="231"/>
      <c r="Q311" s="231"/>
      <c r="R311" s="231"/>
      <c r="S311" s="231"/>
      <c r="T311" s="231"/>
      <c r="U311" s="231"/>
      <c r="V311" s="231"/>
      <c r="W311" s="231"/>
      <c r="X311" s="231"/>
      <c r="Y311" s="231"/>
      <c r="Z311" s="231"/>
      <c r="AA311" s="231"/>
      <c r="AB311" s="231"/>
      <c r="AC311" s="231"/>
      <c r="AD311" s="231"/>
      <c r="AE311" s="231"/>
      <c r="AF311" s="231"/>
      <c r="AG311" s="231"/>
      <c r="AH311" s="231"/>
      <c r="AI311" s="231"/>
      <c r="AJ311" s="231"/>
    </row>
    <row r="312" spans="1:36" s="203" customFormat="1">
      <c r="A312" s="120">
        <v>2</v>
      </c>
      <c r="B312" s="47" t="s">
        <v>234</v>
      </c>
      <c r="C312" s="47"/>
      <c r="D312" s="186"/>
      <c r="E312" s="114">
        <v>0</v>
      </c>
      <c r="F312" s="52">
        <v>0</v>
      </c>
      <c r="G312" s="43"/>
      <c r="H312" s="52">
        <v>0</v>
      </c>
      <c r="I312" s="21"/>
      <c r="J312" s="231"/>
      <c r="K312" s="231"/>
      <c r="L312" s="231"/>
      <c r="M312" s="231"/>
      <c r="N312" s="231"/>
      <c r="O312" s="231"/>
      <c r="P312" s="231"/>
      <c r="Q312" s="231"/>
      <c r="R312" s="231"/>
      <c r="S312" s="231"/>
      <c r="T312" s="231"/>
      <c r="U312" s="231"/>
      <c r="V312" s="231"/>
      <c r="W312" s="231"/>
      <c r="X312" s="231"/>
      <c r="Y312" s="231"/>
      <c r="Z312" s="231"/>
      <c r="AA312" s="231"/>
      <c r="AB312" s="231"/>
      <c r="AC312" s="231"/>
      <c r="AD312" s="231"/>
      <c r="AE312" s="231"/>
      <c r="AF312" s="231"/>
      <c r="AG312" s="231"/>
      <c r="AH312" s="231"/>
      <c r="AI312" s="231"/>
      <c r="AJ312" s="231"/>
    </row>
    <row r="313" spans="1:36" s="203" customFormat="1">
      <c r="A313" s="120">
        <v>3</v>
      </c>
      <c r="B313" s="47" t="s">
        <v>259</v>
      </c>
      <c r="C313" s="47"/>
      <c r="D313" s="186"/>
      <c r="E313" s="114">
        <v>-32</v>
      </c>
      <c r="F313" s="52">
        <v>-86</v>
      </c>
      <c r="G313" s="43"/>
      <c r="H313" s="52">
        <v>-86</v>
      </c>
      <c r="I313" s="21"/>
      <c r="J313" s="231"/>
      <c r="K313" s="231"/>
      <c r="L313" s="231"/>
      <c r="M313" s="231"/>
      <c r="N313" s="231"/>
      <c r="O313" s="231"/>
      <c r="P313" s="231"/>
      <c r="Q313" s="231"/>
      <c r="R313" s="231"/>
      <c r="S313" s="231"/>
      <c r="T313" s="231"/>
      <c r="U313" s="231"/>
      <c r="V313" s="231"/>
      <c r="W313" s="231"/>
      <c r="X313" s="231"/>
      <c r="Y313" s="231"/>
      <c r="Z313" s="231"/>
      <c r="AA313" s="231"/>
      <c r="AB313" s="231"/>
      <c r="AC313" s="231"/>
      <c r="AD313" s="231"/>
      <c r="AE313" s="231"/>
      <c r="AF313" s="231"/>
      <c r="AG313" s="231"/>
      <c r="AH313" s="231"/>
      <c r="AI313" s="231"/>
      <c r="AJ313" s="231"/>
    </row>
    <row r="314" spans="1:36" s="203" customFormat="1">
      <c r="A314" s="120">
        <v>4</v>
      </c>
      <c r="B314" s="47" t="s">
        <v>235</v>
      </c>
      <c r="C314" s="47"/>
      <c r="D314" s="186"/>
      <c r="E314" s="114">
        <v>4082</v>
      </c>
      <c r="F314" s="52">
        <v>3685</v>
      </c>
      <c r="G314" s="43"/>
      <c r="H314" s="52">
        <v>0</v>
      </c>
      <c r="I314" s="21"/>
      <c r="J314" s="231"/>
      <c r="K314" s="231"/>
      <c r="L314" s="231"/>
      <c r="M314" s="231"/>
      <c r="N314" s="231"/>
      <c r="O314" s="231"/>
      <c r="P314" s="231"/>
      <c r="Q314" s="231"/>
      <c r="R314" s="231"/>
      <c r="S314" s="231"/>
      <c r="T314" s="231"/>
      <c r="U314" s="231"/>
      <c r="V314" s="231"/>
      <c r="W314" s="231"/>
      <c r="X314" s="231"/>
      <c r="Y314" s="231"/>
      <c r="Z314" s="231"/>
      <c r="AA314" s="231"/>
      <c r="AB314" s="231"/>
      <c r="AC314" s="231"/>
      <c r="AD314" s="231"/>
      <c r="AE314" s="231"/>
      <c r="AF314" s="231"/>
      <c r="AG314" s="231"/>
      <c r="AH314" s="231"/>
      <c r="AI314" s="231"/>
      <c r="AJ314" s="231"/>
    </row>
    <row r="315" spans="1:36" s="203" customFormat="1">
      <c r="A315" s="120">
        <v>5</v>
      </c>
      <c r="B315" s="47" t="s">
        <v>236</v>
      </c>
      <c r="C315" s="47"/>
      <c r="D315" s="186"/>
      <c r="E315" s="114">
        <v>1946</v>
      </c>
      <c r="F315" s="52">
        <v>2713</v>
      </c>
      <c r="G315" s="187"/>
      <c r="H315" s="52">
        <v>3102</v>
      </c>
      <c r="I315" s="21"/>
      <c r="J315" s="231"/>
      <c r="K315" s="231"/>
      <c r="L315" s="231"/>
      <c r="M315" s="231"/>
      <c r="N315" s="231"/>
      <c r="O315" s="231"/>
      <c r="P315" s="231"/>
      <c r="Q315" s="231"/>
      <c r="R315" s="231"/>
      <c r="S315" s="231"/>
      <c r="T315" s="231"/>
      <c r="U315" s="231"/>
      <c r="V315" s="231"/>
      <c r="W315" s="231"/>
      <c r="X315" s="231"/>
      <c r="Y315" s="231"/>
      <c r="Z315" s="231"/>
      <c r="AA315" s="231"/>
      <c r="AB315" s="231"/>
      <c r="AC315" s="231"/>
      <c r="AD315" s="231"/>
      <c r="AE315" s="231"/>
      <c r="AF315" s="231"/>
      <c r="AG315" s="231"/>
      <c r="AH315" s="231"/>
      <c r="AI315" s="231"/>
      <c r="AJ315" s="231"/>
    </row>
    <row r="316" spans="1:36" s="203" customFormat="1">
      <c r="A316" s="120">
        <v>6</v>
      </c>
      <c r="B316" s="47" t="s">
        <v>237</v>
      </c>
      <c r="C316" s="47"/>
      <c r="D316" s="186"/>
      <c r="E316" s="114">
        <v>5546</v>
      </c>
      <c r="F316" s="52">
        <v>5998</v>
      </c>
      <c r="G316" s="43"/>
      <c r="H316" s="52">
        <v>5941</v>
      </c>
      <c r="I316" s="21"/>
      <c r="J316" s="231"/>
      <c r="K316" s="231"/>
      <c r="L316" s="231"/>
      <c r="M316" s="231"/>
      <c r="N316" s="231"/>
      <c r="O316" s="231"/>
      <c r="P316" s="231"/>
      <c r="Q316" s="231"/>
      <c r="R316" s="231"/>
      <c r="S316" s="231"/>
      <c r="T316" s="231"/>
      <c r="U316" s="231"/>
      <c r="V316" s="231"/>
      <c r="W316" s="231"/>
      <c r="X316" s="231"/>
      <c r="Y316" s="231"/>
      <c r="Z316" s="231"/>
      <c r="AA316" s="231"/>
      <c r="AB316" s="231"/>
      <c r="AC316" s="231"/>
      <c r="AD316" s="231"/>
      <c r="AE316" s="231"/>
      <c r="AF316" s="231"/>
      <c r="AG316" s="231"/>
      <c r="AH316" s="231"/>
      <c r="AI316" s="231"/>
      <c r="AJ316" s="231"/>
    </row>
    <row r="317" spans="1:36" s="203" customFormat="1">
      <c r="A317" s="120">
        <v>7</v>
      </c>
      <c r="B317" s="47" t="s">
        <v>238</v>
      </c>
      <c r="C317" s="47"/>
      <c r="D317" s="186"/>
      <c r="E317" s="114">
        <v>846</v>
      </c>
      <c r="F317" s="52">
        <v>846</v>
      </c>
      <c r="G317" s="43"/>
      <c r="H317" s="52">
        <v>846</v>
      </c>
      <c r="I317" s="21"/>
      <c r="J317" s="231"/>
      <c r="K317" s="231"/>
      <c r="L317" s="231"/>
      <c r="M317" s="231"/>
      <c r="N317" s="231"/>
      <c r="O317" s="231"/>
      <c r="P317" s="231"/>
      <c r="Q317" s="231"/>
      <c r="R317" s="231"/>
      <c r="S317" s="231"/>
      <c r="T317" s="231"/>
      <c r="U317" s="231"/>
      <c r="V317" s="231"/>
      <c r="W317" s="231"/>
      <c r="X317" s="231"/>
      <c r="Y317" s="231"/>
      <c r="Z317" s="231"/>
      <c r="AA317" s="231"/>
      <c r="AB317" s="231"/>
      <c r="AC317" s="231"/>
      <c r="AD317" s="231"/>
      <c r="AE317" s="231"/>
      <c r="AF317" s="231"/>
      <c r="AG317" s="231"/>
      <c r="AH317" s="231"/>
      <c r="AI317" s="231"/>
      <c r="AJ317" s="231"/>
    </row>
    <row r="318" spans="1:36" s="203" customFormat="1">
      <c r="A318" s="120">
        <v>8</v>
      </c>
      <c r="B318" s="47" t="s">
        <v>239</v>
      </c>
      <c r="C318" s="47"/>
      <c r="D318" s="186"/>
      <c r="E318" s="114">
        <v>166</v>
      </c>
      <c r="F318" s="52">
        <v>166</v>
      </c>
      <c r="G318" s="43"/>
      <c r="H318" s="52">
        <v>166</v>
      </c>
      <c r="I318" s="21"/>
      <c r="J318" s="231"/>
      <c r="K318" s="231"/>
      <c r="L318" s="231"/>
      <c r="M318" s="231"/>
      <c r="N318" s="231"/>
      <c r="O318" s="231"/>
      <c r="P318" s="231"/>
      <c r="Q318" s="231"/>
      <c r="R318" s="231"/>
      <c r="S318" s="231"/>
      <c r="T318" s="231"/>
      <c r="U318" s="231"/>
      <c r="V318" s="231"/>
      <c r="W318" s="231"/>
      <c r="X318" s="231"/>
      <c r="Y318" s="231"/>
      <c r="Z318" s="231"/>
      <c r="AA318" s="231"/>
      <c r="AB318" s="231"/>
      <c r="AC318" s="231"/>
      <c r="AD318" s="231"/>
      <c r="AE318" s="231"/>
      <c r="AF318" s="231"/>
      <c r="AG318" s="231"/>
      <c r="AH318" s="231"/>
      <c r="AI318" s="231"/>
      <c r="AJ318" s="231"/>
    </row>
    <row r="319" spans="1:36" s="203" customFormat="1">
      <c r="A319" s="784">
        <v>9</v>
      </c>
      <c r="B319" s="90" t="s">
        <v>260</v>
      </c>
      <c r="C319" s="47"/>
      <c r="D319" s="47"/>
      <c r="E319" s="114">
        <v>0</v>
      </c>
      <c r="F319" s="188"/>
      <c r="G319" s="43"/>
      <c r="H319" s="189">
        <v>0</v>
      </c>
      <c r="I319" s="21"/>
      <c r="J319" s="231"/>
      <c r="K319" s="231"/>
      <c r="L319" s="231"/>
      <c r="M319" s="231"/>
      <c r="N319" s="231"/>
      <c r="O319" s="231"/>
      <c r="P319" s="231"/>
      <c r="Q319" s="231"/>
      <c r="R319" s="231"/>
      <c r="S319" s="231"/>
      <c r="T319" s="231"/>
      <c r="U319" s="231"/>
      <c r="V319" s="231"/>
      <c r="W319" s="231"/>
      <c r="X319" s="231"/>
      <c r="Y319" s="231"/>
      <c r="Z319" s="231"/>
      <c r="AA319" s="231"/>
      <c r="AB319" s="231"/>
      <c r="AC319" s="231"/>
      <c r="AD319" s="231"/>
      <c r="AE319" s="231"/>
      <c r="AF319" s="231"/>
      <c r="AG319" s="231"/>
      <c r="AH319" s="231"/>
      <c r="AI319" s="231"/>
      <c r="AJ319" s="231"/>
    </row>
    <row r="320" spans="1:36" s="203" customFormat="1">
      <c r="A320" s="124">
        <v>10</v>
      </c>
      <c r="B320" s="94" t="s">
        <v>62</v>
      </c>
      <c r="C320" s="94"/>
      <c r="D320" s="94"/>
      <c r="E320" s="159">
        <v>10114</v>
      </c>
      <c r="F320" s="61">
        <f>F311+F312+F313+F314+F315+F316+F317+F318</f>
        <v>10302</v>
      </c>
      <c r="G320" s="118"/>
      <c r="H320" s="61">
        <f>H311+H312+H313+H314+H315+H316+H317+H318+H319</f>
        <v>7943</v>
      </c>
      <c r="I320" s="183"/>
      <c r="J320" s="231"/>
      <c r="K320" s="231"/>
      <c r="L320" s="231"/>
      <c r="M320" s="231"/>
      <c r="N320" s="231"/>
      <c r="O320" s="231"/>
      <c r="P320" s="231"/>
      <c r="Q320" s="231"/>
      <c r="R320" s="231"/>
      <c r="S320" s="231"/>
      <c r="T320" s="231"/>
      <c r="U320" s="231"/>
      <c r="V320" s="231"/>
      <c r="W320" s="231"/>
      <c r="X320" s="231"/>
      <c r="Y320" s="231"/>
      <c r="Z320" s="231"/>
      <c r="AA320" s="231"/>
      <c r="AB320" s="231"/>
      <c r="AC320" s="231"/>
      <c r="AD320" s="231"/>
      <c r="AE320" s="231"/>
      <c r="AF320" s="231"/>
      <c r="AG320" s="231"/>
      <c r="AH320" s="231"/>
      <c r="AI320" s="231"/>
      <c r="AJ320" s="231"/>
    </row>
    <row r="321" spans="1:36" s="203" customFormat="1">
      <c r="A321" s="179"/>
      <c r="B321" s="180"/>
      <c r="C321" s="180"/>
      <c r="D321" s="180"/>
      <c r="E321" s="180"/>
      <c r="F321" s="183"/>
      <c r="G321" s="21"/>
      <c r="H321" s="183"/>
      <c r="I321" s="183"/>
      <c r="J321" s="231"/>
      <c r="K321" s="231"/>
      <c r="L321" s="231"/>
      <c r="M321" s="231"/>
      <c r="N321" s="231"/>
      <c r="O321" s="231"/>
      <c r="P321" s="231"/>
      <c r="Q321" s="231"/>
      <c r="R321" s="231"/>
      <c r="S321" s="231"/>
      <c r="T321" s="231"/>
      <c r="U321" s="231"/>
      <c r="V321" s="231"/>
      <c r="W321" s="231"/>
      <c r="X321" s="231"/>
      <c r="Y321" s="231"/>
      <c r="Z321" s="231"/>
      <c r="AA321" s="231"/>
      <c r="AB321" s="231"/>
      <c r="AC321" s="231"/>
      <c r="AD321" s="231"/>
      <c r="AE321" s="231"/>
      <c r="AF321" s="231"/>
      <c r="AG321" s="231"/>
      <c r="AH321" s="231"/>
      <c r="AI321" s="231"/>
      <c r="AJ321" s="231"/>
    </row>
    <row r="322" spans="1:36" s="203" customFormat="1">
      <c r="A322" s="148"/>
      <c r="B322" s="207"/>
      <c r="C322" s="207"/>
      <c r="D322" s="29"/>
      <c r="E322" s="29"/>
      <c r="F322" s="29"/>
      <c r="G322" s="29"/>
      <c r="H322" s="31" t="s">
        <v>27</v>
      </c>
      <c r="I322" s="2"/>
      <c r="J322" s="231"/>
      <c r="K322" s="231"/>
      <c r="L322" s="231"/>
      <c r="M322" s="231"/>
      <c r="N322" s="231"/>
      <c r="O322" s="231"/>
      <c r="P322" s="231"/>
      <c r="Q322" s="231"/>
      <c r="R322" s="231"/>
      <c r="S322" s="231"/>
      <c r="T322" s="231"/>
      <c r="U322" s="231"/>
      <c r="V322" s="231"/>
      <c r="W322" s="231"/>
      <c r="X322" s="231"/>
      <c r="Y322" s="231"/>
      <c r="Z322" s="231"/>
      <c r="AA322" s="231"/>
      <c r="AB322" s="231"/>
      <c r="AC322" s="231"/>
      <c r="AD322" s="231"/>
      <c r="AE322" s="231"/>
      <c r="AF322" s="231"/>
      <c r="AG322" s="231"/>
      <c r="AH322" s="231"/>
      <c r="AI322" s="231"/>
      <c r="AJ322" s="231"/>
    </row>
    <row r="323" spans="1:36" s="203" customFormat="1">
      <c r="A323" s="190" t="s">
        <v>240</v>
      </c>
      <c r="B323" s="263"/>
      <c r="C323" s="861" t="s">
        <v>405</v>
      </c>
      <c r="D323" s="862"/>
      <c r="E323" s="862"/>
      <c r="F323" s="862"/>
      <c r="G323" s="862"/>
      <c r="H323" s="863"/>
      <c r="I323" s="210"/>
      <c r="J323" s="231"/>
      <c r="K323" s="231"/>
      <c r="L323" s="231"/>
      <c r="M323" s="231"/>
      <c r="N323" s="231"/>
      <c r="O323" s="231"/>
      <c r="P323" s="231"/>
      <c r="Q323" s="231"/>
      <c r="R323" s="231"/>
      <c r="S323" s="231"/>
      <c r="T323" s="231"/>
      <c r="U323" s="231"/>
      <c r="V323" s="231"/>
      <c r="W323" s="231"/>
      <c r="X323" s="231"/>
      <c r="Y323" s="231"/>
      <c r="Z323" s="231"/>
      <c r="AA323" s="231"/>
      <c r="AB323" s="231"/>
      <c r="AC323" s="231"/>
      <c r="AD323" s="231"/>
      <c r="AE323" s="231"/>
      <c r="AF323" s="231"/>
      <c r="AG323" s="231"/>
      <c r="AH323" s="231"/>
      <c r="AI323" s="231"/>
      <c r="AJ323" s="231"/>
    </row>
    <row r="324" spans="1:36" s="203" customFormat="1" ht="39" thickBot="1">
      <c r="A324" s="110" t="s">
        <v>84</v>
      </c>
      <c r="B324" s="116"/>
      <c r="C324" s="35" t="s">
        <v>52</v>
      </c>
      <c r="D324" s="35" t="s">
        <v>53</v>
      </c>
      <c r="E324" s="37" t="s">
        <v>54</v>
      </c>
      <c r="F324" s="37" t="s">
        <v>55</v>
      </c>
      <c r="G324" s="37" t="s">
        <v>241</v>
      </c>
      <c r="H324" s="35" t="s">
        <v>121</v>
      </c>
      <c r="I324" s="29"/>
      <c r="J324" s="231"/>
      <c r="K324" s="231"/>
      <c r="L324" s="231"/>
      <c r="M324" s="231"/>
      <c r="N324" s="231"/>
      <c r="O324" s="231"/>
      <c r="P324" s="231"/>
      <c r="Q324" s="231"/>
      <c r="R324" s="231"/>
      <c r="S324" s="231"/>
      <c r="T324" s="231"/>
      <c r="U324" s="231"/>
      <c r="V324" s="231"/>
      <c r="W324" s="231"/>
      <c r="X324" s="231"/>
      <c r="Y324" s="231"/>
      <c r="Z324" s="231"/>
      <c r="AA324" s="231"/>
      <c r="AB324" s="231"/>
      <c r="AC324" s="231"/>
      <c r="AD324" s="231"/>
      <c r="AE324" s="231"/>
      <c r="AF324" s="231"/>
      <c r="AG324" s="231"/>
      <c r="AH324" s="231"/>
      <c r="AI324" s="231"/>
      <c r="AJ324" s="231"/>
    </row>
    <row r="325" spans="1:36" s="203" customFormat="1" ht="13.5" thickBot="1">
      <c r="A325" s="784">
        <v>1</v>
      </c>
      <c r="B325" s="116" t="s">
        <v>242</v>
      </c>
      <c r="C325" s="193">
        <f t="shared" ref="C325:H325" si="0">SUM(C326:C329)</f>
        <v>13959</v>
      </c>
      <c r="D325" s="193">
        <f t="shared" si="0"/>
        <v>0</v>
      </c>
      <c r="E325" s="193">
        <v>0</v>
      </c>
      <c r="F325" s="193">
        <f t="shared" si="0"/>
        <v>0</v>
      </c>
      <c r="G325" s="193">
        <f>SUM(G326:G329)</f>
        <v>0</v>
      </c>
      <c r="H325" s="193">
        <f t="shared" si="0"/>
        <v>0</v>
      </c>
      <c r="I325" s="207"/>
      <c r="J325" s="231"/>
      <c r="K325" s="231"/>
      <c r="L325" s="231"/>
      <c r="M325" s="231"/>
      <c r="N325" s="231"/>
      <c r="O325" s="231"/>
      <c r="P325" s="231"/>
      <c r="Q325" s="231"/>
      <c r="R325" s="231"/>
      <c r="S325" s="231"/>
      <c r="T325" s="231"/>
      <c r="U325" s="231"/>
      <c r="V325" s="231"/>
      <c r="W325" s="231"/>
      <c r="X325" s="231"/>
      <c r="Y325" s="231"/>
      <c r="Z325" s="231"/>
      <c r="AA325" s="231"/>
      <c r="AB325" s="231"/>
      <c r="AC325" s="231"/>
      <c r="AD325" s="231"/>
      <c r="AE325" s="231"/>
      <c r="AF325" s="231"/>
      <c r="AG325" s="231"/>
      <c r="AH325" s="231"/>
      <c r="AI325" s="231"/>
      <c r="AJ325" s="231"/>
    </row>
    <row r="326" spans="1:36" s="203" customFormat="1">
      <c r="A326" s="784">
        <v>2</v>
      </c>
      <c r="B326" s="47" t="s">
        <v>243</v>
      </c>
      <c r="C326" s="169">
        <v>3648</v>
      </c>
      <c r="D326" s="169"/>
      <c r="E326" s="169"/>
      <c r="F326" s="169"/>
      <c r="G326" s="169"/>
      <c r="H326" s="169"/>
      <c r="I326" s="207"/>
      <c r="J326" s="231"/>
      <c r="K326" s="231"/>
      <c r="L326" s="231"/>
      <c r="M326" s="231"/>
      <c r="N326" s="231"/>
      <c r="O326" s="231"/>
      <c r="P326" s="231"/>
      <c r="Q326" s="231"/>
      <c r="R326" s="231"/>
      <c r="S326" s="231"/>
      <c r="T326" s="231"/>
      <c r="U326" s="231"/>
      <c r="V326" s="231"/>
      <c r="W326" s="231"/>
      <c r="X326" s="231"/>
      <c r="Y326" s="231"/>
      <c r="Z326" s="231"/>
      <c r="AA326" s="231"/>
      <c r="AB326" s="231"/>
      <c r="AC326" s="231"/>
      <c r="AD326" s="231"/>
      <c r="AE326" s="231"/>
      <c r="AF326" s="231"/>
      <c r="AG326" s="231"/>
      <c r="AH326" s="231"/>
      <c r="AI326" s="231"/>
      <c r="AJ326" s="231"/>
    </row>
    <row r="327" spans="1:36" s="203" customFormat="1">
      <c r="A327" s="784">
        <v>3</v>
      </c>
      <c r="B327" s="47" t="s">
        <v>244</v>
      </c>
      <c r="C327" s="99">
        <v>7598</v>
      </c>
      <c r="D327" s="99"/>
      <c r="E327" s="99"/>
      <c r="F327" s="99"/>
      <c r="G327" s="99"/>
      <c r="H327" s="99"/>
      <c r="I327" s="207"/>
      <c r="J327" s="231"/>
      <c r="K327" s="231"/>
      <c r="L327" s="231"/>
      <c r="M327" s="231"/>
      <c r="N327" s="231"/>
      <c r="O327" s="231"/>
      <c r="P327" s="231"/>
      <c r="Q327" s="231"/>
      <c r="R327" s="231"/>
      <c r="S327" s="231"/>
      <c r="T327" s="231"/>
      <c r="U327" s="231"/>
      <c r="V327" s="231"/>
      <c r="W327" s="231"/>
      <c r="X327" s="231"/>
      <c r="Y327" s="231"/>
      <c r="Z327" s="231"/>
      <c r="AA327" s="231"/>
      <c r="AB327" s="231"/>
      <c r="AC327" s="231"/>
      <c r="AD327" s="231"/>
      <c r="AE327" s="231"/>
      <c r="AF327" s="231"/>
      <c r="AG327" s="231"/>
      <c r="AH327" s="231"/>
      <c r="AI327" s="231"/>
      <c r="AJ327" s="231"/>
    </row>
    <row r="328" spans="1:36" s="203" customFormat="1">
      <c r="A328" s="784">
        <v>4</v>
      </c>
      <c r="B328" s="47" t="s">
        <v>245</v>
      </c>
      <c r="C328" s="99">
        <v>2713</v>
      </c>
      <c r="D328" s="99"/>
      <c r="E328" s="99"/>
      <c r="F328" s="99"/>
      <c r="G328" s="99"/>
      <c r="H328" s="99"/>
      <c r="I328" s="207"/>
      <c r="J328" s="231"/>
      <c r="K328" s="231"/>
      <c r="L328" s="231"/>
      <c r="M328" s="231"/>
      <c r="N328" s="231"/>
      <c r="O328" s="231"/>
      <c r="P328" s="231"/>
      <c r="Q328" s="231"/>
      <c r="R328" s="231"/>
      <c r="S328" s="231"/>
      <c r="T328" s="231"/>
      <c r="U328" s="231"/>
      <c r="V328" s="231"/>
      <c r="W328" s="231"/>
      <c r="X328" s="231"/>
      <c r="Y328" s="231"/>
      <c r="Z328" s="231"/>
      <c r="AA328" s="231"/>
      <c r="AB328" s="231"/>
      <c r="AC328" s="231"/>
      <c r="AD328" s="231"/>
      <c r="AE328" s="231"/>
      <c r="AF328" s="231"/>
      <c r="AG328" s="231"/>
      <c r="AH328" s="231"/>
      <c r="AI328" s="231"/>
      <c r="AJ328" s="231"/>
    </row>
    <row r="329" spans="1:36" s="203" customFormat="1">
      <c r="A329" s="785">
        <v>5</v>
      </c>
      <c r="B329" s="54" t="s">
        <v>246</v>
      </c>
      <c r="C329" s="100">
        <v>0</v>
      </c>
      <c r="D329" s="100"/>
      <c r="E329" s="100"/>
      <c r="F329" s="100"/>
      <c r="G329" s="100"/>
      <c r="H329" s="100"/>
      <c r="I329" s="207"/>
      <c r="J329" s="231"/>
      <c r="K329" s="231"/>
      <c r="L329" s="231"/>
      <c r="M329" s="231"/>
      <c r="N329" s="231"/>
      <c r="O329" s="231"/>
      <c r="P329" s="231"/>
      <c r="Q329" s="231"/>
      <c r="R329" s="231"/>
      <c r="S329" s="231"/>
      <c r="T329" s="231"/>
      <c r="U329" s="231"/>
      <c r="V329" s="231"/>
      <c r="W329" s="231"/>
      <c r="X329" s="231"/>
      <c r="Y329" s="231"/>
      <c r="Z329" s="231"/>
      <c r="AA329" s="231"/>
      <c r="AB329" s="231"/>
      <c r="AC329" s="231"/>
      <c r="AD329" s="231"/>
      <c r="AE329" s="231"/>
      <c r="AF329" s="231"/>
      <c r="AG329" s="231"/>
      <c r="AH329" s="231"/>
      <c r="AI329" s="231"/>
      <c r="AJ329" s="231"/>
    </row>
    <row r="330" spans="1:36" s="203" customFormat="1">
      <c r="A330" s="784"/>
      <c r="B330" s="47"/>
      <c r="C330" s="864" t="s">
        <v>404</v>
      </c>
      <c r="D330" s="865"/>
      <c r="E330" s="865"/>
      <c r="F330" s="865"/>
      <c r="G330" s="865"/>
      <c r="H330" s="866"/>
      <c r="I330" s="207"/>
      <c r="J330" s="231"/>
      <c r="K330" s="231"/>
      <c r="L330" s="231"/>
      <c r="M330" s="231"/>
      <c r="N330" s="231"/>
      <c r="O330" s="231"/>
      <c r="P330" s="231"/>
      <c r="Q330" s="231"/>
      <c r="R330" s="231"/>
      <c r="S330" s="231"/>
      <c r="T330" s="231"/>
      <c r="U330" s="231"/>
      <c r="V330" s="231"/>
      <c r="W330" s="231"/>
      <c r="X330" s="231"/>
      <c r="Y330" s="231"/>
      <c r="Z330" s="231"/>
      <c r="AA330" s="231"/>
      <c r="AB330" s="231"/>
      <c r="AC330" s="231"/>
      <c r="AD330" s="231"/>
      <c r="AE330" s="231"/>
      <c r="AF330" s="231"/>
      <c r="AG330" s="231"/>
      <c r="AH330" s="231"/>
      <c r="AI330" s="231"/>
      <c r="AJ330" s="231"/>
    </row>
    <row r="331" spans="1:36" s="203" customFormat="1" ht="39" thickBot="1">
      <c r="A331" s="110" t="s">
        <v>84</v>
      </c>
      <c r="B331" s="116"/>
      <c r="C331" s="35" t="s">
        <v>52</v>
      </c>
      <c r="D331" s="35" t="s">
        <v>53</v>
      </c>
      <c r="E331" s="37" t="s">
        <v>54</v>
      </c>
      <c r="F331" s="37" t="s">
        <v>55</v>
      </c>
      <c r="G331" s="37" t="s">
        <v>241</v>
      </c>
      <c r="H331" s="35" t="s">
        <v>121</v>
      </c>
      <c r="I331" s="207"/>
      <c r="J331" s="231"/>
      <c r="K331" s="231"/>
      <c r="L331" s="231"/>
      <c r="M331" s="231"/>
      <c r="N331" s="231"/>
      <c r="O331" s="231"/>
      <c r="P331" s="231"/>
      <c r="Q331" s="231"/>
      <c r="R331" s="231"/>
      <c r="S331" s="231"/>
      <c r="T331" s="231"/>
      <c r="U331" s="231"/>
      <c r="V331" s="231"/>
      <c r="W331" s="231"/>
      <c r="X331" s="231"/>
      <c r="Y331" s="231"/>
      <c r="Z331" s="231"/>
      <c r="AA331" s="231"/>
      <c r="AB331" s="231"/>
      <c r="AC331" s="231"/>
      <c r="AD331" s="231"/>
      <c r="AE331" s="231"/>
      <c r="AF331" s="231"/>
      <c r="AG331" s="231"/>
      <c r="AH331" s="231"/>
      <c r="AI331" s="231"/>
      <c r="AJ331" s="231"/>
    </row>
    <row r="332" spans="1:36" s="203" customFormat="1" ht="13.5" thickBot="1">
      <c r="A332" s="784">
        <v>1</v>
      </c>
      <c r="B332" s="116" t="s">
        <v>242</v>
      </c>
      <c r="C332" s="193">
        <f t="shared" ref="C332:H332" si="1">SUM(C333:C336)</f>
        <v>14100</v>
      </c>
      <c r="D332" s="193">
        <f t="shared" si="1"/>
        <v>0</v>
      </c>
      <c r="E332" s="193">
        <v>0</v>
      </c>
      <c r="F332" s="193">
        <f t="shared" si="1"/>
        <v>0</v>
      </c>
      <c r="G332" s="193">
        <f>SUM(G333:G336)</f>
        <v>0</v>
      </c>
      <c r="H332" s="193">
        <f t="shared" si="1"/>
        <v>0</v>
      </c>
      <c r="I332" s="207"/>
      <c r="J332" s="231"/>
      <c r="K332" s="231"/>
      <c r="L332" s="231"/>
      <c r="M332" s="231"/>
      <c r="N332" s="231"/>
      <c r="O332" s="231"/>
      <c r="P332" s="231"/>
      <c r="Q332" s="231"/>
      <c r="R332" s="231"/>
      <c r="S332" s="231"/>
      <c r="T332" s="231"/>
      <c r="U332" s="231"/>
      <c r="V332" s="231"/>
      <c r="W332" s="231"/>
      <c r="X332" s="231"/>
      <c r="Y332" s="231"/>
      <c r="Z332" s="231"/>
      <c r="AA332" s="231"/>
      <c r="AB332" s="231"/>
      <c r="AC332" s="231"/>
      <c r="AD332" s="231"/>
      <c r="AE332" s="231"/>
      <c r="AF332" s="231"/>
      <c r="AG332" s="231"/>
      <c r="AH332" s="231"/>
      <c r="AI332" s="231"/>
      <c r="AJ332" s="231"/>
    </row>
    <row r="333" spans="1:36" s="203" customFormat="1">
      <c r="A333" s="784">
        <v>2</v>
      </c>
      <c r="B333" s="47" t="s">
        <v>243</v>
      </c>
      <c r="C333" s="169">
        <v>3601</v>
      </c>
      <c r="D333" s="169"/>
      <c r="E333" s="169"/>
      <c r="F333" s="169"/>
      <c r="G333" s="169"/>
      <c r="H333" s="169"/>
      <c r="I333" s="207"/>
      <c r="J333" s="231"/>
      <c r="K333" s="231"/>
      <c r="L333" s="231"/>
      <c r="M333" s="231"/>
      <c r="N333" s="231"/>
      <c r="O333" s="231"/>
      <c r="P333" s="231"/>
      <c r="Q333" s="231"/>
      <c r="R333" s="231"/>
      <c r="S333" s="231"/>
      <c r="T333" s="231"/>
      <c r="U333" s="231"/>
      <c r="V333" s="231"/>
      <c r="W333" s="231"/>
      <c r="X333" s="231"/>
      <c r="Y333" s="231"/>
      <c r="Z333" s="231"/>
      <c r="AA333" s="231"/>
      <c r="AB333" s="231"/>
      <c r="AC333" s="231"/>
      <c r="AD333" s="231"/>
      <c r="AE333" s="231"/>
      <c r="AF333" s="231"/>
      <c r="AG333" s="231"/>
      <c r="AH333" s="231"/>
      <c r="AI333" s="231"/>
      <c r="AJ333" s="231"/>
    </row>
    <row r="334" spans="1:36" s="203" customFormat="1">
      <c r="A334" s="784">
        <v>3</v>
      </c>
      <c r="B334" s="47" t="s">
        <v>244</v>
      </c>
      <c r="C334" s="99">
        <v>7397</v>
      </c>
      <c r="D334" s="99"/>
      <c r="E334" s="99"/>
      <c r="F334" s="99"/>
      <c r="G334" s="99"/>
      <c r="H334" s="99"/>
      <c r="I334" s="207"/>
      <c r="J334" s="231"/>
      <c r="K334" s="231"/>
      <c r="L334" s="231"/>
      <c r="M334" s="231"/>
      <c r="N334" s="231"/>
      <c r="O334" s="231"/>
      <c r="P334" s="231"/>
      <c r="Q334" s="231"/>
      <c r="R334" s="231"/>
      <c r="S334" s="231"/>
      <c r="T334" s="231"/>
      <c r="U334" s="231"/>
      <c r="V334" s="231"/>
      <c r="W334" s="231"/>
      <c r="X334" s="231"/>
      <c r="Y334" s="231"/>
      <c r="Z334" s="231"/>
      <c r="AA334" s="231"/>
      <c r="AB334" s="231"/>
      <c r="AC334" s="231"/>
      <c r="AD334" s="231"/>
      <c r="AE334" s="231"/>
      <c r="AF334" s="231"/>
      <c r="AG334" s="231"/>
      <c r="AH334" s="231"/>
      <c r="AI334" s="231"/>
      <c r="AJ334" s="231"/>
    </row>
    <row r="335" spans="1:36" s="203" customFormat="1">
      <c r="A335" s="784">
        <v>4</v>
      </c>
      <c r="B335" s="47" t="s">
        <v>245</v>
      </c>
      <c r="C335" s="99">
        <v>3102</v>
      </c>
      <c r="D335" s="99"/>
      <c r="E335" s="99"/>
      <c r="F335" s="99"/>
      <c r="G335" s="99"/>
      <c r="H335" s="99"/>
      <c r="I335" s="207"/>
      <c r="J335" s="231"/>
      <c r="K335" s="231"/>
      <c r="L335" s="231"/>
      <c r="M335" s="231"/>
      <c r="N335" s="231"/>
      <c r="O335" s="231"/>
      <c r="P335" s="231"/>
      <c r="Q335" s="231"/>
      <c r="R335" s="231"/>
      <c r="S335" s="231"/>
      <c r="T335" s="231"/>
      <c r="U335" s="231"/>
      <c r="V335" s="231"/>
      <c r="W335" s="231"/>
      <c r="X335" s="231"/>
      <c r="Y335" s="231"/>
      <c r="Z335" s="231"/>
      <c r="AA335" s="231"/>
      <c r="AB335" s="231"/>
      <c r="AC335" s="231"/>
      <c r="AD335" s="231"/>
      <c r="AE335" s="231"/>
      <c r="AF335" s="231"/>
      <c r="AG335" s="231"/>
      <c r="AH335" s="231"/>
      <c r="AI335" s="231"/>
      <c r="AJ335" s="231"/>
    </row>
    <row r="336" spans="1:36" s="203" customFormat="1">
      <c r="A336" s="785">
        <v>5</v>
      </c>
      <c r="B336" s="54" t="s">
        <v>246</v>
      </c>
      <c r="C336" s="100">
        <v>0</v>
      </c>
      <c r="D336" s="100"/>
      <c r="E336" s="100"/>
      <c r="F336" s="100"/>
      <c r="G336" s="100"/>
      <c r="H336" s="100"/>
      <c r="I336" s="207"/>
      <c r="J336" s="231"/>
      <c r="K336" s="231"/>
      <c r="L336" s="231"/>
      <c r="M336" s="231"/>
      <c r="N336" s="231"/>
      <c r="O336" s="231"/>
      <c r="P336" s="231"/>
      <c r="Q336" s="231"/>
      <c r="R336" s="231"/>
      <c r="S336" s="231"/>
      <c r="T336" s="231"/>
      <c r="U336" s="231"/>
      <c r="V336" s="231"/>
      <c r="W336" s="231"/>
      <c r="X336" s="231"/>
      <c r="Y336" s="231"/>
      <c r="Z336" s="231"/>
      <c r="AA336" s="231"/>
      <c r="AB336" s="231"/>
      <c r="AC336" s="231"/>
      <c r="AD336" s="231"/>
      <c r="AE336" s="231"/>
      <c r="AF336" s="231"/>
      <c r="AG336" s="231"/>
      <c r="AH336" s="231"/>
      <c r="AI336" s="231"/>
      <c r="AJ336" s="231"/>
    </row>
    <row r="337" spans="1:36" s="203" customFormat="1">
      <c r="A337" s="23"/>
      <c r="B337" s="207"/>
      <c r="C337" s="207"/>
      <c r="D337" s="207"/>
      <c r="E337" s="207"/>
      <c r="F337" s="207"/>
      <c r="G337" s="207"/>
      <c r="H337" s="21"/>
      <c r="I337" s="21"/>
      <c r="J337" s="231"/>
      <c r="K337" s="231"/>
      <c r="L337" s="231"/>
      <c r="M337" s="231"/>
      <c r="N337" s="231"/>
      <c r="O337" s="231"/>
      <c r="P337" s="231"/>
      <c r="Q337" s="231"/>
      <c r="R337" s="231"/>
      <c r="S337" s="231"/>
      <c r="T337" s="231"/>
      <c r="U337" s="231"/>
      <c r="V337" s="231"/>
      <c r="W337" s="231"/>
      <c r="X337" s="231"/>
      <c r="Y337" s="231"/>
      <c r="Z337" s="231"/>
      <c r="AA337" s="231"/>
      <c r="AB337" s="231"/>
      <c r="AC337" s="231"/>
      <c r="AD337" s="231"/>
      <c r="AE337" s="231"/>
      <c r="AF337" s="231"/>
      <c r="AG337" s="231"/>
      <c r="AH337" s="231"/>
      <c r="AI337" s="231"/>
      <c r="AJ337" s="231"/>
    </row>
    <row r="338" spans="1:36" s="203" customFormat="1" ht="12.75" customHeight="1">
      <c r="A338" s="23"/>
      <c r="B338" s="207"/>
      <c r="C338" s="207"/>
      <c r="D338" s="207"/>
      <c r="E338" s="207"/>
      <c r="F338" s="207"/>
      <c r="G338" s="207"/>
      <c r="H338" s="21"/>
      <c r="I338" s="21"/>
      <c r="J338" s="231"/>
      <c r="K338" s="231"/>
      <c r="L338" s="231"/>
      <c r="M338" s="231"/>
      <c r="N338" s="231"/>
      <c r="O338" s="231"/>
      <c r="P338" s="231"/>
      <c r="Q338" s="231"/>
      <c r="R338" s="231"/>
      <c r="S338" s="231"/>
      <c r="T338" s="231"/>
      <c r="U338" s="231"/>
      <c r="V338" s="231"/>
      <c r="W338" s="231"/>
      <c r="X338" s="231"/>
      <c r="Y338" s="231"/>
      <c r="Z338" s="231"/>
      <c r="AA338" s="231"/>
      <c r="AB338" s="231"/>
      <c r="AC338" s="231"/>
      <c r="AD338" s="231"/>
      <c r="AE338" s="231"/>
      <c r="AF338" s="231"/>
      <c r="AG338" s="231"/>
      <c r="AH338" s="231"/>
      <c r="AI338" s="231"/>
      <c r="AJ338" s="231"/>
    </row>
    <row r="339" spans="1:36" s="203" customFormat="1">
      <c r="A339" s="23"/>
      <c r="B339" s="207"/>
      <c r="C339" s="207"/>
      <c r="D339" s="207"/>
      <c r="E339" s="207"/>
      <c r="F339" s="207"/>
      <c r="G339" s="207"/>
      <c r="H339" s="21"/>
      <c r="I339" s="21"/>
      <c r="J339" s="231"/>
      <c r="K339" s="231"/>
      <c r="L339" s="231"/>
      <c r="M339" s="231"/>
      <c r="N339" s="231"/>
      <c r="O339" s="231"/>
      <c r="P339" s="231"/>
      <c r="Q339" s="231"/>
      <c r="R339" s="231"/>
      <c r="S339" s="231"/>
      <c r="T339" s="231"/>
      <c r="U339" s="231"/>
      <c r="V339" s="231"/>
      <c r="W339" s="231"/>
      <c r="X339" s="231"/>
      <c r="Y339" s="231"/>
      <c r="Z339" s="231"/>
      <c r="AA339" s="231"/>
      <c r="AB339" s="231"/>
      <c r="AC339" s="231"/>
      <c r="AD339" s="231"/>
      <c r="AE339" s="231"/>
      <c r="AF339" s="231"/>
      <c r="AG339" s="231"/>
      <c r="AH339" s="231"/>
      <c r="AI339" s="231"/>
      <c r="AJ339" s="231"/>
    </row>
    <row r="340" spans="1:36" s="203" customFormat="1">
      <c r="A340" s="23"/>
      <c r="B340" s="207"/>
      <c r="C340" s="207"/>
      <c r="D340" s="207"/>
      <c r="E340" s="207"/>
      <c r="F340" s="207"/>
      <c r="G340" s="207"/>
      <c r="H340" s="131" t="s">
        <v>27</v>
      </c>
      <c r="I340" s="21"/>
      <c r="J340" s="231"/>
      <c r="K340" s="231"/>
      <c r="L340" s="231"/>
      <c r="M340" s="231"/>
      <c r="N340" s="231"/>
      <c r="O340" s="231"/>
      <c r="P340" s="231"/>
      <c r="Q340" s="231"/>
      <c r="R340" s="231"/>
      <c r="S340" s="231"/>
      <c r="T340" s="231"/>
      <c r="U340" s="231"/>
      <c r="V340" s="231"/>
      <c r="W340" s="231"/>
      <c r="X340" s="231"/>
      <c r="Y340" s="231"/>
      <c r="Z340" s="231"/>
      <c r="AA340" s="231"/>
      <c r="AB340" s="231"/>
      <c r="AC340" s="231"/>
      <c r="AD340" s="231"/>
      <c r="AE340" s="231"/>
      <c r="AF340" s="231"/>
      <c r="AG340" s="231"/>
      <c r="AH340" s="231"/>
      <c r="AI340" s="231"/>
      <c r="AJ340" s="231"/>
    </row>
    <row r="341" spans="1:36" s="203" customFormat="1">
      <c r="A341" s="197"/>
      <c r="B341" s="69"/>
      <c r="C341" s="69"/>
      <c r="D341" s="69"/>
      <c r="E341" s="856" t="s">
        <v>377</v>
      </c>
      <c r="F341" s="853" t="s">
        <v>402</v>
      </c>
      <c r="G341" s="207"/>
      <c r="H341" s="856" t="s">
        <v>403</v>
      </c>
      <c r="I341" s="21"/>
      <c r="J341" s="231"/>
      <c r="K341" s="231"/>
      <c r="L341" s="231"/>
      <c r="M341" s="231"/>
      <c r="N341" s="231"/>
      <c r="O341" s="231"/>
      <c r="P341" s="231"/>
      <c r="Q341" s="231"/>
      <c r="R341" s="231"/>
      <c r="S341" s="231"/>
      <c r="T341" s="231"/>
      <c r="U341" s="231"/>
      <c r="V341" s="231"/>
      <c r="W341" s="231"/>
      <c r="X341" s="231"/>
      <c r="Y341" s="231"/>
      <c r="Z341" s="231"/>
      <c r="AA341" s="231"/>
      <c r="AB341" s="231"/>
      <c r="AC341" s="231"/>
      <c r="AD341" s="231"/>
      <c r="AE341" s="231"/>
      <c r="AF341" s="231"/>
      <c r="AG341" s="231"/>
      <c r="AH341" s="231"/>
      <c r="AI341" s="231"/>
      <c r="AJ341" s="231"/>
    </row>
    <row r="342" spans="1:36" s="203" customFormat="1">
      <c r="A342" s="144" t="s">
        <v>261</v>
      </c>
      <c r="B342" s="116"/>
      <c r="C342" s="116"/>
      <c r="D342" s="116"/>
      <c r="E342" s="859"/>
      <c r="F342" s="854"/>
      <c r="G342" s="207"/>
      <c r="H342" s="857"/>
      <c r="I342" s="21"/>
      <c r="J342" s="231"/>
      <c r="K342" s="231"/>
      <c r="L342" s="231"/>
      <c r="M342" s="231"/>
      <c r="N342" s="231"/>
      <c r="O342" s="231"/>
      <c r="P342" s="231"/>
      <c r="Q342" s="231"/>
      <c r="R342" s="231"/>
      <c r="S342" s="231"/>
      <c r="T342" s="231"/>
      <c r="U342" s="231"/>
      <c r="V342" s="231"/>
      <c r="W342" s="231"/>
      <c r="X342" s="231"/>
      <c r="Y342" s="231"/>
      <c r="Z342" s="231"/>
      <c r="AA342" s="231"/>
      <c r="AB342" s="231"/>
      <c r="AC342" s="231"/>
      <c r="AD342" s="231"/>
      <c r="AE342" s="231"/>
      <c r="AF342" s="231"/>
      <c r="AG342" s="231"/>
      <c r="AH342" s="231"/>
      <c r="AI342" s="231"/>
      <c r="AJ342" s="231"/>
    </row>
    <row r="343" spans="1:36" s="203" customFormat="1">
      <c r="A343" s="119"/>
      <c r="B343" s="116"/>
      <c r="C343" s="116"/>
      <c r="D343" s="116"/>
      <c r="E343" s="859"/>
      <c r="F343" s="854"/>
      <c r="G343" s="207"/>
      <c r="H343" s="857"/>
      <c r="I343" s="21"/>
      <c r="J343" s="231"/>
      <c r="K343" s="231"/>
      <c r="L343" s="231"/>
      <c r="M343" s="231"/>
      <c r="N343" s="231"/>
      <c r="O343" s="231"/>
      <c r="P343" s="231"/>
      <c r="Q343" s="231"/>
      <c r="R343" s="231"/>
      <c r="S343" s="231"/>
      <c r="T343" s="231"/>
      <c r="U343" s="231"/>
      <c r="V343" s="231"/>
      <c r="W343" s="231"/>
      <c r="X343" s="231"/>
      <c r="Y343" s="231"/>
      <c r="Z343" s="231"/>
      <c r="AA343" s="231"/>
      <c r="AB343" s="231"/>
      <c r="AC343" s="231"/>
      <c r="AD343" s="231"/>
      <c r="AE343" s="231"/>
      <c r="AF343" s="231"/>
      <c r="AG343" s="231"/>
      <c r="AH343" s="231"/>
      <c r="AI343" s="231"/>
      <c r="AJ343" s="231"/>
    </row>
    <row r="344" spans="1:36" s="203" customFormat="1">
      <c r="A344" s="198" t="s">
        <v>262</v>
      </c>
      <c r="B344" s="116"/>
      <c r="C344" s="116"/>
      <c r="D344" s="116"/>
      <c r="E344" s="859"/>
      <c r="F344" s="854"/>
      <c r="G344" s="207"/>
      <c r="H344" s="857"/>
      <c r="I344" s="21"/>
      <c r="J344" s="231"/>
      <c r="K344" s="231"/>
      <c r="L344" s="231"/>
      <c r="M344" s="231"/>
      <c r="N344" s="231"/>
      <c r="O344" s="231"/>
      <c r="P344" s="231"/>
      <c r="Q344" s="231"/>
      <c r="R344" s="231"/>
      <c r="S344" s="231"/>
      <c r="T344" s="231"/>
      <c r="U344" s="231"/>
      <c r="V344" s="231"/>
      <c r="W344" s="231"/>
      <c r="X344" s="231"/>
      <c r="Y344" s="231"/>
      <c r="Z344" s="231"/>
      <c r="AA344" s="231"/>
      <c r="AB344" s="231"/>
      <c r="AC344" s="231"/>
      <c r="AD344" s="231"/>
      <c r="AE344" s="231"/>
      <c r="AF344" s="231"/>
      <c r="AG344" s="231"/>
      <c r="AH344" s="231"/>
      <c r="AI344" s="231"/>
      <c r="AJ344" s="231"/>
    </row>
    <row r="345" spans="1:36" s="203" customFormat="1">
      <c r="A345" s="198" t="s">
        <v>330</v>
      </c>
      <c r="B345" s="116"/>
      <c r="C345" s="116"/>
      <c r="D345" s="116"/>
      <c r="E345" s="860"/>
      <c r="F345" s="855"/>
      <c r="G345" s="207"/>
      <c r="H345" s="858"/>
      <c r="I345" s="21"/>
      <c r="J345" s="231"/>
      <c r="K345" s="231"/>
      <c r="L345" s="231"/>
      <c r="M345" s="231"/>
      <c r="N345" s="231"/>
      <c r="O345" s="231"/>
      <c r="P345" s="231"/>
      <c r="Q345" s="231"/>
      <c r="R345" s="231"/>
      <c r="S345" s="231"/>
      <c r="T345" s="231"/>
      <c r="U345" s="231"/>
      <c r="V345" s="231"/>
      <c r="W345" s="231"/>
      <c r="X345" s="231"/>
      <c r="Y345" s="231"/>
      <c r="Z345" s="231"/>
      <c r="AA345" s="231"/>
      <c r="AB345" s="231"/>
      <c r="AC345" s="231"/>
      <c r="AD345" s="231"/>
      <c r="AE345" s="231"/>
      <c r="AF345" s="231"/>
      <c r="AG345" s="231"/>
      <c r="AH345" s="231"/>
      <c r="AI345" s="231"/>
      <c r="AJ345" s="231"/>
    </row>
    <row r="346" spans="1:36" s="203" customFormat="1">
      <c r="A346" s="119"/>
      <c r="B346" s="47"/>
      <c r="C346" s="116"/>
      <c r="D346" s="116"/>
      <c r="E346" s="178"/>
      <c r="F346" s="146"/>
      <c r="G346" s="23"/>
      <c r="H346" s="264"/>
      <c r="I346" s="21"/>
      <c r="J346" s="231"/>
      <c r="K346" s="231"/>
      <c r="L346" s="231"/>
      <c r="M346" s="231"/>
      <c r="N346" s="231"/>
      <c r="O346" s="231"/>
      <c r="P346" s="231"/>
      <c r="Q346" s="231"/>
      <c r="R346" s="231"/>
      <c r="S346" s="231"/>
      <c r="T346" s="231"/>
      <c r="U346" s="231"/>
      <c r="V346" s="231"/>
      <c r="W346" s="231"/>
      <c r="X346" s="231"/>
      <c r="Y346" s="231"/>
      <c r="Z346" s="231"/>
      <c r="AA346" s="231"/>
      <c r="AB346" s="231"/>
      <c r="AC346" s="231"/>
      <c r="AD346" s="231"/>
      <c r="AE346" s="231"/>
      <c r="AF346" s="231"/>
      <c r="AG346" s="231"/>
      <c r="AH346" s="231"/>
      <c r="AI346" s="231"/>
      <c r="AJ346" s="231"/>
    </row>
    <row r="347" spans="1:36" s="203" customFormat="1">
      <c r="A347" s="784">
        <v>1</v>
      </c>
      <c r="B347" s="47" t="s">
        <v>263</v>
      </c>
      <c r="C347" s="116"/>
      <c r="D347" s="116"/>
      <c r="E347" s="354">
        <v>9263</v>
      </c>
      <c r="F347" s="265">
        <v>9040</v>
      </c>
      <c r="G347" s="43"/>
      <c r="H347" s="126">
        <v>9107</v>
      </c>
      <c r="I347" s="86"/>
      <c r="J347" s="231"/>
      <c r="K347" s="231"/>
      <c r="L347" s="231"/>
      <c r="M347" s="231"/>
      <c r="N347" s="231"/>
      <c r="O347" s="231"/>
      <c r="P347" s="231"/>
      <c r="Q347" s="231"/>
      <c r="R347" s="231"/>
      <c r="S347" s="231"/>
      <c r="T347" s="231"/>
      <c r="U347" s="231"/>
      <c r="V347" s="231"/>
      <c r="W347" s="231"/>
      <c r="X347" s="231"/>
      <c r="Y347" s="231"/>
      <c r="Z347" s="231"/>
      <c r="AA347" s="231"/>
      <c r="AB347" s="231"/>
      <c r="AC347" s="231"/>
      <c r="AD347" s="231"/>
      <c r="AE347" s="231"/>
      <c r="AF347" s="231"/>
      <c r="AG347" s="231"/>
      <c r="AH347" s="231"/>
      <c r="AI347" s="231"/>
      <c r="AJ347" s="231"/>
    </row>
    <row r="348" spans="1:36" s="203" customFormat="1">
      <c r="A348" s="784"/>
      <c r="B348" s="47"/>
      <c r="C348" s="116"/>
      <c r="D348" s="116"/>
      <c r="E348" s="355"/>
      <c r="F348" s="188"/>
      <c r="G348" s="43"/>
      <c r="H348" s="188"/>
      <c r="I348" s="86"/>
      <c r="J348" s="231"/>
      <c r="K348" s="231"/>
      <c r="L348" s="231"/>
      <c r="M348" s="231"/>
      <c r="N348" s="231"/>
      <c r="O348" s="231"/>
      <c r="P348" s="231"/>
      <c r="Q348" s="231"/>
      <c r="R348" s="231"/>
      <c r="S348" s="231"/>
      <c r="T348" s="231"/>
      <c r="U348" s="231"/>
      <c r="V348" s="231"/>
      <c r="W348" s="231"/>
      <c r="X348" s="231"/>
      <c r="Y348" s="231"/>
      <c r="Z348" s="231"/>
      <c r="AA348" s="231"/>
      <c r="AB348" s="231"/>
      <c r="AC348" s="231"/>
      <c r="AD348" s="231"/>
      <c r="AE348" s="231"/>
      <c r="AF348" s="231"/>
      <c r="AG348" s="231"/>
      <c r="AH348" s="231"/>
      <c r="AI348" s="231"/>
      <c r="AJ348" s="231"/>
    </row>
    <row r="349" spans="1:36" s="203" customFormat="1">
      <c r="A349" s="108" t="s">
        <v>378</v>
      </c>
      <c r="B349" s="47"/>
      <c r="C349" s="116"/>
      <c r="D349" s="116"/>
      <c r="E349" s="355"/>
      <c r="F349" s="188"/>
      <c r="G349" s="43"/>
      <c r="H349" s="188"/>
      <c r="I349" s="86"/>
      <c r="J349" s="231"/>
      <c r="K349" s="231"/>
      <c r="L349" s="231"/>
      <c r="M349" s="231"/>
      <c r="N349" s="231"/>
      <c r="O349" s="231"/>
      <c r="P349" s="231"/>
      <c r="Q349" s="231"/>
      <c r="R349" s="231"/>
      <c r="S349" s="231"/>
      <c r="T349" s="231"/>
      <c r="U349" s="231"/>
      <c r="V349" s="231"/>
      <c r="W349" s="231"/>
      <c r="X349" s="231"/>
      <c r="Y349" s="231"/>
      <c r="Z349" s="231"/>
      <c r="AA349" s="231"/>
      <c r="AB349" s="231"/>
      <c r="AC349" s="231"/>
      <c r="AD349" s="231"/>
      <c r="AE349" s="231"/>
      <c r="AF349" s="231"/>
      <c r="AG349" s="231"/>
      <c r="AH349" s="231"/>
      <c r="AI349" s="231"/>
      <c r="AJ349" s="231"/>
    </row>
    <row r="350" spans="1:36" s="203" customFormat="1">
      <c r="A350" s="784"/>
      <c r="B350" s="47"/>
      <c r="C350" s="116"/>
      <c r="D350" s="116"/>
      <c r="E350" s="355"/>
      <c r="F350" s="188"/>
      <c r="G350" s="43"/>
      <c r="H350" s="188"/>
      <c r="I350" s="86"/>
      <c r="J350" s="231"/>
      <c r="K350" s="231"/>
      <c r="L350" s="231"/>
      <c r="M350" s="231"/>
      <c r="N350" s="231"/>
      <c r="O350" s="231"/>
      <c r="P350" s="231"/>
      <c r="Q350" s="231"/>
      <c r="R350" s="231"/>
      <c r="S350" s="231"/>
      <c r="T350" s="231"/>
      <c r="U350" s="231"/>
      <c r="V350" s="231"/>
      <c r="W350" s="231"/>
      <c r="X350" s="231"/>
      <c r="Y350" s="231"/>
      <c r="Z350" s="231"/>
      <c r="AA350" s="231"/>
      <c r="AB350" s="231"/>
      <c r="AC350" s="231"/>
      <c r="AD350" s="231"/>
      <c r="AE350" s="231"/>
      <c r="AF350" s="231"/>
      <c r="AG350" s="231"/>
      <c r="AH350" s="231"/>
      <c r="AI350" s="231"/>
      <c r="AJ350" s="231"/>
    </row>
    <row r="351" spans="1:36" s="203" customFormat="1">
      <c r="A351" s="198" t="s">
        <v>379</v>
      </c>
      <c r="B351" s="47"/>
      <c r="C351" s="116"/>
      <c r="D351" s="116"/>
      <c r="E351" s="355"/>
      <c r="F351" s="188"/>
      <c r="G351" s="43"/>
      <c r="H351" s="188"/>
      <c r="I351" s="86"/>
      <c r="J351" s="231"/>
      <c r="K351" s="231"/>
      <c r="L351" s="231"/>
      <c r="M351" s="231"/>
      <c r="N351" s="231"/>
      <c r="O351" s="231"/>
      <c r="P351" s="231"/>
      <c r="Q351" s="231"/>
      <c r="R351" s="231"/>
      <c r="S351" s="231"/>
      <c r="T351" s="231"/>
      <c r="U351" s="231"/>
      <c r="V351" s="231"/>
      <c r="W351" s="231"/>
      <c r="X351" s="231"/>
      <c r="Y351" s="231"/>
      <c r="Z351" s="231"/>
      <c r="AA351" s="231"/>
      <c r="AB351" s="231"/>
      <c r="AC351" s="231"/>
      <c r="AD351" s="231"/>
      <c r="AE351" s="231"/>
      <c r="AF351" s="231"/>
      <c r="AG351" s="231"/>
      <c r="AH351" s="231"/>
      <c r="AI351" s="231"/>
      <c r="AJ351" s="231"/>
    </row>
    <row r="352" spans="1:36" s="203" customFormat="1">
      <c r="A352" s="784"/>
      <c r="B352" s="47"/>
      <c r="C352" s="116"/>
      <c r="D352" s="116"/>
      <c r="E352" s="355"/>
      <c r="F352" s="188"/>
      <c r="G352" s="43"/>
      <c r="H352" s="188"/>
      <c r="I352" s="86"/>
      <c r="J352" s="231"/>
      <c r="K352" s="231"/>
      <c r="L352" s="231"/>
      <c r="M352" s="231"/>
      <c r="N352" s="231"/>
      <c r="O352" s="231"/>
      <c r="P352" s="231"/>
      <c r="Q352" s="231"/>
      <c r="R352" s="231"/>
      <c r="S352" s="231"/>
      <c r="T352" s="231"/>
      <c r="U352" s="231"/>
      <c r="V352" s="231"/>
      <c r="W352" s="231"/>
      <c r="X352" s="231"/>
      <c r="Y352" s="231"/>
      <c r="Z352" s="231"/>
      <c r="AA352" s="231"/>
      <c r="AB352" s="231"/>
      <c r="AC352" s="231"/>
      <c r="AD352" s="231"/>
      <c r="AE352" s="231"/>
      <c r="AF352" s="231"/>
      <c r="AG352" s="231"/>
      <c r="AH352" s="231"/>
      <c r="AI352" s="231"/>
      <c r="AJ352" s="231"/>
    </row>
    <row r="353" spans="1:36" s="203" customFormat="1">
      <c r="A353" s="784">
        <v>2</v>
      </c>
      <c r="B353" s="47" t="s">
        <v>52</v>
      </c>
      <c r="C353" s="116"/>
      <c r="D353" s="116"/>
      <c r="E353" s="74">
        <v>52</v>
      </c>
      <c r="F353" s="265"/>
      <c r="G353" s="43"/>
      <c r="H353" s="126"/>
      <c r="I353" s="86"/>
      <c r="J353" s="231"/>
      <c r="K353" s="231"/>
      <c r="L353" s="231"/>
      <c r="M353" s="231"/>
      <c r="N353" s="231"/>
      <c r="O353" s="231"/>
      <c r="P353" s="231"/>
      <c r="Q353" s="231"/>
      <c r="R353" s="231"/>
      <c r="S353" s="231"/>
      <c r="T353" s="231"/>
      <c r="U353" s="231"/>
      <c r="V353" s="231"/>
      <c r="W353" s="231"/>
      <c r="X353" s="231"/>
      <c r="Y353" s="231"/>
      <c r="Z353" s="231"/>
      <c r="AA353" s="231"/>
      <c r="AB353" s="231"/>
      <c r="AC353" s="231"/>
      <c r="AD353" s="231"/>
      <c r="AE353" s="231"/>
      <c r="AF353" s="231"/>
      <c r="AG353" s="231"/>
      <c r="AH353" s="231"/>
      <c r="AI353" s="231"/>
      <c r="AJ353" s="231"/>
    </row>
    <row r="354" spans="1:36" s="203" customFormat="1">
      <c r="A354" s="784">
        <v>3</v>
      </c>
      <c r="B354" s="47" t="s">
        <v>53</v>
      </c>
      <c r="C354" s="116"/>
      <c r="D354" s="116"/>
      <c r="E354" s="49">
        <v>0</v>
      </c>
      <c r="F354" s="265"/>
      <c r="G354" s="43"/>
      <c r="H354" s="126"/>
      <c r="I354" s="86"/>
      <c r="J354" s="231"/>
      <c r="K354" s="231"/>
      <c r="L354" s="231"/>
      <c r="M354" s="231"/>
      <c r="N354" s="231"/>
      <c r="O354" s="231"/>
      <c r="P354" s="231"/>
      <c r="Q354" s="231"/>
      <c r="R354" s="231"/>
      <c r="S354" s="231"/>
      <c r="T354" s="231"/>
      <c r="U354" s="231"/>
      <c r="V354" s="231"/>
      <c r="W354" s="231"/>
      <c r="X354" s="231"/>
      <c r="Y354" s="231"/>
      <c r="Z354" s="231"/>
      <c r="AA354" s="231"/>
      <c r="AB354" s="231"/>
      <c r="AC354" s="231"/>
      <c r="AD354" s="231"/>
      <c r="AE354" s="231"/>
      <c r="AF354" s="231"/>
      <c r="AG354" s="231"/>
      <c r="AH354" s="231"/>
      <c r="AI354" s="231"/>
      <c r="AJ354" s="231"/>
    </row>
    <row r="355" spans="1:36" s="203" customFormat="1">
      <c r="A355" s="784">
        <v>4</v>
      </c>
      <c r="B355" s="47" t="s">
        <v>54</v>
      </c>
      <c r="C355" s="116"/>
      <c r="D355" s="116"/>
      <c r="E355" s="49">
        <v>0</v>
      </c>
      <c r="F355" s="265"/>
      <c r="G355" s="43"/>
      <c r="H355" s="126"/>
      <c r="I355" s="86"/>
      <c r="J355" s="231"/>
      <c r="K355" s="231"/>
      <c r="L355" s="231"/>
      <c r="M355" s="231"/>
      <c r="N355" s="231"/>
      <c r="O355" s="231"/>
      <c r="P355" s="231"/>
      <c r="Q355" s="231"/>
      <c r="R355" s="231"/>
      <c r="S355" s="231"/>
      <c r="T355" s="231"/>
      <c r="U355" s="231"/>
      <c r="V355" s="231"/>
      <c r="W355" s="231"/>
      <c r="X355" s="231"/>
      <c r="Y355" s="231"/>
      <c r="Z355" s="231"/>
      <c r="AA355" s="231"/>
      <c r="AB355" s="231"/>
      <c r="AC355" s="231"/>
      <c r="AD355" s="231"/>
      <c r="AE355" s="231"/>
      <c r="AF355" s="231"/>
      <c r="AG355" s="231"/>
      <c r="AH355" s="231"/>
      <c r="AI355" s="231"/>
      <c r="AJ355" s="231"/>
    </row>
    <row r="356" spans="1:36" s="203" customFormat="1">
      <c r="A356" s="784">
        <v>5</v>
      </c>
      <c r="B356" s="47" t="s">
        <v>55</v>
      </c>
      <c r="C356" s="116"/>
      <c r="D356" s="116"/>
      <c r="E356" s="49">
        <v>0</v>
      </c>
      <c r="F356" s="265"/>
      <c r="G356" s="43"/>
      <c r="H356" s="126"/>
      <c r="I356" s="86"/>
      <c r="J356" s="231"/>
      <c r="K356" s="231"/>
      <c r="L356" s="231"/>
      <c r="M356" s="231"/>
      <c r="N356" s="231"/>
      <c r="O356" s="231"/>
      <c r="P356" s="231"/>
      <c r="Q356" s="231"/>
      <c r="R356" s="231"/>
      <c r="S356" s="231"/>
      <c r="T356" s="231"/>
      <c r="U356" s="231"/>
      <c r="V356" s="231"/>
      <c r="W356" s="231"/>
      <c r="X356" s="231"/>
      <c r="Y356" s="231"/>
      <c r="Z356" s="231"/>
      <c r="AA356" s="231"/>
      <c r="AB356" s="231"/>
      <c r="AC356" s="231"/>
      <c r="AD356" s="231"/>
      <c r="AE356" s="231"/>
      <c r="AF356" s="231"/>
      <c r="AG356" s="231"/>
      <c r="AH356" s="231"/>
      <c r="AI356" s="231"/>
      <c r="AJ356" s="231"/>
    </row>
    <row r="357" spans="1:36" s="203" customFormat="1">
      <c r="A357" s="784">
        <v>6</v>
      </c>
      <c r="B357" s="47" t="s">
        <v>56</v>
      </c>
      <c r="C357" s="116"/>
      <c r="D357" s="116"/>
      <c r="E357" s="49">
        <v>301</v>
      </c>
      <c r="F357" s="265">
        <v>38</v>
      </c>
      <c r="G357" s="43"/>
      <c r="H357" s="126">
        <v>68</v>
      </c>
      <c r="I357" s="86"/>
      <c r="J357" s="231"/>
      <c r="K357" s="231"/>
      <c r="L357" s="231"/>
      <c r="M357" s="231"/>
      <c r="N357" s="231"/>
      <c r="O357" s="231"/>
      <c r="P357" s="231"/>
      <c r="Q357" s="231"/>
      <c r="R357" s="231"/>
      <c r="S357" s="231"/>
      <c r="T357" s="231"/>
      <c r="U357" s="231"/>
      <c r="V357" s="231"/>
      <c r="W357" s="231"/>
      <c r="X357" s="231"/>
      <c r="Y357" s="231"/>
      <c r="Z357" s="231"/>
      <c r="AA357" s="231"/>
      <c r="AB357" s="231"/>
      <c r="AC357" s="231"/>
      <c r="AD357" s="231"/>
      <c r="AE357" s="231"/>
      <c r="AF357" s="231"/>
      <c r="AG357" s="231"/>
      <c r="AH357" s="231"/>
      <c r="AI357" s="231"/>
      <c r="AJ357" s="231"/>
    </row>
    <row r="358" spans="1:36" s="203" customFormat="1">
      <c r="A358" s="784">
        <v>7</v>
      </c>
      <c r="B358" s="47" t="s">
        <v>57</v>
      </c>
      <c r="C358" s="116"/>
      <c r="D358" s="116"/>
      <c r="E358" s="49">
        <v>0</v>
      </c>
      <c r="F358" s="265"/>
      <c r="G358" s="43"/>
      <c r="H358" s="126"/>
      <c r="I358" s="86"/>
      <c r="J358" s="231"/>
      <c r="K358" s="231"/>
      <c r="L358" s="231"/>
      <c r="M358" s="231"/>
      <c r="N358" s="231"/>
      <c r="O358" s="231"/>
      <c r="P358" s="231"/>
      <c r="Q358" s="231"/>
      <c r="R358" s="231"/>
      <c r="S358" s="231"/>
      <c r="T358" s="231"/>
      <c r="U358" s="231"/>
      <c r="V358" s="231"/>
      <c r="W358" s="231"/>
      <c r="X358" s="231"/>
      <c r="Y358" s="231"/>
      <c r="Z358" s="231"/>
      <c r="AA358" s="231"/>
      <c r="AB358" s="231"/>
      <c r="AC358" s="231"/>
      <c r="AD358" s="231"/>
      <c r="AE358" s="231"/>
      <c r="AF358" s="231"/>
      <c r="AG358" s="231"/>
      <c r="AH358" s="231"/>
      <c r="AI358" s="231"/>
      <c r="AJ358" s="231"/>
    </row>
    <row r="359" spans="1:36" s="203" customFormat="1">
      <c r="A359" s="784">
        <v>8</v>
      </c>
      <c r="B359" s="47" t="s">
        <v>58</v>
      </c>
      <c r="C359" s="116"/>
      <c r="D359" s="116"/>
      <c r="E359" s="49">
        <v>0</v>
      </c>
      <c r="F359" s="265"/>
      <c r="G359" s="43"/>
      <c r="H359" s="126"/>
      <c r="I359" s="86"/>
      <c r="J359" s="231"/>
      <c r="K359" s="231"/>
      <c r="L359" s="231"/>
      <c r="M359" s="231"/>
      <c r="N359" s="231"/>
      <c r="O359" s="231"/>
      <c r="P359" s="231"/>
      <c r="Q359" s="231"/>
      <c r="R359" s="231"/>
      <c r="S359" s="231"/>
      <c r="T359" s="231"/>
      <c r="U359" s="231"/>
      <c r="V359" s="231"/>
      <c r="W359" s="231"/>
      <c r="X359" s="231"/>
      <c r="Y359" s="231"/>
      <c r="Z359" s="231"/>
      <c r="AA359" s="231"/>
      <c r="AB359" s="231"/>
      <c r="AC359" s="231"/>
      <c r="AD359" s="231"/>
      <c r="AE359" s="231"/>
      <c r="AF359" s="231"/>
      <c r="AG359" s="231"/>
      <c r="AH359" s="231"/>
      <c r="AI359" s="231"/>
      <c r="AJ359" s="231"/>
    </row>
    <row r="360" spans="1:36" s="203" customFormat="1">
      <c r="A360" s="784">
        <v>9</v>
      </c>
      <c r="B360" s="47" t="s">
        <v>59</v>
      </c>
      <c r="C360" s="116"/>
      <c r="D360" s="116"/>
      <c r="E360" s="49">
        <v>0</v>
      </c>
      <c r="F360" s="265"/>
      <c r="G360" s="43"/>
      <c r="H360" s="126">
        <v>52</v>
      </c>
      <c r="I360" s="86"/>
      <c r="J360" s="231"/>
      <c r="K360" s="231"/>
      <c r="L360" s="231"/>
      <c r="M360" s="231"/>
      <c r="N360" s="231"/>
      <c r="O360" s="231"/>
      <c r="P360" s="231"/>
      <c r="Q360" s="231"/>
      <c r="R360" s="231"/>
      <c r="S360" s="231"/>
      <c r="T360" s="231"/>
      <c r="U360" s="231"/>
      <c r="V360" s="231"/>
      <c r="W360" s="231"/>
      <c r="X360" s="231"/>
      <c r="Y360" s="231"/>
      <c r="Z360" s="231"/>
      <c r="AA360" s="231"/>
      <c r="AB360" s="231"/>
      <c r="AC360" s="231"/>
      <c r="AD360" s="231"/>
      <c r="AE360" s="231"/>
      <c r="AF360" s="231"/>
      <c r="AG360" s="231"/>
      <c r="AH360" s="231"/>
      <c r="AI360" s="231"/>
      <c r="AJ360" s="231"/>
    </row>
    <row r="361" spans="1:36" s="203" customFormat="1">
      <c r="A361" s="784">
        <v>10</v>
      </c>
      <c r="B361" s="47" t="s">
        <v>60</v>
      </c>
      <c r="C361" s="116"/>
      <c r="D361" s="116"/>
      <c r="E361" s="49">
        <v>0</v>
      </c>
      <c r="F361" s="265"/>
      <c r="G361" s="43"/>
      <c r="H361" s="126"/>
      <c r="I361" s="86"/>
      <c r="J361" s="231"/>
      <c r="K361" s="231"/>
      <c r="L361" s="231"/>
      <c r="M361" s="231"/>
      <c r="N361" s="231"/>
      <c r="O361" s="231"/>
      <c r="P361" s="231"/>
      <c r="Q361" s="231"/>
      <c r="R361" s="231"/>
      <c r="S361" s="231"/>
      <c r="T361" s="231"/>
      <c r="U361" s="231"/>
      <c r="V361" s="231"/>
      <c r="W361" s="231"/>
      <c r="X361" s="231"/>
      <c r="Y361" s="231"/>
      <c r="Z361" s="231"/>
      <c r="AA361" s="231"/>
      <c r="AB361" s="231"/>
      <c r="AC361" s="231"/>
      <c r="AD361" s="231"/>
      <c r="AE361" s="231"/>
      <c r="AF361" s="231"/>
      <c r="AG361" s="231"/>
      <c r="AH361" s="231"/>
      <c r="AI361" s="231"/>
      <c r="AJ361" s="231"/>
    </row>
    <row r="362" spans="1:36" s="203" customFormat="1">
      <c r="A362" s="784">
        <v>11</v>
      </c>
      <c r="B362" s="47" t="s">
        <v>61</v>
      </c>
      <c r="C362" s="116"/>
      <c r="D362" s="116"/>
      <c r="E362" s="49">
        <v>0</v>
      </c>
      <c r="F362" s="265"/>
      <c r="G362" s="43"/>
      <c r="H362" s="126"/>
      <c r="I362" s="86"/>
      <c r="J362" s="231"/>
      <c r="K362" s="231"/>
      <c r="L362" s="231"/>
      <c r="M362" s="231"/>
      <c r="N362" s="231"/>
      <c r="O362" s="231"/>
      <c r="P362" s="231"/>
      <c r="Q362" s="231"/>
      <c r="R362" s="231"/>
      <c r="S362" s="231"/>
      <c r="T362" s="231"/>
      <c r="U362" s="231"/>
      <c r="V362" s="231"/>
      <c r="W362" s="231"/>
      <c r="X362" s="231"/>
      <c r="Y362" s="231"/>
      <c r="Z362" s="231"/>
      <c r="AA362" s="231"/>
      <c r="AB362" s="231"/>
      <c r="AC362" s="231"/>
      <c r="AD362" s="231"/>
      <c r="AE362" s="231"/>
      <c r="AF362" s="231"/>
      <c r="AG362" s="231"/>
      <c r="AH362" s="231"/>
      <c r="AI362" s="231"/>
      <c r="AJ362" s="231"/>
    </row>
    <row r="363" spans="1:36" s="203" customFormat="1">
      <c r="A363" s="785">
        <v>12</v>
      </c>
      <c r="B363" s="54" t="s">
        <v>380</v>
      </c>
      <c r="C363" s="94"/>
      <c r="D363" s="94"/>
      <c r="E363" s="135">
        <v>353</v>
      </c>
      <c r="F363" s="61">
        <f>SUM(F353:F362)</f>
        <v>38</v>
      </c>
      <c r="G363" s="43"/>
      <c r="H363" s="61">
        <f>SUM(H353:H362)</f>
        <v>120</v>
      </c>
      <c r="I363" s="86"/>
      <c r="J363" s="231"/>
      <c r="K363" s="231"/>
      <c r="L363" s="231"/>
      <c r="M363" s="231"/>
      <c r="N363" s="231"/>
      <c r="O363" s="231"/>
      <c r="P363" s="231"/>
      <c r="Q363" s="231"/>
      <c r="R363" s="231"/>
      <c r="S363" s="231"/>
      <c r="T363" s="231"/>
      <c r="U363" s="231"/>
      <c r="V363" s="231"/>
      <c r="W363" s="231"/>
      <c r="X363" s="231"/>
      <c r="Y363" s="231"/>
      <c r="Z363" s="231"/>
      <c r="AA363" s="231"/>
      <c r="AB363" s="231"/>
      <c r="AC363" s="231"/>
      <c r="AD363" s="231"/>
      <c r="AE363" s="231"/>
      <c r="AF363" s="231"/>
      <c r="AG363" s="231"/>
      <c r="AH363" s="231"/>
      <c r="AI363" s="231"/>
      <c r="AJ363" s="231"/>
    </row>
    <row r="364" spans="1:36" s="203" customFormat="1">
      <c r="A364" s="199"/>
      <c r="B364" s="15"/>
      <c r="C364" s="15"/>
      <c r="D364" s="15"/>
      <c r="E364" s="15"/>
      <c r="F364" s="15"/>
      <c r="G364" s="15"/>
      <c r="H364" s="15"/>
      <c r="I364" s="86"/>
      <c r="J364" s="231"/>
      <c r="K364" s="231"/>
      <c r="L364" s="231"/>
      <c r="M364" s="231"/>
      <c r="N364" s="231"/>
      <c r="O364" s="231"/>
      <c r="P364" s="231"/>
      <c r="Q364" s="231"/>
      <c r="R364" s="231"/>
      <c r="S364" s="231"/>
      <c r="T364" s="231"/>
      <c r="U364" s="231"/>
      <c r="V364" s="231"/>
      <c r="W364" s="231"/>
      <c r="X364" s="231"/>
      <c r="Y364" s="231"/>
      <c r="Z364" s="231"/>
      <c r="AA364" s="231"/>
      <c r="AB364" s="231"/>
      <c r="AC364" s="231"/>
      <c r="AD364" s="231"/>
      <c r="AE364" s="231"/>
      <c r="AF364" s="231"/>
      <c r="AG364" s="231"/>
      <c r="AH364" s="231"/>
      <c r="AI364" s="231"/>
      <c r="AJ364" s="231"/>
    </row>
    <row r="365" spans="1:36" s="203" customFormat="1">
      <c r="A365" s="199"/>
      <c r="B365" s="15"/>
      <c r="C365" s="15"/>
      <c r="D365" s="15"/>
      <c r="E365" s="15"/>
      <c r="F365" s="15"/>
      <c r="G365" s="15"/>
      <c r="H365" s="86"/>
      <c r="I365" s="86"/>
      <c r="J365" s="231"/>
      <c r="K365" s="231"/>
      <c r="L365" s="231"/>
      <c r="M365" s="231"/>
      <c r="N365" s="231"/>
      <c r="O365" s="231"/>
      <c r="P365" s="231"/>
      <c r="Q365" s="231"/>
      <c r="R365" s="231"/>
      <c r="S365" s="231"/>
      <c r="T365" s="231"/>
      <c r="U365" s="231"/>
      <c r="V365" s="231"/>
      <c r="W365" s="231"/>
      <c r="X365" s="231"/>
      <c r="Y365" s="231"/>
      <c r="Z365" s="231"/>
      <c r="AA365" s="231"/>
      <c r="AB365" s="231"/>
      <c r="AC365" s="231"/>
      <c r="AD365" s="231"/>
      <c r="AE365" s="231"/>
      <c r="AF365" s="231"/>
      <c r="AG365" s="231"/>
      <c r="AH365" s="231"/>
      <c r="AI365" s="231"/>
      <c r="AJ365" s="231"/>
    </row>
    <row r="366" spans="1:36" s="203" customFormat="1">
      <c r="A366" s="199"/>
      <c r="B366" s="15"/>
      <c r="C366" s="15"/>
      <c r="D366" s="15"/>
      <c r="E366" s="15"/>
      <c r="F366" s="15"/>
      <c r="G366" s="15"/>
      <c r="H366" s="86"/>
      <c r="I366" s="86"/>
      <c r="J366" s="231"/>
      <c r="K366" s="231"/>
      <c r="L366" s="231"/>
      <c r="M366" s="231"/>
      <c r="N366" s="231"/>
      <c r="O366" s="231"/>
      <c r="P366" s="231"/>
      <c r="Q366" s="231"/>
      <c r="R366" s="231"/>
      <c r="S366" s="231"/>
      <c r="T366" s="231"/>
      <c r="U366" s="231"/>
      <c r="V366" s="231"/>
      <c r="W366" s="231"/>
      <c r="X366" s="231"/>
      <c r="Y366" s="231"/>
      <c r="Z366" s="231"/>
      <c r="AA366" s="231"/>
      <c r="AB366" s="231"/>
      <c r="AC366" s="231"/>
      <c r="AD366" s="231"/>
      <c r="AE366" s="231"/>
      <c r="AF366" s="231"/>
      <c r="AG366" s="231"/>
      <c r="AH366" s="231"/>
      <c r="AI366" s="231"/>
      <c r="AJ366" s="231"/>
    </row>
    <row r="367" spans="1:36" s="8" customFormat="1"/>
    <row r="368" spans="1:36" s="8" customFormat="1"/>
    <row r="369" s="8" customFormat="1"/>
    <row r="370" s="8" customFormat="1"/>
    <row r="371" s="8" customFormat="1"/>
    <row r="372" s="8" customFormat="1"/>
    <row r="373" s="8" customFormat="1"/>
    <row r="374" s="8" customFormat="1"/>
    <row r="375" s="8" customFormat="1"/>
    <row r="376" s="8" customFormat="1"/>
    <row r="377" s="8" customFormat="1"/>
    <row r="378" s="8" customFormat="1"/>
    <row r="379" s="8" customFormat="1"/>
    <row r="380" s="8" customFormat="1"/>
    <row r="381" s="8" customFormat="1"/>
    <row r="382" s="8" customFormat="1"/>
    <row r="383" s="8" customFormat="1"/>
    <row r="384" s="8" customFormat="1"/>
    <row r="385" spans="1:9" s="8" customFormat="1"/>
    <row r="386" spans="1:9" s="8" customFormat="1"/>
    <row r="387" spans="1:9" s="8" customFormat="1"/>
    <row r="388" spans="1:9" s="8" customFormat="1"/>
    <row r="389" spans="1:9" s="8" customFormat="1"/>
    <row r="390" spans="1:9" s="8" customFormat="1"/>
    <row r="391" spans="1:9" s="8" customFormat="1"/>
    <row r="392" spans="1:9" s="8" customFormat="1"/>
    <row r="393" spans="1:9" s="8" customFormat="1"/>
    <row r="394" spans="1:9" s="8" customFormat="1"/>
    <row r="395" spans="1:9" s="8" customFormat="1"/>
    <row r="396" spans="1:9" s="8" customFormat="1"/>
    <row r="397" spans="1:9" s="8" customFormat="1"/>
    <row r="398" spans="1:9" s="8" customFormat="1"/>
    <row r="399" spans="1:9" s="8" customFormat="1"/>
    <row r="400" spans="1:9">
      <c r="A400" s="8"/>
      <c r="B400" s="8"/>
      <c r="C400" s="8"/>
      <c r="D400" s="8"/>
      <c r="E400" s="8"/>
      <c r="F400" s="8"/>
      <c r="G400" s="8"/>
      <c r="H400" s="8"/>
      <c r="I400" s="8"/>
    </row>
    <row r="401" spans="1:9">
      <c r="A401" s="8"/>
      <c r="B401" s="8"/>
      <c r="C401" s="8"/>
      <c r="D401" s="8"/>
      <c r="E401" s="8"/>
      <c r="F401" s="8"/>
      <c r="G401" s="8"/>
      <c r="H401" s="8"/>
      <c r="I401" s="8"/>
    </row>
    <row r="402" spans="1:9">
      <c r="A402" s="8"/>
      <c r="B402" s="8"/>
      <c r="C402" s="8"/>
      <c r="D402" s="8"/>
      <c r="E402" s="8"/>
      <c r="F402" s="8"/>
      <c r="G402" s="8"/>
      <c r="H402" s="8"/>
      <c r="I402" s="8"/>
    </row>
    <row r="403" spans="1:9">
      <c r="A403" s="8"/>
      <c r="B403" s="8"/>
      <c r="C403" s="8"/>
      <c r="D403" s="8"/>
      <c r="E403" s="8"/>
      <c r="F403" s="8"/>
      <c r="G403" s="8"/>
      <c r="H403" s="8"/>
      <c r="I403" s="8"/>
    </row>
    <row r="404" spans="1:9">
      <c r="A404" s="8"/>
      <c r="B404" s="8"/>
      <c r="C404" s="8"/>
      <c r="D404" s="8"/>
      <c r="E404" s="8"/>
      <c r="F404" s="8"/>
      <c r="G404" s="8"/>
      <c r="H404" s="8"/>
      <c r="I404" s="8"/>
    </row>
    <row r="405" spans="1:9">
      <c r="A405" s="8"/>
      <c r="B405" s="8"/>
      <c r="C405" s="8"/>
      <c r="D405" s="8"/>
      <c r="E405" s="8"/>
      <c r="F405" s="8"/>
      <c r="G405" s="8"/>
      <c r="H405" s="8"/>
      <c r="I405" s="8"/>
    </row>
    <row r="406" spans="1:9">
      <c r="A406" s="8"/>
      <c r="B406" s="8"/>
      <c r="C406" s="8"/>
      <c r="D406" s="8"/>
      <c r="E406" s="8"/>
      <c r="F406" s="8"/>
      <c r="G406" s="8"/>
      <c r="H406" s="8"/>
      <c r="I406" s="8"/>
    </row>
    <row r="407" spans="1:9">
      <c r="A407" s="8"/>
      <c r="B407" s="8"/>
      <c r="C407" s="8"/>
      <c r="D407" s="8"/>
      <c r="E407" s="8"/>
      <c r="F407" s="8"/>
      <c r="G407" s="8"/>
      <c r="H407" s="8"/>
      <c r="I407" s="8"/>
    </row>
    <row r="408" spans="1:9">
      <c r="A408" s="8"/>
      <c r="B408" s="8"/>
      <c r="C408" s="8"/>
      <c r="D408" s="8"/>
      <c r="E408" s="8"/>
      <c r="F408" s="8"/>
      <c r="G408" s="8"/>
      <c r="H408" s="8"/>
      <c r="I408" s="8"/>
    </row>
    <row r="409" spans="1:9">
      <c r="A409" s="8"/>
      <c r="B409" s="8"/>
      <c r="C409" s="8"/>
      <c r="D409" s="8"/>
      <c r="E409" s="8"/>
      <c r="F409" s="8"/>
      <c r="G409" s="8"/>
      <c r="H409" s="8"/>
      <c r="I409" s="8"/>
    </row>
    <row r="410" spans="1:9">
      <c r="A410" s="8"/>
      <c r="B410" s="8"/>
      <c r="C410" s="8"/>
      <c r="D410" s="8"/>
      <c r="E410" s="8"/>
      <c r="F410" s="8"/>
      <c r="G410" s="8"/>
      <c r="H410" s="8"/>
      <c r="I410" s="8"/>
    </row>
    <row r="411" spans="1:9">
      <c r="A411" s="8"/>
      <c r="B411" s="8"/>
      <c r="C411" s="8"/>
      <c r="D411" s="8"/>
      <c r="E411" s="8"/>
      <c r="F411" s="8"/>
      <c r="G411" s="8"/>
      <c r="H411" s="8"/>
      <c r="I411" s="8"/>
    </row>
    <row r="412" spans="1:9">
      <c r="A412" s="8"/>
      <c r="B412" s="8"/>
      <c r="C412" s="8"/>
      <c r="D412" s="8"/>
      <c r="E412" s="8"/>
      <c r="F412" s="8"/>
      <c r="G412" s="8"/>
      <c r="H412" s="8"/>
      <c r="I412" s="8"/>
    </row>
    <row r="413" spans="1:9">
      <c r="A413" s="8"/>
      <c r="B413" s="8"/>
      <c r="C413" s="8"/>
      <c r="D413" s="8"/>
      <c r="E413" s="8"/>
      <c r="F413" s="8"/>
      <c r="G413" s="8"/>
      <c r="H413" s="8"/>
      <c r="I413" s="8"/>
    </row>
    <row r="414" spans="1:9">
      <c r="A414" s="8"/>
      <c r="B414" s="8"/>
      <c r="C414" s="8"/>
      <c r="D414" s="8"/>
      <c r="E414" s="8"/>
      <c r="F414" s="8"/>
      <c r="G414" s="8"/>
      <c r="H414" s="8"/>
      <c r="I414" s="8"/>
    </row>
  </sheetData>
  <mergeCells count="59">
    <mergeCell ref="C19:F19"/>
    <mergeCell ref="B3:B4"/>
    <mergeCell ref="C3:D4"/>
    <mergeCell ref="A5:B5"/>
    <mergeCell ref="D6:H6"/>
    <mergeCell ref="A9:I9"/>
    <mergeCell ref="D10:F10"/>
    <mergeCell ref="C14:F14"/>
    <mergeCell ref="C15:F15"/>
    <mergeCell ref="C16:F16"/>
    <mergeCell ref="C17:F17"/>
    <mergeCell ref="C18:F18"/>
    <mergeCell ref="A23:D24"/>
    <mergeCell ref="E23:E24"/>
    <mergeCell ref="F23:F24"/>
    <mergeCell ref="H23:H24"/>
    <mergeCell ref="A25:A27"/>
    <mergeCell ref="B25:D27"/>
    <mergeCell ref="E25:E27"/>
    <mergeCell ref="F25:F27"/>
    <mergeCell ref="H25:H27"/>
    <mergeCell ref="A40:D41"/>
    <mergeCell ref="E40:E41"/>
    <mergeCell ref="F40:F41"/>
    <mergeCell ref="H40:H41"/>
    <mergeCell ref="E66:E70"/>
    <mergeCell ref="F66:F70"/>
    <mergeCell ref="G66:G70"/>
    <mergeCell ref="H66:H70"/>
    <mergeCell ref="I66:I70"/>
    <mergeCell ref="F91:F95"/>
    <mergeCell ref="H91:H95"/>
    <mergeCell ref="E193:E197"/>
    <mergeCell ref="F193:F197"/>
    <mergeCell ref="H193:H197"/>
    <mergeCell ref="E153:E157"/>
    <mergeCell ref="F153:F157"/>
    <mergeCell ref="H153:H157"/>
    <mergeCell ref="E91:E95"/>
    <mergeCell ref="E221:E225"/>
    <mergeCell ref="F221:F225"/>
    <mergeCell ref="H221:H225"/>
    <mergeCell ref="E234:E238"/>
    <mergeCell ref="F234:F238"/>
    <mergeCell ref="H234:H238"/>
    <mergeCell ref="E261:E265"/>
    <mergeCell ref="F261:F265"/>
    <mergeCell ref="H261:H265"/>
    <mergeCell ref="E280:E284"/>
    <mergeCell ref="F280:F284"/>
    <mergeCell ref="H280:H284"/>
    <mergeCell ref="E341:E345"/>
    <mergeCell ref="F341:F345"/>
    <mergeCell ref="H341:H345"/>
    <mergeCell ref="E305:E309"/>
    <mergeCell ref="F305:F309"/>
    <mergeCell ref="H305:H309"/>
    <mergeCell ref="C323:H323"/>
    <mergeCell ref="C330:H330"/>
  </mergeCells>
  <phoneticPr fontId="10" type="noConversion"/>
  <conditionalFormatting sqref="F71:F76 F286:F301 F311:F318 F80:F88 F96:F97 F103:F104 F106 F110:F114 F118:F124 F128:F134 F138:F142 F146:F149 F159:F162 F166:F168 F171:F172 F175:F177 F183:F190 F199:F200 F204:F206 F210:F213 F217:F218 F226:F230 F240:F241 F245:F246 F250:F253 F256 F267:F276 H250">
    <cfRule type="expression" dxfId="4" priority="305" stopIfTrue="1">
      <formula>ISBLANK(F71)</formula>
    </cfRule>
    <cfRule type="expression" dxfId="3" priority="306" stopIfTrue="1">
      <formula>IF(AND(OR(F71-E71&gt;500,F71-E71&lt;-500),OR(#REF!&gt;0.1,#REF!&lt;-0.1)),TRUE,FALSE)</formula>
    </cfRule>
  </conditionalFormatting>
  <dataValidations count="1">
    <dataValidation type="list" errorStyle="information" allowBlank="1" showInputMessage="1" showErrorMessage="1" errorTitle="POBE 2006" error="Please select from the drop-down menu..." prompt="Please select your Authority from the drop-down menu..." sqref="C3:D4">
      <formula1>#REF!</formula1>
    </dataValidation>
  </dataValidations>
  <hyperlinks>
    <hyperlink ref="F7" r:id="rId1" display="lgfstats@scotland.gsi.gov.uk"/>
    <hyperlink ref="D6" r:id="rId2"/>
    <hyperlink ref="D10" r:id="rId3" display="^lgfstats@gov.scot"/>
    <hyperlink ref="B14" location="'POBE 2017'!A28" display="PART 1 - Expenditure"/>
    <hyperlink ref="C19:F19" location="'POBE 2017'!A323" display="Sheet 10. - PUBLIC PRIVATE PARTNERSHIPS/PRIVATE FINANCE INITIATIVES"/>
    <hyperlink ref="B15" location="'POBE 2017'!A40" display="PART 2 - Income and Balances"/>
    <hyperlink ref="B16" location="'POBE 2017'!A66" display="Sheet 1. EDUCATION"/>
    <hyperlink ref="B17" location="'POBE 2017'!A91" display="Sheet 2. SOCIAL WORK"/>
    <hyperlink ref="B18" location="'POBE 2017'!A153" display="Sheet 3. ROADS AND TRANSPORT"/>
    <hyperlink ref="B19" location="'POBE 2017'!A193" display="Sheet 4. ENVIRONMENTAL SERVICES"/>
    <hyperlink ref="C14:F14" location="'POBE 2017'!A221" display="Sheet 5. PLANNING AND DEVELOPMENT SERVICES"/>
    <hyperlink ref="C15:F15" location="'POBE 2017'!A234" display="Sheet 6. CULTURAL AND RELATED SERVICES"/>
    <hyperlink ref="C16:F16" location="'POBE 2017'!A261" display="Sheet 7. HOUSING"/>
    <hyperlink ref="C17:F17" location="'POBE 2017'!A280" display="Sheet 8. CENTRAL SERVICES"/>
    <hyperlink ref="C18:F18" location="'POBE 2017'!A305" display="Sheet 9. OTHER EXPENDITURE"/>
  </hyperlinks>
  <pageMargins left="0.75" right="0.75" top="1" bottom="1" header="0.5" footer="0.5"/>
  <pageSetup paperSize="9" orientation="portrait" r:id="rId4"/>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dimension ref="A1:AH414"/>
  <sheetViews>
    <sheetView zoomScale="80" zoomScaleNormal="80" workbookViewId="0">
      <selection activeCell="G41" sqref="G41"/>
    </sheetView>
  </sheetViews>
  <sheetFormatPr defaultColWidth="9.140625" defaultRowHeight="12.75"/>
  <cols>
    <col min="1" max="1" width="10.5703125" style="1" customWidth="1"/>
    <col min="2" max="2" width="43" style="1" customWidth="1"/>
    <col min="3" max="3" width="24.5703125" style="1" customWidth="1"/>
    <col min="4" max="4" width="14.7109375" style="1" customWidth="1"/>
    <col min="5" max="5" width="21.5703125" style="1" customWidth="1"/>
    <col min="6" max="6" width="19.140625" style="1" customWidth="1"/>
    <col min="7" max="7" width="17.42578125" style="1" customWidth="1"/>
    <col min="8" max="8" width="19.28515625" style="1" customWidth="1"/>
    <col min="9" max="9" width="17.85546875" style="1" customWidth="1"/>
    <col min="10" max="16" width="9.140625" style="8" customWidth="1"/>
    <col min="17" max="27" width="9.140625" style="8"/>
    <col min="28" max="28" width="0" style="8" hidden="1" customWidth="1"/>
    <col min="29" max="34" width="9.140625" style="8"/>
    <col min="35" max="16384" width="9.140625" style="1"/>
  </cols>
  <sheetData>
    <row r="1" spans="1:34" s="203" customFormat="1" ht="51" customHeight="1">
      <c r="A1" s="3" t="s">
        <v>410</v>
      </c>
      <c r="B1" s="4"/>
      <c r="C1" s="224"/>
      <c r="D1" s="224"/>
      <c r="E1" s="224"/>
      <c r="F1" s="224"/>
      <c r="G1" s="225"/>
      <c r="H1" s="226"/>
      <c r="I1" s="227"/>
      <c r="J1" s="231"/>
      <c r="K1" s="231"/>
      <c r="L1" s="231"/>
      <c r="M1" s="231"/>
      <c r="N1" s="231"/>
      <c r="O1" s="231"/>
      <c r="P1" s="231"/>
      <c r="Q1" s="231"/>
      <c r="R1" s="231"/>
      <c r="S1" s="231"/>
      <c r="T1" s="231"/>
      <c r="U1" s="231"/>
      <c r="V1" s="231"/>
      <c r="W1" s="231"/>
      <c r="X1" s="231"/>
      <c r="Y1" s="231"/>
      <c r="Z1" s="231"/>
      <c r="AA1" s="231"/>
      <c r="AB1" s="231"/>
      <c r="AC1" s="231"/>
      <c r="AD1" s="231"/>
      <c r="AE1" s="231"/>
      <c r="AF1" s="231"/>
      <c r="AG1" s="231"/>
      <c r="AH1" s="231"/>
    </row>
    <row r="2" spans="1:34" s="203" customFormat="1" ht="35.25">
      <c r="A2" s="9"/>
      <c r="B2" s="10"/>
      <c r="C2" s="232"/>
      <c r="D2" s="232"/>
      <c r="E2" s="232"/>
      <c r="F2" s="11"/>
      <c r="G2" s="11"/>
      <c r="H2" s="11"/>
      <c r="I2" s="11"/>
      <c r="J2" s="231"/>
      <c r="K2" s="231"/>
      <c r="L2" s="231"/>
      <c r="M2" s="231"/>
      <c r="N2" s="231"/>
      <c r="O2" s="231"/>
      <c r="P2" s="231"/>
      <c r="Q2" s="231"/>
      <c r="R2" s="231"/>
      <c r="S2" s="231"/>
      <c r="T2" s="231"/>
      <c r="U2" s="231"/>
      <c r="V2" s="231"/>
      <c r="W2" s="231"/>
      <c r="X2" s="231"/>
      <c r="Y2" s="231"/>
      <c r="Z2" s="231"/>
      <c r="AA2" s="231"/>
      <c r="AB2" s="231"/>
      <c r="AC2" s="231"/>
      <c r="AD2" s="231"/>
      <c r="AE2" s="231"/>
      <c r="AF2" s="231"/>
      <c r="AG2" s="231"/>
      <c r="AH2" s="231"/>
    </row>
    <row r="3" spans="1:34" s="203" customFormat="1" ht="15">
      <c r="A3" s="12"/>
      <c r="B3" s="882" t="s">
        <v>0</v>
      </c>
      <c r="C3" s="884" t="s">
        <v>47</v>
      </c>
      <c r="D3" s="885"/>
      <c r="E3" s="13"/>
      <c r="F3" s="14"/>
      <c r="G3" s="14"/>
      <c r="H3" s="15"/>
      <c r="I3" s="14"/>
      <c r="J3" s="231"/>
      <c r="K3" s="231"/>
      <c r="L3" s="231"/>
      <c r="M3" s="231"/>
      <c r="N3" s="231"/>
      <c r="O3" s="231"/>
      <c r="P3" s="231"/>
      <c r="Q3" s="231"/>
      <c r="R3" s="231"/>
      <c r="S3" s="231"/>
      <c r="T3" s="231"/>
      <c r="U3" s="231"/>
      <c r="V3" s="231"/>
      <c r="W3" s="231"/>
      <c r="X3" s="231"/>
      <c r="Y3" s="231"/>
      <c r="Z3" s="231"/>
      <c r="AA3" s="231"/>
      <c r="AB3" s="231"/>
      <c r="AC3" s="231"/>
      <c r="AD3" s="231"/>
      <c r="AE3" s="231"/>
      <c r="AF3" s="231"/>
      <c r="AG3" s="231"/>
      <c r="AH3" s="231"/>
    </row>
    <row r="4" spans="1:34" s="203" customFormat="1" ht="15">
      <c r="A4" s="17"/>
      <c r="B4" s="883"/>
      <c r="C4" s="886"/>
      <c r="D4" s="887"/>
      <c r="E4" s="13"/>
      <c r="F4" s="14"/>
      <c r="G4" s="14"/>
      <c r="H4" s="15"/>
      <c r="I4" s="14"/>
      <c r="J4" s="231"/>
      <c r="K4" s="231"/>
      <c r="L4" s="231"/>
      <c r="M4" s="231"/>
      <c r="N4" s="231"/>
      <c r="O4" s="231"/>
      <c r="P4" s="231"/>
      <c r="Q4" s="231"/>
      <c r="R4" s="231"/>
      <c r="S4" s="231"/>
      <c r="T4" s="231"/>
      <c r="U4" s="231"/>
      <c r="V4" s="231"/>
      <c r="W4" s="231"/>
      <c r="X4" s="231"/>
      <c r="Y4" s="231"/>
      <c r="Z4" s="231"/>
      <c r="AA4" s="231"/>
      <c r="AB4" s="231"/>
      <c r="AC4" s="231"/>
      <c r="AD4" s="231"/>
      <c r="AE4" s="231"/>
      <c r="AF4" s="231"/>
      <c r="AG4" s="231"/>
      <c r="AH4" s="231"/>
    </row>
    <row r="5" spans="1:34" s="203" customFormat="1" ht="15">
      <c r="A5" s="888"/>
      <c r="B5" s="889"/>
      <c r="C5" s="18"/>
      <c r="D5" s="206"/>
      <c r="E5" s="206"/>
      <c r="F5" s="14"/>
      <c r="G5" s="14"/>
      <c r="H5" s="14"/>
      <c r="I5" s="234"/>
      <c r="J5" s="231"/>
      <c r="K5" s="231"/>
      <c r="L5" s="231"/>
      <c r="M5" s="231"/>
      <c r="N5" s="231"/>
      <c r="O5" s="231"/>
      <c r="P5" s="231"/>
      <c r="Q5" s="231"/>
      <c r="R5" s="231"/>
      <c r="S5" s="231"/>
      <c r="T5" s="231"/>
      <c r="U5" s="231"/>
      <c r="V5" s="231"/>
      <c r="W5" s="231"/>
      <c r="X5" s="231"/>
      <c r="Y5" s="231"/>
      <c r="Z5" s="231"/>
      <c r="AA5" s="231"/>
      <c r="AB5" s="231"/>
      <c r="AC5" s="231"/>
      <c r="AD5" s="231"/>
      <c r="AE5" s="231"/>
      <c r="AF5" s="231"/>
      <c r="AG5" s="231"/>
      <c r="AH5" s="231"/>
    </row>
    <row r="6" spans="1:34" s="203" customFormat="1" ht="23.25" customHeight="1">
      <c r="A6" s="19" t="s">
        <v>1</v>
      </c>
      <c r="B6" s="207"/>
      <c r="C6" s="20"/>
      <c r="D6" s="890" t="s">
        <v>249</v>
      </c>
      <c r="E6" s="890"/>
      <c r="F6" s="890"/>
      <c r="G6" s="890"/>
      <c r="H6" s="890"/>
      <c r="I6" s="29"/>
      <c r="J6" s="231"/>
      <c r="K6" s="231"/>
      <c r="L6" s="231"/>
      <c r="M6" s="231"/>
      <c r="N6" s="231"/>
      <c r="O6" s="231"/>
      <c r="P6" s="231"/>
      <c r="Q6" s="231"/>
      <c r="R6" s="231"/>
      <c r="S6" s="231"/>
      <c r="T6" s="231"/>
      <c r="U6" s="231"/>
      <c r="V6" s="231"/>
      <c r="W6" s="231"/>
      <c r="X6" s="231"/>
      <c r="Y6" s="231"/>
      <c r="Z6" s="231"/>
      <c r="AA6" s="231"/>
      <c r="AB6" s="231"/>
      <c r="AC6" s="231"/>
      <c r="AD6" s="231"/>
      <c r="AE6" s="231"/>
      <c r="AF6" s="231"/>
      <c r="AG6" s="231"/>
      <c r="AH6" s="231"/>
    </row>
    <row r="7" spans="1:34" s="203" customFormat="1" ht="18.75" customHeight="1">
      <c r="A7" s="19" t="s">
        <v>419</v>
      </c>
      <c r="B7" s="207"/>
      <c r="C7" s="207"/>
      <c r="D7" s="207"/>
      <c r="E7" s="207"/>
      <c r="F7" s="362" t="s">
        <v>250</v>
      </c>
      <c r="G7" s="1"/>
      <c r="H7" s="21"/>
      <c r="I7" s="29"/>
      <c r="J7" s="231"/>
      <c r="K7" s="231"/>
      <c r="L7" s="231"/>
      <c r="M7" s="231"/>
      <c r="N7" s="231"/>
      <c r="O7" s="231"/>
      <c r="P7" s="231"/>
      <c r="Q7" s="231"/>
      <c r="R7" s="231"/>
      <c r="S7" s="231"/>
      <c r="T7" s="231"/>
      <c r="U7" s="231"/>
      <c r="V7" s="231"/>
      <c r="W7" s="231"/>
      <c r="X7" s="231"/>
      <c r="Y7" s="231"/>
      <c r="Z7" s="231"/>
      <c r="AA7" s="231"/>
      <c r="AB7" s="231"/>
      <c r="AC7" s="231"/>
      <c r="AD7" s="231"/>
      <c r="AE7" s="231"/>
      <c r="AF7" s="231"/>
      <c r="AG7" s="231"/>
      <c r="AH7" s="231"/>
    </row>
    <row r="8" spans="1:34" s="203" customFormat="1" ht="24" customHeight="1">
      <c r="A8" s="22" t="s">
        <v>408</v>
      </c>
      <c r="B8" s="207"/>
      <c r="C8" s="207"/>
      <c r="D8" s="207"/>
      <c r="E8" s="207"/>
      <c r="F8" s="207"/>
      <c r="G8" s="824"/>
      <c r="H8" s="21"/>
      <c r="I8" s="29"/>
      <c r="J8" s="231"/>
      <c r="K8" s="231"/>
      <c r="L8" s="231"/>
      <c r="M8" s="231"/>
      <c r="N8" s="231"/>
      <c r="O8" s="231"/>
      <c r="P8" s="231"/>
      <c r="Q8" s="231"/>
      <c r="R8" s="231"/>
      <c r="S8" s="231"/>
      <c r="T8" s="231"/>
      <c r="U8" s="231"/>
      <c r="V8" s="231"/>
      <c r="W8" s="231"/>
      <c r="X8" s="231"/>
      <c r="Y8" s="231"/>
      <c r="Z8" s="231"/>
      <c r="AA8" s="231"/>
      <c r="AB8" s="231"/>
      <c r="AC8" s="231"/>
      <c r="AD8" s="231"/>
      <c r="AE8" s="231"/>
      <c r="AF8" s="231"/>
      <c r="AG8" s="231"/>
      <c r="AH8" s="231"/>
    </row>
    <row r="9" spans="1:34" s="203" customFormat="1" ht="30.75" customHeight="1">
      <c r="A9" s="891" t="s">
        <v>420</v>
      </c>
      <c r="B9" s="892"/>
      <c r="C9" s="892"/>
      <c r="D9" s="892"/>
      <c r="E9" s="892"/>
      <c r="F9" s="892"/>
      <c r="G9" s="892"/>
      <c r="H9" s="892"/>
      <c r="I9" s="892"/>
      <c r="J9" s="231"/>
      <c r="K9" s="231"/>
      <c r="L9" s="231"/>
      <c r="M9" s="231"/>
      <c r="N9" s="231"/>
      <c r="O9" s="231"/>
      <c r="P9" s="231"/>
      <c r="Q9" s="231"/>
      <c r="R9" s="231"/>
      <c r="S9" s="231"/>
      <c r="T9" s="231"/>
      <c r="U9" s="231"/>
      <c r="V9" s="231"/>
      <c r="W9" s="231"/>
      <c r="X9" s="231"/>
      <c r="Y9" s="231"/>
      <c r="Z9" s="231"/>
      <c r="AA9" s="231"/>
      <c r="AB9" s="231"/>
      <c r="AC9" s="231"/>
      <c r="AD9" s="231"/>
      <c r="AE9" s="231"/>
      <c r="AF9" s="231"/>
      <c r="AG9" s="231"/>
      <c r="AH9" s="231"/>
    </row>
    <row r="10" spans="1:34" s="203" customFormat="1" ht="12.75" customHeight="1">
      <c r="A10" s="22" t="s">
        <v>409</v>
      </c>
      <c r="B10" s="19"/>
      <c r="C10" s="1"/>
      <c r="D10" s="880" t="s">
        <v>250</v>
      </c>
      <c r="E10" s="881"/>
      <c r="F10" s="881"/>
      <c r="G10" s="207"/>
      <c r="H10" s="207"/>
      <c r="I10" s="29"/>
      <c r="J10" s="231"/>
      <c r="K10" s="231"/>
      <c r="L10" s="231"/>
      <c r="M10" s="231"/>
      <c r="N10" s="231"/>
      <c r="O10" s="231"/>
      <c r="P10" s="231"/>
      <c r="Q10" s="231"/>
      <c r="R10" s="231"/>
      <c r="S10" s="231"/>
      <c r="T10" s="231"/>
      <c r="U10" s="231"/>
      <c r="V10" s="231"/>
      <c r="W10" s="231"/>
      <c r="X10" s="231"/>
      <c r="Y10" s="231"/>
      <c r="Z10" s="231"/>
      <c r="AA10" s="231"/>
      <c r="AB10" s="231"/>
      <c r="AC10" s="231"/>
      <c r="AD10" s="231"/>
      <c r="AE10" s="231"/>
      <c r="AF10" s="231"/>
      <c r="AG10" s="231"/>
      <c r="AH10" s="231"/>
    </row>
    <row r="11" spans="1:34" s="203" customFormat="1">
      <c r="A11" s="23"/>
      <c r="B11" s="207"/>
      <c r="C11" s="207"/>
      <c r="D11" s="207"/>
      <c r="E11" s="207"/>
      <c r="F11" s="207"/>
      <c r="G11" s="21"/>
      <c r="H11" s="21"/>
      <c r="I11" s="29"/>
      <c r="J11" s="231"/>
      <c r="K11" s="231"/>
      <c r="L11" s="231"/>
      <c r="M11" s="231"/>
      <c r="N11" s="231"/>
      <c r="O11" s="231"/>
      <c r="P11" s="231"/>
      <c r="Q11" s="231"/>
      <c r="R11" s="231"/>
      <c r="S11" s="231"/>
      <c r="T11" s="231"/>
      <c r="U11" s="231"/>
      <c r="V11" s="231"/>
      <c r="W11" s="231"/>
      <c r="X11" s="231"/>
      <c r="Y11" s="231"/>
      <c r="Z11" s="231"/>
      <c r="AA11" s="231"/>
      <c r="AB11" s="231"/>
      <c r="AC11" s="231"/>
      <c r="AD11" s="231"/>
      <c r="AE11" s="231"/>
      <c r="AF11" s="231"/>
      <c r="AG11" s="231"/>
      <c r="AH11" s="231"/>
    </row>
    <row r="12" spans="1:34" s="203" customFormat="1">
      <c r="A12" s="24"/>
      <c r="B12" s="25" t="s">
        <v>7</v>
      </c>
      <c r="C12" s="26"/>
      <c r="D12" s="356"/>
      <c r="E12" s="356"/>
      <c r="F12" s="357"/>
      <c r="G12" s="21"/>
      <c r="H12" s="21"/>
      <c r="I12" s="29"/>
      <c r="J12" s="231"/>
      <c r="K12" s="231"/>
      <c r="L12" s="231"/>
      <c r="M12" s="231"/>
      <c r="N12" s="231"/>
      <c r="O12" s="231"/>
      <c r="P12" s="231"/>
      <c r="Q12" s="231"/>
      <c r="R12" s="231"/>
      <c r="S12" s="231"/>
      <c r="T12" s="231"/>
      <c r="U12" s="231"/>
      <c r="V12" s="231"/>
      <c r="W12" s="231"/>
      <c r="X12" s="231"/>
      <c r="Y12" s="231"/>
      <c r="Z12" s="231"/>
      <c r="AA12" s="231"/>
      <c r="AB12" s="231"/>
      <c r="AC12" s="231"/>
      <c r="AD12" s="231"/>
      <c r="AE12" s="231"/>
      <c r="AF12" s="231"/>
      <c r="AG12" s="231"/>
      <c r="AH12" s="231"/>
    </row>
    <row r="13" spans="1:34" s="203" customFormat="1">
      <c r="A13" s="23"/>
      <c r="B13" s="27"/>
      <c r="C13" s="358"/>
      <c r="D13" s="15"/>
      <c r="E13" s="15"/>
      <c r="F13" s="359"/>
      <c r="G13" s="207"/>
      <c r="H13" s="21"/>
      <c r="I13" s="29"/>
      <c r="J13" s="231"/>
      <c r="K13" s="231"/>
      <c r="L13" s="231"/>
      <c r="M13" s="231"/>
      <c r="N13" s="231"/>
      <c r="O13" s="231"/>
      <c r="P13" s="231"/>
      <c r="Q13" s="231"/>
      <c r="R13" s="231"/>
      <c r="S13" s="231"/>
      <c r="T13" s="231"/>
      <c r="U13" s="231"/>
      <c r="V13" s="231"/>
      <c r="W13" s="231"/>
      <c r="X13" s="231"/>
      <c r="Y13" s="231"/>
      <c r="Z13" s="231"/>
      <c r="AA13" s="231"/>
      <c r="AB13" s="231"/>
      <c r="AC13" s="231"/>
      <c r="AD13" s="231"/>
      <c r="AE13" s="231"/>
      <c r="AF13" s="231"/>
      <c r="AG13" s="231"/>
      <c r="AH13" s="231"/>
    </row>
    <row r="14" spans="1:34" s="203" customFormat="1">
      <c r="A14" s="23"/>
      <c r="B14" s="363" t="s">
        <v>328</v>
      </c>
      <c r="C14" s="870" t="s">
        <v>10</v>
      </c>
      <c r="D14" s="870"/>
      <c r="E14" s="870"/>
      <c r="F14" s="871"/>
      <c r="G14" s="207"/>
      <c r="H14" s="21"/>
      <c r="I14" s="29"/>
      <c r="J14" s="231"/>
      <c r="K14" s="231"/>
      <c r="L14" s="231"/>
      <c r="M14" s="231"/>
      <c r="N14" s="231"/>
      <c r="O14" s="231"/>
      <c r="P14" s="231"/>
      <c r="Q14" s="231"/>
      <c r="R14" s="231"/>
      <c r="S14" s="231"/>
      <c r="T14" s="231"/>
      <c r="U14" s="231"/>
      <c r="V14" s="231"/>
      <c r="W14" s="231"/>
      <c r="X14" s="231"/>
      <c r="Y14" s="231"/>
      <c r="Z14" s="231"/>
      <c r="AA14" s="231"/>
      <c r="AB14" s="231"/>
      <c r="AC14" s="231"/>
      <c r="AD14" s="231"/>
      <c r="AE14" s="231"/>
      <c r="AF14" s="231"/>
      <c r="AG14" s="231"/>
      <c r="AH14" s="231"/>
    </row>
    <row r="15" spans="1:34" s="203" customFormat="1">
      <c r="A15" s="23"/>
      <c r="B15" s="363" t="s">
        <v>329</v>
      </c>
      <c r="C15" s="870" t="s">
        <v>12</v>
      </c>
      <c r="D15" s="870"/>
      <c r="E15" s="870"/>
      <c r="F15" s="871"/>
      <c r="G15" s="207"/>
      <c r="H15" s="21"/>
      <c r="I15" s="29"/>
      <c r="J15" s="231"/>
      <c r="K15" s="231"/>
      <c r="L15" s="231"/>
      <c r="M15" s="231"/>
      <c r="N15" s="231"/>
      <c r="O15" s="231"/>
      <c r="P15" s="231"/>
      <c r="Q15" s="231"/>
      <c r="R15" s="231"/>
      <c r="S15" s="231"/>
      <c r="T15" s="231"/>
      <c r="U15" s="231"/>
      <c r="V15" s="231"/>
      <c r="W15" s="231"/>
      <c r="X15" s="231"/>
      <c r="Y15" s="231"/>
      <c r="Z15" s="231"/>
      <c r="AA15" s="231"/>
      <c r="AB15" s="231"/>
      <c r="AC15" s="231"/>
      <c r="AD15" s="231"/>
      <c r="AE15" s="231"/>
      <c r="AF15" s="231"/>
      <c r="AG15" s="231"/>
      <c r="AH15" s="231"/>
    </row>
    <row r="16" spans="1:34" s="203" customFormat="1">
      <c r="A16" s="23"/>
      <c r="B16" s="360" t="s">
        <v>14</v>
      </c>
      <c r="C16" s="870" t="s">
        <v>15</v>
      </c>
      <c r="D16" s="870"/>
      <c r="E16" s="870"/>
      <c r="F16" s="871"/>
      <c r="G16" s="207"/>
      <c r="H16" s="21"/>
      <c r="I16" s="29"/>
      <c r="J16" s="231"/>
      <c r="K16" s="231"/>
      <c r="L16" s="231"/>
      <c r="M16" s="231"/>
      <c r="N16" s="231"/>
      <c r="O16" s="231"/>
      <c r="P16" s="231"/>
      <c r="Q16" s="231"/>
      <c r="R16" s="231"/>
      <c r="S16" s="231"/>
      <c r="T16" s="231"/>
      <c r="U16" s="231"/>
      <c r="V16" s="231"/>
      <c r="W16" s="231"/>
      <c r="X16" s="231"/>
      <c r="Y16" s="231"/>
      <c r="Z16" s="231"/>
      <c r="AA16" s="231"/>
      <c r="AB16" s="231"/>
      <c r="AC16" s="231"/>
      <c r="AD16" s="231"/>
      <c r="AE16" s="231"/>
      <c r="AF16" s="231"/>
      <c r="AG16" s="231"/>
      <c r="AH16" s="231"/>
    </row>
    <row r="17" spans="1:34" s="203" customFormat="1">
      <c r="A17" s="23"/>
      <c r="B17" s="360" t="s">
        <v>17</v>
      </c>
      <c r="C17" s="870" t="s">
        <v>18</v>
      </c>
      <c r="D17" s="870"/>
      <c r="E17" s="870"/>
      <c r="F17" s="871"/>
      <c r="G17" s="207"/>
      <c r="H17" s="21"/>
      <c r="I17" s="29"/>
      <c r="J17" s="231"/>
      <c r="K17" s="231"/>
      <c r="L17" s="231"/>
      <c r="M17" s="231"/>
      <c r="N17" s="231"/>
      <c r="O17" s="231"/>
      <c r="P17" s="231"/>
      <c r="Q17" s="231"/>
      <c r="R17" s="231"/>
      <c r="S17" s="231"/>
      <c r="T17" s="231"/>
      <c r="U17" s="231"/>
      <c r="V17" s="231"/>
      <c r="W17" s="231"/>
      <c r="X17" s="231"/>
      <c r="Y17" s="231"/>
      <c r="Z17" s="231"/>
      <c r="AA17" s="231"/>
      <c r="AB17" s="231"/>
      <c r="AC17" s="231"/>
      <c r="AD17" s="231"/>
      <c r="AE17" s="231"/>
      <c r="AF17" s="231"/>
      <c r="AG17" s="231"/>
      <c r="AH17" s="231"/>
    </row>
    <row r="18" spans="1:34" s="203" customFormat="1">
      <c r="A18" s="23"/>
      <c r="B18" s="360" t="s">
        <v>20</v>
      </c>
      <c r="C18" s="870" t="s">
        <v>21</v>
      </c>
      <c r="D18" s="870"/>
      <c r="E18" s="870"/>
      <c r="F18" s="871"/>
      <c r="G18" s="207"/>
      <c r="H18" s="21"/>
      <c r="I18" s="29"/>
      <c r="J18" s="231"/>
      <c r="K18" s="231"/>
      <c r="L18" s="231"/>
      <c r="M18" s="231"/>
      <c r="N18" s="231"/>
      <c r="O18" s="231"/>
      <c r="P18" s="231"/>
      <c r="Q18" s="231"/>
      <c r="R18" s="231"/>
      <c r="S18" s="231"/>
      <c r="T18" s="231"/>
      <c r="U18" s="231"/>
      <c r="V18" s="231"/>
      <c r="W18" s="231"/>
      <c r="X18" s="231"/>
      <c r="Y18" s="231"/>
      <c r="Z18" s="231"/>
      <c r="AA18" s="231"/>
      <c r="AB18" s="231"/>
      <c r="AC18" s="231"/>
      <c r="AD18" s="231"/>
      <c r="AE18" s="231"/>
      <c r="AF18" s="231"/>
      <c r="AG18" s="231"/>
      <c r="AH18" s="231"/>
    </row>
    <row r="19" spans="1:34" s="203" customFormat="1">
      <c r="A19" s="23"/>
      <c r="B19" s="361" t="s">
        <v>23</v>
      </c>
      <c r="C19" s="872" t="s">
        <v>24</v>
      </c>
      <c r="D19" s="872"/>
      <c r="E19" s="872"/>
      <c r="F19" s="873"/>
      <c r="G19" s="21"/>
      <c r="H19" s="21"/>
      <c r="I19" s="29"/>
      <c r="J19" s="231"/>
      <c r="K19" s="231"/>
      <c r="L19" s="231"/>
      <c r="M19" s="231"/>
      <c r="N19" s="231"/>
      <c r="O19" s="231"/>
      <c r="P19" s="231"/>
      <c r="Q19" s="231"/>
      <c r="R19" s="231"/>
      <c r="S19" s="231"/>
      <c r="T19" s="231"/>
      <c r="U19" s="231"/>
      <c r="V19" s="231"/>
      <c r="W19" s="231"/>
      <c r="X19" s="231"/>
      <c r="Y19" s="231"/>
      <c r="Z19" s="231"/>
      <c r="AA19" s="231"/>
      <c r="AB19" s="231"/>
      <c r="AC19" s="231"/>
      <c r="AD19" s="231"/>
      <c r="AE19" s="231"/>
      <c r="AF19" s="231"/>
      <c r="AG19" s="231"/>
      <c r="AH19" s="231"/>
    </row>
    <row r="20" spans="1:34" s="203" customFormat="1">
      <c r="A20" s="236"/>
      <c r="B20" s="206"/>
      <c r="C20" s="206"/>
      <c r="D20" s="206"/>
      <c r="E20" s="206"/>
      <c r="F20" s="206"/>
      <c r="G20" s="206"/>
      <c r="H20" s="206"/>
      <c r="I20" s="206"/>
      <c r="J20" s="231"/>
      <c r="K20" s="231"/>
      <c r="L20" s="231"/>
      <c r="M20" s="231"/>
      <c r="N20" s="231"/>
      <c r="O20" s="231"/>
      <c r="P20" s="231"/>
      <c r="Q20" s="231"/>
      <c r="R20" s="231"/>
      <c r="S20" s="231"/>
      <c r="T20" s="231"/>
      <c r="U20" s="231"/>
      <c r="V20" s="231"/>
      <c r="W20" s="231"/>
      <c r="X20" s="231"/>
      <c r="Y20" s="231"/>
      <c r="Z20" s="231"/>
      <c r="AA20" s="231"/>
      <c r="AB20" s="231"/>
      <c r="AC20" s="231"/>
      <c r="AD20" s="231"/>
      <c r="AE20" s="231"/>
      <c r="AF20" s="231"/>
      <c r="AG20" s="231"/>
      <c r="AH20" s="231"/>
    </row>
    <row r="21" spans="1:34" s="203" customFormat="1" ht="19.5">
      <c r="A21" s="30"/>
      <c r="B21" s="13"/>
      <c r="C21" s="13"/>
      <c r="D21" s="13"/>
      <c r="E21" s="13"/>
      <c r="F21" s="13"/>
      <c r="G21" s="13"/>
      <c r="H21" s="31" t="s">
        <v>27</v>
      </c>
      <c r="I21" s="237"/>
      <c r="J21" s="231"/>
      <c r="K21" s="231"/>
      <c r="L21" s="231"/>
      <c r="M21" s="231"/>
      <c r="N21" s="231"/>
      <c r="O21" s="231"/>
      <c r="P21" s="231"/>
      <c r="Q21" s="231"/>
      <c r="R21" s="231"/>
      <c r="S21" s="231"/>
      <c r="T21" s="231"/>
      <c r="U21" s="231"/>
      <c r="V21" s="231"/>
      <c r="W21" s="231"/>
      <c r="X21" s="231"/>
      <c r="Y21" s="231"/>
      <c r="Z21" s="231"/>
      <c r="AA21" s="231"/>
      <c r="AB21" s="231"/>
      <c r="AC21" s="231"/>
      <c r="AD21" s="231"/>
      <c r="AE21" s="231"/>
      <c r="AF21" s="231"/>
      <c r="AG21" s="231"/>
      <c r="AH21" s="231"/>
    </row>
    <row r="22" spans="1:34" s="203" customFormat="1" ht="18.75" customHeight="1">
      <c r="A22" s="32"/>
      <c r="B22" s="29"/>
      <c r="C22" s="29"/>
      <c r="D22" s="29"/>
      <c r="E22" s="29"/>
      <c r="F22" s="33">
        <v>1</v>
      </c>
      <c r="G22" s="34"/>
      <c r="H22" s="33">
        <v>2</v>
      </c>
      <c r="I22" s="34"/>
      <c r="J22" s="231"/>
      <c r="K22" s="231"/>
      <c r="L22" s="231"/>
      <c r="M22" s="231"/>
      <c r="N22" s="231"/>
      <c r="O22" s="231"/>
      <c r="P22" s="231"/>
      <c r="Q22" s="231"/>
      <c r="R22" s="231"/>
      <c r="S22" s="231"/>
      <c r="T22" s="231"/>
      <c r="U22" s="231"/>
      <c r="V22" s="231"/>
      <c r="W22" s="231"/>
      <c r="X22" s="231"/>
      <c r="Y22" s="231"/>
      <c r="Z22" s="231"/>
      <c r="AA22" s="231"/>
      <c r="AB22" s="231"/>
      <c r="AC22" s="231"/>
      <c r="AD22" s="231"/>
      <c r="AE22" s="231"/>
      <c r="AF22" s="231"/>
      <c r="AG22" s="231"/>
      <c r="AH22" s="231"/>
    </row>
    <row r="23" spans="1:34" s="203" customFormat="1" ht="21.95" customHeight="1">
      <c r="A23" s="874" t="s">
        <v>30</v>
      </c>
      <c r="B23" s="875"/>
      <c r="C23" s="875"/>
      <c r="D23" s="875"/>
      <c r="E23" s="878" t="s">
        <v>376</v>
      </c>
      <c r="F23" s="856" t="s">
        <v>407</v>
      </c>
      <c r="G23" s="36"/>
      <c r="H23" s="878" t="s">
        <v>406</v>
      </c>
      <c r="I23" s="36"/>
      <c r="J23" s="231"/>
      <c r="K23" s="231"/>
      <c r="L23" s="231"/>
      <c r="M23" s="231"/>
      <c r="N23" s="231"/>
      <c r="O23" s="231"/>
      <c r="P23" s="231"/>
      <c r="Q23" s="231"/>
      <c r="R23" s="231"/>
      <c r="S23" s="231"/>
      <c r="T23" s="231"/>
      <c r="U23" s="231"/>
      <c r="V23" s="231"/>
      <c r="W23" s="231"/>
      <c r="X23" s="231"/>
      <c r="Y23" s="231"/>
      <c r="Z23" s="231"/>
      <c r="AA23" s="231"/>
      <c r="AB23" s="231"/>
      <c r="AC23" s="231"/>
      <c r="AD23" s="231"/>
      <c r="AE23" s="231"/>
      <c r="AF23" s="231"/>
      <c r="AG23" s="231"/>
      <c r="AH23" s="231"/>
    </row>
    <row r="24" spans="1:34" s="203" customFormat="1" ht="21.95" customHeight="1">
      <c r="A24" s="876"/>
      <c r="B24" s="877"/>
      <c r="C24" s="877"/>
      <c r="D24" s="877"/>
      <c r="E24" s="879"/>
      <c r="F24" s="860"/>
      <c r="G24" s="23"/>
      <c r="H24" s="879"/>
      <c r="I24" s="36"/>
      <c r="J24" s="231"/>
      <c r="K24" s="231"/>
      <c r="L24" s="231"/>
      <c r="M24" s="231"/>
      <c r="N24" s="231"/>
      <c r="O24" s="231"/>
      <c r="P24" s="231"/>
      <c r="Q24" s="231"/>
      <c r="R24" s="231"/>
      <c r="S24" s="231"/>
      <c r="T24" s="231"/>
      <c r="U24" s="231"/>
      <c r="V24" s="231"/>
      <c r="W24" s="231"/>
      <c r="X24" s="231"/>
      <c r="Y24" s="231"/>
      <c r="Z24" s="231"/>
      <c r="AA24" s="231"/>
      <c r="AB24" s="231"/>
      <c r="AC24" s="231"/>
      <c r="AD24" s="231"/>
      <c r="AE24" s="231"/>
      <c r="AF24" s="231"/>
      <c r="AG24" s="231"/>
      <c r="AH24" s="231"/>
    </row>
    <row r="25" spans="1:34" s="203" customFormat="1" ht="21.95" customHeight="1">
      <c r="A25" s="898" t="s">
        <v>48</v>
      </c>
      <c r="B25" s="901" t="s">
        <v>49</v>
      </c>
      <c r="C25" s="901"/>
      <c r="D25" s="902"/>
      <c r="E25" s="907" t="s">
        <v>50</v>
      </c>
      <c r="F25" s="909" t="s">
        <v>51</v>
      </c>
      <c r="G25" s="34"/>
      <c r="H25" s="907" t="s">
        <v>50</v>
      </c>
      <c r="I25" s="36"/>
      <c r="J25" s="231"/>
      <c r="K25" s="231"/>
      <c r="L25" s="231"/>
      <c r="M25" s="231"/>
      <c r="N25" s="231"/>
      <c r="O25" s="231"/>
      <c r="P25" s="231"/>
      <c r="Q25" s="231"/>
      <c r="R25" s="231"/>
      <c r="S25" s="231"/>
      <c r="T25" s="231"/>
      <c r="U25" s="231"/>
      <c r="V25" s="231"/>
      <c r="W25" s="231"/>
      <c r="X25" s="231"/>
      <c r="Y25" s="231"/>
      <c r="Z25" s="231"/>
      <c r="AA25" s="231"/>
      <c r="AB25" s="231"/>
      <c r="AC25" s="231"/>
      <c r="AD25" s="231"/>
      <c r="AE25" s="231"/>
      <c r="AF25" s="231"/>
      <c r="AG25" s="231"/>
      <c r="AH25" s="231"/>
    </row>
    <row r="26" spans="1:34" s="203" customFormat="1" ht="21.95" customHeight="1">
      <c r="A26" s="899"/>
      <c r="B26" s="903"/>
      <c r="C26" s="903"/>
      <c r="D26" s="904"/>
      <c r="E26" s="908"/>
      <c r="F26" s="859"/>
      <c r="G26" s="34"/>
      <c r="H26" s="908"/>
      <c r="I26" s="36"/>
      <c r="J26" s="231"/>
      <c r="K26" s="231"/>
      <c r="L26" s="231"/>
      <c r="M26" s="231"/>
      <c r="N26" s="231"/>
      <c r="O26" s="231"/>
      <c r="P26" s="231"/>
      <c r="Q26" s="231"/>
      <c r="R26" s="231"/>
      <c r="S26" s="231"/>
      <c r="T26" s="231"/>
      <c r="U26" s="231"/>
      <c r="V26" s="231"/>
      <c r="W26" s="231"/>
      <c r="X26" s="231"/>
      <c r="Y26" s="231"/>
      <c r="Z26" s="231"/>
      <c r="AA26" s="231"/>
      <c r="AB26" s="231"/>
      <c r="AC26" s="231"/>
      <c r="AD26" s="231"/>
      <c r="AE26" s="231"/>
      <c r="AF26" s="231"/>
      <c r="AG26" s="231"/>
      <c r="AH26" s="231"/>
    </row>
    <row r="27" spans="1:34" s="203" customFormat="1" ht="21.95" customHeight="1">
      <c r="A27" s="900"/>
      <c r="B27" s="905"/>
      <c r="C27" s="905"/>
      <c r="D27" s="906"/>
      <c r="E27" s="879"/>
      <c r="F27" s="860"/>
      <c r="G27" s="34"/>
      <c r="H27" s="879"/>
      <c r="I27" s="36"/>
      <c r="J27" s="231"/>
      <c r="K27" s="231"/>
      <c r="L27" s="231"/>
      <c r="M27" s="231"/>
      <c r="N27" s="231"/>
      <c r="O27" s="231"/>
      <c r="P27" s="231"/>
      <c r="Q27" s="231"/>
      <c r="R27" s="231"/>
      <c r="S27" s="231"/>
      <c r="T27" s="231"/>
      <c r="U27" s="231"/>
      <c r="V27" s="231"/>
      <c r="W27" s="231"/>
      <c r="X27" s="231"/>
      <c r="Y27" s="231"/>
      <c r="Z27" s="231"/>
      <c r="AA27" s="231"/>
      <c r="AB27" s="231"/>
      <c r="AC27" s="231"/>
      <c r="AD27" s="231"/>
      <c r="AE27" s="231"/>
      <c r="AF27" s="231"/>
      <c r="AG27" s="231"/>
      <c r="AH27" s="231"/>
    </row>
    <row r="28" spans="1:34" s="203" customFormat="1">
      <c r="A28" s="38">
        <v>1</v>
      </c>
      <c r="B28" s="39" t="s">
        <v>52</v>
      </c>
      <c r="C28" s="39"/>
      <c r="D28" s="40"/>
      <c r="E28" s="41">
        <v>182243</v>
      </c>
      <c r="F28" s="42">
        <f>F77</f>
        <v>186851</v>
      </c>
      <c r="G28" s="43"/>
      <c r="H28" s="44">
        <f>H77</f>
        <v>201285</v>
      </c>
      <c r="I28" s="43"/>
      <c r="J28" s="231"/>
      <c r="K28" s="231"/>
      <c r="L28" s="231"/>
      <c r="M28" s="231"/>
      <c r="N28" s="231"/>
      <c r="O28" s="231"/>
      <c r="P28" s="231"/>
      <c r="Q28" s="231"/>
      <c r="R28" s="231"/>
      <c r="S28" s="231"/>
      <c r="T28" s="231"/>
      <c r="U28" s="231"/>
      <c r="V28" s="231"/>
      <c r="W28" s="231"/>
      <c r="X28" s="231"/>
      <c r="Y28" s="231"/>
      <c r="Z28" s="231"/>
      <c r="AA28" s="231"/>
      <c r="AB28" s="231"/>
      <c r="AC28" s="231"/>
      <c r="AD28" s="231"/>
      <c r="AE28" s="231"/>
      <c r="AF28" s="231"/>
      <c r="AG28" s="231"/>
      <c r="AH28" s="231"/>
    </row>
    <row r="29" spans="1:34" s="203" customFormat="1">
      <c r="A29" s="46">
        <v>2</v>
      </c>
      <c r="B29" s="47" t="s">
        <v>53</v>
      </c>
      <c r="C29" s="47"/>
      <c r="D29" s="48"/>
      <c r="E29" s="49">
        <v>88853</v>
      </c>
      <c r="F29" s="50">
        <f>F105</f>
        <v>90138</v>
      </c>
      <c r="G29" s="43"/>
      <c r="H29" s="51">
        <f>H105</f>
        <v>96508</v>
      </c>
      <c r="I29" s="43"/>
      <c r="J29" s="231"/>
      <c r="K29" s="231"/>
      <c r="L29" s="231"/>
      <c r="M29" s="231"/>
      <c r="N29" s="231"/>
      <c r="O29" s="231"/>
      <c r="P29" s="231"/>
      <c r="Q29" s="231"/>
      <c r="R29" s="231"/>
      <c r="S29" s="231"/>
      <c r="T29" s="231"/>
      <c r="U29" s="231"/>
      <c r="V29" s="231"/>
      <c r="W29" s="231"/>
      <c r="X29" s="231"/>
      <c r="Y29" s="231"/>
      <c r="Z29" s="231"/>
      <c r="AA29" s="231"/>
      <c r="AB29" s="231"/>
      <c r="AC29" s="231"/>
      <c r="AD29" s="231"/>
      <c r="AE29" s="231"/>
      <c r="AF29" s="231"/>
      <c r="AG29" s="231"/>
      <c r="AH29" s="231"/>
    </row>
    <row r="30" spans="1:34" s="203" customFormat="1">
      <c r="A30" s="46">
        <v>3</v>
      </c>
      <c r="B30" s="47" t="s">
        <v>54</v>
      </c>
      <c r="C30" s="47"/>
      <c r="D30" s="48"/>
      <c r="E30" s="49">
        <v>14817</v>
      </c>
      <c r="F30" s="50">
        <f>F180</f>
        <v>14726</v>
      </c>
      <c r="G30" s="43"/>
      <c r="H30" s="51">
        <f>H180</f>
        <v>13606</v>
      </c>
      <c r="I30" s="43"/>
      <c r="J30" s="231"/>
      <c r="K30" s="231"/>
      <c r="L30" s="231"/>
      <c r="M30" s="231"/>
      <c r="N30" s="231"/>
      <c r="O30" s="231"/>
      <c r="P30" s="231"/>
      <c r="Q30" s="231"/>
      <c r="R30" s="231"/>
      <c r="S30" s="231"/>
      <c r="T30" s="231"/>
      <c r="U30" s="231"/>
      <c r="V30" s="231"/>
      <c r="W30" s="231"/>
      <c r="X30" s="231"/>
      <c r="Y30" s="231"/>
      <c r="Z30" s="231"/>
      <c r="AA30" s="231"/>
      <c r="AB30" s="231"/>
      <c r="AC30" s="231"/>
      <c r="AD30" s="231"/>
      <c r="AE30" s="231"/>
      <c r="AF30" s="231"/>
      <c r="AG30" s="231"/>
      <c r="AH30" s="231"/>
    </row>
    <row r="31" spans="1:34" s="203" customFormat="1">
      <c r="A31" s="46">
        <v>4</v>
      </c>
      <c r="B31" s="47" t="s">
        <v>55</v>
      </c>
      <c r="C31" s="47"/>
      <c r="D31" s="48"/>
      <c r="E31" s="49">
        <v>20437</v>
      </c>
      <c r="F31" s="50">
        <f>F214</f>
        <v>22858</v>
      </c>
      <c r="G31" s="43"/>
      <c r="H31" s="51">
        <f>H214</f>
        <v>21044</v>
      </c>
      <c r="I31" s="43"/>
      <c r="J31" s="231"/>
      <c r="K31" s="231"/>
      <c r="L31" s="231"/>
      <c r="M31" s="231"/>
      <c r="N31" s="231"/>
      <c r="O31" s="231"/>
      <c r="P31" s="231"/>
      <c r="Q31" s="231"/>
      <c r="R31" s="231"/>
      <c r="S31" s="231"/>
      <c r="T31" s="231"/>
      <c r="U31" s="231"/>
      <c r="V31" s="231"/>
      <c r="W31" s="231"/>
      <c r="X31" s="231"/>
      <c r="Y31" s="231"/>
      <c r="Z31" s="231"/>
      <c r="AA31" s="231"/>
      <c r="AB31" s="231"/>
      <c r="AC31" s="231"/>
      <c r="AD31" s="231"/>
      <c r="AE31" s="231"/>
      <c r="AF31" s="231"/>
      <c r="AG31" s="231"/>
      <c r="AH31" s="231"/>
    </row>
    <row r="32" spans="1:34" s="203" customFormat="1">
      <c r="A32" s="46">
        <v>5</v>
      </c>
      <c r="B32" s="47" t="s">
        <v>56</v>
      </c>
      <c r="C32" s="47"/>
      <c r="D32" s="48"/>
      <c r="E32" s="49">
        <v>10393</v>
      </c>
      <c r="F32" s="50">
        <f>F231</f>
        <v>5319</v>
      </c>
      <c r="G32" s="43"/>
      <c r="H32" s="51">
        <f>H231</f>
        <v>4756</v>
      </c>
      <c r="I32" s="43"/>
      <c r="J32" s="231"/>
      <c r="K32" s="231"/>
      <c r="L32" s="231"/>
      <c r="M32" s="231"/>
      <c r="N32" s="231"/>
      <c r="O32" s="231"/>
      <c r="P32" s="231"/>
      <c r="Q32" s="231"/>
      <c r="R32" s="231"/>
      <c r="S32" s="231"/>
      <c r="T32" s="231"/>
      <c r="U32" s="231"/>
      <c r="V32" s="231"/>
      <c r="W32" s="231"/>
      <c r="X32" s="231"/>
      <c r="Y32" s="231"/>
      <c r="Z32" s="231"/>
      <c r="AA32" s="231"/>
      <c r="AB32" s="231"/>
      <c r="AC32" s="231"/>
      <c r="AD32" s="231"/>
      <c r="AE32" s="231"/>
      <c r="AF32" s="231"/>
      <c r="AG32" s="231"/>
      <c r="AH32" s="231"/>
    </row>
    <row r="33" spans="1:34" s="203" customFormat="1">
      <c r="A33" s="46">
        <v>6</v>
      </c>
      <c r="B33" s="47" t="s">
        <v>57</v>
      </c>
      <c r="C33" s="47"/>
      <c r="D33" s="48"/>
      <c r="E33" s="49">
        <v>12972</v>
      </c>
      <c r="F33" s="50">
        <f>F257</f>
        <v>13923</v>
      </c>
      <c r="G33" s="43"/>
      <c r="H33" s="51">
        <f>H257</f>
        <v>10652</v>
      </c>
      <c r="I33" s="43"/>
      <c r="J33" s="231"/>
      <c r="K33" s="231"/>
      <c r="L33" s="231"/>
      <c r="M33" s="231"/>
      <c r="N33" s="231"/>
      <c r="O33" s="231"/>
      <c r="P33" s="231"/>
      <c r="Q33" s="231"/>
      <c r="R33" s="231"/>
      <c r="S33" s="231"/>
      <c r="T33" s="231"/>
      <c r="U33" s="231"/>
      <c r="V33" s="231"/>
      <c r="W33" s="231"/>
      <c r="X33" s="231"/>
      <c r="Y33" s="231"/>
      <c r="Z33" s="231"/>
      <c r="AA33" s="231"/>
      <c r="AB33" s="231"/>
      <c r="AC33" s="231"/>
      <c r="AD33" s="231"/>
      <c r="AE33" s="231"/>
      <c r="AF33" s="231"/>
      <c r="AG33" s="231"/>
      <c r="AH33" s="231"/>
    </row>
    <row r="34" spans="1:34" s="203" customFormat="1">
      <c r="A34" s="46">
        <v>7</v>
      </c>
      <c r="B34" s="47" t="s">
        <v>58</v>
      </c>
      <c r="C34" s="47"/>
      <c r="D34" s="48"/>
      <c r="E34" s="49">
        <v>11608</v>
      </c>
      <c r="F34" s="50">
        <f>F277</f>
        <v>10474</v>
      </c>
      <c r="G34" s="43"/>
      <c r="H34" s="50">
        <f>H277</f>
        <v>9763</v>
      </c>
      <c r="I34" s="43"/>
      <c r="J34" s="231"/>
      <c r="K34" s="231"/>
      <c r="L34" s="231"/>
      <c r="M34" s="231"/>
      <c r="N34" s="231"/>
      <c r="O34" s="231"/>
      <c r="P34" s="231"/>
      <c r="Q34" s="231"/>
      <c r="R34" s="231"/>
      <c r="S34" s="231"/>
      <c r="T34" s="231"/>
      <c r="U34" s="231"/>
      <c r="V34" s="231"/>
      <c r="W34" s="231"/>
      <c r="X34" s="231"/>
      <c r="Y34" s="231"/>
      <c r="Z34" s="231"/>
      <c r="AA34" s="231"/>
      <c r="AB34" s="231"/>
      <c r="AC34" s="231"/>
      <c r="AD34" s="231"/>
      <c r="AE34" s="231"/>
      <c r="AF34" s="231"/>
      <c r="AG34" s="231"/>
      <c r="AH34" s="231"/>
    </row>
    <row r="35" spans="1:34" s="203" customFormat="1">
      <c r="A35" s="46">
        <v>8</v>
      </c>
      <c r="B35" s="47" t="s">
        <v>59</v>
      </c>
      <c r="C35" s="47"/>
      <c r="D35" s="48"/>
      <c r="E35" s="49">
        <v>13765</v>
      </c>
      <c r="F35" s="50">
        <f>F302</f>
        <v>13418</v>
      </c>
      <c r="G35" s="43"/>
      <c r="H35" s="50">
        <f>H302</f>
        <v>11324</v>
      </c>
      <c r="I35" s="21"/>
      <c r="J35" s="231"/>
      <c r="K35" s="231"/>
      <c r="L35" s="231"/>
      <c r="M35" s="231"/>
      <c r="N35" s="231"/>
      <c r="O35" s="231"/>
      <c r="P35" s="231"/>
      <c r="Q35" s="231"/>
      <c r="R35" s="231"/>
      <c r="S35" s="231"/>
      <c r="T35" s="231"/>
      <c r="U35" s="231"/>
      <c r="V35" s="231"/>
      <c r="W35" s="231"/>
      <c r="X35" s="231"/>
      <c r="Y35" s="231"/>
      <c r="Z35" s="231"/>
      <c r="AA35" s="231"/>
      <c r="AB35" s="231"/>
      <c r="AC35" s="231"/>
      <c r="AD35" s="231"/>
      <c r="AE35" s="231"/>
      <c r="AF35" s="231"/>
      <c r="AG35" s="231"/>
      <c r="AH35" s="231"/>
    </row>
    <row r="36" spans="1:34" s="203" customFormat="1">
      <c r="A36" s="46">
        <v>9</v>
      </c>
      <c r="B36" s="47" t="s">
        <v>60</v>
      </c>
      <c r="C36" s="47"/>
      <c r="D36" s="48"/>
      <c r="E36" s="49">
        <v>0</v>
      </c>
      <c r="F36" s="52"/>
      <c r="G36" s="43"/>
      <c r="H36" s="52"/>
      <c r="I36" s="21"/>
      <c r="J36" s="231"/>
      <c r="K36" s="231"/>
      <c r="L36" s="231"/>
      <c r="M36" s="231"/>
      <c r="N36" s="231"/>
      <c r="O36" s="231"/>
      <c r="P36" s="231"/>
      <c r="Q36" s="231"/>
      <c r="R36" s="231"/>
      <c r="S36" s="231"/>
      <c r="T36" s="231"/>
      <c r="U36" s="231"/>
      <c r="V36" s="231"/>
      <c r="W36" s="231"/>
      <c r="X36" s="231"/>
      <c r="Y36" s="231"/>
      <c r="Z36" s="231"/>
      <c r="AA36" s="231"/>
      <c r="AB36" s="231"/>
      <c r="AC36" s="231"/>
      <c r="AD36" s="231"/>
      <c r="AE36" s="231"/>
      <c r="AF36" s="231"/>
      <c r="AG36" s="231"/>
      <c r="AH36" s="231"/>
    </row>
    <row r="37" spans="1:34" s="203" customFormat="1">
      <c r="A37" s="53">
        <v>10</v>
      </c>
      <c r="B37" s="54" t="s">
        <v>61</v>
      </c>
      <c r="C37" s="54"/>
      <c r="D37" s="55"/>
      <c r="E37" s="56">
        <v>29168</v>
      </c>
      <c r="F37" s="57">
        <f>F320</f>
        <v>28894</v>
      </c>
      <c r="G37" s="43"/>
      <c r="H37" s="57">
        <f>H320</f>
        <v>29482</v>
      </c>
      <c r="I37" s="21"/>
      <c r="J37" s="231"/>
      <c r="K37" s="231"/>
      <c r="L37" s="231"/>
      <c r="M37" s="231"/>
      <c r="N37" s="231"/>
      <c r="O37" s="231"/>
      <c r="P37" s="231"/>
      <c r="Q37" s="231"/>
      <c r="R37" s="231"/>
      <c r="S37" s="231"/>
      <c r="T37" s="231"/>
      <c r="U37" s="231"/>
      <c r="V37" s="231"/>
      <c r="W37" s="231"/>
      <c r="X37" s="231"/>
      <c r="Y37" s="231"/>
      <c r="Z37" s="231"/>
      <c r="AA37" s="231"/>
      <c r="AB37" s="231"/>
      <c r="AC37" s="231"/>
      <c r="AD37" s="231"/>
      <c r="AE37" s="231"/>
      <c r="AF37" s="231"/>
      <c r="AG37" s="231"/>
      <c r="AH37" s="231"/>
    </row>
    <row r="38" spans="1:34" s="203" customFormat="1">
      <c r="A38" s="33">
        <v>11</v>
      </c>
      <c r="B38" s="58" t="s">
        <v>62</v>
      </c>
      <c r="C38" s="58"/>
      <c r="D38" s="59"/>
      <c r="E38" s="60">
        <v>384256</v>
      </c>
      <c r="F38" s="61">
        <f>SUM(F28:F37)</f>
        <v>386601</v>
      </c>
      <c r="G38" s="43"/>
      <c r="H38" s="61">
        <f>SUM(H28:H37)</f>
        <v>398420</v>
      </c>
      <c r="I38" s="68"/>
      <c r="J38" s="231"/>
      <c r="K38" s="231"/>
      <c r="L38" s="231"/>
      <c r="M38" s="231"/>
      <c r="N38" s="231"/>
      <c r="O38" s="231"/>
      <c r="P38" s="231"/>
      <c r="Q38" s="231"/>
      <c r="R38" s="231"/>
      <c r="S38" s="231"/>
      <c r="T38" s="231"/>
      <c r="U38" s="231"/>
      <c r="V38" s="231"/>
      <c r="W38" s="231"/>
      <c r="X38" s="231"/>
      <c r="Y38" s="231"/>
      <c r="Z38" s="231"/>
      <c r="AA38" s="231"/>
      <c r="AB38" s="231"/>
      <c r="AC38" s="231"/>
      <c r="AD38" s="231"/>
      <c r="AE38" s="231"/>
      <c r="AF38" s="231"/>
      <c r="AG38" s="231"/>
      <c r="AH38" s="231"/>
    </row>
    <row r="39" spans="1:34" s="203" customFormat="1" ht="12.75" customHeight="1">
      <c r="A39" s="63"/>
      <c r="B39" s="64"/>
      <c r="C39" s="64"/>
      <c r="D39" s="65"/>
      <c r="E39" s="66"/>
      <c r="F39" s="67"/>
      <c r="G39" s="21"/>
      <c r="H39" s="67"/>
      <c r="I39" s="68"/>
      <c r="J39" s="231"/>
      <c r="K39" s="231"/>
      <c r="L39" s="231"/>
      <c r="M39" s="231"/>
      <c r="N39" s="231"/>
      <c r="O39" s="231"/>
      <c r="P39" s="231"/>
      <c r="Q39" s="231"/>
      <c r="R39" s="231"/>
      <c r="S39" s="231"/>
      <c r="T39" s="231"/>
      <c r="U39" s="231"/>
      <c r="V39" s="231"/>
      <c r="W39" s="231"/>
      <c r="X39" s="231"/>
      <c r="Y39" s="231"/>
      <c r="Z39" s="231"/>
      <c r="AA39" s="231"/>
      <c r="AB39" s="231"/>
      <c r="AC39" s="231"/>
      <c r="AD39" s="231"/>
      <c r="AE39" s="231"/>
      <c r="AF39" s="231"/>
      <c r="AG39" s="231"/>
      <c r="AH39" s="231"/>
    </row>
    <row r="40" spans="1:34" s="203" customFormat="1" ht="12.75" customHeight="1">
      <c r="A40" s="893" t="s">
        <v>63</v>
      </c>
      <c r="B40" s="894"/>
      <c r="C40" s="894"/>
      <c r="D40" s="895"/>
      <c r="E40" s="878" t="s">
        <v>376</v>
      </c>
      <c r="F40" s="856" t="s">
        <v>407</v>
      </c>
      <c r="G40" s="36"/>
      <c r="H40" s="878" t="s">
        <v>406</v>
      </c>
      <c r="I40" s="43"/>
      <c r="J40" s="231"/>
      <c r="K40" s="231"/>
      <c r="L40" s="231"/>
      <c r="M40" s="231"/>
      <c r="N40" s="231"/>
      <c r="O40" s="231"/>
      <c r="P40" s="231"/>
      <c r="Q40" s="231"/>
      <c r="R40" s="231"/>
      <c r="S40" s="231"/>
      <c r="T40" s="231"/>
      <c r="U40" s="231"/>
      <c r="V40" s="231"/>
      <c r="W40" s="231"/>
      <c r="X40" s="231"/>
      <c r="Y40" s="231"/>
      <c r="Z40" s="231"/>
      <c r="AA40" s="231"/>
      <c r="AB40" s="231"/>
      <c r="AC40" s="231"/>
      <c r="AD40" s="231"/>
      <c r="AE40" s="231"/>
      <c r="AF40" s="231"/>
      <c r="AG40" s="231"/>
      <c r="AH40" s="231"/>
    </row>
    <row r="41" spans="1:34" s="203" customFormat="1" ht="27.75" customHeight="1">
      <c r="A41" s="876"/>
      <c r="B41" s="877"/>
      <c r="C41" s="877"/>
      <c r="D41" s="896"/>
      <c r="E41" s="879"/>
      <c r="F41" s="860"/>
      <c r="G41" s="23"/>
      <c r="H41" s="879"/>
      <c r="I41" s="43"/>
      <c r="J41" s="231"/>
      <c r="K41" s="231"/>
      <c r="L41" s="231"/>
      <c r="M41" s="231"/>
      <c r="N41" s="231"/>
      <c r="O41" s="231"/>
      <c r="P41" s="231"/>
      <c r="Q41" s="231"/>
      <c r="R41" s="231"/>
      <c r="S41" s="231"/>
      <c r="T41" s="231"/>
      <c r="U41" s="231"/>
      <c r="V41" s="231"/>
      <c r="W41" s="231"/>
      <c r="X41" s="231"/>
      <c r="Y41" s="231"/>
      <c r="Z41" s="231"/>
      <c r="AA41" s="231"/>
      <c r="AB41" s="231"/>
      <c r="AC41" s="231"/>
      <c r="AD41" s="231"/>
      <c r="AE41" s="231"/>
      <c r="AF41" s="231"/>
      <c r="AG41" s="231"/>
      <c r="AH41" s="231"/>
    </row>
    <row r="42" spans="1:34" s="203" customFormat="1">
      <c r="A42" s="825" t="s">
        <v>64</v>
      </c>
      <c r="B42" s="69" t="s">
        <v>65</v>
      </c>
      <c r="C42" s="69"/>
      <c r="D42" s="70"/>
      <c r="E42" s="71"/>
      <c r="F42" s="72" t="str">
        <f>IF(OR(F43&lt;0,F44&lt;0,F47&lt;0,F48&lt;0,H43&lt;0,H44&lt;0,H47&lt;0,H48&lt;0),"Funding should be recorded as positive figures",".")</f>
        <v>.</v>
      </c>
      <c r="G42" s="45"/>
      <c r="H42" s="73"/>
      <c r="I42" s="43"/>
      <c r="J42" s="231"/>
      <c r="K42" s="231"/>
      <c r="L42" s="231"/>
      <c r="M42" s="231"/>
      <c r="N42" s="231"/>
      <c r="O42" s="231"/>
      <c r="P42" s="231"/>
      <c r="Q42" s="231"/>
      <c r="R42" s="231"/>
      <c r="S42" s="231"/>
      <c r="T42" s="231"/>
      <c r="U42" s="231"/>
      <c r="V42" s="231"/>
      <c r="W42" s="231"/>
      <c r="X42" s="231"/>
      <c r="Y42" s="231"/>
      <c r="Z42" s="231"/>
      <c r="AA42" s="231"/>
      <c r="AB42" s="231"/>
      <c r="AC42" s="231"/>
      <c r="AD42" s="231"/>
      <c r="AE42" s="231"/>
      <c r="AF42" s="231"/>
      <c r="AG42" s="231"/>
      <c r="AH42" s="231"/>
    </row>
    <row r="43" spans="1:34" s="203" customFormat="1">
      <c r="A43" s="46">
        <v>1</v>
      </c>
      <c r="B43" s="47" t="s">
        <v>66</v>
      </c>
      <c r="C43" s="47"/>
      <c r="D43" s="48"/>
      <c r="E43" s="74">
        <v>227256</v>
      </c>
      <c r="F43" s="241">
        <v>228501.00000000003</v>
      </c>
      <c r="G43" s="45"/>
      <c r="H43" s="75">
        <v>224994</v>
      </c>
      <c r="I43" s="43"/>
      <c r="J43" s="231"/>
      <c r="K43" s="231"/>
      <c r="L43" s="231"/>
      <c r="M43" s="231"/>
      <c r="N43" s="231"/>
      <c r="O43" s="231"/>
      <c r="P43" s="231"/>
      <c r="Q43" s="231"/>
      <c r="R43" s="231"/>
      <c r="S43" s="231"/>
      <c r="T43" s="231"/>
      <c r="U43" s="231"/>
      <c r="V43" s="231"/>
      <c r="W43" s="231"/>
      <c r="X43" s="231"/>
      <c r="Y43" s="231"/>
      <c r="Z43" s="231"/>
      <c r="AA43" s="231"/>
      <c r="AB43" s="231"/>
      <c r="AC43" s="231"/>
      <c r="AD43" s="231"/>
      <c r="AE43" s="231"/>
      <c r="AF43" s="231"/>
      <c r="AG43" s="231"/>
      <c r="AH43" s="231"/>
    </row>
    <row r="44" spans="1:34" s="203" customFormat="1">
      <c r="A44" s="46">
        <v>2</v>
      </c>
      <c r="B44" s="47" t="s">
        <v>67</v>
      </c>
      <c r="C44" s="47"/>
      <c r="D44" s="48"/>
      <c r="E44" s="49">
        <v>79333</v>
      </c>
      <c r="F44" s="241">
        <v>79333</v>
      </c>
      <c r="G44" s="45"/>
      <c r="H44" s="75">
        <v>85327</v>
      </c>
      <c r="I44" s="43"/>
      <c r="J44" s="231"/>
      <c r="K44" s="231"/>
      <c r="L44" s="231"/>
      <c r="M44" s="231"/>
      <c r="N44" s="231"/>
      <c r="O44" s="231"/>
      <c r="P44" s="231"/>
      <c r="Q44" s="231"/>
      <c r="R44" s="231"/>
      <c r="S44" s="231"/>
      <c r="T44" s="231"/>
      <c r="U44" s="231"/>
      <c r="V44" s="231"/>
      <c r="W44" s="231"/>
      <c r="X44" s="231"/>
      <c r="Y44" s="231"/>
      <c r="Z44" s="231"/>
      <c r="AA44" s="231"/>
      <c r="AB44" s="231"/>
      <c r="AC44" s="231"/>
      <c r="AD44" s="231"/>
      <c r="AE44" s="231"/>
      <c r="AF44" s="231"/>
      <c r="AG44" s="231"/>
      <c r="AH44" s="231"/>
    </row>
    <row r="45" spans="1:34" s="203" customFormat="1">
      <c r="A45" s="46">
        <v>3</v>
      </c>
      <c r="B45" s="47" t="s">
        <v>68</v>
      </c>
      <c r="C45" s="47"/>
      <c r="D45" s="48"/>
      <c r="E45" s="49">
        <v>0</v>
      </c>
      <c r="F45" s="52"/>
      <c r="G45" s="45"/>
      <c r="H45" s="75">
        <v>0</v>
      </c>
      <c r="I45" s="43"/>
      <c r="J45" s="231"/>
      <c r="K45" s="231"/>
      <c r="L45" s="231"/>
      <c r="M45" s="231"/>
      <c r="N45" s="231"/>
      <c r="O45" s="231"/>
      <c r="P45" s="231"/>
      <c r="Q45" s="231"/>
      <c r="R45" s="231"/>
      <c r="S45" s="231"/>
      <c r="T45" s="231"/>
      <c r="U45" s="231"/>
      <c r="V45" s="231"/>
      <c r="W45" s="231"/>
      <c r="X45" s="231"/>
      <c r="Y45" s="231"/>
      <c r="Z45" s="231"/>
      <c r="AA45" s="231"/>
      <c r="AB45" s="231"/>
      <c r="AC45" s="231"/>
      <c r="AD45" s="231"/>
      <c r="AE45" s="231"/>
      <c r="AF45" s="231"/>
      <c r="AG45" s="231"/>
      <c r="AH45" s="231"/>
    </row>
    <row r="46" spans="1:34" s="203" customFormat="1">
      <c r="A46" s="46">
        <v>4</v>
      </c>
      <c r="B46" s="47" t="s">
        <v>70</v>
      </c>
      <c r="C46" s="47"/>
      <c r="D46" s="48"/>
      <c r="E46" s="49">
        <v>0</v>
      </c>
      <c r="F46" s="52"/>
      <c r="G46" s="45"/>
      <c r="H46" s="75">
        <v>0</v>
      </c>
      <c r="I46" s="43"/>
      <c r="J46" s="231"/>
      <c r="K46" s="231"/>
      <c r="L46" s="231"/>
      <c r="M46" s="231"/>
      <c r="N46" s="231"/>
      <c r="O46" s="231"/>
      <c r="P46" s="231"/>
      <c r="Q46" s="231"/>
      <c r="R46" s="231"/>
      <c r="S46" s="231"/>
      <c r="T46" s="231"/>
      <c r="U46" s="231"/>
      <c r="V46" s="231"/>
      <c r="W46" s="231"/>
      <c r="X46" s="231"/>
      <c r="Y46" s="231"/>
      <c r="Z46" s="231"/>
      <c r="AA46" s="231"/>
      <c r="AB46" s="231"/>
      <c r="AC46" s="231"/>
      <c r="AD46" s="231"/>
      <c r="AE46" s="231"/>
      <c r="AF46" s="231"/>
      <c r="AG46" s="231"/>
      <c r="AH46" s="231"/>
    </row>
    <row r="47" spans="1:34" s="203" customFormat="1">
      <c r="A47" s="46">
        <v>5</v>
      </c>
      <c r="B47" s="47" t="s">
        <v>69</v>
      </c>
      <c r="C47" s="47"/>
      <c r="D47" s="48"/>
      <c r="E47" s="49">
        <v>9804</v>
      </c>
      <c r="F47" s="52">
        <v>9512</v>
      </c>
      <c r="G47" s="45"/>
      <c r="H47" s="76">
        <v>15637</v>
      </c>
      <c r="I47" s="43"/>
      <c r="J47" s="231"/>
      <c r="K47" s="231"/>
      <c r="L47" s="231"/>
      <c r="M47" s="231"/>
      <c r="N47" s="231"/>
      <c r="O47" s="231"/>
      <c r="P47" s="231"/>
      <c r="Q47" s="231"/>
      <c r="R47" s="231"/>
      <c r="S47" s="231"/>
      <c r="T47" s="231"/>
      <c r="U47" s="231"/>
      <c r="V47" s="231"/>
      <c r="W47" s="231"/>
      <c r="X47" s="231"/>
      <c r="Y47" s="231"/>
      <c r="Z47" s="231"/>
      <c r="AA47" s="231"/>
      <c r="AB47" s="231"/>
      <c r="AC47" s="231"/>
      <c r="AD47" s="231"/>
      <c r="AE47" s="231"/>
      <c r="AF47" s="231"/>
      <c r="AG47" s="231"/>
      <c r="AH47" s="231"/>
    </row>
    <row r="48" spans="1:34" s="203" customFormat="1">
      <c r="A48" s="46">
        <v>6</v>
      </c>
      <c r="B48" s="90" t="s">
        <v>253</v>
      </c>
      <c r="C48" s="47"/>
      <c r="D48" s="195"/>
      <c r="E48" s="49">
        <v>67863</v>
      </c>
      <c r="F48" s="52">
        <v>69055</v>
      </c>
      <c r="G48" s="45"/>
      <c r="H48" s="52">
        <v>72462</v>
      </c>
      <c r="I48" s="43"/>
      <c r="J48" s="231"/>
      <c r="K48" s="231"/>
      <c r="L48" s="231"/>
      <c r="M48" s="231"/>
      <c r="N48" s="231"/>
      <c r="O48" s="231"/>
      <c r="P48" s="231"/>
      <c r="Q48" s="231"/>
      <c r="R48" s="231"/>
      <c r="S48" s="231"/>
      <c r="T48" s="231"/>
      <c r="U48" s="231"/>
      <c r="V48" s="231"/>
      <c r="W48" s="231"/>
      <c r="X48" s="231"/>
      <c r="Y48" s="231"/>
      <c r="Z48" s="231"/>
      <c r="AA48" s="231"/>
      <c r="AB48" s="231"/>
      <c r="AC48" s="231"/>
      <c r="AD48" s="231"/>
      <c r="AE48" s="231"/>
      <c r="AF48" s="231"/>
      <c r="AG48" s="231"/>
      <c r="AH48" s="231"/>
    </row>
    <row r="49" spans="1:34" s="203" customFormat="1">
      <c r="A49" s="77">
        <v>7</v>
      </c>
      <c r="B49" s="78" t="s">
        <v>71</v>
      </c>
      <c r="C49" s="58"/>
      <c r="D49" s="79"/>
      <c r="E49" s="80">
        <v>384256</v>
      </c>
      <c r="F49" s="81">
        <f>SUM(F43:F48)</f>
        <v>386401</v>
      </c>
      <c r="G49" s="82"/>
      <c r="H49" s="62">
        <f>SUM(H43:H48)</f>
        <v>398420</v>
      </c>
      <c r="I49" s="242"/>
      <c r="J49" s="231"/>
      <c r="K49" s="231"/>
      <c r="L49" s="231"/>
      <c r="M49" s="231"/>
      <c r="N49" s="231"/>
      <c r="O49" s="231"/>
      <c r="P49" s="231"/>
      <c r="Q49" s="231"/>
      <c r="R49" s="231"/>
      <c r="S49" s="231"/>
      <c r="T49" s="231"/>
      <c r="U49" s="231"/>
      <c r="V49" s="231"/>
      <c r="W49" s="231"/>
      <c r="X49" s="231"/>
      <c r="Y49" s="231"/>
      <c r="Z49" s="231"/>
      <c r="AA49" s="231"/>
      <c r="AB49" s="231"/>
      <c r="AC49" s="231"/>
      <c r="AD49" s="231"/>
      <c r="AE49" s="231"/>
      <c r="AF49" s="231"/>
      <c r="AG49" s="231"/>
      <c r="AH49" s="231"/>
    </row>
    <row r="50" spans="1:34" s="203" customFormat="1">
      <c r="A50" s="83"/>
      <c r="B50" s="244"/>
      <c r="C50" s="244"/>
      <c r="D50" s="244"/>
      <c r="E50" s="85"/>
      <c r="F50" s="244"/>
      <c r="G50" s="86"/>
      <c r="H50" s="86"/>
      <c r="I50" s="21"/>
      <c r="J50" s="231"/>
      <c r="K50" s="231"/>
      <c r="L50" s="231"/>
      <c r="M50" s="231"/>
      <c r="N50" s="231"/>
      <c r="O50" s="231"/>
      <c r="P50" s="231"/>
      <c r="Q50" s="231"/>
      <c r="R50" s="231"/>
      <c r="S50" s="231"/>
      <c r="T50" s="231"/>
      <c r="U50" s="231"/>
      <c r="V50" s="231"/>
      <c r="W50" s="231"/>
      <c r="X50" s="231"/>
      <c r="Y50" s="231"/>
      <c r="Z50" s="231"/>
      <c r="AA50" s="231"/>
      <c r="AB50" s="231"/>
      <c r="AC50" s="231"/>
      <c r="AD50" s="231"/>
      <c r="AE50" s="231"/>
      <c r="AF50" s="231"/>
      <c r="AG50" s="231"/>
      <c r="AH50" s="231"/>
    </row>
    <row r="51" spans="1:34" s="203" customFormat="1">
      <c r="A51" s="825" t="s">
        <v>72</v>
      </c>
      <c r="B51" s="196" t="s">
        <v>254</v>
      </c>
      <c r="C51" s="69"/>
      <c r="D51" s="70"/>
      <c r="E51" s="87"/>
      <c r="F51" s="88"/>
      <c r="G51" s="45"/>
      <c r="H51" s="89"/>
      <c r="I51" s="43"/>
      <c r="J51" s="231"/>
      <c r="K51" s="231"/>
      <c r="L51" s="231"/>
      <c r="M51" s="231"/>
      <c r="N51" s="231"/>
      <c r="O51" s="231"/>
      <c r="P51" s="231"/>
      <c r="Q51" s="231"/>
      <c r="R51" s="231"/>
      <c r="S51" s="231"/>
      <c r="T51" s="231"/>
      <c r="U51" s="231"/>
      <c r="V51" s="231"/>
      <c r="W51" s="231"/>
      <c r="X51" s="231"/>
      <c r="Y51" s="231"/>
      <c r="Z51" s="231"/>
      <c r="AA51" s="231"/>
      <c r="AB51" s="231"/>
      <c r="AC51" s="231"/>
      <c r="AD51" s="231"/>
      <c r="AE51" s="231"/>
      <c r="AF51" s="231"/>
      <c r="AG51" s="231"/>
      <c r="AH51" s="231"/>
    </row>
    <row r="52" spans="1:34" s="203" customFormat="1">
      <c r="A52" s="46">
        <v>8</v>
      </c>
      <c r="B52" s="90" t="s">
        <v>73</v>
      </c>
      <c r="C52" s="47"/>
      <c r="D52" s="48"/>
      <c r="E52" s="74">
        <v>384256</v>
      </c>
      <c r="F52" s="50">
        <f>F38</f>
        <v>386601</v>
      </c>
      <c r="G52" s="45"/>
      <c r="H52" s="91">
        <f>H38</f>
        <v>398420</v>
      </c>
      <c r="I52" s="43"/>
      <c r="J52" s="231"/>
      <c r="K52" s="231"/>
      <c r="L52" s="231"/>
      <c r="M52" s="231"/>
      <c r="N52" s="231"/>
      <c r="O52" s="231"/>
      <c r="P52" s="231"/>
      <c r="Q52" s="231"/>
      <c r="R52" s="231"/>
      <c r="S52" s="231"/>
      <c r="T52" s="231"/>
      <c r="U52" s="231"/>
      <c r="V52" s="231"/>
      <c r="W52" s="231"/>
      <c r="X52" s="231"/>
      <c r="Y52" s="231"/>
      <c r="Z52" s="231"/>
      <c r="AA52" s="231"/>
      <c r="AB52" s="231"/>
      <c r="AC52" s="231"/>
      <c r="AD52" s="231"/>
      <c r="AE52" s="231"/>
      <c r="AF52" s="231"/>
      <c r="AG52" s="231"/>
      <c r="AH52" s="231"/>
    </row>
    <row r="53" spans="1:34" s="203" customFormat="1">
      <c r="A53" s="46">
        <v>9</v>
      </c>
      <c r="B53" s="90" t="s">
        <v>74</v>
      </c>
      <c r="C53" s="47"/>
      <c r="D53" s="48"/>
      <c r="E53" s="49">
        <v>384256</v>
      </c>
      <c r="F53" s="92">
        <f>F49</f>
        <v>386401</v>
      </c>
      <c r="G53" s="45"/>
      <c r="H53" s="91">
        <f>H49</f>
        <v>398420</v>
      </c>
      <c r="I53" s="43"/>
      <c r="J53" s="231"/>
      <c r="K53" s="231"/>
      <c r="L53" s="231"/>
      <c r="M53" s="231"/>
      <c r="N53" s="231"/>
      <c r="O53" s="231"/>
      <c r="P53" s="231"/>
      <c r="Q53" s="231"/>
      <c r="R53" s="231"/>
      <c r="S53" s="231"/>
      <c r="T53" s="231"/>
      <c r="U53" s="231"/>
      <c r="V53" s="231"/>
      <c r="W53" s="231"/>
      <c r="X53" s="231"/>
      <c r="Y53" s="231"/>
      <c r="Z53" s="231"/>
      <c r="AA53" s="231"/>
      <c r="AB53" s="231"/>
      <c r="AC53" s="231"/>
      <c r="AD53" s="231"/>
      <c r="AE53" s="231"/>
      <c r="AF53" s="231"/>
      <c r="AG53" s="231"/>
      <c r="AH53" s="231"/>
    </row>
    <row r="54" spans="1:34" s="203" customFormat="1">
      <c r="A54" s="827">
        <v>10</v>
      </c>
      <c r="B54" s="93" t="s">
        <v>255</v>
      </c>
      <c r="C54" s="94"/>
      <c r="D54" s="55"/>
      <c r="E54" s="95">
        <v>0</v>
      </c>
      <c r="F54" s="96">
        <f>F53-F52</f>
        <v>-200</v>
      </c>
      <c r="G54" s="45"/>
      <c r="H54" s="97">
        <f>H53-H52</f>
        <v>0</v>
      </c>
      <c r="I54" s="43"/>
      <c r="J54" s="231"/>
      <c r="K54" s="231"/>
      <c r="L54" s="231"/>
      <c r="M54" s="231"/>
      <c r="N54" s="231"/>
      <c r="O54" s="231"/>
      <c r="P54" s="231"/>
      <c r="Q54" s="231"/>
      <c r="R54" s="231"/>
      <c r="S54" s="231"/>
      <c r="T54" s="231"/>
      <c r="U54" s="231"/>
      <c r="V54" s="231"/>
      <c r="W54" s="231"/>
      <c r="X54" s="231"/>
      <c r="Y54" s="231"/>
      <c r="Z54" s="231"/>
      <c r="AA54" s="231"/>
      <c r="AB54" s="231"/>
      <c r="AC54" s="231"/>
      <c r="AD54" s="231"/>
      <c r="AE54" s="231"/>
      <c r="AF54" s="231"/>
      <c r="AG54" s="231"/>
      <c r="AH54" s="231"/>
    </row>
    <row r="55" spans="1:34" s="203" customFormat="1">
      <c r="A55" s="83"/>
      <c r="B55" s="244"/>
      <c r="C55" s="244"/>
      <c r="D55" s="244"/>
      <c r="E55" s="85"/>
      <c r="F55" s="244"/>
      <c r="G55" s="86"/>
      <c r="H55" s="86"/>
      <c r="I55" s="21"/>
      <c r="J55" s="231"/>
      <c r="K55" s="231"/>
      <c r="L55" s="231"/>
      <c r="M55" s="231"/>
      <c r="N55" s="231"/>
      <c r="O55" s="231"/>
      <c r="P55" s="231"/>
      <c r="Q55" s="231"/>
      <c r="R55" s="231"/>
      <c r="S55" s="231"/>
      <c r="T55" s="231"/>
      <c r="U55" s="231"/>
      <c r="V55" s="231"/>
      <c r="W55" s="231"/>
      <c r="X55" s="231"/>
      <c r="Y55" s="231"/>
      <c r="Z55" s="231"/>
      <c r="AA55" s="231"/>
      <c r="AB55" s="231"/>
      <c r="AC55" s="231"/>
      <c r="AD55" s="231"/>
      <c r="AE55" s="231"/>
      <c r="AF55" s="231"/>
      <c r="AG55" s="231"/>
      <c r="AH55" s="231"/>
    </row>
    <row r="56" spans="1:34" s="203" customFormat="1">
      <c r="A56" s="825" t="s">
        <v>75</v>
      </c>
      <c r="B56" s="69" t="s">
        <v>256</v>
      </c>
      <c r="C56" s="69"/>
      <c r="D56" s="70"/>
      <c r="E56" s="87"/>
      <c r="F56" s="88"/>
      <c r="G56" s="45"/>
      <c r="H56" s="89"/>
      <c r="I56" s="43"/>
      <c r="J56" s="231"/>
      <c r="K56" s="231"/>
      <c r="L56" s="231"/>
      <c r="M56" s="231"/>
      <c r="N56" s="231"/>
      <c r="O56" s="231"/>
      <c r="P56" s="231"/>
      <c r="Q56" s="231"/>
      <c r="R56" s="231"/>
      <c r="S56" s="231"/>
      <c r="T56" s="231"/>
      <c r="U56" s="231"/>
      <c r="V56" s="231"/>
      <c r="W56" s="231"/>
      <c r="X56" s="231"/>
      <c r="Y56" s="231"/>
      <c r="Z56" s="231"/>
      <c r="AA56" s="231"/>
      <c r="AB56" s="231"/>
      <c r="AC56" s="231"/>
      <c r="AD56" s="231"/>
      <c r="AE56" s="231"/>
      <c r="AF56" s="231"/>
      <c r="AG56" s="231"/>
      <c r="AH56" s="231"/>
    </row>
    <row r="57" spans="1:34" s="203" customFormat="1">
      <c r="A57" s="46">
        <v>11</v>
      </c>
      <c r="B57" s="47" t="s">
        <v>76</v>
      </c>
      <c r="C57" s="47"/>
      <c r="D57" s="48"/>
      <c r="E57" s="74">
        <v>26962</v>
      </c>
      <c r="F57" s="52">
        <v>23906</v>
      </c>
      <c r="G57" s="45"/>
      <c r="H57" s="91">
        <f>F61</f>
        <v>23706</v>
      </c>
      <c r="I57" s="43"/>
      <c r="J57" s="231"/>
      <c r="K57" s="231"/>
      <c r="L57" s="231"/>
      <c r="M57" s="231"/>
      <c r="N57" s="231"/>
      <c r="O57" s="231"/>
      <c r="P57" s="231"/>
      <c r="Q57" s="231"/>
      <c r="R57" s="231"/>
      <c r="S57" s="231"/>
      <c r="T57" s="231"/>
      <c r="U57" s="231"/>
      <c r="V57" s="231"/>
      <c r="W57" s="231"/>
      <c r="X57" s="231"/>
      <c r="Y57" s="231"/>
      <c r="Z57" s="231"/>
      <c r="AA57" s="231"/>
      <c r="AB57" s="231"/>
      <c r="AC57" s="231"/>
      <c r="AD57" s="231"/>
      <c r="AE57" s="231"/>
      <c r="AF57" s="231"/>
      <c r="AG57" s="231"/>
      <c r="AH57" s="231"/>
    </row>
    <row r="58" spans="1:34" s="203" customFormat="1">
      <c r="A58" s="46">
        <v>12</v>
      </c>
      <c r="B58" s="90" t="s">
        <v>257</v>
      </c>
      <c r="C58" s="47"/>
      <c r="D58" s="48"/>
      <c r="E58" s="49">
        <v>0</v>
      </c>
      <c r="F58" s="92">
        <f>F54</f>
        <v>-200</v>
      </c>
      <c r="G58" s="45"/>
      <c r="H58" s="98">
        <f>H54</f>
        <v>0</v>
      </c>
      <c r="I58" s="43"/>
      <c r="J58" s="231"/>
      <c r="K58" s="231"/>
      <c r="L58" s="231"/>
      <c r="M58" s="231"/>
      <c r="N58" s="231"/>
      <c r="O58" s="231"/>
      <c r="P58" s="231"/>
      <c r="Q58" s="231"/>
      <c r="R58" s="231"/>
      <c r="S58" s="231"/>
      <c r="T58" s="231"/>
      <c r="U58" s="231"/>
      <c r="V58" s="231"/>
      <c r="W58" s="231"/>
      <c r="X58" s="231"/>
      <c r="Y58" s="231"/>
      <c r="Z58" s="231"/>
      <c r="AA58" s="231"/>
      <c r="AB58" s="231"/>
      <c r="AC58" s="231"/>
      <c r="AD58" s="231"/>
      <c r="AE58" s="231"/>
      <c r="AF58" s="231"/>
      <c r="AG58" s="231"/>
      <c r="AH58" s="231"/>
    </row>
    <row r="59" spans="1:34" s="203" customFormat="1">
      <c r="A59" s="46">
        <v>13</v>
      </c>
      <c r="B59" s="47" t="s">
        <v>77</v>
      </c>
      <c r="C59" s="47"/>
      <c r="D59" s="48"/>
      <c r="E59" s="49">
        <v>0</v>
      </c>
      <c r="F59" s="52"/>
      <c r="G59" s="45"/>
      <c r="H59" s="99"/>
      <c r="I59" s="43"/>
      <c r="J59" s="231"/>
      <c r="K59" s="231"/>
      <c r="L59" s="231"/>
      <c r="M59" s="231"/>
      <c r="N59" s="231"/>
      <c r="O59" s="231"/>
      <c r="P59" s="231"/>
      <c r="Q59" s="231"/>
      <c r="R59" s="231"/>
      <c r="S59" s="231"/>
      <c r="T59" s="231"/>
      <c r="U59" s="231"/>
      <c r="V59" s="231"/>
      <c r="W59" s="231"/>
      <c r="X59" s="231"/>
      <c r="Y59" s="231"/>
      <c r="Z59" s="231"/>
      <c r="AA59" s="231"/>
      <c r="AB59" s="231"/>
      <c r="AC59" s="231"/>
      <c r="AD59" s="231"/>
      <c r="AE59" s="231"/>
      <c r="AF59" s="231"/>
      <c r="AG59" s="231"/>
      <c r="AH59" s="231"/>
    </row>
    <row r="60" spans="1:34" s="203" customFormat="1">
      <c r="A60" s="46">
        <v>14</v>
      </c>
      <c r="B60" s="47" t="s">
        <v>78</v>
      </c>
      <c r="C60" s="47"/>
      <c r="D60" s="48"/>
      <c r="E60" s="49">
        <v>0</v>
      </c>
      <c r="F60" s="52"/>
      <c r="G60" s="45"/>
      <c r="H60" s="100"/>
      <c r="I60" s="43"/>
      <c r="J60" s="231"/>
      <c r="K60" s="231"/>
      <c r="L60" s="231"/>
      <c r="M60" s="231"/>
      <c r="N60" s="231"/>
      <c r="O60" s="231"/>
      <c r="P60" s="231"/>
      <c r="Q60" s="231"/>
      <c r="R60" s="231"/>
      <c r="S60" s="231"/>
      <c r="T60" s="231"/>
      <c r="U60" s="231"/>
      <c r="V60" s="231"/>
      <c r="W60" s="231"/>
      <c r="X60" s="231"/>
      <c r="Y60" s="231"/>
      <c r="Z60" s="231"/>
      <c r="AA60" s="231"/>
      <c r="AB60" s="231"/>
      <c r="AC60" s="231"/>
      <c r="AD60" s="231"/>
      <c r="AE60" s="231"/>
      <c r="AF60" s="231"/>
      <c r="AG60" s="231"/>
      <c r="AH60" s="231"/>
    </row>
    <row r="61" spans="1:34" s="203" customFormat="1">
      <c r="A61" s="53">
        <v>15</v>
      </c>
      <c r="B61" s="54" t="s">
        <v>79</v>
      </c>
      <c r="C61" s="54"/>
      <c r="D61" s="55"/>
      <c r="E61" s="56">
        <v>26962</v>
      </c>
      <c r="F61" s="96">
        <f>F57+F58+F59+F60</f>
        <v>23706</v>
      </c>
      <c r="G61" s="45"/>
      <c r="H61" s="101">
        <f>H57+H58+H59+H60</f>
        <v>23706</v>
      </c>
      <c r="I61" s="43"/>
      <c r="J61" s="231"/>
      <c r="K61" s="231"/>
      <c r="L61" s="231"/>
      <c r="M61" s="231"/>
      <c r="N61" s="231"/>
      <c r="O61" s="231"/>
      <c r="P61" s="231"/>
      <c r="Q61" s="231"/>
      <c r="R61" s="231"/>
      <c r="S61" s="231"/>
      <c r="T61" s="231"/>
      <c r="U61" s="231"/>
      <c r="V61" s="231"/>
      <c r="W61" s="231"/>
      <c r="X61" s="231"/>
      <c r="Y61" s="231"/>
      <c r="Z61" s="231"/>
      <c r="AA61" s="231"/>
      <c r="AB61" s="231"/>
      <c r="AC61" s="231"/>
      <c r="AD61" s="231"/>
      <c r="AE61" s="231"/>
      <c r="AF61" s="231"/>
      <c r="AG61" s="231"/>
      <c r="AH61" s="231"/>
    </row>
    <row r="62" spans="1:34" s="203" customFormat="1">
      <c r="A62" s="102"/>
      <c r="B62" s="207"/>
      <c r="C62" s="207"/>
      <c r="D62" s="207"/>
      <c r="E62" s="103"/>
      <c r="F62" s="21"/>
      <c r="G62" s="21"/>
      <c r="H62" s="21"/>
      <c r="I62" s="21"/>
      <c r="J62" s="231"/>
      <c r="K62" s="231"/>
      <c r="L62" s="231"/>
      <c r="M62" s="231"/>
      <c r="N62" s="231"/>
      <c r="O62" s="231"/>
      <c r="P62" s="231"/>
      <c r="Q62" s="231"/>
      <c r="R62" s="231"/>
      <c r="S62" s="231"/>
      <c r="T62" s="231"/>
      <c r="U62" s="231"/>
      <c r="V62" s="231"/>
      <c r="W62" s="231"/>
      <c r="X62" s="231"/>
      <c r="Y62" s="231"/>
      <c r="Z62" s="231"/>
      <c r="AA62" s="231"/>
      <c r="AB62" s="231"/>
      <c r="AC62" s="231"/>
      <c r="AD62" s="231"/>
      <c r="AE62" s="231"/>
      <c r="AF62" s="231"/>
      <c r="AG62" s="231"/>
      <c r="AH62" s="231"/>
    </row>
    <row r="63" spans="1:34" s="203" customFormat="1" ht="12.75" customHeight="1">
      <c r="A63" s="23"/>
      <c r="B63" s="207"/>
      <c r="C63" s="207"/>
      <c r="D63" s="207"/>
      <c r="E63" s="15"/>
      <c r="F63" s="207"/>
      <c r="G63" s="207"/>
      <c r="H63" s="21"/>
      <c r="I63" s="21"/>
      <c r="J63" s="231"/>
      <c r="K63" s="231"/>
      <c r="L63" s="231"/>
      <c r="M63" s="231"/>
      <c r="N63" s="231"/>
      <c r="O63" s="231"/>
      <c r="P63" s="231"/>
      <c r="Q63" s="231"/>
      <c r="R63" s="231"/>
      <c r="S63" s="231"/>
      <c r="T63" s="231"/>
      <c r="U63" s="231"/>
      <c r="V63" s="231"/>
      <c r="W63" s="231"/>
      <c r="X63" s="231"/>
      <c r="Y63" s="231"/>
      <c r="Z63" s="231"/>
      <c r="AA63" s="231"/>
      <c r="AB63" s="231"/>
      <c r="AC63" s="231"/>
      <c r="AD63" s="231"/>
      <c r="AE63" s="231"/>
      <c r="AF63" s="231"/>
      <c r="AG63" s="231"/>
      <c r="AH63" s="231"/>
    </row>
    <row r="64" spans="1:34" s="203" customFormat="1" ht="15">
      <c r="A64" s="104" t="s">
        <v>80</v>
      </c>
      <c r="B64" s="29"/>
      <c r="C64" s="29"/>
      <c r="D64" s="29"/>
      <c r="E64" s="15"/>
      <c r="F64" s="29"/>
      <c r="G64" s="29"/>
      <c r="H64" s="29"/>
      <c r="I64" s="29"/>
      <c r="J64" s="231"/>
      <c r="K64" s="231"/>
      <c r="L64" s="231"/>
      <c r="M64" s="231"/>
      <c r="N64" s="231"/>
      <c r="O64" s="231"/>
      <c r="P64" s="231"/>
      <c r="Q64" s="231"/>
      <c r="R64" s="231"/>
      <c r="S64" s="231"/>
      <c r="T64" s="231"/>
      <c r="U64" s="231"/>
      <c r="V64" s="231"/>
      <c r="W64" s="231"/>
      <c r="X64" s="231"/>
      <c r="Y64" s="231"/>
      <c r="Z64" s="231"/>
      <c r="AA64" s="231"/>
      <c r="AB64" s="231"/>
      <c r="AC64" s="231"/>
      <c r="AD64" s="231"/>
      <c r="AE64" s="231"/>
      <c r="AF64" s="231"/>
      <c r="AG64" s="231"/>
      <c r="AH64" s="231"/>
    </row>
    <row r="65" spans="1:34" s="203" customFormat="1">
      <c r="A65" s="32"/>
      <c r="B65" s="29"/>
      <c r="C65" s="29"/>
      <c r="D65" s="29"/>
      <c r="E65" s="105"/>
      <c r="F65" s="29"/>
      <c r="G65" s="29"/>
      <c r="H65" s="29"/>
      <c r="I65" s="131" t="s">
        <v>27</v>
      </c>
      <c r="J65" s="231"/>
      <c r="K65" s="231"/>
      <c r="L65" s="231"/>
      <c r="M65" s="231"/>
      <c r="N65" s="231"/>
      <c r="O65" s="231"/>
      <c r="P65" s="231"/>
      <c r="Q65" s="231"/>
      <c r="R65" s="231"/>
      <c r="S65" s="231"/>
      <c r="T65" s="231"/>
      <c r="U65" s="231"/>
      <c r="V65" s="231"/>
      <c r="W65" s="231"/>
      <c r="X65" s="231"/>
      <c r="Y65" s="231"/>
      <c r="Z65" s="231"/>
      <c r="AA65" s="231"/>
      <c r="AB65" s="231"/>
      <c r="AC65" s="231"/>
      <c r="AD65" s="231"/>
      <c r="AE65" s="231"/>
      <c r="AF65" s="231"/>
      <c r="AG65" s="231"/>
      <c r="AH65" s="231"/>
    </row>
    <row r="66" spans="1:34" s="203" customFormat="1">
      <c r="A66" s="106" t="s">
        <v>14</v>
      </c>
      <c r="B66" s="107"/>
      <c r="C66" s="107"/>
      <c r="D66" s="107"/>
      <c r="E66" s="856" t="s">
        <v>377</v>
      </c>
      <c r="F66" s="962" t="s">
        <v>402</v>
      </c>
      <c r="G66" s="867" t="s">
        <v>81</v>
      </c>
      <c r="H66" s="962" t="s">
        <v>403</v>
      </c>
      <c r="I66" s="867" t="s">
        <v>81</v>
      </c>
      <c r="J66" s="231"/>
      <c r="K66" s="231"/>
      <c r="L66" s="231"/>
      <c r="M66" s="231"/>
      <c r="N66" s="231"/>
      <c r="O66" s="231"/>
      <c r="P66" s="231"/>
      <c r="Q66" s="231"/>
      <c r="R66" s="231"/>
      <c r="S66" s="231"/>
      <c r="T66" s="231"/>
      <c r="U66" s="231"/>
      <c r="V66" s="231"/>
      <c r="W66" s="231"/>
      <c r="X66" s="231"/>
      <c r="Y66" s="231"/>
      <c r="Z66" s="231"/>
      <c r="AA66" s="231"/>
      <c r="AB66" s="231"/>
      <c r="AC66" s="231"/>
      <c r="AD66" s="231"/>
      <c r="AE66" s="231"/>
      <c r="AF66" s="231"/>
      <c r="AG66" s="231"/>
      <c r="AH66" s="231"/>
    </row>
    <row r="67" spans="1:34" s="203" customFormat="1" ht="21" customHeight="1">
      <c r="A67" s="108"/>
      <c r="B67" s="47"/>
      <c r="C67" s="47"/>
      <c r="D67" s="47"/>
      <c r="E67" s="859"/>
      <c r="F67" s="963"/>
      <c r="G67" s="868"/>
      <c r="H67" s="963"/>
      <c r="I67" s="868"/>
      <c r="J67" s="231"/>
      <c r="K67" s="231"/>
      <c r="L67" s="231"/>
      <c r="M67" s="231"/>
      <c r="N67" s="231"/>
      <c r="O67" s="231"/>
      <c r="P67" s="231"/>
      <c r="Q67" s="231"/>
      <c r="R67" s="231"/>
      <c r="S67" s="231"/>
      <c r="T67" s="231"/>
      <c r="U67" s="231"/>
      <c r="V67" s="231"/>
      <c r="W67" s="231"/>
      <c r="X67" s="231"/>
      <c r="Y67" s="231"/>
      <c r="Z67" s="231"/>
      <c r="AA67" s="231"/>
      <c r="AB67" s="231"/>
      <c r="AC67" s="231"/>
      <c r="AD67" s="231"/>
      <c r="AE67" s="231"/>
      <c r="AF67" s="231"/>
      <c r="AG67" s="231"/>
      <c r="AH67" s="231"/>
    </row>
    <row r="68" spans="1:34" s="203" customFormat="1">
      <c r="A68" s="109" t="s">
        <v>82</v>
      </c>
      <c r="B68" s="47"/>
      <c r="C68" s="47"/>
      <c r="D68" s="47"/>
      <c r="E68" s="859"/>
      <c r="F68" s="963"/>
      <c r="G68" s="868"/>
      <c r="H68" s="963"/>
      <c r="I68" s="868"/>
      <c r="J68" s="231"/>
      <c r="K68" s="231"/>
      <c r="L68" s="231"/>
      <c r="M68" s="231"/>
      <c r="N68" s="231"/>
      <c r="O68" s="231"/>
      <c r="P68" s="231"/>
      <c r="Q68" s="231"/>
      <c r="R68" s="231"/>
      <c r="S68" s="231"/>
      <c r="T68" s="231"/>
      <c r="U68" s="231"/>
      <c r="V68" s="231"/>
      <c r="W68" s="231"/>
      <c r="X68" s="231"/>
      <c r="Y68" s="231"/>
      <c r="Z68" s="231"/>
      <c r="AA68" s="231"/>
      <c r="AB68" s="231"/>
      <c r="AC68" s="231"/>
      <c r="AD68" s="231"/>
      <c r="AE68" s="231"/>
      <c r="AF68" s="231"/>
      <c r="AG68" s="231"/>
      <c r="AH68" s="231"/>
    </row>
    <row r="69" spans="1:34" s="203" customFormat="1">
      <c r="A69" s="109" t="s">
        <v>83</v>
      </c>
      <c r="B69" s="47"/>
      <c r="C69" s="47"/>
      <c r="D69" s="47"/>
      <c r="E69" s="859"/>
      <c r="F69" s="963"/>
      <c r="G69" s="868"/>
      <c r="H69" s="963"/>
      <c r="I69" s="868"/>
      <c r="J69" s="231"/>
      <c r="K69" s="231"/>
      <c r="L69" s="231"/>
      <c r="M69" s="231"/>
      <c r="N69" s="231"/>
      <c r="O69" s="231"/>
      <c r="P69" s="231"/>
      <c r="Q69" s="231"/>
      <c r="R69" s="231"/>
      <c r="S69" s="231"/>
      <c r="T69" s="231"/>
      <c r="U69" s="231"/>
      <c r="V69" s="231"/>
      <c r="W69" s="231"/>
      <c r="X69" s="231"/>
      <c r="Y69" s="231"/>
      <c r="Z69" s="231"/>
      <c r="AA69" s="231"/>
      <c r="AB69" s="231"/>
      <c r="AC69" s="231"/>
      <c r="AD69" s="231"/>
      <c r="AE69" s="231"/>
      <c r="AF69" s="231"/>
      <c r="AG69" s="231"/>
      <c r="AH69" s="231"/>
    </row>
    <row r="70" spans="1:34" s="203" customFormat="1">
      <c r="A70" s="110" t="s">
        <v>84</v>
      </c>
      <c r="B70" s="47"/>
      <c r="C70" s="47"/>
      <c r="D70" s="47"/>
      <c r="E70" s="860"/>
      <c r="F70" s="964"/>
      <c r="G70" s="869"/>
      <c r="H70" s="964"/>
      <c r="I70" s="869"/>
      <c r="J70" s="231"/>
      <c r="K70" s="231"/>
      <c r="L70" s="231"/>
      <c r="M70" s="231"/>
      <c r="N70" s="231"/>
      <c r="O70" s="231"/>
      <c r="P70" s="231"/>
      <c r="Q70" s="231"/>
      <c r="R70" s="231"/>
      <c r="S70" s="231"/>
      <c r="T70" s="231"/>
      <c r="U70" s="231"/>
      <c r="V70" s="231"/>
      <c r="W70" s="231"/>
      <c r="X70" s="231"/>
      <c r="Y70" s="231"/>
      <c r="Z70" s="231"/>
      <c r="AA70" s="231"/>
      <c r="AB70" s="231"/>
      <c r="AC70" s="231"/>
      <c r="AD70" s="231"/>
      <c r="AE70" s="231"/>
      <c r="AF70" s="231"/>
      <c r="AG70" s="231"/>
      <c r="AH70" s="231"/>
    </row>
    <row r="71" spans="1:34" s="203" customFormat="1">
      <c r="A71" s="111">
        <v>1</v>
      </c>
      <c r="B71" s="47" t="s">
        <v>85</v>
      </c>
      <c r="C71" s="47"/>
      <c r="D71" s="47"/>
      <c r="E71" s="41">
        <v>8530</v>
      </c>
      <c r="F71" s="247">
        <f>7021+701</f>
        <v>7722</v>
      </c>
      <c r="G71" s="112">
        <v>6172</v>
      </c>
      <c r="H71" s="248">
        <v>13402</v>
      </c>
      <c r="I71" s="112">
        <v>5746</v>
      </c>
      <c r="J71" s="231"/>
      <c r="K71" s="231"/>
      <c r="L71" s="231"/>
      <c r="M71" s="231"/>
      <c r="N71" s="231"/>
      <c r="O71" s="231"/>
      <c r="P71" s="231"/>
      <c r="Q71" s="231"/>
      <c r="R71" s="231"/>
      <c r="S71" s="231"/>
      <c r="T71" s="231"/>
      <c r="U71" s="231"/>
      <c r="V71" s="231"/>
      <c r="W71" s="231"/>
      <c r="X71" s="231"/>
      <c r="Y71" s="231"/>
      <c r="Z71" s="231"/>
      <c r="AA71" s="231"/>
      <c r="AB71" s="231"/>
      <c r="AC71" s="231"/>
      <c r="AD71" s="231"/>
      <c r="AE71" s="231"/>
      <c r="AF71" s="231"/>
      <c r="AG71" s="231"/>
      <c r="AH71" s="231"/>
    </row>
    <row r="72" spans="1:34" s="203" customFormat="1">
      <c r="A72" s="111">
        <v>2</v>
      </c>
      <c r="B72" s="47" t="s">
        <v>86</v>
      </c>
      <c r="C72" s="47"/>
      <c r="D72" s="47"/>
      <c r="E72" s="49">
        <v>81325</v>
      </c>
      <c r="F72" s="247">
        <f>84227-701</f>
        <v>83526</v>
      </c>
      <c r="G72" s="113">
        <v>75029</v>
      </c>
      <c r="H72" s="123">
        <v>87839</v>
      </c>
      <c r="I72" s="113">
        <v>78278</v>
      </c>
      <c r="J72" s="231"/>
      <c r="K72" s="231"/>
      <c r="L72" s="231"/>
      <c r="M72" s="231"/>
      <c r="N72" s="231"/>
      <c r="O72" s="231"/>
      <c r="P72" s="231"/>
      <c r="Q72" s="231"/>
      <c r="R72" s="231"/>
      <c r="S72" s="231"/>
      <c r="T72" s="231"/>
      <c r="U72" s="231"/>
      <c r="V72" s="231"/>
      <c r="W72" s="231"/>
      <c r="X72" s="231"/>
      <c r="Y72" s="231"/>
      <c r="Z72" s="231"/>
      <c r="AA72" s="231"/>
      <c r="AB72" s="231"/>
      <c r="AC72" s="231"/>
      <c r="AD72" s="231"/>
      <c r="AE72" s="231"/>
      <c r="AF72" s="231"/>
      <c r="AG72" s="231"/>
      <c r="AH72" s="231"/>
    </row>
    <row r="73" spans="1:34" s="203" customFormat="1">
      <c r="A73" s="111">
        <v>3</v>
      </c>
      <c r="B73" s="47" t="s">
        <v>87</v>
      </c>
      <c r="C73" s="47"/>
      <c r="D73" s="47"/>
      <c r="E73" s="114">
        <v>71841</v>
      </c>
      <c r="F73" s="247">
        <v>73912</v>
      </c>
      <c r="G73" s="113">
        <v>58654</v>
      </c>
      <c r="H73" s="123">
        <v>77596</v>
      </c>
      <c r="I73" s="113">
        <v>61718</v>
      </c>
      <c r="J73" s="231"/>
      <c r="K73" s="231"/>
      <c r="L73" s="231"/>
      <c r="M73" s="231"/>
      <c r="N73" s="231"/>
      <c r="O73" s="231"/>
      <c r="P73" s="231"/>
      <c r="Q73" s="231"/>
      <c r="R73" s="231"/>
      <c r="S73" s="231"/>
      <c r="T73" s="231"/>
      <c r="U73" s="231"/>
      <c r="V73" s="231"/>
      <c r="W73" s="231"/>
      <c r="X73" s="231"/>
      <c r="Y73" s="231"/>
      <c r="Z73" s="231"/>
      <c r="AA73" s="231"/>
      <c r="AB73" s="231"/>
      <c r="AC73" s="231"/>
      <c r="AD73" s="231"/>
      <c r="AE73" s="231"/>
      <c r="AF73" s="231"/>
      <c r="AG73" s="231"/>
      <c r="AH73" s="231"/>
    </row>
    <row r="74" spans="1:34" s="203" customFormat="1">
      <c r="A74" s="111">
        <v>4</v>
      </c>
      <c r="B74" s="47" t="s">
        <v>88</v>
      </c>
      <c r="C74" s="47"/>
      <c r="D74" s="47"/>
      <c r="E74" s="114">
        <v>19125</v>
      </c>
      <c r="F74" s="247">
        <v>20305</v>
      </c>
      <c r="G74" s="113">
        <v>9838</v>
      </c>
      <c r="H74" s="123">
        <v>20970</v>
      </c>
      <c r="I74" s="113">
        <v>10448</v>
      </c>
      <c r="J74" s="231"/>
      <c r="K74" s="231"/>
      <c r="L74" s="231"/>
      <c r="M74" s="231"/>
      <c r="N74" s="231"/>
      <c r="O74" s="231"/>
      <c r="P74" s="231"/>
      <c r="Q74" s="231"/>
      <c r="R74" s="231"/>
      <c r="S74" s="231"/>
      <c r="T74" s="231"/>
      <c r="U74" s="231"/>
      <c r="V74" s="231"/>
      <c r="W74" s="231"/>
      <c r="X74" s="231"/>
      <c r="Y74" s="231"/>
      <c r="Z74" s="231"/>
      <c r="AA74" s="231"/>
      <c r="AB74" s="231"/>
      <c r="AC74" s="231"/>
      <c r="AD74" s="231"/>
      <c r="AE74" s="231"/>
      <c r="AF74" s="231"/>
      <c r="AG74" s="231"/>
      <c r="AH74" s="231"/>
    </row>
    <row r="75" spans="1:34" s="203" customFormat="1">
      <c r="A75" s="111">
        <v>5</v>
      </c>
      <c r="B75" s="47" t="s">
        <v>89</v>
      </c>
      <c r="C75" s="47" t="s">
        <v>90</v>
      </c>
      <c r="D75" s="47"/>
      <c r="E75" s="114">
        <v>1292</v>
      </c>
      <c r="F75" s="247">
        <v>1256</v>
      </c>
      <c r="G75" s="113">
        <v>0</v>
      </c>
      <c r="H75" s="123">
        <v>1348</v>
      </c>
      <c r="I75" s="113">
        <v>0</v>
      </c>
      <c r="J75" s="231"/>
      <c r="K75" s="231"/>
      <c r="L75" s="231"/>
      <c r="M75" s="231"/>
      <c r="N75" s="231"/>
      <c r="O75" s="231"/>
      <c r="P75" s="231"/>
      <c r="Q75" s="231"/>
      <c r="R75" s="231"/>
      <c r="S75" s="231"/>
      <c r="T75" s="231"/>
      <c r="U75" s="231"/>
      <c r="V75" s="231"/>
      <c r="W75" s="231"/>
      <c r="X75" s="231"/>
      <c r="Y75" s="231"/>
      <c r="Z75" s="231"/>
      <c r="AA75" s="231"/>
      <c r="AB75" s="231"/>
      <c r="AC75" s="231"/>
      <c r="AD75" s="231"/>
      <c r="AE75" s="231"/>
      <c r="AF75" s="231"/>
      <c r="AG75" s="231"/>
      <c r="AH75" s="231"/>
    </row>
    <row r="76" spans="1:34" s="203" customFormat="1">
      <c r="A76" s="826"/>
      <c r="B76" s="828"/>
      <c r="C76" s="47" t="s">
        <v>91</v>
      </c>
      <c r="D76" s="47"/>
      <c r="E76" s="114">
        <v>130</v>
      </c>
      <c r="F76" s="247">
        <v>130</v>
      </c>
      <c r="G76" s="115">
        <v>0</v>
      </c>
      <c r="H76" s="249">
        <v>130</v>
      </c>
      <c r="I76" s="115">
        <v>0</v>
      </c>
      <c r="J76" s="231"/>
      <c r="K76" s="231"/>
      <c r="L76" s="231"/>
      <c r="M76" s="231"/>
      <c r="N76" s="231"/>
      <c r="O76" s="231"/>
      <c r="P76" s="231"/>
      <c r="Q76" s="231"/>
      <c r="R76" s="231"/>
      <c r="S76" s="231"/>
      <c r="T76" s="231"/>
      <c r="U76" s="231"/>
      <c r="V76" s="231"/>
      <c r="W76" s="231"/>
      <c r="X76" s="231"/>
      <c r="Y76" s="231"/>
      <c r="Z76" s="231"/>
      <c r="AA76" s="231"/>
      <c r="AB76" s="231"/>
      <c r="AC76" s="231"/>
      <c r="AD76" s="231"/>
      <c r="AE76" s="231"/>
      <c r="AF76" s="231"/>
      <c r="AG76" s="231"/>
      <c r="AH76" s="231"/>
    </row>
    <row r="77" spans="1:34" s="203" customFormat="1">
      <c r="A77" s="111">
        <v>6</v>
      </c>
      <c r="B77" s="116" t="s">
        <v>92</v>
      </c>
      <c r="C77" s="116"/>
      <c r="D77" s="47"/>
      <c r="E77" s="80">
        <v>182243</v>
      </c>
      <c r="F77" s="250">
        <f>SUM(F71:F76)</f>
        <v>186851</v>
      </c>
      <c r="G77" s="251">
        <f>SUM(G71:G76)</f>
        <v>149693</v>
      </c>
      <c r="H77" s="252">
        <f>SUM(H71:H76)</f>
        <v>201285</v>
      </c>
      <c r="I77" s="251">
        <f>SUM(I71:I76)</f>
        <v>156190</v>
      </c>
      <c r="J77" s="231"/>
      <c r="K77" s="231"/>
      <c r="L77" s="231"/>
      <c r="M77" s="231"/>
      <c r="N77" s="231"/>
      <c r="O77" s="231"/>
      <c r="P77" s="231"/>
      <c r="Q77" s="231"/>
      <c r="R77" s="231"/>
      <c r="S77" s="231"/>
      <c r="T77" s="231"/>
      <c r="U77" s="231"/>
      <c r="V77" s="231"/>
      <c r="W77" s="231"/>
      <c r="X77" s="231"/>
      <c r="Y77" s="231"/>
      <c r="Z77" s="231"/>
      <c r="AA77" s="231"/>
      <c r="AB77" s="231"/>
      <c r="AC77" s="231"/>
      <c r="AD77" s="231"/>
      <c r="AE77" s="231"/>
      <c r="AF77" s="231"/>
      <c r="AG77" s="231"/>
      <c r="AH77" s="231"/>
    </row>
    <row r="78" spans="1:34" s="203" customFormat="1">
      <c r="A78" s="826"/>
      <c r="B78" s="47"/>
      <c r="C78" s="47"/>
      <c r="D78" s="47"/>
      <c r="E78" s="117"/>
      <c r="F78" s="118"/>
      <c r="G78" s="118"/>
      <c r="H78" s="118"/>
      <c r="I78" s="118"/>
      <c r="J78" s="231"/>
      <c r="K78" s="231"/>
      <c r="L78" s="231"/>
      <c r="M78" s="231"/>
      <c r="N78" s="231"/>
      <c r="O78" s="231"/>
      <c r="P78" s="231"/>
      <c r="Q78" s="231"/>
      <c r="R78" s="231"/>
      <c r="S78" s="231"/>
      <c r="T78" s="231"/>
      <c r="U78" s="231"/>
      <c r="V78" s="231"/>
      <c r="W78" s="231"/>
      <c r="X78" s="231"/>
      <c r="Y78" s="231"/>
      <c r="Z78" s="231"/>
      <c r="AA78" s="231"/>
      <c r="AB78" s="231"/>
      <c r="AC78" s="231"/>
      <c r="AD78" s="231"/>
      <c r="AE78" s="231"/>
      <c r="AF78" s="231"/>
      <c r="AG78" s="231"/>
      <c r="AH78" s="231"/>
    </row>
    <row r="79" spans="1:34" s="203" customFormat="1">
      <c r="A79" s="119" t="s">
        <v>93</v>
      </c>
      <c r="B79" s="116"/>
      <c r="C79" s="116"/>
      <c r="D79" s="116"/>
      <c r="E79" s="117"/>
      <c r="F79" s="118"/>
      <c r="G79" s="118"/>
      <c r="H79" s="118"/>
      <c r="I79" s="118"/>
      <c r="J79" s="231"/>
      <c r="K79" s="231"/>
      <c r="L79" s="231"/>
      <c r="M79" s="231"/>
      <c r="N79" s="231"/>
      <c r="O79" s="231"/>
      <c r="P79" s="231"/>
      <c r="Q79" s="231"/>
      <c r="R79" s="231"/>
      <c r="S79" s="231"/>
      <c r="T79" s="231"/>
      <c r="U79" s="231"/>
      <c r="V79" s="231"/>
      <c r="W79" s="231"/>
      <c r="X79" s="231"/>
      <c r="Y79" s="231"/>
      <c r="Z79" s="231"/>
      <c r="AA79" s="231"/>
      <c r="AB79" s="231"/>
      <c r="AC79" s="231"/>
      <c r="AD79" s="231"/>
      <c r="AE79" s="231"/>
      <c r="AF79" s="231"/>
      <c r="AG79" s="231"/>
      <c r="AH79" s="231"/>
    </row>
    <row r="80" spans="1:34" s="203" customFormat="1">
      <c r="A80" s="120">
        <v>7</v>
      </c>
      <c r="B80" s="47" t="s">
        <v>94</v>
      </c>
      <c r="C80" s="47"/>
      <c r="D80" s="47"/>
      <c r="E80" s="41">
        <v>2386</v>
      </c>
      <c r="F80" s="253">
        <v>791</v>
      </c>
      <c r="G80" s="112">
        <v>516</v>
      </c>
      <c r="H80" s="248">
        <v>778</v>
      </c>
      <c r="I80" s="112">
        <v>476</v>
      </c>
      <c r="J80" s="231"/>
      <c r="K80" s="231"/>
      <c r="L80" s="231"/>
      <c r="M80" s="231"/>
      <c r="N80" s="231"/>
      <c r="O80" s="231"/>
      <c r="P80" s="231"/>
      <c r="Q80" s="231"/>
      <c r="R80" s="231"/>
      <c r="S80" s="231"/>
      <c r="T80" s="231"/>
      <c r="U80" s="231"/>
      <c r="V80" s="231"/>
      <c r="W80" s="231"/>
      <c r="X80" s="231"/>
      <c r="Y80" s="231"/>
      <c r="Z80" s="231"/>
      <c r="AA80" s="231"/>
      <c r="AB80" s="231"/>
      <c r="AC80" s="231"/>
      <c r="AD80" s="231"/>
      <c r="AE80" s="231"/>
      <c r="AF80" s="231"/>
      <c r="AG80" s="231"/>
      <c r="AH80" s="231"/>
    </row>
    <row r="81" spans="1:34" s="203" customFormat="1">
      <c r="A81" s="120">
        <v>8</v>
      </c>
      <c r="B81" s="47" t="s">
        <v>95</v>
      </c>
      <c r="C81" s="47"/>
      <c r="D81" s="47"/>
      <c r="E81" s="49">
        <v>46471</v>
      </c>
      <c r="F81" s="247">
        <v>48804</v>
      </c>
      <c r="G81" s="113">
        <v>47917</v>
      </c>
      <c r="H81" s="123">
        <v>52888</v>
      </c>
      <c r="I81" s="113">
        <v>51525</v>
      </c>
      <c r="J81" s="231"/>
      <c r="K81" s="231"/>
      <c r="L81" s="231"/>
      <c r="M81" s="231"/>
      <c r="N81" s="231"/>
      <c r="O81" s="231"/>
      <c r="P81" s="231"/>
      <c r="Q81" s="231"/>
      <c r="R81" s="231"/>
      <c r="S81" s="231"/>
      <c r="T81" s="231"/>
      <c r="U81" s="231"/>
      <c r="V81" s="231"/>
      <c r="W81" s="231"/>
      <c r="X81" s="231"/>
      <c r="Y81" s="231"/>
      <c r="Z81" s="231"/>
      <c r="AA81" s="231"/>
      <c r="AB81" s="231"/>
      <c r="AC81" s="231"/>
      <c r="AD81" s="231"/>
      <c r="AE81" s="231"/>
      <c r="AF81" s="231"/>
      <c r="AG81" s="231"/>
      <c r="AH81" s="231"/>
    </row>
    <row r="82" spans="1:34" s="203" customFormat="1">
      <c r="A82" s="120">
        <v>9</v>
      </c>
      <c r="B82" s="47" t="s">
        <v>96</v>
      </c>
      <c r="C82" s="47"/>
      <c r="D82" s="47"/>
      <c r="E82" s="49">
        <v>42180</v>
      </c>
      <c r="F82" s="247">
        <v>42315</v>
      </c>
      <c r="G82" s="113">
        <v>41491</v>
      </c>
      <c r="H82" s="123">
        <v>46416</v>
      </c>
      <c r="I82" s="113">
        <v>45146</v>
      </c>
      <c r="J82" s="231"/>
      <c r="K82" s="231"/>
      <c r="L82" s="231"/>
      <c r="M82" s="231"/>
      <c r="N82" s="231"/>
      <c r="O82" s="231"/>
      <c r="P82" s="231"/>
      <c r="Q82" s="231"/>
      <c r="R82" s="231"/>
      <c r="S82" s="231"/>
      <c r="T82" s="231"/>
      <c r="U82" s="231"/>
      <c r="V82" s="231"/>
      <c r="W82" s="231"/>
      <c r="X82" s="231"/>
      <c r="Y82" s="231"/>
      <c r="Z82" s="231"/>
      <c r="AA82" s="231"/>
      <c r="AB82" s="231"/>
      <c r="AC82" s="231"/>
      <c r="AD82" s="231"/>
      <c r="AE82" s="231"/>
      <c r="AF82" s="231"/>
      <c r="AG82" s="231"/>
      <c r="AH82" s="231"/>
    </row>
    <row r="83" spans="1:34" s="203" customFormat="1">
      <c r="A83" s="120">
        <v>10</v>
      </c>
      <c r="B83" s="90" t="s">
        <v>97</v>
      </c>
      <c r="C83" s="47"/>
      <c r="D83" s="47"/>
      <c r="E83" s="49">
        <v>19125</v>
      </c>
      <c r="F83" s="247">
        <v>20305</v>
      </c>
      <c r="G83" s="113">
        <v>5168</v>
      </c>
      <c r="H83" s="123">
        <v>20970</v>
      </c>
      <c r="I83" s="113">
        <v>5689</v>
      </c>
      <c r="J83" s="231"/>
      <c r="K83" s="231"/>
      <c r="L83" s="231"/>
      <c r="M83" s="231"/>
      <c r="N83" s="231"/>
      <c r="O83" s="231"/>
      <c r="P83" s="231"/>
      <c r="Q83" s="231"/>
      <c r="R83" s="231"/>
      <c r="S83" s="231"/>
      <c r="T83" s="231"/>
      <c r="U83" s="231"/>
      <c r="V83" s="231"/>
      <c r="W83" s="231"/>
      <c r="X83" s="231"/>
      <c r="Y83" s="231"/>
      <c r="Z83" s="231"/>
      <c r="AA83" s="231"/>
      <c r="AB83" s="231"/>
      <c r="AC83" s="231"/>
      <c r="AD83" s="231"/>
      <c r="AE83" s="231"/>
      <c r="AF83" s="231"/>
      <c r="AG83" s="231"/>
      <c r="AH83" s="231"/>
    </row>
    <row r="84" spans="1:34" s="203" customFormat="1">
      <c r="A84" s="120">
        <v>11</v>
      </c>
      <c r="B84" s="90" t="s">
        <v>98</v>
      </c>
      <c r="C84" s="47"/>
      <c r="D84" s="47"/>
      <c r="E84" s="49">
        <v>6701</v>
      </c>
      <c r="F84" s="247">
        <v>7838</v>
      </c>
      <c r="G84" s="113">
        <v>0</v>
      </c>
      <c r="H84" s="123">
        <v>7809</v>
      </c>
      <c r="I84" s="113">
        <v>0</v>
      </c>
      <c r="J84" s="231"/>
      <c r="K84" s="231"/>
      <c r="L84" s="231"/>
      <c r="M84" s="231"/>
      <c r="N84" s="231"/>
      <c r="O84" s="231"/>
      <c r="P84" s="231"/>
      <c r="Q84" s="231"/>
      <c r="R84" s="231"/>
      <c r="S84" s="231"/>
      <c r="T84" s="231"/>
      <c r="U84" s="231"/>
      <c r="V84" s="231"/>
      <c r="W84" s="231"/>
      <c r="X84" s="231"/>
      <c r="Y84" s="231"/>
      <c r="Z84" s="231"/>
      <c r="AA84" s="231"/>
      <c r="AB84" s="231"/>
      <c r="AC84" s="231"/>
      <c r="AD84" s="231"/>
      <c r="AE84" s="231"/>
      <c r="AF84" s="231"/>
      <c r="AG84" s="231"/>
      <c r="AH84" s="231"/>
    </row>
    <row r="85" spans="1:34" s="203" customFormat="1">
      <c r="A85" s="120">
        <v>12</v>
      </c>
      <c r="B85" s="47" t="s">
        <v>99</v>
      </c>
      <c r="C85" s="47"/>
      <c r="D85" s="47"/>
      <c r="E85" s="49">
        <v>4687</v>
      </c>
      <c r="F85" s="247">
        <v>4664</v>
      </c>
      <c r="G85" s="113">
        <v>4628</v>
      </c>
      <c r="H85" s="123">
        <v>4683</v>
      </c>
      <c r="I85" s="113">
        <v>4647</v>
      </c>
      <c r="J85" s="231"/>
      <c r="K85" s="231"/>
      <c r="L85" s="231"/>
      <c r="M85" s="231"/>
      <c r="N85" s="231"/>
      <c r="O85" s="231"/>
      <c r="P85" s="231"/>
      <c r="Q85" s="231"/>
      <c r="R85" s="231"/>
      <c r="S85" s="231"/>
      <c r="T85" s="231"/>
      <c r="U85" s="231"/>
      <c r="V85" s="231"/>
      <c r="W85" s="231"/>
      <c r="X85" s="231"/>
      <c r="Y85" s="231"/>
      <c r="Z85" s="231"/>
      <c r="AA85" s="231"/>
      <c r="AB85" s="231"/>
      <c r="AC85" s="231"/>
      <c r="AD85" s="231"/>
      <c r="AE85" s="231"/>
      <c r="AF85" s="231"/>
      <c r="AG85" s="231"/>
      <c r="AH85" s="231"/>
    </row>
    <row r="86" spans="1:34" s="203" customFormat="1">
      <c r="A86" s="120">
        <v>13</v>
      </c>
      <c r="B86" s="47" t="s">
        <v>100</v>
      </c>
      <c r="C86" s="47"/>
      <c r="D86" s="47"/>
      <c r="E86" s="49">
        <v>38480</v>
      </c>
      <c r="F86" s="247">
        <v>40636</v>
      </c>
      <c r="G86" s="113">
        <v>34834</v>
      </c>
      <c r="H86" s="123">
        <v>41933</v>
      </c>
      <c r="I86" s="113">
        <v>34705</v>
      </c>
      <c r="J86" s="231"/>
      <c r="K86" s="231"/>
      <c r="L86" s="231"/>
      <c r="M86" s="231"/>
      <c r="N86" s="231"/>
      <c r="O86" s="231"/>
      <c r="P86" s="231"/>
      <c r="Q86" s="231"/>
      <c r="R86" s="231"/>
      <c r="S86" s="231"/>
      <c r="T86" s="231"/>
      <c r="U86" s="231"/>
      <c r="V86" s="231"/>
      <c r="W86" s="231"/>
      <c r="X86" s="231"/>
      <c r="Y86" s="231"/>
      <c r="Z86" s="231"/>
      <c r="AA86" s="231"/>
      <c r="AB86" s="231"/>
      <c r="AC86" s="231"/>
      <c r="AD86" s="231"/>
      <c r="AE86" s="231"/>
      <c r="AF86" s="231"/>
      <c r="AG86" s="231"/>
      <c r="AH86" s="231"/>
    </row>
    <row r="87" spans="1:34" s="203" customFormat="1">
      <c r="A87" s="120">
        <v>14</v>
      </c>
      <c r="B87" s="47" t="s">
        <v>101</v>
      </c>
      <c r="C87" s="47"/>
      <c r="D87" s="47"/>
      <c r="E87" s="49">
        <v>0</v>
      </c>
      <c r="F87" s="247">
        <v>0</v>
      </c>
      <c r="G87" s="113">
        <v>0</v>
      </c>
      <c r="H87" s="123">
        <v>0</v>
      </c>
      <c r="I87" s="113">
        <v>0</v>
      </c>
      <c r="J87" s="231"/>
      <c r="K87" s="231"/>
      <c r="L87" s="231"/>
      <c r="M87" s="231"/>
      <c r="N87" s="231"/>
      <c r="O87" s="231"/>
      <c r="P87" s="231"/>
      <c r="Q87" s="231"/>
      <c r="R87" s="231"/>
      <c r="S87" s="231"/>
      <c r="T87" s="231"/>
      <c r="U87" s="231"/>
      <c r="V87" s="231"/>
      <c r="W87" s="231"/>
      <c r="X87" s="231"/>
      <c r="Y87" s="231"/>
      <c r="Z87" s="231"/>
      <c r="AA87" s="231"/>
      <c r="AB87" s="231"/>
      <c r="AC87" s="231"/>
      <c r="AD87" s="231"/>
      <c r="AE87" s="231"/>
      <c r="AF87" s="231"/>
      <c r="AG87" s="231"/>
      <c r="AH87" s="231"/>
    </row>
    <row r="88" spans="1:34" s="203" customFormat="1">
      <c r="A88" s="124">
        <v>15</v>
      </c>
      <c r="B88" s="125" t="s">
        <v>102</v>
      </c>
      <c r="C88" s="54"/>
      <c r="D88" s="54"/>
      <c r="E88" s="56">
        <v>142</v>
      </c>
      <c r="F88" s="254">
        <v>88</v>
      </c>
      <c r="G88" s="127">
        <v>0</v>
      </c>
      <c r="H88" s="255">
        <v>88</v>
      </c>
      <c r="I88" s="127">
        <v>0</v>
      </c>
      <c r="J88" s="231"/>
      <c r="K88" s="231"/>
      <c r="L88" s="231"/>
      <c r="M88" s="231"/>
      <c r="N88" s="231"/>
      <c r="O88" s="231"/>
      <c r="P88" s="231"/>
      <c r="Q88" s="231"/>
      <c r="R88" s="231"/>
      <c r="S88" s="231"/>
      <c r="T88" s="231"/>
      <c r="U88" s="231"/>
      <c r="V88" s="231"/>
      <c r="W88" s="231"/>
      <c r="X88" s="231"/>
      <c r="Y88" s="231"/>
      <c r="Z88" s="231"/>
      <c r="AA88" s="231"/>
      <c r="AB88" s="231"/>
      <c r="AC88" s="231"/>
      <c r="AD88" s="231"/>
      <c r="AE88" s="231"/>
      <c r="AF88" s="231"/>
      <c r="AG88" s="231"/>
      <c r="AH88" s="231"/>
    </row>
    <row r="89" spans="1:34" s="203" customFormat="1">
      <c r="A89" s="128"/>
      <c r="B89" s="129"/>
      <c r="C89" s="129"/>
      <c r="D89" s="129"/>
      <c r="E89" s="15"/>
      <c r="F89" s="130"/>
      <c r="G89" s="29"/>
      <c r="H89" s="207"/>
      <c r="I89" s="29"/>
      <c r="J89" s="231"/>
      <c r="K89" s="231"/>
      <c r="L89" s="231"/>
      <c r="M89" s="231"/>
      <c r="N89" s="231"/>
      <c r="O89" s="231"/>
      <c r="P89" s="231"/>
      <c r="Q89" s="231"/>
      <c r="R89" s="231"/>
      <c r="S89" s="231"/>
      <c r="T89" s="231"/>
      <c r="U89" s="231"/>
      <c r="V89" s="231"/>
      <c r="W89" s="231"/>
      <c r="X89" s="231"/>
      <c r="Y89" s="231"/>
      <c r="Z89" s="231"/>
      <c r="AA89" s="231"/>
      <c r="AB89" s="231"/>
      <c r="AC89" s="231"/>
      <c r="AD89" s="231"/>
      <c r="AE89" s="231"/>
      <c r="AF89" s="231"/>
      <c r="AG89" s="231"/>
      <c r="AH89" s="231"/>
    </row>
    <row r="90" spans="1:34" s="203" customFormat="1">
      <c r="A90" s="128"/>
      <c r="B90" s="129"/>
      <c r="C90" s="129"/>
      <c r="D90" s="129"/>
      <c r="E90" s="105"/>
      <c r="F90" s="130"/>
      <c r="G90" s="29"/>
      <c r="H90" s="131" t="s">
        <v>27</v>
      </c>
      <c r="I90" s="29"/>
      <c r="J90" s="231"/>
      <c r="K90" s="231"/>
      <c r="L90" s="231"/>
      <c r="M90" s="231"/>
      <c r="N90" s="231"/>
      <c r="O90" s="231"/>
      <c r="P90" s="231"/>
      <c r="Q90" s="231"/>
      <c r="R90" s="231"/>
      <c r="S90" s="231"/>
      <c r="T90" s="231"/>
      <c r="U90" s="231"/>
      <c r="V90" s="231"/>
      <c r="W90" s="231"/>
      <c r="X90" s="231"/>
      <c r="Y90" s="231"/>
      <c r="Z90" s="231"/>
      <c r="AA90" s="231"/>
      <c r="AB90" s="231"/>
      <c r="AC90" s="231"/>
      <c r="AD90" s="231"/>
      <c r="AE90" s="231"/>
      <c r="AF90" s="231"/>
      <c r="AG90" s="231"/>
      <c r="AH90" s="231"/>
    </row>
    <row r="91" spans="1:34" s="203" customFormat="1">
      <c r="A91" s="106" t="s">
        <v>17</v>
      </c>
      <c r="B91" s="107"/>
      <c r="C91" s="107"/>
      <c r="D91" s="107"/>
      <c r="E91" s="856" t="s">
        <v>421</v>
      </c>
      <c r="F91" s="856" t="s">
        <v>402</v>
      </c>
      <c r="G91" s="257"/>
      <c r="H91" s="856" t="s">
        <v>403</v>
      </c>
      <c r="I91" s="29"/>
      <c r="J91" s="231"/>
      <c r="K91" s="231"/>
      <c r="L91" s="231"/>
      <c r="M91" s="231"/>
      <c r="N91" s="231"/>
      <c r="O91" s="231"/>
      <c r="P91" s="231"/>
      <c r="Q91" s="231"/>
      <c r="R91" s="231"/>
      <c r="S91" s="231"/>
      <c r="T91" s="231"/>
      <c r="U91" s="231"/>
      <c r="V91" s="231"/>
      <c r="W91" s="231"/>
      <c r="X91" s="231"/>
      <c r="Y91" s="231"/>
      <c r="Z91" s="231"/>
      <c r="AA91" s="231"/>
      <c r="AB91" s="231"/>
      <c r="AC91" s="231"/>
      <c r="AD91" s="231"/>
      <c r="AE91" s="231"/>
      <c r="AF91" s="231"/>
      <c r="AG91" s="231"/>
      <c r="AH91" s="231"/>
    </row>
    <row r="92" spans="1:34" s="203" customFormat="1" ht="12.75" customHeight="1">
      <c r="A92" s="109"/>
      <c r="B92" s="132"/>
      <c r="C92" s="132"/>
      <c r="D92" s="132"/>
      <c r="E92" s="859"/>
      <c r="F92" s="859"/>
      <c r="G92" s="29"/>
      <c r="H92" s="859"/>
      <c r="I92" s="29"/>
      <c r="J92" s="231"/>
      <c r="K92" s="231"/>
      <c r="L92" s="231"/>
      <c r="M92" s="231"/>
      <c r="N92" s="231"/>
      <c r="O92" s="231"/>
      <c r="P92" s="231"/>
      <c r="Q92" s="231"/>
      <c r="R92" s="231"/>
      <c r="S92" s="231"/>
      <c r="T92" s="231"/>
      <c r="U92" s="231"/>
      <c r="V92" s="231"/>
      <c r="W92" s="231"/>
      <c r="X92" s="231"/>
      <c r="Y92" s="231"/>
      <c r="Z92" s="231"/>
      <c r="AA92" s="231"/>
      <c r="AB92" s="231"/>
      <c r="AC92" s="231"/>
      <c r="AD92" s="231"/>
      <c r="AE92" s="231"/>
      <c r="AF92" s="231"/>
      <c r="AG92" s="231"/>
      <c r="AH92" s="231"/>
    </row>
    <row r="93" spans="1:34" s="203" customFormat="1">
      <c r="A93" s="109" t="s">
        <v>103</v>
      </c>
      <c r="B93" s="132"/>
      <c r="C93" s="132"/>
      <c r="D93" s="132"/>
      <c r="E93" s="859"/>
      <c r="F93" s="859"/>
      <c r="G93" s="29"/>
      <c r="H93" s="859"/>
      <c r="I93" s="29"/>
      <c r="J93" s="231"/>
      <c r="K93" s="231"/>
      <c r="L93" s="231"/>
      <c r="M93" s="231"/>
      <c r="N93" s="231"/>
      <c r="O93" s="231"/>
      <c r="P93" s="231"/>
      <c r="Q93" s="231"/>
      <c r="R93" s="231"/>
      <c r="S93" s="231"/>
      <c r="T93" s="231"/>
      <c r="U93" s="231"/>
      <c r="V93" s="231"/>
      <c r="W93" s="231"/>
      <c r="X93" s="231"/>
      <c r="Y93" s="231"/>
      <c r="Z93" s="231"/>
      <c r="AA93" s="231"/>
      <c r="AB93" s="231"/>
      <c r="AC93" s="231"/>
      <c r="AD93" s="231"/>
      <c r="AE93" s="231"/>
      <c r="AF93" s="231"/>
      <c r="AG93" s="231"/>
      <c r="AH93" s="231"/>
    </row>
    <row r="94" spans="1:34" s="203" customFormat="1">
      <c r="A94" s="109" t="s">
        <v>83</v>
      </c>
      <c r="B94" s="132"/>
      <c r="C94" s="132"/>
      <c r="D94" s="132"/>
      <c r="E94" s="859"/>
      <c r="F94" s="859"/>
      <c r="G94" s="130"/>
      <c r="H94" s="859"/>
      <c r="I94" s="29"/>
      <c r="J94" s="231"/>
      <c r="K94" s="231"/>
      <c r="L94" s="231"/>
      <c r="M94" s="231"/>
      <c r="N94" s="231"/>
      <c r="O94" s="231"/>
      <c r="P94" s="231"/>
      <c r="Q94" s="231"/>
      <c r="R94" s="231"/>
      <c r="S94" s="231"/>
      <c r="T94" s="231"/>
      <c r="U94" s="231"/>
      <c r="V94" s="231"/>
      <c r="W94" s="231"/>
      <c r="X94" s="231"/>
      <c r="Y94" s="231"/>
      <c r="Z94" s="231"/>
      <c r="AA94" s="231"/>
      <c r="AB94" s="231"/>
      <c r="AC94" s="231"/>
      <c r="AD94" s="231"/>
      <c r="AE94" s="231"/>
      <c r="AF94" s="231"/>
      <c r="AG94" s="231"/>
      <c r="AH94" s="231"/>
    </row>
    <row r="95" spans="1:34" s="203" customFormat="1">
      <c r="A95" s="110" t="s">
        <v>84</v>
      </c>
      <c r="B95" s="132"/>
      <c r="C95" s="132"/>
      <c r="D95" s="132"/>
      <c r="E95" s="860"/>
      <c r="F95" s="860"/>
      <c r="G95" s="130"/>
      <c r="H95" s="860"/>
      <c r="I95" s="130"/>
      <c r="J95" s="231"/>
      <c r="K95" s="231"/>
      <c r="L95" s="231"/>
      <c r="M95" s="231"/>
      <c r="N95" s="231"/>
      <c r="O95" s="231"/>
      <c r="P95" s="231"/>
      <c r="Q95" s="231"/>
      <c r="R95" s="231"/>
      <c r="S95" s="231"/>
      <c r="T95" s="231"/>
      <c r="U95" s="231"/>
      <c r="V95" s="231"/>
      <c r="W95" s="231"/>
      <c r="X95" s="231"/>
      <c r="Y95" s="231"/>
      <c r="Z95" s="231"/>
      <c r="AA95" s="231"/>
      <c r="AB95" s="231"/>
      <c r="AC95" s="231"/>
      <c r="AD95" s="231"/>
      <c r="AE95" s="231"/>
      <c r="AF95" s="231"/>
      <c r="AG95" s="231"/>
      <c r="AH95" s="231"/>
    </row>
    <row r="96" spans="1:34" s="203" customFormat="1">
      <c r="A96" s="120">
        <v>1</v>
      </c>
      <c r="B96" s="47" t="s">
        <v>104</v>
      </c>
      <c r="C96" s="47"/>
      <c r="D96" s="47"/>
      <c r="E96" s="41">
        <v>2057</v>
      </c>
      <c r="F96" s="52">
        <v>2179</v>
      </c>
      <c r="G96" s="118"/>
      <c r="H96" s="133">
        <v>2228</v>
      </c>
      <c r="I96" s="139"/>
      <c r="J96" s="231"/>
      <c r="K96" s="231"/>
      <c r="L96" s="231"/>
      <c r="M96" s="231"/>
      <c r="N96" s="231"/>
      <c r="O96" s="231"/>
      <c r="P96" s="231"/>
      <c r="Q96" s="231"/>
      <c r="R96" s="231"/>
      <c r="S96" s="231"/>
      <c r="T96" s="231"/>
      <c r="U96" s="231"/>
      <c r="V96" s="231"/>
      <c r="W96" s="231"/>
      <c r="X96" s="231"/>
      <c r="Y96" s="231"/>
      <c r="Z96" s="231"/>
      <c r="AA96" s="231"/>
      <c r="AB96" s="231"/>
      <c r="AC96" s="231"/>
      <c r="AD96" s="231"/>
      <c r="AE96" s="231"/>
      <c r="AF96" s="231"/>
      <c r="AG96" s="231"/>
      <c r="AH96" s="231"/>
    </row>
    <row r="97" spans="1:34" s="203" customFormat="1">
      <c r="A97" s="120">
        <v>2</v>
      </c>
      <c r="B97" s="47" t="s">
        <v>105</v>
      </c>
      <c r="C97" s="47"/>
      <c r="D97" s="47"/>
      <c r="E97" s="49">
        <v>40</v>
      </c>
      <c r="F97" s="52">
        <v>74</v>
      </c>
      <c r="G97" s="118"/>
      <c r="H97" s="122">
        <v>40</v>
      </c>
      <c r="I97" s="139"/>
      <c r="J97" s="231"/>
      <c r="K97" s="231"/>
      <c r="L97" s="231"/>
      <c r="M97" s="231"/>
      <c r="N97" s="231"/>
      <c r="O97" s="231"/>
      <c r="P97" s="231"/>
      <c r="Q97" s="231"/>
      <c r="R97" s="231"/>
      <c r="S97" s="231"/>
      <c r="T97" s="231"/>
      <c r="U97" s="231"/>
      <c r="V97" s="231"/>
      <c r="W97" s="231"/>
      <c r="X97" s="231"/>
      <c r="Y97" s="231"/>
      <c r="Z97" s="231"/>
      <c r="AA97" s="231"/>
      <c r="AB97" s="231"/>
      <c r="AC97" s="231"/>
      <c r="AD97" s="231"/>
      <c r="AE97" s="231"/>
      <c r="AF97" s="231"/>
      <c r="AG97" s="231"/>
      <c r="AH97" s="231"/>
    </row>
    <row r="98" spans="1:34" s="203" customFormat="1">
      <c r="A98" s="120">
        <v>3</v>
      </c>
      <c r="B98" s="47" t="s">
        <v>106</v>
      </c>
      <c r="C98" s="47"/>
      <c r="D98" s="47"/>
      <c r="E98" s="114">
        <v>24796</v>
      </c>
      <c r="F98" s="50">
        <f>F115</f>
        <v>25058</v>
      </c>
      <c r="G98" s="118"/>
      <c r="H98" s="50">
        <f>H115</f>
        <v>26518</v>
      </c>
      <c r="I98" s="139"/>
      <c r="J98" s="231"/>
      <c r="K98" s="231"/>
      <c r="L98" s="231"/>
      <c r="M98" s="231"/>
      <c r="N98" s="231"/>
      <c r="O98" s="231"/>
      <c r="P98" s="231"/>
      <c r="Q98" s="231"/>
      <c r="R98" s="231"/>
      <c r="S98" s="231"/>
      <c r="T98" s="231"/>
      <c r="U98" s="231"/>
      <c r="V98" s="231"/>
      <c r="W98" s="231"/>
      <c r="X98" s="231"/>
      <c r="Y98" s="231"/>
      <c r="Z98" s="231"/>
      <c r="AA98" s="231"/>
      <c r="AB98" s="231"/>
      <c r="AC98" s="231"/>
      <c r="AD98" s="231"/>
      <c r="AE98" s="231"/>
      <c r="AF98" s="231"/>
      <c r="AG98" s="231"/>
      <c r="AH98" s="231"/>
    </row>
    <row r="99" spans="1:34" s="203" customFormat="1">
      <c r="A99" s="120">
        <v>4</v>
      </c>
      <c r="B99" s="47" t="s">
        <v>107</v>
      </c>
      <c r="C99" s="47"/>
      <c r="D99" s="47"/>
      <c r="E99" s="114">
        <v>33630</v>
      </c>
      <c r="F99" s="50">
        <f>F125</f>
        <v>33264</v>
      </c>
      <c r="G99" s="118"/>
      <c r="H99" s="50">
        <f>H125</f>
        <v>35682</v>
      </c>
      <c r="I99" s="139"/>
      <c r="J99" s="231"/>
      <c r="K99" s="231"/>
      <c r="L99" s="231"/>
      <c r="M99" s="231"/>
      <c r="N99" s="231"/>
      <c r="O99" s="231"/>
      <c r="P99" s="231"/>
      <c r="Q99" s="231"/>
      <c r="R99" s="231"/>
      <c r="S99" s="231"/>
      <c r="T99" s="231"/>
      <c r="U99" s="231"/>
      <c r="V99" s="231"/>
      <c r="W99" s="231"/>
      <c r="X99" s="231"/>
      <c r="Y99" s="231"/>
      <c r="Z99" s="231"/>
      <c r="AA99" s="231"/>
      <c r="AB99" s="231"/>
      <c r="AC99" s="231"/>
      <c r="AD99" s="231"/>
      <c r="AE99" s="231"/>
      <c r="AF99" s="231"/>
      <c r="AG99" s="231"/>
      <c r="AH99" s="231"/>
    </row>
    <row r="100" spans="1:34" s="203" customFormat="1">
      <c r="A100" s="120">
        <v>5</v>
      </c>
      <c r="B100" s="47" t="s">
        <v>108</v>
      </c>
      <c r="C100" s="47"/>
      <c r="D100" s="47"/>
      <c r="E100" s="114">
        <v>4458</v>
      </c>
      <c r="F100" s="50">
        <f>F135</f>
        <v>5324</v>
      </c>
      <c r="G100" s="118"/>
      <c r="H100" s="50">
        <f>H135</f>
        <v>6136</v>
      </c>
      <c r="I100" s="139"/>
      <c r="J100" s="231"/>
      <c r="K100" s="231"/>
      <c r="L100" s="231"/>
      <c r="M100" s="231"/>
      <c r="N100" s="231"/>
      <c r="O100" s="231"/>
      <c r="P100" s="231"/>
      <c r="Q100" s="231"/>
      <c r="R100" s="231"/>
      <c r="S100" s="231"/>
      <c r="T100" s="231"/>
      <c r="U100" s="231"/>
      <c r="V100" s="231"/>
      <c r="W100" s="231"/>
      <c r="X100" s="231"/>
      <c r="Y100" s="231"/>
      <c r="Z100" s="231"/>
      <c r="AA100" s="231"/>
      <c r="AB100" s="231"/>
      <c r="AC100" s="231"/>
      <c r="AD100" s="231"/>
      <c r="AE100" s="231"/>
      <c r="AF100" s="231"/>
      <c r="AG100" s="231"/>
      <c r="AH100" s="231"/>
    </row>
    <row r="101" spans="1:34" s="203" customFormat="1">
      <c r="A101" s="120">
        <v>6</v>
      </c>
      <c r="B101" s="47" t="s">
        <v>109</v>
      </c>
      <c r="C101" s="47"/>
      <c r="D101" s="47"/>
      <c r="E101" s="114">
        <v>18156</v>
      </c>
      <c r="F101" s="50">
        <f>F143</f>
        <v>17692</v>
      </c>
      <c r="G101" s="118"/>
      <c r="H101" s="50">
        <f>H143</f>
        <v>18676</v>
      </c>
      <c r="I101" s="139"/>
      <c r="J101" s="231"/>
      <c r="K101" s="231"/>
      <c r="L101" s="231"/>
      <c r="M101" s="231"/>
      <c r="N101" s="231"/>
      <c r="O101" s="231"/>
      <c r="P101" s="231"/>
      <c r="Q101" s="231"/>
      <c r="R101" s="231"/>
      <c r="S101" s="231"/>
      <c r="T101" s="231"/>
      <c r="U101" s="231"/>
      <c r="V101" s="231"/>
      <c r="W101" s="231"/>
      <c r="X101" s="231"/>
      <c r="Y101" s="231"/>
      <c r="Z101" s="231"/>
      <c r="AA101" s="231"/>
      <c r="AB101" s="231"/>
      <c r="AC101" s="231"/>
      <c r="AD101" s="231"/>
      <c r="AE101" s="231"/>
      <c r="AF101" s="231"/>
      <c r="AG101" s="231"/>
      <c r="AH101" s="231"/>
    </row>
    <row r="102" spans="1:34" s="203" customFormat="1">
      <c r="A102" s="120">
        <v>7</v>
      </c>
      <c r="B102" s="47" t="s">
        <v>110</v>
      </c>
      <c r="C102" s="47"/>
      <c r="D102" s="47"/>
      <c r="E102" s="114">
        <v>2861</v>
      </c>
      <c r="F102" s="50">
        <f>F150</f>
        <v>3607</v>
      </c>
      <c r="G102" s="118"/>
      <c r="H102" s="50">
        <f>H150</f>
        <v>4285</v>
      </c>
      <c r="I102" s="139"/>
      <c r="J102" s="231"/>
      <c r="K102" s="231"/>
      <c r="L102" s="231"/>
      <c r="M102" s="231"/>
      <c r="N102" s="231"/>
      <c r="O102" s="231"/>
      <c r="P102" s="231"/>
      <c r="Q102" s="231"/>
      <c r="R102" s="231"/>
      <c r="S102" s="231"/>
      <c r="T102" s="231"/>
      <c r="U102" s="231"/>
      <c r="V102" s="231"/>
      <c r="W102" s="231"/>
      <c r="X102" s="231"/>
      <c r="Y102" s="231"/>
      <c r="Z102" s="231"/>
      <c r="AA102" s="231"/>
      <c r="AB102" s="231"/>
      <c r="AC102" s="231"/>
      <c r="AD102" s="231"/>
      <c r="AE102" s="231"/>
      <c r="AF102" s="231"/>
      <c r="AG102" s="231"/>
      <c r="AH102" s="231"/>
    </row>
    <row r="103" spans="1:34" s="203" customFormat="1">
      <c r="A103" s="120">
        <v>8</v>
      </c>
      <c r="B103" s="47" t="s">
        <v>111</v>
      </c>
      <c r="C103" s="47"/>
      <c r="D103" s="47"/>
      <c r="E103" s="114">
        <v>195</v>
      </c>
      <c r="F103" s="52">
        <f>-121+303</f>
        <v>182</v>
      </c>
      <c r="G103" s="118"/>
      <c r="H103" s="122">
        <v>106</v>
      </c>
      <c r="I103" s="139"/>
      <c r="J103" s="231"/>
      <c r="K103" s="231"/>
      <c r="L103" s="231"/>
      <c r="M103" s="231"/>
      <c r="N103" s="231"/>
      <c r="O103" s="231"/>
      <c r="P103" s="231"/>
      <c r="Q103" s="231"/>
      <c r="R103" s="231"/>
      <c r="S103" s="231"/>
      <c r="T103" s="231"/>
      <c r="U103" s="231"/>
      <c r="V103" s="231"/>
      <c r="W103" s="231"/>
      <c r="X103" s="231"/>
      <c r="Y103" s="231"/>
      <c r="Z103" s="231"/>
      <c r="AA103" s="231"/>
      <c r="AB103" s="231"/>
      <c r="AC103" s="231"/>
      <c r="AD103" s="231"/>
      <c r="AE103" s="231"/>
      <c r="AF103" s="231"/>
      <c r="AG103" s="231"/>
      <c r="AH103" s="231"/>
    </row>
    <row r="104" spans="1:34" s="203" customFormat="1">
      <c r="A104" s="120">
        <v>9</v>
      </c>
      <c r="B104" s="47" t="s">
        <v>112</v>
      </c>
      <c r="C104" s="47"/>
      <c r="D104" s="47"/>
      <c r="E104" s="114">
        <v>2660</v>
      </c>
      <c r="F104" s="52">
        <v>2758</v>
      </c>
      <c r="G104" s="118"/>
      <c r="H104" s="122">
        <v>2837</v>
      </c>
      <c r="I104" s="139"/>
      <c r="J104" s="231"/>
      <c r="K104" s="231"/>
      <c r="L104" s="231"/>
      <c r="M104" s="231"/>
      <c r="N104" s="231"/>
      <c r="O104" s="231"/>
      <c r="P104" s="231"/>
      <c r="Q104" s="231"/>
      <c r="R104" s="231"/>
      <c r="S104" s="231"/>
      <c r="T104" s="231"/>
      <c r="U104" s="231"/>
      <c r="V104" s="231"/>
      <c r="W104" s="231"/>
      <c r="X104" s="231"/>
      <c r="Y104" s="231"/>
      <c r="Z104" s="231"/>
      <c r="AA104" s="231"/>
      <c r="AB104" s="231"/>
      <c r="AC104" s="231"/>
      <c r="AD104" s="231"/>
      <c r="AE104" s="231"/>
      <c r="AF104" s="231"/>
      <c r="AG104" s="231"/>
      <c r="AH104" s="231"/>
    </row>
    <row r="105" spans="1:34" s="203" customFormat="1">
      <c r="A105" s="111" t="s">
        <v>113</v>
      </c>
      <c r="B105" s="116" t="s">
        <v>114</v>
      </c>
      <c r="C105" s="116"/>
      <c r="D105" s="47"/>
      <c r="E105" s="134">
        <v>88853</v>
      </c>
      <c r="F105" s="61">
        <f>SUM(F96:F104)</f>
        <v>90138</v>
      </c>
      <c r="G105" s="118"/>
      <c r="H105" s="61">
        <f>SUM(H96:H104)</f>
        <v>96508</v>
      </c>
      <c r="I105" s="139"/>
      <c r="J105" s="231"/>
      <c r="K105" s="231"/>
      <c r="L105" s="231"/>
      <c r="M105" s="231"/>
      <c r="N105" s="231"/>
      <c r="O105" s="231"/>
      <c r="P105" s="231"/>
      <c r="Q105" s="231"/>
      <c r="R105" s="231"/>
      <c r="S105" s="231"/>
      <c r="T105" s="231"/>
      <c r="U105" s="231"/>
      <c r="V105" s="231"/>
      <c r="W105" s="231"/>
      <c r="X105" s="231"/>
      <c r="Y105" s="231"/>
      <c r="Z105" s="231"/>
      <c r="AA105" s="231"/>
      <c r="AB105" s="231"/>
      <c r="AC105" s="231"/>
      <c r="AD105" s="231"/>
      <c r="AE105" s="231"/>
      <c r="AF105" s="231"/>
      <c r="AG105" s="231"/>
      <c r="AH105" s="231"/>
    </row>
    <row r="106" spans="1:34" s="203" customFormat="1">
      <c r="A106" s="120">
        <v>11</v>
      </c>
      <c r="B106" s="90" t="s">
        <v>115</v>
      </c>
      <c r="C106" s="47"/>
      <c r="D106" s="47"/>
      <c r="E106" s="135">
        <v>331</v>
      </c>
      <c r="F106" s="136">
        <v>340</v>
      </c>
      <c r="G106" s="118"/>
      <c r="H106" s="137">
        <v>351</v>
      </c>
      <c r="I106" s="139"/>
      <c r="J106" s="231"/>
      <c r="K106" s="231"/>
      <c r="L106" s="231"/>
      <c r="M106" s="231"/>
      <c r="N106" s="231"/>
      <c r="O106" s="231"/>
      <c r="P106" s="231"/>
      <c r="Q106" s="231"/>
      <c r="R106" s="231"/>
      <c r="S106" s="231"/>
      <c r="T106" s="231"/>
      <c r="U106" s="231"/>
      <c r="V106" s="231"/>
      <c r="W106" s="231"/>
      <c r="X106" s="231"/>
      <c r="Y106" s="231"/>
      <c r="Z106" s="231"/>
      <c r="AA106" s="231"/>
      <c r="AB106" s="231"/>
      <c r="AC106" s="231"/>
      <c r="AD106" s="231"/>
      <c r="AE106" s="231"/>
      <c r="AF106" s="231"/>
      <c r="AG106" s="231"/>
      <c r="AH106" s="231"/>
    </row>
    <row r="107" spans="1:34" s="203" customFormat="1">
      <c r="A107" s="111"/>
      <c r="B107" s="47"/>
      <c r="C107" s="47"/>
      <c r="D107" s="138"/>
      <c r="E107" s="117"/>
      <c r="F107" s="139"/>
      <c r="G107" s="139"/>
      <c r="H107" s="139"/>
      <c r="I107" s="139"/>
      <c r="J107" s="231"/>
      <c r="K107" s="231"/>
      <c r="L107" s="231"/>
      <c r="M107" s="231"/>
      <c r="N107" s="231"/>
      <c r="O107" s="231"/>
      <c r="P107" s="231"/>
      <c r="Q107" s="231"/>
      <c r="R107" s="231"/>
      <c r="S107" s="231"/>
      <c r="T107" s="231"/>
      <c r="U107" s="231"/>
      <c r="V107" s="231"/>
      <c r="W107" s="231"/>
      <c r="X107" s="231"/>
      <c r="Y107" s="231"/>
      <c r="Z107" s="231"/>
      <c r="AA107" s="231"/>
      <c r="AB107" s="231"/>
      <c r="AC107" s="231"/>
      <c r="AD107" s="231"/>
      <c r="AE107" s="231"/>
      <c r="AF107" s="231"/>
      <c r="AG107" s="231"/>
      <c r="AH107" s="231"/>
    </row>
    <row r="108" spans="1:34" s="203" customFormat="1">
      <c r="A108" s="119" t="s">
        <v>116</v>
      </c>
      <c r="B108" s="47"/>
      <c r="C108" s="47"/>
      <c r="D108" s="47"/>
      <c r="E108" s="117"/>
      <c r="F108" s="139"/>
      <c r="G108" s="139"/>
      <c r="H108" s="139"/>
      <c r="I108" s="139"/>
      <c r="J108" s="231"/>
      <c r="K108" s="231"/>
      <c r="L108" s="231"/>
      <c r="M108" s="231"/>
      <c r="N108" s="231"/>
      <c r="O108" s="231"/>
      <c r="P108" s="231"/>
      <c r="Q108" s="231"/>
      <c r="R108" s="231"/>
      <c r="S108" s="231"/>
      <c r="T108" s="231"/>
      <c r="U108" s="231"/>
      <c r="V108" s="231"/>
      <c r="W108" s="231"/>
      <c r="X108" s="231"/>
      <c r="Y108" s="231"/>
      <c r="Z108" s="231"/>
      <c r="AA108" s="231"/>
      <c r="AB108" s="231"/>
      <c r="AC108" s="231"/>
      <c r="AD108" s="231"/>
      <c r="AE108" s="231"/>
      <c r="AF108" s="231"/>
      <c r="AG108" s="231"/>
      <c r="AH108" s="231"/>
    </row>
    <row r="109" spans="1:34" s="203" customFormat="1">
      <c r="A109" s="119" t="s">
        <v>106</v>
      </c>
      <c r="B109" s="47"/>
      <c r="C109" s="47"/>
      <c r="D109" s="47"/>
      <c r="E109" s="140"/>
      <c r="F109" s="141"/>
      <c r="G109" s="139"/>
      <c r="H109" s="141"/>
      <c r="I109" s="139"/>
      <c r="J109" s="231"/>
      <c r="K109" s="231"/>
      <c r="L109" s="231"/>
      <c r="M109" s="231"/>
      <c r="N109" s="231"/>
      <c r="O109" s="231"/>
      <c r="P109" s="231"/>
      <c r="Q109" s="231"/>
      <c r="R109" s="231"/>
      <c r="S109" s="231"/>
      <c r="T109" s="231"/>
      <c r="U109" s="231"/>
      <c r="V109" s="231"/>
      <c r="W109" s="231"/>
      <c r="X109" s="231"/>
      <c r="Y109" s="231"/>
      <c r="Z109" s="231"/>
      <c r="AA109" s="231"/>
      <c r="AB109" s="231"/>
      <c r="AC109" s="231"/>
      <c r="AD109" s="231"/>
      <c r="AE109" s="231"/>
      <c r="AF109" s="231"/>
      <c r="AG109" s="231"/>
      <c r="AH109" s="231"/>
    </row>
    <row r="110" spans="1:34" s="203" customFormat="1">
      <c r="A110" s="120">
        <v>12</v>
      </c>
      <c r="B110" s="47" t="s">
        <v>117</v>
      </c>
      <c r="C110" s="47"/>
      <c r="D110" s="47"/>
      <c r="E110" s="49">
        <v>5621</v>
      </c>
      <c r="F110" s="52">
        <v>5773</v>
      </c>
      <c r="G110" s="118"/>
      <c r="H110" s="122">
        <v>5811</v>
      </c>
      <c r="I110" s="139"/>
      <c r="J110" s="231"/>
      <c r="K110" s="231"/>
      <c r="L110" s="231"/>
      <c r="M110" s="231"/>
      <c r="N110" s="231"/>
      <c r="O110" s="231"/>
      <c r="P110" s="231"/>
      <c r="Q110" s="231"/>
      <c r="R110" s="231"/>
      <c r="S110" s="231"/>
      <c r="T110" s="231"/>
      <c r="U110" s="231"/>
      <c r="V110" s="231"/>
      <c r="W110" s="231"/>
      <c r="X110" s="231"/>
      <c r="Y110" s="231"/>
      <c r="Z110" s="231"/>
      <c r="AA110" s="231"/>
      <c r="AB110" s="231"/>
      <c r="AC110" s="231"/>
      <c r="AD110" s="231"/>
      <c r="AE110" s="231"/>
      <c r="AF110" s="231"/>
      <c r="AG110" s="231"/>
      <c r="AH110" s="231"/>
    </row>
    <row r="111" spans="1:34" s="203" customFormat="1">
      <c r="A111" s="120">
        <v>13</v>
      </c>
      <c r="B111" s="47" t="s">
        <v>118</v>
      </c>
      <c r="C111" s="47"/>
      <c r="D111" s="47"/>
      <c r="E111" s="49">
        <v>6824</v>
      </c>
      <c r="F111" s="52">
        <v>6157</v>
      </c>
      <c r="G111" s="118"/>
      <c r="H111" s="122">
        <v>7551</v>
      </c>
      <c r="I111" s="139"/>
      <c r="J111" s="231"/>
      <c r="K111" s="231"/>
      <c r="L111" s="231"/>
      <c r="M111" s="231"/>
      <c r="N111" s="231"/>
      <c r="O111" s="231"/>
      <c r="P111" s="231"/>
      <c r="Q111" s="231"/>
      <c r="R111" s="231"/>
      <c r="S111" s="231"/>
      <c r="T111" s="231"/>
      <c r="U111" s="231"/>
      <c r="V111" s="231"/>
      <c r="W111" s="231"/>
      <c r="X111" s="231"/>
      <c r="Y111" s="231"/>
      <c r="Z111" s="231"/>
      <c r="AA111" s="231"/>
      <c r="AB111" s="231"/>
      <c r="AC111" s="231"/>
      <c r="AD111" s="231"/>
      <c r="AE111" s="231"/>
      <c r="AF111" s="231"/>
      <c r="AG111" s="231"/>
      <c r="AH111" s="231"/>
    </row>
    <row r="112" spans="1:34" s="203" customFormat="1">
      <c r="A112" s="120">
        <v>14</v>
      </c>
      <c r="B112" s="47" t="s">
        <v>119</v>
      </c>
      <c r="C112" s="47"/>
      <c r="D112" s="47"/>
      <c r="E112" s="49">
        <v>7457</v>
      </c>
      <c r="F112" s="52">
        <v>8601</v>
      </c>
      <c r="G112" s="118"/>
      <c r="H112" s="122">
        <v>8245</v>
      </c>
      <c r="I112" s="139"/>
      <c r="J112" s="231"/>
      <c r="K112" s="231"/>
      <c r="L112" s="231"/>
      <c r="M112" s="231"/>
      <c r="N112" s="231"/>
      <c r="O112" s="231"/>
      <c r="P112" s="231"/>
      <c r="Q112" s="231"/>
      <c r="R112" s="231"/>
      <c r="S112" s="231"/>
      <c r="T112" s="231"/>
      <c r="U112" s="231"/>
      <c r="V112" s="231"/>
      <c r="W112" s="231"/>
      <c r="X112" s="231"/>
      <c r="Y112" s="231"/>
      <c r="Z112" s="231"/>
      <c r="AA112" s="231"/>
      <c r="AB112" s="231"/>
      <c r="AC112" s="231"/>
      <c r="AD112" s="231"/>
      <c r="AE112" s="231"/>
      <c r="AF112" s="231"/>
      <c r="AG112" s="231"/>
      <c r="AH112" s="231"/>
    </row>
    <row r="113" spans="1:34" s="203" customFormat="1">
      <c r="A113" s="120">
        <v>15</v>
      </c>
      <c r="B113" s="47" t="s">
        <v>120</v>
      </c>
      <c r="C113" s="47"/>
      <c r="D113" s="47"/>
      <c r="E113" s="49">
        <v>1618</v>
      </c>
      <c r="F113" s="52">
        <f>1297-213</f>
        <v>1084</v>
      </c>
      <c r="G113" s="118"/>
      <c r="H113" s="122">
        <v>1416</v>
      </c>
      <c r="I113" s="139"/>
      <c r="J113" s="231"/>
      <c r="K113" s="231"/>
      <c r="L113" s="231"/>
      <c r="M113" s="231"/>
      <c r="N113" s="231"/>
      <c r="O113" s="231"/>
      <c r="P113" s="231"/>
      <c r="Q113" s="231"/>
      <c r="R113" s="231"/>
      <c r="S113" s="231"/>
      <c r="T113" s="231"/>
      <c r="U113" s="231"/>
      <c r="V113" s="231"/>
      <c r="W113" s="231"/>
      <c r="X113" s="231"/>
      <c r="Y113" s="231"/>
      <c r="Z113" s="231"/>
      <c r="AA113" s="231"/>
      <c r="AB113" s="231"/>
      <c r="AC113" s="231"/>
      <c r="AD113" s="231"/>
      <c r="AE113" s="231"/>
      <c r="AF113" s="231"/>
      <c r="AG113" s="231"/>
      <c r="AH113" s="231"/>
    </row>
    <row r="114" spans="1:34" s="203" customFormat="1">
      <c r="A114" s="120">
        <v>16</v>
      </c>
      <c r="B114" s="47" t="s">
        <v>121</v>
      </c>
      <c r="C114" s="47"/>
      <c r="D114" s="47"/>
      <c r="E114" s="49">
        <v>3276</v>
      </c>
      <c r="F114" s="52">
        <f>3230+213</f>
        <v>3443</v>
      </c>
      <c r="G114" s="118"/>
      <c r="H114" s="100">
        <v>3495</v>
      </c>
      <c r="I114" s="139"/>
      <c r="J114" s="231"/>
      <c r="K114" s="231"/>
      <c r="L114" s="231"/>
      <c r="M114" s="231"/>
      <c r="N114" s="231"/>
      <c r="O114" s="231"/>
      <c r="P114" s="231"/>
      <c r="Q114" s="231"/>
      <c r="R114" s="231"/>
      <c r="S114" s="231"/>
      <c r="T114" s="231"/>
      <c r="U114" s="231"/>
      <c r="V114" s="231"/>
      <c r="W114" s="231"/>
      <c r="X114" s="231"/>
      <c r="Y114" s="231"/>
      <c r="Z114" s="231"/>
      <c r="AA114" s="231"/>
      <c r="AB114" s="231"/>
      <c r="AC114" s="231"/>
      <c r="AD114" s="231"/>
      <c r="AE114" s="231"/>
      <c r="AF114" s="231"/>
      <c r="AG114" s="231"/>
      <c r="AH114" s="231"/>
    </row>
    <row r="115" spans="1:34" s="203" customFormat="1">
      <c r="A115" s="120">
        <v>17</v>
      </c>
      <c r="B115" s="116" t="s">
        <v>122</v>
      </c>
      <c r="C115" s="116"/>
      <c r="D115" s="116"/>
      <c r="E115" s="80">
        <v>24796</v>
      </c>
      <c r="F115" s="142">
        <f>SUM(F110:F114)</f>
        <v>25058</v>
      </c>
      <c r="G115" s="118"/>
      <c r="H115" s="142">
        <f>SUM(H110:H114)</f>
        <v>26518</v>
      </c>
      <c r="I115" s="139"/>
      <c r="J115" s="231"/>
      <c r="K115" s="231"/>
      <c r="L115" s="231"/>
      <c r="M115" s="231"/>
      <c r="N115" s="231"/>
      <c r="O115" s="231"/>
      <c r="P115" s="231"/>
      <c r="Q115" s="231"/>
      <c r="R115" s="231"/>
      <c r="S115" s="231"/>
      <c r="T115" s="231"/>
      <c r="U115" s="231"/>
      <c r="V115" s="231"/>
      <c r="W115" s="231"/>
      <c r="X115" s="231"/>
      <c r="Y115" s="231"/>
      <c r="Z115" s="231"/>
      <c r="AA115" s="231"/>
      <c r="AB115" s="231"/>
      <c r="AC115" s="231"/>
      <c r="AD115" s="231"/>
      <c r="AE115" s="231"/>
      <c r="AF115" s="231"/>
      <c r="AG115" s="231"/>
      <c r="AH115" s="231"/>
    </row>
    <row r="116" spans="1:34" s="203" customFormat="1">
      <c r="A116" s="111"/>
      <c r="B116" s="116"/>
      <c r="C116" s="116"/>
      <c r="D116" s="116"/>
      <c r="E116" s="143"/>
      <c r="F116" s="118"/>
      <c r="G116" s="118"/>
      <c r="H116" s="118"/>
      <c r="I116" s="139"/>
      <c r="J116" s="231"/>
      <c r="K116" s="231"/>
      <c r="L116" s="231"/>
      <c r="M116" s="231"/>
      <c r="N116" s="231"/>
      <c r="O116" s="231"/>
      <c r="P116" s="231"/>
      <c r="Q116" s="231"/>
      <c r="R116" s="231"/>
      <c r="S116" s="231"/>
      <c r="T116" s="231"/>
      <c r="U116" s="231"/>
      <c r="V116" s="231"/>
      <c r="W116" s="231"/>
      <c r="X116" s="231"/>
      <c r="Y116" s="231"/>
      <c r="Z116" s="231"/>
      <c r="AA116" s="231"/>
      <c r="AB116" s="231"/>
      <c r="AC116" s="231"/>
      <c r="AD116" s="231"/>
      <c r="AE116" s="231"/>
      <c r="AF116" s="231"/>
      <c r="AG116" s="231"/>
      <c r="AH116" s="231"/>
    </row>
    <row r="117" spans="1:34" s="203" customFormat="1">
      <c r="A117" s="144" t="s">
        <v>107</v>
      </c>
      <c r="B117" s="116"/>
      <c r="C117" s="116"/>
      <c r="D117" s="116"/>
      <c r="E117" s="145"/>
      <c r="F117" s="146"/>
      <c r="G117" s="118"/>
      <c r="H117" s="146"/>
      <c r="I117" s="139"/>
      <c r="J117" s="231"/>
      <c r="K117" s="231"/>
      <c r="L117" s="231"/>
      <c r="M117" s="231"/>
      <c r="N117" s="231"/>
      <c r="O117" s="231"/>
      <c r="P117" s="231"/>
      <c r="Q117" s="231"/>
      <c r="R117" s="231"/>
      <c r="S117" s="231"/>
      <c r="T117" s="231"/>
      <c r="U117" s="231"/>
      <c r="V117" s="231"/>
      <c r="W117" s="231"/>
      <c r="X117" s="231"/>
      <c r="Y117" s="231"/>
      <c r="Z117" s="231"/>
      <c r="AA117" s="231"/>
      <c r="AB117" s="231"/>
      <c r="AC117" s="231"/>
      <c r="AD117" s="231"/>
      <c r="AE117" s="231"/>
      <c r="AF117" s="231"/>
      <c r="AG117" s="231"/>
      <c r="AH117" s="231"/>
    </row>
    <row r="118" spans="1:34" s="203" customFormat="1">
      <c r="A118" s="120">
        <v>18</v>
      </c>
      <c r="B118" s="47" t="s">
        <v>123</v>
      </c>
      <c r="C118" s="47"/>
      <c r="D118" s="47"/>
      <c r="E118" s="49">
        <v>2545</v>
      </c>
      <c r="F118" s="52">
        <v>2441</v>
      </c>
      <c r="G118" s="118"/>
      <c r="H118" s="122">
        <v>2784</v>
      </c>
      <c r="I118" s="139"/>
      <c r="J118" s="231"/>
      <c r="K118" s="231"/>
      <c r="L118" s="231"/>
      <c r="M118" s="231"/>
      <c r="N118" s="231"/>
      <c r="O118" s="231"/>
      <c r="P118" s="231"/>
      <c r="Q118" s="231"/>
      <c r="R118" s="231"/>
      <c r="S118" s="231"/>
      <c r="T118" s="231"/>
      <c r="U118" s="231"/>
      <c r="V118" s="231"/>
      <c r="W118" s="231"/>
      <c r="X118" s="231"/>
      <c r="Y118" s="231"/>
      <c r="Z118" s="231"/>
      <c r="AA118" s="231"/>
      <c r="AB118" s="231"/>
      <c r="AC118" s="231"/>
      <c r="AD118" s="231"/>
      <c r="AE118" s="231"/>
      <c r="AF118" s="231"/>
      <c r="AG118" s="231"/>
      <c r="AH118" s="231"/>
    </row>
    <row r="119" spans="1:34" s="203" customFormat="1">
      <c r="A119" s="120">
        <v>19</v>
      </c>
      <c r="B119" s="47" t="s">
        <v>124</v>
      </c>
      <c r="C119" s="47"/>
      <c r="D119" s="47"/>
      <c r="E119" s="49">
        <v>11585</v>
      </c>
      <c r="F119" s="52">
        <v>10712</v>
      </c>
      <c r="G119" s="118"/>
      <c r="H119" s="122">
        <v>12175</v>
      </c>
      <c r="I119" s="139"/>
      <c r="J119" s="231"/>
      <c r="K119" s="231"/>
      <c r="L119" s="231"/>
      <c r="M119" s="231"/>
      <c r="N119" s="231"/>
      <c r="O119" s="231"/>
      <c r="P119" s="231"/>
      <c r="Q119" s="231"/>
      <c r="R119" s="231"/>
      <c r="S119" s="231"/>
      <c r="T119" s="231"/>
      <c r="U119" s="231"/>
      <c r="V119" s="231"/>
      <c r="W119" s="231"/>
      <c r="X119" s="231"/>
      <c r="Y119" s="231"/>
      <c r="Z119" s="231"/>
      <c r="AA119" s="231"/>
      <c r="AB119" s="231"/>
      <c r="AC119" s="231"/>
      <c r="AD119" s="231"/>
      <c r="AE119" s="231"/>
      <c r="AF119" s="231"/>
      <c r="AG119" s="231"/>
      <c r="AH119" s="231"/>
    </row>
    <row r="120" spans="1:34" s="203" customFormat="1">
      <c r="A120" s="120">
        <v>20</v>
      </c>
      <c r="B120" s="47" t="s">
        <v>119</v>
      </c>
      <c r="C120" s="47"/>
      <c r="D120" s="47"/>
      <c r="E120" s="49">
        <v>16079</v>
      </c>
      <c r="F120" s="52">
        <v>17116</v>
      </c>
      <c r="G120" s="118"/>
      <c r="H120" s="122">
        <v>17619</v>
      </c>
      <c r="I120" s="139"/>
      <c r="J120" s="231"/>
      <c r="K120" s="231"/>
      <c r="L120" s="231"/>
      <c r="M120" s="231"/>
      <c r="N120" s="231"/>
      <c r="O120" s="231"/>
      <c r="P120" s="231"/>
      <c r="Q120" s="231"/>
      <c r="R120" s="231"/>
      <c r="S120" s="231"/>
      <c r="T120" s="231"/>
      <c r="U120" s="231"/>
      <c r="V120" s="231"/>
      <c r="W120" s="231"/>
      <c r="X120" s="231"/>
      <c r="Y120" s="231"/>
      <c r="Z120" s="231"/>
      <c r="AA120" s="231"/>
      <c r="AB120" s="231"/>
      <c r="AC120" s="231"/>
      <c r="AD120" s="231"/>
      <c r="AE120" s="231"/>
      <c r="AF120" s="231"/>
      <c r="AG120" s="231"/>
      <c r="AH120" s="231"/>
    </row>
    <row r="121" spans="1:34" s="203" customFormat="1">
      <c r="A121" s="120">
        <v>21</v>
      </c>
      <c r="B121" s="47" t="s">
        <v>120</v>
      </c>
      <c r="C121" s="47"/>
      <c r="D121" s="47"/>
      <c r="E121" s="49">
        <v>884</v>
      </c>
      <c r="F121" s="52">
        <v>897</v>
      </c>
      <c r="G121" s="118"/>
      <c r="H121" s="122">
        <v>763</v>
      </c>
      <c r="I121" s="139"/>
      <c r="J121" s="231"/>
      <c r="K121" s="231"/>
      <c r="L121" s="231"/>
      <c r="M121" s="231"/>
      <c r="N121" s="231"/>
      <c r="O121" s="231"/>
      <c r="P121" s="231"/>
      <c r="Q121" s="231"/>
      <c r="R121" s="231"/>
      <c r="S121" s="231"/>
      <c r="T121" s="231"/>
      <c r="U121" s="231"/>
      <c r="V121" s="231"/>
      <c r="W121" s="231"/>
      <c r="X121" s="231"/>
      <c r="Y121" s="231"/>
      <c r="Z121" s="231"/>
      <c r="AA121" s="231"/>
      <c r="AB121" s="231"/>
      <c r="AC121" s="231"/>
      <c r="AD121" s="231"/>
      <c r="AE121" s="231"/>
      <c r="AF121" s="231"/>
      <c r="AG121" s="231"/>
      <c r="AH121" s="231"/>
    </row>
    <row r="122" spans="1:34" s="203" customFormat="1">
      <c r="A122" s="120">
        <v>22</v>
      </c>
      <c r="B122" s="47" t="s">
        <v>125</v>
      </c>
      <c r="C122" s="47"/>
      <c r="D122" s="47"/>
      <c r="E122" s="49">
        <v>51</v>
      </c>
      <c r="F122" s="52">
        <v>71</v>
      </c>
      <c r="G122" s="118"/>
      <c r="H122" s="122">
        <v>52</v>
      </c>
      <c r="I122" s="139"/>
      <c r="J122" s="231"/>
      <c r="K122" s="231"/>
      <c r="L122" s="231"/>
      <c r="M122" s="231"/>
      <c r="N122" s="231"/>
      <c r="O122" s="231"/>
      <c r="P122" s="231"/>
      <c r="Q122" s="231"/>
      <c r="R122" s="231"/>
      <c r="S122" s="231"/>
      <c r="T122" s="231"/>
      <c r="U122" s="231"/>
      <c r="V122" s="231"/>
      <c r="W122" s="231"/>
      <c r="X122" s="231"/>
      <c r="Y122" s="231"/>
      <c r="Z122" s="231"/>
      <c r="AA122" s="231"/>
      <c r="AB122" s="231"/>
      <c r="AC122" s="231"/>
      <c r="AD122" s="231"/>
      <c r="AE122" s="231"/>
      <c r="AF122" s="231"/>
      <c r="AG122" s="231"/>
      <c r="AH122" s="231"/>
    </row>
    <row r="123" spans="1:34" s="203" customFormat="1">
      <c r="A123" s="120">
        <v>23</v>
      </c>
      <c r="B123" s="90" t="s">
        <v>126</v>
      </c>
      <c r="C123" s="47"/>
      <c r="D123" s="47"/>
      <c r="E123" s="49">
        <v>295</v>
      </c>
      <c r="F123" s="52">
        <v>218</v>
      </c>
      <c r="G123" s="118"/>
      <c r="H123" s="99">
        <v>255</v>
      </c>
      <c r="I123" s="139"/>
      <c r="J123" s="231"/>
      <c r="K123" s="231"/>
      <c r="L123" s="231"/>
      <c r="M123" s="231"/>
      <c r="N123" s="231"/>
      <c r="O123" s="231"/>
      <c r="P123" s="231"/>
      <c r="Q123" s="231"/>
      <c r="R123" s="231"/>
      <c r="S123" s="231"/>
      <c r="T123" s="231"/>
      <c r="U123" s="231"/>
      <c r="V123" s="231"/>
      <c r="W123" s="231"/>
      <c r="X123" s="231"/>
      <c r="Y123" s="231"/>
      <c r="Z123" s="231"/>
      <c r="AA123" s="231"/>
      <c r="AB123" s="231"/>
      <c r="AC123" s="231"/>
      <c r="AD123" s="231"/>
      <c r="AE123" s="231"/>
      <c r="AF123" s="231"/>
      <c r="AG123" s="231"/>
      <c r="AH123" s="231"/>
    </row>
    <row r="124" spans="1:34" s="203" customFormat="1">
      <c r="A124" s="120">
        <v>24</v>
      </c>
      <c r="B124" s="47" t="s">
        <v>121</v>
      </c>
      <c r="C124" s="47"/>
      <c r="D124" s="47"/>
      <c r="E124" s="49">
        <v>2191</v>
      </c>
      <c r="F124" s="52">
        <f>1907-98</f>
        <v>1809</v>
      </c>
      <c r="G124" s="118"/>
      <c r="H124" s="100">
        <v>2034</v>
      </c>
      <c r="I124" s="139"/>
      <c r="J124" s="231"/>
      <c r="K124" s="231"/>
      <c r="L124" s="231"/>
      <c r="M124" s="231"/>
      <c r="N124" s="231"/>
      <c r="O124" s="231"/>
      <c r="P124" s="231"/>
      <c r="Q124" s="231"/>
      <c r="R124" s="231"/>
      <c r="S124" s="231"/>
      <c r="T124" s="231"/>
      <c r="U124" s="231"/>
      <c r="V124" s="231"/>
      <c r="W124" s="231"/>
      <c r="X124" s="231"/>
      <c r="Y124" s="231"/>
      <c r="Z124" s="231"/>
      <c r="AA124" s="231"/>
      <c r="AB124" s="231"/>
      <c r="AC124" s="231"/>
      <c r="AD124" s="231"/>
      <c r="AE124" s="231"/>
      <c r="AF124" s="231"/>
      <c r="AG124" s="231"/>
      <c r="AH124" s="231"/>
    </row>
    <row r="125" spans="1:34" s="203" customFormat="1">
      <c r="A125" s="120">
        <v>25</v>
      </c>
      <c r="B125" s="147" t="s">
        <v>127</v>
      </c>
      <c r="C125" s="147"/>
      <c r="D125" s="147"/>
      <c r="E125" s="80">
        <v>33630</v>
      </c>
      <c r="F125" s="142">
        <f>SUM(F118:F124)</f>
        <v>33264</v>
      </c>
      <c r="G125" s="118"/>
      <c r="H125" s="142">
        <f>SUM(H118:H124)</f>
        <v>35682</v>
      </c>
      <c r="I125" s="139"/>
      <c r="J125" s="231"/>
      <c r="K125" s="231"/>
      <c r="L125" s="231"/>
      <c r="M125" s="231"/>
      <c r="N125" s="231"/>
      <c r="O125" s="231"/>
      <c r="P125" s="231"/>
      <c r="Q125" s="231"/>
      <c r="R125" s="231"/>
      <c r="S125" s="231"/>
      <c r="T125" s="231"/>
      <c r="U125" s="231"/>
      <c r="V125" s="231"/>
      <c r="W125" s="231"/>
      <c r="X125" s="231"/>
      <c r="Y125" s="231"/>
      <c r="Z125" s="231"/>
      <c r="AA125" s="231"/>
      <c r="AB125" s="231"/>
      <c r="AC125" s="231"/>
      <c r="AD125" s="231"/>
      <c r="AE125" s="231"/>
      <c r="AF125" s="231"/>
      <c r="AG125" s="231"/>
      <c r="AH125" s="231"/>
    </row>
    <row r="126" spans="1:34" s="203" customFormat="1">
      <c r="A126" s="111"/>
      <c r="B126" s="47"/>
      <c r="C126" s="47"/>
      <c r="D126" s="47"/>
      <c r="E126" s="117"/>
      <c r="F126" s="118"/>
      <c r="G126" s="118"/>
      <c r="H126" s="118"/>
      <c r="I126" s="139"/>
      <c r="J126" s="231"/>
      <c r="K126" s="231"/>
      <c r="L126" s="231"/>
      <c r="M126" s="231"/>
      <c r="N126" s="231"/>
      <c r="O126" s="231"/>
      <c r="P126" s="231"/>
      <c r="Q126" s="231"/>
      <c r="R126" s="231"/>
      <c r="S126" s="231"/>
      <c r="T126" s="231"/>
      <c r="U126" s="231"/>
      <c r="V126" s="231"/>
      <c r="W126" s="231"/>
      <c r="X126" s="231"/>
      <c r="Y126" s="231"/>
      <c r="Z126" s="231"/>
      <c r="AA126" s="231"/>
      <c r="AB126" s="231"/>
      <c r="AC126" s="231"/>
      <c r="AD126" s="231"/>
      <c r="AE126" s="231"/>
      <c r="AF126" s="231"/>
      <c r="AG126" s="231"/>
      <c r="AH126" s="231"/>
    </row>
    <row r="127" spans="1:34" s="203" customFormat="1">
      <c r="A127" s="119" t="s">
        <v>108</v>
      </c>
      <c r="B127" s="147"/>
      <c r="C127" s="147"/>
      <c r="D127" s="147"/>
      <c r="E127" s="140"/>
      <c r="F127" s="146"/>
      <c r="G127" s="118"/>
      <c r="H127" s="146"/>
      <c r="I127" s="139"/>
      <c r="J127" s="231"/>
      <c r="K127" s="231"/>
      <c r="L127" s="231"/>
      <c r="M127" s="231"/>
      <c r="N127" s="231"/>
      <c r="O127" s="231"/>
      <c r="P127" s="231"/>
      <c r="Q127" s="231"/>
      <c r="R127" s="231"/>
      <c r="S127" s="231"/>
      <c r="T127" s="231"/>
      <c r="U127" s="231"/>
      <c r="V127" s="231"/>
      <c r="W127" s="231"/>
      <c r="X127" s="231"/>
      <c r="Y127" s="231"/>
      <c r="Z127" s="231"/>
      <c r="AA127" s="231"/>
      <c r="AB127" s="231"/>
      <c r="AC127" s="231"/>
      <c r="AD127" s="231"/>
      <c r="AE127" s="231"/>
      <c r="AF127" s="231"/>
      <c r="AG127" s="231"/>
      <c r="AH127" s="231"/>
    </row>
    <row r="128" spans="1:34" s="203" customFormat="1">
      <c r="A128" s="120">
        <v>26</v>
      </c>
      <c r="B128" s="47" t="s">
        <v>123</v>
      </c>
      <c r="C128" s="47"/>
      <c r="D128" s="47"/>
      <c r="E128" s="74">
        <v>631</v>
      </c>
      <c r="F128" s="52">
        <v>666</v>
      </c>
      <c r="G128" s="118"/>
      <c r="H128" s="122">
        <v>794</v>
      </c>
      <c r="I128" s="139"/>
      <c r="J128" s="231"/>
      <c r="K128" s="231"/>
      <c r="L128" s="231"/>
      <c r="M128" s="231"/>
      <c r="N128" s="231"/>
      <c r="O128" s="231"/>
      <c r="P128" s="231"/>
      <c r="Q128" s="231"/>
      <c r="R128" s="231"/>
      <c r="S128" s="231"/>
      <c r="T128" s="231"/>
      <c r="U128" s="231"/>
      <c r="V128" s="231"/>
      <c r="W128" s="231"/>
      <c r="X128" s="231"/>
      <c r="Y128" s="231"/>
      <c r="Z128" s="231"/>
      <c r="AA128" s="231"/>
      <c r="AB128" s="231"/>
      <c r="AC128" s="231"/>
      <c r="AD128" s="231"/>
      <c r="AE128" s="231"/>
      <c r="AF128" s="231"/>
      <c r="AG128" s="231"/>
      <c r="AH128" s="231"/>
    </row>
    <row r="129" spans="1:34" s="203" customFormat="1">
      <c r="A129" s="120">
        <v>27</v>
      </c>
      <c r="B129" s="47" t="s">
        <v>124</v>
      </c>
      <c r="C129" s="47"/>
      <c r="D129" s="47"/>
      <c r="E129" s="49">
        <v>2570</v>
      </c>
      <c r="F129" s="52">
        <v>2861</v>
      </c>
      <c r="G129" s="118"/>
      <c r="H129" s="122">
        <v>3266</v>
      </c>
      <c r="I129" s="139"/>
      <c r="J129" s="231"/>
      <c r="K129" s="231"/>
      <c r="L129" s="231"/>
      <c r="M129" s="231"/>
      <c r="N129" s="231"/>
      <c r="O129" s="231"/>
      <c r="P129" s="231"/>
      <c r="Q129" s="231"/>
      <c r="R129" s="231"/>
      <c r="S129" s="231"/>
      <c r="T129" s="231"/>
      <c r="U129" s="231"/>
      <c r="V129" s="231"/>
      <c r="W129" s="231"/>
      <c r="X129" s="231"/>
      <c r="Y129" s="231"/>
      <c r="Z129" s="231"/>
      <c r="AA129" s="231"/>
      <c r="AB129" s="231"/>
      <c r="AC129" s="231"/>
      <c r="AD129" s="231"/>
      <c r="AE129" s="231"/>
      <c r="AF129" s="231"/>
      <c r="AG129" s="231"/>
      <c r="AH129" s="231"/>
    </row>
    <row r="130" spans="1:34" s="203" customFormat="1">
      <c r="A130" s="120">
        <v>28</v>
      </c>
      <c r="B130" s="47" t="s">
        <v>119</v>
      </c>
      <c r="C130" s="47"/>
      <c r="D130" s="47"/>
      <c r="E130" s="49">
        <v>502</v>
      </c>
      <c r="F130" s="52">
        <v>811</v>
      </c>
      <c r="G130" s="118"/>
      <c r="H130" s="122">
        <v>845</v>
      </c>
      <c r="I130" s="139"/>
      <c r="J130" s="231"/>
      <c r="K130" s="231"/>
      <c r="L130" s="231"/>
      <c r="M130" s="231"/>
      <c r="N130" s="231"/>
      <c r="O130" s="231"/>
      <c r="P130" s="231"/>
      <c r="Q130" s="231"/>
      <c r="R130" s="231"/>
      <c r="S130" s="231"/>
      <c r="T130" s="231"/>
      <c r="U130" s="231"/>
      <c r="V130" s="231"/>
      <c r="W130" s="231"/>
      <c r="X130" s="231"/>
      <c r="Y130" s="231"/>
      <c r="Z130" s="231"/>
      <c r="AA130" s="231"/>
      <c r="AB130" s="231"/>
      <c r="AC130" s="231"/>
      <c r="AD130" s="231"/>
      <c r="AE130" s="231"/>
      <c r="AF130" s="231"/>
      <c r="AG130" s="231"/>
      <c r="AH130" s="231"/>
    </row>
    <row r="131" spans="1:34" s="203" customFormat="1">
      <c r="A131" s="120">
        <v>29</v>
      </c>
      <c r="B131" s="47" t="s">
        <v>120</v>
      </c>
      <c r="C131" s="47"/>
      <c r="D131" s="47"/>
      <c r="E131" s="49">
        <v>281</v>
      </c>
      <c r="F131" s="52">
        <v>339</v>
      </c>
      <c r="G131" s="118"/>
      <c r="H131" s="122">
        <v>359</v>
      </c>
      <c r="I131" s="139"/>
      <c r="J131" s="231"/>
      <c r="K131" s="231"/>
      <c r="L131" s="231"/>
      <c r="M131" s="231"/>
      <c r="N131" s="231"/>
      <c r="O131" s="231"/>
      <c r="P131" s="231"/>
      <c r="Q131" s="231"/>
      <c r="R131" s="231"/>
      <c r="S131" s="231"/>
      <c r="T131" s="231"/>
      <c r="U131" s="231"/>
      <c r="V131" s="231"/>
      <c r="W131" s="231"/>
      <c r="X131" s="231"/>
      <c r="Y131" s="231"/>
      <c r="Z131" s="231"/>
      <c r="AA131" s="231"/>
      <c r="AB131" s="231"/>
      <c r="AC131" s="231"/>
      <c r="AD131" s="231"/>
      <c r="AE131" s="231"/>
      <c r="AF131" s="231"/>
      <c r="AG131" s="231"/>
      <c r="AH131" s="231"/>
    </row>
    <row r="132" spans="1:34" s="203" customFormat="1">
      <c r="A132" s="120">
        <v>30</v>
      </c>
      <c r="B132" s="47" t="s">
        <v>125</v>
      </c>
      <c r="C132" s="47"/>
      <c r="D132" s="47"/>
      <c r="E132" s="49">
        <v>248</v>
      </c>
      <c r="F132" s="52">
        <v>559</v>
      </c>
      <c r="G132" s="118"/>
      <c r="H132" s="122">
        <v>649</v>
      </c>
      <c r="I132" s="139"/>
      <c r="J132" s="231"/>
      <c r="K132" s="231"/>
      <c r="L132" s="231"/>
      <c r="M132" s="231"/>
      <c r="N132" s="231"/>
      <c r="O132" s="231"/>
      <c r="P132" s="231"/>
      <c r="Q132" s="231"/>
      <c r="R132" s="231"/>
      <c r="S132" s="231"/>
      <c r="T132" s="231"/>
      <c r="U132" s="231"/>
      <c r="V132" s="231"/>
      <c r="W132" s="231"/>
      <c r="X132" s="231"/>
      <c r="Y132" s="231"/>
      <c r="Z132" s="231"/>
      <c r="AA132" s="231"/>
      <c r="AB132" s="231"/>
      <c r="AC132" s="231"/>
      <c r="AD132" s="231"/>
      <c r="AE132" s="231"/>
      <c r="AF132" s="231"/>
      <c r="AG132" s="231"/>
      <c r="AH132" s="231"/>
    </row>
    <row r="133" spans="1:34" s="203" customFormat="1">
      <c r="A133" s="120">
        <v>31</v>
      </c>
      <c r="B133" s="90" t="s">
        <v>126</v>
      </c>
      <c r="C133" s="47"/>
      <c r="D133" s="47"/>
      <c r="E133" s="49">
        <v>164</v>
      </c>
      <c r="F133" s="52">
        <v>164</v>
      </c>
      <c r="G133" s="118"/>
      <c r="H133" s="122">
        <v>161</v>
      </c>
      <c r="I133" s="139"/>
      <c r="J133" s="231"/>
      <c r="K133" s="231"/>
      <c r="L133" s="231"/>
      <c r="M133" s="231"/>
      <c r="N133" s="231"/>
      <c r="O133" s="231"/>
      <c r="P133" s="231"/>
      <c r="Q133" s="231"/>
      <c r="R133" s="231"/>
      <c r="S133" s="231"/>
      <c r="T133" s="231"/>
      <c r="U133" s="231"/>
      <c r="V133" s="231"/>
      <c r="W133" s="231"/>
      <c r="X133" s="231"/>
      <c r="Y133" s="231"/>
      <c r="Z133" s="231"/>
      <c r="AA133" s="231"/>
      <c r="AB133" s="231"/>
      <c r="AC133" s="231"/>
      <c r="AD133" s="231"/>
      <c r="AE133" s="231"/>
      <c r="AF133" s="231"/>
      <c r="AG133" s="231"/>
      <c r="AH133" s="231"/>
    </row>
    <row r="134" spans="1:34" s="203" customFormat="1">
      <c r="A134" s="120">
        <v>32</v>
      </c>
      <c r="B134" s="47" t="s">
        <v>121</v>
      </c>
      <c r="C134" s="47"/>
      <c r="D134" s="47"/>
      <c r="E134" s="49">
        <v>62</v>
      </c>
      <c r="F134" s="52">
        <f>62-138</f>
        <v>-76</v>
      </c>
      <c r="G134" s="118"/>
      <c r="H134" s="100">
        <v>62</v>
      </c>
      <c r="I134" s="139"/>
      <c r="J134" s="231"/>
      <c r="K134" s="231"/>
      <c r="L134" s="231"/>
      <c r="M134" s="231"/>
      <c r="N134" s="231"/>
      <c r="O134" s="231"/>
      <c r="P134" s="231"/>
      <c r="Q134" s="231"/>
      <c r="R134" s="231"/>
      <c r="S134" s="231"/>
      <c r="T134" s="231"/>
      <c r="U134" s="231"/>
      <c r="V134" s="231"/>
      <c r="W134" s="231"/>
      <c r="X134" s="231"/>
      <c r="Y134" s="231"/>
      <c r="Z134" s="231"/>
      <c r="AA134" s="231"/>
      <c r="AB134" s="231"/>
      <c r="AC134" s="231"/>
      <c r="AD134" s="231"/>
      <c r="AE134" s="231"/>
      <c r="AF134" s="231"/>
      <c r="AG134" s="231"/>
      <c r="AH134" s="231"/>
    </row>
    <row r="135" spans="1:34" s="203" customFormat="1">
      <c r="A135" s="120">
        <v>33</v>
      </c>
      <c r="B135" s="116" t="s">
        <v>128</v>
      </c>
      <c r="C135" s="116"/>
      <c r="D135" s="116"/>
      <c r="E135" s="80">
        <v>4458</v>
      </c>
      <c r="F135" s="142">
        <f>SUM(F128:F134)</f>
        <v>5324</v>
      </c>
      <c r="G135" s="118"/>
      <c r="H135" s="142">
        <f>SUM(H128:H134)</f>
        <v>6136</v>
      </c>
      <c r="I135" s="139"/>
      <c r="J135" s="231"/>
      <c r="K135" s="231"/>
      <c r="L135" s="231"/>
      <c r="M135" s="231"/>
      <c r="N135" s="231"/>
      <c r="O135" s="231"/>
      <c r="P135" s="231"/>
      <c r="Q135" s="231"/>
      <c r="R135" s="231"/>
      <c r="S135" s="231"/>
      <c r="T135" s="231"/>
      <c r="U135" s="231"/>
      <c r="V135" s="231"/>
      <c r="W135" s="231"/>
      <c r="X135" s="231"/>
      <c r="Y135" s="231"/>
      <c r="Z135" s="231"/>
      <c r="AA135" s="231"/>
      <c r="AB135" s="231"/>
      <c r="AC135" s="231"/>
      <c r="AD135" s="231"/>
      <c r="AE135" s="231"/>
      <c r="AF135" s="231"/>
      <c r="AG135" s="231"/>
      <c r="AH135" s="231"/>
    </row>
    <row r="136" spans="1:34" s="203" customFormat="1">
      <c r="A136" s="111"/>
      <c r="B136" s="47"/>
      <c r="C136" s="47"/>
      <c r="D136" s="138"/>
      <c r="E136" s="117"/>
      <c r="F136" s="118"/>
      <c r="G136" s="118"/>
      <c r="H136" s="118"/>
      <c r="I136" s="139"/>
      <c r="J136" s="231"/>
      <c r="K136" s="231"/>
      <c r="L136" s="231"/>
      <c r="M136" s="231"/>
      <c r="N136" s="231"/>
      <c r="O136" s="231"/>
      <c r="P136" s="231"/>
      <c r="Q136" s="231"/>
      <c r="R136" s="231"/>
      <c r="S136" s="231"/>
      <c r="T136" s="231"/>
      <c r="U136" s="231"/>
      <c r="V136" s="231"/>
      <c r="W136" s="231"/>
      <c r="X136" s="231"/>
      <c r="Y136" s="231"/>
      <c r="Z136" s="231"/>
      <c r="AA136" s="231"/>
      <c r="AB136" s="231"/>
      <c r="AC136" s="231"/>
      <c r="AD136" s="231"/>
      <c r="AE136" s="231"/>
      <c r="AF136" s="231"/>
      <c r="AG136" s="231"/>
      <c r="AH136" s="231"/>
    </row>
    <row r="137" spans="1:34" s="203" customFormat="1">
      <c r="A137" s="119" t="s">
        <v>109</v>
      </c>
      <c r="B137" s="116"/>
      <c r="C137" s="116"/>
      <c r="D137" s="116"/>
      <c r="E137" s="140"/>
      <c r="F137" s="146"/>
      <c r="G137" s="118"/>
      <c r="H137" s="146"/>
      <c r="I137" s="139"/>
      <c r="J137" s="231"/>
      <c r="K137" s="231"/>
      <c r="L137" s="231"/>
      <c r="M137" s="231"/>
      <c r="N137" s="231"/>
      <c r="O137" s="231"/>
      <c r="P137" s="231"/>
      <c r="Q137" s="231"/>
      <c r="R137" s="231"/>
      <c r="S137" s="231"/>
      <c r="T137" s="231"/>
      <c r="U137" s="231"/>
      <c r="V137" s="231"/>
      <c r="W137" s="231"/>
      <c r="X137" s="231"/>
      <c r="Y137" s="231"/>
      <c r="Z137" s="231"/>
      <c r="AA137" s="231"/>
      <c r="AB137" s="231"/>
      <c r="AC137" s="231"/>
      <c r="AD137" s="231"/>
      <c r="AE137" s="231"/>
      <c r="AF137" s="231"/>
      <c r="AG137" s="231"/>
      <c r="AH137" s="231"/>
    </row>
    <row r="138" spans="1:34" s="203" customFormat="1">
      <c r="A138" s="120">
        <v>34</v>
      </c>
      <c r="B138" s="47" t="s">
        <v>123</v>
      </c>
      <c r="C138" s="47"/>
      <c r="D138" s="47"/>
      <c r="E138" s="49">
        <v>4343</v>
      </c>
      <c r="F138" s="52">
        <v>4063</v>
      </c>
      <c r="G138" s="118"/>
      <c r="H138" s="122">
        <v>4401</v>
      </c>
      <c r="I138" s="139"/>
      <c r="J138" s="231"/>
      <c r="K138" s="231"/>
      <c r="L138" s="231"/>
      <c r="M138" s="231"/>
      <c r="N138" s="231"/>
      <c r="O138" s="231"/>
      <c r="P138" s="231"/>
      <c r="Q138" s="231"/>
      <c r="R138" s="231"/>
      <c r="S138" s="231"/>
      <c r="T138" s="231"/>
      <c r="U138" s="231"/>
      <c r="V138" s="231"/>
      <c r="W138" s="231"/>
      <c r="X138" s="231"/>
      <c r="Y138" s="231"/>
      <c r="Z138" s="231"/>
      <c r="AA138" s="231"/>
      <c r="AB138" s="231"/>
      <c r="AC138" s="231"/>
      <c r="AD138" s="231"/>
      <c r="AE138" s="231"/>
      <c r="AF138" s="231"/>
      <c r="AG138" s="231"/>
      <c r="AH138" s="231"/>
    </row>
    <row r="139" spans="1:34" s="203" customFormat="1">
      <c r="A139" s="120">
        <v>35</v>
      </c>
      <c r="B139" s="47" t="s">
        <v>119</v>
      </c>
      <c r="C139" s="47"/>
      <c r="D139" s="47"/>
      <c r="E139" s="49">
        <v>8037</v>
      </c>
      <c r="F139" s="52">
        <v>7897</v>
      </c>
      <c r="G139" s="118"/>
      <c r="H139" s="122">
        <v>8172</v>
      </c>
      <c r="I139" s="139"/>
      <c r="J139" s="231"/>
      <c r="K139" s="231"/>
      <c r="L139" s="231"/>
      <c r="M139" s="231"/>
      <c r="N139" s="231"/>
      <c r="O139" s="231"/>
      <c r="P139" s="231"/>
      <c r="Q139" s="231"/>
      <c r="R139" s="231"/>
      <c r="S139" s="231"/>
      <c r="T139" s="231"/>
      <c r="U139" s="231"/>
      <c r="V139" s="231"/>
      <c r="W139" s="231"/>
      <c r="X139" s="231"/>
      <c r="Y139" s="231"/>
      <c r="Z139" s="231"/>
      <c r="AA139" s="231"/>
      <c r="AB139" s="231"/>
      <c r="AC139" s="231"/>
      <c r="AD139" s="231"/>
      <c r="AE139" s="231"/>
      <c r="AF139" s="231"/>
      <c r="AG139" s="231"/>
      <c r="AH139" s="231"/>
    </row>
    <row r="140" spans="1:34" s="203" customFormat="1">
      <c r="A140" s="120">
        <v>36</v>
      </c>
      <c r="B140" s="47" t="s">
        <v>120</v>
      </c>
      <c r="C140" s="47"/>
      <c r="D140" s="47"/>
      <c r="E140" s="49">
        <v>3078</v>
      </c>
      <c r="F140" s="52">
        <v>3046</v>
      </c>
      <c r="G140" s="118"/>
      <c r="H140" s="122">
        <v>3205</v>
      </c>
      <c r="I140" s="139"/>
      <c r="J140" s="231"/>
      <c r="K140" s="231"/>
      <c r="L140" s="231"/>
      <c r="M140" s="231"/>
      <c r="N140" s="231"/>
      <c r="O140" s="231"/>
      <c r="P140" s="231"/>
      <c r="Q140" s="231"/>
      <c r="R140" s="231"/>
      <c r="S140" s="231"/>
      <c r="T140" s="231"/>
      <c r="U140" s="231"/>
      <c r="V140" s="231"/>
      <c r="W140" s="231"/>
      <c r="X140" s="231"/>
      <c r="Y140" s="231"/>
      <c r="Z140" s="231"/>
      <c r="AA140" s="231"/>
      <c r="AB140" s="231"/>
      <c r="AC140" s="231"/>
      <c r="AD140" s="231"/>
      <c r="AE140" s="231"/>
      <c r="AF140" s="231"/>
      <c r="AG140" s="231"/>
      <c r="AH140" s="231"/>
    </row>
    <row r="141" spans="1:34" s="203" customFormat="1">
      <c r="A141" s="120">
        <v>37</v>
      </c>
      <c r="B141" s="90" t="s">
        <v>126</v>
      </c>
      <c r="C141" s="47"/>
      <c r="D141" s="47"/>
      <c r="E141" s="49">
        <v>635</v>
      </c>
      <c r="F141" s="52">
        <v>810</v>
      </c>
      <c r="G141" s="118"/>
      <c r="H141" s="99">
        <v>687</v>
      </c>
      <c r="I141" s="139"/>
      <c r="J141" s="231"/>
      <c r="K141" s="231"/>
      <c r="L141" s="231"/>
      <c r="M141" s="231"/>
      <c r="N141" s="231"/>
      <c r="O141" s="231"/>
      <c r="P141" s="231"/>
      <c r="Q141" s="231"/>
      <c r="R141" s="231"/>
      <c r="S141" s="231"/>
      <c r="T141" s="231"/>
      <c r="U141" s="231"/>
      <c r="V141" s="231"/>
      <c r="W141" s="231"/>
      <c r="X141" s="231"/>
      <c r="Y141" s="231"/>
      <c r="Z141" s="231"/>
      <c r="AA141" s="231"/>
      <c r="AB141" s="231"/>
      <c r="AC141" s="231"/>
      <c r="AD141" s="231"/>
      <c r="AE141" s="231"/>
      <c r="AF141" s="231"/>
      <c r="AG141" s="231"/>
      <c r="AH141" s="231"/>
    </row>
    <row r="142" spans="1:34" s="203" customFormat="1">
      <c r="A142" s="120">
        <v>38</v>
      </c>
      <c r="B142" s="47" t="s">
        <v>121</v>
      </c>
      <c r="C142" s="47"/>
      <c r="D142" s="47"/>
      <c r="E142" s="49">
        <v>2063</v>
      </c>
      <c r="F142" s="52">
        <v>1876</v>
      </c>
      <c r="G142" s="118"/>
      <c r="H142" s="100">
        <v>2211</v>
      </c>
      <c r="I142" s="139"/>
      <c r="J142" s="231"/>
      <c r="K142" s="231"/>
      <c r="L142" s="231"/>
      <c r="M142" s="231"/>
      <c r="N142" s="231"/>
      <c r="O142" s="231"/>
      <c r="P142" s="231"/>
      <c r="Q142" s="231"/>
      <c r="R142" s="231"/>
      <c r="S142" s="231"/>
      <c r="T142" s="231"/>
      <c r="U142" s="231"/>
      <c r="V142" s="231"/>
      <c r="W142" s="231"/>
      <c r="X142" s="231"/>
      <c r="Y142" s="231"/>
      <c r="Z142" s="231"/>
      <c r="AA142" s="231"/>
      <c r="AB142" s="231"/>
      <c r="AC142" s="231"/>
      <c r="AD142" s="231"/>
      <c r="AE142" s="231"/>
      <c r="AF142" s="231"/>
      <c r="AG142" s="231"/>
      <c r="AH142" s="231"/>
    </row>
    <row r="143" spans="1:34" s="203" customFormat="1">
      <c r="A143" s="120">
        <v>39</v>
      </c>
      <c r="B143" s="116" t="s">
        <v>129</v>
      </c>
      <c r="C143" s="116"/>
      <c r="D143" s="116"/>
      <c r="E143" s="80">
        <v>18156</v>
      </c>
      <c r="F143" s="142">
        <f>SUM(F138:F142)</f>
        <v>17692</v>
      </c>
      <c r="G143" s="118"/>
      <c r="H143" s="142">
        <f>SUM(H138:H142)</f>
        <v>18676</v>
      </c>
      <c r="I143" s="139"/>
      <c r="J143" s="231"/>
      <c r="K143" s="231"/>
      <c r="L143" s="231"/>
      <c r="M143" s="231"/>
      <c r="N143" s="231"/>
      <c r="O143" s="231"/>
      <c r="P143" s="231"/>
      <c r="Q143" s="231"/>
      <c r="R143" s="231"/>
      <c r="S143" s="231"/>
      <c r="T143" s="231"/>
      <c r="U143" s="231"/>
      <c r="V143" s="231"/>
      <c r="W143" s="231"/>
      <c r="X143" s="231"/>
      <c r="Y143" s="231"/>
      <c r="Z143" s="231"/>
      <c r="AA143" s="231"/>
      <c r="AB143" s="231"/>
      <c r="AC143" s="231"/>
      <c r="AD143" s="231"/>
      <c r="AE143" s="231"/>
      <c r="AF143" s="231"/>
      <c r="AG143" s="231"/>
      <c r="AH143" s="231"/>
    </row>
    <row r="144" spans="1:34" s="203" customFormat="1">
      <c r="A144" s="111"/>
      <c r="B144" s="47"/>
      <c r="C144" s="47"/>
      <c r="D144" s="47"/>
      <c r="E144" s="117"/>
      <c r="F144" s="118"/>
      <c r="G144" s="118"/>
      <c r="H144" s="118"/>
      <c r="I144" s="139"/>
      <c r="J144" s="231"/>
      <c r="K144" s="231"/>
      <c r="L144" s="231"/>
      <c r="M144" s="231"/>
      <c r="N144" s="231"/>
      <c r="O144" s="231"/>
      <c r="P144" s="231"/>
      <c r="Q144" s="231"/>
      <c r="R144" s="231"/>
      <c r="S144" s="231"/>
      <c r="T144" s="231"/>
      <c r="U144" s="231"/>
      <c r="V144" s="231"/>
      <c r="W144" s="231"/>
      <c r="X144" s="231"/>
      <c r="Y144" s="231"/>
      <c r="Z144" s="231"/>
      <c r="AA144" s="231"/>
      <c r="AB144" s="231"/>
      <c r="AC144" s="231"/>
      <c r="AD144" s="231"/>
      <c r="AE144" s="231"/>
      <c r="AF144" s="231"/>
      <c r="AG144" s="231"/>
      <c r="AH144" s="231"/>
    </row>
    <row r="145" spans="1:34" s="203" customFormat="1">
      <c r="A145" s="119" t="s">
        <v>110</v>
      </c>
      <c r="B145" s="116"/>
      <c r="C145" s="116"/>
      <c r="D145" s="116"/>
      <c r="E145" s="140"/>
      <c r="F145" s="146"/>
      <c r="G145" s="118"/>
      <c r="H145" s="146"/>
      <c r="I145" s="139"/>
      <c r="J145" s="231"/>
      <c r="K145" s="231"/>
      <c r="L145" s="231"/>
      <c r="M145" s="231"/>
      <c r="N145" s="231"/>
      <c r="O145" s="231"/>
      <c r="P145" s="231"/>
      <c r="Q145" s="231"/>
      <c r="R145" s="231"/>
      <c r="S145" s="231"/>
      <c r="T145" s="231"/>
      <c r="U145" s="231"/>
      <c r="V145" s="231"/>
      <c r="W145" s="231"/>
      <c r="X145" s="231"/>
      <c r="Y145" s="231"/>
      <c r="Z145" s="231"/>
      <c r="AA145" s="231"/>
      <c r="AB145" s="231"/>
      <c r="AC145" s="231"/>
      <c r="AD145" s="231"/>
      <c r="AE145" s="231"/>
      <c r="AF145" s="231"/>
      <c r="AG145" s="231"/>
      <c r="AH145" s="231"/>
    </row>
    <row r="146" spans="1:34" s="203" customFormat="1">
      <c r="A146" s="120">
        <v>40</v>
      </c>
      <c r="B146" s="47" t="s">
        <v>123</v>
      </c>
      <c r="C146" s="47"/>
      <c r="D146" s="47"/>
      <c r="E146" s="49">
        <v>1718</v>
      </c>
      <c r="F146" s="52">
        <v>1735</v>
      </c>
      <c r="G146" s="118"/>
      <c r="H146" s="122">
        <v>1873</v>
      </c>
      <c r="I146" s="139"/>
      <c r="J146" s="231"/>
      <c r="K146" s="231"/>
      <c r="L146" s="231"/>
      <c r="M146" s="231"/>
      <c r="N146" s="231"/>
      <c r="O146" s="231"/>
      <c r="P146" s="231"/>
      <c r="Q146" s="231"/>
      <c r="R146" s="231"/>
      <c r="S146" s="231"/>
      <c r="T146" s="231"/>
      <c r="U146" s="231"/>
      <c r="V146" s="231"/>
      <c r="W146" s="231"/>
      <c r="X146" s="231"/>
      <c r="Y146" s="231"/>
      <c r="Z146" s="231"/>
      <c r="AA146" s="231"/>
      <c r="AB146" s="231"/>
      <c r="AC146" s="231"/>
      <c r="AD146" s="231"/>
      <c r="AE146" s="231"/>
      <c r="AF146" s="231"/>
      <c r="AG146" s="231"/>
      <c r="AH146" s="231"/>
    </row>
    <row r="147" spans="1:34" s="203" customFormat="1">
      <c r="A147" s="120">
        <v>41</v>
      </c>
      <c r="B147" s="47" t="s">
        <v>119</v>
      </c>
      <c r="C147" s="47"/>
      <c r="D147" s="47"/>
      <c r="E147" s="49">
        <v>0</v>
      </c>
      <c r="F147" s="52">
        <v>848</v>
      </c>
      <c r="G147" s="118"/>
      <c r="H147" s="122">
        <v>1087</v>
      </c>
      <c r="I147" s="139"/>
      <c r="J147" s="231"/>
      <c r="K147" s="231"/>
      <c r="L147" s="231"/>
      <c r="M147" s="231"/>
      <c r="N147" s="231"/>
      <c r="O147" s="231"/>
      <c r="P147" s="231"/>
      <c r="Q147" s="231"/>
      <c r="R147" s="231"/>
      <c r="S147" s="231"/>
      <c r="T147" s="231"/>
      <c r="U147" s="231"/>
      <c r="V147" s="231"/>
      <c r="W147" s="231"/>
      <c r="X147" s="231"/>
      <c r="Y147" s="231"/>
      <c r="Z147" s="231"/>
      <c r="AA147" s="231"/>
      <c r="AB147" s="231"/>
      <c r="AC147" s="231"/>
      <c r="AD147" s="231"/>
      <c r="AE147" s="231"/>
      <c r="AF147" s="231"/>
      <c r="AG147" s="231"/>
      <c r="AH147" s="231"/>
    </row>
    <row r="148" spans="1:34" s="203" customFormat="1">
      <c r="A148" s="120">
        <v>42</v>
      </c>
      <c r="B148" s="47" t="s">
        <v>120</v>
      </c>
      <c r="C148" s="47"/>
      <c r="D148" s="47"/>
      <c r="E148" s="49">
        <v>311</v>
      </c>
      <c r="F148" s="52">
        <v>245</v>
      </c>
      <c r="G148" s="118"/>
      <c r="H148" s="122">
        <v>284</v>
      </c>
      <c r="I148" s="139"/>
      <c r="J148" s="231"/>
      <c r="K148" s="231"/>
      <c r="L148" s="231"/>
      <c r="M148" s="231"/>
      <c r="N148" s="231"/>
      <c r="O148" s="231"/>
      <c r="P148" s="231"/>
      <c r="Q148" s="231"/>
      <c r="R148" s="231"/>
      <c r="S148" s="231"/>
      <c r="T148" s="231"/>
      <c r="U148" s="231"/>
      <c r="V148" s="231"/>
      <c r="W148" s="231"/>
      <c r="X148" s="231"/>
      <c r="Y148" s="231"/>
      <c r="Z148" s="231"/>
      <c r="AA148" s="231"/>
      <c r="AB148" s="231"/>
      <c r="AC148" s="231"/>
      <c r="AD148" s="231"/>
      <c r="AE148" s="231"/>
      <c r="AF148" s="231"/>
      <c r="AG148" s="231"/>
      <c r="AH148" s="231"/>
    </row>
    <row r="149" spans="1:34" s="203" customFormat="1">
      <c r="A149" s="120">
        <v>43</v>
      </c>
      <c r="B149" s="47" t="s">
        <v>121</v>
      </c>
      <c r="C149" s="47"/>
      <c r="D149" s="47"/>
      <c r="E149" s="49">
        <v>832</v>
      </c>
      <c r="F149" s="52">
        <f>846-67</f>
        <v>779</v>
      </c>
      <c r="G149" s="118"/>
      <c r="H149" s="100">
        <v>1041</v>
      </c>
      <c r="I149" s="139"/>
      <c r="J149" s="231"/>
      <c r="K149" s="231"/>
      <c r="L149" s="231"/>
      <c r="M149" s="231"/>
      <c r="N149" s="231"/>
      <c r="O149" s="231"/>
      <c r="P149" s="231"/>
      <c r="Q149" s="231"/>
      <c r="R149" s="231"/>
      <c r="S149" s="231"/>
      <c r="T149" s="231"/>
      <c r="U149" s="231"/>
      <c r="V149" s="231"/>
      <c r="W149" s="231"/>
      <c r="X149" s="231"/>
      <c r="Y149" s="231"/>
      <c r="Z149" s="231"/>
      <c r="AA149" s="231"/>
      <c r="AB149" s="231"/>
      <c r="AC149" s="231"/>
      <c r="AD149" s="231"/>
      <c r="AE149" s="231"/>
      <c r="AF149" s="231"/>
      <c r="AG149" s="231"/>
      <c r="AH149" s="231"/>
    </row>
    <row r="150" spans="1:34" s="203" customFormat="1">
      <c r="A150" s="124">
        <v>44</v>
      </c>
      <c r="B150" s="94" t="s">
        <v>130</v>
      </c>
      <c r="C150" s="94"/>
      <c r="D150" s="94"/>
      <c r="E150" s="80">
        <v>2861</v>
      </c>
      <c r="F150" s="142">
        <f>SUM(F146:F149)</f>
        <v>3607</v>
      </c>
      <c r="G150" s="259"/>
      <c r="H150" s="142">
        <f>SUM(H146:H149)</f>
        <v>4285</v>
      </c>
      <c r="I150" s="139"/>
      <c r="J150" s="231"/>
      <c r="K150" s="231"/>
      <c r="L150" s="231"/>
      <c r="M150" s="231"/>
      <c r="N150" s="231"/>
      <c r="O150" s="231"/>
      <c r="P150" s="231"/>
      <c r="Q150" s="231"/>
      <c r="R150" s="231"/>
      <c r="S150" s="231"/>
      <c r="T150" s="231"/>
      <c r="U150" s="231"/>
      <c r="V150" s="231"/>
      <c r="W150" s="231"/>
      <c r="X150" s="231"/>
      <c r="Y150" s="231"/>
      <c r="Z150" s="231"/>
      <c r="AA150" s="231"/>
      <c r="AB150" s="231"/>
      <c r="AC150" s="231"/>
      <c r="AD150" s="231"/>
      <c r="AE150" s="231"/>
      <c r="AF150" s="231"/>
      <c r="AG150" s="231"/>
      <c r="AH150" s="231"/>
    </row>
    <row r="151" spans="1:34" s="203" customFormat="1">
      <c r="A151" s="148"/>
      <c r="B151" s="129"/>
      <c r="C151" s="129"/>
      <c r="D151" s="149"/>
      <c r="E151" s="150"/>
      <c r="F151" s="29"/>
      <c r="G151" s="29"/>
      <c r="H151" s="207"/>
      <c r="I151" s="29"/>
      <c r="J151" s="231"/>
      <c r="K151" s="231"/>
      <c r="L151" s="231"/>
      <c r="M151" s="231"/>
      <c r="N151" s="231"/>
      <c r="O151" s="231"/>
      <c r="P151" s="231"/>
      <c r="Q151" s="231"/>
      <c r="R151" s="231"/>
      <c r="S151" s="231"/>
      <c r="T151" s="231"/>
      <c r="U151" s="231"/>
      <c r="V151" s="231"/>
      <c r="W151" s="231"/>
      <c r="X151" s="231"/>
      <c r="Y151" s="231"/>
      <c r="Z151" s="231"/>
      <c r="AA151" s="231"/>
      <c r="AB151" s="231"/>
      <c r="AC151" s="231"/>
      <c r="AD151" s="231"/>
      <c r="AE151" s="231"/>
      <c r="AF151" s="231"/>
      <c r="AG151" s="231"/>
      <c r="AH151" s="231"/>
    </row>
    <row r="152" spans="1:34" s="203" customFormat="1">
      <c r="A152" s="148"/>
      <c r="B152" s="129"/>
      <c r="C152" s="129"/>
      <c r="D152" s="151"/>
      <c r="E152" s="152"/>
      <c r="F152" s="29"/>
      <c r="G152" s="29"/>
      <c r="H152" s="131" t="s">
        <v>27</v>
      </c>
      <c r="I152" s="29"/>
      <c r="J152" s="231"/>
      <c r="K152" s="231"/>
      <c r="L152" s="231"/>
      <c r="M152" s="231"/>
      <c r="N152" s="231"/>
      <c r="O152" s="231"/>
      <c r="P152" s="231"/>
      <c r="Q152" s="231"/>
      <c r="R152" s="231"/>
      <c r="S152" s="231"/>
      <c r="T152" s="231"/>
      <c r="U152" s="231"/>
      <c r="V152" s="231"/>
      <c r="W152" s="231"/>
      <c r="X152" s="231"/>
      <c r="Y152" s="231"/>
      <c r="Z152" s="231"/>
      <c r="AA152" s="231"/>
      <c r="AB152" s="231"/>
      <c r="AC152" s="231"/>
      <c r="AD152" s="231"/>
      <c r="AE152" s="231"/>
      <c r="AF152" s="231"/>
      <c r="AG152" s="231"/>
      <c r="AH152" s="231"/>
    </row>
    <row r="153" spans="1:34" s="203" customFormat="1">
      <c r="A153" s="106" t="s">
        <v>20</v>
      </c>
      <c r="B153" s="107"/>
      <c r="C153" s="107"/>
      <c r="D153" s="107"/>
      <c r="E153" s="856" t="s">
        <v>377</v>
      </c>
      <c r="F153" s="856" t="s">
        <v>402</v>
      </c>
      <c r="G153" s="130"/>
      <c r="H153" s="856" t="s">
        <v>403</v>
      </c>
      <c r="I153" s="130"/>
      <c r="J153" s="231"/>
      <c r="K153" s="231"/>
      <c r="L153" s="231"/>
      <c r="M153" s="231"/>
      <c r="N153" s="231"/>
      <c r="O153" s="231"/>
      <c r="P153" s="231"/>
      <c r="Q153" s="231"/>
      <c r="R153" s="231"/>
      <c r="S153" s="231"/>
      <c r="T153" s="231"/>
      <c r="U153" s="231"/>
      <c r="V153" s="231"/>
      <c r="W153" s="231"/>
      <c r="X153" s="231"/>
      <c r="Y153" s="231"/>
      <c r="Z153" s="231"/>
      <c r="AA153" s="231"/>
      <c r="AB153" s="231"/>
      <c r="AC153" s="231"/>
      <c r="AD153" s="231"/>
      <c r="AE153" s="231"/>
      <c r="AF153" s="231"/>
      <c r="AG153" s="231"/>
      <c r="AH153" s="231"/>
    </row>
    <row r="154" spans="1:34" s="203" customFormat="1">
      <c r="A154" s="153"/>
      <c r="B154" s="132"/>
      <c r="C154" s="132"/>
      <c r="D154" s="132"/>
      <c r="E154" s="859"/>
      <c r="F154" s="859"/>
      <c r="G154" s="130"/>
      <c r="H154" s="859"/>
      <c r="I154" s="130"/>
      <c r="J154" s="231"/>
      <c r="K154" s="231"/>
      <c r="L154" s="231"/>
      <c r="M154" s="231"/>
      <c r="N154" s="231"/>
      <c r="O154" s="231"/>
      <c r="P154" s="231"/>
      <c r="Q154" s="231"/>
      <c r="R154" s="231"/>
      <c r="S154" s="231"/>
      <c r="T154" s="231"/>
      <c r="U154" s="231"/>
      <c r="V154" s="231"/>
      <c r="W154" s="231"/>
      <c r="X154" s="231"/>
      <c r="Y154" s="231"/>
      <c r="Z154" s="231"/>
      <c r="AA154" s="231"/>
      <c r="AB154" s="231"/>
      <c r="AC154" s="231"/>
      <c r="AD154" s="231"/>
      <c r="AE154" s="231"/>
      <c r="AF154" s="231"/>
      <c r="AG154" s="231"/>
      <c r="AH154" s="231"/>
    </row>
    <row r="155" spans="1:34" s="203" customFormat="1">
      <c r="A155" s="154" t="s">
        <v>131</v>
      </c>
      <c r="B155" s="116"/>
      <c r="C155" s="116"/>
      <c r="D155" s="116"/>
      <c r="E155" s="859"/>
      <c r="F155" s="859"/>
      <c r="G155" s="130"/>
      <c r="H155" s="859"/>
      <c r="I155" s="130"/>
      <c r="J155" s="231"/>
      <c r="K155" s="231"/>
      <c r="L155" s="231"/>
      <c r="M155" s="231"/>
      <c r="N155" s="231"/>
      <c r="O155" s="231"/>
      <c r="P155" s="231"/>
      <c r="Q155" s="231"/>
      <c r="R155" s="231"/>
      <c r="S155" s="231"/>
      <c r="T155" s="231"/>
      <c r="U155" s="231"/>
      <c r="V155" s="231"/>
      <c r="W155" s="231"/>
      <c r="X155" s="231"/>
      <c r="Y155" s="231"/>
      <c r="Z155" s="231"/>
      <c r="AA155" s="231"/>
      <c r="AB155" s="231"/>
      <c r="AC155" s="231"/>
      <c r="AD155" s="231"/>
      <c r="AE155" s="231"/>
      <c r="AF155" s="231"/>
      <c r="AG155" s="231"/>
      <c r="AH155" s="231"/>
    </row>
    <row r="156" spans="1:34" s="203" customFormat="1" ht="12.75" customHeight="1">
      <c r="A156" s="109" t="s">
        <v>83</v>
      </c>
      <c r="B156" s="47"/>
      <c r="C156" s="47"/>
      <c r="D156" s="47"/>
      <c r="E156" s="859"/>
      <c r="F156" s="859"/>
      <c r="G156" s="130"/>
      <c r="H156" s="859"/>
      <c r="I156" s="130"/>
      <c r="J156" s="231"/>
      <c r="K156" s="231"/>
      <c r="L156" s="231"/>
      <c r="M156" s="231"/>
      <c r="N156" s="231"/>
      <c r="O156" s="231"/>
      <c r="P156" s="231"/>
      <c r="Q156" s="231"/>
      <c r="R156" s="231"/>
      <c r="S156" s="231"/>
      <c r="T156" s="231"/>
      <c r="U156" s="231"/>
      <c r="V156" s="231"/>
      <c r="W156" s="231"/>
      <c r="X156" s="231"/>
      <c r="Y156" s="231"/>
      <c r="Z156" s="231"/>
      <c r="AA156" s="231"/>
      <c r="AB156" s="231"/>
      <c r="AC156" s="231"/>
      <c r="AD156" s="231"/>
      <c r="AE156" s="231"/>
      <c r="AF156" s="231"/>
      <c r="AG156" s="231"/>
      <c r="AH156" s="231"/>
    </row>
    <row r="157" spans="1:34" s="203" customFormat="1">
      <c r="A157" s="110" t="s">
        <v>84</v>
      </c>
      <c r="B157" s="132"/>
      <c r="C157" s="132"/>
      <c r="D157" s="132"/>
      <c r="E157" s="860"/>
      <c r="F157" s="860"/>
      <c r="G157" s="130"/>
      <c r="H157" s="860"/>
      <c r="I157" s="130"/>
      <c r="J157" s="231"/>
      <c r="K157" s="231"/>
      <c r="L157" s="231"/>
      <c r="M157" s="231"/>
      <c r="N157" s="231"/>
      <c r="O157" s="231"/>
      <c r="P157" s="231"/>
      <c r="Q157" s="231"/>
      <c r="R157" s="231"/>
      <c r="S157" s="231"/>
      <c r="T157" s="231"/>
      <c r="U157" s="231"/>
      <c r="V157" s="231"/>
      <c r="W157" s="231"/>
      <c r="X157" s="231"/>
      <c r="Y157" s="231"/>
      <c r="Z157" s="231"/>
      <c r="AA157" s="231"/>
      <c r="AB157" s="231"/>
      <c r="AC157" s="231"/>
      <c r="AD157" s="231"/>
      <c r="AE157" s="231"/>
      <c r="AF157" s="231"/>
      <c r="AG157" s="231"/>
      <c r="AH157" s="231"/>
    </row>
    <row r="158" spans="1:34" s="203" customFormat="1">
      <c r="A158" s="119" t="s">
        <v>132</v>
      </c>
      <c r="B158" s="47"/>
      <c r="C158" s="47"/>
      <c r="D158" s="47"/>
      <c r="E158" s="155"/>
      <c r="F158" s="146" t="s">
        <v>133</v>
      </c>
      <c r="G158" s="118"/>
      <c r="H158" s="146"/>
      <c r="I158" s="29"/>
      <c r="J158" s="231"/>
      <c r="K158" s="231"/>
      <c r="L158" s="231"/>
      <c r="M158" s="231"/>
      <c r="N158" s="231"/>
      <c r="O158" s="231"/>
      <c r="P158" s="231"/>
      <c r="Q158" s="231"/>
      <c r="R158" s="231"/>
      <c r="S158" s="231"/>
      <c r="T158" s="231"/>
      <c r="U158" s="231"/>
      <c r="V158" s="231"/>
      <c r="W158" s="231"/>
      <c r="X158" s="231"/>
      <c r="Y158" s="231"/>
      <c r="Z158" s="231"/>
      <c r="AA158" s="231"/>
      <c r="AB158" s="231"/>
      <c r="AC158" s="231"/>
      <c r="AD158" s="231"/>
      <c r="AE158" s="231"/>
      <c r="AF158" s="231"/>
      <c r="AG158" s="231"/>
      <c r="AH158" s="231"/>
    </row>
    <row r="159" spans="1:34" s="203" customFormat="1">
      <c r="A159" s="120">
        <v>1</v>
      </c>
      <c r="B159" s="47" t="s">
        <v>134</v>
      </c>
      <c r="C159" s="47"/>
      <c r="D159" s="47"/>
      <c r="E159" s="74">
        <v>0</v>
      </c>
      <c r="F159" s="52">
        <v>0</v>
      </c>
      <c r="G159" s="118"/>
      <c r="H159" s="122">
        <v>0</v>
      </c>
      <c r="I159" s="29"/>
      <c r="J159" s="231"/>
      <c r="K159" s="231"/>
      <c r="L159" s="231"/>
      <c r="M159" s="231"/>
      <c r="N159" s="231"/>
      <c r="O159" s="231"/>
      <c r="P159" s="231"/>
      <c r="Q159" s="231"/>
      <c r="R159" s="231"/>
      <c r="S159" s="231"/>
      <c r="T159" s="231"/>
      <c r="U159" s="231"/>
      <c r="V159" s="231"/>
      <c r="W159" s="231"/>
      <c r="X159" s="231"/>
      <c r="Y159" s="231"/>
      <c r="Z159" s="231"/>
      <c r="AA159" s="231"/>
      <c r="AB159" s="231"/>
      <c r="AC159" s="231"/>
      <c r="AD159" s="231"/>
      <c r="AE159" s="231"/>
      <c r="AF159" s="231"/>
      <c r="AG159" s="231"/>
      <c r="AH159" s="231"/>
    </row>
    <row r="160" spans="1:34" s="203" customFormat="1">
      <c r="A160" s="120">
        <v>2</v>
      </c>
      <c r="B160" s="47" t="s">
        <v>135</v>
      </c>
      <c r="C160" s="47"/>
      <c r="D160" s="47"/>
      <c r="E160" s="49">
        <v>2301</v>
      </c>
      <c r="F160" s="52">
        <v>2231</v>
      </c>
      <c r="G160" s="118"/>
      <c r="H160" s="122">
        <v>2232</v>
      </c>
      <c r="I160" s="29"/>
      <c r="J160" s="231"/>
      <c r="K160" s="231"/>
      <c r="L160" s="231"/>
      <c r="M160" s="231"/>
      <c r="N160" s="231"/>
      <c r="O160" s="231"/>
      <c r="P160" s="231"/>
      <c r="Q160" s="231"/>
      <c r="R160" s="231"/>
      <c r="S160" s="231"/>
      <c r="T160" s="231"/>
      <c r="U160" s="231"/>
      <c r="V160" s="231"/>
      <c r="W160" s="231"/>
      <c r="X160" s="231"/>
      <c r="Y160" s="231"/>
      <c r="Z160" s="231"/>
      <c r="AA160" s="231"/>
      <c r="AB160" s="231"/>
      <c r="AC160" s="231"/>
      <c r="AD160" s="231"/>
      <c r="AE160" s="231"/>
      <c r="AF160" s="231"/>
      <c r="AG160" s="231"/>
      <c r="AH160" s="231"/>
    </row>
    <row r="161" spans="1:34" s="203" customFormat="1">
      <c r="A161" s="120">
        <v>3</v>
      </c>
      <c r="B161" s="47" t="s">
        <v>136</v>
      </c>
      <c r="C161" s="47"/>
      <c r="D161" s="47"/>
      <c r="E161" s="114">
        <v>5604</v>
      </c>
      <c r="F161" s="52">
        <v>5757</v>
      </c>
      <c r="G161" s="118"/>
      <c r="H161" s="122">
        <v>4673</v>
      </c>
      <c r="I161" s="29"/>
      <c r="J161" s="231"/>
      <c r="K161" s="231"/>
      <c r="L161" s="231"/>
      <c r="M161" s="231"/>
      <c r="N161" s="231"/>
      <c r="O161" s="231"/>
      <c r="P161" s="231"/>
      <c r="Q161" s="231"/>
      <c r="R161" s="231"/>
      <c r="S161" s="231"/>
      <c r="T161" s="231"/>
      <c r="U161" s="231"/>
      <c r="V161" s="231"/>
      <c r="W161" s="231"/>
      <c r="X161" s="231"/>
      <c r="Y161" s="231"/>
      <c r="Z161" s="231"/>
      <c r="AA161" s="231"/>
      <c r="AB161" s="231"/>
      <c r="AC161" s="231"/>
      <c r="AD161" s="231"/>
      <c r="AE161" s="231"/>
      <c r="AF161" s="231"/>
      <c r="AG161" s="231"/>
      <c r="AH161" s="231"/>
    </row>
    <row r="162" spans="1:34" s="203" customFormat="1">
      <c r="A162" s="120">
        <v>4</v>
      </c>
      <c r="B162" s="47" t="s">
        <v>137</v>
      </c>
      <c r="C162" s="47"/>
      <c r="D162" s="47"/>
      <c r="E162" s="114">
        <v>2992</v>
      </c>
      <c r="F162" s="52">
        <v>2773</v>
      </c>
      <c r="G162" s="118"/>
      <c r="H162" s="100">
        <v>2837</v>
      </c>
      <c r="I162" s="29"/>
      <c r="J162" s="231"/>
      <c r="K162" s="231"/>
      <c r="L162" s="231"/>
      <c r="M162" s="231"/>
      <c r="N162" s="231"/>
      <c r="O162" s="231"/>
      <c r="P162" s="231"/>
      <c r="Q162" s="231"/>
      <c r="R162" s="231"/>
      <c r="S162" s="231"/>
      <c r="T162" s="231"/>
      <c r="U162" s="231"/>
      <c r="V162" s="231"/>
      <c r="W162" s="231"/>
      <c r="X162" s="231"/>
      <c r="Y162" s="231"/>
      <c r="Z162" s="231"/>
      <c r="AA162" s="231"/>
      <c r="AB162" s="231"/>
      <c r="AC162" s="231"/>
      <c r="AD162" s="231"/>
      <c r="AE162" s="231"/>
      <c r="AF162" s="231"/>
      <c r="AG162" s="231"/>
      <c r="AH162" s="231"/>
    </row>
    <row r="163" spans="1:34" s="203" customFormat="1">
      <c r="A163" s="120">
        <v>5</v>
      </c>
      <c r="B163" s="116" t="s">
        <v>138</v>
      </c>
      <c r="C163" s="116"/>
      <c r="D163" s="116"/>
      <c r="E163" s="80">
        <v>10897</v>
      </c>
      <c r="F163" s="142">
        <f>SUM(F159:F162)</f>
        <v>10761</v>
      </c>
      <c r="G163" s="118"/>
      <c r="H163" s="142">
        <f>SUM(H159:H162)</f>
        <v>9742</v>
      </c>
      <c r="I163" s="29"/>
      <c r="J163" s="231"/>
      <c r="K163" s="231"/>
      <c r="L163" s="231"/>
      <c r="M163" s="231"/>
      <c r="N163" s="231"/>
      <c r="O163" s="231"/>
      <c r="P163" s="231"/>
      <c r="Q163" s="231"/>
      <c r="R163" s="231"/>
      <c r="S163" s="231"/>
      <c r="T163" s="231"/>
      <c r="U163" s="231"/>
      <c r="V163" s="231"/>
      <c r="W163" s="231"/>
      <c r="X163" s="231"/>
      <c r="Y163" s="231"/>
      <c r="Z163" s="231"/>
      <c r="AA163" s="231"/>
      <c r="AB163" s="231"/>
      <c r="AC163" s="231"/>
      <c r="AD163" s="231"/>
      <c r="AE163" s="231"/>
      <c r="AF163" s="231"/>
      <c r="AG163" s="231"/>
      <c r="AH163" s="231"/>
    </row>
    <row r="164" spans="1:34" s="203" customFormat="1">
      <c r="A164" s="46"/>
      <c r="B164" s="132"/>
      <c r="C164" s="132"/>
      <c r="D164" s="132"/>
      <c r="E164" s="156"/>
      <c r="F164" s="139"/>
      <c r="G164" s="139"/>
      <c r="H164" s="139"/>
      <c r="I164" s="29"/>
      <c r="J164" s="231"/>
      <c r="K164" s="231"/>
      <c r="L164" s="231"/>
      <c r="M164" s="231"/>
      <c r="N164" s="231"/>
      <c r="O164" s="231"/>
      <c r="P164" s="231"/>
      <c r="Q164" s="231"/>
      <c r="R164" s="231"/>
      <c r="S164" s="231"/>
      <c r="T164" s="231"/>
      <c r="U164" s="231"/>
      <c r="V164" s="231"/>
      <c r="W164" s="231"/>
      <c r="X164" s="231"/>
      <c r="Y164" s="231"/>
      <c r="Z164" s="231"/>
      <c r="AA164" s="231"/>
      <c r="AB164" s="231"/>
      <c r="AC164" s="231"/>
      <c r="AD164" s="231"/>
      <c r="AE164" s="231"/>
      <c r="AF164" s="231"/>
      <c r="AG164" s="231"/>
      <c r="AH164" s="231"/>
    </row>
    <row r="165" spans="1:34" s="203" customFormat="1">
      <c r="A165" s="119" t="s">
        <v>139</v>
      </c>
      <c r="B165" s="47"/>
      <c r="C165" s="47"/>
      <c r="D165" s="47"/>
      <c r="E165" s="140"/>
      <c r="F165" s="146"/>
      <c r="G165" s="118"/>
      <c r="H165" s="146"/>
      <c r="I165" s="29"/>
      <c r="J165" s="231"/>
      <c r="K165" s="231"/>
      <c r="L165" s="231"/>
      <c r="M165" s="231"/>
      <c r="N165" s="231"/>
      <c r="O165" s="231"/>
      <c r="P165" s="231"/>
      <c r="Q165" s="231"/>
      <c r="R165" s="231"/>
      <c r="S165" s="231"/>
      <c r="T165" s="231"/>
      <c r="U165" s="231"/>
      <c r="V165" s="231"/>
      <c r="W165" s="231"/>
      <c r="X165" s="231"/>
      <c r="Y165" s="231"/>
      <c r="Z165" s="231"/>
      <c r="AA165" s="231"/>
      <c r="AB165" s="231"/>
      <c r="AC165" s="231"/>
      <c r="AD165" s="231"/>
      <c r="AE165" s="231"/>
      <c r="AF165" s="231"/>
      <c r="AG165" s="231"/>
      <c r="AH165" s="231"/>
    </row>
    <row r="166" spans="1:34" s="203" customFormat="1">
      <c r="A166" s="120">
        <v>6</v>
      </c>
      <c r="B166" s="47" t="s">
        <v>140</v>
      </c>
      <c r="C166" s="47"/>
      <c r="D166" s="47"/>
      <c r="E166" s="74">
        <v>413</v>
      </c>
      <c r="F166" s="52">
        <v>434</v>
      </c>
      <c r="G166" s="118"/>
      <c r="H166" s="122">
        <v>453</v>
      </c>
      <c r="I166" s="29"/>
      <c r="J166" s="231"/>
      <c r="K166" s="231"/>
      <c r="L166" s="231"/>
      <c r="M166" s="231"/>
      <c r="N166" s="231"/>
      <c r="O166" s="231"/>
      <c r="P166" s="231"/>
      <c r="Q166" s="231"/>
      <c r="R166" s="231"/>
      <c r="S166" s="231"/>
      <c r="T166" s="231"/>
      <c r="U166" s="231"/>
      <c r="V166" s="231"/>
      <c r="W166" s="231"/>
      <c r="X166" s="231"/>
      <c r="Y166" s="231"/>
      <c r="Z166" s="231"/>
      <c r="AA166" s="231"/>
      <c r="AB166" s="231"/>
      <c r="AC166" s="231"/>
      <c r="AD166" s="231"/>
      <c r="AE166" s="231"/>
      <c r="AF166" s="231"/>
      <c r="AG166" s="231"/>
      <c r="AH166" s="231"/>
    </row>
    <row r="167" spans="1:34" s="203" customFormat="1">
      <c r="A167" s="120">
        <v>7</v>
      </c>
      <c r="B167" s="47" t="s">
        <v>141</v>
      </c>
      <c r="C167" s="47"/>
      <c r="D167" s="47"/>
      <c r="E167" s="49">
        <v>0</v>
      </c>
      <c r="F167" s="52">
        <v>0</v>
      </c>
      <c r="G167" s="118"/>
      <c r="H167" s="122">
        <v>0</v>
      </c>
      <c r="I167" s="29"/>
      <c r="J167" s="231"/>
      <c r="K167" s="231"/>
      <c r="L167" s="231"/>
      <c r="M167" s="231"/>
      <c r="N167" s="231"/>
      <c r="O167" s="231"/>
      <c r="P167" s="231"/>
      <c r="Q167" s="231"/>
      <c r="R167" s="231"/>
      <c r="S167" s="231"/>
      <c r="T167" s="231"/>
      <c r="U167" s="231"/>
      <c r="V167" s="231"/>
      <c r="W167" s="231"/>
      <c r="X167" s="231"/>
      <c r="Y167" s="231"/>
      <c r="Z167" s="231"/>
      <c r="AA167" s="231"/>
      <c r="AB167" s="231"/>
      <c r="AC167" s="231"/>
      <c r="AD167" s="231"/>
      <c r="AE167" s="231"/>
      <c r="AF167" s="231"/>
      <c r="AG167" s="231"/>
      <c r="AH167" s="231"/>
    </row>
    <row r="168" spans="1:34" s="203" customFormat="1">
      <c r="A168" s="120">
        <v>8</v>
      </c>
      <c r="B168" s="47" t="s">
        <v>121</v>
      </c>
      <c r="C168" s="47"/>
      <c r="D168" s="47"/>
      <c r="E168" s="49">
        <v>443</v>
      </c>
      <c r="F168" s="52">
        <v>397</v>
      </c>
      <c r="G168" s="118"/>
      <c r="H168" s="100">
        <v>340</v>
      </c>
      <c r="I168" s="29"/>
      <c r="J168" s="231"/>
      <c r="K168" s="231"/>
      <c r="L168" s="231"/>
      <c r="M168" s="231"/>
      <c r="N168" s="231"/>
      <c r="O168" s="231"/>
      <c r="P168" s="231"/>
      <c r="Q168" s="231"/>
      <c r="R168" s="231"/>
      <c r="S168" s="231"/>
      <c r="T168" s="231"/>
      <c r="U168" s="231"/>
      <c r="V168" s="231"/>
      <c r="W168" s="231"/>
      <c r="X168" s="231"/>
      <c r="Y168" s="231"/>
      <c r="Z168" s="231"/>
      <c r="AA168" s="231"/>
      <c r="AB168" s="231"/>
      <c r="AC168" s="231"/>
      <c r="AD168" s="231"/>
      <c r="AE168" s="231"/>
      <c r="AF168" s="231"/>
      <c r="AG168" s="231"/>
      <c r="AH168" s="231"/>
    </row>
    <row r="169" spans="1:34" s="203" customFormat="1">
      <c r="A169" s="120">
        <v>9</v>
      </c>
      <c r="B169" s="116" t="s">
        <v>142</v>
      </c>
      <c r="C169" s="116"/>
      <c r="D169" s="116"/>
      <c r="E169" s="80">
        <v>856</v>
      </c>
      <c r="F169" s="142">
        <f>SUM(F166:F168)</f>
        <v>831</v>
      </c>
      <c r="G169" s="118"/>
      <c r="H169" s="142">
        <f>SUM(H166:H168)</f>
        <v>793</v>
      </c>
      <c r="I169" s="29"/>
      <c r="J169" s="231"/>
      <c r="K169" s="231"/>
      <c r="L169" s="231"/>
      <c r="M169" s="231"/>
      <c r="N169" s="231"/>
      <c r="O169" s="231"/>
      <c r="P169" s="231"/>
      <c r="Q169" s="231"/>
      <c r="R169" s="231"/>
      <c r="S169" s="231"/>
      <c r="T169" s="231"/>
      <c r="U169" s="231"/>
      <c r="V169" s="231"/>
      <c r="W169" s="231"/>
      <c r="X169" s="231"/>
      <c r="Y169" s="231"/>
      <c r="Z169" s="231"/>
      <c r="AA169" s="231"/>
      <c r="AB169" s="231"/>
      <c r="AC169" s="231"/>
      <c r="AD169" s="231"/>
      <c r="AE169" s="231"/>
      <c r="AF169" s="231"/>
      <c r="AG169" s="231"/>
      <c r="AH169" s="231"/>
    </row>
    <row r="170" spans="1:34" s="203" customFormat="1">
      <c r="A170" s="46"/>
      <c r="B170" s="132"/>
      <c r="C170" s="132"/>
      <c r="D170" s="132"/>
      <c r="E170" s="156"/>
      <c r="F170" s="139"/>
      <c r="G170" s="139"/>
      <c r="H170" s="139"/>
      <c r="I170" s="29"/>
      <c r="J170" s="231"/>
      <c r="K170" s="231"/>
      <c r="L170" s="231"/>
      <c r="M170" s="231"/>
      <c r="N170" s="231"/>
      <c r="O170" s="231"/>
      <c r="P170" s="231"/>
      <c r="Q170" s="231"/>
      <c r="R170" s="231"/>
      <c r="S170" s="231"/>
      <c r="T170" s="231"/>
      <c r="U170" s="231"/>
      <c r="V170" s="231"/>
      <c r="W170" s="231"/>
      <c r="X170" s="231"/>
      <c r="Y170" s="231"/>
      <c r="Z170" s="231"/>
      <c r="AA170" s="231"/>
      <c r="AB170" s="231"/>
      <c r="AC170" s="231"/>
      <c r="AD170" s="231"/>
      <c r="AE170" s="231"/>
      <c r="AF170" s="231"/>
      <c r="AG170" s="231"/>
      <c r="AH170" s="231"/>
    </row>
    <row r="171" spans="1:34" s="203" customFormat="1">
      <c r="A171" s="120">
        <v>10</v>
      </c>
      <c r="B171" s="47" t="s">
        <v>143</v>
      </c>
      <c r="C171" s="47"/>
      <c r="D171" s="47"/>
      <c r="E171" s="41">
        <v>140</v>
      </c>
      <c r="F171" s="121">
        <v>144</v>
      </c>
      <c r="G171" s="118"/>
      <c r="H171" s="133">
        <v>148</v>
      </c>
      <c r="I171" s="29"/>
      <c r="J171" s="231"/>
      <c r="K171" s="231"/>
      <c r="L171" s="231"/>
      <c r="M171" s="231"/>
      <c r="N171" s="231"/>
      <c r="O171" s="231"/>
      <c r="P171" s="231"/>
      <c r="Q171" s="231"/>
      <c r="R171" s="231"/>
      <c r="S171" s="231"/>
      <c r="T171" s="231"/>
      <c r="U171" s="231"/>
      <c r="V171" s="231"/>
      <c r="W171" s="231"/>
      <c r="X171" s="231"/>
      <c r="Y171" s="231"/>
      <c r="Z171" s="231"/>
      <c r="AA171" s="231"/>
      <c r="AB171" s="231"/>
      <c r="AC171" s="231"/>
      <c r="AD171" s="231"/>
      <c r="AE171" s="231"/>
      <c r="AF171" s="231"/>
      <c r="AG171" s="231"/>
      <c r="AH171" s="231"/>
    </row>
    <row r="172" spans="1:34" s="203" customFormat="1">
      <c r="A172" s="120">
        <v>11</v>
      </c>
      <c r="B172" s="47" t="s">
        <v>144</v>
      </c>
      <c r="C172" s="47"/>
      <c r="D172" s="47"/>
      <c r="E172" s="56">
        <v>0</v>
      </c>
      <c r="F172" s="126">
        <v>0</v>
      </c>
      <c r="G172" s="118"/>
      <c r="H172" s="100">
        <v>0</v>
      </c>
      <c r="I172" s="29"/>
      <c r="J172" s="231"/>
      <c r="K172" s="231"/>
      <c r="L172" s="231"/>
      <c r="M172" s="231"/>
      <c r="N172" s="231"/>
      <c r="O172" s="231"/>
      <c r="P172" s="231"/>
      <c r="Q172" s="231"/>
      <c r="R172" s="231"/>
      <c r="S172" s="231"/>
      <c r="T172" s="231"/>
      <c r="U172" s="231"/>
      <c r="V172" s="231"/>
      <c r="W172" s="231"/>
      <c r="X172" s="231"/>
      <c r="Y172" s="231"/>
      <c r="Z172" s="231"/>
      <c r="AA172" s="231"/>
      <c r="AB172" s="231"/>
      <c r="AC172" s="231"/>
      <c r="AD172" s="231"/>
      <c r="AE172" s="231"/>
      <c r="AF172" s="231"/>
      <c r="AG172" s="231"/>
      <c r="AH172" s="231"/>
    </row>
    <row r="173" spans="1:34" s="203" customFormat="1">
      <c r="A173" s="46"/>
      <c r="B173" s="132"/>
      <c r="C173" s="132"/>
      <c r="D173" s="132"/>
      <c r="E173" s="156"/>
      <c r="F173" s="139"/>
      <c r="G173" s="139"/>
      <c r="H173" s="139"/>
      <c r="I173" s="29"/>
      <c r="J173" s="231"/>
      <c r="K173" s="231"/>
      <c r="L173" s="231"/>
      <c r="M173" s="231"/>
      <c r="N173" s="231"/>
      <c r="O173" s="231"/>
      <c r="P173" s="231"/>
      <c r="Q173" s="231"/>
      <c r="R173" s="231"/>
      <c r="S173" s="231"/>
      <c r="T173" s="231"/>
      <c r="U173" s="231"/>
      <c r="V173" s="231"/>
      <c r="W173" s="231"/>
      <c r="X173" s="231"/>
      <c r="Y173" s="231"/>
      <c r="Z173" s="231"/>
      <c r="AA173" s="231"/>
      <c r="AB173" s="231"/>
      <c r="AC173" s="231"/>
      <c r="AD173" s="231"/>
      <c r="AE173" s="231"/>
      <c r="AF173" s="231"/>
      <c r="AG173" s="231"/>
      <c r="AH173" s="231"/>
    </row>
    <row r="174" spans="1:34" s="203" customFormat="1">
      <c r="A174" s="119" t="s">
        <v>145</v>
      </c>
      <c r="B174" s="47"/>
      <c r="C174" s="47"/>
      <c r="D174" s="47"/>
      <c r="E174" s="157"/>
      <c r="F174" s="146"/>
      <c r="G174" s="118"/>
      <c r="H174" s="146"/>
      <c r="I174" s="29"/>
      <c r="J174" s="231"/>
      <c r="K174" s="231"/>
      <c r="L174" s="231"/>
      <c r="M174" s="231"/>
      <c r="N174" s="231"/>
      <c r="O174" s="231"/>
      <c r="P174" s="231"/>
      <c r="Q174" s="231"/>
      <c r="R174" s="231"/>
      <c r="S174" s="231"/>
      <c r="T174" s="231"/>
      <c r="U174" s="231"/>
      <c r="V174" s="231"/>
      <c r="W174" s="231"/>
      <c r="X174" s="231"/>
      <c r="Y174" s="231"/>
      <c r="Z174" s="231"/>
      <c r="AA174" s="231"/>
      <c r="AB174" s="231"/>
      <c r="AC174" s="231"/>
      <c r="AD174" s="231"/>
      <c r="AE174" s="231"/>
      <c r="AF174" s="231"/>
      <c r="AG174" s="231"/>
      <c r="AH174" s="231"/>
    </row>
    <row r="175" spans="1:34" s="203" customFormat="1">
      <c r="A175" s="120">
        <v>12</v>
      </c>
      <c r="B175" s="47" t="s">
        <v>146</v>
      </c>
      <c r="C175" s="47"/>
      <c r="D175" s="47"/>
      <c r="E175" s="74">
        <v>618</v>
      </c>
      <c r="F175" s="52">
        <v>458</v>
      </c>
      <c r="G175" s="118"/>
      <c r="H175" s="122">
        <v>472</v>
      </c>
      <c r="I175" s="29"/>
      <c r="J175" s="231"/>
      <c r="K175" s="231"/>
      <c r="L175" s="231"/>
      <c r="M175" s="231"/>
      <c r="N175" s="231"/>
      <c r="O175" s="231"/>
      <c r="P175" s="231"/>
      <c r="Q175" s="231"/>
      <c r="R175" s="231"/>
      <c r="S175" s="231"/>
      <c r="T175" s="231"/>
      <c r="U175" s="231"/>
      <c r="V175" s="231"/>
      <c r="W175" s="231"/>
      <c r="X175" s="231"/>
      <c r="Y175" s="231"/>
      <c r="Z175" s="231"/>
      <c r="AA175" s="231"/>
      <c r="AB175" s="231"/>
      <c r="AC175" s="231"/>
      <c r="AD175" s="231"/>
      <c r="AE175" s="231"/>
      <c r="AF175" s="231"/>
      <c r="AG175" s="231"/>
      <c r="AH175" s="231"/>
    </row>
    <row r="176" spans="1:34" s="203" customFormat="1">
      <c r="A176" s="120">
        <v>13</v>
      </c>
      <c r="B176" s="47" t="s">
        <v>147</v>
      </c>
      <c r="C176" s="47"/>
      <c r="D176" s="47"/>
      <c r="E176" s="49">
        <v>1967</v>
      </c>
      <c r="F176" s="52">
        <v>2227</v>
      </c>
      <c r="G176" s="118"/>
      <c r="H176" s="122">
        <v>2113</v>
      </c>
      <c r="I176" s="29"/>
      <c r="J176" s="231"/>
      <c r="K176" s="231"/>
      <c r="L176" s="231"/>
      <c r="M176" s="231"/>
      <c r="N176" s="231"/>
      <c r="O176" s="231"/>
      <c r="P176" s="231"/>
      <c r="Q176" s="231"/>
      <c r="R176" s="231"/>
      <c r="S176" s="231"/>
      <c r="T176" s="231"/>
      <c r="U176" s="231"/>
      <c r="V176" s="231"/>
      <c r="W176" s="231"/>
      <c r="X176" s="231"/>
      <c r="Y176" s="231"/>
      <c r="Z176" s="231"/>
      <c r="AA176" s="231"/>
      <c r="AB176" s="231"/>
      <c r="AC176" s="231"/>
      <c r="AD176" s="231"/>
      <c r="AE176" s="231"/>
      <c r="AF176" s="231"/>
      <c r="AG176" s="231"/>
      <c r="AH176" s="231"/>
    </row>
    <row r="177" spans="1:34" s="203" customFormat="1">
      <c r="A177" s="120">
        <v>14</v>
      </c>
      <c r="B177" s="47" t="s">
        <v>148</v>
      </c>
      <c r="C177" s="47"/>
      <c r="D177" s="47"/>
      <c r="E177" s="56">
        <v>339</v>
      </c>
      <c r="F177" s="52">
        <v>305</v>
      </c>
      <c r="G177" s="118"/>
      <c r="H177" s="100">
        <v>338</v>
      </c>
      <c r="I177" s="29"/>
      <c r="J177" s="231"/>
      <c r="K177" s="231"/>
      <c r="L177" s="231"/>
      <c r="M177" s="231"/>
      <c r="N177" s="231"/>
      <c r="O177" s="231"/>
      <c r="P177" s="231"/>
      <c r="Q177" s="231"/>
      <c r="R177" s="231"/>
      <c r="S177" s="231"/>
      <c r="T177" s="231"/>
      <c r="U177" s="231"/>
      <c r="V177" s="231"/>
      <c r="W177" s="231"/>
      <c r="X177" s="231"/>
      <c r="Y177" s="231"/>
      <c r="Z177" s="231"/>
      <c r="AA177" s="231"/>
      <c r="AB177" s="231"/>
      <c r="AC177" s="231"/>
      <c r="AD177" s="231"/>
      <c r="AE177" s="231"/>
      <c r="AF177" s="231"/>
      <c r="AG177" s="231"/>
      <c r="AH177" s="231"/>
    </row>
    <row r="178" spans="1:34" s="203" customFormat="1">
      <c r="A178" s="120">
        <v>15</v>
      </c>
      <c r="B178" s="116" t="s">
        <v>149</v>
      </c>
      <c r="C178" s="116"/>
      <c r="D178" s="116"/>
      <c r="E178" s="80">
        <v>2924</v>
      </c>
      <c r="F178" s="142">
        <f>SUM(F175:F177)</f>
        <v>2990</v>
      </c>
      <c r="G178" s="118"/>
      <c r="H178" s="142">
        <f>SUM(H175:H177)</f>
        <v>2923</v>
      </c>
      <c r="I178" s="29"/>
      <c r="J178" s="231"/>
      <c r="K178" s="231"/>
      <c r="L178" s="231"/>
      <c r="M178" s="231"/>
      <c r="N178" s="231"/>
      <c r="O178" s="231"/>
      <c r="P178" s="231"/>
      <c r="Q178" s="231"/>
      <c r="R178" s="231"/>
      <c r="S178" s="231"/>
      <c r="T178" s="231"/>
      <c r="U178" s="231"/>
      <c r="V178" s="231"/>
      <c r="W178" s="231"/>
      <c r="X178" s="231"/>
      <c r="Y178" s="231"/>
      <c r="Z178" s="231"/>
      <c r="AA178" s="231"/>
      <c r="AB178" s="231"/>
      <c r="AC178" s="231"/>
      <c r="AD178" s="231"/>
      <c r="AE178" s="231"/>
      <c r="AF178" s="231"/>
      <c r="AG178" s="231"/>
      <c r="AH178" s="231"/>
    </row>
    <row r="179" spans="1:34" s="203" customFormat="1">
      <c r="A179" s="120">
        <v>16</v>
      </c>
      <c r="B179" s="116" t="s">
        <v>150</v>
      </c>
      <c r="C179" s="116"/>
      <c r="D179" s="116"/>
      <c r="E179" s="80">
        <v>2924</v>
      </c>
      <c r="F179" s="158">
        <f>F172+F178</f>
        <v>2990</v>
      </c>
      <c r="G179" s="118"/>
      <c r="H179" s="158">
        <f>H172+H178</f>
        <v>2923</v>
      </c>
      <c r="I179" s="29"/>
      <c r="J179" s="231"/>
      <c r="K179" s="231"/>
      <c r="L179" s="231"/>
      <c r="M179" s="231"/>
      <c r="N179" s="231"/>
      <c r="O179" s="231"/>
      <c r="P179" s="231"/>
      <c r="Q179" s="231"/>
      <c r="R179" s="231"/>
      <c r="S179" s="231"/>
      <c r="T179" s="231"/>
      <c r="U179" s="231"/>
      <c r="V179" s="231"/>
      <c r="W179" s="231"/>
      <c r="X179" s="231"/>
      <c r="Y179" s="231"/>
      <c r="Z179" s="231"/>
      <c r="AA179" s="231"/>
      <c r="AB179" s="231"/>
      <c r="AC179" s="231"/>
      <c r="AD179" s="231"/>
      <c r="AE179" s="231"/>
      <c r="AF179" s="231"/>
      <c r="AG179" s="231"/>
      <c r="AH179" s="231"/>
    </row>
    <row r="180" spans="1:34" s="203" customFormat="1">
      <c r="A180" s="120">
        <v>17</v>
      </c>
      <c r="B180" s="116" t="s">
        <v>151</v>
      </c>
      <c r="C180" s="116"/>
      <c r="D180" s="116"/>
      <c r="E180" s="159">
        <v>14817</v>
      </c>
      <c r="F180" s="61">
        <f>SUM(F163+F169+F171+F179)</f>
        <v>14726</v>
      </c>
      <c r="G180" s="118"/>
      <c r="H180" s="61">
        <f>SUM(H163+H169+H171+H179)</f>
        <v>13606</v>
      </c>
      <c r="I180" s="29"/>
      <c r="J180" s="231"/>
      <c r="K180" s="231"/>
      <c r="L180" s="231"/>
      <c r="M180" s="231"/>
      <c r="N180" s="231"/>
      <c r="O180" s="231"/>
      <c r="P180" s="231"/>
      <c r="Q180" s="231"/>
      <c r="R180" s="231"/>
      <c r="S180" s="231"/>
      <c r="T180" s="231"/>
      <c r="U180" s="231"/>
      <c r="V180" s="231"/>
      <c r="W180" s="231"/>
      <c r="X180" s="231"/>
      <c r="Y180" s="231"/>
      <c r="Z180" s="231"/>
      <c r="AA180" s="231"/>
      <c r="AB180" s="231"/>
      <c r="AC180" s="231"/>
      <c r="AD180" s="231"/>
      <c r="AE180" s="231"/>
      <c r="AF180" s="231"/>
      <c r="AG180" s="231"/>
      <c r="AH180" s="231"/>
    </row>
    <row r="181" spans="1:34" s="203" customFormat="1">
      <c r="A181" s="46"/>
      <c r="B181" s="132"/>
      <c r="C181" s="132"/>
      <c r="D181" s="132"/>
      <c r="E181" s="156"/>
      <c r="F181" s="139"/>
      <c r="G181" s="139"/>
      <c r="H181" s="139"/>
      <c r="I181" s="29"/>
      <c r="J181" s="231"/>
      <c r="K181" s="231"/>
      <c r="L181" s="231"/>
      <c r="M181" s="231"/>
      <c r="N181" s="231"/>
      <c r="O181" s="231"/>
      <c r="P181" s="231"/>
      <c r="Q181" s="231"/>
      <c r="R181" s="231"/>
      <c r="S181" s="231"/>
      <c r="T181" s="231"/>
      <c r="U181" s="231"/>
      <c r="V181" s="231"/>
      <c r="W181" s="231"/>
      <c r="X181" s="231"/>
      <c r="Y181" s="231"/>
      <c r="Z181" s="231"/>
      <c r="AA181" s="231"/>
      <c r="AB181" s="231"/>
      <c r="AC181" s="231"/>
      <c r="AD181" s="231"/>
      <c r="AE181" s="231"/>
      <c r="AF181" s="231"/>
      <c r="AG181" s="231"/>
      <c r="AH181" s="231"/>
    </row>
    <row r="182" spans="1:34" s="203" customFormat="1">
      <c r="A182" s="119" t="s">
        <v>152</v>
      </c>
      <c r="B182" s="47"/>
      <c r="C182" s="47"/>
      <c r="D182" s="116"/>
      <c r="E182" s="117"/>
      <c r="F182" s="118"/>
      <c r="G182" s="118"/>
      <c r="H182" s="118"/>
      <c r="I182" s="29"/>
      <c r="J182" s="231"/>
      <c r="K182" s="231"/>
      <c r="L182" s="231"/>
      <c r="M182" s="231"/>
      <c r="N182" s="231"/>
      <c r="O182" s="231"/>
      <c r="P182" s="231"/>
      <c r="Q182" s="231"/>
      <c r="R182" s="231"/>
      <c r="S182" s="231"/>
      <c r="T182" s="231"/>
      <c r="U182" s="231"/>
      <c r="V182" s="231"/>
      <c r="W182" s="231"/>
      <c r="X182" s="231"/>
      <c r="Y182" s="231"/>
      <c r="Z182" s="231"/>
      <c r="AA182" s="231"/>
      <c r="AB182" s="231"/>
      <c r="AC182" s="231"/>
      <c r="AD182" s="231"/>
      <c r="AE182" s="231"/>
      <c r="AF182" s="231"/>
      <c r="AG182" s="231"/>
      <c r="AH182" s="231"/>
    </row>
    <row r="183" spans="1:34" s="203" customFormat="1">
      <c r="A183" s="120">
        <v>18</v>
      </c>
      <c r="B183" s="47" t="s">
        <v>153</v>
      </c>
      <c r="C183" s="47"/>
      <c r="D183" s="47"/>
      <c r="E183" s="41">
        <v>1774</v>
      </c>
      <c r="F183" s="121">
        <v>2052</v>
      </c>
      <c r="G183" s="118"/>
      <c r="H183" s="133">
        <v>1812</v>
      </c>
      <c r="I183" s="29"/>
      <c r="J183" s="231"/>
      <c r="K183" s="231"/>
      <c r="L183" s="231"/>
      <c r="M183" s="231"/>
      <c r="N183" s="231"/>
      <c r="O183" s="231"/>
      <c r="P183" s="231"/>
      <c r="Q183" s="231"/>
      <c r="R183" s="231"/>
      <c r="S183" s="231"/>
      <c r="T183" s="231"/>
      <c r="U183" s="231"/>
      <c r="V183" s="231"/>
      <c r="W183" s="231"/>
      <c r="X183" s="231"/>
      <c r="Y183" s="231"/>
      <c r="Z183" s="231"/>
      <c r="AA183" s="231"/>
      <c r="AB183" s="231"/>
      <c r="AC183" s="231"/>
      <c r="AD183" s="231"/>
      <c r="AE183" s="231"/>
      <c r="AF183" s="231"/>
      <c r="AG183" s="231"/>
      <c r="AH183" s="231"/>
    </row>
    <row r="184" spans="1:34" s="203" customFormat="1">
      <c r="A184" s="120">
        <v>19</v>
      </c>
      <c r="B184" s="47" t="s">
        <v>154</v>
      </c>
      <c r="C184" s="47"/>
      <c r="D184" s="47"/>
      <c r="E184" s="49">
        <v>0</v>
      </c>
      <c r="F184" s="52">
        <v>0</v>
      </c>
      <c r="G184" s="118"/>
      <c r="H184" s="122">
        <v>0</v>
      </c>
      <c r="I184" s="29"/>
      <c r="J184" s="231"/>
      <c r="K184" s="231"/>
      <c r="L184" s="231"/>
      <c r="M184" s="231"/>
      <c r="N184" s="231"/>
      <c r="O184" s="231"/>
      <c r="P184" s="231"/>
      <c r="Q184" s="231"/>
      <c r="R184" s="231"/>
      <c r="S184" s="231"/>
      <c r="T184" s="231"/>
      <c r="U184" s="231"/>
      <c r="V184" s="231"/>
      <c r="W184" s="231"/>
      <c r="X184" s="231"/>
      <c r="Y184" s="231"/>
      <c r="Z184" s="231"/>
      <c r="AA184" s="231"/>
      <c r="AB184" s="231"/>
      <c r="AC184" s="231"/>
      <c r="AD184" s="231"/>
      <c r="AE184" s="231"/>
      <c r="AF184" s="231"/>
      <c r="AG184" s="231"/>
      <c r="AH184" s="231"/>
    </row>
    <row r="185" spans="1:34" s="203" customFormat="1">
      <c r="A185" s="120">
        <v>20</v>
      </c>
      <c r="B185" s="47" t="s">
        <v>155</v>
      </c>
      <c r="C185" s="47"/>
      <c r="D185" s="47"/>
      <c r="E185" s="49">
        <v>167</v>
      </c>
      <c r="F185" s="52">
        <v>202</v>
      </c>
      <c r="G185" s="118"/>
      <c r="H185" s="122">
        <v>206</v>
      </c>
      <c r="I185" s="29"/>
      <c r="J185" s="231"/>
      <c r="K185" s="231"/>
      <c r="L185" s="231"/>
      <c r="M185" s="231"/>
      <c r="N185" s="231"/>
      <c r="O185" s="231"/>
      <c r="P185" s="231"/>
      <c r="Q185" s="231"/>
      <c r="R185" s="231"/>
      <c r="S185" s="231"/>
      <c r="T185" s="231"/>
      <c r="U185" s="231"/>
      <c r="V185" s="231"/>
      <c r="W185" s="231"/>
      <c r="X185" s="231"/>
      <c r="Y185" s="231"/>
      <c r="Z185" s="231"/>
      <c r="AA185" s="231"/>
      <c r="AB185" s="231"/>
      <c r="AC185" s="231"/>
      <c r="AD185" s="231"/>
      <c r="AE185" s="231"/>
      <c r="AF185" s="231"/>
      <c r="AG185" s="231"/>
      <c r="AH185" s="231"/>
    </row>
    <row r="186" spans="1:34" s="203" customFormat="1">
      <c r="A186" s="120">
        <v>21</v>
      </c>
      <c r="B186" s="47" t="s">
        <v>156</v>
      </c>
      <c r="C186" s="47"/>
      <c r="D186" s="47"/>
      <c r="E186" s="49">
        <v>0</v>
      </c>
      <c r="F186" s="52">
        <v>0</v>
      </c>
      <c r="G186" s="118"/>
      <c r="H186" s="122">
        <v>0</v>
      </c>
      <c r="I186" s="29"/>
      <c r="J186" s="231"/>
      <c r="K186" s="231"/>
      <c r="L186" s="231"/>
      <c r="M186" s="231"/>
      <c r="N186" s="231"/>
      <c r="O186" s="231"/>
      <c r="P186" s="231"/>
      <c r="Q186" s="231"/>
      <c r="R186" s="231"/>
      <c r="S186" s="231"/>
      <c r="T186" s="231"/>
      <c r="U186" s="231"/>
      <c r="V186" s="231"/>
      <c r="W186" s="231"/>
      <c r="X186" s="231"/>
      <c r="Y186" s="231"/>
      <c r="Z186" s="231"/>
      <c r="AA186" s="231"/>
      <c r="AB186" s="231"/>
      <c r="AC186" s="231"/>
      <c r="AD186" s="231"/>
      <c r="AE186" s="231"/>
      <c r="AF186" s="231"/>
      <c r="AG186" s="231"/>
      <c r="AH186" s="231"/>
    </row>
    <row r="187" spans="1:34" s="203" customFormat="1">
      <c r="A187" s="120">
        <v>22</v>
      </c>
      <c r="B187" s="47" t="s">
        <v>157</v>
      </c>
      <c r="C187" s="47"/>
      <c r="D187" s="47"/>
      <c r="E187" s="49">
        <v>0</v>
      </c>
      <c r="F187" s="52">
        <v>0</v>
      </c>
      <c r="G187" s="118"/>
      <c r="H187" s="122">
        <v>0</v>
      </c>
      <c r="I187" s="29"/>
      <c r="J187" s="231"/>
      <c r="K187" s="231"/>
      <c r="L187" s="231"/>
      <c r="M187" s="231"/>
      <c r="N187" s="231"/>
      <c r="O187" s="231"/>
      <c r="P187" s="231"/>
      <c r="Q187" s="231"/>
      <c r="R187" s="231"/>
      <c r="S187" s="231"/>
      <c r="T187" s="231"/>
      <c r="U187" s="231"/>
      <c r="V187" s="231"/>
      <c r="W187" s="231"/>
      <c r="X187" s="231"/>
      <c r="Y187" s="231"/>
      <c r="Z187" s="231"/>
      <c r="AA187" s="231"/>
      <c r="AB187" s="231"/>
      <c r="AC187" s="231"/>
      <c r="AD187" s="231"/>
      <c r="AE187" s="231"/>
      <c r="AF187" s="231"/>
      <c r="AG187" s="231"/>
      <c r="AH187" s="231"/>
    </row>
    <row r="188" spans="1:34" s="203" customFormat="1">
      <c r="A188" s="120">
        <v>23</v>
      </c>
      <c r="B188" s="47" t="s">
        <v>158</v>
      </c>
      <c r="C188" s="47"/>
      <c r="D188" s="47"/>
      <c r="E188" s="49">
        <v>0</v>
      </c>
      <c r="F188" s="52">
        <v>0</v>
      </c>
      <c r="G188" s="118"/>
      <c r="H188" s="122">
        <v>0</v>
      </c>
      <c r="I188" s="29"/>
      <c r="J188" s="231"/>
      <c r="K188" s="231"/>
      <c r="L188" s="231"/>
      <c r="M188" s="231"/>
      <c r="N188" s="231"/>
      <c r="O188" s="231"/>
      <c r="P188" s="231"/>
      <c r="Q188" s="231"/>
      <c r="R188" s="231"/>
      <c r="S188" s="231"/>
      <c r="T188" s="231"/>
      <c r="U188" s="231"/>
      <c r="V188" s="231"/>
      <c r="W188" s="231"/>
      <c r="X188" s="231"/>
      <c r="Y188" s="231"/>
      <c r="Z188" s="231"/>
      <c r="AA188" s="231"/>
      <c r="AB188" s="231"/>
      <c r="AC188" s="231"/>
      <c r="AD188" s="231"/>
      <c r="AE188" s="231"/>
      <c r="AF188" s="231"/>
      <c r="AG188" s="231"/>
      <c r="AH188" s="231"/>
    </row>
    <row r="189" spans="1:34" s="203" customFormat="1">
      <c r="A189" s="120">
        <v>24</v>
      </c>
      <c r="B189" s="47" t="s">
        <v>159</v>
      </c>
      <c r="C189" s="47"/>
      <c r="D189" s="47"/>
      <c r="E189" s="49">
        <v>0</v>
      </c>
      <c r="F189" s="52">
        <v>0</v>
      </c>
      <c r="G189" s="118"/>
      <c r="H189" s="122">
        <v>0</v>
      </c>
      <c r="I189" s="29"/>
      <c r="J189" s="231"/>
      <c r="K189" s="231"/>
      <c r="L189" s="231"/>
      <c r="M189" s="231"/>
      <c r="N189" s="231"/>
      <c r="O189" s="231"/>
      <c r="P189" s="231"/>
      <c r="Q189" s="231"/>
      <c r="R189" s="231"/>
      <c r="S189" s="231"/>
      <c r="T189" s="231"/>
      <c r="U189" s="231"/>
      <c r="V189" s="231"/>
      <c r="W189" s="231"/>
      <c r="X189" s="231"/>
      <c r="Y189" s="231"/>
      <c r="Z189" s="231"/>
      <c r="AA189" s="231"/>
      <c r="AB189" s="231"/>
      <c r="AC189" s="231"/>
      <c r="AD189" s="231"/>
      <c r="AE189" s="231"/>
      <c r="AF189" s="231"/>
      <c r="AG189" s="231"/>
      <c r="AH189" s="231"/>
    </row>
    <row r="190" spans="1:34" s="203" customFormat="1">
      <c r="A190" s="124">
        <v>25</v>
      </c>
      <c r="B190" s="54" t="s">
        <v>160</v>
      </c>
      <c r="C190" s="54"/>
      <c r="D190" s="54"/>
      <c r="E190" s="56">
        <v>0</v>
      </c>
      <c r="F190" s="126">
        <v>0</v>
      </c>
      <c r="G190" s="118"/>
      <c r="H190" s="100">
        <v>0</v>
      </c>
      <c r="I190" s="24"/>
      <c r="J190" s="231"/>
      <c r="K190" s="231"/>
      <c r="L190" s="231"/>
      <c r="M190" s="231"/>
      <c r="N190" s="231"/>
      <c r="O190" s="231"/>
      <c r="P190" s="231"/>
      <c r="Q190" s="231"/>
      <c r="R190" s="231"/>
      <c r="S190" s="231"/>
      <c r="T190" s="231"/>
      <c r="U190" s="231"/>
      <c r="V190" s="231"/>
      <c r="W190" s="231"/>
      <c r="X190" s="231"/>
      <c r="Y190" s="231"/>
      <c r="Z190" s="231"/>
      <c r="AA190" s="231"/>
      <c r="AB190" s="231"/>
      <c r="AC190" s="231"/>
      <c r="AD190" s="231"/>
      <c r="AE190" s="231"/>
      <c r="AF190" s="231"/>
      <c r="AG190" s="231"/>
      <c r="AH190" s="231"/>
    </row>
    <row r="191" spans="1:34" s="203" customFormat="1">
      <c r="A191" s="161"/>
      <c r="B191" s="129"/>
      <c r="C191" s="129"/>
      <c r="D191" s="149"/>
      <c r="E191" s="162"/>
      <c r="F191" s="29"/>
      <c r="G191" s="29"/>
      <c r="H191" s="207"/>
      <c r="I191" s="29"/>
      <c r="J191" s="231"/>
      <c r="K191" s="231"/>
      <c r="L191" s="231"/>
      <c r="M191" s="231"/>
      <c r="N191" s="231"/>
      <c r="O191" s="231"/>
      <c r="P191" s="231"/>
      <c r="Q191" s="231"/>
      <c r="R191" s="231"/>
      <c r="S191" s="231"/>
      <c r="T191" s="231"/>
      <c r="U191" s="231"/>
      <c r="V191" s="231"/>
      <c r="W191" s="231"/>
      <c r="X191" s="231"/>
      <c r="Y191" s="231"/>
      <c r="Z191" s="231"/>
      <c r="AA191" s="231"/>
      <c r="AB191" s="231"/>
      <c r="AC191" s="231"/>
      <c r="AD191" s="231"/>
      <c r="AE191" s="231"/>
      <c r="AF191" s="231"/>
      <c r="AG191" s="231"/>
      <c r="AH191" s="231"/>
    </row>
    <row r="192" spans="1:34" s="203" customFormat="1">
      <c r="A192" s="161"/>
      <c r="B192" s="129"/>
      <c r="C192" s="129"/>
      <c r="D192" s="151"/>
      <c r="E192" s="163"/>
      <c r="F192" s="29"/>
      <c r="G192" s="29"/>
      <c r="H192" s="131" t="s">
        <v>27</v>
      </c>
      <c r="I192" s="29"/>
      <c r="J192" s="231"/>
      <c r="K192" s="231"/>
      <c r="L192" s="231"/>
      <c r="M192" s="231"/>
      <c r="N192" s="231"/>
      <c r="O192" s="231"/>
      <c r="P192" s="231"/>
      <c r="Q192" s="231"/>
      <c r="R192" s="231"/>
      <c r="S192" s="231"/>
      <c r="T192" s="231"/>
      <c r="U192" s="231"/>
      <c r="V192" s="231"/>
      <c r="W192" s="231"/>
      <c r="X192" s="231"/>
      <c r="Y192" s="231"/>
      <c r="Z192" s="231"/>
      <c r="AA192" s="231"/>
      <c r="AB192" s="231"/>
      <c r="AC192" s="231"/>
      <c r="AD192" s="231"/>
      <c r="AE192" s="231"/>
      <c r="AF192" s="231"/>
      <c r="AG192" s="231"/>
      <c r="AH192" s="231"/>
    </row>
    <row r="193" spans="1:34" s="203" customFormat="1" ht="12.75" customHeight="1">
      <c r="A193" s="106" t="s">
        <v>23</v>
      </c>
      <c r="B193" s="164"/>
      <c r="C193" s="164"/>
      <c r="D193" s="164"/>
      <c r="E193" s="856" t="s">
        <v>377</v>
      </c>
      <c r="F193" s="856" t="s">
        <v>402</v>
      </c>
      <c r="G193" s="130"/>
      <c r="H193" s="856" t="s">
        <v>403</v>
      </c>
      <c r="I193" s="130"/>
      <c r="J193" s="231"/>
      <c r="K193" s="231"/>
      <c r="L193" s="231"/>
      <c r="M193" s="231"/>
      <c r="N193" s="231"/>
      <c r="O193" s="231"/>
      <c r="P193" s="231"/>
      <c r="Q193" s="231"/>
      <c r="R193" s="231"/>
      <c r="S193" s="231"/>
      <c r="T193" s="231"/>
      <c r="U193" s="231"/>
      <c r="V193" s="231"/>
      <c r="W193" s="231"/>
      <c r="X193" s="231"/>
      <c r="Y193" s="231"/>
      <c r="Z193" s="231"/>
      <c r="AA193" s="231"/>
      <c r="AB193" s="231"/>
      <c r="AC193" s="231"/>
      <c r="AD193" s="231"/>
      <c r="AE193" s="231"/>
      <c r="AF193" s="231"/>
      <c r="AG193" s="231"/>
      <c r="AH193" s="231"/>
    </row>
    <row r="194" spans="1:34" s="203" customFormat="1" ht="23.25" customHeight="1">
      <c r="A194" s="165"/>
      <c r="B194" s="132"/>
      <c r="C194" s="132"/>
      <c r="D194" s="132"/>
      <c r="E194" s="859"/>
      <c r="F194" s="859"/>
      <c r="G194" s="130"/>
      <c r="H194" s="859"/>
      <c r="I194" s="130"/>
      <c r="J194" s="231"/>
      <c r="K194" s="231"/>
      <c r="L194" s="231"/>
      <c r="M194" s="231"/>
      <c r="N194" s="231"/>
      <c r="O194" s="231"/>
      <c r="P194" s="231"/>
      <c r="Q194" s="231"/>
      <c r="R194" s="231"/>
      <c r="S194" s="231"/>
      <c r="T194" s="231"/>
      <c r="U194" s="231"/>
      <c r="V194" s="231"/>
      <c r="W194" s="231"/>
      <c r="X194" s="231"/>
      <c r="Y194" s="231"/>
      <c r="Z194" s="231"/>
      <c r="AA194" s="231"/>
      <c r="AB194" s="231"/>
      <c r="AC194" s="231"/>
      <c r="AD194" s="231"/>
      <c r="AE194" s="231"/>
      <c r="AF194" s="231"/>
      <c r="AG194" s="231"/>
      <c r="AH194" s="231"/>
    </row>
    <row r="195" spans="1:34" s="203" customFormat="1">
      <c r="A195" s="154" t="s">
        <v>161</v>
      </c>
      <c r="B195" s="116"/>
      <c r="C195" s="116"/>
      <c r="D195" s="116"/>
      <c r="E195" s="859"/>
      <c r="F195" s="859"/>
      <c r="G195" s="130"/>
      <c r="H195" s="859"/>
      <c r="I195" s="130"/>
      <c r="J195" s="231"/>
      <c r="K195" s="231"/>
      <c r="L195" s="231"/>
      <c r="M195" s="231"/>
      <c r="N195" s="231"/>
      <c r="O195" s="231"/>
      <c r="P195" s="231"/>
      <c r="Q195" s="231"/>
      <c r="R195" s="231"/>
      <c r="S195" s="231"/>
      <c r="T195" s="231"/>
      <c r="U195" s="231"/>
      <c r="V195" s="231"/>
      <c r="W195" s="231"/>
      <c r="X195" s="231"/>
      <c r="Y195" s="231"/>
      <c r="Z195" s="231"/>
      <c r="AA195" s="231"/>
      <c r="AB195" s="231"/>
      <c r="AC195" s="231"/>
      <c r="AD195" s="231"/>
      <c r="AE195" s="231"/>
      <c r="AF195" s="231"/>
      <c r="AG195" s="231"/>
      <c r="AH195" s="231"/>
    </row>
    <row r="196" spans="1:34" s="203" customFormat="1">
      <c r="A196" s="109" t="s">
        <v>83</v>
      </c>
      <c r="B196" s="47"/>
      <c r="C196" s="47"/>
      <c r="D196" s="47"/>
      <c r="E196" s="859"/>
      <c r="F196" s="859"/>
      <c r="G196" s="130"/>
      <c r="H196" s="859"/>
      <c r="I196" s="130"/>
      <c r="J196" s="231"/>
      <c r="K196" s="231"/>
      <c r="L196" s="231"/>
      <c r="M196" s="231"/>
      <c r="N196" s="231"/>
      <c r="O196" s="231"/>
      <c r="P196" s="231"/>
      <c r="Q196" s="231"/>
      <c r="R196" s="231"/>
      <c r="S196" s="231"/>
      <c r="T196" s="231"/>
      <c r="U196" s="231"/>
      <c r="V196" s="231"/>
      <c r="W196" s="231"/>
      <c r="X196" s="231"/>
      <c r="Y196" s="231"/>
      <c r="Z196" s="231"/>
      <c r="AA196" s="231"/>
      <c r="AB196" s="231"/>
      <c r="AC196" s="231"/>
      <c r="AD196" s="231"/>
      <c r="AE196" s="231"/>
      <c r="AF196" s="231"/>
      <c r="AG196" s="231"/>
      <c r="AH196" s="231"/>
    </row>
    <row r="197" spans="1:34" s="203" customFormat="1">
      <c r="A197" s="110" t="s">
        <v>84</v>
      </c>
      <c r="B197" s="132"/>
      <c r="C197" s="132"/>
      <c r="D197" s="132"/>
      <c r="E197" s="860"/>
      <c r="F197" s="860"/>
      <c r="G197" s="130"/>
      <c r="H197" s="860"/>
      <c r="I197" s="130"/>
      <c r="J197" s="231"/>
      <c r="K197" s="231"/>
      <c r="L197" s="231"/>
      <c r="M197" s="231"/>
      <c r="N197" s="231"/>
      <c r="O197" s="231"/>
      <c r="P197" s="231"/>
      <c r="Q197" s="231"/>
      <c r="R197" s="231"/>
      <c r="S197" s="231"/>
      <c r="T197" s="231"/>
      <c r="U197" s="231"/>
      <c r="V197" s="231"/>
      <c r="W197" s="231"/>
      <c r="X197" s="231"/>
      <c r="Y197" s="231"/>
      <c r="Z197" s="231"/>
      <c r="AA197" s="231"/>
      <c r="AB197" s="231"/>
      <c r="AC197" s="231"/>
      <c r="AD197" s="231"/>
      <c r="AE197" s="231"/>
      <c r="AF197" s="231"/>
      <c r="AG197" s="231"/>
      <c r="AH197" s="231"/>
    </row>
    <row r="198" spans="1:34" s="203" customFormat="1">
      <c r="A198" s="153" t="s">
        <v>162</v>
      </c>
      <c r="B198" s="166"/>
      <c r="C198" s="166"/>
      <c r="D198" s="166"/>
      <c r="E198" s="167"/>
      <c r="F198" s="146"/>
      <c r="G198" s="118"/>
      <c r="H198" s="146"/>
      <c r="I198" s="29"/>
      <c r="J198" s="231"/>
      <c r="K198" s="231"/>
      <c r="L198" s="231"/>
      <c r="M198" s="231"/>
      <c r="N198" s="231"/>
      <c r="O198" s="231"/>
      <c r="P198" s="231"/>
      <c r="Q198" s="231"/>
      <c r="R198" s="231"/>
      <c r="S198" s="231"/>
      <c r="T198" s="231"/>
      <c r="U198" s="231"/>
      <c r="V198" s="231"/>
      <c r="W198" s="231"/>
      <c r="X198" s="231"/>
      <c r="Y198" s="231"/>
      <c r="Z198" s="231"/>
      <c r="AA198" s="231"/>
      <c r="AB198" s="231"/>
      <c r="AC198" s="231"/>
      <c r="AD198" s="231"/>
      <c r="AE198" s="231"/>
      <c r="AF198" s="231"/>
      <c r="AG198" s="231"/>
      <c r="AH198" s="231"/>
    </row>
    <row r="199" spans="1:34" s="203" customFormat="1">
      <c r="A199" s="120">
        <v>1</v>
      </c>
      <c r="B199" s="47" t="s">
        <v>163</v>
      </c>
      <c r="C199" s="47"/>
      <c r="D199" s="47"/>
      <c r="E199" s="74">
        <v>1826</v>
      </c>
      <c r="F199" s="52">
        <v>2345</v>
      </c>
      <c r="G199" s="118"/>
      <c r="H199" s="122">
        <v>1911</v>
      </c>
      <c r="I199" s="29"/>
      <c r="J199" s="231"/>
      <c r="K199" s="231"/>
      <c r="L199" s="231"/>
      <c r="M199" s="231"/>
      <c r="N199" s="231"/>
      <c r="O199" s="231"/>
      <c r="P199" s="231"/>
      <c r="Q199" s="231"/>
      <c r="R199" s="231"/>
      <c r="S199" s="231"/>
      <c r="T199" s="231"/>
      <c r="U199" s="231"/>
      <c r="V199" s="231"/>
      <c r="W199" s="231"/>
      <c r="X199" s="231"/>
      <c r="Y199" s="231"/>
      <c r="Z199" s="231"/>
      <c r="AA199" s="231"/>
      <c r="AB199" s="231"/>
      <c r="AC199" s="231"/>
      <c r="AD199" s="231"/>
      <c r="AE199" s="231"/>
      <c r="AF199" s="231"/>
      <c r="AG199" s="231"/>
      <c r="AH199" s="231"/>
    </row>
    <row r="200" spans="1:34" s="203" customFormat="1">
      <c r="A200" s="120">
        <v>2</v>
      </c>
      <c r="B200" s="47" t="s">
        <v>164</v>
      </c>
      <c r="C200" s="47"/>
      <c r="D200" s="47"/>
      <c r="E200" s="56">
        <v>0</v>
      </c>
      <c r="F200" s="52">
        <v>0</v>
      </c>
      <c r="G200" s="118"/>
      <c r="H200" s="100">
        <v>0</v>
      </c>
      <c r="I200" s="29"/>
      <c r="J200" s="231"/>
      <c r="K200" s="231"/>
      <c r="L200" s="231"/>
      <c r="M200" s="231"/>
      <c r="N200" s="231"/>
      <c r="O200" s="231"/>
      <c r="P200" s="231"/>
      <c r="Q200" s="231"/>
      <c r="R200" s="231"/>
      <c r="S200" s="231"/>
      <c r="T200" s="231"/>
      <c r="U200" s="231"/>
      <c r="V200" s="231"/>
      <c r="W200" s="231"/>
      <c r="X200" s="231"/>
      <c r="Y200" s="231"/>
      <c r="Z200" s="231"/>
      <c r="AA200" s="231"/>
      <c r="AB200" s="231"/>
      <c r="AC200" s="231"/>
      <c r="AD200" s="231"/>
      <c r="AE200" s="231"/>
      <c r="AF200" s="231"/>
      <c r="AG200" s="231"/>
      <c r="AH200" s="231"/>
    </row>
    <row r="201" spans="1:34" s="203" customFormat="1">
      <c r="A201" s="120">
        <v>3</v>
      </c>
      <c r="B201" s="116" t="s">
        <v>165</v>
      </c>
      <c r="C201" s="116"/>
      <c r="D201" s="116"/>
      <c r="E201" s="80">
        <v>1826</v>
      </c>
      <c r="F201" s="142">
        <f>SUM(F199:F200)</f>
        <v>2345</v>
      </c>
      <c r="G201" s="118"/>
      <c r="H201" s="142">
        <f>SUM(H199:H200)</f>
        <v>1911</v>
      </c>
      <c r="I201" s="29"/>
      <c r="J201" s="231"/>
      <c r="K201" s="231"/>
      <c r="L201" s="231"/>
      <c r="M201" s="231"/>
      <c r="N201" s="231"/>
      <c r="O201" s="231"/>
      <c r="P201" s="231"/>
      <c r="Q201" s="231"/>
      <c r="R201" s="231"/>
      <c r="S201" s="231"/>
      <c r="T201" s="231"/>
      <c r="U201" s="231"/>
      <c r="V201" s="231"/>
      <c r="W201" s="231"/>
      <c r="X201" s="231"/>
      <c r="Y201" s="231"/>
      <c r="Z201" s="231"/>
      <c r="AA201" s="231"/>
      <c r="AB201" s="231"/>
      <c r="AC201" s="231"/>
      <c r="AD201" s="231"/>
      <c r="AE201" s="231"/>
      <c r="AF201" s="231"/>
      <c r="AG201" s="231"/>
      <c r="AH201" s="231"/>
    </row>
    <row r="202" spans="1:34" s="203" customFormat="1">
      <c r="A202" s="46"/>
      <c r="B202" s="132"/>
      <c r="C202" s="132"/>
      <c r="D202" s="132"/>
      <c r="E202" s="156"/>
      <c r="F202" s="139"/>
      <c r="G202" s="139"/>
      <c r="H202" s="139"/>
      <c r="I202" s="29"/>
      <c r="J202" s="231"/>
      <c r="K202" s="231"/>
      <c r="L202" s="231"/>
      <c r="M202" s="231"/>
      <c r="N202" s="231"/>
      <c r="O202" s="231"/>
      <c r="P202" s="231"/>
      <c r="Q202" s="231"/>
      <c r="R202" s="231"/>
      <c r="S202" s="231"/>
      <c r="T202" s="231"/>
      <c r="U202" s="231"/>
      <c r="V202" s="231"/>
      <c r="W202" s="231"/>
      <c r="X202" s="231"/>
      <c r="Y202" s="231"/>
      <c r="Z202" s="231"/>
      <c r="AA202" s="231"/>
      <c r="AB202" s="231"/>
      <c r="AC202" s="231"/>
      <c r="AD202" s="231"/>
      <c r="AE202" s="231"/>
      <c r="AF202" s="231"/>
      <c r="AG202" s="231"/>
      <c r="AH202" s="231"/>
    </row>
    <row r="203" spans="1:34" s="203" customFormat="1">
      <c r="A203" s="153" t="s">
        <v>166</v>
      </c>
      <c r="B203" s="116"/>
      <c r="C203" s="116"/>
      <c r="D203" s="116"/>
      <c r="E203" s="140"/>
      <c r="F203" s="146"/>
      <c r="G203" s="118"/>
      <c r="H203" s="146"/>
      <c r="I203" s="29"/>
      <c r="J203" s="231"/>
      <c r="K203" s="231"/>
      <c r="L203" s="231"/>
      <c r="M203" s="231"/>
      <c r="N203" s="231"/>
      <c r="O203" s="231"/>
      <c r="P203" s="231"/>
      <c r="Q203" s="231"/>
      <c r="R203" s="231"/>
      <c r="S203" s="231"/>
      <c r="T203" s="231"/>
      <c r="U203" s="231"/>
      <c r="V203" s="231"/>
      <c r="W203" s="231"/>
      <c r="X203" s="231"/>
      <c r="Y203" s="231"/>
      <c r="Z203" s="231"/>
      <c r="AA203" s="231"/>
      <c r="AB203" s="231"/>
      <c r="AC203" s="231"/>
      <c r="AD203" s="231"/>
      <c r="AE203" s="231"/>
      <c r="AF203" s="231"/>
      <c r="AG203" s="231"/>
      <c r="AH203" s="231"/>
    </row>
    <row r="204" spans="1:34" s="203" customFormat="1">
      <c r="A204" s="120">
        <v>4</v>
      </c>
      <c r="B204" s="47" t="s">
        <v>167</v>
      </c>
      <c r="C204" s="47"/>
      <c r="D204" s="47"/>
      <c r="E204" s="74">
        <v>5170</v>
      </c>
      <c r="F204" s="52">
        <v>6372</v>
      </c>
      <c r="G204" s="118"/>
      <c r="H204" s="122">
        <v>5333</v>
      </c>
      <c r="I204" s="29"/>
      <c r="J204" s="231"/>
      <c r="K204" s="231"/>
      <c r="L204" s="231"/>
      <c r="M204" s="231"/>
      <c r="N204" s="231"/>
      <c r="O204" s="231"/>
      <c r="P204" s="231"/>
      <c r="Q204" s="231"/>
      <c r="R204" s="231"/>
      <c r="S204" s="231"/>
      <c r="T204" s="231"/>
      <c r="U204" s="231"/>
      <c r="V204" s="231"/>
      <c r="W204" s="231"/>
      <c r="X204" s="231"/>
      <c r="Y204" s="231"/>
      <c r="Z204" s="231"/>
      <c r="AA204" s="231"/>
      <c r="AB204" s="231"/>
      <c r="AC204" s="231"/>
      <c r="AD204" s="231"/>
      <c r="AE204" s="231"/>
      <c r="AF204" s="231"/>
      <c r="AG204" s="231"/>
      <c r="AH204" s="231"/>
    </row>
    <row r="205" spans="1:34" s="203" customFormat="1">
      <c r="A205" s="120">
        <v>5</v>
      </c>
      <c r="B205" s="47" t="s">
        <v>168</v>
      </c>
      <c r="C205" s="47"/>
      <c r="D205" s="47"/>
      <c r="E205" s="49">
        <v>8074</v>
      </c>
      <c r="F205" s="52">
        <v>8877</v>
      </c>
      <c r="G205" s="118"/>
      <c r="H205" s="122">
        <v>8444</v>
      </c>
      <c r="I205" s="29"/>
      <c r="J205" s="231"/>
      <c r="K205" s="231"/>
      <c r="L205" s="231"/>
      <c r="M205" s="231"/>
      <c r="N205" s="231"/>
      <c r="O205" s="231"/>
      <c r="P205" s="231"/>
      <c r="Q205" s="231"/>
      <c r="R205" s="231"/>
      <c r="S205" s="231"/>
      <c r="T205" s="231"/>
      <c r="U205" s="231"/>
      <c r="V205" s="231"/>
      <c r="W205" s="231"/>
      <c r="X205" s="231"/>
      <c r="Y205" s="231"/>
      <c r="Z205" s="231"/>
      <c r="AA205" s="231"/>
      <c r="AB205" s="231"/>
      <c r="AC205" s="231"/>
      <c r="AD205" s="231"/>
      <c r="AE205" s="231"/>
      <c r="AF205" s="231"/>
      <c r="AG205" s="231"/>
      <c r="AH205" s="231"/>
    </row>
    <row r="206" spans="1:34" s="203" customFormat="1">
      <c r="A206" s="120">
        <v>6</v>
      </c>
      <c r="B206" s="47" t="s">
        <v>169</v>
      </c>
      <c r="C206" s="47"/>
      <c r="D206" s="47"/>
      <c r="E206" s="49">
        <v>2560</v>
      </c>
      <c r="F206" s="52">
        <v>2411</v>
      </c>
      <c r="G206" s="118"/>
      <c r="H206" s="100">
        <v>2621</v>
      </c>
      <c r="I206" s="29"/>
      <c r="J206" s="231"/>
      <c r="K206" s="231"/>
      <c r="L206" s="231"/>
      <c r="M206" s="231"/>
      <c r="N206" s="231"/>
      <c r="O206" s="231"/>
      <c r="P206" s="231"/>
      <c r="Q206" s="231"/>
      <c r="R206" s="231"/>
      <c r="S206" s="231"/>
      <c r="T206" s="231"/>
      <c r="U206" s="231"/>
      <c r="V206" s="231"/>
      <c r="W206" s="231"/>
      <c r="X206" s="231"/>
      <c r="Y206" s="231"/>
      <c r="Z206" s="231"/>
      <c r="AA206" s="231"/>
      <c r="AB206" s="231"/>
      <c r="AC206" s="231"/>
      <c r="AD206" s="231"/>
      <c r="AE206" s="231"/>
      <c r="AF206" s="231"/>
      <c r="AG206" s="231"/>
      <c r="AH206" s="231"/>
    </row>
    <row r="207" spans="1:34" s="203" customFormat="1">
      <c r="A207" s="120">
        <v>7</v>
      </c>
      <c r="B207" s="116" t="s">
        <v>170</v>
      </c>
      <c r="C207" s="116"/>
      <c r="D207" s="116"/>
      <c r="E207" s="80">
        <v>15804</v>
      </c>
      <c r="F207" s="142">
        <f>SUM(F204:F206)</f>
        <v>17660</v>
      </c>
      <c r="G207" s="118"/>
      <c r="H207" s="142">
        <f>SUM(H204:H206)</f>
        <v>16398</v>
      </c>
      <c r="I207" s="29"/>
      <c r="J207" s="231"/>
      <c r="K207" s="231"/>
      <c r="L207" s="231"/>
      <c r="M207" s="231"/>
      <c r="N207" s="231"/>
      <c r="O207" s="231"/>
      <c r="P207" s="231"/>
      <c r="Q207" s="231"/>
      <c r="R207" s="231"/>
      <c r="S207" s="231"/>
      <c r="T207" s="231"/>
      <c r="U207" s="231"/>
      <c r="V207" s="231"/>
      <c r="W207" s="231"/>
      <c r="X207" s="231"/>
      <c r="Y207" s="231"/>
      <c r="Z207" s="231"/>
      <c r="AA207" s="231"/>
      <c r="AB207" s="231"/>
      <c r="AC207" s="231"/>
      <c r="AD207" s="231"/>
      <c r="AE207" s="231"/>
      <c r="AF207" s="231"/>
      <c r="AG207" s="231"/>
      <c r="AH207" s="231"/>
    </row>
    <row r="208" spans="1:34" s="203" customFormat="1">
      <c r="A208" s="46"/>
      <c r="B208" s="132"/>
      <c r="C208" s="132"/>
      <c r="D208" s="132"/>
      <c r="E208" s="156"/>
      <c r="F208" s="139"/>
      <c r="G208" s="139"/>
      <c r="H208" s="139"/>
      <c r="I208" s="29"/>
      <c r="J208" s="231"/>
      <c r="K208" s="231"/>
      <c r="L208" s="231"/>
      <c r="M208" s="231"/>
      <c r="N208" s="231"/>
      <c r="O208" s="231"/>
      <c r="P208" s="231"/>
      <c r="Q208" s="231"/>
      <c r="R208" s="231"/>
      <c r="S208" s="231"/>
      <c r="T208" s="231"/>
      <c r="U208" s="231"/>
      <c r="V208" s="231"/>
      <c r="W208" s="231"/>
      <c r="X208" s="231"/>
      <c r="Y208" s="231"/>
      <c r="Z208" s="231"/>
      <c r="AA208" s="231"/>
      <c r="AB208" s="231"/>
      <c r="AC208" s="231"/>
      <c r="AD208" s="231"/>
      <c r="AE208" s="231"/>
      <c r="AF208" s="231"/>
      <c r="AG208" s="231"/>
      <c r="AH208" s="231"/>
    </row>
    <row r="209" spans="1:34" s="203" customFormat="1">
      <c r="A209" s="153" t="s">
        <v>121</v>
      </c>
      <c r="B209" s="168"/>
      <c r="C209" s="168"/>
      <c r="D209" s="168"/>
      <c r="E209" s="140"/>
      <c r="F209" s="146"/>
      <c r="G209" s="118"/>
      <c r="H209" s="146"/>
      <c r="I209" s="29"/>
      <c r="J209" s="231"/>
      <c r="K209" s="231"/>
      <c r="L209" s="231"/>
      <c r="M209" s="231"/>
      <c r="N209" s="231"/>
      <c r="O209" s="231"/>
      <c r="P209" s="231"/>
      <c r="Q209" s="231"/>
      <c r="R209" s="231"/>
      <c r="S209" s="231"/>
      <c r="T209" s="231"/>
      <c r="U209" s="231"/>
      <c r="V209" s="231"/>
      <c r="W209" s="231"/>
      <c r="X209" s="231"/>
      <c r="Y209" s="231"/>
      <c r="Z209" s="231"/>
      <c r="AA209" s="231"/>
      <c r="AB209" s="231"/>
      <c r="AC209" s="231"/>
      <c r="AD209" s="231"/>
      <c r="AE209" s="231"/>
      <c r="AF209" s="231"/>
      <c r="AG209" s="231"/>
      <c r="AH209" s="231"/>
    </row>
    <row r="210" spans="1:34" s="203" customFormat="1">
      <c r="A210" s="120">
        <v>8</v>
      </c>
      <c r="B210" s="47" t="s">
        <v>171</v>
      </c>
      <c r="C210" s="47"/>
      <c r="D210" s="47"/>
      <c r="E210" s="74">
        <v>648</v>
      </c>
      <c r="F210" s="52">
        <v>538</v>
      </c>
      <c r="G210" s="118"/>
      <c r="H210" s="122">
        <v>490</v>
      </c>
      <c r="I210" s="29"/>
      <c r="J210" s="231"/>
      <c r="K210" s="231"/>
      <c r="L210" s="231"/>
      <c r="M210" s="231"/>
      <c r="N210" s="231"/>
      <c r="O210" s="231"/>
      <c r="P210" s="231"/>
      <c r="Q210" s="231"/>
      <c r="R210" s="231"/>
      <c r="S210" s="231"/>
      <c r="T210" s="231"/>
      <c r="U210" s="231"/>
      <c r="V210" s="231"/>
      <c r="W210" s="231"/>
      <c r="X210" s="231"/>
      <c r="Y210" s="231"/>
      <c r="Z210" s="231"/>
      <c r="AA210" s="231"/>
      <c r="AB210" s="231"/>
      <c r="AC210" s="231"/>
      <c r="AD210" s="231"/>
      <c r="AE210" s="231"/>
      <c r="AF210" s="231"/>
      <c r="AG210" s="231"/>
      <c r="AH210" s="231"/>
    </row>
    <row r="211" spans="1:34" s="203" customFormat="1">
      <c r="A211" s="120">
        <v>9</v>
      </c>
      <c r="B211" s="47" t="s">
        <v>172</v>
      </c>
      <c r="C211" s="47"/>
      <c r="D211" s="47"/>
      <c r="E211" s="49">
        <v>0</v>
      </c>
      <c r="F211" s="52">
        <v>0</v>
      </c>
      <c r="G211" s="118"/>
      <c r="H211" s="122">
        <v>0</v>
      </c>
      <c r="I211" s="29"/>
      <c r="J211" s="231"/>
      <c r="K211" s="231"/>
      <c r="L211" s="231"/>
      <c r="M211" s="231"/>
      <c r="N211" s="231"/>
      <c r="O211" s="231"/>
      <c r="P211" s="231"/>
      <c r="Q211" s="231"/>
      <c r="R211" s="231"/>
      <c r="S211" s="231"/>
      <c r="T211" s="231"/>
      <c r="U211" s="231"/>
      <c r="V211" s="231"/>
      <c r="W211" s="231"/>
      <c r="X211" s="231"/>
      <c r="Y211" s="231"/>
      <c r="Z211" s="231"/>
      <c r="AA211" s="231"/>
      <c r="AB211" s="231"/>
      <c r="AC211" s="231"/>
      <c r="AD211" s="231"/>
      <c r="AE211" s="231"/>
      <c r="AF211" s="231"/>
      <c r="AG211" s="231"/>
      <c r="AH211" s="231"/>
    </row>
    <row r="212" spans="1:34" s="203" customFormat="1">
      <c r="A212" s="120">
        <v>10</v>
      </c>
      <c r="B212" s="47" t="s">
        <v>173</v>
      </c>
      <c r="C212" s="47"/>
      <c r="D212" s="47"/>
      <c r="E212" s="49">
        <v>808</v>
      </c>
      <c r="F212" s="52">
        <v>801</v>
      </c>
      <c r="G212" s="118"/>
      <c r="H212" s="122">
        <v>814</v>
      </c>
      <c r="I212" s="29"/>
      <c r="J212" s="231"/>
      <c r="K212" s="231"/>
      <c r="L212" s="231"/>
      <c r="M212" s="231"/>
      <c r="N212" s="231"/>
      <c r="O212" s="231"/>
      <c r="P212" s="231"/>
      <c r="Q212" s="231"/>
      <c r="R212" s="231"/>
      <c r="S212" s="231"/>
      <c r="T212" s="231"/>
      <c r="U212" s="231"/>
      <c r="V212" s="231"/>
      <c r="W212" s="231"/>
      <c r="X212" s="231"/>
      <c r="Y212" s="231"/>
      <c r="Z212" s="231"/>
      <c r="AA212" s="231"/>
      <c r="AB212" s="231"/>
      <c r="AC212" s="231"/>
      <c r="AD212" s="231"/>
      <c r="AE212" s="231"/>
      <c r="AF212" s="231"/>
      <c r="AG212" s="231"/>
      <c r="AH212" s="231"/>
    </row>
    <row r="213" spans="1:34" s="203" customFormat="1">
      <c r="A213" s="120">
        <v>11</v>
      </c>
      <c r="B213" s="47" t="s">
        <v>174</v>
      </c>
      <c r="C213" s="47"/>
      <c r="D213" s="47"/>
      <c r="E213" s="49">
        <v>1351</v>
      </c>
      <c r="F213" s="52">
        <v>1514</v>
      </c>
      <c r="G213" s="118"/>
      <c r="H213" s="99">
        <v>1431</v>
      </c>
      <c r="I213" s="29"/>
      <c r="J213" s="231"/>
      <c r="K213" s="231"/>
      <c r="L213" s="231"/>
      <c r="M213" s="231"/>
      <c r="N213" s="231"/>
      <c r="O213" s="231"/>
      <c r="P213" s="231"/>
      <c r="Q213" s="231"/>
      <c r="R213" s="231"/>
      <c r="S213" s="231"/>
      <c r="T213" s="231"/>
      <c r="U213" s="231"/>
      <c r="V213" s="231"/>
      <c r="W213" s="231"/>
      <c r="X213" s="231"/>
      <c r="Y213" s="231"/>
      <c r="Z213" s="231"/>
      <c r="AA213" s="231"/>
      <c r="AB213" s="231"/>
      <c r="AC213" s="231"/>
      <c r="AD213" s="231"/>
      <c r="AE213" s="231"/>
      <c r="AF213" s="231"/>
      <c r="AG213" s="231"/>
      <c r="AH213" s="231"/>
    </row>
    <row r="214" spans="1:34" s="203" customFormat="1">
      <c r="A214" s="120">
        <v>12</v>
      </c>
      <c r="B214" s="116" t="s">
        <v>175</v>
      </c>
      <c r="C214" s="116"/>
      <c r="D214" s="116"/>
      <c r="E214" s="159">
        <v>20437</v>
      </c>
      <c r="F214" s="61">
        <f>F201+F207+SUM(F210:F213)</f>
        <v>22858</v>
      </c>
      <c r="G214" s="118"/>
      <c r="H214" s="61">
        <f>H201+H207+SUM(H210:H213)</f>
        <v>21044</v>
      </c>
      <c r="I214" s="29"/>
      <c r="J214" s="231"/>
      <c r="K214" s="231"/>
      <c r="L214" s="231"/>
      <c r="M214" s="231"/>
      <c r="N214" s="231"/>
      <c r="O214" s="231"/>
      <c r="P214" s="231"/>
      <c r="Q214" s="231"/>
      <c r="R214" s="231"/>
      <c r="S214" s="231"/>
      <c r="T214" s="231"/>
      <c r="U214" s="231"/>
      <c r="V214" s="231"/>
      <c r="W214" s="231"/>
      <c r="X214" s="231"/>
      <c r="Y214" s="231"/>
      <c r="Z214" s="231"/>
      <c r="AA214" s="231"/>
      <c r="AB214" s="231"/>
      <c r="AC214" s="231"/>
      <c r="AD214" s="231"/>
      <c r="AE214" s="231"/>
      <c r="AF214" s="231"/>
      <c r="AG214" s="231"/>
      <c r="AH214" s="231"/>
    </row>
    <row r="215" spans="1:34" s="203" customFormat="1">
      <c r="A215" s="111"/>
      <c r="B215" s="47"/>
      <c r="C215" s="47"/>
      <c r="D215" s="47"/>
      <c r="E215" s="117"/>
      <c r="F215" s="118"/>
      <c r="G215" s="118"/>
      <c r="H215" s="118"/>
      <c r="I215" s="29"/>
      <c r="J215" s="231"/>
      <c r="K215" s="231"/>
      <c r="L215" s="231"/>
      <c r="M215" s="231"/>
      <c r="N215" s="231"/>
      <c r="O215" s="231"/>
      <c r="P215" s="231"/>
      <c r="Q215" s="231"/>
      <c r="R215" s="231"/>
      <c r="S215" s="231"/>
      <c r="T215" s="231"/>
      <c r="U215" s="231"/>
      <c r="V215" s="231"/>
      <c r="W215" s="231"/>
      <c r="X215" s="231"/>
      <c r="Y215" s="231"/>
      <c r="Z215" s="231"/>
      <c r="AA215" s="231"/>
      <c r="AB215" s="231"/>
      <c r="AC215" s="231"/>
      <c r="AD215" s="231"/>
      <c r="AE215" s="231"/>
      <c r="AF215" s="231"/>
      <c r="AG215" s="231"/>
      <c r="AH215" s="231"/>
    </row>
    <row r="216" spans="1:34" s="203" customFormat="1">
      <c r="A216" s="119" t="s">
        <v>176</v>
      </c>
      <c r="B216" s="116"/>
      <c r="C216" s="116"/>
      <c r="D216" s="116"/>
      <c r="E216" s="117"/>
      <c r="F216" s="160"/>
      <c r="G216" s="118"/>
      <c r="H216" s="160"/>
      <c r="I216" s="29"/>
      <c r="J216" s="231"/>
      <c r="K216" s="231"/>
      <c r="L216" s="231"/>
      <c r="M216" s="231"/>
      <c r="N216" s="231"/>
      <c r="O216" s="231"/>
      <c r="P216" s="231"/>
      <c r="Q216" s="231"/>
      <c r="R216" s="231"/>
      <c r="S216" s="231"/>
      <c r="T216" s="231"/>
      <c r="U216" s="231"/>
      <c r="V216" s="231"/>
      <c r="W216" s="231"/>
      <c r="X216" s="231"/>
      <c r="Y216" s="231"/>
      <c r="Z216" s="231"/>
      <c r="AA216" s="231"/>
      <c r="AB216" s="231"/>
      <c r="AC216" s="231"/>
      <c r="AD216" s="231"/>
      <c r="AE216" s="231"/>
      <c r="AF216" s="231"/>
      <c r="AG216" s="231"/>
      <c r="AH216" s="231"/>
    </row>
    <row r="217" spans="1:34" s="203" customFormat="1">
      <c r="A217" s="120">
        <v>13</v>
      </c>
      <c r="B217" s="47" t="s">
        <v>177</v>
      </c>
      <c r="C217" s="47"/>
      <c r="D217" s="47"/>
      <c r="E217" s="41">
        <v>371</v>
      </c>
      <c r="F217" s="121">
        <v>358</v>
      </c>
      <c r="G217" s="118"/>
      <c r="H217" s="169">
        <v>370</v>
      </c>
      <c r="I217" s="29"/>
      <c r="J217" s="231"/>
      <c r="K217" s="231"/>
      <c r="L217" s="231"/>
      <c r="M217" s="231"/>
      <c r="N217" s="231"/>
      <c r="O217" s="231"/>
      <c r="P217" s="231"/>
      <c r="Q217" s="231"/>
      <c r="R217" s="231"/>
      <c r="S217" s="231"/>
      <c r="T217" s="231"/>
      <c r="U217" s="231"/>
      <c r="V217" s="231"/>
      <c r="W217" s="231"/>
      <c r="X217" s="231"/>
      <c r="Y217" s="231"/>
      <c r="Z217" s="231"/>
      <c r="AA217" s="231"/>
      <c r="AB217" s="231"/>
      <c r="AC217" s="231"/>
      <c r="AD217" s="231"/>
      <c r="AE217" s="231"/>
      <c r="AF217" s="231"/>
      <c r="AG217" s="231"/>
      <c r="AH217" s="231"/>
    </row>
    <row r="218" spans="1:34" s="203" customFormat="1">
      <c r="A218" s="124">
        <v>14</v>
      </c>
      <c r="B218" s="54" t="s">
        <v>178</v>
      </c>
      <c r="C218" s="54"/>
      <c r="D218" s="54"/>
      <c r="E218" s="56">
        <v>2561</v>
      </c>
      <c r="F218" s="126">
        <v>2411</v>
      </c>
      <c r="G218" s="118"/>
      <c r="H218" s="100">
        <v>2621</v>
      </c>
      <c r="I218" s="29"/>
      <c r="J218" s="231"/>
      <c r="K218" s="231"/>
      <c r="L218" s="231"/>
      <c r="M218" s="231"/>
      <c r="N218" s="231"/>
      <c r="O218" s="231"/>
      <c r="P218" s="231"/>
      <c r="Q218" s="231"/>
      <c r="R218" s="231"/>
      <c r="S218" s="231"/>
      <c r="T218" s="231"/>
      <c r="U218" s="231"/>
      <c r="V218" s="231"/>
      <c r="W218" s="231"/>
      <c r="X218" s="231"/>
      <c r="Y218" s="231"/>
      <c r="Z218" s="231"/>
      <c r="AA218" s="231"/>
      <c r="AB218" s="231"/>
      <c r="AC218" s="231"/>
      <c r="AD218" s="231"/>
      <c r="AE218" s="231"/>
      <c r="AF218" s="231"/>
      <c r="AG218" s="231"/>
      <c r="AH218" s="231"/>
    </row>
    <row r="219" spans="1:34" s="203" customFormat="1">
      <c r="A219" s="148"/>
      <c r="B219" s="29"/>
      <c r="C219" s="29"/>
      <c r="D219" s="170"/>
      <c r="E219" s="171"/>
      <c r="F219" s="29"/>
      <c r="G219" s="29"/>
      <c r="H219" s="207"/>
      <c r="I219" s="29"/>
      <c r="J219" s="231"/>
      <c r="K219" s="231"/>
      <c r="L219" s="231"/>
      <c r="M219" s="231"/>
      <c r="N219" s="231"/>
      <c r="O219" s="231"/>
      <c r="P219" s="231"/>
      <c r="Q219" s="231"/>
      <c r="R219" s="231"/>
      <c r="S219" s="231"/>
      <c r="T219" s="231"/>
      <c r="U219" s="231"/>
      <c r="V219" s="231"/>
      <c r="W219" s="231"/>
      <c r="X219" s="231"/>
      <c r="Y219" s="231"/>
      <c r="Z219" s="231"/>
      <c r="AA219" s="231"/>
      <c r="AB219" s="231"/>
      <c r="AC219" s="231"/>
      <c r="AD219" s="231"/>
      <c r="AE219" s="231"/>
      <c r="AF219" s="231"/>
      <c r="AG219" s="231"/>
      <c r="AH219" s="231"/>
    </row>
    <row r="220" spans="1:34" s="203" customFormat="1">
      <c r="A220" s="148"/>
      <c r="B220" s="29"/>
      <c r="C220" s="29"/>
      <c r="D220" s="172"/>
      <c r="E220" s="152"/>
      <c r="F220" s="29"/>
      <c r="G220" s="29"/>
      <c r="H220" s="131" t="s">
        <v>27</v>
      </c>
      <c r="I220" s="29"/>
      <c r="J220" s="231"/>
      <c r="K220" s="231"/>
      <c r="L220" s="231"/>
      <c r="M220" s="231"/>
      <c r="N220" s="231"/>
      <c r="O220" s="231"/>
      <c r="P220" s="231"/>
      <c r="Q220" s="231"/>
      <c r="R220" s="231"/>
      <c r="S220" s="231"/>
      <c r="T220" s="231"/>
      <c r="U220" s="231"/>
      <c r="V220" s="231"/>
      <c r="W220" s="231"/>
      <c r="X220" s="231"/>
      <c r="Y220" s="231"/>
      <c r="Z220" s="231"/>
      <c r="AA220" s="231"/>
      <c r="AB220" s="231"/>
      <c r="AC220" s="231"/>
      <c r="AD220" s="231"/>
      <c r="AE220" s="231"/>
      <c r="AF220" s="231"/>
      <c r="AG220" s="231"/>
      <c r="AH220" s="231"/>
    </row>
    <row r="221" spans="1:34" s="203" customFormat="1" ht="12.75" customHeight="1">
      <c r="A221" s="106" t="s">
        <v>10</v>
      </c>
      <c r="B221" s="164"/>
      <c r="C221" s="164"/>
      <c r="D221" s="164"/>
      <c r="E221" s="856" t="s">
        <v>377</v>
      </c>
      <c r="F221" s="856" t="s">
        <v>402</v>
      </c>
      <c r="G221" s="130"/>
      <c r="H221" s="856" t="s">
        <v>403</v>
      </c>
      <c r="I221" s="130"/>
      <c r="J221" s="231"/>
      <c r="K221" s="231"/>
      <c r="L221" s="231"/>
      <c r="M221" s="231"/>
      <c r="N221" s="231"/>
      <c r="O221" s="231"/>
      <c r="P221" s="231"/>
      <c r="Q221" s="231"/>
      <c r="R221" s="231"/>
      <c r="S221" s="231"/>
      <c r="T221" s="231"/>
      <c r="U221" s="231"/>
      <c r="V221" s="231"/>
      <c r="W221" s="231"/>
      <c r="X221" s="231"/>
      <c r="Y221" s="231"/>
      <c r="Z221" s="231"/>
      <c r="AA221" s="231"/>
      <c r="AB221" s="231"/>
      <c r="AC221" s="231"/>
      <c r="AD221" s="231"/>
      <c r="AE221" s="231"/>
      <c r="AF221" s="231"/>
      <c r="AG221" s="231"/>
      <c r="AH221" s="231"/>
    </row>
    <row r="222" spans="1:34" s="203" customFormat="1">
      <c r="A222" s="109"/>
      <c r="B222" s="132"/>
      <c r="C222" s="132"/>
      <c r="D222" s="132"/>
      <c r="E222" s="859"/>
      <c r="F222" s="859"/>
      <c r="G222" s="130"/>
      <c r="H222" s="859"/>
      <c r="I222" s="130"/>
      <c r="J222" s="231"/>
      <c r="K222" s="231"/>
      <c r="L222" s="231"/>
      <c r="M222" s="231"/>
      <c r="N222" s="231"/>
      <c r="O222" s="231"/>
      <c r="P222" s="231"/>
      <c r="Q222" s="231"/>
      <c r="R222" s="231"/>
      <c r="S222" s="231"/>
      <c r="T222" s="231"/>
      <c r="U222" s="231"/>
      <c r="V222" s="231"/>
      <c r="W222" s="231"/>
      <c r="X222" s="231"/>
      <c r="Y222" s="231"/>
      <c r="Z222" s="231"/>
      <c r="AA222" s="231"/>
      <c r="AB222" s="231"/>
      <c r="AC222" s="231"/>
      <c r="AD222" s="231"/>
      <c r="AE222" s="231"/>
      <c r="AF222" s="231"/>
      <c r="AG222" s="231"/>
      <c r="AH222" s="231"/>
    </row>
    <row r="223" spans="1:34" s="203" customFormat="1">
      <c r="A223" s="154" t="s">
        <v>179</v>
      </c>
      <c r="B223" s="116"/>
      <c r="C223" s="116"/>
      <c r="D223" s="116"/>
      <c r="E223" s="859"/>
      <c r="F223" s="859"/>
      <c r="G223" s="130"/>
      <c r="H223" s="859"/>
      <c r="I223" s="130"/>
      <c r="J223" s="231"/>
      <c r="K223" s="231"/>
      <c r="L223" s="231"/>
      <c r="M223" s="231"/>
      <c r="N223" s="231"/>
      <c r="O223" s="231"/>
      <c r="P223" s="231"/>
      <c r="Q223" s="231"/>
      <c r="R223" s="231"/>
      <c r="S223" s="231"/>
      <c r="T223" s="231"/>
      <c r="U223" s="231"/>
      <c r="V223" s="231"/>
      <c r="W223" s="231"/>
      <c r="X223" s="231"/>
      <c r="Y223" s="231"/>
      <c r="Z223" s="231"/>
      <c r="AA223" s="231"/>
      <c r="AB223" s="231"/>
      <c r="AC223" s="231"/>
      <c r="AD223" s="231"/>
      <c r="AE223" s="231"/>
      <c r="AF223" s="231"/>
      <c r="AG223" s="231"/>
      <c r="AH223" s="231"/>
    </row>
    <row r="224" spans="1:34" s="203" customFormat="1">
      <c r="A224" s="109" t="s">
        <v>83</v>
      </c>
      <c r="B224" s="47"/>
      <c r="C224" s="47"/>
      <c r="D224" s="47"/>
      <c r="E224" s="859"/>
      <c r="F224" s="859"/>
      <c r="G224" s="130"/>
      <c r="H224" s="859"/>
      <c r="I224" s="130"/>
      <c r="J224" s="231"/>
      <c r="K224" s="231"/>
      <c r="L224" s="231"/>
      <c r="M224" s="231"/>
      <c r="N224" s="231"/>
      <c r="O224" s="231"/>
      <c r="P224" s="231"/>
      <c r="Q224" s="231"/>
      <c r="R224" s="231"/>
      <c r="S224" s="231"/>
      <c r="T224" s="231"/>
      <c r="U224" s="231"/>
      <c r="V224" s="231"/>
      <c r="W224" s="231"/>
      <c r="X224" s="231"/>
      <c r="Y224" s="231"/>
      <c r="Z224" s="231"/>
      <c r="AA224" s="231"/>
      <c r="AB224" s="231"/>
      <c r="AC224" s="231"/>
      <c r="AD224" s="231"/>
      <c r="AE224" s="231"/>
      <c r="AF224" s="231"/>
      <c r="AG224" s="231"/>
      <c r="AH224" s="231"/>
    </row>
    <row r="225" spans="1:34" s="203" customFormat="1">
      <c r="A225" s="110" t="s">
        <v>84</v>
      </c>
      <c r="B225" s="132"/>
      <c r="C225" s="132"/>
      <c r="D225" s="132"/>
      <c r="E225" s="860"/>
      <c r="F225" s="860"/>
      <c r="G225" s="130"/>
      <c r="H225" s="860"/>
      <c r="I225" s="130"/>
      <c r="J225" s="231"/>
      <c r="K225" s="231"/>
      <c r="L225" s="231"/>
      <c r="M225" s="231"/>
      <c r="N225" s="231"/>
      <c r="O225" s="231"/>
      <c r="P225" s="231"/>
      <c r="Q225" s="231"/>
      <c r="R225" s="231"/>
      <c r="S225" s="231"/>
      <c r="T225" s="231"/>
      <c r="U225" s="231"/>
      <c r="V225" s="231"/>
      <c r="W225" s="231"/>
      <c r="X225" s="231"/>
      <c r="Y225" s="231"/>
      <c r="Z225" s="231"/>
      <c r="AA225" s="231"/>
      <c r="AB225" s="231"/>
      <c r="AC225" s="231"/>
      <c r="AD225" s="231"/>
      <c r="AE225" s="231"/>
      <c r="AF225" s="231"/>
      <c r="AG225" s="231"/>
      <c r="AH225" s="231"/>
    </row>
    <row r="226" spans="1:34" s="203" customFormat="1">
      <c r="A226" s="120">
        <v>1</v>
      </c>
      <c r="B226" s="47" t="s">
        <v>180</v>
      </c>
      <c r="C226" s="47"/>
      <c r="D226" s="47"/>
      <c r="E226" s="41">
        <v>-281</v>
      </c>
      <c r="F226" s="52">
        <v>-339</v>
      </c>
      <c r="G226" s="118"/>
      <c r="H226" s="133">
        <v>-266</v>
      </c>
      <c r="I226" s="29"/>
      <c r="J226" s="231"/>
      <c r="K226" s="231"/>
      <c r="L226" s="231"/>
      <c r="M226" s="231"/>
      <c r="N226" s="231"/>
      <c r="O226" s="231"/>
      <c r="P226" s="231"/>
      <c r="Q226" s="231"/>
      <c r="R226" s="231"/>
      <c r="S226" s="231"/>
      <c r="T226" s="231"/>
      <c r="U226" s="231"/>
      <c r="V226" s="231"/>
      <c r="W226" s="231"/>
      <c r="X226" s="231"/>
      <c r="Y226" s="231"/>
      <c r="Z226" s="231"/>
      <c r="AA226" s="231"/>
      <c r="AB226" s="231"/>
      <c r="AC226" s="231"/>
      <c r="AD226" s="231"/>
      <c r="AE226" s="231"/>
      <c r="AF226" s="231"/>
      <c r="AG226" s="231"/>
      <c r="AH226" s="231"/>
    </row>
    <row r="227" spans="1:34" s="203" customFormat="1">
      <c r="A227" s="120">
        <v>2</v>
      </c>
      <c r="B227" s="47" t="s">
        <v>181</v>
      </c>
      <c r="C227" s="47"/>
      <c r="D227" s="47"/>
      <c r="E227" s="49">
        <v>-377</v>
      </c>
      <c r="F227" s="52">
        <v>-337</v>
      </c>
      <c r="G227" s="118"/>
      <c r="H227" s="122">
        <v>-352</v>
      </c>
      <c r="I227" s="29"/>
      <c r="J227" s="231"/>
      <c r="K227" s="231"/>
      <c r="L227" s="231"/>
      <c r="M227" s="231"/>
      <c r="N227" s="231"/>
      <c r="O227" s="231"/>
      <c r="P227" s="231"/>
      <c r="Q227" s="231"/>
      <c r="R227" s="231"/>
      <c r="S227" s="231"/>
      <c r="T227" s="231"/>
      <c r="U227" s="231"/>
      <c r="V227" s="231"/>
      <c r="W227" s="231"/>
      <c r="X227" s="231"/>
      <c r="Y227" s="231"/>
      <c r="Z227" s="231"/>
      <c r="AA227" s="231"/>
      <c r="AB227" s="231"/>
      <c r="AC227" s="231"/>
      <c r="AD227" s="231"/>
      <c r="AE227" s="231"/>
      <c r="AF227" s="231"/>
      <c r="AG227" s="231"/>
      <c r="AH227" s="231"/>
    </row>
    <row r="228" spans="1:34" s="203" customFormat="1">
      <c r="A228" s="120">
        <v>3</v>
      </c>
      <c r="B228" s="47" t="s">
        <v>182</v>
      </c>
      <c r="C228" s="47"/>
      <c r="D228" s="47"/>
      <c r="E228" s="114">
        <v>1820</v>
      </c>
      <c r="F228" s="52">
        <v>1569</v>
      </c>
      <c r="G228" s="118"/>
      <c r="H228" s="122">
        <v>1477</v>
      </c>
      <c r="I228" s="29"/>
      <c r="J228" s="231"/>
      <c r="K228" s="231"/>
      <c r="L228" s="231"/>
      <c r="M228" s="231"/>
      <c r="N228" s="231"/>
      <c r="O228" s="231"/>
      <c r="P228" s="231"/>
      <c r="Q228" s="231"/>
      <c r="R228" s="231"/>
      <c r="S228" s="231"/>
      <c r="T228" s="231"/>
      <c r="U228" s="231"/>
      <c r="V228" s="231"/>
      <c r="W228" s="231"/>
      <c r="X228" s="231"/>
      <c r="Y228" s="231"/>
      <c r="Z228" s="231"/>
      <c r="AA228" s="231"/>
      <c r="AB228" s="231"/>
      <c r="AC228" s="231"/>
      <c r="AD228" s="231"/>
      <c r="AE228" s="231"/>
      <c r="AF228" s="231"/>
      <c r="AG228" s="231"/>
      <c r="AH228" s="231"/>
    </row>
    <row r="229" spans="1:34" s="203" customFormat="1">
      <c r="A229" s="120">
        <v>4</v>
      </c>
      <c r="B229" s="47" t="s">
        <v>183</v>
      </c>
      <c r="C229" s="47"/>
      <c r="D229" s="47"/>
      <c r="E229" s="114">
        <v>369</v>
      </c>
      <c r="F229" s="52">
        <v>144</v>
      </c>
      <c r="G229" s="118"/>
      <c r="H229" s="122">
        <v>430</v>
      </c>
      <c r="I229" s="29"/>
      <c r="J229" s="231"/>
      <c r="K229" s="231"/>
      <c r="L229" s="231"/>
      <c r="M229" s="231"/>
      <c r="N229" s="231"/>
      <c r="O229" s="231"/>
      <c r="P229" s="231"/>
      <c r="Q229" s="231"/>
      <c r="R229" s="231"/>
      <c r="S229" s="231"/>
      <c r="T229" s="231"/>
      <c r="U229" s="231"/>
      <c r="V229" s="231"/>
      <c r="W229" s="231"/>
      <c r="X229" s="231"/>
      <c r="Y229" s="231"/>
      <c r="Z229" s="231"/>
      <c r="AA229" s="231"/>
      <c r="AB229" s="231"/>
      <c r="AC229" s="231"/>
      <c r="AD229" s="231"/>
      <c r="AE229" s="231"/>
      <c r="AF229" s="231"/>
      <c r="AG229" s="231"/>
      <c r="AH229" s="231"/>
    </row>
    <row r="230" spans="1:34" s="203" customFormat="1">
      <c r="A230" s="120">
        <v>5</v>
      </c>
      <c r="B230" s="47" t="s">
        <v>184</v>
      </c>
      <c r="C230" s="47"/>
      <c r="D230" s="47"/>
      <c r="E230" s="114">
        <v>8862</v>
      </c>
      <c r="F230" s="52">
        <v>4282</v>
      </c>
      <c r="G230" s="118"/>
      <c r="H230" s="99">
        <v>3467</v>
      </c>
      <c r="I230" s="29"/>
      <c r="J230" s="231"/>
      <c r="K230" s="231"/>
      <c r="L230" s="231"/>
      <c r="M230" s="231"/>
      <c r="N230" s="231"/>
      <c r="O230" s="231"/>
      <c r="P230" s="231"/>
      <c r="Q230" s="231"/>
      <c r="R230" s="231"/>
      <c r="S230" s="231"/>
      <c r="T230" s="231"/>
      <c r="U230" s="231"/>
      <c r="V230" s="231"/>
      <c r="W230" s="231"/>
      <c r="X230" s="231"/>
      <c r="Y230" s="231"/>
      <c r="Z230" s="231"/>
      <c r="AA230" s="231"/>
      <c r="AB230" s="231"/>
      <c r="AC230" s="231"/>
      <c r="AD230" s="231"/>
      <c r="AE230" s="231"/>
      <c r="AF230" s="231"/>
      <c r="AG230" s="231"/>
      <c r="AH230" s="231"/>
    </row>
    <row r="231" spans="1:34" s="203" customFormat="1">
      <c r="A231" s="124">
        <v>6</v>
      </c>
      <c r="B231" s="173" t="s">
        <v>185</v>
      </c>
      <c r="C231" s="173"/>
      <c r="D231" s="173"/>
      <c r="E231" s="159">
        <v>10393</v>
      </c>
      <c r="F231" s="61">
        <f>SUM(F226:F230)</f>
        <v>5319</v>
      </c>
      <c r="G231" s="118"/>
      <c r="H231" s="61">
        <f>SUM(H226:H230)</f>
        <v>4756</v>
      </c>
      <c r="I231" s="29"/>
      <c r="J231" s="231"/>
      <c r="K231" s="231"/>
      <c r="L231" s="231"/>
      <c r="M231" s="231"/>
      <c r="N231" s="231"/>
      <c r="O231" s="231"/>
      <c r="P231" s="231"/>
      <c r="Q231" s="231"/>
      <c r="R231" s="231"/>
      <c r="S231" s="231"/>
      <c r="T231" s="231"/>
      <c r="U231" s="231"/>
      <c r="V231" s="231"/>
      <c r="W231" s="231"/>
      <c r="X231" s="231"/>
      <c r="Y231" s="231"/>
      <c r="Z231" s="231"/>
      <c r="AA231" s="231"/>
      <c r="AB231" s="231"/>
      <c r="AC231" s="231"/>
      <c r="AD231" s="231"/>
      <c r="AE231" s="231"/>
      <c r="AF231" s="231"/>
      <c r="AG231" s="231"/>
      <c r="AH231" s="231"/>
    </row>
    <row r="232" spans="1:34" s="203" customFormat="1">
      <c r="A232" s="148"/>
      <c r="B232" s="29"/>
      <c r="C232" s="29"/>
      <c r="D232" s="170"/>
      <c r="E232" s="150"/>
      <c r="F232" s="29"/>
      <c r="G232" s="29"/>
      <c r="H232" s="207"/>
      <c r="I232" s="29"/>
      <c r="J232" s="231"/>
      <c r="K232" s="231"/>
      <c r="L232" s="231"/>
      <c r="M232" s="231"/>
      <c r="N232" s="231"/>
      <c r="O232" s="231"/>
      <c r="P232" s="231"/>
      <c r="Q232" s="231"/>
      <c r="R232" s="231"/>
      <c r="S232" s="231"/>
      <c r="T232" s="231"/>
      <c r="U232" s="231"/>
      <c r="V232" s="231"/>
      <c r="W232" s="231"/>
      <c r="X232" s="231"/>
      <c r="Y232" s="231"/>
      <c r="Z232" s="231"/>
      <c r="AA232" s="231"/>
      <c r="AB232" s="231"/>
      <c r="AC232" s="231"/>
      <c r="AD232" s="231"/>
      <c r="AE232" s="231"/>
      <c r="AF232" s="231"/>
      <c r="AG232" s="231"/>
      <c r="AH232" s="231"/>
    </row>
    <row r="233" spans="1:34" s="203" customFormat="1">
      <c r="A233" s="148"/>
      <c r="B233" s="29"/>
      <c r="C233" s="29"/>
      <c r="D233" s="172"/>
      <c r="E233" s="152"/>
      <c r="F233" s="29"/>
      <c r="G233" s="29"/>
      <c r="H233" s="131" t="s">
        <v>27</v>
      </c>
      <c r="I233" s="29"/>
      <c r="J233" s="231"/>
      <c r="K233" s="231"/>
      <c r="L233" s="231"/>
      <c r="M233" s="231"/>
      <c r="N233" s="231"/>
      <c r="O233" s="231"/>
      <c r="P233" s="231"/>
      <c r="Q233" s="231"/>
      <c r="R233" s="231"/>
      <c r="S233" s="231"/>
      <c r="T233" s="231"/>
      <c r="U233" s="231"/>
      <c r="V233" s="231"/>
      <c r="W233" s="231"/>
      <c r="X233" s="231"/>
      <c r="Y233" s="231"/>
      <c r="Z233" s="231"/>
      <c r="AA233" s="231"/>
      <c r="AB233" s="231"/>
      <c r="AC233" s="231"/>
      <c r="AD233" s="231"/>
      <c r="AE233" s="231"/>
      <c r="AF233" s="231"/>
      <c r="AG233" s="231"/>
      <c r="AH233" s="231"/>
    </row>
    <row r="234" spans="1:34" s="203" customFormat="1" ht="12.75" customHeight="1">
      <c r="A234" s="106" t="s">
        <v>12</v>
      </c>
      <c r="B234" s="164"/>
      <c r="C234" s="164"/>
      <c r="D234" s="164"/>
      <c r="E234" s="856" t="s">
        <v>377</v>
      </c>
      <c r="F234" s="856" t="s">
        <v>402</v>
      </c>
      <c r="G234" s="130"/>
      <c r="H234" s="856" t="s">
        <v>403</v>
      </c>
      <c r="I234" s="130"/>
      <c r="J234" s="231"/>
      <c r="K234" s="231"/>
      <c r="L234" s="231"/>
      <c r="M234" s="231"/>
      <c r="N234" s="231"/>
      <c r="O234" s="231"/>
      <c r="P234" s="231"/>
      <c r="Q234" s="231"/>
      <c r="R234" s="231"/>
      <c r="S234" s="231"/>
      <c r="T234" s="231"/>
      <c r="U234" s="231"/>
      <c r="V234" s="231"/>
      <c r="W234" s="231"/>
      <c r="X234" s="231"/>
      <c r="Y234" s="231"/>
      <c r="Z234" s="231"/>
      <c r="AA234" s="231"/>
      <c r="AB234" s="231"/>
      <c r="AC234" s="231"/>
      <c r="AD234" s="231"/>
      <c r="AE234" s="231"/>
      <c r="AF234" s="231"/>
      <c r="AG234" s="231"/>
      <c r="AH234" s="231"/>
    </row>
    <row r="235" spans="1:34" s="203" customFormat="1">
      <c r="A235" s="165"/>
      <c r="B235" s="47"/>
      <c r="C235" s="47"/>
      <c r="D235" s="47"/>
      <c r="E235" s="859"/>
      <c r="F235" s="859"/>
      <c r="G235" s="130"/>
      <c r="H235" s="859"/>
      <c r="I235" s="130"/>
      <c r="J235" s="231"/>
      <c r="K235" s="231"/>
      <c r="L235" s="231"/>
      <c r="M235" s="231"/>
      <c r="N235" s="231"/>
      <c r="O235" s="231"/>
      <c r="P235" s="231"/>
      <c r="Q235" s="231"/>
      <c r="R235" s="231"/>
      <c r="S235" s="231"/>
      <c r="T235" s="231"/>
      <c r="U235" s="231"/>
      <c r="V235" s="231"/>
      <c r="W235" s="231"/>
      <c r="X235" s="231"/>
      <c r="Y235" s="231"/>
      <c r="Z235" s="231"/>
      <c r="AA235" s="231"/>
      <c r="AB235" s="231"/>
      <c r="AC235" s="231"/>
      <c r="AD235" s="231"/>
      <c r="AE235" s="231"/>
      <c r="AF235" s="231"/>
      <c r="AG235" s="231"/>
      <c r="AH235" s="231"/>
    </row>
    <row r="236" spans="1:34" s="203" customFormat="1">
      <c r="A236" s="154" t="s">
        <v>186</v>
      </c>
      <c r="B236" s="174"/>
      <c r="C236" s="174"/>
      <c r="D236" s="174"/>
      <c r="E236" s="859"/>
      <c r="F236" s="859"/>
      <c r="G236" s="130"/>
      <c r="H236" s="859"/>
      <c r="I236" s="130"/>
      <c r="J236" s="231"/>
      <c r="K236" s="231"/>
      <c r="L236" s="231"/>
      <c r="M236" s="231"/>
      <c r="N236" s="231"/>
      <c r="O236" s="231"/>
      <c r="P236" s="231"/>
      <c r="Q236" s="231"/>
      <c r="R236" s="231"/>
      <c r="S236" s="231"/>
      <c r="T236" s="231"/>
      <c r="U236" s="231"/>
      <c r="V236" s="231"/>
      <c r="W236" s="231"/>
      <c r="X236" s="231"/>
      <c r="Y236" s="231"/>
      <c r="Z236" s="231"/>
      <c r="AA236" s="231"/>
      <c r="AB236" s="231"/>
      <c r="AC236" s="231"/>
      <c r="AD236" s="231"/>
      <c r="AE236" s="231"/>
      <c r="AF236" s="231"/>
      <c r="AG236" s="231"/>
      <c r="AH236" s="231"/>
    </row>
    <row r="237" spans="1:34" s="203" customFormat="1">
      <c r="A237" s="109" t="s">
        <v>83</v>
      </c>
      <c r="B237" s="47"/>
      <c r="C237" s="47"/>
      <c r="D237" s="47"/>
      <c r="E237" s="859"/>
      <c r="F237" s="859"/>
      <c r="G237" s="130"/>
      <c r="H237" s="859"/>
      <c r="I237" s="130"/>
      <c r="J237" s="231"/>
      <c r="K237" s="231"/>
      <c r="L237" s="231"/>
      <c r="M237" s="231"/>
      <c r="N237" s="231"/>
      <c r="O237" s="231"/>
      <c r="P237" s="231"/>
      <c r="Q237" s="231"/>
      <c r="R237" s="231"/>
      <c r="S237" s="231"/>
      <c r="T237" s="231"/>
      <c r="U237" s="231"/>
      <c r="V237" s="231"/>
      <c r="W237" s="231"/>
      <c r="X237" s="231"/>
      <c r="Y237" s="231"/>
      <c r="Z237" s="231"/>
      <c r="AA237" s="231"/>
      <c r="AB237" s="231"/>
      <c r="AC237" s="231"/>
      <c r="AD237" s="231"/>
      <c r="AE237" s="231"/>
      <c r="AF237" s="231"/>
      <c r="AG237" s="231"/>
      <c r="AH237" s="231"/>
    </row>
    <row r="238" spans="1:34" s="203" customFormat="1">
      <c r="A238" s="110" t="s">
        <v>84</v>
      </c>
      <c r="B238" s="174"/>
      <c r="C238" s="174"/>
      <c r="D238" s="174"/>
      <c r="E238" s="860"/>
      <c r="F238" s="860"/>
      <c r="G238" s="130"/>
      <c r="H238" s="860"/>
      <c r="I238" s="130"/>
      <c r="J238" s="231"/>
      <c r="K238" s="231"/>
      <c r="L238" s="231"/>
      <c r="M238" s="231"/>
      <c r="N238" s="231"/>
      <c r="O238" s="231"/>
      <c r="P238" s="231"/>
      <c r="Q238" s="231"/>
      <c r="R238" s="231"/>
      <c r="S238" s="231"/>
      <c r="T238" s="231"/>
      <c r="U238" s="231"/>
      <c r="V238" s="231"/>
      <c r="W238" s="231"/>
      <c r="X238" s="231"/>
      <c r="Y238" s="231"/>
      <c r="Z238" s="231"/>
      <c r="AA238" s="231"/>
      <c r="AB238" s="231"/>
      <c r="AC238" s="231"/>
      <c r="AD238" s="231"/>
      <c r="AE238" s="231"/>
      <c r="AF238" s="231"/>
      <c r="AG238" s="231"/>
      <c r="AH238" s="231"/>
    </row>
    <row r="239" spans="1:34" s="203" customFormat="1">
      <c r="A239" s="153" t="s">
        <v>187</v>
      </c>
      <c r="B239" s="116"/>
      <c r="C239" s="116"/>
      <c r="D239" s="116"/>
      <c r="E239" s="167"/>
      <c r="F239" s="146"/>
      <c r="G239" s="118"/>
      <c r="H239" s="146"/>
      <c r="I239" s="29"/>
      <c r="J239" s="231"/>
      <c r="K239" s="231"/>
      <c r="L239" s="231"/>
      <c r="M239" s="231"/>
      <c r="N239" s="231"/>
      <c r="O239" s="231"/>
      <c r="P239" s="231"/>
      <c r="Q239" s="231"/>
      <c r="R239" s="231"/>
      <c r="S239" s="231"/>
      <c r="T239" s="231"/>
      <c r="U239" s="231"/>
      <c r="V239" s="231"/>
      <c r="W239" s="231"/>
      <c r="X239" s="231"/>
      <c r="Y239" s="231"/>
      <c r="Z239" s="231"/>
      <c r="AA239" s="231"/>
      <c r="AB239" s="231"/>
      <c r="AC239" s="231"/>
      <c r="AD239" s="231"/>
      <c r="AE239" s="231"/>
      <c r="AF239" s="231"/>
      <c r="AG239" s="231"/>
      <c r="AH239" s="231"/>
    </row>
    <row r="240" spans="1:34" s="203" customFormat="1">
      <c r="A240" s="120">
        <v>1</v>
      </c>
      <c r="B240" s="47" t="s">
        <v>188</v>
      </c>
      <c r="C240" s="47"/>
      <c r="D240" s="47"/>
      <c r="E240" s="74">
        <v>98</v>
      </c>
      <c r="F240" s="52">
        <v>93</v>
      </c>
      <c r="G240" s="118"/>
      <c r="H240" s="122">
        <v>93</v>
      </c>
      <c r="I240" s="29"/>
      <c r="J240" s="231"/>
      <c r="K240" s="231"/>
      <c r="L240" s="231"/>
      <c r="M240" s="231"/>
      <c r="N240" s="231"/>
      <c r="O240" s="231"/>
      <c r="P240" s="231"/>
      <c r="Q240" s="231"/>
      <c r="R240" s="231"/>
      <c r="S240" s="231"/>
      <c r="T240" s="231"/>
      <c r="U240" s="231"/>
      <c r="V240" s="231"/>
      <c r="W240" s="231"/>
      <c r="X240" s="231"/>
      <c r="Y240" s="231"/>
      <c r="Z240" s="231"/>
      <c r="AA240" s="231"/>
      <c r="AB240" s="231"/>
      <c r="AC240" s="231"/>
      <c r="AD240" s="231"/>
      <c r="AE240" s="231"/>
      <c r="AF240" s="231"/>
      <c r="AG240" s="231"/>
      <c r="AH240" s="231"/>
    </row>
    <row r="241" spans="1:34" s="203" customFormat="1">
      <c r="A241" s="826">
        <v>2</v>
      </c>
      <c r="B241" s="47" t="s">
        <v>189</v>
      </c>
      <c r="C241" s="47"/>
      <c r="D241" s="47"/>
      <c r="E241" s="114">
        <v>522</v>
      </c>
      <c r="F241" s="52">
        <v>1048</v>
      </c>
      <c r="G241" s="118"/>
      <c r="H241" s="100">
        <v>646</v>
      </c>
      <c r="I241" s="29"/>
      <c r="J241" s="231"/>
      <c r="K241" s="231"/>
      <c r="L241" s="231"/>
      <c r="M241" s="231"/>
      <c r="N241" s="231"/>
      <c r="O241" s="231"/>
      <c r="P241" s="231"/>
      <c r="Q241" s="231"/>
      <c r="R241" s="231"/>
      <c r="S241" s="231"/>
      <c r="T241" s="231"/>
      <c r="U241" s="231"/>
      <c r="V241" s="231"/>
      <c r="W241" s="231"/>
      <c r="X241" s="231"/>
      <c r="Y241" s="231"/>
      <c r="Z241" s="231"/>
      <c r="AA241" s="231"/>
      <c r="AB241" s="231"/>
      <c r="AC241" s="231"/>
      <c r="AD241" s="231"/>
      <c r="AE241" s="231"/>
      <c r="AF241" s="231"/>
      <c r="AG241" s="231"/>
      <c r="AH241" s="231"/>
    </row>
    <row r="242" spans="1:34" s="203" customFormat="1">
      <c r="A242" s="826">
        <v>3</v>
      </c>
      <c r="B242" s="168" t="s">
        <v>190</v>
      </c>
      <c r="C242" s="168"/>
      <c r="D242" s="168"/>
      <c r="E242" s="80">
        <v>620</v>
      </c>
      <c r="F242" s="142">
        <f>SUM(F240:F241)</f>
        <v>1141</v>
      </c>
      <c r="G242" s="118"/>
      <c r="H242" s="142">
        <f>SUM(H240:H241)</f>
        <v>739</v>
      </c>
      <c r="I242" s="29"/>
      <c r="J242" s="231"/>
      <c r="K242" s="231"/>
      <c r="L242" s="231"/>
      <c r="M242" s="231"/>
      <c r="N242" s="231"/>
      <c r="O242" s="231"/>
      <c r="P242" s="231"/>
      <c r="Q242" s="231"/>
      <c r="R242" s="231"/>
      <c r="S242" s="231"/>
      <c r="T242" s="231"/>
      <c r="U242" s="231"/>
      <c r="V242" s="231"/>
      <c r="W242" s="231"/>
      <c r="X242" s="231"/>
      <c r="Y242" s="231"/>
      <c r="Z242" s="231"/>
      <c r="AA242" s="231"/>
      <c r="AB242" s="231"/>
      <c r="AC242" s="231"/>
      <c r="AD242" s="231"/>
      <c r="AE242" s="231"/>
      <c r="AF242" s="231"/>
      <c r="AG242" s="231"/>
      <c r="AH242" s="231"/>
    </row>
    <row r="243" spans="1:34" s="203" customFormat="1">
      <c r="A243" s="826"/>
      <c r="B243" s="116"/>
      <c r="C243" s="116"/>
      <c r="D243" s="116"/>
      <c r="E243" s="117"/>
      <c r="F243" s="118"/>
      <c r="G243" s="118"/>
      <c r="H243" s="118"/>
      <c r="I243" s="29"/>
      <c r="J243" s="231"/>
      <c r="K243" s="231"/>
      <c r="L243" s="231"/>
      <c r="M243" s="231"/>
      <c r="N243" s="231"/>
      <c r="O243" s="231"/>
      <c r="P243" s="231"/>
      <c r="Q243" s="231"/>
      <c r="R243" s="231"/>
      <c r="S243" s="231"/>
      <c r="T243" s="231"/>
      <c r="U243" s="231"/>
      <c r="V243" s="231"/>
      <c r="W243" s="231"/>
      <c r="X243" s="231"/>
      <c r="Y243" s="231"/>
      <c r="Z243" s="231"/>
      <c r="AA243" s="231"/>
      <c r="AB243" s="231"/>
      <c r="AC243" s="231"/>
      <c r="AD243" s="231"/>
      <c r="AE243" s="231"/>
      <c r="AF243" s="231"/>
      <c r="AG243" s="231"/>
      <c r="AH243" s="231"/>
    </row>
    <row r="244" spans="1:34" s="203" customFormat="1">
      <c r="A244" s="108" t="s">
        <v>191</v>
      </c>
      <c r="B244" s="47"/>
      <c r="C244" s="47"/>
      <c r="D244" s="47"/>
      <c r="E244" s="140"/>
      <c r="F244" s="146"/>
      <c r="G244" s="118"/>
      <c r="H244" s="146"/>
      <c r="I244" s="29"/>
      <c r="J244" s="231"/>
      <c r="K244" s="231"/>
      <c r="L244" s="231"/>
      <c r="M244" s="231"/>
      <c r="N244" s="231"/>
      <c r="O244" s="231"/>
      <c r="P244" s="231"/>
      <c r="Q244" s="231"/>
      <c r="R244" s="231"/>
      <c r="S244" s="231"/>
      <c r="T244" s="231"/>
      <c r="U244" s="231"/>
      <c r="V244" s="231"/>
      <c r="W244" s="231"/>
      <c r="X244" s="231"/>
      <c r="Y244" s="231"/>
      <c r="Z244" s="231"/>
      <c r="AA244" s="231"/>
      <c r="AB244" s="231"/>
      <c r="AC244" s="231"/>
      <c r="AD244" s="231"/>
      <c r="AE244" s="231"/>
      <c r="AF244" s="231"/>
      <c r="AG244" s="231"/>
      <c r="AH244" s="231"/>
    </row>
    <row r="245" spans="1:34" s="203" customFormat="1">
      <c r="A245" s="826">
        <v>4</v>
      </c>
      <c r="B245" s="47" t="s">
        <v>192</v>
      </c>
      <c r="C245" s="47"/>
      <c r="D245" s="47"/>
      <c r="E245" s="74">
        <v>0</v>
      </c>
      <c r="F245" s="52">
        <v>0</v>
      </c>
      <c r="G245" s="118"/>
      <c r="H245" s="122">
        <v>0</v>
      </c>
      <c r="I245" s="29"/>
      <c r="J245" s="231"/>
      <c r="K245" s="231"/>
      <c r="L245" s="231"/>
      <c r="M245" s="231"/>
      <c r="N245" s="231"/>
      <c r="O245" s="231"/>
      <c r="P245" s="231"/>
      <c r="Q245" s="231"/>
      <c r="R245" s="231"/>
      <c r="S245" s="231"/>
      <c r="T245" s="231"/>
      <c r="U245" s="231"/>
      <c r="V245" s="231"/>
      <c r="W245" s="231"/>
      <c r="X245" s="231"/>
      <c r="Y245" s="231"/>
      <c r="Z245" s="231"/>
      <c r="AA245" s="231"/>
      <c r="AB245" s="231"/>
      <c r="AC245" s="231"/>
      <c r="AD245" s="231"/>
      <c r="AE245" s="231"/>
      <c r="AF245" s="231"/>
      <c r="AG245" s="231"/>
      <c r="AH245" s="231"/>
    </row>
    <row r="246" spans="1:34" s="203" customFormat="1">
      <c r="A246" s="826">
        <v>5</v>
      </c>
      <c r="B246" s="47" t="s">
        <v>193</v>
      </c>
      <c r="C246" s="47"/>
      <c r="D246" s="47"/>
      <c r="E246" s="49">
        <v>426</v>
      </c>
      <c r="F246" s="52">
        <v>475</v>
      </c>
      <c r="G246" s="118"/>
      <c r="H246" s="100">
        <v>492</v>
      </c>
      <c r="I246" s="29"/>
      <c r="J246" s="231"/>
      <c r="K246" s="231"/>
      <c r="L246" s="231"/>
      <c r="M246" s="231"/>
      <c r="N246" s="231"/>
      <c r="O246" s="231"/>
      <c r="P246" s="231"/>
      <c r="Q246" s="231"/>
      <c r="R246" s="231"/>
      <c r="S246" s="231"/>
      <c r="T246" s="231"/>
      <c r="U246" s="231"/>
      <c r="V246" s="231"/>
      <c r="W246" s="231"/>
      <c r="X246" s="231"/>
      <c r="Y246" s="231"/>
      <c r="Z246" s="231"/>
      <c r="AA246" s="231"/>
      <c r="AB246" s="231"/>
      <c r="AC246" s="231"/>
      <c r="AD246" s="231"/>
      <c r="AE246" s="231"/>
      <c r="AF246" s="231"/>
      <c r="AG246" s="231"/>
      <c r="AH246" s="231"/>
    </row>
    <row r="247" spans="1:34" s="203" customFormat="1">
      <c r="A247" s="826">
        <v>6</v>
      </c>
      <c r="B247" s="116" t="s">
        <v>194</v>
      </c>
      <c r="C247" s="116"/>
      <c r="D247" s="116"/>
      <c r="E247" s="80">
        <v>426</v>
      </c>
      <c r="F247" s="142">
        <f>SUM(F245:F246)</f>
        <v>475</v>
      </c>
      <c r="G247" s="118"/>
      <c r="H247" s="142">
        <f>SUM(H245:H246)</f>
        <v>492</v>
      </c>
      <c r="I247" s="29"/>
      <c r="J247" s="231"/>
      <c r="K247" s="231"/>
      <c r="L247" s="231"/>
      <c r="M247" s="231"/>
      <c r="N247" s="231"/>
      <c r="O247" s="231"/>
      <c r="P247" s="231"/>
      <c r="Q247" s="231"/>
      <c r="R247" s="231"/>
      <c r="S247" s="231"/>
      <c r="T247" s="231"/>
      <c r="U247" s="231"/>
      <c r="V247" s="231"/>
      <c r="W247" s="231"/>
      <c r="X247" s="231"/>
      <c r="Y247" s="231"/>
      <c r="Z247" s="231"/>
      <c r="AA247" s="231"/>
      <c r="AB247" s="231"/>
      <c r="AC247" s="231"/>
      <c r="AD247" s="231"/>
      <c r="AE247" s="231"/>
      <c r="AF247" s="231"/>
      <c r="AG247" s="231"/>
      <c r="AH247" s="231"/>
    </row>
    <row r="248" spans="1:34" s="203" customFormat="1">
      <c r="A248" s="826"/>
      <c r="B248" s="116"/>
      <c r="C248" s="116"/>
      <c r="D248" s="116"/>
      <c r="E248" s="117"/>
      <c r="F248" s="118"/>
      <c r="G248" s="118"/>
      <c r="H248" s="118"/>
      <c r="I248" s="29"/>
      <c r="J248" s="231"/>
      <c r="K248" s="231"/>
      <c r="L248" s="231"/>
      <c r="M248" s="231"/>
      <c r="N248" s="231"/>
      <c r="O248" s="231"/>
      <c r="P248" s="231"/>
      <c r="Q248" s="231"/>
      <c r="R248" s="231"/>
      <c r="S248" s="231"/>
      <c r="T248" s="231"/>
      <c r="U248" s="231"/>
      <c r="V248" s="231"/>
      <c r="W248" s="231"/>
      <c r="X248" s="231"/>
      <c r="Y248" s="231"/>
      <c r="Z248" s="231"/>
      <c r="AA248" s="231"/>
      <c r="AB248" s="231"/>
      <c r="AC248" s="231"/>
      <c r="AD248" s="231"/>
      <c r="AE248" s="231"/>
      <c r="AF248" s="231"/>
      <c r="AG248" s="231"/>
      <c r="AH248" s="231"/>
    </row>
    <row r="249" spans="1:34" s="203" customFormat="1">
      <c r="A249" s="108" t="s">
        <v>195</v>
      </c>
      <c r="B249" s="116"/>
      <c r="C249" s="116"/>
      <c r="D249" s="116"/>
      <c r="E249" s="140"/>
      <c r="F249" s="146"/>
      <c r="G249" s="118"/>
      <c r="H249" s="146"/>
      <c r="I249" s="29"/>
      <c r="J249" s="231"/>
      <c r="K249" s="231"/>
      <c r="L249" s="231"/>
      <c r="M249" s="231"/>
      <c r="N249" s="231"/>
      <c r="O249" s="231"/>
      <c r="P249" s="231"/>
      <c r="Q249" s="231"/>
      <c r="R249" s="231"/>
      <c r="S249" s="231"/>
      <c r="T249" s="231"/>
      <c r="U249" s="231"/>
      <c r="V249" s="231"/>
      <c r="W249" s="231"/>
      <c r="X249" s="231"/>
      <c r="Y249" s="231"/>
      <c r="Z249" s="231"/>
      <c r="AA249" s="231"/>
      <c r="AB249" s="231"/>
      <c r="AC249" s="231"/>
      <c r="AD249" s="231"/>
      <c r="AE249" s="231"/>
      <c r="AF249" s="231"/>
      <c r="AG249" s="231"/>
      <c r="AH249" s="231"/>
    </row>
    <row r="250" spans="1:34" s="203" customFormat="1">
      <c r="A250" s="826">
        <v>7</v>
      </c>
      <c r="B250" s="47" t="s">
        <v>196</v>
      </c>
      <c r="C250" s="47"/>
      <c r="D250" s="47"/>
      <c r="E250" s="74">
        <v>1111</v>
      </c>
      <c r="F250" s="52">
        <v>1067</v>
      </c>
      <c r="G250" s="118"/>
      <c r="H250" s="52">
        <v>1015</v>
      </c>
      <c r="I250" s="29"/>
      <c r="J250" s="231"/>
      <c r="K250" s="231"/>
      <c r="L250" s="231"/>
      <c r="M250" s="231"/>
      <c r="N250" s="231"/>
      <c r="O250" s="231"/>
      <c r="P250" s="231"/>
      <c r="Q250" s="231"/>
      <c r="R250" s="231"/>
      <c r="S250" s="231"/>
      <c r="T250" s="231"/>
      <c r="U250" s="231"/>
      <c r="V250" s="231"/>
      <c r="W250" s="231"/>
      <c r="X250" s="231"/>
      <c r="Y250" s="231"/>
      <c r="Z250" s="231"/>
      <c r="AA250" s="231"/>
      <c r="AB250" s="231"/>
      <c r="AC250" s="231"/>
      <c r="AD250" s="231"/>
      <c r="AE250" s="231"/>
      <c r="AF250" s="231"/>
      <c r="AG250" s="231"/>
      <c r="AH250" s="231"/>
    </row>
    <row r="251" spans="1:34" s="203" customFormat="1">
      <c r="A251" s="826">
        <v>8</v>
      </c>
      <c r="B251" s="47" t="s">
        <v>197</v>
      </c>
      <c r="C251" s="47"/>
      <c r="D251" s="47"/>
      <c r="E251" s="49">
        <v>4880</v>
      </c>
      <c r="F251" s="52">
        <v>6057</v>
      </c>
      <c r="G251" s="118"/>
      <c r="H251" s="122">
        <v>4104</v>
      </c>
      <c r="I251" s="29"/>
      <c r="J251" s="231"/>
      <c r="K251" s="231"/>
      <c r="L251" s="231"/>
      <c r="M251" s="231"/>
      <c r="N251" s="231"/>
      <c r="O251" s="231"/>
      <c r="P251" s="231"/>
      <c r="Q251" s="231"/>
      <c r="R251" s="231"/>
      <c r="S251" s="231"/>
      <c r="T251" s="231"/>
      <c r="U251" s="231"/>
      <c r="V251" s="231"/>
      <c r="W251" s="231"/>
      <c r="X251" s="231"/>
      <c r="Y251" s="231"/>
      <c r="Z251" s="231"/>
      <c r="AA251" s="231"/>
      <c r="AB251" s="231"/>
      <c r="AC251" s="231"/>
      <c r="AD251" s="231"/>
      <c r="AE251" s="231"/>
      <c r="AF251" s="231"/>
      <c r="AG251" s="231"/>
      <c r="AH251" s="231"/>
    </row>
    <row r="252" spans="1:34" s="203" customFormat="1">
      <c r="A252" s="826">
        <v>9</v>
      </c>
      <c r="B252" s="47" t="s">
        <v>198</v>
      </c>
      <c r="C252" s="47"/>
      <c r="D252" s="47"/>
      <c r="E252" s="49">
        <v>4825</v>
      </c>
      <c r="F252" s="52">
        <v>4115</v>
      </c>
      <c r="G252" s="118"/>
      <c r="H252" s="122">
        <v>3252</v>
      </c>
      <c r="I252" s="29"/>
      <c r="J252" s="231"/>
      <c r="K252" s="231"/>
      <c r="L252" s="231"/>
      <c r="M252" s="231"/>
      <c r="N252" s="231"/>
      <c r="O252" s="231"/>
      <c r="P252" s="231"/>
      <c r="Q252" s="231"/>
      <c r="R252" s="231"/>
      <c r="S252" s="231"/>
      <c r="T252" s="231"/>
      <c r="U252" s="231"/>
      <c r="V252" s="231"/>
      <c r="W252" s="231"/>
      <c r="X252" s="231"/>
      <c r="Y252" s="231"/>
      <c r="Z252" s="231"/>
      <c r="AA252" s="231"/>
      <c r="AB252" s="231"/>
      <c r="AC252" s="231"/>
      <c r="AD252" s="231"/>
      <c r="AE252" s="231"/>
      <c r="AF252" s="231"/>
      <c r="AG252" s="231"/>
      <c r="AH252" s="231"/>
    </row>
    <row r="253" spans="1:34" s="203" customFormat="1">
      <c r="A253" s="826">
        <v>10</v>
      </c>
      <c r="B253" s="47" t="s">
        <v>199</v>
      </c>
      <c r="C253" s="47"/>
      <c r="D253" s="47"/>
      <c r="E253" s="49">
        <v>11</v>
      </c>
      <c r="F253" s="52">
        <v>11</v>
      </c>
      <c r="G253" s="118"/>
      <c r="H253" s="100">
        <v>11</v>
      </c>
      <c r="I253" s="29"/>
      <c r="J253" s="231"/>
      <c r="K253" s="231"/>
      <c r="L253" s="231"/>
      <c r="M253" s="231"/>
      <c r="N253" s="231"/>
      <c r="O253" s="231"/>
      <c r="P253" s="231"/>
      <c r="Q253" s="231"/>
      <c r="R253" s="231"/>
      <c r="S253" s="231"/>
      <c r="T253" s="231"/>
      <c r="U253" s="231"/>
      <c r="V253" s="231"/>
      <c r="W253" s="231"/>
      <c r="X253" s="231"/>
      <c r="Y253" s="231"/>
      <c r="Z253" s="231"/>
      <c r="AA253" s="231"/>
      <c r="AB253" s="231"/>
      <c r="AC253" s="231"/>
      <c r="AD253" s="231"/>
      <c r="AE253" s="231"/>
      <c r="AF253" s="231"/>
      <c r="AG253" s="231"/>
      <c r="AH253" s="231"/>
    </row>
    <row r="254" spans="1:34" s="203" customFormat="1">
      <c r="A254" s="826">
        <v>11</v>
      </c>
      <c r="B254" s="116" t="s">
        <v>200</v>
      </c>
      <c r="C254" s="116"/>
      <c r="D254" s="116"/>
      <c r="E254" s="80">
        <v>10827</v>
      </c>
      <c r="F254" s="142">
        <f>SUM(F250:F253)</f>
        <v>11250</v>
      </c>
      <c r="G254" s="118"/>
      <c r="H254" s="142">
        <f>SUM(H250:H253)</f>
        <v>8382</v>
      </c>
      <c r="I254" s="260"/>
      <c r="J254" s="231"/>
      <c r="K254" s="231"/>
      <c r="L254" s="231"/>
      <c r="M254" s="231"/>
      <c r="N254" s="231"/>
      <c r="O254" s="231"/>
      <c r="P254" s="231"/>
      <c r="Q254" s="231"/>
      <c r="R254" s="231"/>
      <c r="S254" s="231"/>
      <c r="T254" s="231"/>
      <c r="U254" s="231"/>
      <c r="V254" s="231"/>
      <c r="W254" s="231"/>
      <c r="X254" s="231"/>
      <c r="Y254" s="231"/>
      <c r="Z254" s="231"/>
      <c r="AA254" s="231"/>
      <c r="AB254" s="231"/>
      <c r="AC254" s="231"/>
      <c r="AD254" s="231"/>
      <c r="AE254" s="231"/>
      <c r="AF254" s="231"/>
      <c r="AG254" s="231"/>
      <c r="AH254" s="231"/>
    </row>
    <row r="255" spans="1:34" s="203" customFormat="1">
      <c r="A255" s="826"/>
      <c r="B255" s="116"/>
      <c r="C255" s="116"/>
      <c r="D255" s="116"/>
      <c r="E255" s="117"/>
      <c r="F255" s="118"/>
      <c r="G255" s="118"/>
      <c r="H255" s="118"/>
      <c r="I255" s="29"/>
      <c r="J255" s="231"/>
      <c r="K255" s="231"/>
      <c r="L255" s="231"/>
      <c r="M255" s="231"/>
      <c r="N255" s="231"/>
      <c r="O255" s="231"/>
      <c r="P255" s="231"/>
      <c r="Q255" s="231"/>
      <c r="R255" s="231"/>
      <c r="S255" s="231"/>
      <c r="T255" s="231"/>
      <c r="U255" s="231"/>
      <c r="V255" s="231"/>
      <c r="W255" s="231"/>
      <c r="X255" s="231"/>
      <c r="Y255" s="231"/>
      <c r="Z255" s="231"/>
      <c r="AA255" s="231"/>
      <c r="AB255" s="231"/>
      <c r="AC255" s="231"/>
      <c r="AD255" s="231"/>
      <c r="AE255" s="231"/>
      <c r="AF255" s="231"/>
      <c r="AG255" s="231"/>
      <c r="AH255" s="231"/>
    </row>
    <row r="256" spans="1:34" s="203" customFormat="1">
      <c r="A256" s="826">
        <v>12</v>
      </c>
      <c r="B256" s="47" t="s">
        <v>201</v>
      </c>
      <c r="C256" s="47"/>
      <c r="D256" s="47"/>
      <c r="E256" s="176">
        <v>1099</v>
      </c>
      <c r="F256" s="136">
        <v>1057</v>
      </c>
      <c r="G256" s="118"/>
      <c r="H256" s="177">
        <v>1039</v>
      </c>
      <c r="I256" s="260"/>
      <c r="J256" s="231"/>
      <c r="K256" s="231"/>
      <c r="L256" s="231"/>
      <c r="M256" s="231"/>
      <c r="N256" s="231"/>
      <c r="O256" s="231"/>
      <c r="P256" s="231"/>
      <c r="Q256" s="231"/>
      <c r="R256" s="231"/>
      <c r="S256" s="231"/>
      <c r="T256" s="231"/>
      <c r="U256" s="231"/>
      <c r="V256" s="231"/>
      <c r="W256" s="231"/>
      <c r="X256" s="231"/>
      <c r="Y256" s="231"/>
      <c r="Z256" s="231"/>
      <c r="AA256" s="231"/>
      <c r="AB256" s="231"/>
      <c r="AC256" s="231"/>
      <c r="AD256" s="231"/>
      <c r="AE256" s="231"/>
      <c r="AF256" s="231"/>
      <c r="AG256" s="231"/>
      <c r="AH256" s="231"/>
    </row>
    <row r="257" spans="1:34" s="203" customFormat="1">
      <c r="A257" s="124">
        <v>13</v>
      </c>
      <c r="B257" s="94" t="s">
        <v>202</v>
      </c>
      <c r="C257" s="94"/>
      <c r="D257" s="94"/>
      <c r="E257" s="159">
        <v>12972</v>
      </c>
      <c r="F257" s="61">
        <f>F242+F247+F254+F256</f>
        <v>13923</v>
      </c>
      <c r="G257" s="118"/>
      <c r="H257" s="61">
        <f>H242+H247+H254+H256</f>
        <v>10652</v>
      </c>
      <c r="I257" s="21"/>
      <c r="J257" s="231"/>
      <c r="K257" s="231"/>
      <c r="L257" s="231"/>
      <c r="M257" s="231"/>
      <c r="N257" s="231"/>
      <c r="O257" s="231"/>
      <c r="P257" s="231"/>
      <c r="Q257" s="231"/>
      <c r="R257" s="231"/>
      <c r="S257" s="231"/>
      <c r="T257" s="231"/>
      <c r="U257" s="231"/>
      <c r="V257" s="231"/>
      <c r="W257" s="231"/>
      <c r="X257" s="231"/>
      <c r="Y257" s="231"/>
      <c r="Z257" s="231"/>
      <c r="AA257" s="231"/>
      <c r="AB257" s="231"/>
      <c r="AC257" s="231"/>
      <c r="AD257" s="231"/>
      <c r="AE257" s="231"/>
      <c r="AF257" s="231"/>
      <c r="AG257" s="231"/>
      <c r="AH257" s="231"/>
    </row>
    <row r="258" spans="1:34" s="203" customFormat="1">
      <c r="A258" s="207"/>
      <c r="B258" s="207"/>
      <c r="C258" s="207"/>
      <c r="D258" s="208"/>
      <c r="E258" s="208"/>
      <c r="F258" s="207"/>
      <c r="G258" s="207"/>
      <c r="H258" s="207"/>
      <c r="I258" s="21"/>
      <c r="J258" s="231"/>
      <c r="K258" s="231"/>
      <c r="L258" s="231"/>
      <c r="M258" s="231"/>
      <c r="N258" s="231"/>
      <c r="O258" s="231"/>
      <c r="P258" s="231"/>
      <c r="Q258" s="231"/>
      <c r="R258" s="231"/>
      <c r="S258" s="231"/>
      <c r="T258" s="231"/>
      <c r="U258" s="231"/>
      <c r="V258" s="231"/>
      <c r="W258" s="231"/>
      <c r="X258" s="231"/>
      <c r="Y258" s="231"/>
      <c r="Z258" s="231"/>
      <c r="AA258" s="231"/>
      <c r="AB258" s="231"/>
      <c r="AC258" s="231"/>
      <c r="AD258" s="231"/>
      <c r="AE258" s="231"/>
      <c r="AF258" s="231"/>
      <c r="AG258" s="231"/>
      <c r="AH258" s="231"/>
    </row>
    <row r="259" spans="1:34" s="203" customFormat="1">
      <c r="A259" s="23"/>
      <c r="B259" s="207"/>
      <c r="C259" s="207"/>
      <c r="D259" s="207"/>
      <c r="E259" s="207"/>
      <c r="F259" s="207"/>
      <c r="G259" s="207"/>
      <c r="H259" s="21"/>
      <c r="I259" s="21"/>
      <c r="J259" s="231"/>
      <c r="K259" s="231"/>
      <c r="L259" s="231"/>
      <c r="M259" s="231"/>
      <c r="N259" s="231"/>
      <c r="O259" s="231"/>
      <c r="P259" s="231"/>
      <c r="Q259" s="231"/>
      <c r="R259" s="231"/>
      <c r="S259" s="231"/>
      <c r="T259" s="231"/>
      <c r="U259" s="231"/>
      <c r="V259" s="231"/>
      <c r="W259" s="231"/>
      <c r="X259" s="231"/>
      <c r="Y259" s="231"/>
      <c r="Z259" s="231"/>
      <c r="AA259" s="231"/>
      <c r="AB259" s="231"/>
      <c r="AC259" s="231"/>
      <c r="AD259" s="231"/>
      <c r="AE259" s="231"/>
      <c r="AF259" s="231"/>
      <c r="AG259" s="231"/>
      <c r="AH259" s="231"/>
    </row>
    <row r="260" spans="1:34" s="203" customFormat="1">
      <c r="A260" s="148"/>
      <c r="B260" s="29"/>
      <c r="C260" s="29"/>
      <c r="D260" s="172"/>
      <c r="E260" s="152"/>
      <c r="F260" s="29"/>
      <c r="G260" s="29"/>
      <c r="H260" s="131" t="s">
        <v>27</v>
      </c>
      <c r="I260" s="21"/>
      <c r="J260" s="231"/>
      <c r="K260" s="231"/>
      <c r="L260" s="231"/>
      <c r="M260" s="231"/>
      <c r="N260" s="231"/>
      <c r="O260" s="231"/>
      <c r="P260" s="231"/>
      <c r="Q260" s="231"/>
      <c r="R260" s="231"/>
      <c r="S260" s="231"/>
      <c r="T260" s="231"/>
      <c r="U260" s="231"/>
      <c r="V260" s="231"/>
      <c r="W260" s="231"/>
      <c r="X260" s="231"/>
      <c r="Y260" s="231"/>
      <c r="Z260" s="231"/>
      <c r="AA260" s="231"/>
      <c r="AB260" s="231"/>
      <c r="AC260" s="231"/>
      <c r="AD260" s="231"/>
      <c r="AE260" s="231"/>
      <c r="AF260" s="231"/>
      <c r="AG260" s="231"/>
      <c r="AH260" s="231"/>
    </row>
    <row r="261" spans="1:34" s="203" customFormat="1" ht="12.75" customHeight="1">
      <c r="A261" s="106" t="s">
        <v>15</v>
      </c>
      <c r="B261" s="164"/>
      <c r="C261" s="164"/>
      <c r="D261" s="164"/>
      <c r="E261" s="856" t="s">
        <v>377</v>
      </c>
      <c r="F261" s="856" t="s">
        <v>402</v>
      </c>
      <c r="G261" s="130"/>
      <c r="H261" s="856" t="s">
        <v>403</v>
      </c>
      <c r="I261" s="21"/>
      <c r="J261" s="231"/>
      <c r="K261" s="231"/>
      <c r="L261" s="231"/>
      <c r="M261" s="231"/>
      <c r="N261" s="231"/>
      <c r="O261" s="231"/>
      <c r="P261" s="231"/>
      <c r="Q261" s="231"/>
      <c r="R261" s="231"/>
      <c r="S261" s="231"/>
      <c r="T261" s="231"/>
      <c r="U261" s="231"/>
      <c r="V261" s="231"/>
      <c r="W261" s="231"/>
      <c r="X261" s="231"/>
      <c r="Y261" s="231"/>
      <c r="Z261" s="231"/>
      <c r="AA261" s="231"/>
      <c r="AB261" s="231"/>
      <c r="AC261" s="231"/>
      <c r="AD261" s="231"/>
      <c r="AE261" s="231"/>
      <c r="AF261" s="231"/>
      <c r="AG261" s="231"/>
      <c r="AH261" s="231"/>
    </row>
    <row r="262" spans="1:34" s="203" customFormat="1">
      <c r="A262" s="165"/>
      <c r="B262" s="47"/>
      <c r="C262" s="47"/>
      <c r="D262" s="47"/>
      <c r="E262" s="859"/>
      <c r="F262" s="859"/>
      <c r="G262" s="130"/>
      <c r="H262" s="859"/>
      <c r="I262" s="21"/>
      <c r="J262" s="231"/>
      <c r="K262" s="231"/>
      <c r="L262" s="231"/>
      <c r="M262" s="231"/>
      <c r="N262" s="231"/>
      <c r="O262" s="231"/>
      <c r="P262" s="231"/>
      <c r="Q262" s="231"/>
      <c r="R262" s="231"/>
      <c r="S262" s="231"/>
      <c r="T262" s="231"/>
      <c r="U262" s="231"/>
      <c r="V262" s="231"/>
      <c r="W262" s="231"/>
      <c r="X262" s="231"/>
      <c r="Y262" s="231"/>
      <c r="Z262" s="231"/>
      <c r="AA262" s="231"/>
      <c r="AB262" s="231"/>
      <c r="AC262" s="231"/>
      <c r="AD262" s="231"/>
      <c r="AE262" s="231"/>
      <c r="AF262" s="231"/>
      <c r="AG262" s="231"/>
      <c r="AH262" s="231"/>
    </row>
    <row r="263" spans="1:34" s="203" customFormat="1">
      <c r="A263" s="109"/>
      <c r="B263" s="174"/>
      <c r="C263" s="174"/>
      <c r="D263" s="174"/>
      <c r="E263" s="859"/>
      <c r="F263" s="859"/>
      <c r="G263" s="130"/>
      <c r="H263" s="859"/>
      <c r="I263" s="21"/>
      <c r="J263" s="231"/>
      <c r="K263" s="231"/>
      <c r="L263" s="231"/>
      <c r="M263" s="231"/>
      <c r="N263" s="231"/>
      <c r="O263" s="231"/>
      <c r="P263" s="231"/>
      <c r="Q263" s="231"/>
      <c r="R263" s="231"/>
      <c r="S263" s="231"/>
      <c r="T263" s="231"/>
      <c r="U263" s="231"/>
      <c r="V263" s="231"/>
      <c r="W263" s="231"/>
      <c r="X263" s="231"/>
      <c r="Y263" s="231"/>
      <c r="Z263" s="231"/>
      <c r="AA263" s="231"/>
      <c r="AB263" s="231"/>
      <c r="AC263" s="231"/>
      <c r="AD263" s="231"/>
      <c r="AE263" s="231"/>
      <c r="AF263" s="231"/>
      <c r="AG263" s="231"/>
      <c r="AH263" s="231"/>
    </row>
    <row r="264" spans="1:34" s="203" customFormat="1">
      <c r="A264" s="154" t="s">
        <v>203</v>
      </c>
      <c r="B264" s="47"/>
      <c r="C264" s="47"/>
      <c r="D264" s="47"/>
      <c r="E264" s="859"/>
      <c r="F264" s="859"/>
      <c r="G264" s="130"/>
      <c r="H264" s="859"/>
      <c r="I264" s="21"/>
      <c r="J264" s="231"/>
      <c r="K264" s="231"/>
      <c r="L264" s="231"/>
      <c r="M264" s="231"/>
      <c r="N264" s="231"/>
      <c r="O264" s="231"/>
      <c r="P264" s="231"/>
      <c r="Q264" s="231"/>
      <c r="R264" s="231"/>
      <c r="S264" s="231"/>
      <c r="T264" s="231"/>
      <c r="U264" s="231"/>
      <c r="V264" s="231"/>
      <c r="W264" s="231"/>
      <c r="X264" s="231"/>
      <c r="Y264" s="231"/>
      <c r="Z264" s="231"/>
      <c r="AA264" s="231"/>
      <c r="AB264" s="231"/>
      <c r="AC264" s="231"/>
      <c r="AD264" s="231"/>
      <c r="AE264" s="231"/>
      <c r="AF264" s="231"/>
      <c r="AG264" s="231"/>
      <c r="AH264" s="231"/>
    </row>
    <row r="265" spans="1:34" s="203" customFormat="1">
      <c r="A265" s="109" t="s">
        <v>83</v>
      </c>
      <c r="B265" s="174"/>
      <c r="C265" s="174"/>
      <c r="D265" s="174"/>
      <c r="E265" s="860"/>
      <c r="F265" s="860"/>
      <c r="G265" s="130"/>
      <c r="H265" s="860"/>
      <c r="I265" s="21"/>
      <c r="J265" s="231"/>
      <c r="K265" s="231"/>
      <c r="L265" s="231"/>
      <c r="M265" s="231"/>
      <c r="N265" s="231"/>
      <c r="O265" s="231"/>
      <c r="P265" s="231"/>
      <c r="Q265" s="231"/>
      <c r="R265" s="231"/>
      <c r="S265" s="231"/>
      <c r="T265" s="231"/>
      <c r="U265" s="231"/>
      <c r="V265" s="231"/>
      <c r="W265" s="231"/>
      <c r="X265" s="231"/>
      <c r="Y265" s="231"/>
      <c r="Z265" s="231"/>
      <c r="AA265" s="231"/>
      <c r="AB265" s="231"/>
      <c r="AC265" s="231"/>
      <c r="AD265" s="231"/>
      <c r="AE265" s="231"/>
      <c r="AF265" s="231"/>
      <c r="AG265" s="231"/>
      <c r="AH265" s="231"/>
    </row>
    <row r="266" spans="1:34" s="203" customFormat="1">
      <c r="A266" s="110" t="s">
        <v>84</v>
      </c>
      <c r="B266" s="116"/>
      <c r="C266" s="116"/>
      <c r="D266" s="116"/>
      <c r="E266" s="178"/>
      <c r="F266" s="146"/>
      <c r="G266" s="118"/>
      <c r="H266" s="146"/>
      <c r="I266" s="21"/>
      <c r="J266" s="231"/>
      <c r="K266" s="231"/>
      <c r="L266" s="231"/>
      <c r="M266" s="231"/>
      <c r="N266" s="231"/>
      <c r="O266" s="231"/>
      <c r="P266" s="231"/>
      <c r="Q266" s="231"/>
      <c r="R266" s="231"/>
      <c r="S266" s="231"/>
      <c r="T266" s="231"/>
      <c r="U266" s="231"/>
      <c r="V266" s="231"/>
      <c r="W266" s="231"/>
      <c r="X266" s="231"/>
      <c r="Y266" s="231"/>
      <c r="Z266" s="231"/>
      <c r="AA266" s="231"/>
      <c r="AB266" s="231"/>
      <c r="AC266" s="231"/>
      <c r="AD266" s="231"/>
      <c r="AE266" s="231"/>
      <c r="AF266" s="231"/>
      <c r="AG266" s="231"/>
      <c r="AH266" s="231"/>
    </row>
    <row r="267" spans="1:34" s="203" customFormat="1">
      <c r="A267" s="120">
        <v>1</v>
      </c>
      <c r="B267" s="47" t="s">
        <v>204</v>
      </c>
      <c r="C267" s="47"/>
      <c r="D267" s="47"/>
      <c r="E267" s="74">
        <v>0</v>
      </c>
      <c r="F267" s="52">
        <v>0</v>
      </c>
      <c r="G267" s="118"/>
      <c r="H267" s="122">
        <v>0</v>
      </c>
      <c r="I267" s="21"/>
      <c r="J267" s="231"/>
      <c r="K267" s="231"/>
      <c r="L267" s="231"/>
      <c r="M267" s="231"/>
      <c r="N267" s="231"/>
      <c r="O267" s="231"/>
      <c r="P267" s="231"/>
      <c r="Q267" s="231"/>
      <c r="R267" s="231"/>
      <c r="S267" s="231"/>
      <c r="T267" s="231"/>
      <c r="U267" s="231"/>
      <c r="V267" s="231"/>
      <c r="W267" s="231"/>
      <c r="X267" s="231"/>
      <c r="Y267" s="231"/>
      <c r="Z267" s="231"/>
      <c r="AA267" s="231"/>
      <c r="AB267" s="231"/>
      <c r="AC267" s="231"/>
      <c r="AD267" s="231"/>
      <c r="AE267" s="231"/>
      <c r="AF267" s="231"/>
      <c r="AG267" s="231"/>
      <c r="AH267" s="231"/>
    </row>
    <row r="268" spans="1:34" s="203" customFormat="1">
      <c r="A268" s="826">
        <v>2</v>
      </c>
      <c r="B268" s="166" t="s">
        <v>205</v>
      </c>
      <c r="C268" s="166"/>
      <c r="D268" s="47"/>
      <c r="E268" s="114">
        <v>90</v>
      </c>
      <c r="F268" s="52">
        <v>286</v>
      </c>
      <c r="G268" s="118"/>
      <c r="H268" s="122">
        <v>286</v>
      </c>
      <c r="I268" s="21"/>
      <c r="J268" s="231"/>
      <c r="K268" s="231"/>
      <c r="L268" s="231"/>
      <c r="M268" s="231"/>
      <c r="N268" s="231"/>
      <c r="O268" s="231"/>
      <c r="P268" s="231"/>
      <c r="Q268" s="231"/>
      <c r="R268" s="231"/>
      <c r="S268" s="231"/>
      <c r="T268" s="231"/>
      <c r="U268" s="231"/>
      <c r="V268" s="231"/>
      <c r="W268" s="231"/>
      <c r="X268" s="231"/>
      <c r="Y268" s="231"/>
      <c r="Z268" s="231"/>
      <c r="AA268" s="231"/>
      <c r="AB268" s="231"/>
      <c r="AC268" s="231"/>
      <c r="AD268" s="231"/>
      <c r="AE268" s="231"/>
      <c r="AF268" s="231"/>
      <c r="AG268" s="231"/>
      <c r="AH268" s="231"/>
    </row>
    <row r="269" spans="1:34" s="203" customFormat="1">
      <c r="A269" s="120">
        <v>3</v>
      </c>
      <c r="B269" s="47" t="s">
        <v>206</v>
      </c>
      <c r="C269" s="47"/>
      <c r="D269" s="168"/>
      <c r="E269" s="114">
        <v>10</v>
      </c>
      <c r="F269" s="52">
        <v>32</v>
      </c>
      <c r="G269" s="118"/>
      <c r="H269" s="122">
        <v>32</v>
      </c>
      <c r="I269" s="21"/>
      <c r="J269" s="231"/>
      <c r="K269" s="231"/>
      <c r="L269" s="231"/>
      <c r="M269" s="231"/>
      <c r="N269" s="231"/>
      <c r="O269" s="231"/>
      <c r="P269" s="231"/>
      <c r="Q269" s="231"/>
      <c r="R269" s="231"/>
      <c r="S269" s="231"/>
      <c r="T269" s="231"/>
      <c r="U269" s="231"/>
      <c r="V269" s="231"/>
      <c r="W269" s="231"/>
      <c r="X269" s="231"/>
      <c r="Y269" s="231"/>
      <c r="Z269" s="231"/>
      <c r="AA269" s="231"/>
      <c r="AB269" s="231"/>
      <c r="AC269" s="231"/>
      <c r="AD269" s="231"/>
      <c r="AE269" s="231"/>
      <c r="AF269" s="231"/>
      <c r="AG269" s="231"/>
      <c r="AH269" s="231"/>
    </row>
    <row r="270" spans="1:34" s="203" customFormat="1">
      <c r="A270" s="826">
        <v>4</v>
      </c>
      <c r="B270" s="47" t="s">
        <v>207</v>
      </c>
      <c r="C270" s="47"/>
      <c r="D270" s="116"/>
      <c r="E270" s="114">
        <v>0</v>
      </c>
      <c r="F270" s="52">
        <v>0</v>
      </c>
      <c r="G270" s="118"/>
      <c r="H270" s="122">
        <v>0</v>
      </c>
      <c r="I270" s="21"/>
      <c r="J270" s="231"/>
      <c r="K270" s="231"/>
      <c r="L270" s="231"/>
      <c r="M270" s="231"/>
      <c r="N270" s="231"/>
      <c r="O270" s="231"/>
      <c r="P270" s="231"/>
      <c r="Q270" s="231"/>
      <c r="R270" s="231"/>
      <c r="S270" s="231"/>
      <c r="T270" s="231"/>
      <c r="U270" s="231"/>
      <c r="V270" s="231"/>
      <c r="W270" s="231"/>
      <c r="X270" s="231"/>
      <c r="Y270" s="231"/>
      <c r="Z270" s="231"/>
      <c r="AA270" s="231"/>
      <c r="AB270" s="231"/>
      <c r="AC270" s="231"/>
      <c r="AD270" s="231"/>
      <c r="AE270" s="231"/>
      <c r="AF270" s="231"/>
      <c r="AG270" s="231"/>
      <c r="AH270" s="231"/>
    </row>
    <row r="271" spans="1:34" s="203" customFormat="1">
      <c r="A271" s="120">
        <v>5</v>
      </c>
      <c r="B271" s="47" t="s">
        <v>208</v>
      </c>
      <c r="C271" s="47"/>
      <c r="D271" s="47"/>
      <c r="E271" s="114">
        <v>155</v>
      </c>
      <c r="F271" s="52">
        <v>155</v>
      </c>
      <c r="G271" s="118"/>
      <c r="H271" s="122">
        <v>155</v>
      </c>
      <c r="I271" s="21"/>
      <c r="J271" s="231"/>
      <c r="K271" s="231"/>
      <c r="L271" s="231"/>
      <c r="M271" s="231"/>
      <c r="N271" s="231"/>
      <c r="O271" s="231"/>
      <c r="P271" s="231"/>
      <c r="Q271" s="231"/>
      <c r="R271" s="231"/>
      <c r="S271" s="231"/>
      <c r="T271" s="231"/>
      <c r="U271" s="231"/>
      <c r="V271" s="231"/>
      <c r="W271" s="231"/>
      <c r="X271" s="231"/>
      <c r="Y271" s="231"/>
      <c r="Z271" s="231"/>
      <c r="AA271" s="231"/>
      <c r="AB271" s="231"/>
      <c r="AC271" s="231"/>
      <c r="AD271" s="231"/>
      <c r="AE271" s="231"/>
      <c r="AF271" s="231"/>
      <c r="AG271" s="231"/>
      <c r="AH271" s="231"/>
    </row>
    <row r="272" spans="1:34" s="203" customFormat="1">
      <c r="A272" s="826">
        <v>6</v>
      </c>
      <c r="B272" s="47" t="s">
        <v>209</v>
      </c>
      <c r="C272" s="47"/>
      <c r="D272" s="47"/>
      <c r="E272" s="114">
        <v>725</v>
      </c>
      <c r="F272" s="52">
        <v>319</v>
      </c>
      <c r="G272" s="118"/>
      <c r="H272" s="122">
        <v>725</v>
      </c>
      <c r="I272" s="21"/>
      <c r="J272" s="231"/>
      <c r="K272" s="231"/>
      <c r="L272" s="231"/>
      <c r="M272" s="231"/>
      <c r="N272" s="231"/>
      <c r="O272" s="231"/>
      <c r="P272" s="231"/>
      <c r="Q272" s="231"/>
      <c r="R272" s="231"/>
      <c r="S272" s="231"/>
      <c r="T272" s="231"/>
      <c r="U272" s="231"/>
      <c r="V272" s="231"/>
      <c r="W272" s="231"/>
      <c r="X272" s="231"/>
      <c r="Y272" s="231"/>
      <c r="Z272" s="231"/>
      <c r="AA272" s="231"/>
      <c r="AB272" s="231"/>
      <c r="AC272" s="231"/>
      <c r="AD272" s="231"/>
      <c r="AE272" s="231"/>
      <c r="AF272" s="231"/>
      <c r="AG272" s="231"/>
      <c r="AH272" s="231"/>
    </row>
    <row r="273" spans="1:34" s="203" customFormat="1">
      <c r="A273" s="120">
        <v>7</v>
      </c>
      <c r="B273" s="47" t="s">
        <v>210</v>
      </c>
      <c r="C273" s="47"/>
      <c r="D273" s="47"/>
      <c r="E273" s="114">
        <v>2947</v>
      </c>
      <c r="F273" s="52">
        <v>4367</v>
      </c>
      <c r="G273" s="118"/>
      <c r="H273" s="122">
        <v>3538</v>
      </c>
      <c r="I273" s="21"/>
      <c r="J273" s="231"/>
      <c r="K273" s="231"/>
      <c r="L273" s="231"/>
      <c r="M273" s="231"/>
      <c r="N273" s="231"/>
      <c r="O273" s="231"/>
      <c r="P273" s="231"/>
      <c r="Q273" s="231"/>
      <c r="R273" s="231"/>
      <c r="S273" s="231"/>
      <c r="T273" s="231"/>
      <c r="U273" s="231"/>
      <c r="V273" s="231"/>
      <c r="W273" s="231"/>
      <c r="X273" s="231"/>
      <c r="Y273" s="231"/>
      <c r="Z273" s="231"/>
      <c r="AA273" s="231"/>
      <c r="AB273" s="231"/>
      <c r="AC273" s="231"/>
      <c r="AD273" s="231"/>
      <c r="AE273" s="231"/>
      <c r="AF273" s="231"/>
      <c r="AG273" s="231"/>
      <c r="AH273" s="231"/>
    </row>
    <row r="274" spans="1:34" s="203" customFormat="1">
      <c r="A274" s="826">
        <v>8</v>
      </c>
      <c r="B274" s="47" t="s">
        <v>211</v>
      </c>
      <c r="C274" s="47"/>
      <c r="D274" s="47"/>
      <c r="E274" s="114">
        <v>3838</v>
      </c>
      <c r="F274" s="52">
        <v>1325</v>
      </c>
      <c r="G274" s="118"/>
      <c r="H274" s="122">
        <v>1331</v>
      </c>
      <c r="I274" s="21"/>
      <c r="J274" s="231"/>
      <c r="K274" s="231"/>
      <c r="L274" s="231"/>
      <c r="M274" s="231"/>
      <c r="N274" s="231"/>
      <c r="O274" s="231"/>
      <c r="P274" s="231"/>
      <c r="Q274" s="231"/>
      <c r="R274" s="231"/>
      <c r="S274" s="231"/>
      <c r="T274" s="231"/>
      <c r="U274" s="231"/>
      <c r="V274" s="231"/>
      <c r="W274" s="231"/>
      <c r="X274" s="231"/>
      <c r="Y274" s="231"/>
      <c r="Z274" s="231"/>
      <c r="AA274" s="231"/>
      <c r="AB274" s="231"/>
      <c r="AC274" s="231"/>
      <c r="AD274" s="231"/>
      <c r="AE274" s="231"/>
      <c r="AF274" s="231"/>
      <c r="AG274" s="231"/>
      <c r="AH274" s="231"/>
    </row>
    <row r="275" spans="1:34" s="203" customFormat="1">
      <c r="A275" s="120">
        <v>9</v>
      </c>
      <c r="B275" s="47" t="s">
        <v>212</v>
      </c>
      <c r="C275" s="47"/>
      <c r="D275" s="47"/>
      <c r="E275" s="114">
        <v>392</v>
      </c>
      <c r="F275" s="52">
        <v>392</v>
      </c>
      <c r="G275" s="118"/>
      <c r="H275" s="122">
        <v>392</v>
      </c>
      <c r="I275" s="21"/>
      <c r="J275" s="231"/>
      <c r="K275" s="231"/>
      <c r="L275" s="231"/>
      <c r="M275" s="231"/>
      <c r="N275" s="231"/>
      <c r="O275" s="231"/>
      <c r="P275" s="231"/>
      <c r="Q275" s="231"/>
      <c r="R275" s="231"/>
      <c r="S275" s="231"/>
      <c r="T275" s="231"/>
      <c r="U275" s="231"/>
      <c r="V275" s="231"/>
      <c r="W275" s="231"/>
      <c r="X275" s="231"/>
      <c r="Y275" s="231"/>
      <c r="Z275" s="231"/>
      <c r="AA275" s="231"/>
      <c r="AB275" s="231"/>
      <c r="AC275" s="231"/>
      <c r="AD275" s="231"/>
      <c r="AE275" s="231"/>
      <c r="AF275" s="231"/>
      <c r="AG275" s="231"/>
      <c r="AH275" s="231"/>
    </row>
    <row r="276" spans="1:34" s="203" customFormat="1">
      <c r="A276" s="826">
        <v>10</v>
      </c>
      <c r="B276" s="47" t="s">
        <v>213</v>
      </c>
      <c r="C276" s="47"/>
      <c r="D276" s="47"/>
      <c r="E276" s="114">
        <v>3451</v>
      </c>
      <c r="F276" s="52">
        <v>3598</v>
      </c>
      <c r="G276" s="118"/>
      <c r="H276" s="99">
        <v>3304</v>
      </c>
      <c r="I276" s="21"/>
      <c r="J276" s="231"/>
      <c r="K276" s="231"/>
      <c r="L276" s="231"/>
      <c r="M276" s="231"/>
      <c r="N276" s="231"/>
      <c r="O276" s="231"/>
      <c r="P276" s="231"/>
      <c r="Q276" s="231"/>
      <c r="R276" s="231"/>
      <c r="S276" s="231"/>
      <c r="T276" s="231"/>
      <c r="U276" s="231"/>
      <c r="V276" s="231"/>
      <c r="W276" s="231"/>
      <c r="X276" s="231"/>
      <c r="Y276" s="231"/>
      <c r="Z276" s="231"/>
      <c r="AA276" s="231"/>
      <c r="AB276" s="231"/>
      <c r="AC276" s="231"/>
      <c r="AD276" s="231"/>
      <c r="AE276" s="231"/>
      <c r="AF276" s="231"/>
      <c r="AG276" s="231"/>
      <c r="AH276" s="231"/>
    </row>
    <row r="277" spans="1:34" s="203" customFormat="1">
      <c r="A277" s="124">
        <v>11</v>
      </c>
      <c r="B277" s="94" t="s">
        <v>214</v>
      </c>
      <c r="C277" s="94"/>
      <c r="D277" s="94"/>
      <c r="E277" s="159">
        <v>11608</v>
      </c>
      <c r="F277" s="61">
        <f>SUM(F267:F276)</f>
        <v>10474</v>
      </c>
      <c r="G277" s="118"/>
      <c r="H277" s="61">
        <f>SUM(H267:H276)</f>
        <v>9763</v>
      </c>
      <c r="I277" s="21"/>
      <c r="J277" s="231"/>
      <c r="K277" s="231"/>
      <c r="L277" s="231"/>
      <c r="M277" s="231"/>
      <c r="N277" s="231"/>
      <c r="O277" s="231"/>
      <c r="P277" s="231"/>
      <c r="Q277" s="231"/>
      <c r="R277" s="231"/>
      <c r="S277" s="231"/>
      <c r="T277" s="231"/>
      <c r="U277" s="231"/>
      <c r="V277" s="231"/>
      <c r="W277" s="231"/>
      <c r="X277" s="231"/>
      <c r="Y277" s="231"/>
      <c r="Z277" s="231"/>
      <c r="AA277" s="231"/>
      <c r="AB277" s="231"/>
      <c r="AC277" s="231"/>
      <c r="AD277" s="231"/>
      <c r="AE277" s="231"/>
      <c r="AF277" s="231"/>
      <c r="AG277" s="231"/>
      <c r="AH277" s="231"/>
    </row>
    <row r="278" spans="1:34" s="203" customFormat="1">
      <c r="A278" s="207"/>
      <c r="B278" s="207"/>
      <c r="C278" s="207"/>
      <c r="D278" s="207"/>
      <c r="E278" s="207"/>
      <c r="F278" s="207"/>
      <c r="G278" s="207"/>
      <c r="H278" s="207"/>
      <c r="I278" s="21"/>
      <c r="J278" s="231"/>
      <c r="K278" s="231"/>
      <c r="L278" s="231"/>
      <c r="M278" s="231"/>
      <c r="N278" s="231"/>
      <c r="O278" s="231"/>
      <c r="P278" s="231"/>
      <c r="Q278" s="231"/>
      <c r="R278" s="231"/>
      <c r="S278" s="231"/>
      <c r="T278" s="231"/>
      <c r="U278" s="231"/>
      <c r="V278" s="231"/>
      <c r="W278" s="231"/>
      <c r="X278" s="231"/>
      <c r="Y278" s="231"/>
      <c r="Z278" s="231"/>
      <c r="AA278" s="231"/>
      <c r="AB278" s="231"/>
      <c r="AC278" s="231"/>
      <c r="AD278" s="231"/>
      <c r="AE278" s="231"/>
      <c r="AF278" s="231"/>
      <c r="AG278" s="231"/>
      <c r="AH278" s="231"/>
    </row>
    <row r="279" spans="1:34" s="203" customFormat="1">
      <c r="A279" s="207"/>
      <c r="B279" s="207"/>
      <c r="C279" s="207"/>
      <c r="D279" s="207"/>
      <c r="E279" s="207"/>
      <c r="F279" s="207"/>
      <c r="G279" s="207"/>
      <c r="H279" s="131" t="s">
        <v>27</v>
      </c>
      <c r="I279" s="21"/>
      <c r="J279" s="231"/>
      <c r="K279" s="231"/>
      <c r="L279" s="231"/>
      <c r="M279" s="231"/>
      <c r="N279" s="231"/>
      <c r="O279" s="231"/>
      <c r="P279" s="231"/>
      <c r="Q279" s="231"/>
      <c r="R279" s="231"/>
      <c r="S279" s="231"/>
      <c r="T279" s="231"/>
      <c r="U279" s="231"/>
      <c r="V279" s="231"/>
      <c r="W279" s="231"/>
      <c r="X279" s="231"/>
      <c r="Y279" s="231"/>
      <c r="Z279" s="231"/>
      <c r="AA279" s="231"/>
      <c r="AB279" s="231"/>
      <c r="AC279" s="231"/>
      <c r="AD279" s="231"/>
      <c r="AE279" s="231"/>
      <c r="AF279" s="231"/>
      <c r="AG279" s="231"/>
      <c r="AH279" s="231"/>
    </row>
    <row r="280" spans="1:34" s="203" customFormat="1" ht="12.75" customHeight="1">
      <c r="A280" s="106" t="s">
        <v>18</v>
      </c>
      <c r="B280" s="164"/>
      <c r="C280" s="164"/>
      <c r="D280" s="164"/>
      <c r="E280" s="856" t="s">
        <v>377</v>
      </c>
      <c r="F280" s="856" t="s">
        <v>402</v>
      </c>
      <c r="G280" s="130"/>
      <c r="H280" s="856" t="s">
        <v>403</v>
      </c>
      <c r="I280" s="21"/>
      <c r="J280" s="231"/>
      <c r="K280" s="231"/>
      <c r="L280" s="231"/>
      <c r="M280" s="231"/>
      <c r="N280" s="231"/>
      <c r="O280" s="231"/>
      <c r="P280" s="231"/>
      <c r="Q280" s="231"/>
      <c r="R280" s="231"/>
      <c r="S280" s="231"/>
      <c r="T280" s="231"/>
      <c r="U280" s="231"/>
      <c r="V280" s="231"/>
      <c r="W280" s="231"/>
      <c r="X280" s="231"/>
      <c r="Y280" s="231"/>
      <c r="Z280" s="231"/>
      <c r="AA280" s="231"/>
      <c r="AB280" s="231"/>
      <c r="AC280" s="231"/>
      <c r="AD280" s="231"/>
      <c r="AE280" s="231"/>
      <c r="AF280" s="231"/>
      <c r="AG280" s="231"/>
      <c r="AH280" s="231"/>
    </row>
    <row r="281" spans="1:34" s="203" customFormat="1">
      <c r="A281" s="165"/>
      <c r="B281" s="47"/>
      <c r="C281" s="47"/>
      <c r="D281" s="47"/>
      <c r="E281" s="859"/>
      <c r="F281" s="859"/>
      <c r="G281" s="130"/>
      <c r="H281" s="859"/>
      <c r="I281" s="21"/>
      <c r="J281" s="231"/>
      <c r="K281" s="231"/>
      <c r="L281" s="231"/>
      <c r="M281" s="231"/>
      <c r="N281" s="231"/>
      <c r="O281" s="231"/>
      <c r="P281" s="231"/>
      <c r="Q281" s="231"/>
      <c r="R281" s="231"/>
      <c r="S281" s="231"/>
      <c r="T281" s="231"/>
      <c r="U281" s="231"/>
      <c r="V281" s="231"/>
      <c r="W281" s="231"/>
      <c r="X281" s="231"/>
      <c r="Y281" s="231"/>
      <c r="Z281" s="231"/>
      <c r="AA281" s="231"/>
      <c r="AB281" s="231"/>
      <c r="AC281" s="231"/>
      <c r="AD281" s="231"/>
      <c r="AE281" s="231"/>
      <c r="AF281" s="231"/>
      <c r="AG281" s="231"/>
      <c r="AH281" s="231"/>
    </row>
    <row r="282" spans="1:34" s="203" customFormat="1" ht="21.75" customHeight="1">
      <c r="A282" s="109"/>
      <c r="B282" s="174"/>
      <c r="C282" s="174"/>
      <c r="D282" s="174"/>
      <c r="E282" s="859"/>
      <c r="F282" s="859"/>
      <c r="G282" s="130"/>
      <c r="H282" s="859"/>
      <c r="I282" s="21"/>
      <c r="J282" s="231"/>
      <c r="K282" s="231"/>
      <c r="L282" s="231"/>
      <c r="M282" s="231"/>
      <c r="N282" s="231"/>
      <c r="O282" s="231"/>
      <c r="P282" s="231"/>
      <c r="Q282" s="231"/>
      <c r="R282" s="231"/>
      <c r="S282" s="231"/>
      <c r="T282" s="231"/>
      <c r="U282" s="231"/>
      <c r="V282" s="231"/>
      <c r="W282" s="231"/>
      <c r="X282" s="231"/>
      <c r="Y282" s="231"/>
      <c r="Z282" s="231"/>
      <c r="AA282" s="231"/>
      <c r="AB282" s="231"/>
      <c r="AC282" s="231"/>
      <c r="AD282" s="231"/>
      <c r="AE282" s="231"/>
      <c r="AF282" s="231"/>
      <c r="AG282" s="231"/>
      <c r="AH282" s="231"/>
    </row>
    <row r="283" spans="1:34" s="203" customFormat="1">
      <c r="A283" s="154" t="s">
        <v>215</v>
      </c>
      <c r="B283" s="47"/>
      <c r="C283" s="47"/>
      <c r="D283" s="47"/>
      <c r="E283" s="859"/>
      <c r="F283" s="859"/>
      <c r="G283" s="130"/>
      <c r="H283" s="859"/>
      <c r="I283" s="21"/>
      <c r="J283" s="231"/>
      <c r="K283" s="231"/>
      <c r="L283" s="231"/>
      <c r="M283" s="231"/>
      <c r="N283" s="231"/>
      <c r="O283" s="231"/>
      <c r="P283" s="231"/>
      <c r="Q283" s="231"/>
      <c r="R283" s="231"/>
      <c r="S283" s="231"/>
      <c r="T283" s="231"/>
      <c r="U283" s="231"/>
      <c r="V283" s="231"/>
      <c r="W283" s="231"/>
      <c r="X283" s="231"/>
      <c r="Y283" s="231"/>
      <c r="Z283" s="231"/>
      <c r="AA283" s="231"/>
      <c r="AB283" s="231"/>
      <c r="AC283" s="231"/>
      <c r="AD283" s="231"/>
      <c r="AE283" s="231"/>
      <c r="AF283" s="231"/>
      <c r="AG283" s="231"/>
      <c r="AH283" s="231"/>
    </row>
    <row r="284" spans="1:34" s="203" customFormat="1">
      <c r="A284" s="109" t="s">
        <v>83</v>
      </c>
      <c r="B284" s="174"/>
      <c r="C284" s="174"/>
      <c r="D284" s="174"/>
      <c r="E284" s="860"/>
      <c r="F284" s="860"/>
      <c r="G284" s="130"/>
      <c r="H284" s="860"/>
      <c r="I284" s="21"/>
      <c r="J284" s="231"/>
      <c r="K284" s="231"/>
      <c r="L284" s="231"/>
      <c r="M284" s="231"/>
      <c r="N284" s="231"/>
      <c r="O284" s="231"/>
      <c r="P284" s="231"/>
      <c r="Q284" s="231"/>
      <c r="R284" s="231"/>
      <c r="S284" s="231"/>
      <c r="T284" s="231"/>
      <c r="U284" s="231"/>
      <c r="V284" s="231"/>
      <c r="W284" s="231"/>
      <c r="X284" s="231"/>
      <c r="Y284" s="231"/>
      <c r="Z284" s="231"/>
      <c r="AA284" s="231"/>
      <c r="AB284" s="231"/>
      <c r="AC284" s="231"/>
      <c r="AD284" s="231"/>
      <c r="AE284" s="231"/>
      <c r="AF284" s="231"/>
      <c r="AG284" s="231"/>
      <c r="AH284" s="231"/>
    </row>
    <row r="285" spans="1:34" s="203" customFormat="1">
      <c r="A285" s="110" t="s">
        <v>84</v>
      </c>
      <c r="B285" s="116"/>
      <c r="C285" s="116"/>
      <c r="D285" s="116"/>
      <c r="E285" s="178"/>
      <c r="F285" s="146"/>
      <c r="G285" s="118"/>
      <c r="H285" s="146"/>
      <c r="I285" s="21"/>
      <c r="J285" s="231"/>
      <c r="K285" s="231"/>
      <c r="L285" s="231"/>
      <c r="M285" s="231"/>
      <c r="N285" s="231"/>
      <c r="O285" s="231"/>
      <c r="P285" s="231"/>
      <c r="Q285" s="231"/>
      <c r="R285" s="231"/>
      <c r="S285" s="231"/>
      <c r="T285" s="231"/>
      <c r="U285" s="231"/>
      <c r="V285" s="231"/>
      <c r="W285" s="231"/>
      <c r="X285" s="231"/>
      <c r="Y285" s="231"/>
      <c r="Z285" s="231"/>
      <c r="AA285" s="231"/>
      <c r="AB285" s="231"/>
      <c r="AC285" s="231"/>
      <c r="AD285" s="231"/>
      <c r="AE285" s="231"/>
      <c r="AF285" s="231"/>
      <c r="AG285" s="231"/>
      <c r="AH285" s="231"/>
    </row>
    <row r="286" spans="1:34" s="203" customFormat="1">
      <c r="A286" s="120">
        <v>1</v>
      </c>
      <c r="B286" s="47" t="s">
        <v>216</v>
      </c>
      <c r="C286" s="47"/>
      <c r="D286" s="47"/>
      <c r="E286" s="74">
        <v>8</v>
      </c>
      <c r="F286" s="52">
        <v>258</v>
      </c>
      <c r="G286" s="118"/>
      <c r="H286" s="122">
        <v>400</v>
      </c>
      <c r="I286" s="21"/>
      <c r="J286" s="231"/>
      <c r="K286" s="231"/>
      <c r="L286" s="231"/>
      <c r="M286" s="231"/>
      <c r="N286" s="231"/>
      <c r="O286" s="231"/>
      <c r="P286" s="231"/>
      <c r="Q286" s="231"/>
      <c r="R286" s="231"/>
      <c r="S286" s="231"/>
      <c r="T286" s="231"/>
      <c r="U286" s="231"/>
      <c r="V286" s="231"/>
      <c r="W286" s="231"/>
      <c r="X286" s="231"/>
      <c r="Y286" s="231"/>
      <c r="Z286" s="231"/>
      <c r="AA286" s="231"/>
      <c r="AB286" s="231"/>
      <c r="AC286" s="231"/>
      <c r="AD286" s="231"/>
      <c r="AE286" s="231"/>
      <c r="AF286" s="231"/>
      <c r="AG286" s="231"/>
      <c r="AH286" s="231"/>
    </row>
    <row r="287" spans="1:34" s="203" customFormat="1">
      <c r="A287" s="826">
        <v>2</v>
      </c>
      <c r="B287" s="47" t="s">
        <v>217</v>
      </c>
      <c r="C287" s="47"/>
      <c r="D287" s="47"/>
      <c r="E287" s="114">
        <v>2</v>
      </c>
      <c r="F287" s="52">
        <v>82</v>
      </c>
      <c r="G287" s="118"/>
      <c r="H287" s="122">
        <v>127</v>
      </c>
      <c r="I287" s="21"/>
      <c r="J287" s="231"/>
      <c r="K287" s="231"/>
      <c r="L287" s="231"/>
      <c r="M287" s="231"/>
      <c r="N287" s="231"/>
      <c r="O287" s="231"/>
      <c r="P287" s="231"/>
      <c r="Q287" s="231"/>
      <c r="R287" s="231"/>
      <c r="S287" s="231"/>
      <c r="T287" s="231"/>
      <c r="U287" s="231"/>
      <c r="V287" s="231"/>
      <c r="W287" s="231"/>
      <c r="X287" s="231"/>
      <c r="Y287" s="231"/>
      <c r="Z287" s="231"/>
      <c r="AA287" s="231"/>
      <c r="AB287" s="231"/>
      <c r="AC287" s="231"/>
      <c r="AD287" s="231"/>
      <c r="AE287" s="231"/>
      <c r="AF287" s="231"/>
      <c r="AG287" s="231"/>
      <c r="AH287" s="231"/>
    </row>
    <row r="288" spans="1:34" s="203" customFormat="1">
      <c r="A288" s="120">
        <v>3</v>
      </c>
      <c r="B288" s="90" t="s">
        <v>218</v>
      </c>
      <c r="C288" s="166"/>
      <c r="D288" s="168"/>
      <c r="E288" s="114">
        <v>445</v>
      </c>
      <c r="F288" s="52">
        <v>408</v>
      </c>
      <c r="G288" s="118"/>
      <c r="H288" s="122">
        <v>190</v>
      </c>
      <c r="I288" s="21"/>
      <c r="J288" s="231"/>
      <c r="K288" s="231"/>
      <c r="L288" s="231"/>
      <c r="M288" s="231"/>
      <c r="N288" s="231"/>
      <c r="O288" s="231"/>
      <c r="P288" s="231"/>
      <c r="Q288" s="231"/>
      <c r="R288" s="231"/>
      <c r="S288" s="231"/>
      <c r="T288" s="231"/>
      <c r="U288" s="231"/>
      <c r="V288" s="231"/>
      <c r="W288" s="231"/>
      <c r="X288" s="231"/>
      <c r="Y288" s="231"/>
      <c r="Z288" s="231"/>
      <c r="AA288" s="231"/>
      <c r="AB288" s="231"/>
      <c r="AC288" s="231"/>
      <c r="AD288" s="231"/>
      <c r="AE288" s="231"/>
      <c r="AF288" s="231"/>
      <c r="AG288" s="231"/>
      <c r="AH288" s="231"/>
    </row>
    <row r="289" spans="1:34" s="203" customFormat="1">
      <c r="A289" s="826">
        <v>4</v>
      </c>
      <c r="B289" s="47" t="s">
        <v>219</v>
      </c>
      <c r="C289" s="47"/>
      <c r="D289" s="116"/>
      <c r="E289" s="114">
        <v>66</v>
      </c>
      <c r="F289" s="52">
        <v>65</v>
      </c>
      <c r="G289" s="118"/>
      <c r="H289" s="122">
        <v>68</v>
      </c>
      <c r="I289" s="21"/>
      <c r="J289" s="231"/>
      <c r="K289" s="231"/>
      <c r="L289" s="231"/>
      <c r="M289" s="231"/>
      <c r="N289" s="231"/>
      <c r="O289" s="231"/>
      <c r="P289" s="231"/>
      <c r="Q289" s="231"/>
      <c r="R289" s="231"/>
      <c r="S289" s="231"/>
      <c r="T289" s="231"/>
      <c r="U289" s="231"/>
      <c r="V289" s="231"/>
      <c r="W289" s="231"/>
      <c r="X289" s="231"/>
      <c r="Y289" s="231"/>
      <c r="Z289" s="231"/>
      <c r="AA289" s="231"/>
      <c r="AB289" s="231"/>
      <c r="AC289" s="231"/>
      <c r="AD289" s="231"/>
      <c r="AE289" s="231"/>
      <c r="AF289" s="231"/>
      <c r="AG289" s="231"/>
      <c r="AH289" s="231"/>
    </row>
    <row r="290" spans="1:34" s="203" customFormat="1">
      <c r="A290" s="826">
        <v>5</v>
      </c>
      <c r="B290" s="47" t="s">
        <v>220</v>
      </c>
      <c r="C290" s="47"/>
      <c r="D290" s="47"/>
      <c r="E290" s="114">
        <v>-138</v>
      </c>
      <c r="F290" s="52">
        <v>-139</v>
      </c>
      <c r="G290" s="118"/>
      <c r="H290" s="122">
        <v>-128</v>
      </c>
      <c r="I290" s="21"/>
      <c r="J290" s="231"/>
      <c r="K290" s="231"/>
      <c r="L290" s="231"/>
      <c r="M290" s="231"/>
      <c r="N290" s="231"/>
      <c r="O290" s="231"/>
      <c r="P290" s="231"/>
      <c r="Q290" s="231"/>
      <c r="R290" s="231"/>
      <c r="S290" s="231"/>
      <c r="T290" s="231"/>
      <c r="U290" s="231"/>
      <c r="V290" s="231"/>
      <c r="W290" s="231"/>
      <c r="X290" s="231"/>
      <c r="Y290" s="231"/>
      <c r="Z290" s="231"/>
      <c r="AA290" s="231"/>
      <c r="AB290" s="231"/>
      <c r="AC290" s="231"/>
      <c r="AD290" s="231"/>
      <c r="AE290" s="231"/>
      <c r="AF290" s="231"/>
      <c r="AG290" s="231"/>
      <c r="AH290" s="231"/>
    </row>
    <row r="291" spans="1:34" s="203" customFormat="1">
      <c r="A291" s="120">
        <v>6</v>
      </c>
      <c r="B291" s="47" t="s">
        <v>221</v>
      </c>
      <c r="C291" s="47"/>
      <c r="D291" s="47"/>
      <c r="E291" s="114">
        <v>15</v>
      </c>
      <c r="F291" s="52">
        <v>15</v>
      </c>
      <c r="G291" s="118"/>
      <c r="H291" s="122">
        <v>15</v>
      </c>
      <c r="I291" s="21"/>
      <c r="J291" s="231"/>
      <c r="K291" s="231"/>
      <c r="L291" s="231"/>
      <c r="M291" s="231"/>
      <c r="N291" s="231"/>
      <c r="O291" s="231"/>
      <c r="P291" s="231"/>
      <c r="Q291" s="231"/>
      <c r="R291" s="231"/>
      <c r="S291" s="231"/>
      <c r="T291" s="231"/>
      <c r="U291" s="231"/>
      <c r="V291" s="231"/>
      <c r="W291" s="231"/>
      <c r="X291" s="231"/>
      <c r="Y291" s="231"/>
      <c r="Z291" s="231"/>
      <c r="AA291" s="231"/>
      <c r="AB291" s="231"/>
      <c r="AC291" s="231"/>
      <c r="AD291" s="231"/>
      <c r="AE291" s="231"/>
      <c r="AF291" s="231"/>
      <c r="AG291" s="231"/>
      <c r="AH291" s="231"/>
    </row>
    <row r="292" spans="1:34" s="203" customFormat="1">
      <c r="A292" s="826">
        <v>7</v>
      </c>
      <c r="B292" s="47" t="s">
        <v>222</v>
      </c>
      <c r="C292" s="47"/>
      <c r="D292" s="116"/>
      <c r="E292" s="114">
        <v>274</v>
      </c>
      <c r="F292" s="52">
        <v>292</v>
      </c>
      <c r="G292" s="118"/>
      <c r="H292" s="122">
        <v>305</v>
      </c>
      <c r="I292" s="21"/>
      <c r="J292" s="231"/>
      <c r="K292" s="231"/>
      <c r="L292" s="231"/>
      <c r="M292" s="231"/>
      <c r="N292" s="231"/>
      <c r="O292" s="231"/>
      <c r="P292" s="231"/>
      <c r="Q292" s="231"/>
      <c r="R292" s="231"/>
      <c r="S292" s="231"/>
      <c r="T292" s="231"/>
      <c r="U292" s="231"/>
      <c r="V292" s="231"/>
      <c r="W292" s="231"/>
      <c r="X292" s="231"/>
      <c r="Y292" s="231"/>
      <c r="Z292" s="231"/>
      <c r="AA292" s="231"/>
      <c r="AB292" s="231"/>
      <c r="AC292" s="231"/>
      <c r="AD292" s="231"/>
      <c r="AE292" s="231"/>
      <c r="AF292" s="231"/>
      <c r="AG292" s="231"/>
      <c r="AH292" s="231"/>
    </row>
    <row r="293" spans="1:34" s="203" customFormat="1">
      <c r="A293" s="120">
        <v>8</v>
      </c>
      <c r="B293" s="47" t="s">
        <v>223</v>
      </c>
      <c r="C293" s="47"/>
      <c r="D293" s="116"/>
      <c r="E293" s="114">
        <v>433</v>
      </c>
      <c r="F293" s="52">
        <v>550</v>
      </c>
      <c r="G293" s="118"/>
      <c r="H293" s="122">
        <v>577</v>
      </c>
      <c r="I293" s="21"/>
      <c r="J293" s="231"/>
      <c r="K293" s="231"/>
      <c r="L293" s="231"/>
      <c r="M293" s="231"/>
      <c r="N293" s="231"/>
      <c r="O293" s="231"/>
      <c r="P293" s="231"/>
      <c r="Q293" s="231"/>
      <c r="R293" s="231"/>
      <c r="S293" s="231"/>
      <c r="T293" s="231"/>
      <c r="U293" s="231"/>
      <c r="V293" s="231"/>
      <c r="W293" s="231"/>
      <c r="X293" s="231"/>
      <c r="Y293" s="231"/>
      <c r="Z293" s="231"/>
      <c r="AA293" s="231"/>
      <c r="AB293" s="231"/>
      <c r="AC293" s="231"/>
      <c r="AD293" s="231"/>
      <c r="AE293" s="231"/>
      <c r="AF293" s="231"/>
      <c r="AG293" s="231"/>
      <c r="AH293" s="231"/>
    </row>
    <row r="294" spans="1:34" s="203" customFormat="1">
      <c r="A294" s="826">
        <v>9</v>
      </c>
      <c r="B294" s="47" t="s">
        <v>224</v>
      </c>
      <c r="C294" s="47"/>
      <c r="D294" s="116"/>
      <c r="E294" s="114">
        <v>388</v>
      </c>
      <c r="F294" s="52">
        <v>238</v>
      </c>
      <c r="G294" s="118"/>
      <c r="H294" s="122">
        <v>249</v>
      </c>
      <c r="I294" s="21"/>
      <c r="J294" s="231"/>
      <c r="K294" s="231"/>
      <c r="L294" s="231"/>
      <c r="M294" s="231"/>
      <c r="N294" s="231"/>
      <c r="O294" s="231"/>
      <c r="P294" s="231"/>
      <c r="Q294" s="231"/>
      <c r="R294" s="231"/>
      <c r="S294" s="231"/>
      <c r="T294" s="231"/>
      <c r="U294" s="231"/>
      <c r="V294" s="231"/>
      <c r="W294" s="231"/>
      <c r="X294" s="231"/>
      <c r="Y294" s="231"/>
      <c r="Z294" s="231"/>
      <c r="AA294" s="231"/>
      <c r="AB294" s="231"/>
      <c r="AC294" s="231"/>
      <c r="AD294" s="231"/>
      <c r="AE294" s="231"/>
      <c r="AF294" s="231"/>
      <c r="AG294" s="231"/>
      <c r="AH294" s="231"/>
    </row>
    <row r="295" spans="1:34" s="203" customFormat="1">
      <c r="A295" s="120">
        <v>10</v>
      </c>
      <c r="B295" s="47" t="s">
        <v>225</v>
      </c>
      <c r="C295" s="47"/>
      <c r="D295" s="47"/>
      <c r="E295" s="114">
        <v>631</v>
      </c>
      <c r="F295" s="52">
        <v>558</v>
      </c>
      <c r="G295" s="118"/>
      <c r="H295" s="122">
        <v>600</v>
      </c>
      <c r="I295" s="21"/>
      <c r="J295" s="231"/>
      <c r="K295" s="231"/>
      <c r="L295" s="231"/>
      <c r="M295" s="231"/>
      <c r="N295" s="231"/>
      <c r="O295" s="231"/>
      <c r="P295" s="231"/>
      <c r="Q295" s="231"/>
      <c r="R295" s="231"/>
      <c r="S295" s="231"/>
      <c r="T295" s="231"/>
      <c r="U295" s="231"/>
      <c r="V295" s="231"/>
      <c r="W295" s="231"/>
      <c r="X295" s="231"/>
      <c r="Y295" s="231"/>
      <c r="Z295" s="231"/>
      <c r="AA295" s="231"/>
      <c r="AB295" s="231"/>
      <c r="AC295" s="231"/>
      <c r="AD295" s="231"/>
      <c r="AE295" s="231"/>
      <c r="AF295" s="231"/>
      <c r="AG295" s="231"/>
      <c r="AH295" s="231"/>
    </row>
    <row r="296" spans="1:34" s="203" customFormat="1">
      <c r="A296" s="826">
        <v>11</v>
      </c>
      <c r="B296" s="47" t="s">
        <v>226</v>
      </c>
      <c r="C296" s="47"/>
      <c r="D296" s="47"/>
      <c r="E296" s="114">
        <v>122</v>
      </c>
      <c r="F296" s="52">
        <v>122</v>
      </c>
      <c r="G296" s="118"/>
      <c r="H296" s="122">
        <v>124</v>
      </c>
      <c r="I296" s="21"/>
      <c r="J296" s="231"/>
      <c r="K296" s="231"/>
      <c r="L296" s="231"/>
      <c r="M296" s="231"/>
      <c r="N296" s="231"/>
      <c r="O296" s="231"/>
      <c r="P296" s="231"/>
      <c r="Q296" s="231"/>
      <c r="R296" s="231"/>
      <c r="S296" s="231"/>
      <c r="T296" s="231"/>
      <c r="U296" s="231"/>
      <c r="V296" s="231"/>
      <c r="W296" s="231"/>
      <c r="X296" s="231"/>
      <c r="Y296" s="231"/>
      <c r="Z296" s="231"/>
      <c r="AA296" s="231"/>
      <c r="AB296" s="231"/>
      <c r="AC296" s="231"/>
      <c r="AD296" s="231"/>
      <c r="AE296" s="231"/>
      <c r="AF296" s="231"/>
      <c r="AG296" s="231"/>
      <c r="AH296" s="231"/>
    </row>
    <row r="297" spans="1:34" s="203" customFormat="1">
      <c r="A297" s="120">
        <v>12</v>
      </c>
      <c r="B297" s="47" t="s">
        <v>227</v>
      </c>
      <c r="C297" s="47"/>
      <c r="D297" s="47"/>
      <c r="E297" s="114">
        <v>-92</v>
      </c>
      <c r="F297" s="52">
        <v>-58</v>
      </c>
      <c r="G297" s="118"/>
      <c r="H297" s="122">
        <v>-90</v>
      </c>
      <c r="I297" s="21"/>
      <c r="J297" s="231"/>
      <c r="K297" s="231"/>
      <c r="L297" s="231"/>
      <c r="M297" s="231"/>
      <c r="N297" s="231"/>
      <c r="O297" s="231"/>
      <c r="P297" s="231"/>
      <c r="Q297" s="231"/>
      <c r="R297" s="231"/>
      <c r="S297" s="231"/>
      <c r="T297" s="231"/>
      <c r="U297" s="231"/>
      <c r="V297" s="231"/>
      <c r="W297" s="231"/>
      <c r="X297" s="231"/>
      <c r="Y297" s="231"/>
      <c r="Z297" s="231"/>
      <c r="AA297" s="231"/>
      <c r="AB297" s="231"/>
      <c r="AC297" s="231"/>
      <c r="AD297" s="231"/>
      <c r="AE297" s="231"/>
      <c r="AF297" s="231"/>
      <c r="AG297" s="231"/>
      <c r="AH297" s="231"/>
    </row>
    <row r="298" spans="1:34" s="203" customFormat="1">
      <c r="A298" s="826">
        <v>13</v>
      </c>
      <c r="B298" s="47" t="s">
        <v>228</v>
      </c>
      <c r="C298" s="47"/>
      <c r="D298" s="47"/>
      <c r="E298" s="114">
        <v>4371</v>
      </c>
      <c r="F298" s="52">
        <v>4347</v>
      </c>
      <c r="G298" s="118"/>
      <c r="H298" s="122">
        <v>4549</v>
      </c>
      <c r="I298" s="21"/>
      <c r="J298" s="231"/>
      <c r="K298" s="231"/>
      <c r="L298" s="231"/>
      <c r="M298" s="231"/>
      <c r="N298" s="231"/>
      <c r="O298" s="231"/>
      <c r="P298" s="231"/>
      <c r="Q298" s="231"/>
      <c r="R298" s="231"/>
      <c r="S298" s="231"/>
      <c r="T298" s="231"/>
      <c r="U298" s="231"/>
      <c r="V298" s="231"/>
      <c r="W298" s="231"/>
      <c r="X298" s="231"/>
      <c r="Y298" s="231"/>
      <c r="Z298" s="231"/>
      <c r="AA298" s="231"/>
      <c r="AB298" s="231"/>
      <c r="AC298" s="231"/>
      <c r="AD298" s="231"/>
      <c r="AE298" s="231"/>
      <c r="AF298" s="231"/>
      <c r="AG298" s="231"/>
      <c r="AH298" s="231"/>
    </row>
    <row r="299" spans="1:34" s="203" customFormat="1">
      <c r="A299" s="120">
        <v>14</v>
      </c>
      <c r="B299" s="47" t="s">
        <v>229</v>
      </c>
      <c r="C299" s="47"/>
      <c r="D299" s="116"/>
      <c r="E299" s="114">
        <v>0</v>
      </c>
      <c r="F299" s="52">
        <v>0</v>
      </c>
      <c r="G299" s="118"/>
      <c r="H299" s="122">
        <v>0</v>
      </c>
      <c r="I299" s="21"/>
      <c r="J299" s="231"/>
      <c r="K299" s="231"/>
      <c r="L299" s="231"/>
      <c r="M299" s="231"/>
      <c r="N299" s="231"/>
      <c r="O299" s="231"/>
      <c r="P299" s="231"/>
      <c r="Q299" s="231"/>
      <c r="R299" s="231"/>
      <c r="S299" s="231"/>
      <c r="T299" s="231"/>
      <c r="U299" s="231"/>
      <c r="V299" s="231"/>
      <c r="W299" s="231"/>
      <c r="X299" s="231"/>
      <c r="Y299" s="231"/>
      <c r="Z299" s="231"/>
      <c r="AA299" s="231"/>
      <c r="AB299" s="231"/>
      <c r="AC299" s="231"/>
      <c r="AD299" s="231"/>
      <c r="AE299" s="231"/>
      <c r="AF299" s="231"/>
      <c r="AG299" s="231"/>
      <c r="AH299" s="231"/>
    </row>
    <row r="300" spans="1:34" s="203" customFormat="1">
      <c r="A300" s="826">
        <v>15</v>
      </c>
      <c r="B300" s="47" t="s">
        <v>230</v>
      </c>
      <c r="C300" s="47"/>
      <c r="D300" s="116"/>
      <c r="E300" s="114">
        <v>269</v>
      </c>
      <c r="F300" s="52">
        <v>140</v>
      </c>
      <c r="G300" s="118"/>
      <c r="H300" s="122">
        <v>140</v>
      </c>
      <c r="I300" s="21"/>
      <c r="J300" s="231"/>
      <c r="K300" s="231"/>
      <c r="L300" s="231"/>
      <c r="M300" s="231"/>
      <c r="N300" s="231"/>
      <c r="O300" s="231"/>
      <c r="P300" s="231"/>
      <c r="Q300" s="231"/>
      <c r="R300" s="231"/>
      <c r="S300" s="231"/>
      <c r="T300" s="231"/>
      <c r="U300" s="231"/>
      <c r="V300" s="231"/>
      <c r="W300" s="231"/>
      <c r="X300" s="231"/>
      <c r="Y300" s="231"/>
      <c r="Z300" s="231"/>
      <c r="AA300" s="231"/>
      <c r="AB300" s="231"/>
      <c r="AC300" s="231"/>
      <c r="AD300" s="231"/>
      <c r="AE300" s="231"/>
      <c r="AF300" s="231"/>
      <c r="AG300" s="231"/>
      <c r="AH300" s="231"/>
    </row>
    <row r="301" spans="1:34" s="203" customFormat="1">
      <c r="A301" s="120">
        <v>17</v>
      </c>
      <c r="B301" s="47" t="s">
        <v>231</v>
      </c>
      <c r="C301" s="47"/>
      <c r="D301" s="47"/>
      <c r="E301" s="114">
        <v>6971</v>
      </c>
      <c r="F301" s="52">
        <v>6540</v>
      </c>
      <c r="G301" s="118"/>
      <c r="H301" s="99">
        <v>4198</v>
      </c>
      <c r="I301" s="21"/>
      <c r="J301" s="231"/>
      <c r="K301" s="231"/>
      <c r="L301" s="231"/>
      <c r="M301" s="231"/>
      <c r="N301" s="231"/>
      <c r="O301" s="231"/>
      <c r="P301" s="231"/>
      <c r="Q301" s="231"/>
      <c r="R301" s="231"/>
      <c r="S301" s="231"/>
      <c r="T301" s="231"/>
      <c r="U301" s="231"/>
      <c r="V301" s="231"/>
      <c r="W301" s="231"/>
      <c r="X301" s="231"/>
      <c r="Y301" s="231"/>
      <c r="Z301" s="231"/>
      <c r="AA301" s="231"/>
      <c r="AB301" s="231"/>
      <c r="AC301" s="231"/>
      <c r="AD301" s="231"/>
      <c r="AE301" s="231"/>
      <c r="AF301" s="231"/>
      <c r="AG301" s="231"/>
      <c r="AH301" s="231"/>
    </row>
    <row r="302" spans="1:34" s="203" customFormat="1">
      <c r="A302" s="827">
        <v>18</v>
      </c>
      <c r="B302" s="94" t="s">
        <v>232</v>
      </c>
      <c r="C302" s="94"/>
      <c r="D302" s="94"/>
      <c r="E302" s="159">
        <v>13765</v>
      </c>
      <c r="F302" s="61">
        <f>SUM(F286:F301)</f>
        <v>13418</v>
      </c>
      <c r="G302" s="118"/>
      <c r="H302" s="61">
        <f>SUM(H286:H301)</f>
        <v>11324</v>
      </c>
      <c r="I302" s="21"/>
      <c r="J302" s="231"/>
      <c r="K302" s="231"/>
      <c r="L302" s="231"/>
      <c r="M302" s="231"/>
      <c r="N302" s="231"/>
      <c r="O302" s="231"/>
      <c r="P302" s="231"/>
      <c r="Q302" s="231"/>
      <c r="R302" s="231"/>
      <c r="S302" s="231"/>
      <c r="T302" s="231"/>
      <c r="U302" s="231"/>
      <c r="V302" s="231"/>
      <c r="W302" s="231"/>
      <c r="X302" s="231"/>
      <c r="Y302" s="231"/>
      <c r="Z302" s="231"/>
      <c r="AA302" s="231"/>
      <c r="AB302" s="231"/>
      <c r="AC302" s="231"/>
      <c r="AD302" s="231"/>
      <c r="AE302" s="231"/>
      <c r="AF302" s="231"/>
      <c r="AG302" s="231"/>
      <c r="AH302" s="231"/>
    </row>
    <row r="303" spans="1:34" s="203" customFormat="1">
      <c r="A303" s="179"/>
      <c r="B303" s="180"/>
      <c r="C303" s="180"/>
      <c r="D303" s="181"/>
      <c r="E303" s="182"/>
      <c r="F303" s="183"/>
      <c r="G303" s="21"/>
      <c r="H303" s="183"/>
      <c r="I303" s="21"/>
      <c r="J303" s="231"/>
      <c r="K303" s="231"/>
      <c r="L303" s="231"/>
      <c r="M303" s="231"/>
      <c r="N303" s="231"/>
      <c r="O303" s="231"/>
      <c r="P303" s="231"/>
      <c r="Q303" s="231"/>
      <c r="R303" s="231"/>
      <c r="S303" s="231"/>
      <c r="T303" s="231"/>
      <c r="U303" s="231"/>
      <c r="V303" s="231"/>
      <c r="W303" s="231"/>
      <c r="X303" s="231"/>
      <c r="Y303" s="231"/>
      <c r="Z303" s="231"/>
      <c r="AA303" s="231"/>
      <c r="AB303" s="231"/>
      <c r="AC303" s="231"/>
      <c r="AD303" s="231"/>
      <c r="AE303" s="231"/>
      <c r="AF303" s="231"/>
      <c r="AG303" s="231"/>
      <c r="AH303" s="231"/>
    </row>
    <row r="304" spans="1:34" s="203" customFormat="1">
      <c r="A304" s="184"/>
      <c r="B304" s="207"/>
      <c r="C304" s="207"/>
      <c r="D304" s="209"/>
      <c r="E304" s="185"/>
      <c r="F304" s="207"/>
      <c r="G304" s="207"/>
      <c r="H304" s="131" t="s">
        <v>27</v>
      </c>
      <c r="I304" s="21"/>
      <c r="J304" s="231"/>
      <c r="K304" s="231"/>
      <c r="L304" s="231"/>
      <c r="M304" s="231"/>
      <c r="N304" s="231"/>
      <c r="O304" s="231"/>
      <c r="P304" s="231"/>
      <c r="Q304" s="231"/>
      <c r="R304" s="231"/>
      <c r="S304" s="231"/>
      <c r="T304" s="231"/>
      <c r="U304" s="231"/>
      <c r="V304" s="231"/>
      <c r="W304" s="231"/>
      <c r="X304" s="231"/>
      <c r="Y304" s="231"/>
      <c r="Z304" s="231"/>
      <c r="AA304" s="231"/>
      <c r="AB304" s="231"/>
      <c r="AC304" s="231"/>
      <c r="AD304" s="231"/>
      <c r="AE304" s="231"/>
      <c r="AF304" s="231"/>
      <c r="AG304" s="231"/>
      <c r="AH304" s="231"/>
    </row>
    <row r="305" spans="1:34" s="203" customFormat="1" ht="12.75" customHeight="1">
      <c r="A305" s="106" t="s">
        <v>21</v>
      </c>
      <c r="B305" s="164"/>
      <c r="C305" s="164"/>
      <c r="D305" s="164"/>
      <c r="E305" s="856" t="s">
        <v>377</v>
      </c>
      <c r="F305" s="856" t="s">
        <v>402</v>
      </c>
      <c r="G305" s="130"/>
      <c r="H305" s="856" t="s">
        <v>403</v>
      </c>
      <c r="I305" s="21"/>
      <c r="J305" s="231"/>
      <c r="K305" s="231"/>
      <c r="L305" s="231"/>
      <c r="M305" s="231"/>
      <c r="N305" s="231"/>
      <c r="O305" s="231"/>
      <c r="P305" s="231"/>
      <c r="Q305" s="231"/>
      <c r="R305" s="231"/>
      <c r="S305" s="231"/>
      <c r="T305" s="231"/>
      <c r="U305" s="231"/>
      <c r="V305" s="231"/>
      <c r="W305" s="231"/>
      <c r="X305" s="231"/>
      <c r="Y305" s="231"/>
      <c r="Z305" s="231"/>
      <c r="AA305" s="231"/>
      <c r="AB305" s="231"/>
      <c r="AC305" s="231"/>
      <c r="AD305" s="231"/>
      <c r="AE305" s="231"/>
      <c r="AF305" s="231"/>
      <c r="AG305" s="231"/>
      <c r="AH305" s="231"/>
    </row>
    <row r="306" spans="1:34" s="203" customFormat="1">
      <c r="A306" s="165"/>
      <c r="B306" s="47"/>
      <c r="C306" s="47"/>
      <c r="D306" s="47"/>
      <c r="E306" s="859"/>
      <c r="F306" s="859"/>
      <c r="G306" s="130"/>
      <c r="H306" s="859"/>
      <c r="I306" s="21"/>
      <c r="J306" s="231"/>
      <c r="K306" s="231"/>
      <c r="L306" s="231"/>
      <c r="M306" s="231"/>
      <c r="N306" s="231"/>
      <c r="O306" s="231"/>
      <c r="P306" s="231"/>
      <c r="Q306" s="231"/>
      <c r="R306" s="231"/>
      <c r="S306" s="231"/>
      <c r="T306" s="231"/>
      <c r="U306" s="231"/>
      <c r="V306" s="231"/>
      <c r="W306" s="231"/>
      <c r="X306" s="231"/>
      <c r="Y306" s="231"/>
      <c r="Z306" s="231"/>
      <c r="AA306" s="231"/>
      <c r="AB306" s="231"/>
      <c r="AC306" s="231"/>
      <c r="AD306" s="231"/>
      <c r="AE306" s="231"/>
      <c r="AF306" s="231"/>
      <c r="AG306" s="231"/>
      <c r="AH306" s="231"/>
    </row>
    <row r="307" spans="1:34" s="203" customFormat="1" ht="12.75" customHeight="1">
      <c r="A307" s="109"/>
      <c r="B307" s="174"/>
      <c r="C307" s="174"/>
      <c r="D307" s="174"/>
      <c r="E307" s="859"/>
      <c r="F307" s="859"/>
      <c r="G307" s="130"/>
      <c r="H307" s="859"/>
      <c r="I307" s="21"/>
      <c r="J307" s="231"/>
      <c r="K307" s="231"/>
      <c r="L307" s="231"/>
      <c r="M307" s="231"/>
      <c r="N307" s="231"/>
      <c r="O307" s="231"/>
      <c r="P307" s="231"/>
      <c r="Q307" s="231"/>
      <c r="R307" s="231"/>
      <c r="S307" s="231"/>
      <c r="T307" s="231"/>
      <c r="U307" s="231"/>
      <c r="V307" s="231"/>
      <c r="W307" s="231"/>
      <c r="X307" s="231"/>
      <c r="Y307" s="231"/>
      <c r="Z307" s="231"/>
      <c r="AA307" s="231"/>
      <c r="AB307" s="231"/>
      <c r="AC307" s="231"/>
      <c r="AD307" s="231"/>
      <c r="AE307" s="231"/>
      <c r="AF307" s="231"/>
      <c r="AG307" s="231"/>
      <c r="AH307" s="231"/>
    </row>
    <row r="308" spans="1:34" s="203" customFormat="1">
      <c r="A308" s="154" t="s">
        <v>233</v>
      </c>
      <c r="B308" s="47"/>
      <c r="C308" s="47"/>
      <c r="D308" s="47"/>
      <c r="E308" s="859"/>
      <c r="F308" s="859"/>
      <c r="G308" s="130"/>
      <c r="H308" s="859"/>
      <c r="I308" s="21"/>
      <c r="J308" s="231"/>
      <c r="K308" s="231"/>
      <c r="L308" s="231"/>
      <c r="M308" s="231"/>
      <c r="N308" s="231"/>
      <c r="O308" s="231"/>
      <c r="P308" s="231"/>
      <c r="Q308" s="231"/>
      <c r="R308" s="231"/>
      <c r="S308" s="231"/>
      <c r="T308" s="231"/>
      <c r="U308" s="231"/>
      <c r="V308" s="231"/>
      <c r="W308" s="231"/>
      <c r="X308" s="231"/>
      <c r="Y308" s="231"/>
      <c r="Z308" s="231"/>
      <c r="AA308" s="231"/>
      <c r="AB308" s="231"/>
      <c r="AC308" s="231"/>
      <c r="AD308" s="231"/>
      <c r="AE308" s="231"/>
      <c r="AF308" s="231"/>
      <c r="AG308" s="231"/>
      <c r="AH308" s="231"/>
    </row>
    <row r="309" spans="1:34" s="203" customFormat="1">
      <c r="A309" s="109" t="s">
        <v>83</v>
      </c>
      <c r="B309" s="174"/>
      <c r="C309" s="174"/>
      <c r="D309" s="174"/>
      <c r="E309" s="860"/>
      <c r="F309" s="860"/>
      <c r="G309" s="130"/>
      <c r="H309" s="860"/>
      <c r="I309" s="21"/>
      <c r="J309" s="231"/>
      <c r="K309" s="231"/>
      <c r="L309" s="231"/>
      <c r="M309" s="231"/>
      <c r="N309" s="231"/>
      <c r="O309" s="231"/>
      <c r="P309" s="231"/>
      <c r="Q309" s="231"/>
      <c r="R309" s="231"/>
      <c r="S309" s="231"/>
      <c r="T309" s="231"/>
      <c r="U309" s="231"/>
      <c r="V309" s="231"/>
      <c r="W309" s="231"/>
      <c r="X309" s="231"/>
      <c r="Y309" s="231"/>
      <c r="Z309" s="231"/>
      <c r="AA309" s="231"/>
      <c r="AB309" s="231"/>
      <c r="AC309" s="231"/>
      <c r="AD309" s="231"/>
      <c r="AE309" s="231"/>
      <c r="AF309" s="231"/>
      <c r="AG309" s="231"/>
      <c r="AH309" s="231"/>
    </row>
    <row r="310" spans="1:34" s="203" customFormat="1">
      <c r="A310" s="110" t="s">
        <v>84</v>
      </c>
      <c r="B310" s="116"/>
      <c r="C310" s="116"/>
      <c r="D310" s="116"/>
      <c r="E310" s="262"/>
      <c r="F310" s="146"/>
      <c r="G310" s="118"/>
      <c r="H310" s="146"/>
      <c r="I310" s="21"/>
      <c r="J310" s="231"/>
      <c r="K310" s="231"/>
      <c r="L310" s="231"/>
      <c r="M310" s="231"/>
      <c r="N310" s="231"/>
      <c r="O310" s="231"/>
      <c r="P310" s="231"/>
      <c r="Q310" s="231"/>
      <c r="R310" s="231"/>
      <c r="S310" s="231"/>
      <c r="T310" s="231"/>
      <c r="U310" s="231"/>
      <c r="V310" s="231"/>
      <c r="W310" s="231"/>
      <c r="X310" s="231"/>
      <c r="Y310" s="231"/>
      <c r="Z310" s="231"/>
      <c r="AA310" s="231"/>
      <c r="AB310" s="231"/>
      <c r="AC310" s="231"/>
      <c r="AD310" s="231"/>
      <c r="AE310" s="231"/>
      <c r="AF310" s="231"/>
      <c r="AG310" s="231"/>
      <c r="AH310" s="231"/>
    </row>
    <row r="311" spans="1:34" s="203" customFormat="1">
      <c r="A311" s="120">
        <v>1</v>
      </c>
      <c r="B311" s="47" t="s">
        <v>258</v>
      </c>
      <c r="C311" s="47"/>
      <c r="D311" s="186"/>
      <c r="E311" s="74">
        <v>-3175</v>
      </c>
      <c r="F311" s="52">
        <v>-3087</v>
      </c>
      <c r="G311" s="43"/>
      <c r="H311" s="52">
        <v>-3171</v>
      </c>
      <c r="I311" s="21"/>
      <c r="J311" s="231"/>
      <c r="K311" s="231"/>
      <c r="L311" s="231"/>
      <c r="M311" s="231"/>
      <c r="N311" s="231"/>
      <c r="O311" s="231"/>
      <c r="P311" s="231"/>
      <c r="Q311" s="231"/>
      <c r="R311" s="231"/>
      <c r="S311" s="231"/>
      <c r="T311" s="231"/>
      <c r="U311" s="231"/>
      <c r="V311" s="231"/>
      <c r="W311" s="231"/>
      <c r="X311" s="231"/>
      <c r="Y311" s="231"/>
      <c r="Z311" s="231"/>
      <c r="AA311" s="231"/>
      <c r="AB311" s="231"/>
      <c r="AC311" s="231"/>
      <c r="AD311" s="231"/>
      <c r="AE311" s="231"/>
      <c r="AF311" s="231"/>
      <c r="AG311" s="231"/>
      <c r="AH311" s="231"/>
    </row>
    <row r="312" spans="1:34" s="203" customFormat="1">
      <c r="A312" s="120">
        <v>2</v>
      </c>
      <c r="B312" s="47" t="s">
        <v>234</v>
      </c>
      <c r="C312" s="47"/>
      <c r="D312" s="186"/>
      <c r="E312" s="114">
        <v>120</v>
      </c>
      <c r="F312" s="52">
        <v>120</v>
      </c>
      <c r="G312" s="43"/>
      <c r="H312" s="52">
        <v>239</v>
      </c>
      <c r="I312" s="21"/>
      <c r="J312" s="231"/>
      <c r="K312" s="231"/>
      <c r="L312" s="231"/>
      <c r="M312" s="231"/>
      <c r="N312" s="231"/>
      <c r="O312" s="231"/>
      <c r="P312" s="231"/>
      <c r="Q312" s="231"/>
      <c r="R312" s="231"/>
      <c r="S312" s="231"/>
      <c r="T312" s="231"/>
      <c r="U312" s="231"/>
      <c r="V312" s="231"/>
      <c r="W312" s="231"/>
      <c r="X312" s="231"/>
      <c r="Y312" s="231"/>
      <c r="Z312" s="231"/>
      <c r="AA312" s="231"/>
      <c r="AB312" s="231"/>
      <c r="AC312" s="231"/>
      <c r="AD312" s="231"/>
      <c r="AE312" s="231"/>
      <c r="AF312" s="231"/>
      <c r="AG312" s="231"/>
      <c r="AH312" s="231"/>
    </row>
    <row r="313" spans="1:34" s="203" customFormat="1">
      <c r="A313" s="120">
        <v>3</v>
      </c>
      <c r="B313" s="47" t="s">
        <v>259</v>
      </c>
      <c r="C313" s="47"/>
      <c r="D313" s="186"/>
      <c r="E313" s="114">
        <v>160</v>
      </c>
      <c r="F313" s="52">
        <v>571</v>
      </c>
      <c r="G313" s="43"/>
      <c r="H313" s="52">
        <v>740</v>
      </c>
      <c r="I313" s="21"/>
      <c r="J313" s="231"/>
      <c r="K313" s="231"/>
      <c r="L313" s="231"/>
      <c r="M313" s="231"/>
      <c r="N313" s="231"/>
      <c r="O313" s="231"/>
      <c r="P313" s="231"/>
      <c r="Q313" s="231"/>
      <c r="R313" s="231"/>
      <c r="S313" s="231"/>
      <c r="T313" s="231"/>
      <c r="U313" s="231"/>
      <c r="V313" s="231"/>
      <c r="W313" s="231"/>
      <c r="X313" s="231"/>
      <c r="Y313" s="231"/>
      <c r="Z313" s="231"/>
      <c r="AA313" s="231"/>
      <c r="AB313" s="231"/>
      <c r="AC313" s="231"/>
      <c r="AD313" s="231"/>
      <c r="AE313" s="231"/>
      <c r="AF313" s="231"/>
      <c r="AG313" s="231"/>
      <c r="AH313" s="231"/>
    </row>
    <row r="314" spans="1:34" s="203" customFormat="1">
      <c r="A314" s="120">
        <v>4</v>
      </c>
      <c r="B314" s="47" t="s">
        <v>235</v>
      </c>
      <c r="C314" s="47"/>
      <c r="D314" s="186"/>
      <c r="E314" s="114">
        <v>9171</v>
      </c>
      <c r="F314" s="52">
        <v>9145</v>
      </c>
      <c r="G314" s="43"/>
      <c r="H314" s="52">
        <v>9630</v>
      </c>
      <c r="I314" s="21"/>
      <c r="J314" s="231"/>
      <c r="K314" s="231"/>
      <c r="L314" s="231"/>
      <c r="M314" s="231"/>
      <c r="N314" s="231"/>
      <c r="O314" s="231"/>
      <c r="P314" s="231"/>
      <c r="Q314" s="231"/>
      <c r="R314" s="231"/>
      <c r="S314" s="231"/>
      <c r="T314" s="231"/>
      <c r="U314" s="231"/>
      <c r="V314" s="231"/>
      <c r="W314" s="231"/>
      <c r="X314" s="231"/>
      <c r="Y314" s="231"/>
      <c r="Z314" s="231"/>
      <c r="AA314" s="231"/>
      <c r="AB314" s="231"/>
      <c r="AC314" s="231"/>
      <c r="AD314" s="231"/>
      <c r="AE314" s="231"/>
      <c r="AF314" s="231"/>
      <c r="AG314" s="231"/>
      <c r="AH314" s="231"/>
    </row>
    <row r="315" spans="1:34" s="203" customFormat="1">
      <c r="A315" s="120">
        <v>5</v>
      </c>
      <c r="B315" s="47" t="s">
        <v>236</v>
      </c>
      <c r="C315" s="47"/>
      <c r="D315" s="186"/>
      <c r="E315" s="114">
        <v>2552</v>
      </c>
      <c r="F315" s="52">
        <v>2552</v>
      </c>
      <c r="G315" s="187"/>
      <c r="H315" s="52">
        <v>2637</v>
      </c>
      <c r="I315" s="21"/>
      <c r="J315" s="231"/>
      <c r="K315" s="231"/>
      <c r="L315" s="231"/>
      <c r="M315" s="231"/>
      <c r="N315" s="231"/>
      <c r="O315" s="231"/>
      <c r="P315" s="231"/>
      <c r="Q315" s="231"/>
      <c r="R315" s="231"/>
      <c r="S315" s="231"/>
      <c r="T315" s="231"/>
      <c r="U315" s="231"/>
      <c r="V315" s="231"/>
      <c r="W315" s="231"/>
      <c r="X315" s="231"/>
      <c r="Y315" s="231"/>
      <c r="Z315" s="231"/>
      <c r="AA315" s="231"/>
      <c r="AB315" s="231"/>
      <c r="AC315" s="231"/>
      <c r="AD315" s="231"/>
      <c r="AE315" s="231"/>
      <c r="AF315" s="231"/>
      <c r="AG315" s="231"/>
      <c r="AH315" s="231"/>
    </row>
    <row r="316" spans="1:34" s="203" customFormat="1">
      <c r="A316" s="120">
        <v>6</v>
      </c>
      <c r="B316" s="47" t="s">
        <v>237</v>
      </c>
      <c r="C316" s="47"/>
      <c r="D316" s="186"/>
      <c r="E316" s="114">
        <v>19685</v>
      </c>
      <c r="F316" s="52">
        <v>18969</v>
      </c>
      <c r="G316" s="43"/>
      <c r="H316" s="52">
        <v>18781</v>
      </c>
      <c r="I316" s="21"/>
      <c r="J316" s="231"/>
      <c r="K316" s="231"/>
      <c r="L316" s="231"/>
      <c r="M316" s="231"/>
      <c r="N316" s="231"/>
      <c r="O316" s="231"/>
      <c r="P316" s="231"/>
      <c r="Q316" s="231"/>
      <c r="R316" s="231"/>
      <c r="S316" s="231"/>
      <c r="T316" s="231"/>
      <c r="U316" s="231"/>
      <c r="V316" s="231"/>
      <c r="W316" s="231"/>
      <c r="X316" s="231"/>
      <c r="Y316" s="231"/>
      <c r="Z316" s="231"/>
      <c r="AA316" s="231"/>
      <c r="AB316" s="231"/>
      <c r="AC316" s="231"/>
      <c r="AD316" s="231"/>
      <c r="AE316" s="231"/>
      <c r="AF316" s="231"/>
      <c r="AG316" s="231"/>
      <c r="AH316" s="231"/>
    </row>
    <row r="317" spans="1:34" s="203" customFormat="1">
      <c r="A317" s="120">
        <v>7</v>
      </c>
      <c r="B317" s="47" t="s">
        <v>238</v>
      </c>
      <c r="C317" s="47"/>
      <c r="D317" s="186"/>
      <c r="E317" s="114">
        <v>393</v>
      </c>
      <c r="F317" s="52">
        <v>393</v>
      </c>
      <c r="G317" s="43"/>
      <c r="H317" s="52">
        <v>393</v>
      </c>
      <c r="I317" s="21"/>
      <c r="J317" s="231"/>
      <c r="K317" s="231"/>
      <c r="L317" s="231"/>
      <c r="M317" s="231"/>
      <c r="N317" s="231"/>
      <c r="O317" s="231"/>
      <c r="P317" s="231"/>
      <c r="Q317" s="231"/>
      <c r="R317" s="231"/>
      <c r="S317" s="231"/>
      <c r="T317" s="231"/>
      <c r="U317" s="231"/>
      <c r="V317" s="231"/>
      <c r="W317" s="231"/>
      <c r="X317" s="231"/>
      <c r="Y317" s="231"/>
      <c r="Z317" s="231"/>
      <c r="AA317" s="231"/>
      <c r="AB317" s="231"/>
      <c r="AC317" s="231"/>
      <c r="AD317" s="231"/>
      <c r="AE317" s="231"/>
      <c r="AF317" s="231"/>
      <c r="AG317" s="231"/>
      <c r="AH317" s="231"/>
    </row>
    <row r="318" spans="1:34" s="203" customFormat="1">
      <c r="A318" s="120">
        <v>8</v>
      </c>
      <c r="B318" s="47" t="s">
        <v>239</v>
      </c>
      <c r="C318" s="47"/>
      <c r="D318" s="186"/>
      <c r="E318" s="114">
        <v>262</v>
      </c>
      <c r="F318" s="52">
        <v>231</v>
      </c>
      <c r="G318" s="43"/>
      <c r="H318" s="52">
        <v>233</v>
      </c>
      <c r="I318" s="21"/>
      <c r="J318" s="231"/>
      <c r="K318" s="231"/>
      <c r="L318" s="231"/>
      <c r="M318" s="231"/>
      <c r="N318" s="231"/>
      <c r="O318" s="231"/>
      <c r="P318" s="231"/>
      <c r="Q318" s="231"/>
      <c r="R318" s="231"/>
      <c r="S318" s="231"/>
      <c r="T318" s="231"/>
      <c r="U318" s="231"/>
      <c r="V318" s="231"/>
      <c r="W318" s="231"/>
      <c r="X318" s="231"/>
      <c r="Y318" s="231"/>
      <c r="Z318" s="231"/>
      <c r="AA318" s="231"/>
      <c r="AB318" s="231"/>
      <c r="AC318" s="231"/>
      <c r="AD318" s="231"/>
      <c r="AE318" s="231"/>
      <c r="AF318" s="231"/>
      <c r="AG318" s="231"/>
      <c r="AH318" s="231"/>
    </row>
    <row r="319" spans="1:34" s="203" customFormat="1">
      <c r="A319" s="826">
        <v>9</v>
      </c>
      <c r="B319" s="90" t="s">
        <v>260</v>
      </c>
      <c r="C319" s="47"/>
      <c r="D319" s="47"/>
      <c r="E319" s="114">
        <v>0</v>
      </c>
      <c r="F319" s="188"/>
      <c r="G319" s="43"/>
      <c r="H319" s="189">
        <v>0</v>
      </c>
      <c r="I319" s="21"/>
      <c r="J319" s="231"/>
      <c r="K319" s="231"/>
      <c r="L319" s="231"/>
      <c r="M319" s="231"/>
      <c r="N319" s="231"/>
      <c r="O319" s="231"/>
      <c r="P319" s="231"/>
      <c r="Q319" s="231"/>
      <c r="R319" s="231"/>
      <c r="S319" s="231"/>
      <c r="T319" s="231"/>
      <c r="U319" s="231"/>
      <c r="V319" s="231"/>
      <c r="W319" s="231"/>
      <c r="X319" s="231"/>
      <c r="Y319" s="231"/>
      <c r="Z319" s="231"/>
      <c r="AA319" s="231"/>
      <c r="AB319" s="231"/>
      <c r="AC319" s="231"/>
      <c r="AD319" s="231"/>
      <c r="AE319" s="231"/>
      <c r="AF319" s="231"/>
      <c r="AG319" s="231"/>
      <c r="AH319" s="231"/>
    </row>
    <row r="320" spans="1:34" s="203" customFormat="1">
      <c r="A320" s="124">
        <v>10</v>
      </c>
      <c r="B320" s="94" t="s">
        <v>62</v>
      </c>
      <c r="C320" s="94"/>
      <c r="D320" s="94"/>
      <c r="E320" s="159">
        <v>29168</v>
      </c>
      <c r="F320" s="61">
        <f>F311+F312+F313+F314+F315+F316+F317+F318</f>
        <v>28894</v>
      </c>
      <c r="G320" s="118"/>
      <c r="H320" s="61">
        <f>H311+H312+H313+H314+H315+H316+H317+H318+H319</f>
        <v>29482</v>
      </c>
      <c r="I320" s="183"/>
      <c r="J320" s="231"/>
      <c r="K320" s="231"/>
      <c r="L320" s="231"/>
      <c r="M320" s="231"/>
      <c r="N320" s="231"/>
      <c r="O320" s="231"/>
      <c r="P320" s="231"/>
      <c r="Q320" s="231"/>
      <c r="R320" s="231"/>
      <c r="S320" s="231"/>
      <c r="T320" s="231"/>
      <c r="U320" s="231"/>
      <c r="V320" s="231"/>
      <c r="W320" s="231"/>
      <c r="X320" s="231"/>
      <c r="Y320" s="231"/>
      <c r="Z320" s="231"/>
      <c r="AA320" s="231"/>
      <c r="AB320" s="231"/>
      <c r="AC320" s="231"/>
      <c r="AD320" s="231"/>
      <c r="AE320" s="231"/>
      <c r="AF320" s="231"/>
      <c r="AG320" s="231"/>
      <c r="AH320" s="231"/>
    </row>
    <row r="321" spans="1:34" s="203" customFormat="1">
      <c r="A321" s="179"/>
      <c r="B321" s="180"/>
      <c r="C321" s="180"/>
      <c r="D321" s="180"/>
      <c r="E321" s="180"/>
      <c r="F321" s="183"/>
      <c r="G321" s="21"/>
      <c r="H321" s="183"/>
      <c r="I321" s="183"/>
      <c r="J321" s="231"/>
      <c r="K321" s="231"/>
      <c r="L321" s="231"/>
      <c r="M321" s="231"/>
      <c r="N321" s="231"/>
      <c r="O321" s="231"/>
      <c r="P321" s="231"/>
      <c r="Q321" s="231"/>
      <c r="R321" s="231"/>
      <c r="S321" s="231"/>
      <c r="T321" s="231"/>
      <c r="U321" s="231"/>
      <c r="V321" s="231"/>
      <c r="W321" s="231"/>
      <c r="X321" s="231"/>
      <c r="Y321" s="231"/>
      <c r="Z321" s="231"/>
      <c r="AA321" s="231"/>
      <c r="AB321" s="231"/>
      <c r="AC321" s="231"/>
      <c r="AD321" s="231"/>
      <c r="AE321" s="231"/>
      <c r="AF321" s="231"/>
      <c r="AG321" s="231"/>
      <c r="AH321" s="231"/>
    </row>
    <row r="322" spans="1:34" s="203" customFormat="1">
      <c r="A322" s="148"/>
      <c r="B322" s="207"/>
      <c r="C322" s="207"/>
      <c r="D322" s="29"/>
      <c r="E322" s="29"/>
      <c r="F322" s="29"/>
      <c r="G322" s="29"/>
      <c r="H322" s="31" t="s">
        <v>27</v>
      </c>
      <c r="I322" s="2"/>
      <c r="J322" s="231"/>
      <c r="K322" s="231"/>
      <c r="L322" s="231"/>
      <c r="M322" s="231"/>
      <c r="N322" s="231"/>
      <c r="O322" s="231"/>
      <c r="P322" s="231"/>
      <c r="Q322" s="231"/>
      <c r="R322" s="231"/>
      <c r="S322" s="231"/>
      <c r="T322" s="231"/>
      <c r="U322" s="231"/>
      <c r="V322" s="231"/>
      <c r="W322" s="231"/>
      <c r="X322" s="231"/>
      <c r="Y322" s="231"/>
      <c r="Z322" s="231"/>
      <c r="AA322" s="231"/>
      <c r="AB322" s="231"/>
      <c r="AC322" s="231"/>
      <c r="AD322" s="231"/>
      <c r="AE322" s="231"/>
      <c r="AF322" s="231"/>
      <c r="AG322" s="231"/>
      <c r="AH322" s="231"/>
    </row>
    <row r="323" spans="1:34" s="203" customFormat="1">
      <c r="A323" s="190" t="s">
        <v>240</v>
      </c>
      <c r="B323" s="263"/>
      <c r="C323" s="861" t="s">
        <v>405</v>
      </c>
      <c r="D323" s="862"/>
      <c r="E323" s="862"/>
      <c r="F323" s="862"/>
      <c r="G323" s="862"/>
      <c r="H323" s="863"/>
      <c r="I323" s="210"/>
      <c r="J323" s="231"/>
      <c r="K323" s="231"/>
      <c r="L323" s="231"/>
      <c r="M323" s="231"/>
      <c r="N323" s="231"/>
      <c r="O323" s="231"/>
      <c r="P323" s="231"/>
      <c r="Q323" s="231"/>
      <c r="R323" s="231"/>
      <c r="S323" s="231"/>
      <c r="T323" s="231"/>
      <c r="U323" s="231"/>
      <c r="V323" s="231"/>
      <c r="W323" s="231"/>
      <c r="X323" s="231"/>
      <c r="Y323" s="231"/>
      <c r="Z323" s="231"/>
      <c r="AA323" s="231"/>
      <c r="AB323" s="231"/>
      <c r="AC323" s="231"/>
      <c r="AD323" s="231"/>
      <c r="AE323" s="231"/>
      <c r="AF323" s="231"/>
      <c r="AG323" s="231"/>
      <c r="AH323" s="231"/>
    </row>
    <row r="324" spans="1:34" s="203" customFormat="1" ht="39" thickBot="1">
      <c r="A324" s="110" t="s">
        <v>84</v>
      </c>
      <c r="B324" s="116"/>
      <c r="C324" s="35" t="s">
        <v>52</v>
      </c>
      <c r="D324" s="35" t="s">
        <v>53</v>
      </c>
      <c r="E324" s="37" t="s">
        <v>54</v>
      </c>
      <c r="F324" s="37" t="s">
        <v>55</v>
      </c>
      <c r="G324" s="37" t="s">
        <v>241</v>
      </c>
      <c r="H324" s="35" t="s">
        <v>121</v>
      </c>
      <c r="I324" s="29"/>
      <c r="J324" s="231"/>
      <c r="K324" s="231"/>
      <c r="L324" s="231"/>
      <c r="M324" s="231"/>
      <c r="N324" s="231"/>
      <c r="O324" s="231"/>
      <c r="P324" s="231"/>
      <c r="Q324" s="231"/>
      <c r="R324" s="231"/>
      <c r="S324" s="231"/>
      <c r="T324" s="231"/>
      <c r="U324" s="231"/>
      <c r="V324" s="231"/>
      <c r="W324" s="231"/>
      <c r="X324" s="231"/>
      <c r="Y324" s="231"/>
      <c r="Z324" s="231"/>
      <c r="AA324" s="231"/>
      <c r="AB324" s="231"/>
      <c r="AC324" s="231"/>
      <c r="AD324" s="231"/>
      <c r="AE324" s="231"/>
      <c r="AF324" s="231"/>
      <c r="AG324" s="231"/>
      <c r="AH324" s="231"/>
    </row>
    <row r="325" spans="1:34" s="203" customFormat="1" ht="13.5" thickBot="1">
      <c r="A325" s="826">
        <v>1</v>
      </c>
      <c r="B325" s="116" t="s">
        <v>242</v>
      </c>
      <c r="C325" s="193">
        <f t="shared" ref="C325:H325" si="0">SUM(C326:C329)</f>
        <v>12727</v>
      </c>
      <c r="D325" s="193">
        <f t="shared" si="0"/>
        <v>0</v>
      </c>
      <c r="E325" s="193">
        <v>0</v>
      </c>
      <c r="F325" s="193">
        <f t="shared" si="0"/>
        <v>0</v>
      </c>
      <c r="G325" s="193">
        <f>SUM(G326:G329)</f>
        <v>0</v>
      </c>
      <c r="H325" s="193">
        <f t="shared" si="0"/>
        <v>0</v>
      </c>
      <c r="I325" s="207"/>
      <c r="J325" s="231"/>
      <c r="K325" s="231"/>
      <c r="L325" s="231"/>
      <c r="M325" s="231"/>
      <c r="N325" s="231"/>
      <c r="O325" s="231"/>
      <c r="P325" s="231"/>
      <c r="Q325" s="231"/>
      <c r="R325" s="231"/>
      <c r="S325" s="231"/>
      <c r="T325" s="231"/>
      <c r="U325" s="231"/>
      <c r="V325" s="231"/>
      <c r="W325" s="231"/>
      <c r="X325" s="231"/>
      <c r="Y325" s="231"/>
      <c r="Z325" s="231"/>
      <c r="AA325" s="231"/>
      <c r="AB325" s="231"/>
      <c r="AC325" s="231"/>
      <c r="AD325" s="231"/>
      <c r="AE325" s="231"/>
      <c r="AF325" s="231"/>
      <c r="AG325" s="231"/>
      <c r="AH325" s="231"/>
    </row>
    <row r="326" spans="1:34" s="203" customFormat="1">
      <c r="A326" s="826">
        <v>2</v>
      </c>
      <c r="B326" s="47" t="s">
        <v>243</v>
      </c>
      <c r="C326" s="169">
        <v>6658</v>
      </c>
      <c r="D326" s="169">
        <v>0</v>
      </c>
      <c r="E326" s="169">
        <v>0</v>
      </c>
      <c r="F326" s="169">
        <v>0</v>
      </c>
      <c r="G326" s="169">
        <v>0</v>
      </c>
      <c r="H326" s="169">
        <v>0</v>
      </c>
      <c r="I326" s="207"/>
      <c r="J326" s="231"/>
      <c r="K326" s="231"/>
      <c r="L326" s="231"/>
      <c r="M326" s="231"/>
      <c r="N326" s="231"/>
      <c r="O326" s="231"/>
      <c r="P326" s="231"/>
      <c r="Q326" s="231"/>
      <c r="R326" s="231"/>
      <c r="S326" s="231"/>
      <c r="T326" s="231"/>
      <c r="U326" s="231"/>
      <c r="V326" s="231"/>
      <c r="W326" s="231"/>
      <c r="X326" s="231"/>
      <c r="Y326" s="231"/>
      <c r="Z326" s="231"/>
      <c r="AA326" s="231"/>
      <c r="AB326" s="231"/>
      <c r="AC326" s="231"/>
      <c r="AD326" s="231"/>
      <c r="AE326" s="231"/>
      <c r="AF326" s="231"/>
      <c r="AG326" s="231"/>
      <c r="AH326" s="231"/>
    </row>
    <row r="327" spans="1:34" s="203" customFormat="1">
      <c r="A327" s="826">
        <v>3</v>
      </c>
      <c r="B327" s="47" t="s">
        <v>244</v>
      </c>
      <c r="C327" s="99">
        <v>3507</v>
      </c>
      <c r="D327" s="99">
        <v>0</v>
      </c>
      <c r="E327" s="99">
        <v>0</v>
      </c>
      <c r="F327" s="99">
        <v>0</v>
      </c>
      <c r="G327" s="99">
        <v>0</v>
      </c>
      <c r="H327" s="99">
        <v>0</v>
      </c>
      <c r="I327" s="207"/>
      <c r="J327" s="231"/>
      <c r="K327" s="231"/>
      <c r="L327" s="231"/>
      <c r="M327" s="231"/>
      <c r="N327" s="231"/>
      <c r="O327" s="231"/>
      <c r="P327" s="231"/>
      <c r="Q327" s="231"/>
      <c r="R327" s="231"/>
      <c r="S327" s="231"/>
      <c r="T327" s="231"/>
      <c r="U327" s="231"/>
      <c r="V327" s="231"/>
      <c r="W327" s="231"/>
      <c r="X327" s="231"/>
      <c r="Y327" s="231"/>
      <c r="Z327" s="231"/>
      <c r="AA327" s="231"/>
      <c r="AB327" s="231"/>
      <c r="AC327" s="231"/>
      <c r="AD327" s="231"/>
      <c r="AE327" s="231"/>
      <c r="AF327" s="231"/>
      <c r="AG327" s="231"/>
      <c r="AH327" s="231"/>
    </row>
    <row r="328" spans="1:34" s="203" customFormat="1">
      <c r="A328" s="826">
        <v>4</v>
      </c>
      <c r="B328" s="47" t="s">
        <v>245</v>
      </c>
      <c r="C328" s="99">
        <v>2442</v>
      </c>
      <c r="D328" s="99">
        <v>0</v>
      </c>
      <c r="E328" s="99">
        <v>0</v>
      </c>
      <c r="F328" s="99">
        <v>0</v>
      </c>
      <c r="G328" s="99">
        <v>0</v>
      </c>
      <c r="H328" s="99">
        <v>0</v>
      </c>
      <c r="I328" s="207"/>
      <c r="J328" s="231"/>
      <c r="K328" s="231"/>
      <c r="L328" s="231"/>
      <c r="M328" s="231"/>
      <c r="N328" s="231"/>
      <c r="O328" s="231"/>
      <c r="P328" s="231"/>
      <c r="Q328" s="231"/>
      <c r="R328" s="231"/>
      <c r="S328" s="231"/>
      <c r="T328" s="231"/>
      <c r="U328" s="231"/>
      <c r="V328" s="231"/>
      <c r="W328" s="231"/>
      <c r="X328" s="231"/>
      <c r="Y328" s="231"/>
      <c r="Z328" s="231"/>
      <c r="AA328" s="231"/>
      <c r="AB328" s="231"/>
      <c r="AC328" s="231"/>
      <c r="AD328" s="231"/>
      <c r="AE328" s="231"/>
      <c r="AF328" s="231"/>
      <c r="AG328" s="231"/>
      <c r="AH328" s="231"/>
    </row>
    <row r="329" spans="1:34" s="203" customFormat="1">
      <c r="A329" s="827">
        <v>5</v>
      </c>
      <c r="B329" s="54" t="s">
        <v>246</v>
      </c>
      <c r="C329" s="100">
        <v>120</v>
      </c>
      <c r="D329" s="100">
        <v>0</v>
      </c>
      <c r="E329" s="100">
        <v>0</v>
      </c>
      <c r="F329" s="100">
        <v>0</v>
      </c>
      <c r="G329" s="100">
        <v>0</v>
      </c>
      <c r="H329" s="100">
        <v>0</v>
      </c>
      <c r="I329" s="207"/>
      <c r="J329" s="231"/>
      <c r="K329" s="231"/>
      <c r="L329" s="231"/>
      <c r="M329" s="231"/>
      <c r="N329" s="231"/>
      <c r="O329" s="231"/>
      <c r="P329" s="231"/>
      <c r="Q329" s="231"/>
      <c r="R329" s="231"/>
      <c r="S329" s="231"/>
      <c r="T329" s="231"/>
      <c r="U329" s="231"/>
      <c r="V329" s="231"/>
      <c r="W329" s="231"/>
      <c r="X329" s="231"/>
      <c r="Y329" s="231"/>
      <c r="Z329" s="231"/>
      <c r="AA329" s="231"/>
      <c r="AB329" s="231"/>
      <c r="AC329" s="231"/>
      <c r="AD329" s="231"/>
      <c r="AE329" s="231"/>
      <c r="AF329" s="231"/>
      <c r="AG329" s="231"/>
      <c r="AH329" s="231"/>
    </row>
    <row r="330" spans="1:34" s="203" customFormat="1">
      <c r="A330" s="826"/>
      <c r="B330" s="47"/>
      <c r="C330" s="864" t="s">
        <v>404</v>
      </c>
      <c r="D330" s="865"/>
      <c r="E330" s="865"/>
      <c r="F330" s="865"/>
      <c r="G330" s="865"/>
      <c r="H330" s="866"/>
      <c r="I330" s="207"/>
      <c r="J330" s="231"/>
      <c r="K330" s="231"/>
      <c r="L330" s="231"/>
      <c r="M330" s="231"/>
      <c r="N330" s="231"/>
      <c r="O330" s="231"/>
      <c r="P330" s="231"/>
      <c r="Q330" s="231"/>
      <c r="R330" s="231"/>
      <c r="S330" s="231"/>
      <c r="T330" s="231"/>
      <c r="U330" s="231"/>
      <c r="V330" s="231"/>
      <c r="W330" s="231"/>
      <c r="X330" s="231"/>
      <c r="Y330" s="231"/>
      <c r="Z330" s="231"/>
      <c r="AA330" s="231"/>
      <c r="AB330" s="231"/>
      <c r="AC330" s="231"/>
      <c r="AD330" s="231"/>
      <c r="AE330" s="231"/>
      <c r="AF330" s="231"/>
      <c r="AG330" s="231"/>
      <c r="AH330" s="231"/>
    </row>
    <row r="331" spans="1:34" s="203" customFormat="1" ht="39" thickBot="1">
      <c r="A331" s="110" t="s">
        <v>84</v>
      </c>
      <c r="B331" s="116"/>
      <c r="C331" s="35" t="s">
        <v>52</v>
      </c>
      <c r="D331" s="35" t="s">
        <v>53</v>
      </c>
      <c r="E331" s="37" t="s">
        <v>54</v>
      </c>
      <c r="F331" s="37" t="s">
        <v>55</v>
      </c>
      <c r="G331" s="37" t="s">
        <v>241</v>
      </c>
      <c r="H331" s="35" t="s">
        <v>121</v>
      </c>
      <c r="I331" s="207"/>
      <c r="J331" s="231"/>
      <c r="K331" s="231"/>
      <c r="L331" s="231"/>
      <c r="M331" s="231"/>
      <c r="N331" s="231"/>
      <c r="O331" s="231"/>
      <c r="P331" s="231"/>
      <c r="Q331" s="231"/>
      <c r="R331" s="231"/>
      <c r="S331" s="231"/>
      <c r="T331" s="231"/>
      <c r="U331" s="231"/>
      <c r="V331" s="231"/>
      <c r="W331" s="231"/>
      <c r="X331" s="231"/>
      <c r="Y331" s="231"/>
      <c r="Z331" s="231"/>
      <c r="AA331" s="231"/>
      <c r="AB331" s="231"/>
      <c r="AC331" s="231"/>
      <c r="AD331" s="231"/>
      <c r="AE331" s="231"/>
      <c r="AF331" s="231"/>
      <c r="AG331" s="231"/>
      <c r="AH331" s="231"/>
    </row>
    <row r="332" spans="1:34" s="203" customFormat="1" ht="13.5" thickBot="1">
      <c r="A332" s="826">
        <v>1</v>
      </c>
      <c r="B332" s="116" t="s">
        <v>242</v>
      </c>
      <c r="C332" s="193">
        <f t="shared" ref="C332:H332" si="1">SUM(C333:C336)</f>
        <v>12999</v>
      </c>
      <c r="D332" s="193">
        <f t="shared" si="1"/>
        <v>0</v>
      </c>
      <c r="E332" s="193">
        <v>0</v>
      </c>
      <c r="F332" s="193">
        <f t="shared" si="1"/>
        <v>0</v>
      </c>
      <c r="G332" s="193">
        <f>SUM(G333:G336)</f>
        <v>0</v>
      </c>
      <c r="H332" s="193">
        <f t="shared" si="1"/>
        <v>0</v>
      </c>
      <c r="I332" s="207"/>
      <c r="J332" s="231"/>
      <c r="K332" s="231"/>
      <c r="L332" s="231"/>
      <c r="M332" s="231"/>
      <c r="N332" s="231"/>
      <c r="O332" s="231"/>
      <c r="P332" s="231"/>
      <c r="Q332" s="231"/>
      <c r="R332" s="231"/>
      <c r="S332" s="231"/>
      <c r="T332" s="231"/>
      <c r="U332" s="231"/>
      <c r="V332" s="231"/>
      <c r="W332" s="231"/>
      <c r="X332" s="231"/>
      <c r="Y332" s="231"/>
      <c r="Z332" s="231"/>
      <c r="AA332" s="231"/>
      <c r="AB332" s="231"/>
      <c r="AC332" s="231"/>
      <c r="AD332" s="231"/>
      <c r="AE332" s="231"/>
      <c r="AF332" s="231"/>
      <c r="AG332" s="231"/>
      <c r="AH332" s="231"/>
    </row>
    <row r="333" spans="1:34" s="203" customFormat="1">
      <c r="A333" s="826">
        <v>2</v>
      </c>
      <c r="B333" s="47" t="s">
        <v>243</v>
      </c>
      <c r="C333" s="169">
        <v>6888</v>
      </c>
      <c r="D333" s="169">
        <v>0</v>
      </c>
      <c r="E333" s="169">
        <v>0</v>
      </c>
      <c r="F333" s="169">
        <v>0</v>
      </c>
      <c r="G333" s="169">
        <v>0</v>
      </c>
      <c r="H333" s="169">
        <v>0</v>
      </c>
      <c r="I333" s="207"/>
      <c r="J333" s="231"/>
      <c r="K333" s="231"/>
      <c r="L333" s="231"/>
      <c r="M333" s="231"/>
      <c r="N333" s="231"/>
      <c r="O333" s="231"/>
      <c r="P333" s="231"/>
      <c r="Q333" s="231"/>
      <c r="R333" s="231"/>
      <c r="S333" s="231"/>
      <c r="T333" s="231"/>
      <c r="U333" s="231"/>
      <c r="V333" s="231"/>
      <c r="W333" s="231"/>
      <c r="X333" s="231"/>
      <c r="Y333" s="231"/>
      <c r="Z333" s="231"/>
      <c r="AA333" s="231"/>
      <c r="AB333" s="231"/>
      <c r="AC333" s="231"/>
      <c r="AD333" s="231"/>
      <c r="AE333" s="231"/>
      <c r="AF333" s="231"/>
      <c r="AG333" s="231"/>
      <c r="AH333" s="231"/>
    </row>
    <row r="334" spans="1:34" s="203" customFormat="1">
      <c r="A334" s="826">
        <v>3</v>
      </c>
      <c r="B334" s="47" t="s">
        <v>244</v>
      </c>
      <c r="C334" s="99">
        <v>3346</v>
      </c>
      <c r="D334" s="99">
        <v>0</v>
      </c>
      <c r="E334" s="99">
        <v>0</v>
      </c>
      <c r="F334" s="99">
        <v>0</v>
      </c>
      <c r="G334" s="99">
        <v>0</v>
      </c>
      <c r="H334" s="99">
        <v>0</v>
      </c>
      <c r="I334" s="207"/>
      <c r="J334" s="231"/>
      <c r="K334" s="231"/>
      <c r="L334" s="231"/>
      <c r="M334" s="231"/>
      <c r="N334" s="231"/>
      <c r="O334" s="231"/>
      <c r="P334" s="231"/>
      <c r="Q334" s="231"/>
      <c r="R334" s="231"/>
      <c r="S334" s="231"/>
      <c r="T334" s="231"/>
      <c r="U334" s="231"/>
      <c r="V334" s="231"/>
      <c r="W334" s="231"/>
      <c r="X334" s="231"/>
      <c r="Y334" s="231"/>
      <c r="Z334" s="231"/>
      <c r="AA334" s="231"/>
      <c r="AB334" s="231"/>
      <c r="AC334" s="231"/>
      <c r="AD334" s="231"/>
      <c r="AE334" s="231"/>
      <c r="AF334" s="231"/>
      <c r="AG334" s="231"/>
      <c r="AH334" s="231"/>
    </row>
    <row r="335" spans="1:34" s="203" customFormat="1">
      <c r="A335" s="826">
        <v>4</v>
      </c>
      <c r="B335" s="47" t="s">
        <v>245</v>
      </c>
      <c r="C335" s="99">
        <v>2526</v>
      </c>
      <c r="D335" s="99">
        <v>0</v>
      </c>
      <c r="E335" s="99">
        <v>0</v>
      </c>
      <c r="F335" s="99">
        <v>0</v>
      </c>
      <c r="G335" s="99">
        <v>0</v>
      </c>
      <c r="H335" s="99">
        <v>0</v>
      </c>
      <c r="I335" s="207"/>
      <c r="J335" s="231"/>
      <c r="K335" s="231"/>
      <c r="L335" s="231"/>
      <c r="M335" s="231"/>
      <c r="N335" s="231"/>
      <c r="O335" s="231"/>
      <c r="P335" s="231"/>
      <c r="Q335" s="231"/>
      <c r="R335" s="231"/>
      <c r="S335" s="231"/>
      <c r="T335" s="231"/>
      <c r="U335" s="231"/>
      <c r="V335" s="231"/>
      <c r="W335" s="231"/>
      <c r="X335" s="231"/>
      <c r="Y335" s="231"/>
      <c r="Z335" s="231"/>
      <c r="AA335" s="231"/>
      <c r="AB335" s="231"/>
      <c r="AC335" s="231"/>
      <c r="AD335" s="231"/>
      <c r="AE335" s="231"/>
      <c r="AF335" s="231"/>
      <c r="AG335" s="231"/>
      <c r="AH335" s="231"/>
    </row>
    <row r="336" spans="1:34" s="203" customFormat="1">
      <c r="A336" s="827">
        <v>5</v>
      </c>
      <c r="B336" s="54" t="s">
        <v>246</v>
      </c>
      <c r="C336" s="100">
        <v>239</v>
      </c>
      <c r="D336" s="100">
        <v>0</v>
      </c>
      <c r="E336" s="100">
        <v>0</v>
      </c>
      <c r="F336" s="100">
        <v>0</v>
      </c>
      <c r="G336" s="100">
        <v>0</v>
      </c>
      <c r="H336" s="100">
        <v>0</v>
      </c>
      <c r="I336" s="207"/>
      <c r="J336" s="231"/>
      <c r="K336" s="231"/>
      <c r="L336" s="231"/>
      <c r="M336" s="231"/>
      <c r="N336" s="231"/>
      <c r="O336" s="231"/>
      <c r="P336" s="231"/>
      <c r="Q336" s="231"/>
      <c r="R336" s="231"/>
      <c r="S336" s="231"/>
      <c r="T336" s="231"/>
      <c r="U336" s="231"/>
      <c r="V336" s="231"/>
      <c r="W336" s="231"/>
      <c r="X336" s="231"/>
      <c r="Y336" s="231"/>
      <c r="Z336" s="231"/>
      <c r="AA336" s="231"/>
      <c r="AB336" s="231"/>
      <c r="AC336" s="231"/>
      <c r="AD336" s="231"/>
      <c r="AE336" s="231"/>
      <c r="AF336" s="231"/>
      <c r="AG336" s="231"/>
      <c r="AH336" s="231"/>
    </row>
    <row r="337" spans="1:34" s="203" customFormat="1">
      <c r="A337" s="23"/>
      <c r="B337" s="207"/>
      <c r="C337" s="207"/>
      <c r="D337" s="207"/>
      <c r="E337" s="207"/>
      <c r="F337" s="207"/>
      <c r="G337" s="207"/>
      <c r="H337" s="21"/>
      <c r="I337" s="21"/>
      <c r="J337" s="231"/>
      <c r="K337" s="231"/>
      <c r="L337" s="231"/>
      <c r="M337" s="231"/>
      <c r="N337" s="231"/>
      <c r="O337" s="231"/>
      <c r="P337" s="231"/>
      <c r="Q337" s="231"/>
      <c r="R337" s="231"/>
      <c r="S337" s="231"/>
      <c r="T337" s="231"/>
      <c r="U337" s="231"/>
      <c r="V337" s="231"/>
      <c r="W337" s="231"/>
      <c r="X337" s="231"/>
      <c r="Y337" s="231"/>
      <c r="Z337" s="231"/>
      <c r="AA337" s="231"/>
      <c r="AB337" s="231"/>
      <c r="AC337" s="231"/>
      <c r="AD337" s="231"/>
      <c r="AE337" s="231"/>
      <c r="AF337" s="231"/>
      <c r="AG337" s="231"/>
      <c r="AH337" s="231"/>
    </row>
    <row r="338" spans="1:34" s="203" customFormat="1" ht="12.75" customHeight="1">
      <c r="A338" s="23"/>
      <c r="B338" s="207"/>
      <c r="C338" s="207"/>
      <c r="D338" s="207"/>
      <c r="E338" s="207"/>
      <c r="F338" s="207"/>
      <c r="G338" s="207"/>
      <c r="H338" s="21"/>
      <c r="I338" s="21"/>
      <c r="J338" s="231"/>
      <c r="K338" s="231"/>
      <c r="L338" s="231"/>
      <c r="M338" s="231"/>
      <c r="N338" s="231"/>
      <c r="O338" s="231"/>
      <c r="P338" s="231"/>
      <c r="Q338" s="231"/>
      <c r="R338" s="231"/>
      <c r="S338" s="231"/>
      <c r="T338" s="231"/>
      <c r="U338" s="231"/>
      <c r="V338" s="231"/>
      <c r="W338" s="231"/>
      <c r="X338" s="231"/>
      <c r="Y338" s="231"/>
      <c r="Z338" s="231"/>
      <c r="AA338" s="231"/>
      <c r="AB338" s="231"/>
      <c r="AC338" s="231"/>
      <c r="AD338" s="231"/>
      <c r="AE338" s="231"/>
      <c r="AF338" s="231"/>
      <c r="AG338" s="231"/>
      <c r="AH338" s="231"/>
    </row>
    <row r="339" spans="1:34" s="203" customFormat="1">
      <c r="A339" s="23"/>
      <c r="B339" s="207"/>
      <c r="C339" s="207"/>
      <c r="D339" s="207"/>
      <c r="E339" s="207"/>
      <c r="F339" s="207"/>
      <c r="G339" s="207"/>
      <c r="H339" s="21"/>
      <c r="I339" s="21"/>
      <c r="J339" s="231"/>
      <c r="K339" s="231"/>
      <c r="L339" s="231"/>
      <c r="M339" s="231"/>
      <c r="N339" s="231"/>
      <c r="O339" s="231"/>
      <c r="P339" s="231"/>
      <c r="Q339" s="231"/>
      <c r="R339" s="231"/>
      <c r="S339" s="231"/>
      <c r="T339" s="231"/>
      <c r="U339" s="231"/>
      <c r="V339" s="231"/>
      <c r="W339" s="231"/>
      <c r="X339" s="231"/>
      <c r="Y339" s="231"/>
      <c r="Z339" s="231"/>
      <c r="AA339" s="231"/>
      <c r="AB339" s="231"/>
      <c r="AC339" s="231"/>
      <c r="AD339" s="231"/>
      <c r="AE339" s="231"/>
      <c r="AF339" s="231"/>
      <c r="AG339" s="231"/>
      <c r="AH339" s="231"/>
    </row>
    <row r="340" spans="1:34" s="203" customFormat="1">
      <c r="A340" s="23"/>
      <c r="B340" s="207"/>
      <c r="C340" s="207"/>
      <c r="D340" s="207"/>
      <c r="E340" s="207"/>
      <c r="F340" s="207"/>
      <c r="G340" s="207"/>
      <c r="H340" s="131" t="s">
        <v>27</v>
      </c>
      <c r="I340" s="21"/>
      <c r="J340" s="231"/>
      <c r="K340" s="231"/>
      <c r="L340" s="231"/>
      <c r="M340" s="231"/>
      <c r="N340" s="231"/>
      <c r="O340" s="231"/>
      <c r="P340" s="231"/>
      <c r="Q340" s="231"/>
      <c r="R340" s="231"/>
      <c r="S340" s="231"/>
      <c r="T340" s="231"/>
      <c r="U340" s="231"/>
      <c r="V340" s="231"/>
      <c r="W340" s="231"/>
      <c r="X340" s="231"/>
      <c r="Y340" s="231"/>
      <c r="Z340" s="231"/>
      <c r="AA340" s="231"/>
      <c r="AB340" s="231"/>
      <c r="AC340" s="231"/>
      <c r="AD340" s="231"/>
      <c r="AE340" s="231"/>
      <c r="AF340" s="231"/>
      <c r="AG340" s="231"/>
      <c r="AH340" s="231"/>
    </row>
    <row r="341" spans="1:34" s="203" customFormat="1">
      <c r="A341" s="197"/>
      <c r="B341" s="69"/>
      <c r="C341" s="69"/>
      <c r="D341" s="69"/>
      <c r="E341" s="856" t="s">
        <v>377</v>
      </c>
      <c r="F341" s="853" t="s">
        <v>402</v>
      </c>
      <c r="G341" s="207"/>
      <c r="H341" s="856" t="s">
        <v>403</v>
      </c>
      <c r="I341" s="21"/>
      <c r="J341" s="231"/>
      <c r="K341" s="231"/>
      <c r="L341" s="231"/>
      <c r="M341" s="231"/>
      <c r="N341" s="231"/>
      <c r="O341" s="231"/>
      <c r="P341" s="231"/>
      <c r="Q341" s="231"/>
      <c r="R341" s="231"/>
      <c r="S341" s="231"/>
      <c r="T341" s="231"/>
      <c r="U341" s="231"/>
      <c r="V341" s="231"/>
      <c r="W341" s="231"/>
      <c r="X341" s="231"/>
      <c r="Y341" s="231"/>
      <c r="Z341" s="231"/>
      <c r="AA341" s="231"/>
      <c r="AB341" s="231"/>
      <c r="AC341" s="231"/>
      <c r="AD341" s="231"/>
      <c r="AE341" s="231"/>
      <c r="AF341" s="231"/>
      <c r="AG341" s="231"/>
      <c r="AH341" s="231"/>
    </row>
    <row r="342" spans="1:34" s="203" customFormat="1">
      <c r="A342" s="144" t="s">
        <v>261</v>
      </c>
      <c r="B342" s="116"/>
      <c r="C342" s="116"/>
      <c r="D342" s="116"/>
      <c r="E342" s="859"/>
      <c r="F342" s="854"/>
      <c r="G342" s="207"/>
      <c r="H342" s="857"/>
      <c r="I342" s="21"/>
      <c r="J342" s="231"/>
      <c r="K342" s="231"/>
      <c r="L342" s="231"/>
      <c r="M342" s="231"/>
      <c r="N342" s="231"/>
      <c r="O342" s="231"/>
      <c r="P342" s="231"/>
      <c r="Q342" s="231"/>
      <c r="R342" s="231"/>
      <c r="S342" s="231"/>
      <c r="T342" s="231"/>
      <c r="U342" s="231"/>
      <c r="V342" s="231"/>
      <c r="W342" s="231"/>
      <c r="X342" s="231"/>
      <c r="Y342" s="231"/>
      <c r="Z342" s="231"/>
      <c r="AA342" s="231"/>
      <c r="AB342" s="231"/>
      <c r="AC342" s="231"/>
      <c r="AD342" s="231"/>
      <c r="AE342" s="231"/>
      <c r="AF342" s="231"/>
      <c r="AG342" s="231"/>
      <c r="AH342" s="231"/>
    </row>
    <row r="343" spans="1:34" s="203" customFormat="1">
      <c r="A343" s="119"/>
      <c r="B343" s="116"/>
      <c r="C343" s="116"/>
      <c r="D343" s="116"/>
      <c r="E343" s="859"/>
      <c r="F343" s="854"/>
      <c r="G343" s="207"/>
      <c r="H343" s="857"/>
      <c r="I343" s="21"/>
      <c r="J343" s="231"/>
      <c r="K343" s="231"/>
      <c r="L343" s="231"/>
      <c r="M343" s="231"/>
      <c r="N343" s="231"/>
      <c r="O343" s="231"/>
      <c r="P343" s="231"/>
      <c r="Q343" s="231"/>
      <c r="R343" s="231"/>
      <c r="S343" s="231"/>
      <c r="T343" s="231"/>
      <c r="U343" s="231"/>
      <c r="V343" s="231"/>
      <c r="W343" s="231"/>
      <c r="X343" s="231"/>
      <c r="Y343" s="231"/>
      <c r="Z343" s="231"/>
      <c r="AA343" s="231"/>
      <c r="AB343" s="231"/>
      <c r="AC343" s="231"/>
      <c r="AD343" s="231"/>
      <c r="AE343" s="231"/>
      <c r="AF343" s="231"/>
      <c r="AG343" s="231"/>
      <c r="AH343" s="231"/>
    </row>
    <row r="344" spans="1:34" s="203" customFormat="1">
      <c r="A344" s="198" t="s">
        <v>262</v>
      </c>
      <c r="B344" s="116"/>
      <c r="C344" s="116"/>
      <c r="D344" s="116"/>
      <c r="E344" s="859"/>
      <c r="F344" s="854"/>
      <c r="G344" s="207"/>
      <c r="H344" s="857"/>
      <c r="I344" s="21"/>
      <c r="J344" s="231"/>
      <c r="K344" s="231"/>
      <c r="L344" s="231"/>
      <c r="M344" s="231"/>
      <c r="N344" s="231"/>
      <c r="O344" s="231"/>
      <c r="P344" s="231"/>
      <c r="Q344" s="231"/>
      <c r="R344" s="231"/>
      <c r="S344" s="231"/>
      <c r="T344" s="231"/>
      <c r="U344" s="231"/>
      <c r="V344" s="231"/>
      <c r="W344" s="231"/>
      <c r="X344" s="231"/>
      <c r="Y344" s="231"/>
      <c r="Z344" s="231"/>
      <c r="AA344" s="231"/>
      <c r="AB344" s="231"/>
      <c r="AC344" s="231"/>
      <c r="AD344" s="231"/>
      <c r="AE344" s="231"/>
      <c r="AF344" s="231"/>
      <c r="AG344" s="231"/>
      <c r="AH344" s="231"/>
    </row>
    <row r="345" spans="1:34" s="203" customFormat="1">
      <c r="A345" s="198" t="s">
        <v>330</v>
      </c>
      <c r="B345" s="116"/>
      <c r="C345" s="116"/>
      <c r="D345" s="116"/>
      <c r="E345" s="860"/>
      <c r="F345" s="855"/>
      <c r="G345" s="207"/>
      <c r="H345" s="858"/>
      <c r="I345" s="21"/>
      <c r="J345" s="231"/>
      <c r="K345" s="231"/>
      <c r="L345" s="231"/>
      <c r="M345" s="231"/>
      <c r="N345" s="231"/>
      <c r="O345" s="231"/>
      <c r="P345" s="231"/>
      <c r="Q345" s="231"/>
      <c r="R345" s="231"/>
      <c r="S345" s="231"/>
      <c r="T345" s="231"/>
      <c r="U345" s="231"/>
      <c r="V345" s="231"/>
      <c r="W345" s="231"/>
      <c r="X345" s="231"/>
      <c r="Y345" s="231"/>
      <c r="Z345" s="231"/>
      <c r="AA345" s="231"/>
      <c r="AB345" s="231"/>
      <c r="AC345" s="231"/>
      <c r="AD345" s="231"/>
      <c r="AE345" s="231"/>
      <c r="AF345" s="231"/>
      <c r="AG345" s="231"/>
      <c r="AH345" s="231"/>
    </row>
    <row r="346" spans="1:34" s="203" customFormat="1">
      <c r="A346" s="119"/>
      <c r="B346" s="47"/>
      <c r="C346" s="116"/>
      <c r="D346" s="116"/>
      <c r="E346" s="178"/>
      <c r="F346" s="146"/>
      <c r="G346" s="23"/>
      <c r="H346" s="264"/>
      <c r="I346" s="21"/>
      <c r="J346" s="231"/>
      <c r="K346" s="231"/>
      <c r="L346" s="231"/>
      <c r="M346" s="231"/>
      <c r="N346" s="231"/>
      <c r="O346" s="231"/>
      <c r="P346" s="231"/>
      <c r="Q346" s="231"/>
      <c r="R346" s="231"/>
      <c r="S346" s="231"/>
      <c r="T346" s="231"/>
      <c r="U346" s="231"/>
      <c r="V346" s="231"/>
      <c r="W346" s="231"/>
      <c r="X346" s="231"/>
      <c r="Y346" s="231"/>
      <c r="Z346" s="231"/>
      <c r="AA346" s="231"/>
      <c r="AB346" s="231"/>
      <c r="AC346" s="231"/>
      <c r="AD346" s="231"/>
      <c r="AE346" s="231"/>
      <c r="AF346" s="231"/>
      <c r="AG346" s="231"/>
      <c r="AH346" s="231"/>
    </row>
    <row r="347" spans="1:34" s="203" customFormat="1">
      <c r="A347" s="826">
        <v>1</v>
      </c>
      <c r="B347" s="47" t="s">
        <v>263</v>
      </c>
      <c r="C347" s="116"/>
      <c r="D347" s="116"/>
      <c r="E347" s="354">
        <v>10646</v>
      </c>
      <c r="F347" s="265">
        <v>9454</v>
      </c>
      <c r="G347" s="43"/>
      <c r="H347" s="126">
        <v>10146</v>
      </c>
      <c r="I347" s="86"/>
      <c r="J347" s="231"/>
      <c r="K347" s="231"/>
      <c r="L347" s="231"/>
      <c r="M347" s="231"/>
      <c r="N347" s="231"/>
      <c r="O347" s="231"/>
      <c r="P347" s="231"/>
      <c r="Q347" s="231"/>
      <c r="R347" s="231"/>
      <c r="S347" s="231"/>
      <c r="T347" s="231"/>
      <c r="U347" s="231"/>
      <c r="V347" s="231"/>
      <c r="W347" s="231"/>
      <c r="X347" s="231"/>
      <c r="Y347" s="231"/>
      <c r="Z347" s="231"/>
      <c r="AA347" s="231"/>
      <c r="AB347" s="231"/>
      <c r="AC347" s="231"/>
      <c r="AD347" s="231"/>
      <c r="AE347" s="231"/>
      <c r="AF347" s="231"/>
      <c r="AG347" s="231"/>
      <c r="AH347" s="231"/>
    </row>
    <row r="348" spans="1:34" s="203" customFormat="1">
      <c r="A348" s="826"/>
      <c r="B348" s="47"/>
      <c r="C348" s="116"/>
      <c r="D348" s="116"/>
      <c r="E348" s="355"/>
      <c r="F348" s="188"/>
      <c r="G348" s="43"/>
      <c r="H348" s="188"/>
      <c r="I348" s="86"/>
      <c r="J348" s="231"/>
      <c r="K348" s="231"/>
      <c r="L348" s="231"/>
      <c r="M348" s="231"/>
      <c r="N348" s="231"/>
      <c r="O348" s="231"/>
      <c r="P348" s="231"/>
      <c r="Q348" s="231"/>
      <c r="R348" s="231"/>
      <c r="S348" s="231"/>
      <c r="T348" s="231"/>
      <c r="U348" s="231"/>
      <c r="V348" s="231"/>
      <c r="W348" s="231"/>
      <c r="X348" s="231"/>
      <c r="Y348" s="231"/>
      <c r="Z348" s="231"/>
      <c r="AA348" s="231"/>
      <c r="AB348" s="231"/>
      <c r="AC348" s="231"/>
      <c r="AD348" s="231"/>
      <c r="AE348" s="231"/>
      <c r="AF348" s="231"/>
      <c r="AG348" s="231"/>
      <c r="AH348" s="231"/>
    </row>
    <row r="349" spans="1:34" s="203" customFormat="1">
      <c r="A349" s="108" t="s">
        <v>378</v>
      </c>
      <c r="B349" s="47"/>
      <c r="C349" s="116"/>
      <c r="D349" s="116"/>
      <c r="E349" s="355"/>
      <c r="F349" s="188"/>
      <c r="G349" s="43"/>
      <c r="H349" s="188"/>
      <c r="I349" s="86"/>
      <c r="J349" s="231"/>
      <c r="K349" s="231"/>
      <c r="L349" s="231"/>
      <c r="M349" s="231"/>
      <c r="N349" s="231"/>
      <c r="O349" s="231"/>
      <c r="P349" s="231"/>
      <c r="Q349" s="231"/>
      <c r="R349" s="231"/>
      <c r="S349" s="231"/>
      <c r="T349" s="231"/>
      <c r="U349" s="231"/>
      <c r="V349" s="231"/>
      <c r="W349" s="231"/>
      <c r="X349" s="231"/>
      <c r="Y349" s="231"/>
      <c r="Z349" s="231"/>
      <c r="AA349" s="231"/>
      <c r="AB349" s="231"/>
      <c r="AC349" s="231"/>
      <c r="AD349" s="231"/>
      <c r="AE349" s="231"/>
      <c r="AF349" s="231"/>
      <c r="AG349" s="231"/>
      <c r="AH349" s="231"/>
    </row>
    <row r="350" spans="1:34" s="203" customFormat="1">
      <c r="A350" s="826"/>
      <c r="B350" s="47"/>
      <c r="C350" s="116"/>
      <c r="D350" s="116"/>
      <c r="E350" s="355"/>
      <c r="F350" s="188"/>
      <c r="G350" s="43"/>
      <c r="H350" s="188"/>
      <c r="I350" s="86"/>
      <c r="J350" s="231"/>
      <c r="K350" s="231"/>
      <c r="L350" s="231"/>
      <c r="M350" s="231"/>
      <c r="N350" s="231"/>
      <c r="O350" s="231"/>
      <c r="P350" s="231"/>
      <c r="Q350" s="231"/>
      <c r="R350" s="231"/>
      <c r="S350" s="231"/>
      <c r="T350" s="231"/>
      <c r="U350" s="231"/>
      <c r="V350" s="231"/>
      <c r="W350" s="231"/>
      <c r="X350" s="231"/>
      <c r="Y350" s="231"/>
      <c r="Z350" s="231"/>
      <c r="AA350" s="231"/>
      <c r="AB350" s="231"/>
      <c r="AC350" s="231"/>
      <c r="AD350" s="231"/>
      <c r="AE350" s="231"/>
      <c r="AF350" s="231"/>
      <c r="AG350" s="231"/>
      <c r="AH350" s="231"/>
    </row>
    <row r="351" spans="1:34" s="203" customFormat="1">
      <c r="A351" s="198" t="s">
        <v>379</v>
      </c>
      <c r="B351" s="47"/>
      <c r="C351" s="116"/>
      <c r="D351" s="116"/>
      <c r="E351" s="355"/>
      <c r="F351" s="188"/>
      <c r="G351" s="43"/>
      <c r="H351" s="188"/>
      <c r="I351" s="86"/>
      <c r="J351" s="231"/>
      <c r="K351" s="231"/>
      <c r="L351" s="231"/>
      <c r="M351" s="231"/>
      <c r="N351" s="231"/>
      <c r="O351" s="231"/>
      <c r="P351" s="231"/>
      <c r="Q351" s="231"/>
      <c r="R351" s="231"/>
      <c r="S351" s="231"/>
      <c r="T351" s="231"/>
      <c r="U351" s="231"/>
      <c r="V351" s="231"/>
      <c r="W351" s="231"/>
      <c r="X351" s="231"/>
      <c r="Y351" s="231"/>
      <c r="Z351" s="231"/>
      <c r="AA351" s="231"/>
      <c r="AB351" s="231"/>
      <c r="AC351" s="231"/>
      <c r="AD351" s="231"/>
      <c r="AE351" s="231"/>
      <c r="AF351" s="231"/>
      <c r="AG351" s="231"/>
      <c r="AH351" s="231"/>
    </row>
    <row r="352" spans="1:34" s="203" customFormat="1">
      <c r="A352" s="826"/>
      <c r="B352" s="47"/>
      <c r="C352" s="116"/>
      <c r="D352" s="116"/>
      <c r="E352" s="355"/>
      <c r="F352" s="188"/>
      <c r="G352" s="43"/>
      <c r="H352" s="188"/>
      <c r="I352" s="86"/>
      <c r="J352" s="231"/>
      <c r="K352" s="231"/>
      <c r="L352" s="231"/>
      <c r="M352" s="231"/>
      <c r="N352" s="231"/>
      <c r="O352" s="231"/>
      <c r="P352" s="231"/>
      <c r="Q352" s="231"/>
      <c r="R352" s="231"/>
      <c r="S352" s="231"/>
      <c r="T352" s="231"/>
      <c r="U352" s="231"/>
      <c r="V352" s="231"/>
      <c r="W352" s="231"/>
      <c r="X352" s="231"/>
      <c r="Y352" s="231"/>
      <c r="Z352" s="231"/>
      <c r="AA352" s="231"/>
      <c r="AB352" s="231"/>
      <c r="AC352" s="231"/>
      <c r="AD352" s="231"/>
      <c r="AE352" s="231"/>
      <c r="AF352" s="231"/>
      <c r="AG352" s="231"/>
      <c r="AH352" s="231"/>
    </row>
    <row r="353" spans="1:34" s="203" customFormat="1">
      <c r="A353" s="826">
        <v>2</v>
      </c>
      <c r="B353" s="47" t="s">
        <v>52</v>
      </c>
      <c r="C353" s="116"/>
      <c r="D353" s="116"/>
      <c r="E353" s="74">
        <v>0</v>
      </c>
      <c r="F353" s="265">
        <v>0</v>
      </c>
      <c r="G353" s="43"/>
      <c r="H353" s="126">
        <v>0</v>
      </c>
      <c r="I353" s="86"/>
      <c r="J353" s="231"/>
      <c r="K353" s="231"/>
      <c r="L353" s="231"/>
      <c r="M353" s="231"/>
      <c r="N353" s="231"/>
      <c r="O353" s="231"/>
      <c r="P353" s="231"/>
      <c r="Q353" s="231"/>
      <c r="R353" s="231"/>
      <c r="S353" s="231"/>
      <c r="T353" s="231"/>
      <c r="U353" s="231"/>
      <c r="V353" s="231"/>
      <c r="W353" s="231"/>
      <c r="X353" s="231"/>
      <c r="Y353" s="231"/>
      <c r="Z353" s="231"/>
      <c r="AA353" s="231"/>
      <c r="AB353" s="231"/>
      <c r="AC353" s="231"/>
      <c r="AD353" s="231"/>
      <c r="AE353" s="231"/>
      <c r="AF353" s="231"/>
      <c r="AG353" s="231"/>
      <c r="AH353" s="231"/>
    </row>
    <row r="354" spans="1:34" s="203" customFormat="1">
      <c r="A354" s="826">
        <v>3</v>
      </c>
      <c r="B354" s="47" t="s">
        <v>53</v>
      </c>
      <c r="C354" s="116"/>
      <c r="D354" s="116"/>
      <c r="E354" s="49">
        <v>0</v>
      </c>
      <c r="F354" s="265">
        <v>0</v>
      </c>
      <c r="G354" s="43"/>
      <c r="H354" s="126">
        <v>0</v>
      </c>
      <c r="I354" s="86"/>
      <c r="J354" s="231"/>
      <c r="K354" s="231"/>
      <c r="L354" s="231"/>
      <c r="M354" s="231"/>
      <c r="N354" s="231"/>
      <c r="O354" s="231"/>
      <c r="P354" s="231"/>
      <c r="Q354" s="231"/>
      <c r="R354" s="231"/>
      <c r="S354" s="231"/>
      <c r="T354" s="231"/>
      <c r="U354" s="231"/>
      <c r="V354" s="231"/>
      <c r="W354" s="231"/>
      <c r="X354" s="231"/>
      <c r="Y354" s="231"/>
      <c r="Z354" s="231"/>
      <c r="AA354" s="231"/>
      <c r="AB354" s="231"/>
      <c r="AC354" s="231"/>
      <c r="AD354" s="231"/>
      <c r="AE354" s="231"/>
      <c r="AF354" s="231"/>
      <c r="AG354" s="231"/>
      <c r="AH354" s="231"/>
    </row>
    <row r="355" spans="1:34" s="203" customFormat="1">
      <c r="A355" s="826">
        <v>4</v>
      </c>
      <c r="B355" s="47" t="s">
        <v>54</v>
      </c>
      <c r="C355" s="116"/>
      <c r="D355" s="116"/>
      <c r="E355" s="49">
        <v>0</v>
      </c>
      <c r="F355" s="265">
        <v>0</v>
      </c>
      <c r="G355" s="43"/>
      <c r="H355" s="126">
        <v>0</v>
      </c>
      <c r="I355" s="86"/>
      <c r="J355" s="231"/>
      <c r="K355" s="231"/>
      <c r="L355" s="231"/>
      <c r="M355" s="231"/>
      <c r="N355" s="231"/>
      <c r="O355" s="231"/>
      <c r="P355" s="231"/>
      <c r="Q355" s="231"/>
      <c r="R355" s="231"/>
      <c r="S355" s="231"/>
      <c r="T355" s="231"/>
      <c r="U355" s="231"/>
      <c r="V355" s="231"/>
      <c r="W355" s="231"/>
      <c r="X355" s="231"/>
      <c r="Y355" s="231"/>
      <c r="Z355" s="231"/>
      <c r="AA355" s="231"/>
      <c r="AB355" s="231"/>
      <c r="AC355" s="231"/>
      <c r="AD355" s="231"/>
      <c r="AE355" s="231"/>
      <c r="AF355" s="231"/>
      <c r="AG355" s="231"/>
      <c r="AH355" s="231"/>
    </row>
    <row r="356" spans="1:34" s="203" customFormat="1">
      <c r="A356" s="826">
        <v>5</v>
      </c>
      <c r="B356" s="47" t="s">
        <v>55</v>
      </c>
      <c r="C356" s="116"/>
      <c r="D356" s="116"/>
      <c r="E356" s="49">
        <v>0</v>
      </c>
      <c r="F356" s="265">
        <v>0</v>
      </c>
      <c r="G356" s="43"/>
      <c r="H356" s="126">
        <v>0</v>
      </c>
      <c r="I356" s="86"/>
      <c r="J356" s="231"/>
      <c r="K356" s="231"/>
      <c r="L356" s="231"/>
      <c r="M356" s="231"/>
      <c r="N356" s="231"/>
      <c r="O356" s="231"/>
      <c r="P356" s="231"/>
      <c r="Q356" s="231"/>
      <c r="R356" s="231"/>
      <c r="S356" s="231"/>
      <c r="T356" s="231"/>
      <c r="U356" s="231"/>
      <c r="V356" s="231"/>
      <c r="W356" s="231"/>
      <c r="X356" s="231"/>
      <c r="Y356" s="231"/>
      <c r="Z356" s="231"/>
      <c r="AA356" s="231"/>
      <c r="AB356" s="231"/>
      <c r="AC356" s="231"/>
      <c r="AD356" s="231"/>
      <c r="AE356" s="231"/>
      <c r="AF356" s="231"/>
      <c r="AG356" s="231"/>
      <c r="AH356" s="231"/>
    </row>
    <row r="357" spans="1:34" s="203" customFormat="1">
      <c r="A357" s="826">
        <v>6</v>
      </c>
      <c r="B357" s="47" t="s">
        <v>56</v>
      </c>
      <c r="C357" s="116"/>
      <c r="D357" s="116"/>
      <c r="E357" s="49">
        <v>0</v>
      </c>
      <c r="F357" s="265">
        <v>0</v>
      </c>
      <c r="G357" s="43"/>
      <c r="H357" s="126">
        <v>0</v>
      </c>
      <c r="I357" s="86"/>
      <c r="J357" s="231"/>
      <c r="K357" s="231"/>
      <c r="L357" s="231"/>
      <c r="M357" s="231"/>
      <c r="N357" s="231"/>
      <c r="O357" s="231"/>
      <c r="P357" s="231"/>
      <c r="Q357" s="231"/>
      <c r="R357" s="231"/>
      <c r="S357" s="231"/>
      <c r="T357" s="231"/>
      <c r="U357" s="231"/>
      <c r="V357" s="231"/>
      <c r="W357" s="231"/>
      <c r="X357" s="231"/>
      <c r="Y357" s="231"/>
      <c r="Z357" s="231"/>
      <c r="AA357" s="231"/>
      <c r="AB357" s="231"/>
      <c r="AC357" s="231"/>
      <c r="AD357" s="231"/>
      <c r="AE357" s="231"/>
      <c r="AF357" s="231"/>
      <c r="AG357" s="231"/>
      <c r="AH357" s="231"/>
    </row>
    <row r="358" spans="1:34" s="203" customFormat="1">
      <c r="A358" s="826">
        <v>7</v>
      </c>
      <c r="B358" s="47" t="s">
        <v>57</v>
      </c>
      <c r="C358" s="116"/>
      <c r="D358" s="116"/>
      <c r="E358" s="49">
        <v>0</v>
      </c>
      <c r="F358" s="265">
        <v>0</v>
      </c>
      <c r="G358" s="43"/>
      <c r="H358" s="126">
        <v>0</v>
      </c>
      <c r="I358" s="86"/>
      <c r="J358" s="231"/>
      <c r="K358" s="231"/>
      <c r="L358" s="231"/>
      <c r="M358" s="231"/>
      <c r="N358" s="231"/>
      <c r="O358" s="231"/>
      <c r="P358" s="231"/>
      <c r="Q358" s="231"/>
      <c r="R358" s="231"/>
      <c r="S358" s="231"/>
      <c r="T358" s="231"/>
      <c r="U358" s="231"/>
      <c r="V358" s="231"/>
      <c r="W358" s="231"/>
      <c r="X358" s="231"/>
      <c r="Y358" s="231"/>
      <c r="Z358" s="231"/>
      <c r="AA358" s="231"/>
      <c r="AB358" s="231"/>
      <c r="AC358" s="231"/>
      <c r="AD358" s="231"/>
      <c r="AE358" s="231"/>
      <c r="AF358" s="231"/>
      <c r="AG358" s="231"/>
      <c r="AH358" s="231"/>
    </row>
    <row r="359" spans="1:34" s="203" customFormat="1">
      <c r="A359" s="826">
        <v>8</v>
      </c>
      <c r="B359" s="47" t="s">
        <v>58</v>
      </c>
      <c r="C359" s="116"/>
      <c r="D359" s="116"/>
      <c r="E359" s="49">
        <v>0</v>
      </c>
      <c r="F359" s="265">
        <v>0</v>
      </c>
      <c r="G359" s="43"/>
      <c r="H359" s="126">
        <v>0</v>
      </c>
      <c r="I359" s="86"/>
      <c r="J359" s="231"/>
      <c r="K359" s="231"/>
      <c r="L359" s="231"/>
      <c r="M359" s="231"/>
      <c r="N359" s="231"/>
      <c r="O359" s="231"/>
      <c r="P359" s="231"/>
      <c r="Q359" s="231"/>
      <c r="R359" s="231"/>
      <c r="S359" s="231"/>
      <c r="T359" s="231"/>
      <c r="U359" s="231"/>
      <c r="V359" s="231"/>
      <c r="W359" s="231"/>
      <c r="X359" s="231"/>
      <c r="Y359" s="231"/>
      <c r="Z359" s="231"/>
      <c r="AA359" s="231"/>
      <c r="AB359" s="231"/>
      <c r="AC359" s="231"/>
      <c r="AD359" s="231"/>
      <c r="AE359" s="231"/>
      <c r="AF359" s="231"/>
      <c r="AG359" s="231"/>
      <c r="AH359" s="231"/>
    </row>
    <row r="360" spans="1:34" s="203" customFormat="1">
      <c r="A360" s="826">
        <v>9</v>
      </c>
      <c r="B360" s="47" t="s">
        <v>59</v>
      </c>
      <c r="C360" s="116"/>
      <c r="D360" s="116"/>
      <c r="E360" s="49">
        <v>0</v>
      </c>
      <c r="F360" s="265">
        <v>0</v>
      </c>
      <c r="G360" s="43"/>
      <c r="H360" s="126">
        <v>0</v>
      </c>
      <c r="I360" s="86"/>
      <c r="J360" s="231"/>
      <c r="K360" s="231"/>
      <c r="L360" s="231"/>
      <c r="M360" s="231"/>
      <c r="N360" s="231"/>
      <c r="O360" s="231"/>
      <c r="P360" s="231"/>
      <c r="Q360" s="231"/>
      <c r="R360" s="231"/>
      <c r="S360" s="231"/>
      <c r="T360" s="231"/>
      <c r="U360" s="231"/>
      <c r="V360" s="231"/>
      <c r="W360" s="231"/>
      <c r="X360" s="231"/>
      <c r="Y360" s="231"/>
      <c r="Z360" s="231"/>
      <c r="AA360" s="231"/>
      <c r="AB360" s="231"/>
      <c r="AC360" s="231"/>
      <c r="AD360" s="231"/>
      <c r="AE360" s="231"/>
      <c r="AF360" s="231"/>
      <c r="AG360" s="231"/>
      <c r="AH360" s="231"/>
    </row>
    <row r="361" spans="1:34" s="203" customFormat="1">
      <c r="A361" s="826">
        <v>10</v>
      </c>
      <c r="B361" s="47" t="s">
        <v>60</v>
      </c>
      <c r="C361" s="116"/>
      <c r="D361" s="116"/>
      <c r="E361" s="49">
        <v>0</v>
      </c>
      <c r="F361" s="265">
        <v>0</v>
      </c>
      <c r="G361" s="43"/>
      <c r="H361" s="126">
        <v>0</v>
      </c>
      <c r="I361" s="86"/>
      <c r="J361" s="231"/>
      <c r="K361" s="231"/>
      <c r="L361" s="231"/>
      <c r="M361" s="231"/>
      <c r="N361" s="231"/>
      <c r="O361" s="231"/>
      <c r="P361" s="231"/>
      <c r="Q361" s="231"/>
      <c r="R361" s="231"/>
      <c r="S361" s="231"/>
      <c r="T361" s="231"/>
      <c r="U361" s="231"/>
      <c r="V361" s="231"/>
      <c r="W361" s="231"/>
      <c r="X361" s="231"/>
      <c r="Y361" s="231"/>
      <c r="Z361" s="231"/>
      <c r="AA361" s="231"/>
      <c r="AB361" s="231"/>
      <c r="AC361" s="231"/>
      <c r="AD361" s="231"/>
      <c r="AE361" s="231"/>
      <c r="AF361" s="231"/>
      <c r="AG361" s="231"/>
      <c r="AH361" s="231"/>
    </row>
    <row r="362" spans="1:34" s="203" customFormat="1">
      <c r="A362" s="826">
        <v>11</v>
      </c>
      <c r="B362" s="47" t="s">
        <v>61</v>
      </c>
      <c r="C362" s="116"/>
      <c r="D362" s="116"/>
      <c r="E362" s="49">
        <v>120</v>
      </c>
      <c r="F362" s="265">
        <v>120</v>
      </c>
      <c r="G362" s="43"/>
      <c r="H362" s="126">
        <v>239</v>
      </c>
      <c r="I362" s="86"/>
      <c r="J362" s="231"/>
      <c r="K362" s="231"/>
      <c r="L362" s="231"/>
      <c r="M362" s="231"/>
      <c r="N362" s="231"/>
      <c r="O362" s="231"/>
      <c r="P362" s="231"/>
      <c r="Q362" s="231"/>
      <c r="R362" s="231"/>
      <c r="S362" s="231"/>
      <c r="T362" s="231"/>
      <c r="U362" s="231"/>
      <c r="V362" s="231"/>
      <c r="W362" s="231"/>
      <c r="X362" s="231"/>
      <c r="Y362" s="231"/>
      <c r="Z362" s="231"/>
      <c r="AA362" s="231"/>
      <c r="AB362" s="231"/>
      <c r="AC362" s="231"/>
      <c r="AD362" s="231"/>
      <c r="AE362" s="231"/>
      <c r="AF362" s="231"/>
      <c r="AG362" s="231"/>
      <c r="AH362" s="231"/>
    </row>
    <row r="363" spans="1:34" s="203" customFormat="1">
      <c r="A363" s="827">
        <v>12</v>
      </c>
      <c r="B363" s="54" t="s">
        <v>380</v>
      </c>
      <c r="C363" s="94"/>
      <c r="D363" s="94"/>
      <c r="E363" s="135">
        <v>120</v>
      </c>
      <c r="F363" s="61">
        <f>SUM(F353:F362)</f>
        <v>120</v>
      </c>
      <c r="G363" s="43"/>
      <c r="H363" s="61">
        <f>SUM(H353:H362)</f>
        <v>239</v>
      </c>
      <c r="I363" s="86"/>
      <c r="J363" s="231"/>
      <c r="K363" s="231"/>
      <c r="L363" s="231"/>
      <c r="M363" s="231"/>
      <c r="N363" s="231"/>
      <c r="O363" s="231"/>
      <c r="P363" s="231"/>
      <c r="Q363" s="231"/>
      <c r="R363" s="231"/>
      <c r="S363" s="231"/>
      <c r="T363" s="231"/>
      <c r="U363" s="231"/>
      <c r="V363" s="231"/>
      <c r="W363" s="231"/>
      <c r="X363" s="231"/>
      <c r="Y363" s="231"/>
      <c r="Z363" s="231"/>
      <c r="AA363" s="231"/>
      <c r="AB363" s="231"/>
      <c r="AC363" s="231"/>
      <c r="AD363" s="231"/>
      <c r="AE363" s="231"/>
      <c r="AF363" s="231"/>
      <c r="AG363" s="231"/>
      <c r="AH363" s="231"/>
    </row>
    <row r="364" spans="1:34" s="203" customFormat="1">
      <c r="A364" s="199"/>
      <c r="B364" s="15"/>
      <c r="C364" s="15"/>
      <c r="D364" s="15"/>
      <c r="E364" s="15"/>
      <c r="F364" s="15"/>
      <c r="G364" s="15"/>
      <c r="H364" s="15"/>
      <c r="I364" s="86"/>
      <c r="J364" s="231"/>
      <c r="K364" s="231"/>
      <c r="L364" s="231"/>
      <c r="M364" s="231"/>
      <c r="N364" s="231"/>
      <c r="O364" s="231"/>
      <c r="P364" s="231"/>
      <c r="Q364" s="231"/>
      <c r="R364" s="231"/>
      <c r="S364" s="231"/>
      <c r="T364" s="231"/>
      <c r="U364" s="231"/>
      <c r="V364" s="231"/>
      <c r="W364" s="231"/>
      <c r="X364" s="231"/>
      <c r="Y364" s="231"/>
      <c r="Z364" s="231"/>
      <c r="AA364" s="231"/>
      <c r="AB364" s="231"/>
      <c r="AC364" s="231"/>
      <c r="AD364" s="231"/>
      <c r="AE364" s="231"/>
      <c r="AF364" s="231"/>
      <c r="AG364" s="231"/>
      <c r="AH364" s="231"/>
    </row>
    <row r="365" spans="1:34" s="203" customFormat="1">
      <c r="A365" s="199"/>
      <c r="B365" s="15"/>
      <c r="C365" s="15"/>
      <c r="D365" s="15"/>
      <c r="E365" s="15"/>
      <c r="F365" s="15"/>
      <c r="G365" s="15"/>
      <c r="H365" s="86"/>
      <c r="I365" s="86"/>
      <c r="J365" s="231"/>
      <c r="K365" s="231"/>
      <c r="L365" s="231"/>
      <c r="M365" s="231"/>
      <c r="N365" s="231"/>
      <c r="O365" s="231"/>
      <c r="P365" s="231"/>
      <c r="Q365" s="231"/>
      <c r="R365" s="231"/>
      <c r="S365" s="231"/>
      <c r="T365" s="231"/>
      <c r="U365" s="231"/>
      <c r="V365" s="231"/>
      <c r="W365" s="231"/>
      <c r="X365" s="231"/>
      <c r="Y365" s="231"/>
      <c r="Z365" s="231"/>
      <c r="AA365" s="231"/>
      <c r="AB365" s="231"/>
      <c r="AC365" s="231"/>
      <c r="AD365" s="231"/>
      <c r="AE365" s="231"/>
      <c r="AF365" s="231"/>
      <c r="AG365" s="231"/>
      <c r="AH365" s="231"/>
    </row>
    <row r="366" spans="1:34" s="203" customFormat="1">
      <c r="A366" s="199"/>
      <c r="B366" s="15"/>
      <c r="C366" s="15"/>
      <c r="D366" s="15"/>
      <c r="E366" s="15"/>
      <c r="F366" s="15"/>
      <c r="G366" s="15"/>
      <c r="H366" s="86"/>
      <c r="I366" s="86"/>
      <c r="J366" s="231"/>
      <c r="K366" s="231"/>
      <c r="L366" s="231"/>
      <c r="M366" s="231"/>
      <c r="N366" s="231"/>
      <c r="O366" s="231"/>
      <c r="P366" s="231"/>
      <c r="Q366" s="231"/>
      <c r="R366" s="231"/>
      <c r="S366" s="231"/>
      <c r="T366" s="231"/>
      <c r="U366" s="231"/>
      <c r="V366" s="231"/>
      <c r="W366" s="231"/>
      <c r="X366" s="231"/>
      <c r="Y366" s="231"/>
      <c r="Z366" s="231"/>
      <c r="AA366" s="231"/>
      <c r="AB366" s="231"/>
      <c r="AC366" s="231"/>
      <c r="AD366" s="231"/>
      <c r="AE366" s="231"/>
      <c r="AF366" s="231"/>
      <c r="AG366" s="231"/>
      <c r="AH366" s="231"/>
    </row>
    <row r="367" spans="1:34" s="8" customFormat="1"/>
    <row r="368" spans="1:34" s="8" customFormat="1"/>
    <row r="369" s="8" customFormat="1"/>
    <row r="370" s="8" customFormat="1"/>
    <row r="371" s="8" customFormat="1"/>
    <row r="372" s="8" customFormat="1"/>
    <row r="373" s="8" customFormat="1"/>
    <row r="374" s="8" customFormat="1"/>
    <row r="375" s="8" customFormat="1"/>
    <row r="376" s="8" customFormat="1"/>
    <row r="377" s="8" customFormat="1"/>
    <row r="378" s="8" customFormat="1"/>
    <row r="379" s="8" customFormat="1"/>
    <row r="380" s="8" customFormat="1"/>
    <row r="381" s="8" customFormat="1"/>
    <row r="382" s="8" customFormat="1"/>
    <row r="383" s="8" customFormat="1"/>
    <row r="384" s="8" customFormat="1"/>
    <row r="385" spans="1:9" s="8" customFormat="1"/>
    <row r="386" spans="1:9" s="8" customFormat="1"/>
    <row r="387" spans="1:9" s="8" customFormat="1"/>
    <row r="388" spans="1:9" s="8" customFormat="1"/>
    <row r="389" spans="1:9" s="8" customFormat="1"/>
    <row r="390" spans="1:9" s="8" customFormat="1"/>
    <row r="391" spans="1:9" s="8" customFormat="1"/>
    <row r="392" spans="1:9" s="8" customFormat="1"/>
    <row r="393" spans="1:9" s="8" customFormat="1"/>
    <row r="394" spans="1:9" s="8" customFormat="1"/>
    <row r="395" spans="1:9" s="8" customFormat="1"/>
    <row r="396" spans="1:9" s="8" customFormat="1"/>
    <row r="397" spans="1:9" s="8" customFormat="1"/>
    <row r="398" spans="1:9" s="8" customFormat="1"/>
    <row r="399" spans="1:9" s="8" customFormat="1"/>
    <row r="400" spans="1:9">
      <c r="A400" s="8"/>
      <c r="B400" s="8"/>
      <c r="C400" s="8"/>
      <c r="D400" s="8"/>
      <c r="E400" s="8"/>
      <c r="F400" s="8"/>
      <c r="G400" s="8"/>
      <c r="H400" s="8"/>
      <c r="I400" s="8"/>
    </row>
    <row r="401" spans="1:9">
      <c r="A401" s="8"/>
      <c r="B401" s="8"/>
      <c r="C401" s="8"/>
      <c r="D401" s="8"/>
      <c r="E401" s="8"/>
      <c r="F401" s="8"/>
      <c r="G401" s="8"/>
      <c r="H401" s="8"/>
      <c r="I401" s="8"/>
    </row>
    <row r="402" spans="1:9">
      <c r="A402" s="8"/>
      <c r="B402" s="8"/>
      <c r="C402" s="8"/>
      <c r="D402" s="8"/>
      <c r="E402" s="8"/>
      <c r="F402" s="8"/>
      <c r="G402" s="8"/>
      <c r="H402" s="8"/>
      <c r="I402" s="8"/>
    </row>
    <row r="403" spans="1:9">
      <c r="A403" s="8"/>
      <c r="B403" s="8"/>
      <c r="C403" s="8"/>
      <c r="D403" s="8"/>
      <c r="E403" s="8"/>
      <c r="F403" s="8"/>
      <c r="G403" s="8"/>
      <c r="H403" s="8"/>
      <c r="I403" s="8"/>
    </row>
    <row r="404" spans="1:9">
      <c r="A404" s="8"/>
      <c r="B404" s="8"/>
      <c r="C404" s="8"/>
      <c r="D404" s="8"/>
      <c r="E404" s="8"/>
      <c r="F404" s="8"/>
      <c r="G404" s="8"/>
      <c r="H404" s="8"/>
      <c r="I404" s="8"/>
    </row>
    <row r="405" spans="1:9">
      <c r="A405" s="8"/>
      <c r="B405" s="8"/>
      <c r="C405" s="8"/>
      <c r="D405" s="8"/>
      <c r="E405" s="8"/>
      <c r="F405" s="8"/>
      <c r="G405" s="8"/>
      <c r="H405" s="8"/>
      <c r="I405" s="8"/>
    </row>
    <row r="406" spans="1:9">
      <c r="A406" s="8"/>
      <c r="B406" s="8"/>
      <c r="C406" s="8"/>
      <c r="D406" s="8"/>
      <c r="E406" s="8"/>
      <c r="F406" s="8"/>
      <c r="G406" s="8"/>
      <c r="H406" s="8"/>
      <c r="I406" s="8"/>
    </row>
    <row r="407" spans="1:9">
      <c r="A407" s="8"/>
      <c r="B407" s="8"/>
      <c r="C407" s="8"/>
      <c r="D407" s="8"/>
      <c r="E407" s="8"/>
      <c r="F407" s="8"/>
      <c r="G407" s="8"/>
      <c r="H407" s="8"/>
      <c r="I407" s="8"/>
    </row>
    <row r="408" spans="1:9">
      <c r="A408" s="8"/>
      <c r="B408" s="8"/>
      <c r="C408" s="8"/>
      <c r="D408" s="8"/>
      <c r="E408" s="8"/>
      <c r="F408" s="8"/>
      <c r="G408" s="8"/>
      <c r="H408" s="8"/>
      <c r="I408" s="8"/>
    </row>
    <row r="409" spans="1:9">
      <c r="A409" s="8"/>
      <c r="B409" s="8"/>
      <c r="C409" s="8"/>
      <c r="D409" s="8"/>
      <c r="E409" s="8"/>
      <c r="F409" s="8"/>
      <c r="G409" s="8"/>
      <c r="H409" s="8"/>
      <c r="I409" s="8"/>
    </row>
    <row r="410" spans="1:9">
      <c r="A410" s="8"/>
      <c r="B410" s="8"/>
      <c r="C410" s="8"/>
      <c r="D410" s="8"/>
      <c r="E410" s="8"/>
      <c r="F410" s="8"/>
      <c r="G410" s="8"/>
      <c r="H410" s="8"/>
      <c r="I410" s="8"/>
    </row>
    <row r="411" spans="1:9">
      <c r="A411" s="8"/>
      <c r="B411" s="8"/>
      <c r="C411" s="8"/>
      <c r="D411" s="8"/>
      <c r="E411" s="8"/>
      <c r="F411" s="8"/>
      <c r="G411" s="8"/>
      <c r="H411" s="8"/>
      <c r="I411" s="8"/>
    </row>
    <row r="412" spans="1:9">
      <c r="A412" s="8"/>
      <c r="B412" s="8"/>
      <c r="C412" s="8"/>
      <c r="D412" s="8"/>
      <c r="E412" s="8"/>
      <c r="F412" s="8"/>
      <c r="G412" s="8"/>
      <c r="H412" s="8"/>
      <c r="I412" s="8"/>
    </row>
    <row r="413" spans="1:9">
      <c r="A413" s="8"/>
      <c r="B413" s="8"/>
      <c r="C413" s="8"/>
      <c r="D413" s="8"/>
      <c r="E413" s="8"/>
      <c r="F413" s="8"/>
      <c r="G413" s="8"/>
      <c r="H413" s="8"/>
      <c r="I413" s="8"/>
    </row>
    <row r="414" spans="1:9">
      <c r="A414" s="8"/>
      <c r="B414" s="8"/>
      <c r="C414" s="8"/>
      <c r="D414" s="8"/>
      <c r="E414" s="8"/>
      <c r="F414" s="8"/>
      <c r="G414" s="8"/>
      <c r="H414" s="8"/>
      <c r="I414" s="8"/>
    </row>
  </sheetData>
  <mergeCells count="59">
    <mergeCell ref="F341:F345"/>
    <mergeCell ref="H341:H345"/>
    <mergeCell ref="E261:E265"/>
    <mergeCell ref="F261:F265"/>
    <mergeCell ref="H261:H265"/>
    <mergeCell ref="E280:E284"/>
    <mergeCell ref="F280:F284"/>
    <mergeCell ref="H280:H284"/>
    <mergeCell ref="E305:E309"/>
    <mergeCell ref="F305:F309"/>
    <mergeCell ref="H305:H309"/>
    <mergeCell ref="C323:H323"/>
    <mergeCell ref="C330:H330"/>
    <mergeCell ref="E341:E345"/>
    <mergeCell ref="E221:E225"/>
    <mergeCell ref="F221:F225"/>
    <mergeCell ref="H221:H225"/>
    <mergeCell ref="E234:E238"/>
    <mergeCell ref="F234:F238"/>
    <mergeCell ref="H234:H238"/>
    <mergeCell ref="G66:G70"/>
    <mergeCell ref="H66:H70"/>
    <mergeCell ref="F91:F95"/>
    <mergeCell ref="H91:H95"/>
    <mergeCell ref="E193:E197"/>
    <mergeCell ref="F193:F197"/>
    <mergeCell ref="H193:H197"/>
    <mergeCell ref="E153:E157"/>
    <mergeCell ref="F153:F157"/>
    <mergeCell ref="H153:H157"/>
    <mergeCell ref="E91:E95"/>
    <mergeCell ref="I66:I70"/>
    <mergeCell ref="A23:D24"/>
    <mergeCell ref="E23:E24"/>
    <mergeCell ref="F23:F24"/>
    <mergeCell ref="H23:H24"/>
    <mergeCell ref="A25:A27"/>
    <mergeCell ref="B25:D27"/>
    <mergeCell ref="E25:E27"/>
    <mergeCell ref="F25:F27"/>
    <mergeCell ref="H25:H27"/>
    <mergeCell ref="A40:D41"/>
    <mergeCell ref="E40:E41"/>
    <mergeCell ref="F40:F41"/>
    <mergeCell ref="H40:H41"/>
    <mergeCell ref="E66:E70"/>
    <mergeCell ref="F66:F70"/>
    <mergeCell ref="C19:F19"/>
    <mergeCell ref="B3:B4"/>
    <mergeCell ref="C3:D4"/>
    <mergeCell ref="A5:B5"/>
    <mergeCell ref="D6:H6"/>
    <mergeCell ref="A9:I9"/>
    <mergeCell ref="D10:F10"/>
    <mergeCell ref="C14:F14"/>
    <mergeCell ref="C15:F15"/>
    <mergeCell ref="C16:F16"/>
    <mergeCell ref="C17:F17"/>
    <mergeCell ref="C18:F18"/>
  </mergeCells>
  <phoneticPr fontId="10" type="noConversion"/>
  <conditionalFormatting sqref="F71:F76 F286:F301 F311:F318 F80:F88 F96:F97 F103:F104 F106 F110:F114 F118:F124 F128:F134 F138:F142 F146:F149 F159:F162 F166:F168 F171:F172 F175:F177 F183:F190 F199:F200 F204:F206 F210:F213 F217:F218 F226:F230 F240:F241 F245:F246 F250:F253 F256 F267:F276 H250">
    <cfRule type="expression" dxfId="2" priority="307" stopIfTrue="1">
      <formula>ISBLANK(F71)</formula>
    </cfRule>
    <cfRule type="expression" dxfId="1" priority="308" stopIfTrue="1">
      <formula>IF(AND(OR(F71-E71&gt;500,F71-E71&lt;-500),OR(#REF!&gt;0.1,#REF!&lt;-0.1)),TRUE,FALSE)</formula>
    </cfRule>
  </conditionalFormatting>
  <dataValidations count="1">
    <dataValidation type="list" errorStyle="information" allowBlank="1" showInputMessage="1" showErrorMessage="1" errorTitle="POBE 2006" error="Please select from the drop-down menu..." prompt="Please select your Authority from the drop-down menu..." sqref="C3:D4">
      <formula1>#REF!</formula1>
    </dataValidation>
  </dataValidations>
  <hyperlinks>
    <hyperlink ref="F7" r:id="rId1" display="lgfstats@scotland.gsi.gov.uk"/>
    <hyperlink ref="D6" r:id="rId2"/>
    <hyperlink ref="D10" r:id="rId3" display="^lgfstats@gov.scot"/>
    <hyperlink ref="B14" location="'POBE 2017'!A28" display="PART 1 - Expenditure"/>
    <hyperlink ref="C19:F19" location="'POBE 2017'!A323" display="Sheet 10. - PUBLIC PRIVATE PARTNERSHIPS/PRIVATE FINANCE INITIATIVES"/>
    <hyperlink ref="B15" location="'POBE 2017'!A40" display="PART 2 - Income and Balances"/>
    <hyperlink ref="B16" location="'POBE 2017'!A66" display="Sheet 1. EDUCATION"/>
    <hyperlink ref="B17" location="'POBE 2017'!A91" display="Sheet 2. SOCIAL WORK"/>
    <hyperlink ref="B18" location="'POBE 2017'!A153" display="Sheet 3. ROADS AND TRANSPORT"/>
    <hyperlink ref="B19" location="'POBE 2017'!A193" display="Sheet 4. ENVIRONMENTAL SERVICES"/>
    <hyperlink ref="C14:F14" location="'POBE 2017'!A221" display="Sheet 5. PLANNING AND DEVELOPMENT SERVICES"/>
    <hyperlink ref="C15:F15" location="'POBE 2017'!A234" display="Sheet 6. CULTURAL AND RELATED SERVICES"/>
    <hyperlink ref="C16:F16" location="'POBE 2017'!A261" display="Sheet 7. HOUSING"/>
    <hyperlink ref="C17:F17" location="'POBE 2017'!A280" display="Sheet 8. CENTRAL SERVICES"/>
    <hyperlink ref="C18:F18" location="'POBE 2017'!A305" display="Sheet 9. OTHER EXPENDITURE"/>
  </hyperlinks>
  <pageMargins left="0.75" right="0.75" top="1" bottom="1" header="0.5" footer="0.5"/>
  <pageSetup paperSize="9" orientation="portrait" r:id="rId4"/>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tabColor theme="9"/>
  </sheetPr>
  <dimension ref="A1:AV78"/>
  <sheetViews>
    <sheetView workbookViewId="0">
      <pane xSplit="1" topLeftCell="B1" activePane="topRight" state="frozen"/>
      <selection activeCell="T3" sqref="T3"/>
      <selection pane="topRight" activeCell="B44" sqref="B44:B76"/>
    </sheetView>
  </sheetViews>
  <sheetFormatPr defaultColWidth="9.140625" defaultRowHeight="12.75"/>
  <cols>
    <col min="1" max="1" width="33.85546875" style="271" customWidth="1"/>
    <col min="2" max="5" width="9.140625" style="271"/>
    <col min="6" max="6" width="1.42578125" style="271" customWidth="1"/>
    <col min="7" max="7" width="7.5703125" style="271" customWidth="1"/>
    <col min="8" max="8" width="9.7109375" style="271" customWidth="1"/>
    <col min="9" max="9" width="1.42578125" style="271" customWidth="1"/>
    <col min="10" max="13" width="9.140625" style="271"/>
    <col min="14" max="14" width="1.42578125" style="271" customWidth="1"/>
    <col min="15" max="15" width="7.5703125" style="271" customWidth="1"/>
    <col min="16" max="16" width="9.7109375" style="271" customWidth="1"/>
    <col min="17" max="17" width="1.42578125" style="271" customWidth="1"/>
    <col min="18" max="21" width="9.140625" style="271"/>
    <col min="22" max="22" width="1.42578125" style="271" customWidth="1"/>
    <col min="23" max="23" width="7.5703125" style="271" customWidth="1"/>
    <col min="24" max="24" width="9.7109375" style="271" customWidth="1"/>
    <col min="25" max="25" width="1.42578125" style="271" customWidth="1"/>
    <col min="26" max="29" width="9.140625" style="271"/>
    <col min="30" max="30" width="1.42578125" style="271" customWidth="1"/>
    <col min="31" max="31" width="7.5703125" style="271" customWidth="1"/>
    <col min="32" max="32" width="9.7109375" style="271" customWidth="1"/>
    <col min="33" max="33" width="1.42578125" style="271" customWidth="1"/>
    <col min="34" max="37" width="9.140625" style="271"/>
    <col min="38" max="38" width="1.42578125" style="271" customWidth="1"/>
    <col min="39" max="39" width="7.5703125" style="271" customWidth="1"/>
    <col min="40" max="40" width="9.7109375" style="271" customWidth="1"/>
    <col min="41" max="41" width="1.42578125" style="271" customWidth="1"/>
    <col min="42" max="45" width="9.140625" style="271"/>
    <col min="46" max="46" width="1.42578125" style="271" customWidth="1"/>
    <col min="47" max="47" width="7.5703125" style="271" customWidth="1"/>
    <col min="48" max="48" width="9.7109375" style="271" customWidth="1"/>
    <col min="49" max="16384" width="9.140625" style="271"/>
  </cols>
  <sheetData>
    <row r="1" spans="1:48">
      <c r="A1" s="298" t="s">
        <v>310</v>
      </c>
      <c r="G1" s="299"/>
      <c r="H1" s="299"/>
    </row>
    <row r="2" spans="1:48">
      <c r="A2" s="300"/>
      <c r="B2" s="965" t="s">
        <v>311</v>
      </c>
      <c r="C2" s="966"/>
      <c r="D2" s="966"/>
      <c r="E2" s="966"/>
      <c r="F2" s="966"/>
      <c r="G2" s="966"/>
      <c r="H2" s="967"/>
      <c r="I2" s="301"/>
      <c r="J2" s="965" t="s">
        <v>301</v>
      </c>
      <c r="K2" s="966"/>
      <c r="L2" s="966"/>
      <c r="M2" s="966"/>
      <c r="N2" s="966"/>
      <c r="O2" s="966"/>
      <c r="P2" s="967"/>
      <c r="Q2" s="301"/>
      <c r="R2" s="965" t="s">
        <v>302</v>
      </c>
      <c r="S2" s="966"/>
      <c r="T2" s="966"/>
      <c r="U2" s="966"/>
      <c r="V2" s="966"/>
      <c r="W2" s="966"/>
      <c r="X2" s="967"/>
      <c r="Y2" s="301"/>
      <c r="Z2" s="965" t="s">
        <v>303</v>
      </c>
      <c r="AA2" s="966"/>
      <c r="AB2" s="966"/>
      <c r="AC2" s="966"/>
      <c r="AD2" s="966"/>
      <c r="AE2" s="966"/>
      <c r="AF2" s="967"/>
      <c r="AG2" s="302"/>
      <c r="AH2" s="965" t="s">
        <v>120</v>
      </c>
      <c r="AI2" s="966"/>
      <c r="AJ2" s="966"/>
      <c r="AK2" s="966"/>
      <c r="AL2" s="966"/>
      <c r="AM2" s="966"/>
      <c r="AN2" s="967"/>
      <c r="AO2" s="301"/>
      <c r="AP2" s="965" t="s">
        <v>121</v>
      </c>
      <c r="AQ2" s="966"/>
      <c r="AR2" s="966"/>
      <c r="AS2" s="966"/>
      <c r="AT2" s="966"/>
      <c r="AU2" s="966"/>
      <c r="AV2" s="967"/>
    </row>
    <row r="3" spans="1:48">
      <c r="A3" s="303"/>
      <c r="B3" s="965" t="s">
        <v>278</v>
      </c>
      <c r="C3" s="966"/>
      <c r="D3" s="966"/>
      <c r="E3" s="966"/>
      <c r="F3" s="413"/>
      <c r="G3" s="966" t="s">
        <v>280</v>
      </c>
      <c r="H3" s="967"/>
      <c r="I3" s="299"/>
      <c r="J3" s="965" t="s">
        <v>278</v>
      </c>
      <c r="K3" s="966"/>
      <c r="L3" s="966"/>
      <c r="M3" s="966"/>
      <c r="N3" s="413"/>
      <c r="O3" s="966" t="s">
        <v>280</v>
      </c>
      <c r="P3" s="967"/>
      <c r="Q3" s="299"/>
      <c r="R3" s="965" t="s">
        <v>278</v>
      </c>
      <c r="S3" s="966"/>
      <c r="T3" s="966"/>
      <c r="U3" s="966"/>
      <c r="V3" s="413"/>
      <c r="W3" s="966" t="s">
        <v>280</v>
      </c>
      <c r="X3" s="967"/>
      <c r="Y3" s="299"/>
      <c r="Z3" s="965" t="s">
        <v>278</v>
      </c>
      <c r="AA3" s="966"/>
      <c r="AB3" s="966"/>
      <c r="AC3" s="966"/>
      <c r="AD3" s="413"/>
      <c r="AE3" s="966" t="s">
        <v>280</v>
      </c>
      <c r="AF3" s="967"/>
      <c r="AG3" s="16"/>
      <c r="AH3" s="965" t="s">
        <v>278</v>
      </c>
      <c r="AI3" s="966"/>
      <c r="AJ3" s="966"/>
      <c r="AK3" s="966"/>
      <c r="AL3" s="413"/>
      <c r="AM3" s="966" t="s">
        <v>280</v>
      </c>
      <c r="AN3" s="967"/>
      <c r="AO3" s="299"/>
      <c r="AP3" s="965" t="s">
        <v>278</v>
      </c>
      <c r="AQ3" s="966"/>
      <c r="AR3" s="966"/>
      <c r="AS3" s="966"/>
      <c r="AT3" s="413"/>
      <c r="AU3" s="966" t="s">
        <v>280</v>
      </c>
      <c r="AV3" s="967"/>
    </row>
    <row r="4" spans="1:48" ht="38.25">
      <c r="A4" s="303"/>
      <c r="B4" s="410" t="s">
        <v>272</v>
      </c>
      <c r="C4" s="411" t="s">
        <v>331</v>
      </c>
      <c r="D4" s="411" t="s">
        <v>381</v>
      </c>
      <c r="F4" s="364"/>
      <c r="G4" s="365" t="s">
        <v>384</v>
      </c>
      <c r="H4" s="366" t="s">
        <v>384</v>
      </c>
      <c r="I4" s="299"/>
      <c r="J4" s="410" t="s">
        <v>272</v>
      </c>
      <c r="K4" s="411" t="s">
        <v>331</v>
      </c>
      <c r="L4" s="411" t="s">
        <v>381</v>
      </c>
      <c r="N4" s="364"/>
      <c r="O4" s="365" t="s">
        <v>384</v>
      </c>
      <c r="P4" s="366" t="s">
        <v>384</v>
      </c>
      <c r="Q4" s="299"/>
      <c r="R4" s="410" t="s">
        <v>272</v>
      </c>
      <c r="S4" s="411" t="s">
        <v>331</v>
      </c>
      <c r="T4" s="411" t="s">
        <v>381</v>
      </c>
      <c r="V4" s="364"/>
      <c r="W4" s="365" t="s">
        <v>384</v>
      </c>
      <c r="X4" s="366" t="s">
        <v>384</v>
      </c>
      <c r="Y4" s="299"/>
      <c r="Z4" s="410" t="s">
        <v>272</v>
      </c>
      <c r="AA4" s="411" t="s">
        <v>331</v>
      </c>
      <c r="AB4" s="411" t="s">
        <v>381</v>
      </c>
      <c r="AD4" s="364"/>
      <c r="AE4" s="365" t="s">
        <v>384</v>
      </c>
      <c r="AF4" s="366" t="s">
        <v>384</v>
      </c>
      <c r="AG4" s="16"/>
      <c r="AH4" s="410" t="s">
        <v>272</v>
      </c>
      <c r="AI4" s="411" t="s">
        <v>331</v>
      </c>
      <c r="AJ4" s="411" t="s">
        <v>381</v>
      </c>
      <c r="AL4" s="364"/>
      <c r="AM4" s="365" t="s">
        <v>384</v>
      </c>
      <c r="AN4" s="366" t="s">
        <v>384</v>
      </c>
      <c r="AO4" s="299"/>
      <c r="AP4" s="410" t="s">
        <v>272</v>
      </c>
      <c r="AQ4" s="411" t="s">
        <v>331</v>
      </c>
      <c r="AR4" s="411" t="s">
        <v>381</v>
      </c>
      <c r="AT4" s="364"/>
      <c r="AU4" s="365" t="s">
        <v>384</v>
      </c>
      <c r="AV4" s="366" t="s">
        <v>384</v>
      </c>
    </row>
    <row r="5" spans="1:48">
      <c r="A5" s="283" t="s">
        <v>251</v>
      </c>
      <c r="B5" s="332">
        <v>902021.76681837672</v>
      </c>
      <c r="C5" s="333">
        <v>907099.01020912069</v>
      </c>
      <c r="D5" s="333">
        <f>Scotland!F98</f>
        <v>930475</v>
      </c>
      <c r="E5" s="301"/>
      <c r="F5" s="333"/>
      <c r="G5" s="367">
        <f>D5/C5-1</f>
        <v>2.5770053244232205E-2</v>
      </c>
      <c r="H5" s="368">
        <f>D5-C5</f>
        <v>23375.989790879306</v>
      </c>
      <c r="I5" s="299"/>
      <c r="J5" s="332">
        <v>224159.06230919127</v>
      </c>
      <c r="K5" s="333">
        <v>227346.8842990947</v>
      </c>
      <c r="L5" s="333">
        <f>Scotland!F110</f>
        <v>235300</v>
      </c>
      <c r="M5" s="301"/>
      <c r="N5" s="333"/>
      <c r="O5" s="367">
        <f>L5/K5-1</f>
        <v>3.4982294679008152E-2</v>
      </c>
      <c r="P5" s="368">
        <f>L5-K5</f>
        <v>7953.1157009052986</v>
      </c>
      <c r="Q5" s="299"/>
      <c r="R5" s="332">
        <v>245440.14906522885</v>
      </c>
      <c r="S5" s="333">
        <v>245106.01363193992</v>
      </c>
      <c r="T5" s="333">
        <f>Scotland!F111</f>
        <v>247658</v>
      </c>
      <c r="U5" s="301"/>
      <c r="V5" s="333"/>
      <c r="W5" s="367">
        <f>T5/S5-1</f>
        <v>1.0411765628452585E-2</v>
      </c>
      <c r="X5" s="368">
        <f>T5-S5</f>
        <v>2551.9863680600829</v>
      </c>
      <c r="Y5" s="299"/>
      <c r="Z5" s="332">
        <v>262657.63882295456</v>
      </c>
      <c r="AA5" s="333">
        <v>275675.03064881347</v>
      </c>
      <c r="AB5" s="333">
        <f>Scotland!F112</f>
        <v>280150</v>
      </c>
      <c r="AC5" s="301"/>
      <c r="AD5" s="333"/>
      <c r="AE5" s="367">
        <f>AB5/AA5-1</f>
        <v>1.6232769941675551E-2</v>
      </c>
      <c r="AF5" s="368">
        <f>AB5-AA5</f>
        <v>4474.9693511865335</v>
      </c>
      <c r="AG5" s="16"/>
      <c r="AH5" s="332">
        <v>41708</v>
      </c>
      <c r="AI5" s="333">
        <v>39541.575824254047</v>
      </c>
      <c r="AJ5" s="333">
        <f>Scotland!F113</f>
        <v>37300</v>
      </c>
      <c r="AK5" s="301"/>
      <c r="AL5" s="333"/>
      <c r="AM5" s="367">
        <f>AJ5/AI5-1</f>
        <v>-5.6689086803644928E-2</v>
      </c>
      <c r="AN5" s="368">
        <f>AJ5-AI5</f>
        <v>-2241.5758242540469</v>
      </c>
      <c r="AO5" s="299"/>
      <c r="AP5" s="332">
        <v>128056.91662100218</v>
      </c>
      <c r="AQ5" s="333">
        <v>119429.50580501863</v>
      </c>
      <c r="AR5" s="333">
        <f>Scotland!F114</f>
        <v>130067</v>
      </c>
      <c r="AS5" s="301"/>
      <c r="AT5" s="333"/>
      <c r="AU5" s="367">
        <f>AR5/AQ5-1</f>
        <v>8.9069230616663608E-2</v>
      </c>
      <c r="AV5" s="368">
        <f>AR5-AQ5</f>
        <v>10637.494194981366</v>
      </c>
    </row>
    <row r="6" spans="1:48">
      <c r="A6" s="288" t="s">
        <v>3</v>
      </c>
      <c r="B6" s="291">
        <v>45358</v>
      </c>
      <c r="C6" s="289">
        <v>45538</v>
      </c>
      <c r="D6" s="289">
        <f>'Aberdeen City'!F98</f>
        <v>47872</v>
      </c>
      <c r="E6" s="299"/>
      <c r="F6" s="289"/>
      <c r="G6" s="267">
        <f t="shared" ref="G6:G37" si="0">D6/C6-1</f>
        <v>5.1253897843559271E-2</v>
      </c>
      <c r="H6" s="269">
        <f t="shared" ref="H6:H37" si="1">D6-C6</f>
        <v>2334</v>
      </c>
      <c r="I6" s="299"/>
      <c r="J6" s="291">
        <v>13343</v>
      </c>
      <c r="K6" s="289">
        <v>13255</v>
      </c>
      <c r="L6" s="289">
        <f>'Aberdeen City'!F110</f>
        <v>15142</v>
      </c>
      <c r="M6" s="299"/>
      <c r="N6" s="289"/>
      <c r="O6" s="267">
        <f t="shared" ref="O6:O37" si="2">L6/K6-1</f>
        <v>0.14236137306676722</v>
      </c>
      <c r="P6" s="269">
        <f t="shared" ref="P6:P37" si="3">L6-K6</f>
        <v>1887</v>
      </c>
      <c r="Q6" s="299"/>
      <c r="R6" s="291">
        <v>13122</v>
      </c>
      <c r="S6" s="289">
        <v>14222</v>
      </c>
      <c r="T6" s="289">
        <f>'Aberdeen City'!F111</f>
        <v>15593</v>
      </c>
      <c r="U6" s="299"/>
      <c r="V6" s="289"/>
      <c r="W6" s="267">
        <f t="shared" ref="W6:W37" si="4">T6/S6-1</f>
        <v>9.6399943749120975E-2</v>
      </c>
      <c r="X6" s="269">
        <f t="shared" ref="X6:X37" si="5">T6-S6</f>
        <v>1371</v>
      </c>
      <c r="Y6" s="299"/>
      <c r="Z6" s="291">
        <v>12393</v>
      </c>
      <c r="AA6" s="289">
        <v>13333</v>
      </c>
      <c r="AB6" s="289">
        <f>'Aberdeen City'!F112</f>
        <v>11932</v>
      </c>
      <c r="AC6" s="299"/>
      <c r="AD6" s="289"/>
      <c r="AE6" s="267">
        <f t="shared" ref="AE6:AE37" si="6">AB6/AA6-1</f>
        <v>-0.10507762694067346</v>
      </c>
      <c r="AF6" s="269">
        <f t="shared" ref="AF6:AF37" si="7">AB6-AA6</f>
        <v>-1401</v>
      </c>
      <c r="AG6" s="16"/>
      <c r="AH6" s="291">
        <v>1915</v>
      </c>
      <c r="AI6" s="289">
        <v>570</v>
      </c>
      <c r="AJ6" s="289">
        <f>'Aberdeen City'!F113</f>
        <v>634</v>
      </c>
      <c r="AK6" s="299"/>
      <c r="AL6" s="289"/>
      <c r="AM6" s="267">
        <f t="shared" ref="AM6:AM37" si="8">AJ6/AI6-1</f>
        <v>0.11228070175438587</v>
      </c>
      <c r="AN6" s="269">
        <f t="shared" ref="AN6:AN37" si="9">AJ6-AI6</f>
        <v>64</v>
      </c>
      <c r="AO6" s="299"/>
      <c r="AP6" s="291">
        <v>4585</v>
      </c>
      <c r="AQ6" s="289">
        <v>4158</v>
      </c>
      <c r="AR6" s="289">
        <f>'Aberdeen City'!F114</f>
        <v>4571</v>
      </c>
      <c r="AS6" s="299"/>
      <c r="AT6" s="289"/>
      <c r="AU6" s="267">
        <f t="shared" ref="AU6:AU37" si="10">AR6/AQ6-1</f>
        <v>9.9326599326599263E-2</v>
      </c>
      <c r="AV6" s="269">
        <f t="shared" ref="AV6:AV37" si="11">AR6-AQ6</f>
        <v>413</v>
      </c>
    </row>
    <row r="7" spans="1:48">
      <c r="A7" s="288" t="s">
        <v>4</v>
      </c>
      <c r="B7" s="291">
        <v>28301</v>
      </c>
      <c r="C7" s="289">
        <v>29421</v>
      </c>
      <c r="D7" s="289">
        <f>Aberdeenshire!F98</f>
        <v>30848</v>
      </c>
      <c r="E7" s="299"/>
      <c r="F7" s="289"/>
      <c r="G7" s="267">
        <f t="shared" si="0"/>
        <v>4.8502770130179229E-2</v>
      </c>
      <c r="H7" s="269">
        <f t="shared" si="1"/>
        <v>1427</v>
      </c>
      <c r="I7" s="299"/>
      <c r="J7" s="291">
        <v>7735</v>
      </c>
      <c r="K7" s="289">
        <v>7928.1502718734555</v>
      </c>
      <c r="L7" s="289">
        <f>Aberdeenshire!F110</f>
        <v>7869</v>
      </c>
      <c r="M7" s="299"/>
      <c r="N7" s="289"/>
      <c r="O7" s="267">
        <f t="shared" si="2"/>
        <v>-7.4607909594375244E-3</v>
      </c>
      <c r="P7" s="269">
        <f t="shared" si="3"/>
        <v>-59.150271873455495</v>
      </c>
      <c r="Q7" s="299"/>
      <c r="R7" s="291">
        <v>7980</v>
      </c>
      <c r="S7" s="289">
        <v>8250.1794364804737</v>
      </c>
      <c r="T7" s="289">
        <f>Aberdeenshire!F111</f>
        <v>8414</v>
      </c>
      <c r="U7" s="299"/>
      <c r="V7" s="289"/>
      <c r="W7" s="267">
        <f t="shared" si="4"/>
        <v>1.9856606123637599E-2</v>
      </c>
      <c r="X7" s="269">
        <f t="shared" si="5"/>
        <v>163.82056351952633</v>
      </c>
      <c r="Y7" s="299"/>
      <c r="Z7" s="291">
        <v>7515</v>
      </c>
      <c r="AA7" s="289">
        <v>8048.651507661888</v>
      </c>
      <c r="AB7" s="289">
        <f>Aberdeenshire!F112</f>
        <v>8946</v>
      </c>
      <c r="AC7" s="299"/>
      <c r="AD7" s="289"/>
      <c r="AE7" s="267">
        <f t="shared" si="6"/>
        <v>0.11149053869258529</v>
      </c>
      <c r="AF7" s="269">
        <f t="shared" si="7"/>
        <v>897.34849233811201</v>
      </c>
      <c r="AG7" s="16"/>
      <c r="AH7" s="291">
        <v>1887</v>
      </c>
      <c r="AI7" s="289">
        <v>1984.1151754819575</v>
      </c>
      <c r="AJ7" s="289">
        <f>Aberdeenshire!F113</f>
        <v>1758</v>
      </c>
      <c r="AK7" s="299"/>
      <c r="AL7" s="289"/>
      <c r="AM7" s="267">
        <f t="shared" si="8"/>
        <v>-0.1139627266985811</v>
      </c>
      <c r="AN7" s="269">
        <f t="shared" si="9"/>
        <v>-226.11517548195752</v>
      </c>
      <c r="AO7" s="299"/>
      <c r="AP7" s="291">
        <v>3184</v>
      </c>
      <c r="AQ7" s="289">
        <v>3209.9036085022244</v>
      </c>
      <c r="AR7" s="289">
        <f>Aberdeenshire!F114</f>
        <v>3861</v>
      </c>
      <c r="AS7" s="299"/>
      <c r="AT7" s="289"/>
      <c r="AU7" s="267">
        <f t="shared" si="10"/>
        <v>0.2028398577992141</v>
      </c>
      <c r="AV7" s="269">
        <f t="shared" si="11"/>
        <v>651.09639149777558</v>
      </c>
    </row>
    <row r="8" spans="1:48">
      <c r="A8" s="288" t="s">
        <v>5</v>
      </c>
      <c r="B8" s="291">
        <v>16267</v>
      </c>
      <c r="C8" s="289">
        <v>18862</v>
      </c>
      <c r="D8" s="289">
        <f>Angus!F98</f>
        <v>19449</v>
      </c>
      <c r="E8" s="299"/>
      <c r="F8" s="289"/>
      <c r="G8" s="267">
        <f t="shared" si="0"/>
        <v>3.1120771922383605E-2</v>
      </c>
      <c r="H8" s="269">
        <f t="shared" si="1"/>
        <v>587</v>
      </c>
      <c r="I8" s="299"/>
      <c r="J8" s="291">
        <v>4551</v>
      </c>
      <c r="K8" s="289">
        <v>6099</v>
      </c>
      <c r="L8" s="289">
        <f>Angus!F110</f>
        <v>6508</v>
      </c>
      <c r="M8" s="299"/>
      <c r="N8" s="289"/>
      <c r="O8" s="267">
        <f t="shared" si="2"/>
        <v>6.7060173798983547E-2</v>
      </c>
      <c r="P8" s="269">
        <f t="shared" si="3"/>
        <v>409</v>
      </c>
      <c r="Q8" s="299"/>
      <c r="R8" s="291">
        <v>6604</v>
      </c>
      <c r="S8" s="289">
        <v>4548</v>
      </c>
      <c r="T8" s="289">
        <f>Angus!F111</f>
        <v>5183</v>
      </c>
      <c r="U8" s="299"/>
      <c r="V8" s="289"/>
      <c r="W8" s="267">
        <f t="shared" si="4"/>
        <v>0.13962181178540023</v>
      </c>
      <c r="X8" s="269">
        <f t="shared" si="5"/>
        <v>635</v>
      </c>
      <c r="Y8" s="299"/>
      <c r="Z8" s="291">
        <v>4008</v>
      </c>
      <c r="AA8" s="289">
        <v>6331</v>
      </c>
      <c r="AB8" s="289">
        <f>Angus!F112</f>
        <v>6111</v>
      </c>
      <c r="AC8" s="299"/>
      <c r="AD8" s="289"/>
      <c r="AE8" s="267">
        <f t="shared" si="6"/>
        <v>-3.4749644605907459E-2</v>
      </c>
      <c r="AF8" s="269">
        <f t="shared" si="7"/>
        <v>-220</v>
      </c>
      <c r="AG8" s="16"/>
      <c r="AH8" s="291">
        <v>542</v>
      </c>
      <c r="AI8" s="289">
        <v>158</v>
      </c>
      <c r="AJ8" s="289">
        <f>Angus!F113</f>
        <v>183</v>
      </c>
      <c r="AK8" s="299"/>
      <c r="AL8" s="289"/>
      <c r="AM8" s="267">
        <f t="shared" si="8"/>
        <v>0.15822784810126578</v>
      </c>
      <c r="AN8" s="269">
        <f t="shared" si="9"/>
        <v>25</v>
      </c>
      <c r="AO8" s="299"/>
      <c r="AP8" s="291">
        <v>562</v>
      </c>
      <c r="AQ8" s="289">
        <v>1726</v>
      </c>
      <c r="AR8" s="289">
        <f>Angus!F114</f>
        <v>1464</v>
      </c>
      <c r="AS8" s="299"/>
      <c r="AT8" s="289"/>
      <c r="AU8" s="267">
        <f t="shared" si="10"/>
        <v>-0.15179606025492465</v>
      </c>
      <c r="AV8" s="269">
        <f t="shared" si="11"/>
        <v>-262</v>
      </c>
    </row>
    <row r="9" spans="1:48">
      <c r="A9" s="288" t="s">
        <v>6</v>
      </c>
      <c r="B9" s="291">
        <v>11180</v>
      </c>
      <c r="C9" s="289">
        <v>11873</v>
      </c>
      <c r="D9" s="289">
        <f>'Argyll &amp; Bute'!F98</f>
        <v>12648</v>
      </c>
      <c r="E9" s="299"/>
      <c r="F9" s="289"/>
      <c r="G9" s="267">
        <f t="shared" si="0"/>
        <v>6.5274151436031325E-2</v>
      </c>
      <c r="H9" s="269">
        <f t="shared" si="1"/>
        <v>775</v>
      </c>
      <c r="I9" s="299"/>
      <c r="J9" s="291">
        <v>3781</v>
      </c>
      <c r="K9" s="289">
        <v>4312</v>
      </c>
      <c r="L9" s="289">
        <f>'Argyll &amp; Bute'!F110</f>
        <v>4194</v>
      </c>
      <c r="M9" s="299"/>
      <c r="N9" s="289"/>
      <c r="O9" s="267">
        <f t="shared" si="2"/>
        <v>-2.7365491651205942E-2</v>
      </c>
      <c r="P9" s="269">
        <f t="shared" si="3"/>
        <v>-118</v>
      </c>
      <c r="Q9" s="299"/>
      <c r="R9" s="291">
        <v>2197</v>
      </c>
      <c r="S9" s="289">
        <v>2184</v>
      </c>
      <c r="T9" s="289">
        <f>'Argyll &amp; Bute'!F111</f>
        <v>2182</v>
      </c>
      <c r="U9" s="299"/>
      <c r="V9" s="289"/>
      <c r="W9" s="267">
        <f t="shared" si="4"/>
        <v>-9.157509157509125E-4</v>
      </c>
      <c r="X9" s="269">
        <f t="shared" si="5"/>
        <v>-2</v>
      </c>
      <c r="Y9" s="299"/>
      <c r="Z9" s="291">
        <v>2622</v>
      </c>
      <c r="AA9" s="289">
        <v>3166</v>
      </c>
      <c r="AB9" s="289">
        <f>'Argyll &amp; Bute'!F112</f>
        <v>3838</v>
      </c>
      <c r="AC9" s="299"/>
      <c r="AD9" s="289"/>
      <c r="AE9" s="267">
        <f t="shared" si="6"/>
        <v>0.2122552116234997</v>
      </c>
      <c r="AF9" s="269">
        <f t="shared" si="7"/>
        <v>672</v>
      </c>
      <c r="AG9" s="16"/>
      <c r="AH9" s="291">
        <v>637</v>
      </c>
      <c r="AI9" s="289">
        <v>510</v>
      </c>
      <c r="AJ9" s="289">
        <f>'Argyll &amp; Bute'!F113</f>
        <v>543</v>
      </c>
      <c r="AK9" s="299"/>
      <c r="AL9" s="289"/>
      <c r="AM9" s="267">
        <f t="shared" si="8"/>
        <v>6.4705882352941169E-2</v>
      </c>
      <c r="AN9" s="269">
        <f t="shared" si="9"/>
        <v>33</v>
      </c>
      <c r="AO9" s="299"/>
      <c r="AP9" s="291">
        <v>1943</v>
      </c>
      <c r="AQ9" s="289">
        <v>1701</v>
      </c>
      <c r="AR9" s="289">
        <f>'Argyll &amp; Bute'!F114</f>
        <v>1891</v>
      </c>
      <c r="AS9" s="299"/>
      <c r="AT9" s="289"/>
      <c r="AU9" s="267">
        <f t="shared" si="10"/>
        <v>0.11169900058788951</v>
      </c>
      <c r="AV9" s="269">
        <f t="shared" si="11"/>
        <v>190</v>
      </c>
    </row>
    <row r="10" spans="1:48">
      <c r="A10" s="288" t="s">
        <v>8</v>
      </c>
      <c r="B10" s="291">
        <v>12280</v>
      </c>
      <c r="C10" s="289">
        <v>11735.887359120745</v>
      </c>
      <c r="D10" s="289">
        <f>Clackmannanshire!F98</f>
        <v>11600</v>
      </c>
      <c r="E10" s="299"/>
      <c r="F10" s="289"/>
      <c r="G10" s="267">
        <f t="shared" si="0"/>
        <v>-1.1578788630340564E-2</v>
      </c>
      <c r="H10" s="269">
        <f t="shared" si="1"/>
        <v>-135.8873591207448</v>
      </c>
      <c r="I10" s="299"/>
      <c r="J10" s="291">
        <v>2181</v>
      </c>
      <c r="K10" s="289">
        <v>2312.4650272212607</v>
      </c>
      <c r="L10" s="289">
        <f>Clackmannanshire!F110</f>
        <v>1738</v>
      </c>
      <c r="M10" s="299"/>
      <c r="N10" s="289"/>
      <c r="O10" s="267">
        <f t="shared" si="2"/>
        <v>-0.24842106603080527</v>
      </c>
      <c r="P10" s="269">
        <f t="shared" si="3"/>
        <v>-574.4650272212607</v>
      </c>
      <c r="Q10" s="299"/>
      <c r="R10" s="291">
        <v>4230</v>
      </c>
      <c r="S10" s="289">
        <v>4170.4241954594263</v>
      </c>
      <c r="T10" s="289">
        <f>Clackmannanshire!F111</f>
        <v>4195</v>
      </c>
      <c r="U10" s="299"/>
      <c r="V10" s="289"/>
      <c r="W10" s="267">
        <f t="shared" si="4"/>
        <v>5.8928788508685326E-3</v>
      </c>
      <c r="X10" s="269">
        <f t="shared" si="5"/>
        <v>24.575804540573699</v>
      </c>
      <c r="Y10" s="299"/>
      <c r="Z10" s="291">
        <v>2847</v>
      </c>
      <c r="AA10" s="289">
        <v>2147.1051411515518</v>
      </c>
      <c r="AB10" s="289">
        <f>Clackmannanshire!F112</f>
        <v>1860</v>
      </c>
      <c r="AC10" s="299"/>
      <c r="AD10" s="289"/>
      <c r="AE10" s="267">
        <f t="shared" si="6"/>
        <v>-0.13371731809908916</v>
      </c>
      <c r="AF10" s="269">
        <f t="shared" si="7"/>
        <v>-287.10514115155183</v>
      </c>
      <c r="AG10" s="16"/>
      <c r="AH10" s="291">
        <v>1102</v>
      </c>
      <c r="AI10" s="289">
        <v>1200.4606487720941</v>
      </c>
      <c r="AJ10" s="289">
        <f>Clackmannanshire!F113</f>
        <v>1961</v>
      </c>
      <c r="AK10" s="299"/>
      <c r="AL10" s="289"/>
      <c r="AM10" s="267">
        <f t="shared" si="8"/>
        <v>0.63353959332680576</v>
      </c>
      <c r="AN10" s="269">
        <f t="shared" si="9"/>
        <v>760.53935122790585</v>
      </c>
      <c r="AO10" s="299"/>
      <c r="AP10" s="291">
        <v>1920</v>
      </c>
      <c r="AQ10" s="289">
        <v>1905.4323465164098</v>
      </c>
      <c r="AR10" s="289">
        <f>Clackmannanshire!F114</f>
        <v>1846</v>
      </c>
      <c r="AS10" s="299"/>
      <c r="AT10" s="289"/>
      <c r="AU10" s="267">
        <f t="shared" si="10"/>
        <v>-3.1191003251869076E-2</v>
      </c>
      <c r="AV10" s="269">
        <f t="shared" si="11"/>
        <v>-59.43234651640978</v>
      </c>
    </row>
    <row r="11" spans="1:48">
      <c r="A11" s="288" t="s">
        <v>9</v>
      </c>
      <c r="B11" s="291">
        <v>19500</v>
      </c>
      <c r="C11" s="289">
        <v>18354</v>
      </c>
      <c r="D11" s="289">
        <f>'Dumfries &amp; Galloway'!F98</f>
        <v>20648</v>
      </c>
      <c r="E11" s="299"/>
      <c r="F11" s="289"/>
      <c r="G11" s="267">
        <f t="shared" si="0"/>
        <v>0.12498637899095555</v>
      </c>
      <c r="H11" s="269">
        <f t="shared" si="1"/>
        <v>2294</v>
      </c>
      <c r="I11" s="299"/>
      <c r="J11" s="291">
        <v>6216</v>
      </c>
      <c r="K11" s="289">
        <v>6261</v>
      </c>
      <c r="L11" s="289">
        <f>'Dumfries &amp; Galloway'!F110</f>
        <v>6910</v>
      </c>
      <c r="M11" s="299"/>
      <c r="N11" s="289"/>
      <c r="O11" s="267">
        <f t="shared" si="2"/>
        <v>0.10365756268966608</v>
      </c>
      <c r="P11" s="269">
        <f t="shared" si="3"/>
        <v>649</v>
      </c>
      <c r="Q11" s="299"/>
      <c r="R11" s="291">
        <v>4228</v>
      </c>
      <c r="S11" s="289">
        <v>4471</v>
      </c>
      <c r="T11" s="289">
        <f>'Dumfries &amp; Galloway'!F111</f>
        <v>5153</v>
      </c>
      <c r="U11" s="299"/>
      <c r="V11" s="289"/>
      <c r="W11" s="267">
        <f t="shared" si="4"/>
        <v>0.15253858197271297</v>
      </c>
      <c r="X11" s="269">
        <f t="shared" si="5"/>
        <v>682</v>
      </c>
      <c r="Y11" s="299"/>
      <c r="Z11" s="291">
        <v>4623</v>
      </c>
      <c r="AA11" s="289">
        <v>4510</v>
      </c>
      <c r="AB11" s="289">
        <f>'Dumfries &amp; Galloway'!F112</f>
        <v>5550</v>
      </c>
      <c r="AC11" s="299"/>
      <c r="AD11" s="289"/>
      <c r="AE11" s="267">
        <f t="shared" si="6"/>
        <v>0.23059866962305997</v>
      </c>
      <c r="AF11" s="269">
        <f t="shared" si="7"/>
        <v>1040</v>
      </c>
      <c r="AG11" s="16"/>
      <c r="AH11" s="291">
        <v>218</v>
      </c>
      <c r="AI11" s="289">
        <v>265</v>
      </c>
      <c r="AJ11" s="289">
        <f>'Dumfries &amp; Galloway'!F113</f>
        <v>324</v>
      </c>
      <c r="AK11" s="299"/>
      <c r="AL11" s="289"/>
      <c r="AM11" s="267">
        <f t="shared" si="8"/>
        <v>0.22264150943396221</v>
      </c>
      <c r="AN11" s="269">
        <f t="shared" si="9"/>
        <v>59</v>
      </c>
      <c r="AO11" s="299"/>
      <c r="AP11" s="291">
        <v>4215</v>
      </c>
      <c r="AQ11" s="289">
        <v>2847</v>
      </c>
      <c r="AR11" s="289">
        <f>'Dumfries &amp; Galloway'!F114</f>
        <v>2711</v>
      </c>
      <c r="AS11" s="299"/>
      <c r="AT11" s="289"/>
      <c r="AU11" s="267">
        <f t="shared" si="10"/>
        <v>-4.776958201615733E-2</v>
      </c>
      <c r="AV11" s="269">
        <f t="shared" si="11"/>
        <v>-136</v>
      </c>
    </row>
    <row r="12" spans="1:48">
      <c r="A12" s="288" t="s">
        <v>11</v>
      </c>
      <c r="B12" s="291">
        <v>38190</v>
      </c>
      <c r="C12" s="289">
        <v>35993</v>
      </c>
      <c r="D12" s="289">
        <f>'Dundee City'!F98</f>
        <v>34006</v>
      </c>
      <c r="E12" s="299"/>
      <c r="F12" s="289"/>
      <c r="G12" s="267">
        <f t="shared" si="0"/>
        <v>-5.520517878476372E-2</v>
      </c>
      <c r="H12" s="269">
        <f t="shared" si="1"/>
        <v>-1987</v>
      </c>
      <c r="I12" s="299"/>
      <c r="J12" s="291">
        <v>6298</v>
      </c>
      <c r="K12" s="289">
        <v>6455</v>
      </c>
      <c r="L12" s="289">
        <f>'Dundee City'!F110</f>
        <v>6314</v>
      </c>
      <c r="M12" s="299"/>
      <c r="N12" s="289"/>
      <c r="O12" s="267">
        <f t="shared" si="2"/>
        <v>-2.1843532145623512E-2</v>
      </c>
      <c r="P12" s="269">
        <f t="shared" si="3"/>
        <v>-141</v>
      </c>
      <c r="Q12" s="299"/>
      <c r="R12" s="291">
        <v>12069</v>
      </c>
      <c r="S12" s="289">
        <v>11186</v>
      </c>
      <c r="T12" s="289">
        <f>'Dundee City'!F111</f>
        <v>11009</v>
      </c>
      <c r="U12" s="299"/>
      <c r="V12" s="289"/>
      <c r="W12" s="267">
        <f t="shared" si="4"/>
        <v>-1.582335061684248E-2</v>
      </c>
      <c r="X12" s="269">
        <f t="shared" si="5"/>
        <v>-177</v>
      </c>
      <c r="Y12" s="299"/>
      <c r="Z12" s="291">
        <v>15007</v>
      </c>
      <c r="AA12" s="289">
        <v>14357</v>
      </c>
      <c r="AB12" s="289">
        <f>'Dundee City'!F112</f>
        <v>12558</v>
      </c>
      <c r="AC12" s="299"/>
      <c r="AD12" s="289"/>
      <c r="AE12" s="267">
        <f t="shared" si="6"/>
        <v>-0.12530472940029258</v>
      </c>
      <c r="AF12" s="269">
        <f t="shared" si="7"/>
        <v>-1799</v>
      </c>
      <c r="AG12" s="16"/>
      <c r="AH12" s="291">
        <v>3025</v>
      </c>
      <c r="AI12" s="289">
        <v>2621</v>
      </c>
      <c r="AJ12" s="289">
        <f>'Dundee City'!F113</f>
        <v>2684</v>
      </c>
      <c r="AK12" s="299"/>
      <c r="AL12" s="289"/>
      <c r="AM12" s="267">
        <f t="shared" si="8"/>
        <v>2.4036627241510899E-2</v>
      </c>
      <c r="AN12" s="269">
        <f t="shared" si="9"/>
        <v>63</v>
      </c>
      <c r="AO12" s="299"/>
      <c r="AP12" s="291">
        <v>1791</v>
      </c>
      <c r="AQ12" s="289">
        <v>1374</v>
      </c>
      <c r="AR12" s="289">
        <f>'Dundee City'!F114</f>
        <v>1441</v>
      </c>
      <c r="AS12" s="299"/>
      <c r="AT12" s="289"/>
      <c r="AU12" s="267">
        <f t="shared" si="10"/>
        <v>4.876273653566221E-2</v>
      </c>
      <c r="AV12" s="269">
        <f t="shared" si="11"/>
        <v>67</v>
      </c>
    </row>
    <row r="13" spans="1:48">
      <c r="A13" s="288" t="s">
        <v>13</v>
      </c>
      <c r="B13" s="291">
        <v>25412</v>
      </c>
      <c r="C13" s="289">
        <v>26398</v>
      </c>
      <c r="D13" s="289">
        <f>'East Ayrshire'!F98</f>
        <v>26036</v>
      </c>
      <c r="E13" s="299"/>
      <c r="F13" s="289"/>
      <c r="G13" s="306">
        <f t="shared" si="0"/>
        <v>-1.3713160087885479E-2</v>
      </c>
      <c r="H13" s="307">
        <f t="shared" si="1"/>
        <v>-362</v>
      </c>
      <c r="I13" s="299"/>
      <c r="J13" s="291">
        <v>5618</v>
      </c>
      <c r="K13" s="289">
        <v>5669</v>
      </c>
      <c r="L13" s="289">
        <f>'East Ayrshire'!F110</f>
        <v>6017</v>
      </c>
      <c r="M13" s="299"/>
      <c r="N13" s="289"/>
      <c r="O13" s="306">
        <f t="shared" si="2"/>
        <v>6.1386487916740062E-2</v>
      </c>
      <c r="P13" s="307">
        <f t="shared" si="3"/>
        <v>348</v>
      </c>
      <c r="Q13" s="299"/>
      <c r="R13" s="291">
        <v>7985</v>
      </c>
      <c r="S13" s="289">
        <v>7835</v>
      </c>
      <c r="T13" s="289">
        <f>'East Ayrshire'!F111</f>
        <v>7457</v>
      </c>
      <c r="U13" s="299"/>
      <c r="V13" s="289"/>
      <c r="W13" s="306">
        <f t="shared" si="4"/>
        <v>-4.8245054243777896E-2</v>
      </c>
      <c r="X13" s="307">
        <f t="shared" si="5"/>
        <v>-378</v>
      </c>
      <c r="Y13" s="299"/>
      <c r="Z13" s="291">
        <v>7128</v>
      </c>
      <c r="AA13" s="289">
        <v>8355</v>
      </c>
      <c r="AB13" s="289">
        <f>'East Ayrshire'!F112</f>
        <v>7698</v>
      </c>
      <c r="AC13" s="299"/>
      <c r="AD13" s="289"/>
      <c r="AE13" s="306">
        <f t="shared" si="6"/>
        <v>-7.8635547576301645E-2</v>
      </c>
      <c r="AF13" s="307">
        <f t="shared" si="7"/>
        <v>-657</v>
      </c>
      <c r="AG13" s="16"/>
      <c r="AH13" s="291">
        <v>1014</v>
      </c>
      <c r="AI13" s="289">
        <v>1112</v>
      </c>
      <c r="AJ13" s="289">
        <f>'East Ayrshire'!F113</f>
        <v>1309</v>
      </c>
      <c r="AK13" s="299"/>
      <c r="AL13" s="289"/>
      <c r="AM13" s="306">
        <f t="shared" si="8"/>
        <v>0.17715827338129486</v>
      </c>
      <c r="AN13" s="307">
        <f t="shared" si="9"/>
        <v>197</v>
      </c>
      <c r="AO13" s="299"/>
      <c r="AP13" s="291">
        <v>3667</v>
      </c>
      <c r="AQ13" s="289">
        <v>3427</v>
      </c>
      <c r="AR13" s="289">
        <f>'East Ayrshire'!F114</f>
        <v>3555</v>
      </c>
      <c r="AS13" s="299"/>
      <c r="AT13" s="289"/>
      <c r="AU13" s="306">
        <f t="shared" si="10"/>
        <v>3.7350452290633163E-2</v>
      </c>
      <c r="AV13" s="307">
        <f t="shared" si="11"/>
        <v>128</v>
      </c>
    </row>
    <row r="14" spans="1:48">
      <c r="A14" s="288" t="s">
        <v>16</v>
      </c>
      <c r="B14" s="291">
        <v>13172</v>
      </c>
      <c r="C14" s="289">
        <v>14019</v>
      </c>
      <c r="D14" s="289">
        <f>'East Dunbartonshire'!F98</f>
        <v>12725</v>
      </c>
      <c r="E14" s="299"/>
      <c r="F14" s="289"/>
      <c r="G14" s="267">
        <f t="shared" si="0"/>
        <v>-9.2303302660674769E-2</v>
      </c>
      <c r="H14" s="269">
        <f t="shared" si="1"/>
        <v>-1294</v>
      </c>
      <c r="I14" s="299"/>
      <c r="J14" s="291">
        <v>2775</v>
      </c>
      <c r="K14" s="289">
        <v>2851</v>
      </c>
      <c r="L14" s="289">
        <f>'East Dunbartonshire'!F110</f>
        <v>1772</v>
      </c>
      <c r="M14" s="299"/>
      <c r="N14" s="289"/>
      <c r="O14" s="267">
        <f t="shared" si="2"/>
        <v>-0.37846369694843918</v>
      </c>
      <c r="P14" s="269">
        <f t="shared" si="3"/>
        <v>-1079</v>
      </c>
      <c r="Q14" s="299"/>
      <c r="R14" s="291">
        <v>2389</v>
      </c>
      <c r="S14" s="289">
        <v>3034</v>
      </c>
      <c r="T14" s="289">
        <f>'East Dunbartonshire'!F111</f>
        <v>2337</v>
      </c>
      <c r="U14" s="299"/>
      <c r="V14" s="289"/>
      <c r="W14" s="267">
        <f t="shared" si="4"/>
        <v>-0.22972972972972971</v>
      </c>
      <c r="X14" s="269">
        <f t="shared" si="5"/>
        <v>-697</v>
      </c>
      <c r="Y14" s="299"/>
      <c r="Z14" s="291">
        <v>4374</v>
      </c>
      <c r="AA14" s="289">
        <v>4933</v>
      </c>
      <c r="AB14" s="289">
        <f>'East Dunbartonshire'!F112</f>
        <v>3999</v>
      </c>
      <c r="AC14" s="299"/>
      <c r="AD14" s="289"/>
      <c r="AE14" s="267">
        <f t="shared" si="6"/>
        <v>-0.18933711737279546</v>
      </c>
      <c r="AF14" s="269">
        <f t="shared" si="7"/>
        <v>-934</v>
      </c>
      <c r="AG14" s="16"/>
      <c r="AH14" s="291">
        <v>639</v>
      </c>
      <c r="AI14" s="289">
        <v>703</v>
      </c>
      <c r="AJ14" s="289">
        <f>'East Dunbartonshire'!F113</f>
        <v>1140</v>
      </c>
      <c r="AK14" s="299"/>
      <c r="AL14" s="289"/>
      <c r="AM14" s="267">
        <f t="shared" si="8"/>
        <v>0.62162162162162171</v>
      </c>
      <c r="AN14" s="269">
        <f t="shared" si="9"/>
        <v>437</v>
      </c>
      <c r="AO14" s="299"/>
      <c r="AP14" s="291">
        <v>2995</v>
      </c>
      <c r="AQ14" s="289">
        <v>2498</v>
      </c>
      <c r="AR14" s="289">
        <f>'East Dunbartonshire'!F114</f>
        <v>3477</v>
      </c>
      <c r="AS14" s="299"/>
      <c r="AT14" s="289"/>
      <c r="AU14" s="267">
        <f t="shared" si="10"/>
        <v>0.39191353082465974</v>
      </c>
      <c r="AV14" s="269">
        <f t="shared" si="11"/>
        <v>979</v>
      </c>
    </row>
    <row r="15" spans="1:48">
      <c r="A15" s="288" t="s">
        <v>19</v>
      </c>
      <c r="B15" s="291">
        <v>14182</v>
      </c>
      <c r="C15" s="289">
        <v>14301</v>
      </c>
      <c r="D15" s="289">
        <f>'East Lothian'!F98</f>
        <v>16078</v>
      </c>
      <c r="E15" s="299"/>
      <c r="F15" s="289"/>
      <c r="G15" s="267">
        <f t="shared" si="0"/>
        <v>0.12425704496189072</v>
      </c>
      <c r="H15" s="269">
        <f t="shared" si="1"/>
        <v>1777</v>
      </c>
      <c r="I15" s="299"/>
      <c r="J15" s="291">
        <v>5135</v>
      </c>
      <c r="K15" s="289">
        <v>5106</v>
      </c>
      <c r="L15" s="289">
        <f>'East Lothian'!F110</f>
        <v>5463</v>
      </c>
      <c r="M15" s="299"/>
      <c r="N15" s="289"/>
      <c r="O15" s="267">
        <f t="shared" si="2"/>
        <v>6.9917743830787416E-2</v>
      </c>
      <c r="P15" s="269">
        <f t="shared" si="3"/>
        <v>357</v>
      </c>
      <c r="Q15" s="299"/>
      <c r="R15" s="291">
        <v>4862</v>
      </c>
      <c r="S15" s="289">
        <v>4922</v>
      </c>
      <c r="T15" s="289">
        <f>'East Lothian'!F111</f>
        <v>5402</v>
      </c>
      <c r="U15" s="299"/>
      <c r="V15" s="289"/>
      <c r="W15" s="267">
        <f t="shared" si="4"/>
        <v>9.7521332791548065E-2</v>
      </c>
      <c r="X15" s="269">
        <f t="shared" si="5"/>
        <v>480</v>
      </c>
      <c r="Y15" s="299"/>
      <c r="Z15" s="291">
        <v>3162</v>
      </c>
      <c r="AA15" s="289">
        <v>3195</v>
      </c>
      <c r="AB15" s="289">
        <f>'East Lothian'!F112</f>
        <v>4116</v>
      </c>
      <c r="AC15" s="299"/>
      <c r="AD15" s="289"/>
      <c r="AE15" s="267">
        <f t="shared" si="6"/>
        <v>0.28826291079812205</v>
      </c>
      <c r="AF15" s="269">
        <f t="shared" si="7"/>
        <v>921</v>
      </c>
      <c r="AG15" s="16"/>
      <c r="AH15" s="291">
        <v>582</v>
      </c>
      <c r="AI15" s="289">
        <v>603</v>
      </c>
      <c r="AJ15" s="289">
        <f>'East Lothian'!F113</f>
        <v>636</v>
      </c>
      <c r="AK15" s="299"/>
      <c r="AL15" s="289"/>
      <c r="AM15" s="267">
        <f t="shared" si="8"/>
        <v>5.4726368159204064E-2</v>
      </c>
      <c r="AN15" s="269">
        <f t="shared" si="9"/>
        <v>33</v>
      </c>
      <c r="AO15" s="299"/>
      <c r="AP15" s="291">
        <v>441</v>
      </c>
      <c r="AQ15" s="289">
        <v>475</v>
      </c>
      <c r="AR15" s="289">
        <f>'East Lothian'!F114</f>
        <v>461</v>
      </c>
      <c r="AS15" s="299"/>
      <c r="AT15" s="289"/>
      <c r="AU15" s="267">
        <f t="shared" si="10"/>
        <v>-2.9473684210526319E-2</v>
      </c>
      <c r="AV15" s="269">
        <f t="shared" si="11"/>
        <v>-14</v>
      </c>
    </row>
    <row r="16" spans="1:48">
      <c r="A16" s="288" t="s">
        <v>22</v>
      </c>
      <c r="B16" s="291">
        <v>8703</v>
      </c>
      <c r="C16" s="289">
        <v>9116</v>
      </c>
      <c r="D16" s="289">
        <f>'East Renfrewshire'!F98</f>
        <v>9242</v>
      </c>
      <c r="E16" s="299"/>
      <c r="F16" s="289"/>
      <c r="G16" s="267">
        <f t="shared" si="0"/>
        <v>1.3821851689337361E-2</v>
      </c>
      <c r="H16" s="269">
        <f t="shared" si="1"/>
        <v>126</v>
      </c>
      <c r="I16" s="299"/>
      <c r="J16" s="291">
        <v>2560</v>
      </c>
      <c r="K16" s="289">
        <v>2550</v>
      </c>
      <c r="L16" s="289">
        <f>'East Renfrewshire'!F110</f>
        <v>2601</v>
      </c>
      <c r="M16" s="299"/>
      <c r="N16" s="289"/>
      <c r="O16" s="267">
        <f t="shared" si="2"/>
        <v>2.0000000000000018E-2</v>
      </c>
      <c r="P16" s="269">
        <f t="shared" si="3"/>
        <v>51</v>
      </c>
      <c r="Q16" s="299"/>
      <c r="R16" s="291">
        <v>1720</v>
      </c>
      <c r="S16" s="289">
        <v>2384</v>
      </c>
      <c r="T16" s="289">
        <f>'East Renfrewshire'!F111</f>
        <v>2061</v>
      </c>
      <c r="U16" s="299"/>
      <c r="V16" s="289"/>
      <c r="W16" s="267">
        <f t="shared" si="4"/>
        <v>-0.13548657718120805</v>
      </c>
      <c r="X16" s="269">
        <f t="shared" si="5"/>
        <v>-323</v>
      </c>
      <c r="Y16" s="299"/>
      <c r="Z16" s="291">
        <v>1587</v>
      </c>
      <c r="AA16" s="289">
        <v>1953</v>
      </c>
      <c r="AB16" s="289">
        <f>'East Renfrewshire'!F112</f>
        <v>1821</v>
      </c>
      <c r="AC16" s="299"/>
      <c r="AD16" s="289"/>
      <c r="AE16" s="267">
        <f t="shared" si="6"/>
        <v>-6.7588325652841785E-2</v>
      </c>
      <c r="AF16" s="269">
        <f t="shared" si="7"/>
        <v>-132</v>
      </c>
      <c r="AG16" s="16"/>
      <c r="AH16" s="291">
        <v>138</v>
      </c>
      <c r="AI16" s="289">
        <v>30</v>
      </c>
      <c r="AJ16" s="289">
        <f>'East Renfrewshire'!F113</f>
        <v>123</v>
      </c>
      <c r="AK16" s="299"/>
      <c r="AL16" s="289"/>
      <c r="AM16" s="267">
        <f t="shared" si="8"/>
        <v>3.0999999999999996</v>
      </c>
      <c r="AN16" s="269">
        <f t="shared" si="9"/>
        <v>93</v>
      </c>
      <c r="AO16" s="299"/>
      <c r="AP16" s="291">
        <v>2698</v>
      </c>
      <c r="AQ16" s="289">
        <v>2199</v>
      </c>
      <c r="AR16" s="289">
        <f>'East Renfrewshire'!F114</f>
        <v>2636</v>
      </c>
      <c r="AS16" s="299"/>
      <c r="AT16" s="289"/>
      <c r="AU16" s="267">
        <f t="shared" si="10"/>
        <v>0.19872669395179621</v>
      </c>
      <c r="AV16" s="269">
        <f t="shared" si="11"/>
        <v>437</v>
      </c>
    </row>
    <row r="17" spans="1:48">
      <c r="A17" s="288" t="s">
        <v>25</v>
      </c>
      <c r="B17" s="291">
        <v>84472</v>
      </c>
      <c r="C17" s="289">
        <v>91678</v>
      </c>
      <c r="D17" s="289">
        <f>'Edinburgh, City of'!F98</f>
        <v>88251</v>
      </c>
      <c r="E17" s="299"/>
      <c r="F17" s="289"/>
      <c r="G17" s="267">
        <f t="shared" si="0"/>
        <v>-3.7380832915203221E-2</v>
      </c>
      <c r="H17" s="269">
        <f t="shared" si="1"/>
        <v>-3427</v>
      </c>
      <c r="I17" s="299"/>
      <c r="J17" s="291">
        <v>21171</v>
      </c>
      <c r="K17" s="289">
        <v>21934</v>
      </c>
      <c r="L17" s="289">
        <f>'Edinburgh, City of'!F110</f>
        <v>22877</v>
      </c>
      <c r="M17" s="299"/>
      <c r="N17" s="289"/>
      <c r="O17" s="267">
        <f t="shared" si="2"/>
        <v>4.2992614206255109E-2</v>
      </c>
      <c r="P17" s="269">
        <f t="shared" si="3"/>
        <v>943</v>
      </c>
      <c r="Q17" s="299"/>
      <c r="R17" s="291">
        <v>25248</v>
      </c>
      <c r="S17" s="289">
        <v>25662</v>
      </c>
      <c r="T17" s="289">
        <f>'Edinburgh, City of'!F111</f>
        <v>24299</v>
      </c>
      <c r="U17" s="299"/>
      <c r="V17" s="289"/>
      <c r="W17" s="267">
        <f t="shared" si="4"/>
        <v>-5.3113553113553147E-2</v>
      </c>
      <c r="X17" s="269">
        <f t="shared" si="5"/>
        <v>-1363</v>
      </c>
      <c r="Y17" s="299"/>
      <c r="Z17" s="291">
        <v>14077</v>
      </c>
      <c r="AA17" s="289">
        <v>20065</v>
      </c>
      <c r="AB17" s="289">
        <f>'Edinburgh, City of'!F112</f>
        <v>20802</v>
      </c>
      <c r="AC17" s="299"/>
      <c r="AD17" s="289"/>
      <c r="AE17" s="267">
        <f t="shared" si="6"/>
        <v>3.6730625467231492E-2</v>
      </c>
      <c r="AF17" s="269">
        <f t="shared" si="7"/>
        <v>737</v>
      </c>
      <c r="AG17" s="16"/>
      <c r="AH17" s="291">
        <v>18058</v>
      </c>
      <c r="AI17" s="289">
        <v>18415</v>
      </c>
      <c r="AJ17" s="289">
        <f>'Edinburgh, City of'!F113</f>
        <v>14964</v>
      </c>
      <c r="AK17" s="299"/>
      <c r="AL17" s="289"/>
      <c r="AM17" s="267">
        <f t="shared" si="8"/>
        <v>-0.18740157480314956</v>
      </c>
      <c r="AN17" s="269">
        <f t="shared" si="9"/>
        <v>-3451</v>
      </c>
      <c r="AO17" s="299"/>
      <c r="AP17" s="291">
        <v>5918</v>
      </c>
      <c r="AQ17" s="289">
        <v>5602</v>
      </c>
      <c r="AR17" s="289">
        <f>'Edinburgh, City of'!F114</f>
        <v>5309</v>
      </c>
      <c r="AS17" s="299"/>
      <c r="AT17" s="289"/>
      <c r="AU17" s="267">
        <f t="shared" si="10"/>
        <v>-5.230274901820775E-2</v>
      </c>
      <c r="AV17" s="269">
        <f t="shared" si="11"/>
        <v>-293</v>
      </c>
    </row>
    <row r="18" spans="1:48">
      <c r="A18" s="288" t="s">
        <v>26</v>
      </c>
      <c r="B18" s="291">
        <v>3495</v>
      </c>
      <c r="C18" s="289">
        <v>3426</v>
      </c>
      <c r="D18" s="289">
        <f>'Eilean Siar'!F98</f>
        <v>3468</v>
      </c>
      <c r="E18" s="299"/>
      <c r="F18" s="289"/>
      <c r="G18" s="267">
        <f t="shared" si="0"/>
        <v>1.2259194395796813E-2</v>
      </c>
      <c r="H18" s="269">
        <f t="shared" si="1"/>
        <v>42</v>
      </c>
      <c r="I18" s="299"/>
      <c r="J18" s="291">
        <v>1399</v>
      </c>
      <c r="K18" s="289">
        <v>1593</v>
      </c>
      <c r="L18" s="289">
        <f>'Eilean Siar'!F110</f>
        <v>1403</v>
      </c>
      <c r="M18" s="299"/>
      <c r="N18" s="289"/>
      <c r="O18" s="267">
        <f t="shared" si="2"/>
        <v>-0.11927181418706845</v>
      </c>
      <c r="P18" s="269">
        <f t="shared" si="3"/>
        <v>-190</v>
      </c>
      <c r="Q18" s="299"/>
      <c r="R18" s="291">
        <v>577</v>
      </c>
      <c r="S18" s="289">
        <v>678</v>
      </c>
      <c r="T18" s="289">
        <f>'Eilean Siar'!F111</f>
        <v>637</v>
      </c>
      <c r="U18" s="299"/>
      <c r="V18" s="289"/>
      <c r="W18" s="267">
        <f t="shared" si="4"/>
        <v>-6.0471976401179961E-2</v>
      </c>
      <c r="X18" s="269">
        <f t="shared" si="5"/>
        <v>-41</v>
      </c>
      <c r="Y18" s="299"/>
      <c r="Z18" s="291">
        <v>1312</v>
      </c>
      <c r="AA18" s="289">
        <v>1038</v>
      </c>
      <c r="AB18" s="289">
        <f>'Eilean Siar'!F112</f>
        <v>1317</v>
      </c>
      <c r="AC18" s="299"/>
      <c r="AD18" s="289"/>
      <c r="AE18" s="267">
        <f t="shared" si="6"/>
        <v>0.26878612716762995</v>
      </c>
      <c r="AF18" s="269">
        <f t="shared" si="7"/>
        <v>279</v>
      </c>
      <c r="AG18" s="16"/>
      <c r="AH18" s="291">
        <v>0</v>
      </c>
      <c r="AI18" s="289">
        <v>0</v>
      </c>
      <c r="AJ18" s="289">
        <f>'Eilean Siar'!F113</f>
        <v>0</v>
      </c>
      <c r="AK18" s="299"/>
      <c r="AL18" s="289"/>
      <c r="AM18" s="267" t="e">
        <f t="shared" si="8"/>
        <v>#DIV/0!</v>
      </c>
      <c r="AN18" s="269">
        <f t="shared" si="9"/>
        <v>0</v>
      </c>
      <c r="AO18" s="299"/>
      <c r="AP18" s="291">
        <v>207</v>
      </c>
      <c r="AQ18" s="289">
        <v>117</v>
      </c>
      <c r="AR18" s="289">
        <f>'Eilean Siar'!F114</f>
        <v>111</v>
      </c>
      <c r="AS18" s="299"/>
      <c r="AT18" s="289"/>
      <c r="AU18" s="267">
        <f t="shared" si="10"/>
        <v>-5.1282051282051322E-2</v>
      </c>
      <c r="AV18" s="269">
        <f t="shared" si="11"/>
        <v>-6</v>
      </c>
    </row>
    <row r="19" spans="1:48">
      <c r="A19" s="288" t="s">
        <v>28</v>
      </c>
      <c r="B19" s="291">
        <v>22861</v>
      </c>
      <c r="C19" s="289">
        <v>24821</v>
      </c>
      <c r="D19" s="289">
        <f>Falkirk!F98</f>
        <v>25565</v>
      </c>
      <c r="E19" s="299"/>
      <c r="F19" s="289"/>
      <c r="G19" s="267">
        <f t="shared" si="0"/>
        <v>2.9974618266790154E-2</v>
      </c>
      <c r="H19" s="269">
        <f t="shared" si="1"/>
        <v>744</v>
      </c>
      <c r="I19" s="299"/>
      <c r="J19" s="291">
        <v>4710</v>
      </c>
      <c r="K19" s="289">
        <v>4748</v>
      </c>
      <c r="L19" s="289">
        <f>Falkirk!F110</f>
        <v>4588</v>
      </c>
      <c r="M19" s="299"/>
      <c r="N19" s="289"/>
      <c r="O19" s="267">
        <f t="shared" si="2"/>
        <v>-3.3698399326032025E-2</v>
      </c>
      <c r="P19" s="269">
        <f t="shared" si="3"/>
        <v>-160</v>
      </c>
      <c r="Q19" s="299"/>
      <c r="R19" s="291">
        <v>5813</v>
      </c>
      <c r="S19" s="289">
        <v>5481</v>
      </c>
      <c r="T19" s="289">
        <f>Falkirk!F111</f>
        <v>5445</v>
      </c>
      <c r="U19" s="299"/>
      <c r="V19" s="289"/>
      <c r="W19" s="267">
        <f t="shared" si="4"/>
        <v>-6.5681444991789739E-3</v>
      </c>
      <c r="X19" s="269">
        <f t="shared" si="5"/>
        <v>-36</v>
      </c>
      <c r="Y19" s="299"/>
      <c r="Z19" s="291">
        <v>9671</v>
      </c>
      <c r="AA19" s="289">
        <v>11450</v>
      </c>
      <c r="AB19" s="289">
        <f>Falkirk!F112</f>
        <v>11630</v>
      </c>
      <c r="AC19" s="299"/>
      <c r="AD19" s="289"/>
      <c r="AE19" s="267">
        <f t="shared" si="6"/>
        <v>1.5720524017467152E-2</v>
      </c>
      <c r="AF19" s="269">
        <f t="shared" si="7"/>
        <v>180</v>
      </c>
      <c r="AG19" s="16"/>
      <c r="AH19" s="291">
        <v>353</v>
      </c>
      <c r="AI19" s="289">
        <v>478</v>
      </c>
      <c r="AJ19" s="289">
        <f>Falkirk!F113</f>
        <v>487</v>
      </c>
      <c r="AK19" s="299"/>
      <c r="AL19" s="289"/>
      <c r="AM19" s="267">
        <f t="shared" si="8"/>
        <v>1.882845188284521E-2</v>
      </c>
      <c r="AN19" s="269">
        <f t="shared" si="9"/>
        <v>9</v>
      </c>
      <c r="AO19" s="299"/>
      <c r="AP19" s="291">
        <v>2314</v>
      </c>
      <c r="AQ19" s="289">
        <v>2664</v>
      </c>
      <c r="AR19" s="289">
        <f>Falkirk!F114</f>
        <v>3415</v>
      </c>
      <c r="AS19" s="299"/>
      <c r="AT19" s="289"/>
      <c r="AU19" s="267">
        <f t="shared" si="10"/>
        <v>0.2819069069069069</v>
      </c>
      <c r="AV19" s="269">
        <f t="shared" si="11"/>
        <v>751</v>
      </c>
    </row>
    <row r="20" spans="1:48">
      <c r="A20" s="288" t="s">
        <v>29</v>
      </c>
      <c r="B20" s="291">
        <v>75152</v>
      </c>
      <c r="C20" s="289">
        <v>75861</v>
      </c>
      <c r="D20" s="289">
        <f>Fife!F98</f>
        <v>80330</v>
      </c>
      <c r="E20" s="299"/>
      <c r="F20" s="289"/>
      <c r="G20" s="267">
        <f t="shared" si="0"/>
        <v>5.8910375555291994E-2</v>
      </c>
      <c r="H20" s="269">
        <f t="shared" si="1"/>
        <v>4469</v>
      </c>
      <c r="I20" s="299"/>
      <c r="J20" s="291">
        <v>22285</v>
      </c>
      <c r="K20" s="289">
        <v>19836</v>
      </c>
      <c r="L20" s="289">
        <f>Fife!F110</f>
        <v>19965</v>
      </c>
      <c r="M20" s="299"/>
      <c r="N20" s="289"/>
      <c r="O20" s="267">
        <f t="shared" si="2"/>
        <v>6.5033272837264899E-3</v>
      </c>
      <c r="P20" s="269">
        <f t="shared" si="3"/>
        <v>129</v>
      </c>
      <c r="Q20" s="299"/>
      <c r="R20" s="291">
        <v>18757</v>
      </c>
      <c r="S20" s="289">
        <v>19100</v>
      </c>
      <c r="T20" s="289">
        <f>Fife!F111</f>
        <v>20692</v>
      </c>
      <c r="U20" s="299"/>
      <c r="V20" s="289"/>
      <c r="W20" s="267">
        <f t="shared" si="4"/>
        <v>8.3350785340314149E-2</v>
      </c>
      <c r="X20" s="269">
        <f t="shared" si="5"/>
        <v>1592</v>
      </c>
      <c r="Y20" s="299"/>
      <c r="Z20" s="291">
        <v>21127</v>
      </c>
      <c r="AA20" s="289">
        <v>23449</v>
      </c>
      <c r="AB20" s="289">
        <f>Fife!F112</f>
        <v>25538</v>
      </c>
      <c r="AC20" s="299"/>
      <c r="AD20" s="289"/>
      <c r="AE20" s="267">
        <f t="shared" si="6"/>
        <v>8.9086954667576546E-2</v>
      </c>
      <c r="AF20" s="269">
        <f t="shared" si="7"/>
        <v>2089</v>
      </c>
      <c r="AG20" s="16"/>
      <c r="AH20" s="291">
        <v>0</v>
      </c>
      <c r="AI20" s="289">
        <v>0</v>
      </c>
      <c r="AJ20" s="289">
        <f>Fife!F113</f>
        <v>0</v>
      </c>
      <c r="AK20" s="299"/>
      <c r="AL20" s="289"/>
      <c r="AM20" s="267" t="e">
        <f t="shared" si="8"/>
        <v>#DIV/0!</v>
      </c>
      <c r="AN20" s="269">
        <f t="shared" si="9"/>
        <v>0</v>
      </c>
      <c r="AO20" s="299"/>
      <c r="AP20" s="291">
        <v>12983</v>
      </c>
      <c r="AQ20" s="289">
        <v>13476</v>
      </c>
      <c r="AR20" s="289">
        <f>Fife!F114</f>
        <v>14135</v>
      </c>
      <c r="AS20" s="299"/>
      <c r="AT20" s="289"/>
      <c r="AU20" s="267">
        <f t="shared" si="10"/>
        <v>4.890175126150198E-2</v>
      </c>
      <c r="AV20" s="269">
        <f t="shared" si="11"/>
        <v>659</v>
      </c>
    </row>
    <row r="21" spans="1:48">
      <c r="A21" s="288" t="s">
        <v>31</v>
      </c>
      <c r="B21" s="291">
        <v>155131</v>
      </c>
      <c r="C21" s="289">
        <v>154505</v>
      </c>
      <c r="D21" s="289">
        <f>'Glasgow City'!F98</f>
        <v>146264</v>
      </c>
      <c r="E21" s="299"/>
      <c r="F21" s="289"/>
      <c r="G21" s="306">
        <f t="shared" si="0"/>
        <v>-5.3338079673797001E-2</v>
      </c>
      <c r="H21" s="307">
        <f t="shared" si="1"/>
        <v>-8241</v>
      </c>
      <c r="I21" s="299"/>
      <c r="J21" s="291">
        <v>29605</v>
      </c>
      <c r="K21" s="289">
        <v>31405</v>
      </c>
      <c r="L21" s="289">
        <f>'Glasgow City'!F110</f>
        <v>30990</v>
      </c>
      <c r="M21" s="299"/>
      <c r="N21" s="289"/>
      <c r="O21" s="306">
        <f t="shared" si="2"/>
        <v>-1.3214456296767985E-2</v>
      </c>
      <c r="P21" s="307">
        <f t="shared" si="3"/>
        <v>-415</v>
      </c>
      <c r="Q21" s="299"/>
      <c r="R21" s="291">
        <v>50907</v>
      </c>
      <c r="S21" s="289">
        <v>48776</v>
      </c>
      <c r="T21" s="289">
        <f>'Glasgow City'!F111</f>
        <v>46604</v>
      </c>
      <c r="U21" s="299"/>
      <c r="V21" s="289"/>
      <c r="W21" s="306">
        <f t="shared" si="4"/>
        <v>-4.4530096768902738E-2</v>
      </c>
      <c r="X21" s="307">
        <f t="shared" si="5"/>
        <v>-2172</v>
      </c>
      <c r="Y21" s="299"/>
      <c r="Z21" s="291">
        <v>52688</v>
      </c>
      <c r="AA21" s="289">
        <v>52717</v>
      </c>
      <c r="AB21" s="289">
        <f>'Glasgow City'!F112</f>
        <v>47725</v>
      </c>
      <c r="AC21" s="299"/>
      <c r="AD21" s="289"/>
      <c r="AE21" s="306">
        <f t="shared" si="6"/>
        <v>-9.4694311133031062E-2</v>
      </c>
      <c r="AF21" s="307">
        <f t="shared" si="7"/>
        <v>-4992</v>
      </c>
      <c r="AG21" s="16"/>
      <c r="AH21" s="291">
        <v>0</v>
      </c>
      <c r="AI21" s="289">
        <v>0</v>
      </c>
      <c r="AJ21" s="289">
        <f>'Glasgow City'!F113</f>
        <v>0</v>
      </c>
      <c r="AK21" s="299"/>
      <c r="AL21" s="289"/>
      <c r="AM21" s="306" t="e">
        <f t="shared" si="8"/>
        <v>#DIV/0!</v>
      </c>
      <c r="AN21" s="307">
        <f t="shared" si="9"/>
        <v>0</v>
      </c>
      <c r="AO21" s="299"/>
      <c r="AP21" s="291">
        <v>21931</v>
      </c>
      <c r="AQ21" s="289">
        <v>21607</v>
      </c>
      <c r="AR21" s="289">
        <f>'Glasgow City'!F114</f>
        <v>20945</v>
      </c>
      <c r="AS21" s="299"/>
      <c r="AT21" s="289"/>
      <c r="AU21" s="306">
        <f t="shared" si="10"/>
        <v>-3.0638219095663444E-2</v>
      </c>
      <c r="AV21" s="307">
        <f t="shared" si="11"/>
        <v>-662</v>
      </c>
    </row>
    <row r="22" spans="1:48">
      <c r="A22" s="288" t="s">
        <v>32</v>
      </c>
      <c r="B22" s="291">
        <v>43501</v>
      </c>
      <c r="C22" s="289">
        <v>36719</v>
      </c>
      <c r="D22" s="289">
        <f>Highland!F98</f>
        <v>41410</v>
      </c>
      <c r="E22" s="299"/>
      <c r="F22" s="289"/>
      <c r="G22" s="267">
        <f t="shared" si="0"/>
        <v>0.12775402380239109</v>
      </c>
      <c r="H22" s="269">
        <f t="shared" si="1"/>
        <v>4691</v>
      </c>
      <c r="I22" s="299"/>
      <c r="J22" s="291">
        <v>16894</v>
      </c>
      <c r="K22" s="289">
        <v>17422</v>
      </c>
      <c r="L22" s="289">
        <f>Highland!F110</f>
        <v>18294</v>
      </c>
      <c r="M22" s="299"/>
      <c r="N22" s="289"/>
      <c r="O22" s="267">
        <f t="shared" si="2"/>
        <v>5.0051658822178879E-2</v>
      </c>
      <c r="P22" s="269">
        <f t="shared" si="3"/>
        <v>872</v>
      </c>
      <c r="Q22" s="299"/>
      <c r="R22" s="291">
        <v>4362</v>
      </c>
      <c r="S22" s="289">
        <v>3148</v>
      </c>
      <c r="T22" s="289">
        <f>Highland!F111</f>
        <v>3474</v>
      </c>
      <c r="U22" s="299"/>
      <c r="V22" s="289"/>
      <c r="W22" s="267">
        <f t="shared" si="4"/>
        <v>0.10355781448538748</v>
      </c>
      <c r="X22" s="269">
        <f t="shared" si="5"/>
        <v>326</v>
      </c>
      <c r="Y22" s="299"/>
      <c r="Z22" s="291">
        <v>13631</v>
      </c>
      <c r="AA22" s="289">
        <v>11277</v>
      </c>
      <c r="AB22" s="289">
        <f>Highland!F112</f>
        <v>14462</v>
      </c>
      <c r="AC22" s="299"/>
      <c r="AD22" s="289"/>
      <c r="AE22" s="267">
        <f t="shared" si="6"/>
        <v>0.28243327126008699</v>
      </c>
      <c r="AF22" s="269">
        <f t="shared" si="7"/>
        <v>3185</v>
      </c>
      <c r="AG22" s="16"/>
      <c r="AH22" s="291">
        <v>2123</v>
      </c>
      <c r="AI22" s="289">
        <v>1574</v>
      </c>
      <c r="AJ22" s="289">
        <f>Highland!F113</f>
        <v>1526</v>
      </c>
      <c r="AK22" s="299"/>
      <c r="AL22" s="289"/>
      <c r="AM22" s="267">
        <f t="shared" si="8"/>
        <v>-3.0495552731893305E-2</v>
      </c>
      <c r="AN22" s="269">
        <f t="shared" si="9"/>
        <v>-48</v>
      </c>
      <c r="AO22" s="299"/>
      <c r="AP22" s="291">
        <v>6491</v>
      </c>
      <c r="AQ22" s="289">
        <v>3298</v>
      </c>
      <c r="AR22" s="289">
        <f>Highland!F114</f>
        <v>3654</v>
      </c>
      <c r="AS22" s="299"/>
      <c r="AT22" s="289"/>
      <c r="AU22" s="267">
        <f t="shared" si="10"/>
        <v>0.10794420861127962</v>
      </c>
      <c r="AV22" s="269">
        <f t="shared" si="11"/>
        <v>356</v>
      </c>
    </row>
    <row r="23" spans="1:48">
      <c r="A23" s="288" t="s">
        <v>33</v>
      </c>
      <c r="B23" s="291">
        <v>12031</v>
      </c>
      <c r="C23" s="289">
        <v>11316</v>
      </c>
      <c r="D23" s="289">
        <f>Inverclyde!F98</f>
        <v>11106</v>
      </c>
      <c r="E23" s="299"/>
      <c r="F23" s="289"/>
      <c r="G23" s="267">
        <f t="shared" si="0"/>
        <v>-1.8557794273594941E-2</v>
      </c>
      <c r="H23" s="269">
        <f t="shared" si="1"/>
        <v>-210</v>
      </c>
      <c r="I23" s="299"/>
      <c r="J23" s="291">
        <v>3409</v>
      </c>
      <c r="K23" s="289">
        <v>3077</v>
      </c>
      <c r="L23" s="289">
        <f>Inverclyde!F110</f>
        <v>2717</v>
      </c>
      <c r="M23" s="299"/>
      <c r="N23" s="289"/>
      <c r="O23" s="267">
        <f t="shared" si="2"/>
        <v>-0.11699707507312318</v>
      </c>
      <c r="P23" s="269">
        <f t="shared" si="3"/>
        <v>-360</v>
      </c>
      <c r="Q23" s="299"/>
      <c r="R23" s="291">
        <v>2861</v>
      </c>
      <c r="S23" s="289">
        <v>2727</v>
      </c>
      <c r="T23" s="289">
        <f>Inverclyde!F111</f>
        <v>3474</v>
      </c>
      <c r="U23" s="299"/>
      <c r="V23" s="289"/>
      <c r="W23" s="267">
        <f t="shared" si="4"/>
        <v>0.27392739273927402</v>
      </c>
      <c r="X23" s="269">
        <f t="shared" si="5"/>
        <v>747</v>
      </c>
      <c r="Y23" s="299"/>
      <c r="Z23" s="291">
        <v>4291</v>
      </c>
      <c r="AA23" s="289">
        <v>4093</v>
      </c>
      <c r="AB23" s="289">
        <f>Inverclyde!F112</f>
        <v>3459</v>
      </c>
      <c r="AC23" s="299"/>
      <c r="AD23" s="289"/>
      <c r="AE23" s="267">
        <f t="shared" si="6"/>
        <v>-0.15489860737845096</v>
      </c>
      <c r="AF23" s="269">
        <f t="shared" si="7"/>
        <v>-634</v>
      </c>
      <c r="AG23" s="16"/>
      <c r="AH23" s="291">
        <v>0</v>
      </c>
      <c r="AI23" s="289">
        <v>0</v>
      </c>
      <c r="AJ23" s="289">
        <f>Inverclyde!F113</f>
        <v>0</v>
      </c>
      <c r="AK23" s="299"/>
      <c r="AL23" s="289"/>
      <c r="AM23" s="267" t="e">
        <f t="shared" si="8"/>
        <v>#DIV/0!</v>
      </c>
      <c r="AN23" s="269">
        <f t="shared" si="9"/>
        <v>0</v>
      </c>
      <c r="AO23" s="299"/>
      <c r="AP23" s="291">
        <v>1470</v>
      </c>
      <c r="AQ23" s="289">
        <v>1419</v>
      </c>
      <c r="AR23" s="289">
        <f>Inverclyde!F114</f>
        <v>1456</v>
      </c>
      <c r="AS23" s="299"/>
      <c r="AT23" s="289"/>
      <c r="AU23" s="267">
        <f t="shared" si="10"/>
        <v>2.607470049330507E-2</v>
      </c>
      <c r="AV23" s="269">
        <f t="shared" si="11"/>
        <v>37</v>
      </c>
    </row>
    <row r="24" spans="1:48">
      <c r="A24" s="288" t="s">
        <v>34</v>
      </c>
      <c r="B24" s="291">
        <v>15174</v>
      </c>
      <c r="C24" s="289">
        <v>14922</v>
      </c>
      <c r="D24" s="289">
        <f>Midlothian!F98</f>
        <v>14480</v>
      </c>
      <c r="E24" s="299"/>
      <c r="F24" s="289"/>
      <c r="G24" s="267">
        <f t="shared" si="0"/>
        <v>-2.9620694276906612E-2</v>
      </c>
      <c r="H24" s="269">
        <f t="shared" si="1"/>
        <v>-442</v>
      </c>
      <c r="I24" s="299"/>
      <c r="J24" s="291">
        <v>3638</v>
      </c>
      <c r="K24" s="289">
        <v>3714</v>
      </c>
      <c r="L24" s="289">
        <f>Midlothian!F110</f>
        <v>3508</v>
      </c>
      <c r="M24" s="299"/>
      <c r="N24" s="289"/>
      <c r="O24" s="267">
        <f t="shared" si="2"/>
        <v>-5.5465805061927886E-2</v>
      </c>
      <c r="P24" s="269">
        <f t="shared" si="3"/>
        <v>-206</v>
      </c>
      <c r="Q24" s="299"/>
      <c r="R24" s="291">
        <v>4653</v>
      </c>
      <c r="S24" s="289">
        <v>4754</v>
      </c>
      <c r="T24" s="289">
        <f>Midlothian!F111</f>
        <v>4276</v>
      </c>
      <c r="U24" s="299"/>
      <c r="V24" s="289"/>
      <c r="W24" s="267">
        <f t="shared" si="4"/>
        <v>-0.10054690786705933</v>
      </c>
      <c r="X24" s="269">
        <f t="shared" si="5"/>
        <v>-478</v>
      </c>
      <c r="Y24" s="299"/>
      <c r="Z24" s="291">
        <v>3888</v>
      </c>
      <c r="AA24" s="289">
        <v>4053</v>
      </c>
      <c r="AB24" s="289">
        <f>Midlothian!F112</f>
        <v>4049</v>
      </c>
      <c r="AC24" s="299"/>
      <c r="AD24" s="289"/>
      <c r="AE24" s="267">
        <f t="shared" si="6"/>
        <v>-9.8692326671601105E-4</v>
      </c>
      <c r="AF24" s="269">
        <f t="shared" si="7"/>
        <v>-4</v>
      </c>
      <c r="AG24" s="16"/>
      <c r="AH24" s="291">
        <v>1019</v>
      </c>
      <c r="AI24" s="289">
        <v>901</v>
      </c>
      <c r="AJ24" s="289">
        <f>Midlothian!F113</f>
        <v>1071</v>
      </c>
      <c r="AK24" s="299"/>
      <c r="AL24" s="289"/>
      <c r="AM24" s="267">
        <f t="shared" si="8"/>
        <v>0.18867924528301883</v>
      </c>
      <c r="AN24" s="269">
        <f t="shared" si="9"/>
        <v>170</v>
      </c>
      <c r="AO24" s="299"/>
      <c r="AP24" s="291">
        <v>1976</v>
      </c>
      <c r="AQ24" s="289">
        <v>1500</v>
      </c>
      <c r="AR24" s="289">
        <f>Midlothian!F114</f>
        <v>1576</v>
      </c>
      <c r="AS24" s="299"/>
      <c r="AT24" s="289"/>
      <c r="AU24" s="267">
        <f t="shared" si="10"/>
        <v>5.0666666666666638E-2</v>
      </c>
      <c r="AV24" s="269">
        <f t="shared" si="11"/>
        <v>76</v>
      </c>
    </row>
    <row r="25" spans="1:48">
      <c r="A25" s="288" t="s">
        <v>35</v>
      </c>
      <c r="B25" s="291">
        <v>19486</v>
      </c>
      <c r="C25" s="289">
        <v>20450</v>
      </c>
      <c r="D25" s="289">
        <f>Moray!F98</f>
        <v>21297</v>
      </c>
      <c r="E25" s="299"/>
      <c r="F25" s="289"/>
      <c r="G25" s="267">
        <f t="shared" si="0"/>
        <v>4.1418092909535353E-2</v>
      </c>
      <c r="H25" s="269">
        <f t="shared" si="1"/>
        <v>847</v>
      </c>
      <c r="I25" s="299"/>
      <c r="J25" s="291">
        <v>5869</v>
      </c>
      <c r="K25" s="289">
        <v>6506</v>
      </c>
      <c r="L25" s="289">
        <f>Moray!F110</f>
        <v>6677</v>
      </c>
      <c r="M25" s="299"/>
      <c r="N25" s="289"/>
      <c r="O25" s="267">
        <f t="shared" si="2"/>
        <v>2.6283430679372888E-2</v>
      </c>
      <c r="P25" s="269">
        <f t="shared" si="3"/>
        <v>171</v>
      </c>
      <c r="Q25" s="299"/>
      <c r="R25" s="291">
        <v>4443</v>
      </c>
      <c r="S25" s="289">
        <v>5016</v>
      </c>
      <c r="T25" s="289">
        <f>Moray!F111</f>
        <v>4472</v>
      </c>
      <c r="U25" s="299"/>
      <c r="V25" s="289"/>
      <c r="W25" s="267">
        <f t="shared" si="4"/>
        <v>-0.10845295055821369</v>
      </c>
      <c r="X25" s="269">
        <f t="shared" si="5"/>
        <v>-544</v>
      </c>
      <c r="Y25" s="299"/>
      <c r="Z25" s="291">
        <v>7497</v>
      </c>
      <c r="AA25" s="289">
        <v>7718</v>
      </c>
      <c r="AB25" s="289">
        <f>Moray!F112</f>
        <v>8969</v>
      </c>
      <c r="AC25" s="299"/>
      <c r="AD25" s="289"/>
      <c r="AE25" s="267">
        <f t="shared" si="6"/>
        <v>0.16208862399585389</v>
      </c>
      <c r="AF25" s="269">
        <f t="shared" si="7"/>
        <v>1251</v>
      </c>
      <c r="AG25" s="16"/>
      <c r="AH25" s="291">
        <v>13</v>
      </c>
      <c r="AI25" s="289">
        <v>20</v>
      </c>
      <c r="AJ25" s="289">
        <f>Moray!F113</f>
        <v>20</v>
      </c>
      <c r="AK25" s="299"/>
      <c r="AL25" s="289"/>
      <c r="AM25" s="267">
        <f t="shared" si="8"/>
        <v>0</v>
      </c>
      <c r="AN25" s="269">
        <f t="shared" si="9"/>
        <v>0</v>
      </c>
      <c r="AO25" s="299"/>
      <c r="AP25" s="291">
        <v>1664</v>
      </c>
      <c r="AQ25" s="289">
        <v>1190</v>
      </c>
      <c r="AR25" s="289">
        <f>Moray!F114</f>
        <v>1159</v>
      </c>
      <c r="AS25" s="299"/>
      <c r="AT25" s="289"/>
      <c r="AU25" s="267">
        <f t="shared" si="10"/>
        <v>-2.6050420168067245E-2</v>
      </c>
      <c r="AV25" s="269">
        <f t="shared" si="11"/>
        <v>-31</v>
      </c>
    </row>
    <row r="26" spans="1:48">
      <c r="A26" s="288" t="s">
        <v>36</v>
      </c>
      <c r="B26" s="291">
        <v>26690</v>
      </c>
      <c r="C26" s="289">
        <v>27243</v>
      </c>
      <c r="D26" s="289">
        <f>'North Ayrshire'!F98</f>
        <v>29705</v>
      </c>
      <c r="E26" s="299"/>
      <c r="F26" s="289"/>
      <c r="G26" s="267">
        <f t="shared" si="0"/>
        <v>9.0371838637448132E-2</v>
      </c>
      <c r="H26" s="269">
        <f t="shared" si="1"/>
        <v>2462</v>
      </c>
      <c r="I26" s="299"/>
      <c r="J26" s="291">
        <v>4022</v>
      </c>
      <c r="K26" s="289">
        <v>3686</v>
      </c>
      <c r="L26" s="289">
        <f>'North Ayrshire'!F110</f>
        <v>3938</v>
      </c>
      <c r="M26" s="299"/>
      <c r="N26" s="289"/>
      <c r="O26" s="267">
        <f t="shared" si="2"/>
        <v>6.8366793271839477E-2</v>
      </c>
      <c r="P26" s="269">
        <f t="shared" si="3"/>
        <v>252</v>
      </c>
      <c r="Q26" s="299"/>
      <c r="R26" s="291">
        <v>7483</v>
      </c>
      <c r="S26" s="289">
        <v>7926</v>
      </c>
      <c r="T26" s="289">
        <f>'North Ayrshire'!F111</f>
        <v>8927</v>
      </c>
      <c r="U26" s="299"/>
      <c r="V26" s="289"/>
      <c r="W26" s="267">
        <f t="shared" si="4"/>
        <v>0.12629321221297007</v>
      </c>
      <c r="X26" s="269">
        <f t="shared" si="5"/>
        <v>1001</v>
      </c>
      <c r="Y26" s="299"/>
      <c r="Z26" s="291">
        <v>7536</v>
      </c>
      <c r="AA26" s="289">
        <v>7672</v>
      </c>
      <c r="AB26" s="289">
        <f>'North Ayrshire'!F112</f>
        <v>9098</v>
      </c>
      <c r="AC26" s="299"/>
      <c r="AD26" s="289"/>
      <c r="AE26" s="267">
        <f t="shared" si="6"/>
        <v>0.18587069864442118</v>
      </c>
      <c r="AF26" s="269">
        <f t="shared" si="7"/>
        <v>1426</v>
      </c>
      <c r="AG26" s="16"/>
      <c r="AH26" s="291">
        <v>0</v>
      </c>
      <c r="AI26" s="289">
        <v>0</v>
      </c>
      <c r="AJ26" s="289">
        <f>'North Ayrshire'!F113</f>
        <v>0</v>
      </c>
      <c r="AK26" s="299"/>
      <c r="AL26" s="289"/>
      <c r="AM26" s="267" t="e">
        <f t="shared" si="8"/>
        <v>#DIV/0!</v>
      </c>
      <c r="AN26" s="269">
        <f t="shared" si="9"/>
        <v>0</v>
      </c>
      <c r="AO26" s="299"/>
      <c r="AP26" s="291">
        <v>7649</v>
      </c>
      <c r="AQ26" s="289">
        <v>7959</v>
      </c>
      <c r="AR26" s="289">
        <f>'North Ayrshire'!F114</f>
        <v>7742</v>
      </c>
      <c r="AS26" s="299"/>
      <c r="AT26" s="289"/>
      <c r="AU26" s="267">
        <f t="shared" si="10"/>
        <v>-2.7264731750219928E-2</v>
      </c>
      <c r="AV26" s="269">
        <f t="shared" si="11"/>
        <v>-217</v>
      </c>
    </row>
    <row r="27" spans="1:48">
      <c r="A27" s="288" t="s">
        <v>37</v>
      </c>
      <c r="B27" s="291">
        <v>29440.46681837687</v>
      </c>
      <c r="C27" s="289">
        <v>27943.122850000007</v>
      </c>
      <c r="D27" s="289">
        <f>'North Lanarkshire'!F98</f>
        <v>33657</v>
      </c>
      <c r="E27" s="299"/>
      <c r="F27" s="289"/>
      <c r="G27" s="306">
        <f t="shared" si="0"/>
        <v>0.20448241167146386</v>
      </c>
      <c r="H27" s="307">
        <f t="shared" si="1"/>
        <v>5713.877149999993</v>
      </c>
      <c r="I27" s="299"/>
      <c r="J27" s="291">
        <v>6109.0623091912703</v>
      </c>
      <c r="K27" s="289">
        <v>4915.2690000000002</v>
      </c>
      <c r="L27" s="289">
        <f>'North Lanarkshire'!F110</f>
        <v>7141</v>
      </c>
      <c r="M27" s="299"/>
      <c r="N27" s="289"/>
      <c r="O27" s="306">
        <f t="shared" si="2"/>
        <v>0.45281977446198773</v>
      </c>
      <c r="P27" s="307">
        <f t="shared" si="3"/>
        <v>2225.7309999999998</v>
      </c>
      <c r="Q27" s="299"/>
      <c r="R27" s="291">
        <v>6336.6490652288558</v>
      </c>
      <c r="S27" s="289">
        <v>6746.41</v>
      </c>
      <c r="T27" s="289">
        <f>'North Lanarkshire'!F111</f>
        <v>6550</v>
      </c>
      <c r="U27" s="299"/>
      <c r="V27" s="289"/>
      <c r="W27" s="306">
        <f t="shared" si="4"/>
        <v>-2.9113261719937E-2</v>
      </c>
      <c r="X27" s="307">
        <f t="shared" si="5"/>
        <v>-196.40999999999985</v>
      </c>
      <c r="Y27" s="299"/>
      <c r="Z27" s="291">
        <v>6156.8388229545608</v>
      </c>
      <c r="AA27" s="289">
        <v>5945.2739999999994</v>
      </c>
      <c r="AB27" s="289">
        <f>'North Lanarkshire'!F112</f>
        <v>6122</v>
      </c>
      <c r="AC27" s="299"/>
      <c r="AD27" s="289"/>
      <c r="AE27" s="306">
        <f t="shared" si="6"/>
        <v>2.9725459247126551E-2</v>
      </c>
      <c r="AF27" s="307">
        <f t="shared" si="7"/>
        <v>176.72600000000057</v>
      </c>
      <c r="AG27" s="16"/>
      <c r="AH27" s="291">
        <v>0</v>
      </c>
      <c r="AI27" s="289">
        <v>0</v>
      </c>
      <c r="AJ27" s="289">
        <f>'North Lanarkshire'!F113</f>
        <v>0</v>
      </c>
      <c r="AK27" s="299"/>
      <c r="AL27" s="289"/>
      <c r="AM27" s="306" t="e">
        <f t="shared" si="8"/>
        <v>#DIV/0!</v>
      </c>
      <c r="AN27" s="307">
        <f t="shared" si="9"/>
        <v>0</v>
      </c>
      <c r="AO27" s="299"/>
      <c r="AP27" s="291">
        <v>10837.916621002183</v>
      </c>
      <c r="AQ27" s="289">
        <v>10336.169850000008</v>
      </c>
      <c r="AR27" s="289">
        <f>'North Lanarkshire'!F114</f>
        <v>13844</v>
      </c>
      <c r="AS27" s="299"/>
      <c r="AT27" s="289"/>
      <c r="AU27" s="306">
        <f t="shared" si="10"/>
        <v>0.33937427508507811</v>
      </c>
      <c r="AV27" s="307">
        <f t="shared" si="11"/>
        <v>3507.8301499999925</v>
      </c>
    </row>
    <row r="28" spans="1:48">
      <c r="A28" s="288" t="s">
        <v>38</v>
      </c>
      <c r="B28" s="291">
        <v>3395</v>
      </c>
      <c r="C28" s="289">
        <v>3289</v>
      </c>
      <c r="D28" s="289">
        <f>'Orkney Islands'!F98</f>
        <v>3536</v>
      </c>
      <c r="E28" s="299"/>
      <c r="F28" s="289"/>
      <c r="G28" s="267">
        <f t="shared" si="0"/>
        <v>7.5098814229249022E-2</v>
      </c>
      <c r="H28" s="269">
        <f t="shared" si="1"/>
        <v>247</v>
      </c>
      <c r="I28" s="299"/>
      <c r="J28" s="291">
        <v>735</v>
      </c>
      <c r="K28" s="289">
        <v>770</v>
      </c>
      <c r="L28" s="289">
        <f>'Orkney Islands'!F110</f>
        <v>744</v>
      </c>
      <c r="M28" s="299"/>
      <c r="N28" s="289"/>
      <c r="O28" s="267">
        <f t="shared" si="2"/>
        <v>-3.3766233766233777E-2</v>
      </c>
      <c r="P28" s="269">
        <f t="shared" si="3"/>
        <v>-26</v>
      </c>
      <c r="Q28" s="299"/>
      <c r="R28" s="291">
        <v>707</v>
      </c>
      <c r="S28" s="289">
        <v>620</v>
      </c>
      <c r="T28" s="289">
        <f>'Orkney Islands'!F111</f>
        <v>553</v>
      </c>
      <c r="U28" s="299"/>
      <c r="V28" s="289"/>
      <c r="W28" s="267">
        <f t="shared" si="4"/>
        <v>-0.10806451612903223</v>
      </c>
      <c r="X28" s="269">
        <f t="shared" si="5"/>
        <v>-67</v>
      </c>
      <c r="Y28" s="299"/>
      <c r="Z28" s="291">
        <v>1546</v>
      </c>
      <c r="AA28" s="289">
        <v>1489</v>
      </c>
      <c r="AB28" s="289">
        <f>'Orkney Islands'!F112</f>
        <v>1752</v>
      </c>
      <c r="AC28" s="299"/>
      <c r="AD28" s="289"/>
      <c r="AE28" s="267">
        <f t="shared" si="6"/>
        <v>0.17662860980523831</v>
      </c>
      <c r="AF28" s="269">
        <f t="shared" si="7"/>
        <v>263</v>
      </c>
      <c r="AG28" s="16"/>
      <c r="AH28" s="291">
        <v>407</v>
      </c>
      <c r="AI28" s="289">
        <v>410</v>
      </c>
      <c r="AJ28" s="289">
        <f>'Orkney Islands'!F113</f>
        <v>487</v>
      </c>
      <c r="AK28" s="299"/>
      <c r="AL28" s="289"/>
      <c r="AM28" s="267">
        <f t="shared" si="8"/>
        <v>0.18780487804878043</v>
      </c>
      <c r="AN28" s="269">
        <f t="shared" si="9"/>
        <v>77</v>
      </c>
      <c r="AO28" s="299"/>
      <c r="AP28" s="291">
        <v>0</v>
      </c>
      <c r="AQ28" s="289">
        <v>0</v>
      </c>
      <c r="AR28" s="289">
        <f>'Orkney Islands'!F114</f>
        <v>0</v>
      </c>
      <c r="AS28" s="299"/>
      <c r="AT28" s="289"/>
      <c r="AU28" s="267" t="e">
        <f t="shared" si="10"/>
        <v>#DIV/0!</v>
      </c>
      <c r="AV28" s="269">
        <f t="shared" si="11"/>
        <v>0</v>
      </c>
    </row>
    <row r="29" spans="1:48">
      <c r="A29" s="288" t="s">
        <v>39</v>
      </c>
      <c r="B29" s="291">
        <v>21305</v>
      </c>
      <c r="C29" s="289">
        <v>20753</v>
      </c>
      <c r="D29" s="289">
        <f>'Perth &amp; Kinross'!F98</f>
        <v>20515</v>
      </c>
      <c r="E29" s="299"/>
      <c r="F29" s="289"/>
      <c r="G29" s="267">
        <f t="shared" si="0"/>
        <v>-1.1468221461957362E-2</v>
      </c>
      <c r="H29" s="269">
        <f t="shared" si="1"/>
        <v>-238</v>
      </c>
      <c r="I29" s="299"/>
      <c r="J29" s="291">
        <v>5838</v>
      </c>
      <c r="K29" s="289">
        <v>6289</v>
      </c>
      <c r="L29" s="289">
        <f>'Perth &amp; Kinross'!F110</f>
        <v>7382</v>
      </c>
      <c r="M29" s="299"/>
      <c r="N29" s="289"/>
      <c r="O29" s="267">
        <f t="shared" si="2"/>
        <v>0.17379551598028309</v>
      </c>
      <c r="P29" s="269">
        <f t="shared" si="3"/>
        <v>1093</v>
      </c>
      <c r="Q29" s="299"/>
      <c r="R29" s="291">
        <v>6426</v>
      </c>
      <c r="S29" s="289">
        <v>6475</v>
      </c>
      <c r="T29" s="289">
        <f>'Perth &amp; Kinross'!F111</f>
        <v>6461</v>
      </c>
      <c r="U29" s="299"/>
      <c r="V29" s="289"/>
      <c r="W29" s="267">
        <f t="shared" si="4"/>
        <v>-2.1621621621621401E-3</v>
      </c>
      <c r="X29" s="269">
        <f t="shared" si="5"/>
        <v>-14</v>
      </c>
      <c r="Y29" s="299"/>
      <c r="Z29" s="291">
        <v>6574</v>
      </c>
      <c r="AA29" s="289">
        <v>6004</v>
      </c>
      <c r="AB29" s="289">
        <f>'Perth &amp; Kinross'!F112</f>
        <v>4703</v>
      </c>
      <c r="AC29" s="299"/>
      <c r="AD29" s="289"/>
      <c r="AE29" s="267">
        <f t="shared" si="6"/>
        <v>-0.21668887408394399</v>
      </c>
      <c r="AF29" s="269">
        <f t="shared" si="7"/>
        <v>-1301</v>
      </c>
      <c r="AG29" s="16"/>
      <c r="AH29" s="291">
        <v>641</v>
      </c>
      <c r="AI29" s="289">
        <v>503</v>
      </c>
      <c r="AJ29" s="289">
        <f>'Perth &amp; Kinross'!F113</f>
        <v>568</v>
      </c>
      <c r="AK29" s="299"/>
      <c r="AL29" s="289"/>
      <c r="AM29" s="267">
        <f t="shared" si="8"/>
        <v>0.12922465208747513</v>
      </c>
      <c r="AN29" s="269">
        <f t="shared" si="9"/>
        <v>65</v>
      </c>
      <c r="AO29" s="299"/>
      <c r="AP29" s="291">
        <v>1826</v>
      </c>
      <c r="AQ29" s="289">
        <v>1482</v>
      </c>
      <c r="AR29" s="289">
        <f>'Perth &amp; Kinross'!F114</f>
        <v>1401</v>
      </c>
      <c r="AS29" s="299"/>
      <c r="AT29" s="289"/>
      <c r="AU29" s="267">
        <f t="shared" si="10"/>
        <v>-5.4655870445344146E-2</v>
      </c>
      <c r="AV29" s="269">
        <f t="shared" si="11"/>
        <v>-81</v>
      </c>
    </row>
    <row r="30" spans="1:48">
      <c r="A30" s="288" t="s">
        <v>40</v>
      </c>
      <c r="B30" s="291">
        <v>35800</v>
      </c>
      <c r="C30" s="289">
        <v>37250</v>
      </c>
      <c r="D30" s="289">
        <f>Renfrewshire!F98</f>
        <v>43383</v>
      </c>
      <c r="E30" s="299"/>
      <c r="F30" s="289"/>
      <c r="G30" s="267">
        <f t="shared" si="0"/>
        <v>0.16464429530201352</v>
      </c>
      <c r="H30" s="269">
        <f t="shared" si="1"/>
        <v>6133</v>
      </c>
      <c r="I30" s="299"/>
      <c r="J30" s="291">
        <v>5753</v>
      </c>
      <c r="K30" s="289">
        <v>5639</v>
      </c>
      <c r="L30" s="289">
        <f>Renfrewshire!F110</f>
        <v>5818</v>
      </c>
      <c r="M30" s="299"/>
      <c r="N30" s="289"/>
      <c r="O30" s="267">
        <f t="shared" si="2"/>
        <v>3.1743216882425873E-2</v>
      </c>
      <c r="P30" s="269">
        <f t="shared" si="3"/>
        <v>179</v>
      </c>
      <c r="Q30" s="299"/>
      <c r="R30" s="291">
        <v>10830</v>
      </c>
      <c r="S30" s="289">
        <v>11559</v>
      </c>
      <c r="T30" s="289">
        <f>Renfrewshire!F111</f>
        <v>11347</v>
      </c>
      <c r="U30" s="299"/>
      <c r="V30" s="289"/>
      <c r="W30" s="267">
        <f t="shared" si="4"/>
        <v>-1.8340686910632398E-2</v>
      </c>
      <c r="X30" s="269">
        <f t="shared" si="5"/>
        <v>-212</v>
      </c>
      <c r="Y30" s="299"/>
      <c r="Z30" s="291">
        <v>7872</v>
      </c>
      <c r="AA30" s="289">
        <v>7547</v>
      </c>
      <c r="AB30" s="289">
        <f>Renfrewshire!F112</f>
        <v>9157</v>
      </c>
      <c r="AC30" s="299"/>
      <c r="AD30" s="289"/>
      <c r="AE30" s="267">
        <f t="shared" si="6"/>
        <v>0.21332979992049816</v>
      </c>
      <c r="AF30" s="269">
        <f t="shared" si="7"/>
        <v>1610</v>
      </c>
      <c r="AG30" s="16"/>
      <c r="AH30" s="291">
        <v>5499</v>
      </c>
      <c r="AI30" s="289">
        <v>5470</v>
      </c>
      <c r="AJ30" s="289">
        <f>Renfrewshire!F113</f>
        <v>5181</v>
      </c>
      <c r="AK30" s="299"/>
      <c r="AL30" s="289"/>
      <c r="AM30" s="267">
        <f t="shared" si="8"/>
        <v>-5.2833638025594154E-2</v>
      </c>
      <c r="AN30" s="269">
        <f t="shared" si="9"/>
        <v>-289</v>
      </c>
      <c r="AO30" s="299"/>
      <c r="AP30" s="291">
        <v>5846</v>
      </c>
      <c r="AQ30" s="289">
        <v>7035</v>
      </c>
      <c r="AR30" s="289">
        <f>Renfrewshire!F114</f>
        <v>11880</v>
      </c>
      <c r="AS30" s="299"/>
      <c r="AT30" s="289"/>
      <c r="AU30" s="267">
        <f t="shared" si="10"/>
        <v>0.68869936034115131</v>
      </c>
      <c r="AV30" s="269">
        <f t="shared" si="11"/>
        <v>4845</v>
      </c>
    </row>
    <row r="31" spans="1:48">
      <c r="A31" s="288" t="s">
        <v>41</v>
      </c>
      <c r="B31" s="291">
        <v>15154</v>
      </c>
      <c r="C31" s="289">
        <v>15758</v>
      </c>
      <c r="D31" s="289">
        <f>'Scottish Borders'!F98</f>
        <v>15571</v>
      </c>
      <c r="E31" s="299"/>
      <c r="F31" s="289"/>
      <c r="G31" s="267">
        <f t="shared" si="0"/>
        <v>-1.1866988196471584E-2</v>
      </c>
      <c r="H31" s="269">
        <f t="shared" si="1"/>
        <v>-187</v>
      </c>
      <c r="I31" s="299"/>
      <c r="J31" s="291">
        <v>5979</v>
      </c>
      <c r="K31" s="289">
        <v>6502</v>
      </c>
      <c r="L31" s="289">
        <f>'Scottish Borders'!F110</f>
        <v>6922</v>
      </c>
      <c r="M31" s="299"/>
      <c r="N31" s="289"/>
      <c r="O31" s="267">
        <f t="shared" si="2"/>
        <v>6.459550907413103E-2</v>
      </c>
      <c r="P31" s="269">
        <f t="shared" si="3"/>
        <v>420</v>
      </c>
      <c r="Q31" s="299"/>
      <c r="R31" s="291">
        <v>2633</v>
      </c>
      <c r="S31" s="289">
        <v>2899</v>
      </c>
      <c r="T31" s="289">
        <f>'Scottish Borders'!F111</f>
        <v>2881</v>
      </c>
      <c r="U31" s="299"/>
      <c r="V31" s="289"/>
      <c r="W31" s="267">
        <f t="shared" si="4"/>
        <v>-6.2090375991721292E-3</v>
      </c>
      <c r="X31" s="269">
        <f t="shared" si="5"/>
        <v>-18</v>
      </c>
      <c r="Y31" s="299"/>
      <c r="Z31" s="291">
        <v>4937</v>
      </c>
      <c r="AA31" s="289">
        <v>5624</v>
      </c>
      <c r="AB31" s="289">
        <f>'Scottish Borders'!F112</f>
        <v>5558</v>
      </c>
      <c r="AC31" s="299"/>
      <c r="AD31" s="289"/>
      <c r="AE31" s="267">
        <f t="shared" si="6"/>
        <v>-1.1735419630156452E-2</v>
      </c>
      <c r="AF31" s="269">
        <f t="shared" si="7"/>
        <v>-66</v>
      </c>
      <c r="AG31" s="16"/>
      <c r="AH31" s="291">
        <v>74</v>
      </c>
      <c r="AI31" s="289">
        <v>0</v>
      </c>
      <c r="AJ31" s="289">
        <f>'Scottish Borders'!F113</f>
        <v>0</v>
      </c>
      <c r="AK31" s="299"/>
      <c r="AL31" s="289"/>
      <c r="AM31" s="267" t="e">
        <f t="shared" si="8"/>
        <v>#DIV/0!</v>
      </c>
      <c r="AN31" s="269">
        <f t="shared" si="9"/>
        <v>0</v>
      </c>
      <c r="AO31" s="299"/>
      <c r="AP31" s="291">
        <v>1531</v>
      </c>
      <c r="AQ31" s="289">
        <v>733</v>
      </c>
      <c r="AR31" s="289">
        <f>'Scottish Borders'!F114</f>
        <v>210</v>
      </c>
      <c r="AS31" s="299"/>
      <c r="AT31" s="289"/>
      <c r="AU31" s="267">
        <f t="shared" si="10"/>
        <v>-0.71350613915416106</v>
      </c>
      <c r="AV31" s="269">
        <f t="shared" si="11"/>
        <v>-523</v>
      </c>
    </row>
    <row r="32" spans="1:48">
      <c r="A32" s="288" t="s">
        <v>42</v>
      </c>
      <c r="B32" s="291">
        <v>5363</v>
      </c>
      <c r="C32" s="289">
        <v>6250</v>
      </c>
      <c r="D32" s="289">
        <f>'Shetland Islands'!F98</f>
        <v>7098</v>
      </c>
      <c r="E32" s="299"/>
      <c r="F32" s="289"/>
      <c r="G32" s="267">
        <f t="shared" si="0"/>
        <v>0.13568000000000002</v>
      </c>
      <c r="H32" s="269">
        <f t="shared" si="1"/>
        <v>848</v>
      </c>
      <c r="I32" s="299"/>
      <c r="J32" s="291">
        <v>1837</v>
      </c>
      <c r="K32" s="289">
        <v>1932</v>
      </c>
      <c r="L32" s="289">
        <f>'Shetland Islands'!F110</f>
        <v>2192</v>
      </c>
      <c r="M32" s="299"/>
      <c r="N32" s="289"/>
      <c r="O32" s="267">
        <f t="shared" si="2"/>
        <v>0.13457556935817805</v>
      </c>
      <c r="P32" s="269">
        <f t="shared" si="3"/>
        <v>260</v>
      </c>
      <c r="Q32" s="299"/>
      <c r="R32" s="291">
        <v>418</v>
      </c>
      <c r="S32" s="289">
        <v>456</v>
      </c>
      <c r="T32" s="289">
        <f>'Shetland Islands'!F111</f>
        <v>538</v>
      </c>
      <c r="U32" s="299"/>
      <c r="V32" s="289"/>
      <c r="W32" s="267">
        <f t="shared" si="4"/>
        <v>0.17982456140350878</v>
      </c>
      <c r="X32" s="269">
        <f t="shared" si="5"/>
        <v>82</v>
      </c>
      <c r="Y32" s="299"/>
      <c r="Z32" s="291">
        <v>2172</v>
      </c>
      <c r="AA32" s="289">
        <v>2850</v>
      </c>
      <c r="AB32" s="289">
        <f>'Shetland Islands'!F112</f>
        <v>2872</v>
      </c>
      <c r="AC32" s="299"/>
      <c r="AD32" s="289"/>
      <c r="AE32" s="267">
        <f t="shared" si="6"/>
        <v>7.7192982456140147E-3</v>
      </c>
      <c r="AF32" s="269">
        <f t="shared" si="7"/>
        <v>22</v>
      </c>
      <c r="AG32" s="16"/>
      <c r="AH32" s="291">
        <v>273</v>
      </c>
      <c r="AI32" s="289">
        <v>282</v>
      </c>
      <c r="AJ32" s="289">
        <f>'Shetland Islands'!F113</f>
        <v>283</v>
      </c>
      <c r="AK32" s="299"/>
      <c r="AL32" s="289"/>
      <c r="AM32" s="267">
        <f t="shared" si="8"/>
        <v>3.5460992907800915E-3</v>
      </c>
      <c r="AN32" s="269">
        <f t="shared" si="9"/>
        <v>1</v>
      </c>
      <c r="AO32" s="299"/>
      <c r="AP32" s="291">
        <v>663</v>
      </c>
      <c r="AQ32" s="289">
        <v>730</v>
      </c>
      <c r="AR32" s="289">
        <f>'Shetland Islands'!F114</f>
        <v>1213</v>
      </c>
      <c r="AS32" s="299"/>
      <c r="AT32" s="289"/>
      <c r="AU32" s="267">
        <f t="shared" si="10"/>
        <v>0.66164383561643825</v>
      </c>
      <c r="AV32" s="269">
        <f t="shared" si="11"/>
        <v>483</v>
      </c>
    </row>
    <row r="33" spans="1:48">
      <c r="A33" s="288" t="s">
        <v>43</v>
      </c>
      <c r="B33" s="291">
        <v>17996</v>
      </c>
      <c r="C33" s="289">
        <v>15846</v>
      </c>
      <c r="D33" s="289">
        <f>'South Ayrshire'!F98</f>
        <v>17433</v>
      </c>
      <c r="E33" s="299"/>
      <c r="F33" s="289"/>
      <c r="G33" s="267">
        <f t="shared" si="0"/>
        <v>0.10015145778114354</v>
      </c>
      <c r="H33" s="269">
        <f t="shared" si="1"/>
        <v>1587</v>
      </c>
      <c r="I33" s="299"/>
      <c r="J33" s="291">
        <v>3436</v>
      </c>
      <c r="K33" s="289">
        <v>2978</v>
      </c>
      <c r="L33" s="289">
        <f>'South Ayrshire'!F110</f>
        <v>3189</v>
      </c>
      <c r="M33" s="299"/>
      <c r="N33" s="289"/>
      <c r="O33" s="267">
        <f t="shared" si="2"/>
        <v>7.0852921423774307E-2</v>
      </c>
      <c r="P33" s="269">
        <f t="shared" si="3"/>
        <v>211</v>
      </c>
      <c r="Q33" s="299"/>
      <c r="R33" s="291">
        <v>5540</v>
      </c>
      <c r="S33" s="289">
        <v>4921</v>
      </c>
      <c r="T33" s="289">
        <f>'South Ayrshire'!F111</f>
        <v>5085</v>
      </c>
      <c r="U33" s="299"/>
      <c r="V33" s="289"/>
      <c r="W33" s="267">
        <f t="shared" si="4"/>
        <v>3.3326559642349096E-2</v>
      </c>
      <c r="X33" s="269">
        <f t="shared" si="5"/>
        <v>164</v>
      </c>
      <c r="Y33" s="299"/>
      <c r="Z33" s="291">
        <v>6600</v>
      </c>
      <c r="AA33" s="289">
        <v>5869</v>
      </c>
      <c r="AB33" s="289">
        <f>'South Ayrshire'!F112</f>
        <v>6801</v>
      </c>
      <c r="AC33" s="299"/>
      <c r="AD33" s="289"/>
      <c r="AE33" s="267">
        <f t="shared" si="6"/>
        <v>0.15880047708297829</v>
      </c>
      <c r="AF33" s="269">
        <f t="shared" si="7"/>
        <v>932</v>
      </c>
      <c r="AG33" s="16"/>
      <c r="AH33" s="291">
        <v>241</v>
      </c>
      <c r="AI33" s="289">
        <v>206</v>
      </c>
      <c r="AJ33" s="289">
        <f>'South Ayrshire'!F113</f>
        <v>263</v>
      </c>
      <c r="AK33" s="299"/>
      <c r="AL33" s="289"/>
      <c r="AM33" s="267">
        <f t="shared" si="8"/>
        <v>0.27669902912621369</v>
      </c>
      <c r="AN33" s="269">
        <f t="shared" si="9"/>
        <v>57</v>
      </c>
      <c r="AO33" s="299"/>
      <c r="AP33" s="291">
        <v>2179</v>
      </c>
      <c r="AQ33" s="289">
        <v>1872</v>
      </c>
      <c r="AR33" s="289">
        <f>'South Ayrshire'!F114</f>
        <v>2095</v>
      </c>
      <c r="AS33" s="299"/>
      <c r="AT33" s="289"/>
      <c r="AU33" s="267">
        <f t="shared" si="10"/>
        <v>0.11912393162393164</v>
      </c>
      <c r="AV33" s="269">
        <f t="shared" si="11"/>
        <v>223</v>
      </c>
    </row>
    <row r="34" spans="1:48">
      <c r="A34" s="288" t="s">
        <v>44</v>
      </c>
      <c r="B34" s="291">
        <v>30790</v>
      </c>
      <c r="C34" s="289">
        <v>31167</v>
      </c>
      <c r="D34" s="289">
        <f>'South Lanarkshire'!F98</f>
        <v>34138</v>
      </c>
      <c r="E34" s="299"/>
      <c r="F34" s="289"/>
      <c r="G34" s="267">
        <f t="shared" si="0"/>
        <v>9.5325183687875015E-2</v>
      </c>
      <c r="H34" s="269">
        <f t="shared" si="1"/>
        <v>2971</v>
      </c>
      <c r="I34" s="299"/>
      <c r="J34" s="291">
        <v>10687</v>
      </c>
      <c r="K34" s="289">
        <v>10534</v>
      </c>
      <c r="L34" s="289">
        <f>'South Lanarkshire'!F110</f>
        <v>11296</v>
      </c>
      <c r="M34" s="299"/>
      <c r="N34" s="289"/>
      <c r="O34" s="267">
        <f t="shared" si="2"/>
        <v>7.2337193848490688E-2</v>
      </c>
      <c r="P34" s="269">
        <f t="shared" si="3"/>
        <v>762</v>
      </c>
      <c r="Q34" s="299"/>
      <c r="R34" s="291">
        <v>7916</v>
      </c>
      <c r="S34" s="289">
        <v>8232</v>
      </c>
      <c r="T34" s="289">
        <f>'South Lanarkshire'!F111</f>
        <v>9420</v>
      </c>
      <c r="U34" s="299"/>
      <c r="V34" s="289"/>
      <c r="W34" s="267">
        <f t="shared" si="4"/>
        <v>0.14431486880466471</v>
      </c>
      <c r="X34" s="269">
        <f t="shared" si="5"/>
        <v>1188</v>
      </c>
      <c r="Y34" s="299"/>
      <c r="Z34" s="291">
        <v>8456</v>
      </c>
      <c r="AA34" s="289">
        <v>8918</v>
      </c>
      <c r="AB34" s="289">
        <f>'South Lanarkshire'!F112</f>
        <v>10245</v>
      </c>
      <c r="AC34" s="299"/>
      <c r="AD34" s="289"/>
      <c r="AE34" s="267">
        <f t="shared" si="6"/>
        <v>0.14880017941242429</v>
      </c>
      <c r="AF34" s="269">
        <f t="shared" si="7"/>
        <v>1327</v>
      </c>
      <c r="AG34" s="16"/>
      <c r="AH34" s="291">
        <v>0</v>
      </c>
      <c r="AI34" s="289">
        <v>0</v>
      </c>
      <c r="AJ34" s="289">
        <f>'South Lanarkshire'!F113</f>
        <v>0</v>
      </c>
      <c r="AK34" s="299"/>
      <c r="AL34" s="289"/>
      <c r="AM34" s="267" t="e">
        <f t="shared" si="8"/>
        <v>#DIV/0!</v>
      </c>
      <c r="AN34" s="269">
        <f t="shared" si="9"/>
        <v>0</v>
      </c>
      <c r="AO34" s="299"/>
      <c r="AP34" s="291">
        <v>3731</v>
      </c>
      <c r="AQ34" s="289">
        <v>3483</v>
      </c>
      <c r="AR34" s="289">
        <f>'South Lanarkshire'!F114</f>
        <v>3177</v>
      </c>
      <c r="AS34" s="299"/>
      <c r="AT34" s="289"/>
      <c r="AU34" s="267">
        <f t="shared" si="10"/>
        <v>-8.7855297157622747E-2</v>
      </c>
      <c r="AV34" s="269">
        <f t="shared" si="11"/>
        <v>-306</v>
      </c>
    </row>
    <row r="35" spans="1:48">
      <c r="A35" s="288" t="s">
        <v>45</v>
      </c>
      <c r="B35" s="291">
        <v>12380</v>
      </c>
      <c r="C35" s="289">
        <v>11397</v>
      </c>
      <c r="D35" s="289">
        <f>Stirling!F98</f>
        <v>10400</v>
      </c>
      <c r="E35" s="299"/>
      <c r="F35" s="289"/>
      <c r="G35" s="267">
        <f t="shared" si="0"/>
        <v>-8.747916118276744E-2</v>
      </c>
      <c r="H35" s="269">
        <f t="shared" si="1"/>
        <v>-997</v>
      </c>
      <c r="I35" s="299"/>
      <c r="J35" s="291">
        <v>2977</v>
      </c>
      <c r="K35" s="289">
        <v>3011</v>
      </c>
      <c r="L35" s="289">
        <f>Stirling!F110</f>
        <v>2811</v>
      </c>
      <c r="M35" s="299"/>
      <c r="N35" s="289"/>
      <c r="O35" s="267">
        <f t="shared" si="2"/>
        <v>-6.6423115244104936E-2</v>
      </c>
      <c r="P35" s="269">
        <f t="shared" si="3"/>
        <v>-200</v>
      </c>
      <c r="Q35" s="299"/>
      <c r="R35" s="291">
        <v>2461</v>
      </c>
      <c r="S35" s="289">
        <v>2559</v>
      </c>
      <c r="T35" s="289">
        <f>Stirling!F111</f>
        <v>2581</v>
      </c>
      <c r="U35" s="299"/>
      <c r="V35" s="289"/>
      <c r="W35" s="267">
        <f t="shared" si="4"/>
        <v>8.5971082454083803E-3</v>
      </c>
      <c r="X35" s="269">
        <f t="shared" si="5"/>
        <v>22</v>
      </c>
      <c r="Y35" s="299"/>
      <c r="Z35" s="291">
        <v>4002</v>
      </c>
      <c r="AA35" s="289">
        <v>3926</v>
      </c>
      <c r="AB35" s="289">
        <f>Stirling!F112</f>
        <v>3109</v>
      </c>
      <c r="AC35" s="299"/>
      <c r="AD35" s="289"/>
      <c r="AE35" s="267">
        <f t="shared" si="6"/>
        <v>-0.20809984717269481</v>
      </c>
      <c r="AF35" s="269">
        <f t="shared" si="7"/>
        <v>-817</v>
      </c>
      <c r="AG35" s="16"/>
      <c r="AH35" s="291">
        <v>53</v>
      </c>
      <c r="AI35" s="289">
        <v>57</v>
      </c>
      <c r="AJ35" s="289">
        <f>Stirling!F113</f>
        <v>55</v>
      </c>
      <c r="AK35" s="299"/>
      <c r="AL35" s="289"/>
      <c r="AM35" s="267">
        <f t="shared" si="8"/>
        <v>-3.5087719298245612E-2</v>
      </c>
      <c r="AN35" s="269">
        <f t="shared" si="9"/>
        <v>-2</v>
      </c>
      <c r="AO35" s="299"/>
      <c r="AP35" s="291">
        <v>2887</v>
      </c>
      <c r="AQ35" s="289">
        <v>1844</v>
      </c>
      <c r="AR35" s="289">
        <f>Stirling!F114</f>
        <v>1844</v>
      </c>
      <c r="AS35" s="299"/>
      <c r="AT35" s="289"/>
      <c r="AU35" s="267">
        <f t="shared" si="10"/>
        <v>0</v>
      </c>
      <c r="AV35" s="269">
        <f t="shared" si="11"/>
        <v>0</v>
      </c>
    </row>
    <row r="36" spans="1:48">
      <c r="A36" s="288" t="s">
        <v>46</v>
      </c>
      <c r="B36" s="291">
        <v>16330.3</v>
      </c>
      <c r="C36" s="289">
        <v>16345</v>
      </c>
      <c r="D36" s="289">
        <f>'West Dunbartonshire'!F98</f>
        <v>16658</v>
      </c>
      <c r="E36" s="299"/>
      <c r="F36" s="289"/>
      <c r="G36" s="267">
        <f t="shared" si="0"/>
        <v>1.9149587029672732E-2</v>
      </c>
      <c r="H36" s="269">
        <f t="shared" si="1"/>
        <v>313</v>
      </c>
      <c r="I36" s="299"/>
      <c r="J36" s="291">
        <v>2970</v>
      </c>
      <c r="K36" s="289">
        <v>2754</v>
      </c>
      <c r="L36" s="289">
        <f>'West Dunbartonshire'!F110</f>
        <v>2547</v>
      </c>
      <c r="M36" s="299"/>
      <c r="N36" s="289"/>
      <c r="O36" s="267">
        <f t="shared" si="2"/>
        <v>-7.5163398692810413E-2</v>
      </c>
      <c r="P36" s="269">
        <f t="shared" si="3"/>
        <v>-207</v>
      </c>
      <c r="Q36" s="299"/>
      <c r="R36" s="291">
        <v>3778.5</v>
      </c>
      <c r="S36" s="289">
        <v>3841</v>
      </c>
      <c r="T36" s="289">
        <f>'West Dunbartonshire'!F111</f>
        <v>4799</v>
      </c>
      <c r="U36" s="299"/>
      <c r="V36" s="289"/>
      <c r="W36" s="267">
        <f t="shared" si="4"/>
        <v>0.24941421504816463</v>
      </c>
      <c r="X36" s="269">
        <f t="shared" si="5"/>
        <v>958</v>
      </c>
      <c r="Y36" s="299"/>
      <c r="Z36" s="291">
        <v>5250.8</v>
      </c>
      <c r="AA36" s="289">
        <v>5460</v>
      </c>
      <c r="AB36" s="289">
        <f>'West Dunbartonshire'!F112</f>
        <v>5752</v>
      </c>
      <c r="AC36" s="299"/>
      <c r="AD36" s="289"/>
      <c r="AE36" s="267">
        <f t="shared" si="6"/>
        <v>5.3479853479853512E-2</v>
      </c>
      <c r="AF36" s="269">
        <f t="shared" si="7"/>
        <v>292</v>
      </c>
      <c r="AG36" s="16"/>
      <c r="AH36" s="291">
        <v>14</v>
      </c>
      <c r="AI36" s="289">
        <v>17</v>
      </c>
      <c r="AJ36" s="289">
        <f>'West Dunbartonshire'!F113</f>
        <v>16</v>
      </c>
      <c r="AK36" s="299"/>
      <c r="AL36" s="289"/>
      <c r="AM36" s="267">
        <f t="shared" si="8"/>
        <v>-5.8823529411764719E-2</v>
      </c>
      <c r="AN36" s="269">
        <f t="shared" si="9"/>
        <v>-1</v>
      </c>
      <c r="AO36" s="299"/>
      <c r="AP36" s="291">
        <v>4317</v>
      </c>
      <c r="AQ36" s="289">
        <v>4273</v>
      </c>
      <c r="AR36" s="289">
        <f>'West Dunbartonshire'!F114</f>
        <v>3544</v>
      </c>
      <c r="AS36" s="299"/>
      <c r="AT36" s="289"/>
      <c r="AU36" s="267">
        <f t="shared" si="10"/>
        <v>-0.17060613152351978</v>
      </c>
      <c r="AV36" s="269">
        <f t="shared" si="11"/>
        <v>-729</v>
      </c>
    </row>
    <row r="37" spans="1:48">
      <c r="A37" s="292" t="s">
        <v>47</v>
      </c>
      <c r="B37" s="296">
        <v>23530</v>
      </c>
      <c r="C37" s="293">
        <v>24549</v>
      </c>
      <c r="D37" s="293">
        <f>'West Lothian'!F98</f>
        <v>25058</v>
      </c>
      <c r="E37" s="272"/>
      <c r="F37" s="293"/>
      <c r="G37" s="294">
        <f t="shared" si="0"/>
        <v>2.0734042119841867E-2</v>
      </c>
      <c r="H37" s="295">
        <f t="shared" si="1"/>
        <v>509</v>
      </c>
      <c r="I37" s="272"/>
      <c r="J37" s="296">
        <v>4643</v>
      </c>
      <c r="K37" s="293">
        <v>5303</v>
      </c>
      <c r="L37" s="293">
        <f>'West Lothian'!F110</f>
        <v>5773</v>
      </c>
      <c r="M37" s="272"/>
      <c r="N37" s="293"/>
      <c r="O37" s="294">
        <f t="shared" si="2"/>
        <v>8.8629077880445051E-2</v>
      </c>
      <c r="P37" s="295">
        <f t="shared" si="3"/>
        <v>470</v>
      </c>
      <c r="Q37" s="272"/>
      <c r="R37" s="296">
        <v>5904</v>
      </c>
      <c r="S37" s="293">
        <v>6323</v>
      </c>
      <c r="T37" s="293">
        <f>'West Lothian'!F111</f>
        <v>6157</v>
      </c>
      <c r="U37" s="272"/>
      <c r="V37" s="293"/>
      <c r="W37" s="294">
        <f t="shared" si="4"/>
        <v>-2.6253360746481103E-2</v>
      </c>
      <c r="X37" s="295">
        <f t="shared" si="5"/>
        <v>-166</v>
      </c>
      <c r="Y37" s="272"/>
      <c r="Z37" s="296">
        <v>8107</v>
      </c>
      <c r="AA37" s="293">
        <v>8182</v>
      </c>
      <c r="AB37" s="293">
        <f>'West Lothian'!F112</f>
        <v>8601</v>
      </c>
      <c r="AC37" s="272"/>
      <c r="AD37" s="293"/>
      <c r="AE37" s="294">
        <f t="shared" si="6"/>
        <v>5.1209973111708607E-2</v>
      </c>
      <c r="AF37" s="295">
        <f t="shared" si="7"/>
        <v>419</v>
      </c>
      <c r="AG37" s="308"/>
      <c r="AH37" s="296">
        <v>1241</v>
      </c>
      <c r="AI37" s="293">
        <v>1452</v>
      </c>
      <c r="AJ37" s="293">
        <f>'West Lothian'!F113</f>
        <v>1084</v>
      </c>
      <c r="AK37" s="272"/>
      <c r="AL37" s="293"/>
      <c r="AM37" s="294">
        <f t="shared" si="8"/>
        <v>-0.25344352617079891</v>
      </c>
      <c r="AN37" s="295">
        <f t="shared" si="9"/>
        <v>-368</v>
      </c>
      <c r="AO37" s="272"/>
      <c r="AP37" s="296">
        <v>3635</v>
      </c>
      <c r="AQ37" s="293">
        <v>3289</v>
      </c>
      <c r="AR37" s="293">
        <f>'West Lothian'!F114</f>
        <v>3443</v>
      </c>
      <c r="AS37" s="272"/>
      <c r="AT37" s="293"/>
      <c r="AU37" s="294">
        <f t="shared" si="10"/>
        <v>4.6822742474916357E-2</v>
      </c>
      <c r="AV37" s="295">
        <f t="shared" si="11"/>
        <v>154</v>
      </c>
    </row>
    <row r="38" spans="1:48">
      <c r="A38" s="288" t="s">
        <v>314</v>
      </c>
      <c r="B38" s="205" t="s">
        <v>288</v>
      </c>
      <c r="C38" s="205"/>
      <c r="D38" s="205"/>
      <c r="E38" s="205" t="s">
        <v>288</v>
      </c>
      <c r="J38" s="205" t="s">
        <v>305</v>
      </c>
      <c r="K38" s="205"/>
      <c r="L38" s="205"/>
      <c r="M38" s="205" t="s">
        <v>305</v>
      </c>
      <c r="R38" s="205" t="s">
        <v>306</v>
      </c>
      <c r="S38" s="205"/>
      <c r="T38" s="205"/>
      <c r="U38" s="205" t="s">
        <v>306</v>
      </c>
      <c r="Z38" s="205" t="s">
        <v>307</v>
      </c>
      <c r="AA38" s="205"/>
      <c r="AB38" s="205"/>
      <c r="AC38" s="205" t="s">
        <v>307</v>
      </c>
      <c r="AH38" s="205" t="s">
        <v>308</v>
      </c>
      <c r="AI38" s="205"/>
      <c r="AJ38" s="205"/>
      <c r="AK38" s="205" t="s">
        <v>308</v>
      </c>
      <c r="AP38" s="205" t="s">
        <v>309</v>
      </c>
      <c r="AQ38" s="205"/>
      <c r="AR38" s="205"/>
      <c r="AS38" s="205" t="s">
        <v>309</v>
      </c>
    </row>
    <row r="39" spans="1:48">
      <c r="A39" s="309"/>
      <c r="B39" s="297" t="s">
        <v>319</v>
      </c>
      <c r="C39" s="297"/>
      <c r="D39" s="297"/>
      <c r="E39" s="205"/>
      <c r="J39" s="205"/>
      <c r="K39" s="205"/>
      <c r="L39" s="205"/>
      <c r="M39" s="205"/>
      <c r="R39" s="205"/>
      <c r="S39" s="205"/>
      <c r="T39" s="205"/>
      <c r="U39" s="205"/>
      <c r="Z39" s="205"/>
      <c r="AA39" s="205"/>
      <c r="AB39" s="205"/>
      <c r="AC39" s="205"/>
      <c r="AH39" s="205"/>
      <c r="AI39" s="205"/>
      <c r="AJ39" s="205"/>
      <c r="AK39" s="205"/>
      <c r="AP39" s="205"/>
      <c r="AQ39" s="205"/>
      <c r="AR39" s="205"/>
      <c r="AS39" s="205"/>
    </row>
    <row r="40" spans="1:48">
      <c r="A40" s="298" t="s">
        <v>304</v>
      </c>
      <c r="G40" s="299"/>
      <c r="H40" s="299"/>
    </row>
    <row r="41" spans="1:48">
      <c r="A41" s="300"/>
      <c r="B41" s="965" t="s">
        <v>311</v>
      </c>
      <c r="C41" s="966"/>
      <c r="D41" s="966"/>
      <c r="E41" s="966"/>
      <c r="F41" s="966"/>
      <c r="G41" s="966"/>
      <c r="H41" s="967"/>
      <c r="I41" s="301"/>
      <c r="J41" s="965" t="s">
        <v>301</v>
      </c>
      <c r="K41" s="966"/>
      <c r="L41" s="966"/>
      <c r="M41" s="966"/>
      <c r="N41" s="966"/>
      <c r="O41" s="966"/>
      <c r="P41" s="967"/>
      <c r="Q41" s="301"/>
      <c r="R41" s="965" t="s">
        <v>302</v>
      </c>
      <c r="S41" s="966"/>
      <c r="T41" s="966"/>
      <c r="U41" s="966"/>
      <c r="V41" s="966"/>
      <c r="W41" s="966"/>
      <c r="X41" s="967"/>
      <c r="Y41" s="301"/>
      <c r="Z41" s="965" t="s">
        <v>303</v>
      </c>
      <c r="AA41" s="966"/>
      <c r="AB41" s="966"/>
      <c r="AC41" s="966"/>
      <c r="AD41" s="966"/>
      <c r="AE41" s="966"/>
      <c r="AF41" s="967"/>
      <c r="AG41" s="302"/>
      <c r="AH41" s="965" t="s">
        <v>120</v>
      </c>
      <c r="AI41" s="966"/>
      <c r="AJ41" s="966"/>
      <c r="AK41" s="966"/>
      <c r="AL41" s="966"/>
      <c r="AM41" s="966"/>
      <c r="AN41" s="967"/>
      <c r="AO41" s="301"/>
      <c r="AP41" s="965" t="s">
        <v>121</v>
      </c>
      <c r="AQ41" s="966"/>
      <c r="AR41" s="966"/>
      <c r="AS41" s="966"/>
      <c r="AT41" s="966"/>
      <c r="AU41" s="966"/>
      <c r="AV41" s="967"/>
    </row>
    <row r="42" spans="1:48">
      <c r="A42" s="303"/>
      <c r="B42" s="965" t="s">
        <v>273</v>
      </c>
      <c r="C42" s="966"/>
      <c r="D42" s="966"/>
      <c r="E42" s="966"/>
      <c r="F42" s="413"/>
      <c r="G42" s="966" t="s">
        <v>280</v>
      </c>
      <c r="H42" s="967"/>
      <c r="I42" s="299"/>
      <c r="J42" s="965" t="s">
        <v>273</v>
      </c>
      <c r="K42" s="966"/>
      <c r="L42" s="966"/>
      <c r="M42" s="966"/>
      <c r="N42" s="413"/>
      <c r="O42" s="966" t="s">
        <v>280</v>
      </c>
      <c r="P42" s="967"/>
      <c r="Q42" s="299"/>
      <c r="R42" s="965" t="s">
        <v>273</v>
      </c>
      <c r="S42" s="966"/>
      <c r="T42" s="966"/>
      <c r="U42" s="966"/>
      <c r="V42" s="413"/>
      <c r="W42" s="966" t="s">
        <v>280</v>
      </c>
      <c r="X42" s="967"/>
      <c r="Y42" s="299"/>
      <c r="Z42" s="965" t="s">
        <v>273</v>
      </c>
      <c r="AA42" s="966"/>
      <c r="AB42" s="966"/>
      <c r="AC42" s="966"/>
      <c r="AD42" s="413"/>
      <c r="AE42" s="966" t="s">
        <v>280</v>
      </c>
      <c r="AF42" s="967"/>
      <c r="AG42" s="16"/>
      <c r="AH42" s="965" t="s">
        <v>273</v>
      </c>
      <c r="AI42" s="966"/>
      <c r="AJ42" s="966"/>
      <c r="AK42" s="966"/>
      <c r="AL42" s="413"/>
      <c r="AM42" s="966" t="s">
        <v>280</v>
      </c>
      <c r="AN42" s="967"/>
      <c r="AO42" s="299"/>
      <c r="AP42" s="965" t="s">
        <v>273</v>
      </c>
      <c r="AQ42" s="966"/>
      <c r="AR42" s="966"/>
      <c r="AS42" s="966"/>
      <c r="AT42" s="413"/>
      <c r="AU42" s="966" t="s">
        <v>280</v>
      </c>
      <c r="AV42" s="967"/>
    </row>
    <row r="43" spans="1:48" ht="38.25">
      <c r="A43" s="300"/>
      <c r="B43" s="408" t="s">
        <v>331</v>
      </c>
      <c r="C43" s="409" t="s">
        <v>381</v>
      </c>
      <c r="D43" s="409" t="s">
        <v>412</v>
      </c>
      <c r="E43" s="301"/>
      <c r="F43" s="369"/>
      <c r="G43" s="370" t="s">
        <v>416</v>
      </c>
      <c r="H43" s="371" t="s">
        <v>416</v>
      </c>
      <c r="I43" s="299"/>
      <c r="J43" s="408" t="s">
        <v>331</v>
      </c>
      <c r="K43" s="409" t="s">
        <v>381</v>
      </c>
      <c r="L43" s="409" t="s">
        <v>412</v>
      </c>
      <c r="M43" s="301"/>
      <c r="N43" s="369"/>
      <c r="O43" s="370" t="s">
        <v>416</v>
      </c>
      <c r="P43" s="371" t="s">
        <v>416</v>
      </c>
      <c r="Q43" s="299"/>
      <c r="R43" s="408" t="s">
        <v>331</v>
      </c>
      <c r="S43" s="409" t="s">
        <v>381</v>
      </c>
      <c r="T43" s="409" t="s">
        <v>412</v>
      </c>
      <c r="U43" s="301"/>
      <c r="V43" s="369"/>
      <c r="W43" s="370" t="s">
        <v>416</v>
      </c>
      <c r="X43" s="371" t="s">
        <v>416</v>
      </c>
      <c r="Y43" s="299"/>
      <c r="Z43" s="408" t="s">
        <v>331</v>
      </c>
      <c r="AA43" s="409" t="s">
        <v>381</v>
      </c>
      <c r="AB43" s="409" t="s">
        <v>412</v>
      </c>
      <c r="AC43" s="301"/>
      <c r="AD43" s="369"/>
      <c r="AE43" s="370" t="s">
        <v>416</v>
      </c>
      <c r="AF43" s="371" t="s">
        <v>416</v>
      </c>
      <c r="AG43" s="16"/>
      <c r="AH43" s="408" t="s">
        <v>331</v>
      </c>
      <c r="AI43" s="409" t="s">
        <v>381</v>
      </c>
      <c r="AJ43" s="409" t="s">
        <v>412</v>
      </c>
      <c r="AK43" s="301"/>
      <c r="AL43" s="369"/>
      <c r="AM43" s="370" t="s">
        <v>416</v>
      </c>
      <c r="AN43" s="371" t="s">
        <v>416</v>
      </c>
      <c r="AO43" s="299"/>
      <c r="AP43" s="408" t="s">
        <v>331</v>
      </c>
      <c r="AQ43" s="409" t="s">
        <v>381</v>
      </c>
      <c r="AR43" s="409" t="s">
        <v>412</v>
      </c>
      <c r="AS43" s="301"/>
      <c r="AT43" s="369"/>
      <c r="AU43" s="370" t="s">
        <v>416</v>
      </c>
      <c r="AV43" s="371" t="s">
        <v>416</v>
      </c>
    </row>
    <row r="44" spans="1:48">
      <c r="A44" s="372" t="s">
        <v>251</v>
      </c>
      <c r="B44" s="332">
        <v>882252.1513925225</v>
      </c>
      <c r="C44" s="333">
        <v>909475.55400627607</v>
      </c>
      <c r="D44" s="333">
        <f>Scotland!H98</f>
        <v>916522.57000000007</v>
      </c>
      <c r="E44" s="301"/>
      <c r="F44" s="333"/>
      <c r="G44" s="367">
        <f>D44/C44-1</f>
        <v>7.7484391556008614E-3</v>
      </c>
      <c r="H44" s="368">
        <f>D44-C44</f>
        <v>7047.0159937239951</v>
      </c>
      <c r="I44" s="301"/>
      <c r="J44" s="332">
        <v>219721.26568535081</v>
      </c>
      <c r="K44" s="333">
        <v>231738.25227542353</v>
      </c>
      <c r="L44" s="333">
        <f>Scotland!H110</f>
        <v>238258.12</v>
      </c>
      <c r="M44" s="301"/>
      <c r="N44" s="333"/>
      <c r="O44" s="367">
        <f>L44/K44-1</f>
        <v>2.8134620247448616E-2</v>
      </c>
      <c r="P44" s="368">
        <f>L44-K44</f>
        <v>6519.8677245764702</v>
      </c>
      <c r="Q44" s="301"/>
      <c r="R44" s="332">
        <v>238529.93219273209</v>
      </c>
      <c r="S44" s="333">
        <v>244161.34715646561</v>
      </c>
      <c r="T44" s="333">
        <f>Scotland!H111</f>
        <v>248622.72</v>
      </c>
      <c r="U44" s="301"/>
      <c r="V44" s="333"/>
      <c r="W44" s="367">
        <f>T44/S44-1</f>
        <v>1.8272232257448229E-2</v>
      </c>
      <c r="X44" s="368">
        <f>T44-S44</f>
        <v>4461.3728435343946</v>
      </c>
      <c r="Y44" s="301"/>
      <c r="Z44" s="332">
        <v>255632.58864041179</v>
      </c>
      <c r="AA44" s="333">
        <v>272084.76217446069</v>
      </c>
      <c r="AB44" s="333">
        <f>Scotland!H112</f>
        <v>267023.93</v>
      </c>
      <c r="AC44" s="301"/>
      <c r="AD44" s="333"/>
      <c r="AE44" s="367">
        <f>AB44/AA44-1</f>
        <v>-1.8600204340791793E-2</v>
      </c>
      <c r="AF44" s="368">
        <f>AB44-AA44</f>
        <v>-5060.8321744606947</v>
      </c>
      <c r="AG44" s="302"/>
      <c r="AH44" s="332">
        <v>41864</v>
      </c>
      <c r="AI44" s="333">
        <v>39316.851533870926</v>
      </c>
      <c r="AJ44" s="333">
        <f>Scotland!H113</f>
        <v>37726</v>
      </c>
      <c r="AK44" s="301"/>
      <c r="AL44" s="333"/>
      <c r="AM44" s="367">
        <f>AJ44/AI44-1</f>
        <v>-4.0462332862549522E-2</v>
      </c>
      <c r="AN44" s="368">
        <f>AJ44-AI44</f>
        <v>-1590.8515338709258</v>
      </c>
      <c r="AO44" s="301"/>
      <c r="AP44" s="332">
        <v>126504.36487402784</v>
      </c>
      <c r="AQ44" s="333">
        <v>122174.3408660553</v>
      </c>
      <c r="AR44" s="333">
        <f>Scotland!H114</f>
        <v>124891.8</v>
      </c>
      <c r="AS44" s="301"/>
      <c r="AT44" s="333"/>
      <c r="AU44" s="367">
        <f>AR44/AQ44-1</f>
        <v>2.2242470183849505E-2</v>
      </c>
      <c r="AV44" s="368">
        <f>AR44-AQ44</f>
        <v>2717.459133944707</v>
      </c>
    </row>
    <row r="45" spans="1:48">
      <c r="A45" s="288" t="s">
        <v>3</v>
      </c>
      <c r="B45" s="291">
        <v>42919</v>
      </c>
      <c r="C45" s="289">
        <v>43266</v>
      </c>
      <c r="D45" s="289">
        <f>'Aberdeen City'!H98</f>
        <v>45739</v>
      </c>
      <c r="E45" s="299"/>
      <c r="F45" s="289"/>
      <c r="G45" s="267">
        <f t="shared" ref="G45:G76" si="12">D45/C45-1</f>
        <v>5.7158045578514338E-2</v>
      </c>
      <c r="H45" s="269">
        <f t="shared" ref="H45:H76" si="13">D45-C45</f>
        <v>2473</v>
      </c>
      <c r="I45" s="299"/>
      <c r="J45" s="291">
        <v>11822</v>
      </c>
      <c r="K45" s="289">
        <v>15486</v>
      </c>
      <c r="L45" s="289">
        <f>'Aberdeen City'!H110</f>
        <v>15233</v>
      </c>
      <c r="M45" s="299"/>
      <c r="N45" s="289"/>
      <c r="O45" s="267">
        <f t="shared" ref="O45:O76" si="14">L45/K45-1</f>
        <v>-1.633733694950279E-2</v>
      </c>
      <c r="P45" s="269">
        <f t="shared" ref="P45:P76" si="15">L45-K45</f>
        <v>-253</v>
      </c>
      <c r="Q45" s="299"/>
      <c r="R45" s="291">
        <v>12915</v>
      </c>
      <c r="S45" s="289">
        <v>11803</v>
      </c>
      <c r="T45" s="289">
        <f>'Aberdeen City'!H111</f>
        <v>14391</v>
      </c>
      <c r="U45" s="299"/>
      <c r="V45" s="289"/>
      <c r="W45" s="267">
        <f t="shared" ref="W45:W76" si="16">T45/S45-1</f>
        <v>0.2192662882318055</v>
      </c>
      <c r="X45" s="269">
        <f t="shared" ref="X45:X76" si="17">T45-S45</f>
        <v>2588</v>
      </c>
      <c r="Y45" s="299"/>
      <c r="Z45" s="291">
        <v>12717</v>
      </c>
      <c r="AA45" s="289">
        <v>12686</v>
      </c>
      <c r="AB45" s="289">
        <f>'Aberdeen City'!H112</f>
        <v>10513</v>
      </c>
      <c r="AC45" s="299"/>
      <c r="AD45" s="289"/>
      <c r="AE45" s="267">
        <f t="shared" ref="AE45:AE76" si="18">AB45/AA45-1</f>
        <v>-0.1712911871354249</v>
      </c>
      <c r="AF45" s="269">
        <f t="shared" ref="AF45:AF76" si="19">AB45-AA45</f>
        <v>-2173</v>
      </c>
      <c r="AG45" s="16"/>
      <c r="AH45" s="291">
        <v>1855</v>
      </c>
      <c r="AI45" s="289">
        <v>381</v>
      </c>
      <c r="AJ45" s="289">
        <f>'Aberdeen City'!H113</f>
        <v>442</v>
      </c>
      <c r="AK45" s="299"/>
      <c r="AL45" s="289"/>
      <c r="AM45" s="267">
        <f t="shared" ref="AM45:AM76" si="20">AJ45/AI45-1</f>
        <v>0.16010498687664043</v>
      </c>
      <c r="AN45" s="269">
        <f t="shared" ref="AN45:AN76" si="21">AJ45-AI45</f>
        <v>61</v>
      </c>
      <c r="AO45" s="299"/>
      <c r="AP45" s="291">
        <v>3610</v>
      </c>
      <c r="AQ45" s="289">
        <v>2910</v>
      </c>
      <c r="AR45" s="289">
        <f>'Aberdeen City'!H114</f>
        <v>5160</v>
      </c>
      <c r="AS45" s="299"/>
      <c r="AT45" s="289"/>
      <c r="AU45" s="267">
        <f t="shared" ref="AU45:AU76" si="22">AR45/AQ45-1</f>
        <v>0.77319587628865971</v>
      </c>
      <c r="AV45" s="269">
        <f t="shared" ref="AV45:AV76" si="23">AR45-AQ45</f>
        <v>2250</v>
      </c>
    </row>
    <row r="46" spans="1:48">
      <c r="A46" s="288" t="s">
        <v>4</v>
      </c>
      <c r="B46" s="291">
        <v>27050</v>
      </c>
      <c r="C46" s="289">
        <v>28762</v>
      </c>
      <c r="D46" s="289">
        <f>Aberdeenshire!H98</f>
        <v>30175</v>
      </c>
      <c r="E46" s="299"/>
      <c r="F46" s="289"/>
      <c r="G46" s="267">
        <f t="shared" si="12"/>
        <v>4.9127320770461003E-2</v>
      </c>
      <c r="H46" s="269">
        <f t="shared" si="13"/>
        <v>1413</v>
      </c>
      <c r="I46" s="299"/>
      <c r="J46" s="291">
        <v>7415</v>
      </c>
      <c r="K46" s="289">
        <v>7617.9480790695998</v>
      </c>
      <c r="L46" s="289">
        <f>Aberdeenshire!H110</f>
        <v>7749</v>
      </c>
      <c r="M46" s="299"/>
      <c r="N46" s="289"/>
      <c r="O46" s="267">
        <f t="shared" si="14"/>
        <v>1.7203047273381511E-2</v>
      </c>
      <c r="P46" s="269">
        <f t="shared" si="15"/>
        <v>131.05192093040023</v>
      </c>
      <c r="Q46" s="299"/>
      <c r="R46" s="291">
        <v>7980</v>
      </c>
      <c r="S46" s="289">
        <v>8327.3410146545211</v>
      </c>
      <c r="T46" s="289">
        <f>Aberdeenshire!H111</f>
        <v>8270</v>
      </c>
      <c r="U46" s="299"/>
      <c r="V46" s="289"/>
      <c r="W46" s="267">
        <f t="shared" si="16"/>
        <v>-6.8858732401629874E-3</v>
      </c>
      <c r="X46" s="269">
        <f t="shared" si="17"/>
        <v>-57.341014654521132</v>
      </c>
      <c r="Y46" s="299"/>
      <c r="Z46" s="291">
        <v>6684</v>
      </c>
      <c r="AA46" s="289">
        <v>7205.775249342887</v>
      </c>
      <c r="AB46" s="289">
        <f>Aberdeenshire!H112</f>
        <v>8467</v>
      </c>
      <c r="AC46" s="299"/>
      <c r="AD46" s="289"/>
      <c r="AE46" s="267">
        <f t="shared" si="18"/>
        <v>0.17502970978343058</v>
      </c>
      <c r="AF46" s="269">
        <f t="shared" si="19"/>
        <v>1261.224750657113</v>
      </c>
      <c r="AG46" s="16"/>
      <c r="AH46" s="291">
        <v>2289</v>
      </c>
      <c r="AI46" s="289">
        <v>2236.9178698736182</v>
      </c>
      <c r="AJ46" s="289">
        <f>Aberdeenshire!H113</f>
        <v>2016</v>
      </c>
      <c r="AK46" s="299"/>
      <c r="AL46" s="289"/>
      <c r="AM46" s="267">
        <f t="shared" si="20"/>
        <v>-9.8759937881000348E-2</v>
      </c>
      <c r="AN46" s="269">
        <f t="shared" si="21"/>
        <v>-220.9178698736182</v>
      </c>
      <c r="AO46" s="299"/>
      <c r="AP46" s="291">
        <v>2682</v>
      </c>
      <c r="AQ46" s="289">
        <v>3374.0177870593743</v>
      </c>
      <c r="AR46" s="289">
        <f>Aberdeenshire!H114</f>
        <v>3673</v>
      </c>
      <c r="AS46" s="299"/>
      <c r="AT46" s="289"/>
      <c r="AU46" s="267">
        <f t="shared" si="22"/>
        <v>8.8613111077047391E-2</v>
      </c>
      <c r="AV46" s="269">
        <f t="shared" si="23"/>
        <v>298.98221294062569</v>
      </c>
    </row>
    <row r="47" spans="1:48">
      <c r="A47" s="288" t="s">
        <v>5</v>
      </c>
      <c r="B47" s="291">
        <v>16445</v>
      </c>
      <c r="C47" s="289">
        <v>19026</v>
      </c>
      <c r="D47" s="289">
        <f>Angus!H98</f>
        <v>19444</v>
      </c>
      <c r="E47" s="299"/>
      <c r="F47" s="289"/>
      <c r="G47" s="267">
        <f t="shared" si="12"/>
        <v>2.1969935877220736E-2</v>
      </c>
      <c r="H47" s="269">
        <f t="shared" si="13"/>
        <v>418</v>
      </c>
      <c r="I47" s="299"/>
      <c r="J47" s="291">
        <v>4550</v>
      </c>
      <c r="K47" s="289">
        <v>6472</v>
      </c>
      <c r="L47" s="289">
        <f>Angus!H110</f>
        <v>6822</v>
      </c>
      <c r="M47" s="299"/>
      <c r="N47" s="289"/>
      <c r="O47" s="267">
        <f t="shared" si="14"/>
        <v>5.4079110012360987E-2</v>
      </c>
      <c r="P47" s="269">
        <f t="shared" si="15"/>
        <v>350</v>
      </c>
      <c r="Q47" s="299"/>
      <c r="R47" s="291">
        <v>6820</v>
      </c>
      <c r="S47" s="289">
        <v>4478</v>
      </c>
      <c r="T47" s="289">
        <f>Angus!H111</f>
        <v>4958</v>
      </c>
      <c r="U47" s="299"/>
      <c r="V47" s="289"/>
      <c r="W47" s="267">
        <f t="shared" si="16"/>
        <v>0.1071907101384546</v>
      </c>
      <c r="X47" s="269">
        <f t="shared" si="17"/>
        <v>480</v>
      </c>
      <c r="Y47" s="299"/>
      <c r="Z47" s="291">
        <v>4010</v>
      </c>
      <c r="AA47" s="289">
        <v>6183</v>
      </c>
      <c r="AB47" s="289">
        <f>Angus!H112</f>
        <v>5939</v>
      </c>
      <c r="AC47" s="299"/>
      <c r="AD47" s="289"/>
      <c r="AE47" s="267">
        <f t="shared" si="18"/>
        <v>-3.9463043829856104E-2</v>
      </c>
      <c r="AF47" s="269">
        <f t="shared" si="19"/>
        <v>-244</v>
      </c>
      <c r="AG47" s="16"/>
      <c r="AH47" s="291">
        <v>540</v>
      </c>
      <c r="AI47" s="289">
        <v>157</v>
      </c>
      <c r="AJ47" s="289">
        <f>Angus!H113</f>
        <v>216</v>
      </c>
      <c r="AK47" s="299"/>
      <c r="AL47" s="289"/>
      <c r="AM47" s="267">
        <f t="shared" si="20"/>
        <v>0.37579617834394896</v>
      </c>
      <c r="AN47" s="269">
        <f t="shared" si="21"/>
        <v>59</v>
      </c>
      <c r="AO47" s="299"/>
      <c r="AP47" s="291">
        <v>525</v>
      </c>
      <c r="AQ47" s="289">
        <v>1736</v>
      </c>
      <c r="AR47" s="289">
        <f>Angus!H114</f>
        <v>1509</v>
      </c>
      <c r="AS47" s="299"/>
      <c r="AT47" s="289"/>
      <c r="AU47" s="267">
        <f t="shared" si="22"/>
        <v>-0.13076036866359442</v>
      </c>
      <c r="AV47" s="269">
        <f t="shared" si="23"/>
        <v>-227</v>
      </c>
    </row>
    <row r="48" spans="1:48">
      <c r="A48" s="288" t="s">
        <v>6</v>
      </c>
      <c r="B48" s="291">
        <v>11171</v>
      </c>
      <c r="C48" s="289">
        <v>12207</v>
      </c>
      <c r="D48" s="289">
        <f>'Argyll &amp; Bute'!H98</f>
        <v>12007</v>
      </c>
      <c r="E48" s="299"/>
      <c r="F48" s="289"/>
      <c r="G48" s="267">
        <f t="shared" si="12"/>
        <v>-1.6384041943147354E-2</v>
      </c>
      <c r="H48" s="269">
        <f t="shared" si="13"/>
        <v>-200</v>
      </c>
      <c r="I48" s="299"/>
      <c r="J48" s="291">
        <v>3891</v>
      </c>
      <c r="K48" s="289">
        <v>4276</v>
      </c>
      <c r="L48" s="289">
        <f>'Argyll &amp; Bute'!H110</f>
        <v>4338</v>
      </c>
      <c r="M48" s="299"/>
      <c r="N48" s="289"/>
      <c r="O48" s="267">
        <f t="shared" si="14"/>
        <v>1.4499532273152482E-2</v>
      </c>
      <c r="P48" s="269">
        <f t="shared" si="15"/>
        <v>62</v>
      </c>
      <c r="Q48" s="299"/>
      <c r="R48" s="291">
        <v>2291</v>
      </c>
      <c r="S48" s="289">
        <v>2497</v>
      </c>
      <c r="T48" s="289">
        <f>'Argyll &amp; Bute'!H111</f>
        <v>2247</v>
      </c>
      <c r="U48" s="299"/>
      <c r="V48" s="289"/>
      <c r="W48" s="267">
        <f t="shared" si="16"/>
        <v>-0.10012014417300763</v>
      </c>
      <c r="X48" s="269">
        <f t="shared" si="17"/>
        <v>-250</v>
      </c>
      <c r="Y48" s="299"/>
      <c r="Z48" s="291">
        <v>2711</v>
      </c>
      <c r="AA48" s="289">
        <v>3190</v>
      </c>
      <c r="AB48" s="289">
        <f>'Argyll &amp; Bute'!H112</f>
        <v>3040</v>
      </c>
      <c r="AC48" s="299"/>
      <c r="AD48" s="289"/>
      <c r="AE48" s="267">
        <f t="shared" si="18"/>
        <v>-4.7021943573667735E-2</v>
      </c>
      <c r="AF48" s="269">
        <f t="shared" si="19"/>
        <v>-150</v>
      </c>
      <c r="AG48" s="16"/>
      <c r="AH48" s="291">
        <v>553</v>
      </c>
      <c r="AI48" s="289">
        <v>534</v>
      </c>
      <c r="AJ48" s="289">
        <f>'Argyll &amp; Bute'!H113</f>
        <v>451</v>
      </c>
      <c r="AK48" s="299"/>
      <c r="AL48" s="289"/>
      <c r="AM48" s="267">
        <f t="shared" si="20"/>
        <v>-0.15543071161048694</v>
      </c>
      <c r="AN48" s="269">
        <f t="shared" si="21"/>
        <v>-83</v>
      </c>
      <c r="AO48" s="299"/>
      <c r="AP48" s="291">
        <v>1725</v>
      </c>
      <c r="AQ48" s="289">
        <v>1710</v>
      </c>
      <c r="AR48" s="289">
        <f>'Argyll &amp; Bute'!H114</f>
        <v>1931</v>
      </c>
      <c r="AS48" s="299"/>
      <c r="AT48" s="289"/>
      <c r="AU48" s="267">
        <f t="shared" si="22"/>
        <v>0.12923976608187138</v>
      </c>
      <c r="AV48" s="269">
        <f t="shared" si="23"/>
        <v>221</v>
      </c>
    </row>
    <row r="49" spans="1:48">
      <c r="A49" s="288" t="s">
        <v>8</v>
      </c>
      <c r="B49" s="291">
        <v>12594</v>
      </c>
      <c r="C49" s="289">
        <v>11718.431156276001</v>
      </c>
      <c r="D49" s="289">
        <f>Clackmannanshire!H98</f>
        <v>11810</v>
      </c>
      <c r="E49" s="299"/>
      <c r="F49" s="289"/>
      <c r="G49" s="267">
        <f t="shared" si="12"/>
        <v>7.8140872701168984E-3</v>
      </c>
      <c r="H49" s="269">
        <f t="shared" si="13"/>
        <v>91.568843723998725</v>
      </c>
      <c r="I49" s="299"/>
      <c r="J49" s="291">
        <v>2382</v>
      </c>
      <c r="K49" s="289">
        <v>2216.035196353936</v>
      </c>
      <c r="L49" s="289">
        <f>Clackmannanshire!H110</f>
        <v>1972</v>
      </c>
      <c r="M49" s="299"/>
      <c r="N49" s="289"/>
      <c r="O49" s="267">
        <f t="shared" si="14"/>
        <v>-0.11012243702421765</v>
      </c>
      <c r="P49" s="269">
        <f t="shared" si="15"/>
        <v>-244.03519635393604</v>
      </c>
      <c r="Q49" s="299"/>
      <c r="R49" s="291">
        <v>4475</v>
      </c>
      <c r="S49" s="289">
        <v>4263.5961418110646</v>
      </c>
      <c r="T49" s="289">
        <f>Clackmannanshire!H111</f>
        <v>4659</v>
      </c>
      <c r="U49" s="299"/>
      <c r="V49" s="289"/>
      <c r="W49" s="267">
        <f t="shared" si="16"/>
        <v>9.2739519653701974E-2</v>
      </c>
      <c r="X49" s="269">
        <f t="shared" si="17"/>
        <v>395.40385818893537</v>
      </c>
      <c r="Y49" s="299"/>
      <c r="Z49" s="291">
        <v>3105</v>
      </c>
      <c r="AA49" s="289">
        <v>3199.7129251177726</v>
      </c>
      <c r="AB49" s="289">
        <f>Clackmannanshire!H112</f>
        <v>1837</v>
      </c>
      <c r="AC49" s="299"/>
      <c r="AD49" s="289"/>
      <c r="AE49" s="267">
        <f t="shared" si="18"/>
        <v>-0.4258859957155734</v>
      </c>
      <c r="AF49" s="269">
        <f t="shared" si="19"/>
        <v>-1362.7129251177726</v>
      </c>
      <c r="AG49" s="16"/>
      <c r="AH49" s="291">
        <v>813</v>
      </c>
      <c r="AI49" s="289">
        <v>305.93366399730843</v>
      </c>
      <c r="AJ49" s="289">
        <f>Clackmannanshire!H113</f>
        <v>877</v>
      </c>
      <c r="AK49" s="299"/>
      <c r="AL49" s="289"/>
      <c r="AM49" s="267">
        <f t="shared" si="20"/>
        <v>1.8666345133163107</v>
      </c>
      <c r="AN49" s="269">
        <f t="shared" si="21"/>
        <v>571.06633600269151</v>
      </c>
      <c r="AO49" s="299"/>
      <c r="AP49" s="291">
        <v>1819</v>
      </c>
      <c r="AQ49" s="289">
        <v>1733.1532289959205</v>
      </c>
      <c r="AR49" s="289">
        <f>Clackmannanshire!H114</f>
        <v>2465</v>
      </c>
      <c r="AS49" s="299"/>
      <c r="AT49" s="289"/>
      <c r="AU49" s="267">
        <f t="shared" si="22"/>
        <v>0.42226316678766218</v>
      </c>
      <c r="AV49" s="269">
        <f t="shared" si="23"/>
        <v>731.84677100407953</v>
      </c>
    </row>
    <row r="50" spans="1:48">
      <c r="A50" s="288" t="s">
        <v>9</v>
      </c>
      <c r="B50" s="291">
        <v>19971</v>
      </c>
      <c r="C50" s="289">
        <v>17713</v>
      </c>
      <c r="D50" s="289">
        <f>'Dumfries &amp; Galloway'!H98</f>
        <v>19348</v>
      </c>
      <c r="E50" s="299"/>
      <c r="F50" s="289"/>
      <c r="G50" s="267">
        <f t="shared" si="12"/>
        <v>9.2305086659515645E-2</v>
      </c>
      <c r="H50" s="269">
        <f t="shared" si="13"/>
        <v>1635</v>
      </c>
      <c r="I50" s="299"/>
      <c r="J50" s="291">
        <v>6849</v>
      </c>
      <c r="K50" s="289">
        <v>6549</v>
      </c>
      <c r="L50" s="289">
        <f>'Dumfries &amp; Galloway'!H110</f>
        <v>6525</v>
      </c>
      <c r="M50" s="299"/>
      <c r="N50" s="289"/>
      <c r="O50" s="267">
        <f t="shared" si="14"/>
        <v>-3.6646816307833729E-3</v>
      </c>
      <c r="P50" s="269">
        <f t="shared" si="15"/>
        <v>-24</v>
      </c>
      <c r="Q50" s="299"/>
      <c r="R50" s="291">
        <v>4536</v>
      </c>
      <c r="S50" s="289">
        <v>4268</v>
      </c>
      <c r="T50" s="289">
        <f>'Dumfries &amp; Galloway'!H111</f>
        <v>5083</v>
      </c>
      <c r="U50" s="299"/>
      <c r="V50" s="289"/>
      <c r="W50" s="267">
        <f t="shared" si="16"/>
        <v>0.19095595126522968</v>
      </c>
      <c r="X50" s="269">
        <f t="shared" si="17"/>
        <v>815</v>
      </c>
      <c r="Y50" s="299"/>
      <c r="Z50" s="291">
        <v>4469</v>
      </c>
      <c r="AA50" s="289">
        <v>3887</v>
      </c>
      <c r="AB50" s="289">
        <f>'Dumfries &amp; Galloway'!H112</f>
        <v>4762</v>
      </c>
      <c r="AC50" s="299"/>
      <c r="AD50" s="289"/>
      <c r="AE50" s="267">
        <f t="shared" si="18"/>
        <v>0.22510933882171336</v>
      </c>
      <c r="AF50" s="269">
        <f t="shared" si="19"/>
        <v>875</v>
      </c>
      <c r="AG50" s="16"/>
      <c r="AH50" s="291">
        <v>242</v>
      </c>
      <c r="AI50" s="289">
        <v>229</v>
      </c>
      <c r="AJ50" s="289">
        <f>'Dumfries &amp; Galloway'!H113</f>
        <v>262</v>
      </c>
      <c r="AK50" s="299"/>
      <c r="AL50" s="289"/>
      <c r="AM50" s="267">
        <f t="shared" si="20"/>
        <v>0.14410480349344978</v>
      </c>
      <c r="AN50" s="269">
        <f t="shared" si="21"/>
        <v>33</v>
      </c>
      <c r="AO50" s="299"/>
      <c r="AP50" s="291">
        <v>3875</v>
      </c>
      <c r="AQ50" s="289">
        <v>2780</v>
      </c>
      <c r="AR50" s="289">
        <f>'Dumfries &amp; Galloway'!H114</f>
        <v>2716</v>
      </c>
      <c r="AS50" s="299"/>
      <c r="AT50" s="289"/>
      <c r="AU50" s="267">
        <f t="shared" si="22"/>
        <v>-2.302158273381294E-2</v>
      </c>
      <c r="AV50" s="269">
        <f t="shared" si="23"/>
        <v>-64</v>
      </c>
    </row>
    <row r="51" spans="1:48">
      <c r="A51" s="288" t="s">
        <v>11</v>
      </c>
      <c r="B51" s="291">
        <v>32216</v>
      </c>
      <c r="C51" s="289">
        <v>35880</v>
      </c>
      <c r="D51" s="289">
        <f>'Dundee City'!H98</f>
        <v>33774</v>
      </c>
      <c r="E51" s="299"/>
      <c r="F51" s="289"/>
      <c r="G51" s="267">
        <f t="shared" si="12"/>
        <v>-5.8695652173913038E-2</v>
      </c>
      <c r="H51" s="269">
        <f t="shared" si="13"/>
        <v>-2106</v>
      </c>
      <c r="I51" s="299"/>
      <c r="J51" s="291">
        <v>5669</v>
      </c>
      <c r="K51" s="289">
        <v>6423</v>
      </c>
      <c r="L51" s="289">
        <f>'Dundee City'!H110</f>
        <v>5691</v>
      </c>
      <c r="M51" s="299"/>
      <c r="N51" s="289"/>
      <c r="O51" s="267">
        <f t="shared" si="14"/>
        <v>-0.11396543671181691</v>
      </c>
      <c r="P51" s="269">
        <f t="shared" si="15"/>
        <v>-732</v>
      </c>
      <c r="Q51" s="299"/>
      <c r="R51" s="291">
        <v>10697</v>
      </c>
      <c r="S51" s="289">
        <v>10899</v>
      </c>
      <c r="T51" s="289">
        <f>'Dundee City'!H111</f>
        <v>11164</v>
      </c>
      <c r="U51" s="299"/>
      <c r="V51" s="289"/>
      <c r="W51" s="267">
        <f t="shared" si="16"/>
        <v>2.4314157262134151E-2</v>
      </c>
      <c r="X51" s="269">
        <f t="shared" si="17"/>
        <v>265</v>
      </c>
      <c r="Y51" s="299"/>
      <c r="Z51" s="291">
        <v>11234</v>
      </c>
      <c r="AA51" s="289">
        <v>14394</v>
      </c>
      <c r="AB51" s="289">
        <f>'Dundee City'!H112</f>
        <v>12973</v>
      </c>
      <c r="AC51" s="299"/>
      <c r="AD51" s="289"/>
      <c r="AE51" s="267">
        <f t="shared" si="18"/>
        <v>-9.8721689592885964E-2</v>
      </c>
      <c r="AF51" s="269">
        <f t="shared" si="19"/>
        <v>-1421</v>
      </c>
      <c r="AG51" s="16"/>
      <c r="AH51" s="291">
        <v>2905</v>
      </c>
      <c r="AI51" s="289">
        <v>2742</v>
      </c>
      <c r="AJ51" s="289">
        <f>'Dundee City'!H113</f>
        <v>2591</v>
      </c>
      <c r="AK51" s="299"/>
      <c r="AL51" s="289"/>
      <c r="AM51" s="267">
        <f t="shared" si="20"/>
        <v>-5.5069292487235577E-2</v>
      </c>
      <c r="AN51" s="269">
        <f t="shared" si="21"/>
        <v>-151</v>
      </c>
      <c r="AO51" s="299"/>
      <c r="AP51" s="291">
        <v>1711</v>
      </c>
      <c r="AQ51" s="289">
        <v>1422</v>
      </c>
      <c r="AR51" s="289">
        <f>'Dundee City'!H114</f>
        <v>1355</v>
      </c>
      <c r="AS51" s="299"/>
      <c r="AT51" s="289"/>
      <c r="AU51" s="267">
        <f t="shared" si="22"/>
        <v>-4.7116736990154728E-2</v>
      </c>
      <c r="AV51" s="269">
        <f t="shared" si="23"/>
        <v>-67</v>
      </c>
    </row>
    <row r="52" spans="1:48">
      <c r="A52" s="288" t="s">
        <v>13</v>
      </c>
      <c r="B52" s="291">
        <v>24615</v>
      </c>
      <c r="C52" s="289">
        <v>24972</v>
      </c>
      <c r="D52" s="289">
        <f>'East Ayrshire'!H98</f>
        <v>25990</v>
      </c>
      <c r="E52" s="299"/>
      <c r="F52" s="289"/>
      <c r="G52" s="306">
        <f t="shared" si="12"/>
        <v>4.0765657536440791E-2</v>
      </c>
      <c r="H52" s="307">
        <f t="shared" si="13"/>
        <v>1018</v>
      </c>
      <c r="I52" s="299"/>
      <c r="J52" s="291">
        <v>5432</v>
      </c>
      <c r="K52" s="289">
        <v>5497</v>
      </c>
      <c r="L52" s="289">
        <f>'East Ayrshire'!H110</f>
        <v>5693</v>
      </c>
      <c r="M52" s="299"/>
      <c r="N52" s="289"/>
      <c r="O52" s="306">
        <f t="shared" si="14"/>
        <v>3.5655812261233377E-2</v>
      </c>
      <c r="P52" s="307">
        <f t="shared" si="15"/>
        <v>196</v>
      </c>
      <c r="Q52" s="299"/>
      <c r="R52" s="291">
        <v>7721</v>
      </c>
      <c r="S52" s="289">
        <v>7812</v>
      </c>
      <c r="T52" s="289">
        <f>'East Ayrshire'!H111</f>
        <v>8091</v>
      </c>
      <c r="U52" s="299"/>
      <c r="V52" s="289"/>
      <c r="W52" s="306">
        <f t="shared" si="16"/>
        <v>3.5714285714285809E-2</v>
      </c>
      <c r="X52" s="307">
        <f t="shared" si="17"/>
        <v>279</v>
      </c>
      <c r="Y52" s="299"/>
      <c r="Z52" s="291">
        <v>6882</v>
      </c>
      <c r="AA52" s="289">
        <v>6960</v>
      </c>
      <c r="AB52" s="289">
        <f>'East Ayrshire'!H112</f>
        <v>7356</v>
      </c>
      <c r="AC52" s="299"/>
      <c r="AD52" s="289"/>
      <c r="AE52" s="306">
        <f t="shared" si="18"/>
        <v>5.6896551724137989E-2</v>
      </c>
      <c r="AF52" s="307">
        <f t="shared" si="19"/>
        <v>396</v>
      </c>
      <c r="AG52" s="16"/>
      <c r="AH52" s="291">
        <v>1014</v>
      </c>
      <c r="AI52" s="289">
        <v>1112</v>
      </c>
      <c r="AJ52" s="289">
        <f>'East Ayrshire'!H113</f>
        <v>1311</v>
      </c>
      <c r="AK52" s="299"/>
      <c r="AL52" s="289"/>
      <c r="AM52" s="306">
        <f t="shared" si="20"/>
        <v>0.17895683453237421</v>
      </c>
      <c r="AN52" s="307">
        <f t="shared" si="21"/>
        <v>199</v>
      </c>
      <c r="AO52" s="299"/>
      <c r="AP52" s="291">
        <v>3566</v>
      </c>
      <c r="AQ52" s="289">
        <v>3591</v>
      </c>
      <c r="AR52" s="289">
        <f>'East Ayrshire'!H114</f>
        <v>3539</v>
      </c>
      <c r="AS52" s="299"/>
      <c r="AT52" s="289"/>
      <c r="AU52" s="306">
        <f t="shared" si="22"/>
        <v>-1.4480646059593427E-2</v>
      </c>
      <c r="AV52" s="307">
        <f t="shared" si="23"/>
        <v>-52</v>
      </c>
    </row>
    <row r="53" spans="1:48">
      <c r="A53" s="288" t="s">
        <v>16</v>
      </c>
      <c r="B53" s="291">
        <v>12691</v>
      </c>
      <c r="C53" s="289">
        <v>13814</v>
      </c>
      <c r="D53" s="289">
        <f>'East Dunbartonshire'!H98</f>
        <v>13443</v>
      </c>
      <c r="E53" s="299"/>
      <c r="F53" s="289"/>
      <c r="G53" s="267">
        <f t="shared" si="12"/>
        <v>-2.6856811929926172E-2</v>
      </c>
      <c r="H53" s="269">
        <f t="shared" si="13"/>
        <v>-371</v>
      </c>
      <c r="I53" s="299"/>
      <c r="J53" s="291">
        <v>2852</v>
      </c>
      <c r="K53" s="289">
        <v>2866</v>
      </c>
      <c r="L53" s="289">
        <f>'East Dunbartonshire'!H110</f>
        <v>1992</v>
      </c>
      <c r="M53" s="299"/>
      <c r="N53" s="289"/>
      <c r="O53" s="267">
        <f t="shared" si="14"/>
        <v>-0.30495464061409627</v>
      </c>
      <c r="P53" s="269">
        <f t="shared" si="15"/>
        <v>-874</v>
      </c>
      <c r="Q53" s="299"/>
      <c r="R53" s="291">
        <v>2243</v>
      </c>
      <c r="S53" s="289">
        <v>2984</v>
      </c>
      <c r="T53" s="289">
        <f>'East Dunbartonshire'!H111</f>
        <v>2249</v>
      </c>
      <c r="U53" s="299"/>
      <c r="V53" s="289"/>
      <c r="W53" s="267">
        <f t="shared" si="16"/>
        <v>-0.24631367292225204</v>
      </c>
      <c r="X53" s="269">
        <f t="shared" si="17"/>
        <v>-735</v>
      </c>
      <c r="Y53" s="299"/>
      <c r="Z53" s="291">
        <v>4367</v>
      </c>
      <c r="AA53" s="289">
        <v>4520</v>
      </c>
      <c r="AB53" s="289">
        <f>'East Dunbartonshire'!H112</f>
        <v>4478</v>
      </c>
      <c r="AC53" s="299"/>
      <c r="AD53" s="289"/>
      <c r="AE53" s="267">
        <f t="shared" si="18"/>
        <v>-9.2920353982300918E-3</v>
      </c>
      <c r="AF53" s="269">
        <f t="shared" si="19"/>
        <v>-42</v>
      </c>
      <c r="AG53" s="16"/>
      <c r="AH53" s="291">
        <v>753</v>
      </c>
      <c r="AI53" s="289">
        <v>577</v>
      </c>
      <c r="AJ53" s="289">
        <f>'East Dunbartonshire'!H113</f>
        <v>983</v>
      </c>
      <c r="AK53" s="299"/>
      <c r="AL53" s="289"/>
      <c r="AM53" s="267">
        <f t="shared" si="20"/>
        <v>0.70363951473136921</v>
      </c>
      <c r="AN53" s="269">
        <f t="shared" si="21"/>
        <v>406</v>
      </c>
      <c r="AO53" s="299"/>
      <c r="AP53" s="291">
        <v>2476</v>
      </c>
      <c r="AQ53" s="289">
        <v>2867</v>
      </c>
      <c r="AR53" s="289">
        <f>'East Dunbartonshire'!H114</f>
        <v>3741</v>
      </c>
      <c r="AS53" s="299"/>
      <c r="AT53" s="289"/>
      <c r="AU53" s="267">
        <f t="shared" si="22"/>
        <v>0.30484827345657473</v>
      </c>
      <c r="AV53" s="269">
        <f t="shared" si="23"/>
        <v>874</v>
      </c>
    </row>
    <row r="54" spans="1:48">
      <c r="A54" s="288" t="s">
        <v>19</v>
      </c>
      <c r="B54" s="291">
        <v>14250</v>
      </c>
      <c r="C54" s="289">
        <v>14938</v>
      </c>
      <c r="D54" s="289">
        <f>'East Lothian'!H98</f>
        <v>15732</v>
      </c>
      <c r="E54" s="299"/>
      <c r="F54" s="289"/>
      <c r="G54" s="267">
        <f t="shared" si="12"/>
        <v>5.3153032534475786E-2</v>
      </c>
      <c r="H54" s="269">
        <f t="shared" si="13"/>
        <v>794</v>
      </c>
      <c r="I54" s="299"/>
      <c r="J54" s="291">
        <v>5150</v>
      </c>
      <c r="K54" s="289">
        <v>5333</v>
      </c>
      <c r="L54" s="289">
        <f>'East Lothian'!H110</f>
        <v>5483</v>
      </c>
      <c r="M54" s="299"/>
      <c r="N54" s="289"/>
      <c r="O54" s="267">
        <f t="shared" si="14"/>
        <v>2.8126757922370071E-2</v>
      </c>
      <c r="P54" s="269">
        <f t="shared" si="15"/>
        <v>150</v>
      </c>
      <c r="Q54" s="299"/>
      <c r="R54" s="291">
        <v>4900</v>
      </c>
      <c r="S54" s="289">
        <v>5141</v>
      </c>
      <c r="T54" s="289">
        <f>'East Lothian'!H111</f>
        <v>5445</v>
      </c>
      <c r="U54" s="299"/>
      <c r="V54" s="289"/>
      <c r="W54" s="267">
        <f t="shared" si="16"/>
        <v>5.9132464501069792E-2</v>
      </c>
      <c r="X54" s="269">
        <f t="shared" si="17"/>
        <v>304</v>
      </c>
      <c r="Y54" s="299"/>
      <c r="Z54" s="291">
        <v>3200</v>
      </c>
      <c r="AA54" s="289">
        <v>3338</v>
      </c>
      <c r="AB54" s="289">
        <f>'East Lothian'!H112</f>
        <v>3638</v>
      </c>
      <c r="AC54" s="299"/>
      <c r="AD54" s="289"/>
      <c r="AE54" s="267">
        <f t="shared" si="18"/>
        <v>8.9874176153385221E-2</v>
      </c>
      <c r="AF54" s="269">
        <f t="shared" si="19"/>
        <v>300</v>
      </c>
      <c r="AG54" s="16"/>
      <c r="AH54" s="291">
        <v>600</v>
      </c>
      <c r="AI54" s="289">
        <v>630</v>
      </c>
      <c r="AJ54" s="289">
        <f>'East Lothian'!H113</f>
        <v>650</v>
      </c>
      <c r="AK54" s="299"/>
      <c r="AL54" s="289"/>
      <c r="AM54" s="267">
        <f t="shared" si="20"/>
        <v>3.1746031746031855E-2</v>
      </c>
      <c r="AN54" s="269">
        <f t="shared" si="21"/>
        <v>20</v>
      </c>
      <c r="AO54" s="299"/>
      <c r="AP54" s="291">
        <v>400</v>
      </c>
      <c r="AQ54" s="289">
        <v>496</v>
      </c>
      <c r="AR54" s="289">
        <f>'East Lothian'!H114</f>
        <v>516</v>
      </c>
      <c r="AS54" s="299"/>
      <c r="AT54" s="289"/>
      <c r="AU54" s="267">
        <f t="shared" si="22"/>
        <v>4.0322580645161255E-2</v>
      </c>
      <c r="AV54" s="269">
        <f t="shared" si="23"/>
        <v>20</v>
      </c>
    </row>
    <row r="55" spans="1:48">
      <c r="A55" s="288" t="s">
        <v>22</v>
      </c>
      <c r="B55" s="291">
        <v>9362</v>
      </c>
      <c r="C55" s="289">
        <v>9727</v>
      </c>
      <c r="D55" s="289">
        <f>'East Renfrewshire'!H98</f>
        <v>9902</v>
      </c>
      <c r="E55" s="299"/>
      <c r="F55" s="289"/>
      <c r="G55" s="267">
        <f t="shared" si="12"/>
        <v>1.7991158630615844E-2</v>
      </c>
      <c r="H55" s="269">
        <f t="shared" si="13"/>
        <v>175</v>
      </c>
      <c r="I55" s="299"/>
      <c r="J55" s="291">
        <v>2481</v>
      </c>
      <c r="K55" s="289">
        <v>2768</v>
      </c>
      <c r="L55" s="289">
        <f>'East Renfrewshire'!H110</f>
        <v>2907</v>
      </c>
      <c r="M55" s="299"/>
      <c r="N55" s="289"/>
      <c r="O55" s="267">
        <f t="shared" si="14"/>
        <v>5.0216763005780374E-2</v>
      </c>
      <c r="P55" s="269">
        <f t="shared" si="15"/>
        <v>139</v>
      </c>
      <c r="Q55" s="299"/>
      <c r="R55" s="291">
        <v>2116</v>
      </c>
      <c r="S55" s="289">
        <v>2268</v>
      </c>
      <c r="T55" s="289">
        <f>'East Renfrewshire'!H111</f>
        <v>2287</v>
      </c>
      <c r="U55" s="299"/>
      <c r="V55" s="289"/>
      <c r="W55" s="267">
        <f t="shared" si="16"/>
        <v>8.3774250440917797E-3</v>
      </c>
      <c r="X55" s="269">
        <f t="shared" si="17"/>
        <v>19</v>
      </c>
      <c r="Y55" s="299"/>
      <c r="Z55" s="291">
        <v>1875</v>
      </c>
      <c r="AA55" s="289">
        <v>1946</v>
      </c>
      <c r="AB55" s="289">
        <f>'East Renfrewshire'!H112</f>
        <v>1934</v>
      </c>
      <c r="AC55" s="299"/>
      <c r="AD55" s="289"/>
      <c r="AE55" s="267">
        <f t="shared" si="18"/>
        <v>-6.1664953751284779E-3</v>
      </c>
      <c r="AF55" s="269">
        <f t="shared" si="19"/>
        <v>-12</v>
      </c>
      <c r="AG55" s="16"/>
      <c r="AH55" s="291">
        <v>72</v>
      </c>
      <c r="AI55" s="289">
        <v>77</v>
      </c>
      <c r="AJ55" s="289">
        <f>'East Renfrewshire'!H113</f>
        <v>103</v>
      </c>
      <c r="AK55" s="299"/>
      <c r="AL55" s="289"/>
      <c r="AM55" s="267">
        <f t="shared" si="20"/>
        <v>0.33766233766233755</v>
      </c>
      <c r="AN55" s="269">
        <f t="shared" si="21"/>
        <v>26</v>
      </c>
      <c r="AO55" s="299"/>
      <c r="AP55" s="291">
        <v>2818</v>
      </c>
      <c r="AQ55" s="289">
        <v>2668</v>
      </c>
      <c r="AR55" s="289">
        <f>'East Renfrewshire'!H114</f>
        <v>2671</v>
      </c>
      <c r="AS55" s="299"/>
      <c r="AT55" s="289"/>
      <c r="AU55" s="267">
        <f t="shared" si="22"/>
        <v>1.1244377811094886E-3</v>
      </c>
      <c r="AV55" s="269">
        <f t="shared" si="23"/>
        <v>3</v>
      </c>
    </row>
    <row r="56" spans="1:48">
      <c r="A56" s="288" t="s">
        <v>25</v>
      </c>
      <c r="B56" s="291">
        <v>85523</v>
      </c>
      <c r="C56" s="289">
        <v>91306</v>
      </c>
      <c r="D56" s="289">
        <f>'Edinburgh, City of'!H98</f>
        <v>89530</v>
      </c>
      <c r="E56" s="299"/>
      <c r="F56" s="289"/>
      <c r="G56" s="267">
        <f t="shared" si="12"/>
        <v>-1.9451076599566242E-2</v>
      </c>
      <c r="H56" s="269">
        <f t="shared" si="13"/>
        <v>-1776</v>
      </c>
      <c r="I56" s="299"/>
      <c r="J56" s="291">
        <v>21026</v>
      </c>
      <c r="K56" s="289">
        <v>21681</v>
      </c>
      <c r="L56" s="289">
        <f>'Edinburgh, City of'!H110</f>
        <v>23399</v>
      </c>
      <c r="M56" s="299"/>
      <c r="N56" s="289"/>
      <c r="O56" s="267">
        <f t="shared" si="14"/>
        <v>7.9239887459065628E-2</v>
      </c>
      <c r="P56" s="269">
        <f t="shared" si="15"/>
        <v>1718</v>
      </c>
      <c r="Q56" s="299"/>
      <c r="R56" s="291">
        <v>25041</v>
      </c>
      <c r="S56" s="289">
        <v>26052</v>
      </c>
      <c r="T56" s="289">
        <f>'Edinburgh, City of'!H111</f>
        <v>25403</v>
      </c>
      <c r="U56" s="299"/>
      <c r="V56" s="289"/>
      <c r="W56" s="267">
        <f t="shared" si="16"/>
        <v>-2.491171503147549E-2</v>
      </c>
      <c r="X56" s="269">
        <f t="shared" si="17"/>
        <v>-649</v>
      </c>
      <c r="Y56" s="299"/>
      <c r="Z56" s="291">
        <v>12861</v>
      </c>
      <c r="AA56" s="289">
        <v>19423</v>
      </c>
      <c r="AB56" s="289">
        <f>'Edinburgh, City of'!H112</f>
        <v>20060</v>
      </c>
      <c r="AC56" s="299"/>
      <c r="AD56" s="289"/>
      <c r="AE56" s="267">
        <f t="shared" si="18"/>
        <v>3.2796169489780258E-2</v>
      </c>
      <c r="AF56" s="269">
        <f t="shared" si="19"/>
        <v>637</v>
      </c>
      <c r="AG56" s="16"/>
      <c r="AH56" s="291">
        <v>18032</v>
      </c>
      <c r="AI56" s="289">
        <v>18714</v>
      </c>
      <c r="AJ56" s="289">
        <f>'Edinburgh, City of'!H113</f>
        <v>16865</v>
      </c>
      <c r="AK56" s="299"/>
      <c r="AL56" s="289"/>
      <c r="AM56" s="267">
        <f t="shared" si="20"/>
        <v>-9.8803035160842101E-2</v>
      </c>
      <c r="AN56" s="269">
        <f t="shared" si="21"/>
        <v>-1849</v>
      </c>
      <c r="AO56" s="299"/>
      <c r="AP56" s="291">
        <v>8563</v>
      </c>
      <c r="AQ56" s="289">
        <v>5436</v>
      </c>
      <c r="AR56" s="289">
        <f>'Edinburgh, City of'!H114</f>
        <v>3803</v>
      </c>
      <c r="AS56" s="299"/>
      <c r="AT56" s="289"/>
      <c r="AU56" s="267">
        <f t="shared" si="22"/>
        <v>-0.30040470934510666</v>
      </c>
      <c r="AV56" s="269">
        <f t="shared" si="23"/>
        <v>-1633</v>
      </c>
    </row>
    <row r="57" spans="1:48">
      <c r="A57" s="288" t="s">
        <v>26</v>
      </c>
      <c r="B57" s="291">
        <v>3018</v>
      </c>
      <c r="C57" s="289">
        <v>3402</v>
      </c>
      <c r="D57" s="289">
        <f>'Eilean Siar'!H98</f>
        <v>3230</v>
      </c>
      <c r="E57" s="299"/>
      <c r="F57" s="289"/>
      <c r="G57" s="267">
        <f t="shared" si="12"/>
        <v>-5.0558495002939408E-2</v>
      </c>
      <c r="H57" s="269">
        <f t="shared" si="13"/>
        <v>-172</v>
      </c>
      <c r="I57" s="299"/>
      <c r="J57" s="291">
        <v>1409</v>
      </c>
      <c r="K57" s="289">
        <v>1514</v>
      </c>
      <c r="L57" s="289">
        <f>'Eilean Siar'!H110</f>
        <v>1425</v>
      </c>
      <c r="M57" s="299"/>
      <c r="N57" s="289"/>
      <c r="O57" s="267">
        <f t="shared" si="14"/>
        <v>-5.8784676354029064E-2</v>
      </c>
      <c r="P57" s="269">
        <f t="shared" si="15"/>
        <v>-89</v>
      </c>
      <c r="Q57" s="299"/>
      <c r="R57" s="291">
        <v>566</v>
      </c>
      <c r="S57" s="289">
        <v>695</v>
      </c>
      <c r="T57" s="289">
        <f>'Eilean Siar'!H111</f>
        <v>642</v>
      </c>
      <c r="U57" s="299"/>
      <c r="V57" s="289"/>
      <c r="W57" s="267">
        <f t="shared" si="16"/>
        <v>-7.6258992805755432E-2</v>
      </c>
      <c r="X57" s="269">
        <f t="shared" si="17"/>
        <v>-53</v>
      </c>
      <c r="Y57" s="299"/>
      <c r="Z57" s="291">
        <v>863</v>
      </c>
      <c r="AA57" s="289">
        <v>1095</v>
      </c>
      <c r="AB57" s="289">
        <f>'Eilean Siar'!H112</f>
        <v>1090</v>
      </c>
      <c r="AC57" s="299"/>
      <c r="AD57" s="289"/>
      <c r="AE57" s="267">
        <f t="shared" si="18"/>
        <v>-4.5662100456621557E-3</v>
      </c>
      <c r="AF57" s="269">
        <f t="shared" si="19"/>
        <v>-5</v>
      </c>
      <c r="AG57" s="16"/>
      <c r="AH57" s="291">
        <v>0</v>
      </c>
      <c r="AI57" s="289">
        <v>0</v>
      </c>
      <c r="AJ57" s="289">
        <f>'Eilean Siar'!H113</f>
        <v>0</v>
      </c>
      <c r="AK57" s="299"/>
      <c r="AL57" s="289"/>
      <c r="AM57" s="267" t="e">
        <f t="shared" si="20"/>
        <v>#DIV/0!</v>
      </c>
      <c r="AN57" s="269">
        <f t="shared" si="21"/>
        <v>0</v>
      </c>
      <c r="AO57" s="299"/>
      <c r="AP57" s="291">
        <v>180</v>
      </c>
      <c r="AQ57" s="289">
        <v>98</v>
      </c>
      <c r="AR57" s="289">
        <f>'Eilean Siar'!H114</f>
        <v>73</v>
      </c>
      <c r="AS57" s="299"/>
      <c r="AT57" s="289"/>
      <c r="AU57" s="267">
        <f t="shared" si="22"/>
        <v>-0.25510204081632648</v>
      </c>
      <c r="AV57" s="269">
        <f t="shared" si="23"/>
        <v>-25</v>
      </c>
    </row>
    <row r="58" spans="1:48">
      <c r="A58" s="288" t="s">
        <v>28</v>
      </c>
      <c r="B58" s="291">
        <v>22514</v>
      </c>
      <c r="C58" s="289">
        <v>21291</v>
      </c>
      <c r="D58" s="289">
        <f>Falkirk!H98</f>
        <v>23423</v>
      </c>
      <c r="E58" s="299"/>
      <c r="F58" s="289"/>
      <c r="G58" s="267">
        <f t="shared" si="12"/>
        <v>0.10013620778732801</v>
      </c>
      <c r="H58" s="269">
        <f t="shared" si="13"/>
        <v>2132</v>
      </c>
      <c r="I58" s="299"/>
      <c r="J58" s="291">
        <v>5049</v>
      </c>
      <c r="K58" s="289">
        <v>5085</v>
      </c>
      <c r="L58" s="289">
        <f>Falkirk!H110</f>
        <v>4995</v>
      </c>
      <c r="M58" s="299"/>
      <c r="N58" s="289"/>
      <c r="O58" s="267">
        <f t="shared" si="14"/>
        <v>-1.7699115044247815E-2</v>
      </c>
      <c r="P58" s="269">
        <f t="shared" si="15"/>
        <v>-90</v>
      </c>
      <c r="Q58" s="299"/>
      <c r="R58" s="291">
        <v>5407</v>
      </c>
      <c r="S58" s="289">
        <v>5235</v>
      </c>
      <c r="T58" s="289">
        <f>Falkirk!H111</f>
        <v>5801</v>
      </c>
      <c r="U58" s="299"/>
      <c r="V58" s="289"/>
      <c r="W58" s="267">
        <f t="shared" si="16"/>
        <v>0.10811843361986639</v>
      </c>
      <c r="X58" s="269">
        <f t="shared" si="17"/>
        <v>566</v>
      </c>
      <c r="Y58" s="299"/>
      <c r="Z58" s="291">
        <v>8746</v>
      </c>
      <c r="AA58" s="289">
        <v>8137</v>
      </c>
      <c r="AB58" s="289">
        <f>Falkirk!H112</f>
        <v>8793</v>
      </c>
      <c r="AC58" s="299"/>
      <c r="AD58" s="289"/>
      <c r="AE58" s="267">
        <f t="shared" si="18"/>
        <v>8.0619392896644992E-2</v>
      </c>
      <c r="AF58" s="269">
        <f t="shared" si="19"/>
        <v>656</v>
      </c>
      <c r="AG58" s="16"/>
      <c r="AH58" s="291">
        <v>380</v>
      </c>
      <c r="AI58" s="289">
        <v>167</v>
      </c>
      <c r="AJ58" s="289">
        <f>Falkirk!H113</f>
        <v>167</v>
      </c>
      <c r="AK58" s="299"/>
      <c r="AL58" s="289"/>
      <c r="AM58" s="267">
        <f t="shared" si="20"/>
        <v>0</v>
      </c>
      <c r="AN58" s="269">
        <f t="shared" si="21"/>
        <v>0</v>
      </c>
      <c r="AO58" s="299"/>
      <c r="AP58" s="291">
        <v>2932</v>
      </c>
      <c r="AQ58" s="289">
        <v>2667</v>
      </c>
      <c r="AR58" s="289">
        <f>Falkirk!H114</f>
        <v>3667</v>
      </c>
      <c r="AS58" s="299"/>
      <c r="AT58" s="289"/>
      <c r="AU58" s="267">
        <f t="shared" si="22"/>
        <v>0.37495313085864268</v>
      </c>
      <c r="AV58" s="269">
        <f t="shared" si="23"/>
        <v>1000</v>
      </c>
    </row>
    <row r="59" spans="1:48">
      <c r="A59" s="288" t="s">
        <v>29</v>
      </c>
      <c r="B59" s="291">
        <v>76063</v>
      </c>
      <c r="C59" s="289">
        <v>73633</v>
      </c>
      <c r="D59" s="289">
        <f>Fife!H98</f>
        <v>69927</v>
      </c>
      <c r="E59" s="299"/>
      <c r="F59" s="289"/>
      <c r="G59" s="267">
        <f t="shared" si="12"/>
        <v>-5.0330694118126407E-2</v>
      </c>
      <c r="H59" s="269">
        <f t="shared" si="13"/>
        <v>-3706</v>
      </c>
      <c r="I59" s="299"/>
      <c r="J59" s="291">
        <v>21279</v>
      </c>
      <c r="K59" s="289">
        <v>19682</v>
      </c>
      <c r="L59" s="289">
        <f>Fife!H110</f>
        <v>19813</v>
      </c>
      <c r="M59" s="299"/>
      <c r="N59" s="289"/>
      <c r="O59" s="267">
        <f t="shared" si="14"/>
        <v>6.6558276597907806E-3</v>
      </c>
      <c r="P59" s="269">
        <f t="shared" si="15"/>
        <v>131</v>
      </c>
      <c r="Q59" s="299"/>
      <c r="R59" s="291">
        <v>14616</v>
      </c>
      <c r="S59" s="289">
        <v>14651</v>
      </c>
      <c r="T59" s="289">
        <f>Fife!H111</f>
        <v>15117</v>
      </c>
      <c r="U59" s="299"/>
      <c r="V59" s="289"/>
      <c r="W59" s="267">
        <f t="shared" si="16"/>
        <v>3.1806702614155968E-2</v>
      </c>
      <c r="X59" s="269">
        <f t="shared" si="17"/>
        <v>466</v>
      </c>
      <c r="Y59" s="299"/>
      <c r="Z59" s="291">
        <v>26403</v>
      </c>
      <c r="AA59" s="289">
        <v>25860</v>
      </c>
      <c r="AB59" s="289">
        <f>Fife!H112</f>
        <v>21631</v>
      </c>
      <c r="AC59" s="299"/>
      <c r="AD59" s="289"/>
      <c r="AE59" s="267">
        <f t="shared" si="18"/>
        <v>-0.16353441608662023</v>
      </c>
      <c r="AF59" s="269">
        <f t="shared" si="19"/>
        <v>-4229</v>
      </c>
      <c r="AG59" s="16"/>
      <c r="AH59" s="291">
        <v>0</v>
      </c>
      <c r="AI59" s="289">
        <v>0</v>
      </c>
      <c r="AJ59" s="289">
        <f>Fife!H113</f>
        <v>0</v>
      </c>
      <c r="AK59" s="299"/>
      <c r="AL59" s="289"/>
      <c r="AM59" s="267" t="e">
        <f t="shared" si="20"/>
        <v>#DIV/0!</v>
      </c>
      <c r="AN59" s="269">
        <f t="shared" si="21"/>
        <v>0</v>
      </c>
      <c r="AO59" s="299"/>
      <c r="AP59" s="291">
        <v>13765</v>
      </c>
      <c r="AQ59" s="289">
        <v>13440</v>
      </c>
      <c r="AR59" s="289">
        <f>Fife!H114</f>
        <v>13366</v>
      </c>
      <c r="AS59" s="299"/>
      <c r="AT59" s="289"/>
      <c r="AU59" s="267">
        <f t="shared" si="22"/>
        <v>-5.5059523809524169E-3</v>
      </c>
      <c r="AV59" s="269">
        <f t="shared" si="23"/>
        <v>-74</v>
      </c>
    </row>
    <row r="60" spans="1:48">
      <c r="A60" s="288" t="s">
        <v>31</v>
      </c>
      <c r="B60" s="291">
        <v>148018</v>
      </c>
      <c r="C60" s="289">
        <v>153746</v>
      </c>
      <c r="D60" s="289">
        <f>'Glasgow City'!H98</f>
        <v>153094</v>
      </c>
      <c r="E60" s="299"/>
      <c r="F60" s="289"/>
      <c r="G60" s="306">
        <f t="shared" si="12"/>
        <v>-4.2407607352386023E-3</v>
      </c>
      <c r="H60" s="307">
        <f t="shared" si="13"/>
        <v>-652</v>
      </c>
      <c r="I60" s="299"/>
      <c r="J60" s="291">
        <v>27342</v>
      </c>
      <c r="K60" s="289">
        <v>30585</v>
      </c>
      <c r="L60" s="289">
        <f>'Glasgow City'!H110</f>
        <v>32983</v>
      </c>
      <c r="M60" s="299"/>
      <c r="N60" s="289"/>
      <c r="O60" s="306">
        <f t="shared" si="14"/>
        <v>7.8404446624162238E-2</v>
      </c>
      <c r="P60" s="307">
        <f t="shared" si="15"/>
        <v>2398</v>
      </c>
      <c r="Q60" s="299"/>
      <c r="R60" s="291">
        <v>47961</v>
      </c>
      <c r="S60" s="289">
        <v>49163</v>
      </c>
      <c r="T60" s="289">
        <f>'Glasgow City'!H111</f>
        <v>48655</v>
      </c>
      <c r="U60" s="299"/>
      <c r="V60" s="289"/>
      <c r="W60" s="306">
        <f t="shared" si="16"/>
        <v>-1.0332973984500504E-2</v>
      </c>
      <c r="X60" s="307">
        <f t="shared" si="17"/>
        <v>-508</v>
      </c>
      <c r="Y60" s="299"/>
      <c r="Z60" s="291">
        <v>50315</v>
      </c>
      <c r="AA60" s="289">
        <v>52225</v>
      </c>
      <c r="AB60" s="289">
        <f>'Glasgow City'!H112</f>
        <v>47249</v>
      </c>
      <c r="AC60" s="299"/>
      <c r="AD60" s="289"/>
      <c r="AE60" s="306">
        <f t="shared" si="18"/>
        <v>-9.5280038295835312E-2</v>
      </c>
      <c r="AF60" s="307">
        <f t="shared" si="19"/>
        <v>-4976</v>
      </c>
      <c r="AG60" s="16"/>
      <c r="AH60" s="291">
        <v>0</v>
      </c>
      <c r="AI60" s="289">
        <v>0</v>
      </c>
      <c r="AJ60" s="289">
        <f>'Glasgow City'!H113</f>
        <v>26</v>
      </c>
      <c r="AK60" s="299"/>
      <c r="AL60" s="289"/>
      <c r="AM60" s="306" t="e">
        <f t="shared" si="20"/>
        <v>#DIV/0!</v>
      </c>
      <c r="AN60" s="307">
        <f t="shared" si="21"/>
        <v>26</v>
      </c>
      <c r="AO60" s="299"/>
      <c r="AP60" s="291">
        <v>22400</v>
      </c>
      <c r="AQ60" s="289">
        <v>21773</v>
      </c>
      <c r="AR60" s="289">
        <f>'Glasgow City'!H114</f>
        <v>24181</v>
      </c>
      <c r="AS60" s="299"/>
      <c r="AT60" s="289"/>
      <c r="AU60" s="306">
        <f t="shared" si="22"/>
        <v>0.11059569191200103</v>
      </c>
      <c r="AV60" s="307">
        <f t="shared" si="23"/>
        <v>2408</v>
      </c>
    </row>
    <row r="61" spans="1:48">
      <c r="A61" s="288" t="s">
        <v>32</v>
      </c>
      <c r="B61" s="291">
        <v>42444</v>
      </c>
      <c r="C61" s="289">
        <v>37231</v>
      </c>
      <c r="D61" s="289">
        <f>Highland!H98</f>
        <v>40714</v>
      </c>
      <c r="E61" s="299"/>
      <c r="F61" s="289"/>
      <c r="G61" s="267">
        <f t="shared" si="12"/>
        <v>9.3551073030539111E-2</v>
      </c>
      <c r="H61" s="269">
        <f t="shared" si="13"/>
        <v>3483</v>
      </c>
      <c r="I61" s="299"/>
      <c r="J61" s="291">
        <v>16388</v>
      </c>
      <c r="K61" s="289">
        <v>17598</v>
      </c>
      <c r="L61" s="289">
        <f>Highland!H110</f>
        <v>18083</v>
      </c>
      <c r="M61" s="299"/>
      <c r="N61" s="289"/>
      <c r="O61" s="267">
        <f t="shared" si="14"/>
        <v>2.7559949994317545E-2</v>
      </c>
      <c r="P61" s="269">
        <f t="shared" si="15"/>
        <v>485</v>
      </c>
      <c r="Q61" s="299"/>
      <c r="R61" s="291">
        <v>4233</v>
      </c>
      <c r="S61" s="289">
        <v>3203</v>
      </c>
      <c r="T61" s="289">
        <f>Highland!H111</f>
        <v>3458</v>
      </c>
      <c r="U61" s="299"/>
      <c r="V61" s="289"/>
      <c r="W61" s="267">
        <f t="shared" si="16"/>
        <v>7.9612862940992901E-2</v>
      </c>
      <c r="X61" s="269">
        <f t="shared" si="17"/>
        <v>255</v>
      </c>
      <c r="Y61" s="299"/>
      <c r="Z61" s="291">
        <v>13464</v>
      </c>
      <c r="AA61" s="289">
        <v>11472</v>
      </c>
      <c r="AB61" s="289">
        <f>Highland!H112</f>
        <v>14017</v>
      </c>
      <c r="AC61" s="299"/>
      <c r="AD61" s="289"/>
      <c r="AE61" s="267">
        <f t="shared" si="18"/>
        <v>0.22184449093444902</v>
      </c>
      <c r="AF61" s="269">
        <f t="shared" si="19"/>
        <v>2545</v>
      </c>
      <c r="AG61" s="16"/>
      <c r="AH61" s="291">
        <v>2060</v>
      </c>
      <c r="AI61" s="289">
        <v>1602</v>
      </c>
      <c r="AJ61" s="289">
        <f>Highland!H113</f>
        <v>1518</v>
      </c>
      <c r="AK61" s="299"/>
      <c r="AL61" s="289"/>
      <c r="AM61" s="267">
        <f t="shared" si="20"/>
        <v>-5.2434456928838968E-2</v>
      </c>
      <c r="AN61" s="269">
        <f t="shared" si="21"/>
        <v>-84</v>
      </c>
      <c r="AO61" s="299"/>
      <c r="AP61" s="291">
        <v>6299</v>
      </c>
      <c r="AQ61" s="289">
        <v>3356</v>
      </c>
      <c r="AR61" s="289">
        <f>Highland!H114</f>
        <v>3638</v>
      </c>
      <c r="AS61" s="299"/>
      <c r="AT61" s="289"/>
      <c r="AU61" s="267">
        <f t="shared" si="22"/>
        <v>8.4028605482717511E-2</v>
      </c>
      <c r="AV61" s="269">
        <f t="shared" si="23"/>
        <v>282</v>
      </c>
    </row>
    <row r="62" spans="1:48">
      <c r="A62" s="288" t="s">
        <v>33</v>
      </c>
      <c r="B62" s="291">
        <v>11642</v>
      </c>
      <c r="C62" s="289">
        <v>11361</v>
      </c>
      <c r="D62" s="289">
        <f>Inverclyde!H98</f>
        <v>11448.57</v>
      </c>
      <c r="E62" s="299"/>
      <c r="F62" s="289"/>
      <c r="G62" s="267">
        <f t="shared" si="12"/>
        <v>7.7079482439925684E-3</v>
      </c>
      <c r="H62" s="269">
        <f t="shared" si="13"/>
        <v>87.569999999999709</v>
      </c>
      <c r="I62" s="299"/>
      <c r="J62" s="291">
        <v>3468</v>
      </c>
      <c r="K62" s="289">
        <v>2953</v>
      </c>
      <c r="L62" s="289">
        <f>Inverclyde!H110</f>
        <v>3041.12</v>
      </c>
      <c r="M62" s="299"/>
      <c r="N62" s="289"/>
      <c r="O62" s="267">
        <f t="shared" si="14"/>
        <v>2.9840839823907839E-2</v>
      </c>
      <c r="P62" s="269">
        <f t="shared" si="15"/>
        <v>88.119999999999891</v>
      </c>
      <c r="Q62" s="299"/>
      <c r="R62" s="291">
        <v>3214</v>
      </c>
      <c r="S62" s="289">
        <v>3424</v>
      </c>
      <c r="T62" s="289">
        <f>Inverclyde!H111</f>
        <v>3603.72</v>
      </c>
      <c r="U62" s="299"/>
      <c r="V62" s="289"/>
      <c r="W62" s="267">
        <f t="shared" si="16"/>
        <v>5.248831775700924E-2</v>
      </c>
      <c r="X62" s="269">
        <f t="shared" si="17"/>
        <v>179.7199999999998</v>
      </c>
      <c r="Y62" s="299"/>
      <c r="Z62" s="291">
        <v>3485</v>
      </c>
      <c r="AA62" s="289">
        <v>3698</v>
      </c>
      <c r="AB62" s="289">
        <f>Inverclyde!H112</f>
        <v>3476.93</v>
      </c>
      <c r="AC62" s="299"/>
      <c r="AD62" s="289"/>
      <c r="AE62" s="267">
        <f t="shared" si="18"/>
        <v>-5.9780962682531191E-2</v>
      </c>
      <c r="AF62" s="269">
        <f t="shared" si="19"/>
        <v>-221.07000000000016</v>
      </c>
      <c r="AG62" s="16"/>
      <c r="AH62" s="291">
        <v>0</v>
      </c>
      <c r="AI62" s="289">
        <v>0</v>
      </c>
      <c r="AJ62" s="289">
        <f>Inverclyde!H113</f>
        <v>0</v>
      </c>
      <c r="AK62" s="299"/>
      <c r="AL62" s="289"/>
      <c r="AM62" s="267" t="e">
        <f t="shared" si="20"/>
        <v>#DIV/0!</v>
      </c>
      <c r="AN62" s="269">
        <f t="shared" si="21"/>
        <v>0</v>
      </c>
      <c r="AO62" s="299"/>
      <c r="AP62" s="291">
        <v>1475</v>
      </c>
      <c r="AQ62" s="289">
        <v>1286</v>
      </c>
      <c r="AR62" s="289">
        <f>Inverclyde!H114</f>
        <v>1326.8</v>
      </c>
      <c r="AS62" s="299"/>
      <c r="AT62" s="289"/>
      <c r="AU62" s="267">
        <f t="shared" si="22"/>
        <v>3.1726283048211457E-2</v>
      </c>
      <c r="AV62" s="269">
        <f t="shared" si="23"/>
        <v>40.799999999999955</v>
      </c>
    </row>
    <row r="63" spans="1:48">
      <c r="A63" s="288" t="s">
        <v>34</v>
      </c>
      <c r="B63" s="291">
        <v>14127</v>
      </c>
      <c r="C63" s="289">
        <v>14481</v>
      </c>
      <c r="D63" s="289">
        <f>Midlothian!H98</f>
        <v>14873</v>
      </c>
      <c r="E63" s="299"/>
      <c r="F63" s="289"/>
      <c r="G63" s="267">
        <f t="shared" si="12"/>
        <v>2.7069953732477003E-2</v>
      </c>
      <c r="H63" s="269">
        <f t="shared" si="13"/>
        <v>392</v>
      </c>
      <c r="I63" s="299"/>
      <c r="J63" s="291">
        <v>3549</v>
      </c>
      <c r="K63" s="289">
        <v>3604</v>
      </c>
      <c r="L63" s="289">
        <f>Midlothian!H110</f>
        <v>3663</v>
      </c>
      <c r="M63" s="299"/>
      <c r="N63" s="289"/>
      <c r="O63" s="267">
        <f t="shared" si="14"/>
        <v>1.6370699223085428E-2</v>
      </c>
      <c r="P63" s="269">
        <f t="shared" si="15"/>
        <v>59</v>
      </c>
      <c r="Q63" s="299"/>
      <c r="R63" s="291">
        <v>4534</v>
      </c>
      <c r="S63" s="289">
        <v>4543</v>
      </c>
      <c r="T63" s="289">
        <f>Midlothian!H111</f>
        <v>4664</v>
      </c>
      <c r="U63" s="299"/>
      <c r="V63" s="289"/>
      <c r="W63" s="267">
        <f t="shared" si="16"/>
        <v>2.6634382566586012E-2</v>
      </c>
      <c r="X63" s="269">
        <f t="shared" si="17"/>
        <v>121</v>
      </c>
      <c r="Y63" s="299"/>
      <c r="Z63" s="291">
        <v>3639</v>
      </c>
      <c r="AA63" s="289">
        <v>4108</v>
      </c>
      <c r="AB63" s="289">
        <f>Midlothian!H112</f>
        <v>4482</v>
      </c>
      <c r="AC63" s="299"/>
      <c r="AD63" s="289"/>
      <c r="AE63" s="267">
        <f t="shared" si="18"/>
        <v>9.1041869522882291E-2</v>
      </c>
      <c r="AF63" s="269">
        <f t="shared" si="19"/>
        <v>374</v>
      </c>
      <c r="AG63" s="16"/>
      <c r="AH63" s="291">
        <v>1027</v>
      </c>
      <c r="AI63" s="289">
        <v>1071</v>
      </c>
      <c r="AJ63" s="289">
        <f>Midlothian!H113</f>
        <v>1095</v>
      </c>
      <c r="AK63" s="299"/>
      <c r="AL63" s="289"/>
      <c r="AM63" s="267">
        <f t="shared" si="20"/>
        <v>2.2408963585434094E-2</v>
      </c>
      <c r="AN63" s="269">
        <f t="shared" si="21"/>
        <v>24</v>
      </c>
      <c r="AO63" s="299"/>
      <c r="AP63" s="291">
        <v>1378</v>
      </c>
      <c r="AQ63" s="289">
        <v>1155</v>
      </c>
      <c r="AR63" s="289">
        <f>Midlothian!H114</f>
        <v>969</v>
      </c>
      <c r="AS63" s="299"/>
      <c r="AT63" s="289"/>
      <c r="AU63" s="267">
        <f t="shared" si="22"/>
        <v>-0.16103896103896109</v>
      </c>
      <c r="AV63" s="269">
        <f t="shared" si="23"/>
        <v>-186</v>
      </c>
    </row>
    <row r="64" spans="1:48">
      <c r="A64" s="288" t="s">
        <v>35</v>
      </c>
      <c r="B64" s="291">
        <v>19469</v>
      </c>
      <c r="C64" s="289">
        <v>20596</v>
      </c>
      <c r="D64" s="289">
        <f>Moray!H98</f>
        <v>21767</v>
      </c>
      <c r="E64" s="299"/>
      <c r="F64" s="289"/>
      <c r="G64" s="267">
        <f t="shared" si="12"/>
        <v>5.685570013594865E-2</v>
      </c>
      <c r="H64" s="269">
        <f t="shared" si="13"/>
        <v>1171</v>
      </c>
      <c r="I64" s="299"/>
      <c r="J64" s="291">
        <v>6005</v>
      </c>
      <c r="K64" s="289">
        <v>6400</v>
      </c>
      <c r="L64" s="289">
        <f>Moray!H110</f>
        <v>6466</v>
      </c>
      <c r="M64" s="299"/>
      <c r="N64" s="289"/>
      <c r="O64" s="267">
        <f t="shared" si="14"/>
        <v>1.0312499999999947E-2</v>
      </c>
      <c r="P64" s="269">
        <f t="shared" si="15"/>
        <v>66</v>
      </c>
      <c r="Q64" s="299"/>
      <c r="R64" s="291">
        <v>4369</v>
      </c>
      <c r="S64" s="289">
        <v>4274</v>
      </c>
      <c r="T64" s="289">
        <f>Moray!H111</f>
        <v>4091</v>
      </c>
      <c r="U64" s="299"/>
      <c r="V64" s="289"/>
      <c r="W64" s="267">
        <f t="shared" si="16"/>
        <v>-4.2817033224145984E-2</v>
      </c>
      <c r="X64" s="269">
        <f t="shared" si="17"/>
        <v>-183</v>
      </c>
      <c r="Y64" s="299"/>
      <c r="Z64" s="291">
        <v>7348</v>
      </c>
      <c r="AA64" s="289">
        <v>8718</v>
      </c>
      <c r="AB64" s="289">
        <f>Moray!H112</f>
        <v>9907</v>
      </c>
      <c r="AC64" s="299"/>
      <c r="AD64" s="289"/>
      <c r="AE64" s="267">
        <f t="shared" si="18"/>
        <v>0.13638449185593027</v>
      </c>
      <c r="AF64" s="269">
        <f t="shared" si="19"/>
        <v>1189</v>
      </c>
      <c r="AG64" s="16"/>
      <c r="AH64" s="291">
        <v>20</v>
      </c>
      <c r="AI64" s="289">
        <v>20</v>
      </c>
      <c r="AJ64" s="289">
        <f>Moray!H113</f>
        <v>20</v>
      </c>
      <c r="AK64" s="299"/>
      <c r="AL64" s="289"/>
      <c r="AM64" s="267">
        <f t="shared" si="20"/>
        <v>0</v>
      </c>
      <c r="AN64" s="269">
        <f t="shared" si="21"/>
        <v>0</v>
      </c>
      <c r="AO64" s="299"/>
      <c r="AP64" s="291">
        <v>1727</v>
      </c>
      <c r="AQ64" s="289">
        <v>1184</v>
      </c>
      <c r="AR64" s="289">
        <f>Moray!H114</f>
        <v>1283</v>
      </c>
      <c r="AS64" s="299"/>
      <c r="AT64" s="289"/>
      <c r="AU64" s="267">
        <f t="shared" si="22"/>
        <v>8.3614864864864913E-2</v>
      </c>
      <c r="AV64" s="269">
        <f t="shared" si="23"/>
        <v>99</v>
      </c>
    </row>
    <row r="65" spans="1:48">
      <c r="A65" s="288" t="s">
        <v>36</v>
      </c>
      <c r="B65" s="291">
        <v>27890</v>
      </c>
      <c r="C65" s="289">
        <v>29578</v>
      </c>
      <c r="D65" s="289">
        <f>'North Ayrshire'!H98</f>
        <v>30392</v>
      </c>
      <c r="E65" s="299"/>
      <c r="F65" s="289"/>
      <c r="G65" s="267">
        <f t="shared" si="12"/>
        <v>2.7520454391777749E-2</v>
      </c>
      <c r="H65" s="269">
        <f t="shared" si="13"/>
        <v>814</v>
      </c>
      <c r="I65" s="299"/>
      <c r="J65" s="291">
        <v>4137</v>
      </c>
      <c r="K65" s="289">
        <v>3774</v>
      </c>
      <c r="L65" s="289">
        <f>'North Ayrshire'!H110</f>
        <v>3912</v>
      </c>
      <c r="M65" s="299"/>
      <c r="N65" s="289"/>
      <c r="O65" s="267">
        <f t="shared" si="14"/>
        <v>3.6565977742448297E-2</v>
      </c>
      <c r="P65" s="269">
        <f t="shared" si="15"/>
        <v>138</v>
      </c>
      <c r="Q65" s="299"/>
      <c r="R65" s="291">
        <v>7577</v>
      </c>
      <c r="S65" s="289">
        <v>8890</v>
      </c>
      <c r="T65" s="289">
        <f>'North Ayrshire'!H111</f>
        <v>9232</v>
      </c>
      <c r="U65" s="299"/>
      <c r="V65" s="289"/>
      <c r="W65" s="267">
        <f t="shared" si="16"/>
        <v>3.8470191226096739E-2</v>
      </c>
      <c r="X65" s="269">
        <f t="shared" si="17"/>
        <v>342</v>
      </c>
      <c r="Y65" s="299"/>
      <c r="Z65" s="291">
        <v>8125</v>
      </c>
      <c r="AA65" s="289">
        <v>8962</v>
      </c>
      <c r="AB65" s="289">
        <f>'North Ayrshire'!H112</f>
        <v>8317</v>
      </c>
      <c r="AC65" s="299"/>
      <c r="AD65" s="289"/>
      <c r="AE65" s="267">
        <f t="shared" si="18"/>
        <v>-7.1970542289667483E-2</v>
      </c>
      <c r="AF65" s="269">
        <f t="shared" si="19"/>
        <v>-645</v>
      </c>
      <c r="AG65" s="16"/>
      <c r="AH65" s="291">
        <v>0</v>
      </c>
      <c r="AI65" s="289">
        <v>0</v>
      </c>
      <c r="AJ65" s="289">
        <f>'North Ayrshire'!H113</f>
        <v>0</v>
      </c>
      <c r="AK65" s="299"/>
      <c r="AL65" s="289"/>
      <c r="AM65" s="267" t="e">
        <f t="shared" si="20"/>
        <v>#DIV/0!</v>
      </c>
      <c r="AN65" s="269">
        <f t="shared" si="21"/>
        <v>0</v>
      </c>
      <c r="AO65" s="299"/>
      <c r="AP65" s="291">
        <v>8051</v>
      </c>
      <c r="AQ65" s="289">
        <v>7952</v>
      </c>
      <c r="AR65" s="289">
        <f>'North Ayrshire'!H114</f>
        <v>8931</v>
      </c>
      <c r="AS65" s="299"/>
      <c r="AT65" s="289"/>
      <c r="AU65" s="267">
        <f t="shared" si="22"/>
        <v>0.12311368209255535</v>
      </c>
      <c r="AV65" s="269">
        <f t="shared" si="23"/>
        <v>979</v>
      </c>
    </row>
    <row r="66" spans="1:48">
      <c r="A66" s="288" t="s">
        <v>37</v>
      </c>
      <c r="B66" s="291">
        <v>27975.65139252253</v>
      </c>
      <c r="C66" s="289">
        <v>28689.122850000007</v>
      </c>
      <c r="D66" s="289">
        <f>'North Lanarkshire'!H98</f>
        <v>33070</v>
      </c>
      <c r="E66" s="299"/>
      <c r="F66" s="289"/>
      <c r="G66" s="306">
        <f t="shared" si="12"/>
        <v>0.15270167627310327</v>
      </c>
      <c r="H66" s="307">
        <f t="shared" si="13"/>
        <v>4380.877149999993</v>
      </c>
      <c r="I66" s="299"/>
      <c r="J66" s="291">
        <v>5859.2656853508015</v>
      </c>
      <c r="K66" s="289">
        <v>4915.2690000000002</v>
      </c>
      <c r="L66" s="289">
        <f>'North Lanarkshire'!H110</f>
        <v>7409</v>
      </c>
      <c r="M66" s="299"/>
      <c r="N66" s="289"/>
      <c r="O66" s="306">
        <f t="shared" si="14"/>
        <v>0.50734374863308584</v>
      </c>
      <c r="P66" s="307">
        <f t="shared" si="15"/>
        <v>2493.7309999999998</v>
      </c>
      <c r="Q66" s="299"/>
      <c r="R66" s="291">
        <v>5915.9321927320761</v>
      </c>
      <c r="S66" s="289">
        <v>6746.41</v>
      </c>
      <c r="T66" s="289">
        <f>'North Lanarkshire'!H111</f>
        <v>6305</v>
      </c>
      <c r="U66" s="299"/>
      <c r="V66" s="289"/>
      <c r="W66" s="306">
        <f t="shared" si="16"/>
        <v>-6.5428872541099636E-2</v>
      </c>
      <c r="X66" s="307">
        <f t="shared" si="17"/>
        <v>-441.40999999999985</v>
      </c>
      <c r="Y66" s="299"/>
      <c r="Z66" s="291">
        <v>5905.0886404118046</v>
      </c>
      <c r="AA66" s="289">
        <v>5945.2739999999994</v>
      </c>
      <c r="AB66" s="289">
        <f>'North Lanarkshire'!H112</f>
        <v>6171</v>
      </c>
      <c r="AC66" s="299"/>
      <c r="AD66" s="289"/>
      <c r="AE66" s="306">
        <f t="shared" si="18"/>
        <v>3.7967299740937266E-2</v>
      </c>
      <c r="AF66" s="307">
        <f t="shared" si="19"/>
        <v>225.72600000000057</v>
      </c>
      <c r="AG66" s="16"/>
      <c r="AH66" s="291">
        <v>0</v>
      </c>
      <c r="AI66" s="289">
        <v>0</v>
      </c>
      <c r="AJ66" s="289">
        <f>'North Lanarkshire'!H113</f>
        <v>0</v>
      </c>
      <c r="AK66" s="299"/>
      <c r="AL66" s="289"/>
      <c r="AM66" s="306" t="e">
        <f t="shared" si="20"/>
        <v>#DIV/0!</v>
      </c>
      <c r="AN66" s="307">
        <f t="shared" si="21"/>
        <v>0</v>
      </c>
      <c r="AO66" s="299"/>
      <c r="AP66" s="291">
        <v>10295.364874027848</v>
      </c>
      <c r="AQ66" s="289">
        <v>11082.169850000008</v>
      </c>
      <c r="AR66" s="289">
        <f>'North Lanarkshire'!H114</f>
        <v>13185</v>
      </c>
      <c r="AS66" s="299"/>
      <c r="AT66" s="289"/>
      <c r="AU66" s="306">
        <f t="shared" si="22"/>
        <v>0.1897489551651288</v>
      </c>
      <c r="AV66" s="307">
        <f t="shared" si="23"/>
        <v>2102.8301499999925</v>
      </c>
    </row>
    <row r="67" spans="1:48">
      <c r="A67" s="288" t="s">
        <v>38</v>
      </c>
      <c r="B67" s="291">
        <v>2643</v>
      </c>
      <c r="C67" s="289">
        <v>2832</v>
      </c>
      <c r="D67" s="289">
        <f>'Orkney Islands'!H98</f>
        <v>3362</v>
      </c>
      <c r="E67" s="299"/>
      <c r="F67" s="289"/>
      <c r="G67" s="267">
        <f t="shared" si="12"/>
        <v>0.18714689265536721</v>
      </c>
      <c r="H67" s="269">
        <f t="shared" si="13"/>
        <v>530</v>
      </c>
      <c r="I67" s="299"/>
      <c r="J67" s="291">
        <v>773</v>
      </c>
      <c r="K67" s="289">
        <v>857</v>
      </c>
      <c r="L67" s="289">
        <f>'Orkney Islands'!H110</f>
        <v>882</v>
      </c>
      <c r="M67" s="299"/>
      <c r="N67" s="289"/>
      <c r="O67" s="267">
        <f t="shared" si="14"/>
        <v>2.9171528588098017E-2</v>
      </c>
      <c r="P67" s="269">
        <f t="shared" si="15"/>
        <v>25</v>
      </c>
      <c r="Q67" s="299"/>
      <c r="R67" s="291">
        <v>439</v>
      </c>
      <c r="S67" s="289">
        <v>673</v>
      </c>
      <c r="T67" s="289">
        <f>'Orkney Islands'!H111</f>
        <v>757</v>
      </c>
      <c r="U67" s="299"/>
      <c r="V67" s="289"/>
      <c r="W67" s="267">
        <f t="shared" si="16"/>
        <v>0.12481426448736999</v>
      </c>
      <c r="X67" s="269">
        <f t="shared" si="17"/>
        <v>84</v>
      </c>
      <c r="Y67" s="299"/>
      <c r="Z67" s="291">
        <v>1144</v>
      </c>
      <c r="AA67" s="289">
        <v>1039</v>
      </c>
      <c r="AB67" s="289">
        <f>'Orkney Islands'!H112</f>
        <v>1429</v>
      </c>
      <c r="AC67" s="299"/>
      <c r="AD67" s="289"/>
      <c r="AE67" s="267">
        <f t="shared" si="18"/>
        <v>0.37536092396535126</v>
      </c>
      <c r="AF67" s="269">
        <f t="shared" si="19"/>
        <v>390</v>
      </c>
      <c r="AG67" s="16"/>
      <c r="AH67" s="291">
        <v>283</v>
      </c>
      <c r="AI67" s="289">
        <v>263</v>
      </c>
      <c r="AJ67" s="289">
        <f>'Orkney Islands'!H113</f>
        <v>294</v>
      </c>
      <c r="AK67" s="299"/>
      <c r="AL67" s="289"/>
      <c r="AM67" s="267">
        <f t="shared" si="20"/>
        <v>0.11787072243346008</v>
      </c>
      <c r="AN67" s="269">
        <f t="shared" si="21"/>
        <v>31</v>
      </c>
      <c r="AO67" s="299"/>
      <c r="AP67" s="291">
        <v>4</v>
      </c>
      <c r="AQ67" s="289">
        <v>0</v>
      </c>
      <c r="AR67" s="289">
        <f>'Orkney Islands'!H114</f>
        <v>0</v>
      </c>
      <c r="AS67" s="299"/>
      <c r="AT67" s="289"/>
      <c r="AU67" s="267" t="e">
        <f t="shared" si="22"/>
        <v>#DIV/0!</v>
      </c>
      <c r="AV67" s="269">
        <f t="shared" si="23"/>
        <v>0</v>
      </c>
    </row>
    <row r="68" spans="1:48">
      <c r="A68" s="288" t="s">
        <v>39</v>
      </c>
      <c r="B68" s="291">
        <v>20399</v>
      </c>
      <c r="C68" s="289">
        <v>20545</v>
      </c>
      <c r="D68" s="289">
        <f>'Perth &amp; Kinross'!H98</f>
        <v>21181</v>
      </c>
      <c r="E68" s="299"/>
      <c r="F68" s="289"/>
      <c r="G68" s="267">
        <f t="shared" si="12"/>
        <v>3.0956437089316058E-2</v>
      </c>
      <c r="H68" s="269">
        <f t="shared" si="13"/>
        <v>636</v>
      </c>
      <c r="I68" s="299"/>
      <c r="J68" s="291">
        <v>5923</v>
      </c>
      <c r="K68" s="289">
        <v>6135</v>
      </c>
      <c r="L68" s="289">
        <f>'Perth &amp; Kinross'!H110</f>
        <v>7562</v>
      </c>
      <c r="M68" s="299"/>
      <c r="N68" s="289"/>
      <c r="O68" s="267">
        <f t="shared" si="14"/>
        <v>0.2325998370008151</v>
      </c>
      <c r="P68" s="269">
        <f t="shared" si="15"/>
        <v>1427</v>
      </c>
      <c r="Q68" s="299"/>
      <c r="R68" s="291">
        <v>6692</v>
      </c>
      <c r="S68" s="289">
        <v>6723</v>
      </c>
      <c r="T68" s="289">
        <f>'Perth &amp; Kinross'!H111</f>
        <v>6556</v>
      </c>
      <c r="U68" s="299"/>
      <c r="V68" s="289"/>
      <c r="W68" s="267">
        <f t="shared" si="16"/>
        <v>-2.484010114532198E-2</v>
      </c>
      <c r="X68" s="269">
        <f t="shared" si="17"/>
        <v>-167</v>
      </c>
      <c r="Y68" s="299"/>
      <c r="Z68" s="291">
        <v>5541</v>
      </c>
      <c r="AA68" s="289">
        <v>5630</v>
      </c>
      <c r="AB68" s="289">
        <f>'Perth &amp; Kinross'!H112</f>
        <v>4975</v>
      </c>
      <c r="AC68" s="299"/>
      <c r="AD68" s="289"/>
      <c r="AE68" s="267">
        <f t="shared" si="18"/>
        <v>-0.11634103019538189</v>
      </c>
      <c r="AF68" s="269">
        <f t="shared" si="19"/>
        <v>-655</v>
      </c>
      <c r="AG68" s="16"/>
      <c r="AH68" s="291">
        <v>552</v>
      </c>
      <c r="AI68" s="289">
        <v>513</v>
      </c>
      <c r="AJ68" s="289">
        <f>'Perth &amp; Kinross'!H113</f>
        <v>555</v>
      </c>
      <c r="AK68" s="299"/>
      <c r="AL68" s="289"/>
      <c r="AM68" s="267">
        <f t="shared" si="20"/>
        <v>8.1871345029239873E-2</v>
      </c>
      <c r="AN68" s="269">
        <f t="shared" si="21"/>
        <v>42</v>
      </c>
      <c r="AO68" s="299"/>
      <c r="AP68" s="291">
        <v>1691</v>
      </c>
      <c r="AQ68" s="289">
        <v>1544</v>
      </c>
      <c r="AR68" s="289">
        <f>'Perth &amp; Kinross'!H114</f>
        <v>1533</v>
      </c>
      <c r="AS68" s="299"/>
      <c r="AT68" s="289"/>
      <c r="AU68" s="267">
        <f t="shared" si="22"/>
        <v>-7.1243523316062429E-3</v>
      </c>
      <c r="AV68" s="269">
        <f t="shared" si="23"/>
        <v>-11</v>
      </c>
    </row>
    <row r="69" spans="1:48">
      <c r="A69" s="288" t="s">
        <v>40</v>
      </c>
      <c r="B69" s="291">
        <v>36459</v>
      </c>
      <c r="C69" s="289">
        <v>43128</v>
      </c>
      <c r="D69" s="289">
        <f>Renfrewshire!H98</f>
        <v>34825</v>
      </c>
      <c r="E69" s="299"/>
      <c r="F69" s="289"/>
      <c r="G69" s="267">
        <f t="shared" si="12"/>
        <v>-0.19251994064181044</v>
      </c>
      <c r="H69" s="269">
        <f t="shared" si="13"/>
        <v>-8303</v>
      </c>
      <c r="I69" s="299"/>
      <c r="J69" s="291">
        <v>6299</v>
      </c>
      <c r="K69" s="289">
        <v>6845</v>
      </c>
      <c r="L69" s="289">
        <f>Renfrewshire!H110</f>
        <v>5773</v>
      </c>
      <c r="M69" s="299"/>
      <c r="N69" s="289"/>
      <c r="O69" s="267">
        <f t="shared" si="14"/>
        <v>-0.15661066471877283</v>
      </c>
      <c r="P69" s="269">
        <f t="shared" si="15"/>
        <v>-1072</v>
      </c>
      <c r="Q69" s="299"/>
      <c r="R69" s="291">
        <v>12154</v>
      </c>
      <c r="S69" s="289">
        <v>13084</v>
      </c>
      <c r="T69" s="289">
        <f>Renfrewshire!H111</f>
        <v>12154</v>
      </c>
      <c r="U69" s="299"/>
      <c r="V69" s="289"/>
      <c r="W69" s="267">
        <f t="shared" si="16"/>
        <v>-7.1079180678691567E-2</v>
      </c>
      <c r="X69" s="269">
        <f t="shared" si="17"/>
        <v>-930</v>
      </c>
      <c r="Y69" s="299"/>
      <c r="Z69" s="291">
        <v>8127</v>
      </c>
      <c r="AA69" s="289">
        <v>8215</v>
      </c>
      <c r="AB69" s="289">
        <f>Renfrewshire!H112</f>
        <v>8331</v>
      </c>
      <c r="AC69" s="299"/>
      <c r="AD69" s="289"/>
      <c r="AE69" s="267">
        <f t="shared" si="18"/>
        <v>1.4120511259890334E-2</v>
      </c>
      <c r="AF69" s="269">
        <f t="shared" si="19"/>
        <v>116</v>
      </c>
      <c r="AG69" s="16"/>
      <c r="AH69" s="291">
        <v>5602</v>
      </c>
      <c r="AI69" s="289">
        <v>5797</v>
      </c>
      <c r="AJ69" s="289">
        <f>Renfrewshire!H113</f>
        <v>5281</v>
      </c>
      <c r="AK69" s="299"/>
      <c r="AL69" s="289"/>
      <c r="AM69" s="267">
        <f t="shared" si="20"/>
        <v>-8.9011557702259769E-2</v>
      </c>
      <c r="AN69" s="269">
        <f t="shared" si="21"/>
        <v>-516</v>
      </c>
      <c r="AO69" s="299"/>
      <c r="AP69" s="291">
        <v>4277</v>
      </c>
      <c r="AQ69" s="289">
        <v>9187</v>
      </c>
      <c r="AR69" s="289">
        <f>Renfrewshire!H114</f>
        <v>3286</v>
      </c>
      <c r="AS69" s="299"/>
      <c r="AT69" s="289"/>
      <c r="AU69" s="267">
        <f t="shared" si="22"/>
        <v>-0.64232067051268094</v>
      </c>
      <c r="AV69" s="269">
        <f t="shared" si="23"/>
        <v>-5901</v>
      </c>
    </row>
    <row r="70" spans="1:48">
      <c r="A70" s="288" t="s">
        <v>41</v>
      </c>
      <c r="B70" s="291">
        <v>15256</v>
      </c>
      <c r="C70" s="289">
        <v>16417</v>
      </c>
      <c r="D70" s="289">
        <f>'Scottish Borders'!H98</f>
        <v>14921</v>
      </c>
      <c r="E70" s="299"/>
      <c r="F70" s="289"/>
      <c r="G70" s="267">
        <f t="shared" si="12"/>
        <v>-9.1125053298410141E-2</v>
      </c>
      <c r="H70" s="269">
        <f t="shared" si="13"/>
        <v>-1496</v>
      </c>
      <c r="I70" s="299"/>
      <c r="J70" s="291">
        <v>6111</v>
      </c>
      <c r="K70" s="289">
        <v>7318</v>
      </c>
      <c r="L70" s="289">
        <f>'Scottish Borders'!H110</f>
        <v>6435</v>
      </c>
      <c r="M70" s="299"/>
      <c r="N70" s="289"/>
      <c r="O70" s="267">
        <f t="shared" si="14"/>
        <v>-0.12066138289150041</v>
      </c>
      <c r="P70" s="269">
        <f t="shared" si="15"/>
        <v>-883</v>
      </c>
      <c r="Q70" s="299"/>
      <c r="R70" s="291">
        <v>2657</v>
      </c>
      <c r="S70" s="289">
        <v>2845</v>
      </c>
      <c r="T70" s="289">
        <f>'Scottish Borders'!H111</f>
        <v>2988</v>
      </c>
      <c r="U70" s="299"/>
      <c r="V70" s="289"/>
      <c r="W70" s="267">
        <f t="shared" si="16"/>
        <v>5.0263620386643337E-2</v>
      </c>
      <c r="X70" s="269">
        <f t="shared" si="17"/>
        <v>143</v>
      </c>
      <c r="Y70" s="299"/>
      <c r="Z70" s="291">
        <v>5147</v>
      </c>
      <c r="AA70" s="289">
        <v>5539</v>
      </c>
      <c r="AB70" s="289">
        <f>'Scottish Borders'!H112</f>
        <v>5290</v>
      </c>
      <c r="AC70" s="299"/>
      <c r="AD70" s="289"/>
      <c r="AE70" s="267">
        <f t="shared" si="18"/>
        <v>-4.4953962809171299E-2</v>
      </c>
      <c r="AF70" s="269">
        <f t="shared" si="19"/>
        <v>-249</v>
      </c>
      <c r="AG70" s="16"/>
      <c r="AH70" s="291">
        <v>77</v>
      </c>
      <c r="AI70" s="289">
        <v>0</v>
      </c>
      <c r="AJ70" s="289">
        <f>'Scottish Borders'!H113</f>
        <v>0</v>
      </c>
      <c r="AK70" s="299"/>
      <c r="AL70" s="289"/>
      <c r="AM70" s="267" t="e">
        <f t="shared" si="20"/>
        <v>#DIV/0!</v>
      </c>
      <c r="AN70" s="269">
        <f t="shared" si="21"/>
        <v>0</v>
      </c>
      <c r="AO70" s="299"/>
      <c r="AP70" s="291">
        <v>1264</v>
      </c>
      <c r="AQ70" s="289">
        <v>715</v>
      </c>
      <c r="AR70" s="289">
        <f>'Scottish Borders'!H114</f>
        <v>208</v>
      </c>
      <c r="AS70" s="299"/>
      <c r="AT70" s="289"/>
      <c r="AU70" s="267">
        <f t="shared" si="22"/>
        <v>-0.70909090909090911</v>
      </c>
      <c r="AV70" s="269">
        <f t="shared" si="23"/>
        <v>-507</v>
      </c>
    </row>
    <row r="71" spans="1:48">
      <c r="A71" s="288" t="s">
        <v>42</v>
      </c>
      <c r="B71" s="291">
        <v>5831</v>
      </c>
      <c r="C71" s="289">
        <v>6011</v>
      </c>
      <c r="D71" s="289">
        <f>'Shetland Islands'!H98</f>
        <v>6904</v>
      </c>
      <c r="E71" s="299"/>
      <c r="F71" s="289"/>
      <c r="G71" s="267">
        <f t="shared" si="12"/>
        <v>0.14856097155215431</v>
      </c>
      <c r="H71" s="269">
        <f t="shared" si="13"/>
        <v>893</v>
      </c>
      <c r="I71" s="299"/>
      <c r="J71" s="291">
        <v>2040</v>
      </c>
      <c r="K71" s="289">
        <v>1908</v>
      </c>
      <c r="L71" s="289">
        <f>'Shetland Islands'!H110</f>
        <v>1947</v>
      </c>
      <c r="M71" s="299"/>
      <c r="N71" s="289"/>
      <c r="O71" s="267">
        <f t="shared" si="14"/>
        <v>2.0440251572326984E-2</v>
      </c>
      <c r="P71" s="269">
        <f t="shared" si="15"/>
        <v>39</v>
      </c>
      <c r="Q71" s="299"/>
      <c r="R71" s="291">
        <v>510</v>
      </c>
      <c r="S71" s="289">
        <v>576</v>
      </c>
      <c r="T71" s="289">
        <f>'Shetland Islands'!H111</f>
        <v>525</v>
      </c>
      <c r="U71" s="299"/>
      <c r="V71" s="289"/>
      <c r="W71" s="267">
        <f t="shared" si="16"/>
        <v>-8.854166666666663E-2</v>
      </c>
      <c r="X71" s="269">
        <f t="shared" si="17"/>
        <v>-51</v>
      </c>
      <c r="Y71" s="299"/>
      <c r="Z71" s="291">
        <v>2198</v>
      </c>
      <c r="AA71" s="289">
        <v>2358</v>
      </c>
      <c r="AB71" s="289">
        <f>'Shetland Islands'!H112</f>
        <v>2919</v>
      </c>
      <c r="AC71" s="299"/>
      <c r="AD71" s="289"/>
      <c r="AE71" s="267">
        <f t="shared" si="18"/>
        <v>0.2379134860050891</v>
      </c>
      <c r="AF71" s="269">
        <f t="shared" si="19"/>
        <v>561</v>
      </c>
      <c r="AG71" s="16"/>
      <c r="AH71" s="291">
        <v>313</v>
      </c>
      <c r="AI71" s="289">
        <v>292</v>
      </c>
      <c r="AJ71" s="289">
        <f>'Shetland Islands'!H113</f>
        <v>314</v>
      </c>
      <c r="AK71" s="299"/>
      <c r="AL71" s="289"/>
      <c r="AM71" s="267">
        <f t="shared" si="20"/>
        <v>7.5342465753424737E-2</v>
      </c>
      <c r="AN71" s="269">
        <f t="shared" si="21"/>
        <v>22</v>
      </c>
      <c r="AO71" s="299"/>
      <c r="AP71" s="291">
        <v>770</v>
      </c>
      <c r="AQ71" s="289">
        <v>877</v>
      </c>
      <c r="AR71" s="289">
        <f>'Shetland Islands'!H114</f>
        <v>1199</v>
      </c>
      <c r="AS71" s="299"/>
      <c r="AT71" s="289"/>
      <c r="AU71" s="267">
        <f t="shared" si="22"/>
        <v>0.36716077537058145</v>
      </c>
      <c r="AV71" s="269">
        <f t="shared" si="23"/>
        <v>322</v>
      </c>
    </row>
    <row r="72" spans="1:48">
      <c r="A72" s="288" t="s">
        <v>43</v>
      </c>
      <c r="B72" s="291">
        <v>19643</v>
      </c>
      <c r="C72" s="289">
        <v>16649</v>
      </c>
      <c r="D72" s="289">
        <f>'South Ayrshire'!H98</f>
        <v>16862</v>
      </c>
      <c r="E72" s="299"/>
      <c r="F72" s="289"/>
      <c r="G72" s="267">
        <f t="shared" si="12"/>
        <v>1.2793561174845314E-2</v>
      </c>
      <c r="H72" s="269">
        <f t="shared" si="13"/>
        <v>213</v>
      </c>
      <c r="I72" s="299"/>
      <c r="J72" s="291">
        <v>3622</v>
      </c>
      <c r="K72" s="289">
        <v>2871</v>
      </c>
      <c r="L72" s="289">
        <f>'South Ayrshire'!H110</f>
        <v>3214</v>
      </c>
      <c r="M72" s="299"/>
      <c r="N72" s="289"/>
      <c r="O72" s="267">
        <f t="shared" si="14"/>
        <v>0.11947056774642983</v>
      </c>
      <c r="P72" s="269">
        <f t="shared" si="15"/>
        <v>343</v>
      </c>
      <c r="Q72" s="299"/>
      <c r="R72" s="291">
        <v>6231</v>
      </c>
      <c r="S72" s="289">
        <v>5836</v>
      </c>
      <c r="T72" s="289">
        <f>'South Ayrshire'!H111</f>
        <v>5813</v>
      </c>
      <c r="U72" s="299"/>
      <c r="V72" s="289"/>
      <c r="W72" s="267">
        <f t="shared" si="16"/>
        <v>-3.9410555174776984E-3</v>
      </c>
      <c r="X72" s="269">
        <f t="shared" si="17"/>
        <v>-23</v>
      </c>
      <c r="Y72" s="299"/>
      <c r="Z72" s="291">
        <v>7260</v>
      </c>
      <c r="AA72" s="289">
        <v>5734</v>
      </c>
      <c r="AB72" s="289">
        <f>'South Ayrshire'!H112</f>
        <v>5630</v>
      </c>
      <c r="AC72" s="299"/>
      <c r="AD72" s="289"/>
      <c r="AE72" s="267">
        <f t="shared" si="18"/>
        <v>-1.8137425880711544E-2</v>
      </c>
      <c r="AF72" s="269">
        <f t="shared" si="19"/>
        <v>-104</v>
      </c>
      <c r="AG72" s="16"/>
      <c r="AH72" s="291">
        <v>231</v>
      </c>
      <c r="AI72" s="289">
        <v>202</v>
      </c>
      <c r="AJ72" s="289">
        <f>'South Ayrshire'!H113</f>
        <v>202</v>
      </c>
      <c r="AK72" s="299"/>
      <c r="AL72" s="289"/>
      <c r="AM72" s="267">
        <f t="shared" si="20"/>
        <v>0</v>
      </c>
      <c r="AN72" s="269">
        <f t="shared" si="21"/>
        <v>0</v>
      </c>
      <c r="AO72" s="299"/>
      <c r="AP72" s="291">
        <v>2299</v>
      </c>
      <c r="AQ72" s="289">
        <v>2006</v>
      </c>
      <c r="AR72" s="289">
        <f>'South Ayrshire'!H114</f>
        <v>2003</v>
      </c>
      <c r="AS72" s="299"/>
      <c r="AT72" s="289"/>
      <c r="AU72" s="267">
        <f t="shared" si="22"/>
        <v>-1.4955134596211783E-3</v>
      </c>
      <c r="AV72" s="269">
        <f t="shared" si="23"/>
        <v>-3</v>
      </c>
    </row>
    <row r="73" spans="1:48">
      <c r="A73" s="288" t="s">
        <v>44</v>
      </c>
      <c r="B73" s="291">
        <v>29318</v>
      </c>
      <c r="C73" s="289">
        <v>32754</v>
      </c>
      <c r="D73" s="289">
        <f>'South Lanarkshire'!H98</f>
        <v>34335</v>
      </c>
      <c r="E73" s="299"/>
      <c r="F73" s="289"/>
      <c r="G73" s="267">
        <f t="shared" si="12"/>
        <v>4.8268913720461715E-2</v>
      </c>
      <c r="H73" s="269">
        <f t="shared" si="13"/>
        <v>1581</v>
      </c>
      <c r="I73" s="299"/>
      <c r="J73" s="291">
        <v>10390</v>
      </c>
      <c r="K73" s="289">
        <v>11134</v>
      </c>
      <c r="L73" s="289">
        <f>'South Lanarkshire'!H110</f>
        <v>11314</v>
      </c>
      <c r="M73" s="299"/>
      <c r="N73" s="289"/>
      <c r="O73" s="267">
        <f t="shared" si="14"/>
        <v>1.6166696604993813E-2</v>
      </c>
      <c r="P73" s="269">
        <f t="shared" si="15"/>
        <v>180</v>
      </c>
      <c r="Q73" s="299"/>
      <c r="R73" s="291">
        <v>7378</v>
      </c>
      <c r="S73" s="289">
        <v>8516</v>
      </c>
      <c r="T73" s="289">
        <f>'South Lanarkshire'!H111</f>
        <v>8733</v>
      </c>
      <c r="U73" s="299"/>
      <c r="V73" s="289"/>
      <c r="W73" s="267">
        <f t="shared" si="16"/>
        <v>2.5481446688586207E-2</v>
      </c>
      <c r="X73" s="269">
        <f t="shared" si="17"/>
        <v>217</v>
      </c>
      <c r="Y73" s="299"/>
      <c r="Z73" s="291">
        <v>8125</v>
      </c>
      <c r="AA73" s="289">
        <v>9280</v>
      </c>
      <c r="AB73" s="289">
        <f>'South Lanarkshire'!H112</f>
        <v>10490</v>
      </c>
      <c r="AC73" s="299"/>
      <c r="AD73" s="289"/>
      <c r="AE73" s="267">
        <f t="shared" si="18"/>
        <v>0.13038793103448265</v>
      </c>
      <c r="AF73" s="269">
        <f t="shared" si="19"/>
        <v>1210</v>
      </c>
      <c r="AG73" s="16"/>
      <c r="AH73" s="291">
        <v>0</v>
      </c>
      <c r="AI73" s="289">
        <v>0</v>
      </c>
      <c r="AJ73" s="289">
        <f>'South Lanarkshire'!H113</f>
        <v>0</v>
      </c>
      <c r="AK73" s="299"/>
      <c r="AL73" s="289"/>
      <c r="AM73" s="267" t="e">
        <f t="shared" si="20"/>
        <v>#DIV/0!</v>
      </c>
      <c r="AN73" s="269">
        <f t="shared" si="21"/>
        <v>0</v>
      </c>
      <c r="AO73" s="299"/>
      <c r="AP73" s="291">
        <v>3425</v>
      </c>
      <c r="AQ73" s="289">
        <v>3824</v>
      </c>
      <c r="AR73" s="289">
        <f>'South Lanarkshire'!H114</f>
        <v>3798</v>
      </c>
      <c r="AS73" s="299"/>
      <c r="AT73" s="289"/>
      <c r="AU73" s="267">
        <f t="shared" si="22"/>
        <v>-6.7991631799163565E-3</v>
      </c>
      <c r="AV73" s="269">
        <f t="shared" si="23"/>
        <v>-26</v>
      </c>
    </row>
    <row r="74" spans="1:48">
      <c r="A74" s="288" t="s">
        <v>45</v>
      </c>
      <c r="B74" s="291">
        <v>10901</v>
      </c>
      <c r="C74" s="289">
        <v>11732</v>
      </c>
      <c r="D74" s="289">
        <f>Stirling!H98</f>
        <v>10681</v>
      </c>
      <c r="E74" s="299"/>
      <c r="F74" s="289"/>
      <c r="G74" s="267">
        <f t="shared" si="12"/>
        <v>-8.9584043641322886E-2</v>
      </c>
      <c r="H74" s="269">
        <f t="shared" si="13"/>
        <v>-1051</v>
      </c>
      <c r="I74" s="299"/>
      <c r="J74" s="291">
        <v>2790</v>
      </c>
      <c r="K74" s="289">
        <v>3030</v>
      </c>
      <c r="L74" s="289">
        <f>Stirling!H110</f>
        <v>3044</v>
      </c>
      <c r="M74" s="299"/>
      <c r="N74" s="289"/>
      <c r="O74" s="267">
        <f t="shared" si="14"/>
        <v>4.6204620462046986E-3</v>
      </c>
      <c r="P74" s="269">
        <f t="shared" si="15"/>
        <v>14</v>
      </c>
      <c r="Q74" s="299"/>
      <c r="R74" s="291">
        <v>2553</v>
      </c>
      <c r="S74" s="289">
        <v>2792</v>
      </c>
      <c r="T74" s="289">
        <f>Stirling!H111</f>
        <v>2327</v>
      </c>
      <c r="U74" s="299"/>
      <c r="V74" s="289"/>
      <c r="W74" s="267">
        <f t="shared" si="16"/>
        <v>-0.16654727793696278</v>
      </c>
      <c r="X74" s="269">
        <f t="shared" si="17"/>
        <v>-465</v>
      </c>
      <c r="Y74" s="299"/>
      <c r="Z74" s="291">
        <v>3152</v>
      </c>
      <c r="AA74" s="289">
        <v>4105</v>
      </c>
      <c r="AB74" s="289">
        <f>Stirling!H112</f>
        <v>3406</v>
      </c>
      <c r="AC74" s="299"/>
      <c r="AD74" s="289"/>
      <c r="AE74" s="267">
        <f t="shared" si="18"/>
        <v>-0.17028014616321563</v>
      </c>
      <c r="AF74" s="269">
        <f t="shared" si="19"/>
        <v>-699</v>
      </c>
      <c r="AG74" s="16"/>
      <c r="AH74" s="291">
        <v>59</v>
      </c>
      <c r="AI74" s="289">
        <v>59</v>
      </c>
      <c r="AJ74" s="289">
        <f>Stirling!H113</f>
        <v>53</v>
      </c>
      <c r="AK74" s="299"/>
      <c r="AL74" s="289"/>
      <c r="AM74" s="267">
        <f t="shared" si="20"/>
        <v>-0.10169491525423724</v>
      </c>
      <c r="AN74" s="269">
        <f t="shared" si="21"/>
        <v>-6</v>
      </c>
      <c r="AO74" s="299"/>
      <c r="AP74" s="291">
        <v>2347</v>
      </c>
      <c r="AQ74" s="289">
        <v>1746</v>
      </c>
      <c r="AR74" s="289">
        <f>Stirling!H114</f>
        <v>1851</v>
      </c>
      <c r="AS74" s="299"/>
      <c r="AT74" s="289"/>
      <c r="AU74" s="267">
        <f t="shared" si="22"/>
        <v>6.0137457044673548E-2</v>
      </c>
      <c r="AV74" s="269">
        <f t="shared" si="23"/>
        <v>105</v>
      </c>
    </row>
    <row r="75" spans="1:48">
      <c r="A75" s="288" t="s">
        <v>46</v>
      </c>
      <c r="B75" s="291">
        <v>16250.5</v>
      </c>
      <c r="C75" s="289">
        <v>17274</v>
      </c>
      <c r="D75" s="289">
        <f>'West Dunbartonshire'!H98</f>
        <v>18101</v>
      </c>
      <c r="E75" s="299"/>
      <c r="F75" s="289"/>
      <c r="G75" s="267">
        <f t="shared" si="12"/>
        <v>4.7875419705916356E-2</v>
      </c>
      <c r="H75" s="269">
        <f t="shared" si="13"/>
        <v>827</v>
      </c>
      <c r="I75" s="299"/>
      <c r="J75" s="291">
        <v>3019</v>
      </c>
      <c r="K75" s="289">
        <v>2724</v>
      </c>
      <c r="L75" s="289">
        <f>'West Dunbartonshire'!H110</f>
        <v>2682</v>
      </c>
      <c r="M75" s="299"/>
      <c r="N75" s="289"/>
      <c r="O75" s="267">
        <f t="shared" si="14"/>
        <v>-1.5418502202643181E-2</v>
      </c>
      <c r="P75" s="269">
        <f t="shared" si="15"/>
        <v>-42</v>
      </c>
      <c r="Q75" s="299"/>
      <c r="R75" s="291">
        <v>3797</v>
      </c>
      <c r="S75" s="289">
        <v>4675</v>
      </c>
      <c r="T75" s="289">
        <f>'West Dunbartonshire'!H111</f>
        <v>5403</v>
      </c>
      <c r="U75" s="299"/>
      <c r="V75" s="289"/>
      <c r="W75" s="267">
        <f t="shared" si="16"/>
        <v>0.15572192513368988</v>
      </c>
      <c r="X75" s="269">
        <f t="shared" si="17"/>
        <v>728</v>
      </c>
      <c r="Y75" s="299"/>
      <c r="Z75" s="291">
        <v>5199.5</v>
      </c>
      <c r="AA75" s="289">
        <v>5575</v>
      </c>
      <c r="AB75" s="289">
        <f>'West Dunbartonshire'!H112</f>
        <v>6178</v>
      </c>
      <c r="AC75" s="299"/>
      <c r="AD75" s="289"/>
      <c r="AE75" s="267">
        <f t="shared" si="18"/>
        <v>0.10816143497757857</v>
      </c>
      <c r="AF75" s="269">
        <f t="shared" si="19"/>
        <v>603</v>
      </c>
      <c r="AG75" s="16"/>
      <c r="AH75" s="291">
        <v>16</v>
      </c>
      <c r="AI75" s="289">
        <v>17</v>
      </c>
      <c r="AJ75" s="289">
        <f>'West Dunbartonshire'!H113</f>
        <v>18</v>
      </c>
      <c r="AK75" s="299"/>
      <c r="AL75" s="289"/>
      <c r="AM75" s="267">
        <f t="shared" si="20"/>
        <v>5.8823529411764719E-2</v>
      </c>
      <c r="AN75" s="269">
        <f t="shared" si="21"/>
        <v>1</v>
      </c>
      <c r="AO75" s="299"/>
      <c r="AP75" s="291">
        <v>4219</v>
      </c>
      <c r="AQ75" s="289">
        <v>4283</v>
      </c>
      <c r="AR75" s="289">
        <f>'West Dunbartonshire'!H114</f>
        <v>3820</v>
      </c>
      <c r="AS75" s="299"/>
      <c r="AT75" s="289"/>
      <c r="AU75" s="267">
        <f t="shared" si="22"/>
        <v>-0.10810179780527662</v>
      </c>
      <c r="AV75" s="269">
        <f t="shared" si="23"/>
        <v>-463</v>
      </c>
    </row>
    <row r="76" spans="1:48">
      <c r="A76" s="292" t="s">
        <v>47</v>
      </c>
      <c r="B76" s="296">
        <v>23584</v>
      </c>
      <c r="C76" s="293">
        <v>24796</v>
      </c>
      <c r="D76" s="293">
        <f>'West Lothian'!H98</f>
        <v>26518</v>
      </c>
      <c r="E76" s="272"/>
      <c r="F76" s="293"/>
      <c r="G76" s="294">
        <f t="shared" si="12"/>
        <v>6.9446684949185267E-2</v>
      </c>
      <c r="H76" s="295">
        <f t="shared" si="13"/>
        <v>1722</v>
      </c>
      <c r="I76" s="272"/>
      <c r="J76" s="296">
        <v>4750</v>
      </c>
      <c r="K76" s="293">
        <v>5621</v>
      </c>
      <c r="L76" s="293">
        <f>'West Lothian'!H110</f>
        <v>5811</v>
      </c>
      <c r="M76" s="272"/>
      <c r="N76" s="293"/>
      <c r="O76" s="294">
        <f t="shared" si="14"/>
        <v>3.380181462373244E-2</v>
      </c>
      <c r="P76" s="295">
        <f t="shared" si="15"/>
        <v>190</v>
      </c>
      <c r="Q76" s="272"/>
      <c r="R76" s="296">
        <v>5991</v>
      </c>
      <c r="S76" s="293">
        <v>6824</v>
      </c>
      <c r="T76" s="293">
        <f>'West Lothian'!H111</f>
        <v>7551</v>
      </c>
      <c r="U76" s="272"/>
      <c r="V76" s="293"/>
      <c r="W76" s="294">
        <f t="shared" si="16"/>
        <v>0.10653575615474797</v>
      </c>
      <c r="X76" s="295">
        <f t="shared" si="17"/>
        <v>727</v>
      </c>
      <c r="Y76" s="272"/>
      <c r="Z76" s="296">
        <v>7331</v>
      </c>
      <c r="AA76" s="293">
        <v>7457</v>
      </c>
      <c r="AB76" s="293">
        <f>'West Lothian'!H112</f>
        <v>8245</v>
      </c>
      <c r="AC76" s="272"/>
      <c r="AD76" s="293"/>
      <c r="AE76" s="294">
        <f t="shared" si="18"/>
        <v>0.10567252246211623</v>
      </c>
      <c r="AF76" s="295">
        <f t="shared" si="19"/>
        <v>788</v>
      </c>
      <c r="AG76" s="308"/>
      <c r="AH76" s="296">
        <v>1576</v>
      </c>
      <c r="AI76" s="293">
        <v>1618</v>
      </c>
      <c r="AJ76" s="293">
        <f>'West Lothian'!H113</f>
        <v>1416</v>
      </c>
      <c r="AK76" s="272"/>
      <c r="AL76" s="293"/>
      <c r="AM76" s="294">
        <f t="shared" si="20"/>
        <v>-0.12484548825710751</v>
      </c>
      <c r="AN76" s="295">
        <f t="shared" si="21"/>
        <v>-202</v>
      </c>
      <c r="AO76" s="272"/>
      <c r="AP76" s="296">
        <v>3936</v>
      </c>
      <c r="AQ76" s="293">
        <v>3276</v>
      </c>
      <c r="AR76" s="293">
        <f>'West Lothian'!H114</f>
        <v>3495</v>
      </c>
      <c r="AS76" s="272"/>
      <c r="AT76" s="293"/>
      <c r="AU76" s="294">
        <f t="shared" si="22"/>
        <v>6.6849816849816834E-2</v>
      </c>
      <c r="AV76" s="295">
        <f t="shared" si="23"/>
        <v>219</v>
      </c>
    </row>
    <row r="77" spans="1:48">
      <c r="B77" s="205" t="s">
        <v>290</v>
      </c>
      <c r="C77" s="205"/>
      <c r="D77" s="205"/>
      <c r="E77" s="205" t="s">
        <v>289</v>
      </c>
      <c r="J77" s="205" t="s">
        <v>291</v>
      </c>
      <c r="K77" s="205"/>
      <c r="L77" s="205"/>
      <c r="M77" s="205" t="s">
        <v>292</v>
      </c>
      <c r="R77" s="205" t="s">
        <v>293</v>
      </c>
      <c r="S77" s="205"/>
      <c r="T77" s="205"/>
      <c r="U77" s="205" t="s">
        <v>294</v>
      </c>
      <c r="Z77" s="205" t="s">
        <v>295</v>
      </c>
      <c r="AA77" s="205"/>
      <c r="AB77" s="205"/>
      <c r="AC77" s="205" t="s">
        <v>296</v>
      </c>
      <c r="AH77" s="205" t="s">
        <v>297</v>
      </c>
      <c r="AI77" s="205"/>
      <c r="AJ77" s="205"/>
      <c r="AK77" s="205" t="s">
        <v>298</v>
      </c>
      <c r="AP77" s="205" t="s">
        <v>299</v>
      </c>
      <c r="AQ77" s="205"/>
      <c r="AR77" s="205"/>
      <c r="AS77" s="205" t="s">
        <v>300</v>
      </c>
    </row>
    <row r="78" spans="1:48">
      <c r="A78" s="205" t="s">
        <v>387</v>
      </c>
    </row>
  </sheetData>
  <mergeCells count="36">
    <mergeCell ref="J41:P41"/>
    <mergeCell ref="R41:X41"/>
    <mergeCell ref="Z41:AF41"/>
    <mergeCell ref="AH41:AN41"/>
    <mergeCell ref="AP41:AV41"/>
    <mergeCell ref="AP2:AV2"/>
    <mergeCell ref="B3:E3"/>
    <mergeCell ref="G3:H3"/>
    <mergeCell ref="AH42:AK42"/>
    <mergeCell ref="AM42:AN42"/>
    <mergeCell ref="AP42:AS42"/>
    <mergeCell ref="AU42:AV42"/>
    <mergeCell ref="B42:E42"/>
    <mergeCell ref="G42:H42"/>
    <mergeCell ref="J42:M42"/>
    <mergeCell ref="O42:P42"/>
    <mergeCell ref="R42:U42"/>
    <mergeCell ref="W42:X42"/>
    <mergeCell ref="Z42:AC42"/>
    <mergeCell ref="AE42:AF42"/>
    <mergeCell ref="B41:H41"/>
    <mergeCell ref="B2:H2"/>
    <mergeCell ref="J2:P2"/>
    <mergeCell ref="R2:X2"/>
    <mergeCell ref="Z2:AF2"/>
    <mergeCell ref="AH2:AN2"/>
    <mergeCell ref="AH3:AK3"/>
    <mergeCell ref="AM3:AN3"/>
    <mergeCell ref="AP3:AS3"/>
    <mergeCell ref="AU3:AV3"/>
    <mergeCell ref="J3:M3"/>
    <mergeCell ref="O3:P3"/>
    <mergeCell ref="R3:U3"/>
    <mergeCell ref="W3:X3"/>
    <mergeCell ref="Z3:AC3"/>
    <mergeCell ref="AE3:AF3"/>
  </mergeCell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6">
    <tabColor theme="9"/>
  </sheetPr>
  <dimension ref="A1:T39"/>
  <sheetViews>
    <sheetView workbookViewId="0">
      <selection activeCell="A3" sqref="A3"/>
    </sheetView>
  </sheetViews>
  <sheetFormatPr defaultColWidth="9.140625" defaultRowHeight="12.75"/>
  <cols>
    <col min="1" max="1" width="18.7109375" style="271" bestFit="1" customWidth="1"/>
    <col min="2" max="7" width="9.140625" style="271"/>
    <col min="8" max="8" width="7.5703125" style="271" customWidth="1"/>
    <col min="9" max="9" width="1.42578125" style="271" customWidth="1"/>
    <col min="10" max="10" width="9.7109375" style="271" customWidth="1"/>
    <col min="11" max="11" width="2.42578125" style="271" customWidth="1"/>
    <col min="12" max="17" width="9.140625" style="271"/>
    <col min="18" max="18" width="7.5703125" style="271" customWidth="1"/>
    <col min="19" max="19" width="1.42578125" style="271" customWidth="1"/>
    <col min="20" max="20" width="9.7109375" style="271" customWidth="1"/>
    <col min="21" max="16384" width="9.140625" style="271"/>
  </cols>
  <sheetData>
    <row r="1" spans="1:20">
      <c r="A1" s="270" t="s">
        <v>315</v>
      </c>
      <c r="H1" s="272"/>
      <c r="I1" s="272"/>
      <c r="J1" s="272"/>
      <c r="R1" s="272"/>
      <c r="S1" s="272"/>
      <c r="T1" s="272"/>
    </row>
    <row r="2" spans="1:20">
      <c r="A2" s="273"/>
      <c r="B2" s="418" t="s">
        <v>278</v>
      </c>
      <c r="C2" s="419"/>
      <c r="D2" s="419"/>
      <c r="E2" s="419"/>
      <c r="F2" s="419"/>
      <c r="G2" s="419"/>
      <c r="H2" s="419" t="s">
        <v>265</v>
      </c>
      <c r="I2" s="274"/>
      <c r="J2" s="275" t="s">
        <v>280</v>
      </c>
      <c r="K2" s="276"/>
      <c r="L2" s="418" t="s">
        <v>273</v>
      </c>
      <c r="M2" s="419"/>
      <c r="N2" s="419"/>
      <c r="O2" s="419"/>
      <c r="P2" s="419"/>
      <c r="Q2" s="419"/>
      <c r="R2" s="419" t="s">
        <v>265</v>
      </c>
      <c r="S2" s="419"/>
      <c r="T2" s="275" t="s">
        <v>280</v>
      </c>
    </row>
    <row r="3" spans="1:20" ht="38.25">
      <c r="A3" s="277"/>
      <c r="B3" s="274" t="s">
        <v>270</v>
      </c>
      <c r="C3" s="274" t="s">
        <v>271</v>
      </c>
      <c r="D3" s="313" t="s">
        <v>272</v>
      </c>
      <c r="E3" s="313" t="s">
        <v>331</v>
      </c>
      <c r="F3" s="313" t="s">
        <v>381</v>
      </c>
      <c r="G3" s="279"/>
      <c r="H3" s="280" t="s">
        <v>384</v>
      </c>
      <c r="I3" s="278"/>
      <c r="J3" s="281" t="s">
        <v>333</v>
      </c>
      <c r="K3" s="282"/>
      <c r="L3" s="304" t="s">
        <v>271</v>
      </c>
      <c r="M3" s="313" t="s">
        <v>272</v>
      </c>
      <c r="N3" s="313" t="s">
        <v>331</v>
      </c>
      <c r="O3" s="313" t="s">
        <v>381</v>
      </c>
      <c r="P3" s="313" t="s">
        <v>412</v>
      </c>
      <c r="Q3" s="279"/>
      <c r="R3" s="280" t="s">
        <v>416</v>
      </c>
      <c r="S3" s="278"/>
      <c r="T3" s="281" t="s">
        <v>416</v>
      </c>
    </row>
    <row r="4" spans="1:20">
      <c r="A4" s="283" t="s">
        <v>251</v>
      </c>
      <c r="B4" s="284">
        <v>44156</v>
      </c>
      <c r="C4" s="284">
        <v>43984</v>
      </c>
      <c r="D4" s="284">
        <v>43417.5</v>
      </c>
      <c r="E4" s="284">
        <v>43520</v>
      </c>
      <c r="F4" s="284">
        <f>Scotland!F183</f>
        <v>44089.2</v>
      </c>
      <c r="G4" s="284"/>
      <c r="H4" s="268">
        <f>F4/E4-1</f>
        <v>1.3079044117646932E-2</v>
      </c>
      <c r="I4" s="268"/>
      <c r="J4" s="285">
        <f>F4-E4</f>
        <v>569.19999999999709</v>
      </c>
      <c r="K4" s="286"/>
      <c r="L4" s="287">
        <v>44951</v>
      </c>
      <c r="M4" s="284">
        <v>44266</v>
      </c>
      <c r="N4" s="284">
        <v>44369</v>
      </c>
      <c r="O4" s="284">
        <v>44067</v>
      </c>
      <c r="P4" s="284">
        <f>Scotland!H183</f>
        <v>44436.878423513692</v>
      </c>
      <c r="Q4" s="284"/>
      <c r="R4" s="268">
        <f>P4/O4-1</f>
        <v>8.393546724616785E-3</v>
      </c>
      <c r="S4" s="268"/>
      <c r="T4" s="285">
        <f>P4-O4</f>
        <v>369.87842351369181</v>
      </c>
    </row>
    <row r="5" spans="1:20">
      <c r="A5" s="288" t="s">
        <v>3</v>
      </c>
      <c r="B5" s="289"/>
      <c r="C5" s="289">
        <v>0</v>
      </c>
      <c r="D5" s="289">
        <v>80</v>
      </c>
      <c r="E5" s="289">
        <v>127</v>
      </c>
      <c r="F5" s="289">
        <f>'Aberdeen City'!F183</f>
        <v>264</v>
      </c>
      <c r="G5" s="289"/>
      <c r="H5" s="306">
        <f t="shared" ref="H5:H36" si="0">F5/E5-1</f>
        <v>1.0787401574803148</v>
      </c>
      <c r="I5" s="306"/>
      <c r="J5" s="307">
        <f t="shared" ref="J5:J36" si="1">F5-E5</f>
        <v>137</v>
      </c>
      <c r="K5" s="290"/>
      <c r="L5" s="291">
        <v>0</v>
      </c>
      <c r="M5" s="289">
        <v>83</v>
      </c>
      <c r="N5" s="289">
        <v>83</v>
      </c>
      <c r="O5" s="289">
        <v>214</v>
      </c>
      <c r="P5" s="289">
        <f>'Aberdeen City'!H183</f>
        <v>214</v>
      </c>
      <c r="Q5" s="289"/>
      <c r="R5" s="267">
        <f t="shared" ref="R5:R36" si="2">P5/O5-1</f>
        <v>0</v>
      </c>
      <c r="S5" s="267"/>
      <c r="T5" s="269">
        <f t="shared" ref="T5:T36" si="3">P5-O5</f>
        <v>0</v>
      </c>
    </row>
    <row r="6" spans="1:20">
      <c r="A6" s="288" t="s">
        <v>4</v>
      </c>
      <c r="B6" s="289"/>
      <c r="C6" s="289">
        <v>0</v>
      </c>
      <c r="D6" s="289">
        <v>0</v>
      </c>
      <c r="E6" s="289">
        <v>0</v>
      </c>
      <c r="F6" s="289">
        <f>Aberdeenshire!F183</f>
        <v>0</v>
      </c>
      <c r="G6" s="289"/>
      <c r="H6" s="306" t="e">
        <f t="shared" si="0"/>
        <v>#DIV/0!</v>
      </c>
      <c r="I6" s="306"/>
      <c r="J6" s="307">
        <f t="shared" si="1"/>
        <v>0</v>
      </c>
      <c r="K6" s="290"/>
      <c r="L6" s="291">
        <v>0</v>
      </c>
      <c r="M6" s="289">
        <v>0</v>
      </c>
      <c r="N6" s="289">
        <v>0</v>
      </c>
      <c r="O6" s="289">
        <v>0</v>
      </c>
      <c r="P6" s="289">
        <f>Aberdeenshire!H183</f>
        <v>0</v>
      </c>
      <c r="Q6" s="289"/>
      <c r="R6" s="267" t="e">
        <f t="shared" si="2"/>
        <v>#DIV/0!</v>
      </c>
      <c r="S6" s="267"/>
      <c r="T6" s="269">
        <f t="shared" si="3"/>
        <v>0</v>
      </c>
    </row>
    <row r="7" spans="1:20">
      <c r="A7" s="288" t="s">
        <v>5</v>
      </c>
      <c r="B7" s="289">
        <v>1691</v>
      </c>
      <c r="C7" s="289">
        <v>1757</v>
      </c>
      <c r="D7" s="289">
        <v>1783</v>
      </c>
      <c r="E7" s="289">
        <v>1930</v>
      </c>
      <c r="F7" s="289">
        <f>Angus!F183</f>
        <v>2004</v>
      </c>
      <c r="G7" s="289"/>
      <c r="H7" s="267">
        <f t="shared" si="0"/>
        <v>3.8341968911917101E-2</v>
      </c>
      <c r="I7" s="267"/>
      <c r="J7" s="269">
        <f t="shared" si="1"/>
        <v>74</v>
      </c>
      <c r="K7" s="290"/>
      <c r="L7" s="291">
        <v>1769</v>
      </c>
      <c r="M7" s="289">
        <v>1761</v>
      </c>
      <c r="N7" s="289">
        <v>1746</v>
      </c>
      <c r="O7" s="289">
        <v>1919</v>
      </c>
      <c r="P7" s="289">
        <f>Angus!H183</f>
        <v>1989</v>
      </c>
      <c r="Q7" s="289"/>
      <c r="R7" s="267">
        <f t="shared" si="2"/>
        <v>3.6477331943720603E-2</v>
      </c>
      <c r="S7" s="267"/>
      <c r="T7" s="269">
        <f t="shared" si="3"/>
        <v>70</v>
      </c>
    </row>
    <row r="8" spans="1:20">
      <c r="A8" s="288" t="s">
        <v>6</v>
      </c>
      <c r="B8" s="289">
        <v>1083</v>
      </c>
      <c r="C8" s="289">
        <v>1377</v>
      </c>
      <c r="D8" s="289">
        <v>1464</v>
      </c>
      <c r="E8" s="289">
        <v>1464</v>
      </c>
      <c r="F8" s="289">
        <f>'Argyll &amp; Bute'!F183</f>
        <v>1461</v>
      </c>
      <c r="G8" s="289"/>
      <c r="H8" s="267">
        <f t="shared" si="0"/>
        <v>-2.049180327868827E-3</v>
      </c>
      <c r="I8" s="267"/>
      <c r="J8" s="269">
        <f t="shared" si="1"/>
        <v>-3</v>
      </c>
      <c r="K8" s="290"/>
      <c r="L8" s="291">
        <v>1136</v>
      </c>
      <c r="M8" s="289">
        <v>1377</v>
      </c>
      <c r="N8" s="289">
        <v>1464</v>
      </c>
      <c r="O8" s="289">
        <v>1464</v>
      </c>
      <c r="P8" s="289">
        <f>'Argyll &amp; Bute'!H183</f>
        <v>1482</v>
      </c>
      <c r="Q8" s="289"/>
      <c r="R8" s="267">
        <f t="shared" si="2"/>
        <v>1.2295081967213184E-2</v>
      </c>
      <c r="S8" s="267"/>
      <c r="T8" s="269">
        <f t="shared" si="3"/>
        <v>18</v>
      </c>
    </row>
    <row r="9" spans="1:20">
      <c r="A9" s="288" t="s">
        <v>8</v>
      </c>
      <c r="B9" s="289">
        <v>283</v>
      </c>
      <c r="C9" s="289">
        <v>227</v>
      </c>
      <c r="D9" s="289">
        <v>171</v>
      </c>
      <c r="E9" s="289">
        <v>0</v>
      </c>
      <c r="F9" s="289">
        <f>Clackmannanshire!F183</f>
        <v>176</v>
      </c>
      <c r="G9" s="289"/>
      <c r="H9" s="267" t="e">
        <f t="shared" si="0"/>
        <v>#DIV/0!</v>
      </c>
      <c r="I9" s="267"/>
      <c r="J9" s="269">
        <f t="shared" si="1"/>
        <v>176</v>
      </c>
      <c r="K9" s="290"/>
      <c r="L9" s="291">
        <v>216</v>
      </c>
      <c r="M9" s="289">
        <v>176</v>
      </c>
      <c r="N9" s="289">
        <v>176</v>
      </c>
      <c r="O9" s="289">
        <v>0</v>
      </c>
      <c r="P9" s="289">
        <f>Clackmannanshire!H183</f>
        <v>176</v>
      </c>
      <c r="Q9" s="289"/>
      <c r="R9" s="267" t="e">
        <f t="shared" si="2"/>
        <v>#DIV/0!</v>
      </c>
      <c r="S9" s="267"/>
      <c r="T9" s="269">
        <f t="shared" si="3"/>
        <v>176</v>
      </c>
    </row>
    <row r="10" spans="1:20">
      <c r="A10" s="288" t="s">
        <v>9</v>
      </c>
      <c r="B10" s="289">
        <v>3514</v>
      </c>
      <c r="C10" s="289">
        <v>3527</v>
      </c>
      <c r="D10" s="289">
        <v>3261</v>
      </c>
      <c r="E10" s="289">
        <v>3448</v>
      </c>
      <c r="F10" s="289">
        <f>'Dumfries &amp; Galloway'!F183</f>
        <v>3116</v>
      </c>
      <c r="G10" s="289"/>
      <c r="H10" s="267">
        <f t="shared" si="0"/>
        <v>-9.6287703016241344E-2</v>
      </c>
      <c r="I10" s="267"/>
      <c r="J10" s="269">
        <f t="shared" si="1"/>
        <v>-332</v>
      </c>
      <c r="K10" s="290"/>
      <c r="L10" s="291">
        <v>3514</v>
      </c>
      <c r="M10" s="289">
        <v>3265</v>
      </c>
      <c r="N10" s="289">
        <v>3276</v>
      </c>
      <c r="O10" s="289">
        <v>3420</v>
      </c>
      <c r="P10" s="289">
        <f>'Dumfries &amp; Galloway'!H183</f>
        <v>3116</v>
      </c>
      <c r="Q10" s="289"/>
      <c r="R10" s="267">
        <f t="shared" si="2"/>
        <v>-8.8888888888888906E-2</v>
      </c>
      <c r="S10" s="267"/>
      <c r="T10" s="269">
        <f t="shared" si="3"/>
        <v>-304</v>
      </c>
    </row>
    <row r="11" spans="1:20">
      <c r="A11" s="288" t="s">
        <v>11</v>
      </c>
      <c r="B11" s="289">
        <v>565</v>
      </c>
      <c r="C11" s="289">
        <v>503</v>
      </c>
      <c r="D11" s="289">
        <v>435</v>
      </c>
      <c r="E11" s="289">
        <v>495</v>
      </c>
      <c r="F11" s="289">
        <f>'Dundee City'!F183</f>
        <v>302</v>
      </c>
      <c r="G11" s="289"/>
      <c r="H11" s="267">
        <f t="shared" si="0"/>
        <v>-0.38989898989898986</v>
      </c>
      <c r="I11" s="267"/>
      <c r="J11" s="269">
        <f t="shared" si="1"/>
        <v>-193</v>
      </c>
      <c r="K11" s="290"/>
      <c r="L11" s="291">
        <v>613</v>
      </c>
      <c r="M11" s="289">
        <v>618</v>
      </c>
      <c r="N11" s="289">
        <v>489</v>
      </c>
      <c r="O11" s="289">
        <v>489</v>
      </c>
      <c r="P11" s="289">
        <f>'Dundee City'!H183</f>
        <v>300</v>
      </c>
      <c r="Q11" s="289"/>
      <c r="R11" s="267">
        <f t="shared" si="2"/>
        <v>-0.38650306748466257</v>
      </c>
      <c r="S11" s="267"/>
      <c r="T11" s="269">
        <f t="shared" si="3"/>
        <v>-189</v>
      </c>
    </row>
    <row r="12" spans="1:20">
      <c r="A12" s="288" t="s">
        <v>13</v>
      </c>
      <c r="B12" s="289">
        <v>635</v>
      </c>
      <c r="C12" s="289">
        <v>622</v>
      </c>
      <c r="D12" s="289">
        <v>625</v>
      </c>
      <c r="E12" s="289">
        <v>622</v>
      </c>
      <c r="F12" s="289">
        <f>'East Ayrshire'!F183</f>
        <v>624</v>
      </c>
      <c r="G12" s="289"/>
      <c r="H12" s="306">
        <f t="shared" si="0"/>
        <v>3.215434083601254E-3</v>
      </c>
      <c r="I12" s="306"/>
      <c r="J12" s="307">
        <f t="shared" si="1"/>
        <v>2</v>
      </c>
      <c r="K12" s="290"/>
      <c r="L12" s="291">
        <v>646</v>
      </c>
      <c r="M12" s="289">
        <v>648</v>
      </c>
      <c r="N12" s="289">
        <v>622</v>
      </c>
      <c r="O12" s="289">
        <v>641</v>
      </c>
      <c r="P12" s="289">
        <f>'East Ayrshire'!H183</f>
        <v>708</v>
      </c>
      <c r="Q12" s="289"/>
      <c r="R12" s="306">
        <f t="shared" si="2"/>
        <v>0.10452418096723859</v>
      </c>
      <c r="S12" s="306"/>
      <c r="T12" s="307">
        <f t="shared" si="3"/>
        <v>67</v>
      </c>
    </row>
    <row r="13" spans="1:20">
      <c r="A13" s="288" t="s">
        <v>16</v>
      </c>
      <c r="B13" s="289">
        <v>616</v>
      </c>
      <c r="C13" s="289">
        <v>604</v>
      </c>
      <c r="D13" s="289">
        <v>607</v>
      </c>
      <c r="E13" s="289">
        <v>604</v>
      </c>
      <c r="F13" s="289">
        <f>'East Dunbartonshire'!F183</f>
        <v>605</v>
      </c>
      <c r="G13" s="289"/>
      <c r="H13" s="267">
        <f t="shared" si="0"/>
        <v>1.6556291390728006E-3</v>
      </c>
      <c r="I13" s="267"/>
      <c r="J13" s="269">
        <f t="shared" si="1"/>
        <v>1</v>
      </c>
      <c r="K13" s="290"/>
      <c r="L13" s="291">
        <v>627</v>
      </c>
      <c r="M13" s="289">
        <v>629</v>
      </c>
      <c r="N13" s="289">
        <v>604</v>
      </c>
      <c r="O13" s="289">
        <v>622</v>
      </c>
      <c r="P13" s="289">
        <f>'East Dunbartonshire'!H183</f>
        <v>628</v>
      </c>
      <c r="Q13" s="289"/>
      <c r="R13" s="267">
        <f t="shared" si="2"/>
        <v>9.6463022508037621E-3</v>
      </c>
      <c r="S13" s="267"/>
      <c r="T13" s="269">
        <f t="shared" si="3"/>
        <v>6</v>
      </c>
    </row>
    <row r="14" spans="1:20">
      <c r="A14" s="288" t="s">
        <v>19</v>
      </c>
      <c r="B14" s="289">
        <v>970</v>
      </c>
      <c r="C14" s="289">
        <v>1128</v>
      </c>
      <c r="D14" s="289">
        <v>1132</v>
      </c>
      <c r="E14" s="289">
        <v>1117</v>
      </c>
      <c r="F14" s="289">
        <f>'East Lothian'!F183</f>
        <v>1131</v>
      </c>
      <c r="G14" s="289"/>
      <c r="H14" s="267">
        <f t="shared" si="0"/>
        <v>1.2533572068039289E-2</v>
      </c>
      <c r="I14" s="267"/>
      <c r="J14" s="269">
        <f t="shared" si="1"/>
        <v>14</v>
      </c>
      <c r="K14" s="290"/>
      <c r="L14" s="291">
        <v>1240</v>
      </c>
      <c r="M14" s="289">
        <v>1133</v>
      </c>
      <c r="N14" s="289">
        <v>1132</v>
      </c>
      <c r="O14" s="289">
        <v>1132</v>
      </c>
      <c r="P14" s="289">
        <f>'East Lothian'!H183</f>
        <v>1132</v>
      </c>
      <c r="Q14" s="289"/>
      <c r="R14" s="267">
        <f t="shared" si="2"/>
        <v>0</v>
      </c>
      <c r="S14" s="267"/>
      <c r="T14" s="269">
        <f t="shared" si="3"/>
        <v>0</v>
      </c>
    </row>
    <row r="15" spans="1:20">
      <c r="A15" s="288" t="s">
        <v>22</v>
      </c>
      <c r="B15" s="289">
        <v>519</v>
      </c>
      <c r="C15" s="289">
        <v>509</v>
      </c>
      <c r="D15" s="289">
        <v>512</v>
      </c>
      <c r="E15" s="289">
        <v>509</v>
      </c>
      <c r="F15" s="289">
        <f>'East Renfrewshire'!F183</f>
        <v>510</v>
      </c>
      <c r="G15" s="289"/>
      <c r="H15" s="267">
        <f t="shared" si="0"/>
        <v>1.9646365422396617E-3</v>
      </c>
      <c r="I15" s="267"/>
      <c r="J15" s="269">
        <f t="shared" si="1"/>
        <v>1</v>
      </c>
      <c r="K15" s="290"/>
      <c r="L15" s="291">
        <v>530</v>
      </c>
      <c r="M15" s="289">
        <v>530</v>
      </c>
      <c r="N15" s="289">
        <v>509</v>
      </c>
      <c r="O15" s="289">
        <v>524</v>
      </c>
      <c r="P15" s="289">
        <f>'East Renfrewshire'!H183</f>
        <v>550</v>
      </c>
      <c r="Q15" s="289"/>
      <c r="R15" s="267">
        <f t="shared" si="2"/>
        <v>4.961832061068705E-2</v>
      </c>
      <c r="S15" s="267"/>
      <c r="T15" s="269">
        <f t="shared" si="3"/>
        <v>26</v>
      </c>
    </row>
    <row r="16" spans="1:20">
      <c r="A16" s="288" t="s">
        <v>25</v>
      </c>
      <c r="B16" s="289">
        <v>2378</v>
      </c>
      <c r="C16" s="289">
        <v>2222</v>
      </c>
      <c r="D16" s="289">
        <v>1920</v>
      </c>
      <c r="E16" s="289">
        <v>1885</v>
      </c>
      <c r="F16" s="289">
        <f>'Edinburgh, City of'!F183</f>
        <v>2052</v>
      </c>
      <c r="G16" s="289"/>
      <c r="H16" s="306">
        <f t="shared" si="0"/>
        <v>8.859416445623336E-2</v>
      </c>
      <c r="I16" s="306"/>
      <c r="J16" s="307">
        <f t="shared" si="1"/>
        <v>167</v>
      </c>
      <c r="K16" s="290"/>
      <c r="L16" s="291">
        <v>2240</v>
      </c>
      <c r="M16" s="289">
        <v>2232</v>
      </c>
      <c r="N16" s="289">
        <v>1933</v>
      </c>
      <c r="O16" s="289">
        <v>2090</v>
      </c>
      <c r="P16" s="289">
        <f>'Edinburgh, City of'!H183</f>
        <v>2355</v>
      </c>
      <c r="Q16" s="289"/>
      <c r="R16" s="267">
        <f t="shared" si="2"/>
        <v>0.12679425837320579</v>
      </c>
      <c r="S16" s="267"/>
      <c r="T16" s="269">
        <f t="shared" si="3"/>
        <v>265</v>
      </c>
    </row>
    <row r="17" spans="1:20">
      <c r="A17" s="288" t="s">
        <v>26</v>
      </c>
      <c r="B17" s="289">
        <v>2612</v>
      </c>
      <c r="C17" s="289">
        <v>2497</v>
      </c>
      <c r="D17" s="289">
        <v>2473</v>
      </c>
      <c r="E17" s="289">
        <v>2634</v>
      </c>
      <c r="F17" s="289">
        <f>'Eilean Siar'!F183</f>
        <v>2733</v>
      </c>
      <c r="G17" s="289"/>
      <c r="H17" s="267">
        <f t="shared" si="0"/>
        <v>3.758542141230059E-2</v>
      </c>
      <c r="I17" s="267"/>
      <c r="J17" s="269">
        <f t="shared" si="1"/>
        <v>99</v>
      </c>
      <c r="K17" s="290"/>
      <c r="L17" s="291">
        <v>2614</v>
      </c>
      <c r="M17" s="289">
        <v>2464</v>
      </c>
      <c r="N17" s="289">
        <v>2575</v>
      </c>
      <c r="O17" s="289">
        <v>2733</v>
      </c>
      <c r="P17" s="289">
        <f>'Eilean Siar'!H183</f>
        <v>1765</v>
      </c>
      <c r="Q17" s="289"/>
      <c r="R17" s="267">
        <f t="shared" si="2"/>
        <v>-0.35418953530918407</v>
      </c>
      <c r="S17" s="267"/>
      <c r="T17" s="269">
        <f t="shared" si="3"/>
        <v>-968</v>
      </c>
    </row>
    <row r="18" spans="1:20">
      <c r="A18" s="288" t="s">
        <v>28</v>
      </c>
      <c r="B18" s="289">
        <v>1627</v>
      </c>
      <c r="C18" s="289">
        <v>1503</v>
      </c>
      <c r="D18" s="289">
        <v>1548</v>
      </c>
      <c r="E18" s="289">
        <v>1594</v>
      </c>
      <c r="F18" s="289">
        <f>Falkirk!F183</f>
        <v>1427</v>
      </c>
      <c r="G18" s="289"/>
      <c r="H18" s="267">
        <f t="shared" si="0"/>
        <v>-0.10476787954830613</v>
      </c>
      <c r="I18" s="267"/>
      <c r="J18" s="269">
        <f t="shared" si="1"/>
        <v>-167</v>
      </c>
      <c r="K18" s="290"/>
      <c r="L18" s="291">
        <v>1503</v>
      </c>
      <c r="M18" s="289">
        <v>1548</v>
      </c>
      <c r="N18" s="289">
        <v>1594</v>
      </c>
      <c r="O18" s="289">
        <v>1594</v>
      </c>
      <c r="P18" s="289">
        <f>Falkirk!H183</f>
        <v>1427</v>
      </c>
      <c r="Q18" s="289"/>
      <c r="R18" s="267">
        <f t="shared" si="2"/>
        <v>-0.10476787954830613</v>
      </c>
      <c r="S18" s="267"/>
      <c r="T18" s="269">
        <f t="shared" si="3"/>
        <v>-167</v>
      </c>
    </row>
    <row r="19" spans="1:20">
      <c r="A19" s="288" t="s">
        <v>29</v>
      </c>
      <c r="B19" s="289">
        <v>4970</v>
      </c>
      <c r="C19" s="289">
        <v>5405</v>
      </c>
      <c r="D19" s="289">
        <v>5580</v>
      </c>
      <c r="E19" s="289">
        <v>5574</v>
      </c>
      <c r="F19" s="289">
        <f>Fife!F183</f>
        <v>5609</v>
      </c>
      <c r="G19" s="289"/>
      <c r="H19" s="306">
        <f t="shared" si="0"/>
        <v>6.2791532113384285E-3</v>
      </c>
      <c r="I19" s="306"/>
      <c r="J19" s="307">
        <f t="shared" si="1"/>
        <v>35</v>
      </c>
      <c r="K19" s="290"/>
      <c r="L19" s="291">
        <v>5540</v>
      </c>
      <c r="M19" s="289">
        <v>5578</v>
      </c>
      <c r="N19" s="289">
        <v>5599</v>
      </c>
      <c r="O19" s="289">
        <v>5719</v>
      </c>
      <c r="P19" s="289">
        <f>Fife!H183</f>
        <v>5663</v>
      </c>
      <c r="Q19" s="289"/>
      <c r="R19" s="267">
        <f t="shared" si="2"/>
        <v>-9.7919216646267238E-3</v>
      </c>
      <c r="S19" s="267"/>
      <c r="T19" s="269">
        <f t="shared" si="3"/>
        <v>-56</v>
      </c>
    </row>
    <row r="20" spans="1:20">
      <c r="A20" s="288" t="s">
        <v>31</v>
      </c>
      <c r="B20" s="289">
        <v>3272</v>
      </c>
      <c r="C20" s="289">
        <v>3205</v>
      </c>
      <c r="D20" s="289">
        <v>3223</v>
      </c>
      <c r="E20" s="289">
        <v>3204</v>
      </c>
      <c r="F20" s="289">
        <f>'Glasgow City'!F183</f>
        <v>3216</v>
      </c>
      <c r="G20" s="289"/>
      <c r="H20" s="306">
        <f t="shared" si="0"/>
        <v>3.7453183520599342E-3</v>
      </c>
      <c r="I20" s="306"/>
      <c r="J20" s="307">
        <f t="shared" si="1"/>
        <v>12</v>
      </c>
      <c r="K20" s="290"/>
      <c r="L20" s="291">
        <v>3330</v>
      </c>
      <c r="M20" s="289">
        <v>3338</v>
      </c>
      <c r="N20" s="289">
        <v>3207</v>
      </c>
      <c r="O20" s="289">
        <v>3302</v>
      </c>
      <c r="P20" s="289">
        <f>'Glasgow City'!H183</f>
        <v>3606</v>
      </c>
      <c r="Q20" s="289"/>
      <c r="R20" s="306">
        <f t="shared" si="2"/>
        <v>9.2065414900060594E-2</v>
      </c>
      <c r="S20" s="306"/>
      <c r="T20" s="307">
        <f t="shared" si="3"/>
        <v>304</v>
      </c>
    </row>
    <row r="21" spans="1:20">
      <c r="A21" s="288" t="s">
        <v>32</v>
      </c>
      <c r="B21" s="289">
        <v>3594</v>
      </c>
      <c r="C21" s="289">
        <v>3293</v>
      </c>
      <c r="D21" s="289">
        <v>3301</v>
      </c>
      <c r="E21" s="289">
        <v>4769</v>
      </c>
      <c r="F21" s="289">
        <f>Highland!F183</f>
        <v>4942</v>
      </c>
      <c r="G21" s="289"/>
      <c r="H21" s="306">
        <f t="shared" si="0"/>
        <v>3.6275948836234084E-2</v>
      </c>
      <c r="I21" s="306"/>
      <c r="J21" s="307">
        <f t="shared" si="1"/>
        <v>173</v>
      </c>
      <c r="K21" s="290"/>
      <c r="L21" s="291">
        <v>3293</v>
      </c>
      <c r="M21" s="289">
        <v>3237</v>
      </c>
      <c r="N21" s="289">
        <v>4769</v>
      </c>
      <c r="O21" s="289">
        <v>4942</v>
      </c>
      <c r="P21" s="289">
        <f>Highland!H183</f>
        <v>5115</v>
      </c>
      <c r="Q21" s="289"/>
      <c r="R21" s="267">
        <f t="shared" si="2"/>
        <v>3.5006070416835344E-2</v>
      </c>
      <c r="S21" s="267"/>
      <c r="T21" s="269">
        <f t="shared" si="3"/>
        <v>173</v>
      </c>
    </row>
    <row r="22" spans="1:20">
      <c r="A22" s="288" t="s">
        <v>33</v>
      </c>
      <c r="B22" s="289">
        <v>481</v>
      </c>
      <c r="C22" s="289">
        <v>471</v>
      </c>
      <c r="D22" s="289">
        <v>474</v>
      </c>
      <c r="E22" s="289">
        <v>471</v>
      </c>
      <c r="F22" s="289">
        <f>Inverclyde!F183</f>
        <v>473</v>
      </c>
      <c r="G22" s="289"/>
      <c r="H22" s="267">
        <f t="shared" si="0"/>
        <v>4.2462845010615702E-3</v>
      </c>
      <c r="I22" s="267"/>
      <c r="J22" s="269">
        <f t="shared" si="1"/>
        <v>2</v>
      </c>
      <c r="K22" s="290"/>
      <c r="L22" s="291">
        <v>490</v>
      </c>
      <c r="M22" s="289">
        <v>491</v>
      </c>
      <c r="N22" s="289">
        <v>472</v>
      </c>
      <c r="O22" s="289">
        <v>486</v>
      </c>
      <c r="P22" s="289">
        <f>Inverclyde!H183</f>
        <v>457</v>
      </c>
      <c r="Q22" s="289"/>
      <c r="R22" s="267">
        <f t="shared" si="2"/>
        <v>-5.9670781893004121E-2</v>
      </c>
      <c r="S22" s="267"/>
      <c r="T22" s="269">
        <f t="shared" si="3"/>
        <v>-29</v>
      </c>
    </row>
    <row r="23" spans="1:20">
      <c r="A23" s="288" t="s">
        <v>34</v>
      </c>
      <c r="B23" s="289">
        <v>196</v>
      </c>
      <c r="C23" s="289">
        <v>141</v>
      </c>
      <c r="D23" s="289">
        <v>137</v>
      </c>
      <c r="E23" s="289">
        <v>143</v>
      </c>
      <c r="F23" s="289">
        <f>Midlothian!F183</f>
        <v>142</v>
      </c>
      <c r="G23" s="289"/>
      <c r="H23" s="267">
        <f t="shared" si="0"/>
        <v>-6.9930069930069783E-3</v>
      </c>
      <c r="I23" s="267"/>
      <c r="J23" s="269">
        <f t="shared" si="1"/>
        <v>-1</v>
      </c>
      <c r="K23" s="290"/>
      <c r="L23" s="291">
        <v>165</v>
      </c>
      <c r="M23" s="289">
        <v>142</v>
      </c>
      <c r="N23" s="289">
        <v>143</v>
      </c>
      <c r="O23" s="289">
        <v>152</v>
      </c>
      <c r="P23" s="289">
        <f>Midlothian!H183</f>
        <v>152</v>
      </c>
      <c r="Q23" s="289"/>
      <c r="R23" s="267">
        <f t="shared" si="2"/>
        <v>0</v>
      </c>
      <c r="S23" s="267"/>
      <c r="T23" s="269">
        <f t="shared" si="3"/>
        <v>0</v>
      </c>
    </row>
    <row r="24" spans="1:20">
      <c r="A24" s="288" t="s">
        <v>35</v>
      </c>
      <c r="B24" s="289">
        <v>296</v>
      </c>
      <c r="C24" s="289">
        <v>297</v>
      </c>
      <c r="D24" s="289">
        <v>143</v>
      </c>
      <c r="E24" s="289">
        <v>75</v>
      </c>
      <c r="F24" s="289">
        <f>Moray!F183</f>
        <v>80</v>
      </c>
      <c r="G24" s="289"/>
      <c r="H24" s="267">
        <f t="shared" si="0"/>
        <v>6.6666666666666652E-2</v>
      </c>
      <c r="I24" s="267"/>
      <c r="J24" s="269">
        <f t="shared" si="1"/>
        <v>5</v>
      </c>
      <c r="K24" s="290"/>
      <c r="L24" s="291">
        <v>310</v>
      </c>
      <c r="M24" s="289">
        <v>276</v>
      </c>
      <c r="N24" s="289">
        <v>143</v>
      </c>
      <c r="O24" s="289">
        <v>75</v>
      </c>
      <c r="P24" s="289">
        <f>Moray!H183</f>
        <v>80</v>
      </c>
      <c r="Q24" s="289"/>
      <c r="R24" s="267">
        <f t="shared" si="2"/>
        <v>6.6666666666666652E-2</v>
      </c>
      <c r="S24" s="267"/>
      <c r="T24" s="269">
        <f t="shared" si="3"/>
        <v>5</v>
      </c>
    </row>
    <row r="25" spans="1:20">
      <c r="A25" s="288" t="s">
        <v>36</v>
      </c>
      <c r="B25" s="289">
        <v>764</v>
      </c>
      <c r="C25" s="289">
        <v>748</v>
      </c>
      <c r="D25" s="289">
        <v>752</v>
      </c>
      <c r="E25" s="289">
        <v>748</v>
      </c>
      <c r="F25" s="289">
        <f>'North Ayrshire'!F183</f>
        <v>750</v>
      </c>
      <c r="G25" s="289"/>
      <c r="H25" s="267">
        <f t="shared" si="0"/>
        <v>2.673796791443861E-3</v>
      </c>
      <c r="I25" s="267"/>
      <c r="J25" s="269">
        <f t="shared" si="1"/>
        <v>2</v>
      </c>
      <c r="K25" s="290"/>
      <c r="L25" s="291">
        <v>777</v>
      </c>
      <c r="M25" s="289">
        <v>779</v>
      </c>
      <c r="N25" s="289">
        <v>748</v>
      </c>
      <c r="O25" s="289">
        <v>770</v>
      </c>
      <c r="P25" s="289">
        <f>'North Ayrshire'!H183</f>
        <v>788</v>
      </c>
      <c r="Q25" s="289"/>
      <c r="R25" s="267">
        <f t="shared" si="2"/>
        <v>2.3376623376623273E-2</v>
      </c>
      <c r="S25" s="267"/>
      <c r="T25" s="269">
        <f t="shared" si="3"/>
        <v>18</v>
      </c>
    </row>
    <row r="26" spans="1:20">
      <c r="A26" s="288" t="s">
        <v>37</v>
      </c>
      <c r="B26" s="289">
        <v>896</v>
      </c>
      <c r="C26" s="289">
        <v>896</v>
      </c>
      <c r="D26" s="289">
        <v>895</v>
      </c>
      <c r="E26" s="289">
        <v>0</v>
      </c>
      <c r="F26" s="289">
        <f>'North Lanarkshire'!F183</f>
        <v>0</v>
      </c>
      <c r="G26" s="289"/>
      <c r="H26" s="267" t="e">
        <f t="shared" si="0"/>
        <v>#DIV/0!</v>
      </c>
      <c r="I26" s="267"/>
      <c r="J26" s="269">
        <f t="shared" si="1"/>
        <v>0</v>
      </c>
      <c r="K26" s="290"/>
      <c r="L26" s="291">
        <v>896</v>
      </c>
      <c r="M26" s="289">
        <v>896</v>
      </c>
      <c r="N26" s="289">
        <v>0</v>
      </c>
      <c r="O26" s="289">
        <v>0</v>
      </c>
      <c r="P26" s="289">
        <f>'North Lanarkshire'!H183</f>
        <v>0</v>
      </c>
      <c r="Q26" s="289"/>
      <c r="R26" s="306" t="e">
        <f t="shared" si="2"/>
        <v>#DIV/0!</v>
      </c>
      <c r="S26" s="306"/>
      <c r="T26" s="307">
        <f t="shared" si="3"/>
        <v>0</v>
      </c>
    </row>
    <row r="27" spans="1:20">
      <c r="A27" s="288" t="s">
        <v>38</v>
      </c>
      <c r="B27" s="289">
        <v>523</v>
      </c>
      <c r="C27" s="289">
        <v>562</v>
      </c>
      <c r="D27" s="289">
        <v>659</v>
      </c>
      <c r="E27" s="289">
        <v>696</v>
      </c>
      <c r="F27" s="289">
        <f>'Orkney Islands'!F183</f>
        <v>687</v>
      </c>
      <c r="G27" s="289"/>
      <c r="H27" s="267">
        <f t="shared" si="0"/>
        <v>-1.2931034482758674E-2</v>
      </c>
      <c r="I27" s="267"/>
      <c r="J27" s="269">
        <f t="shared" si="1"/>
        <v>-9</v>
      </c>
      <c r="K27" s="290"/>
      <c r="L27" s="291">
        <v>707</v>
      </c>
      <c r="M27" s="289">
        <v>707</v>
      </c>
      <c r="N27" s="289">
        <v>707</v>
      </c>
      <c r="O27" s="289">
        <v>707</v>
      </c>
      <c r="P27" s="289">
        <f>'Orkney Islands'!H183</f>
        <v>814</v>
      </c>
      <c r="Q27" s="289"/>
      <c r="R27" s="267">
        <f t="shared" si="2"/>
        <v>0.15134370579915135</v>
      </c>
      <c r="S27" s="267"/>
      <c r="T27" s="269">
        <f t="shared" si="3"/>
        <v>107</v>
      </c>
    </row>
    <row r="28" spans="1:20">
      <c r="A28" s="288" t="s">
        <v>39</v>
      </c>
      <c r="B28" s="289">
        <v>2143</v>
      </c>
      <c r="C28" s="289">
        <v>2110</v>
      </c>
      <c r="D28" s="289">
        <v>2245</v>
      </c>
      <c r="E28" s="289">
        <v>2113</v>
      </c>
      <c r="F28" s="289">
        <f>'Perth &amp; Kinross'!F183</f>
        <v>1939</v>
      </c>
      <c r="G28" s="289"/>
      <c r="H28" s="267">
        <f t="shared" si="0"/>
        <v>-8.2347373402744894E-2</v>
      </c>
      <c r="I28" s="267"/>
      <c r="J28" s="269">
        <f t="shared" si="1"/>
        <v>-174</v>
      </c>
      <c r="K28" s="290"/>
      <c r="L28" s="291">
        <v>2110</v>
      </c>
      <c r="M28" s="289">
        <v>2210</v>
      </c>
      <c r="N28" s="289">
        <v>2367</v>
      </c>
      <c r="O28" s="289">
        <v>1963</v>
      </c>
      <c r="P28" s="289">
        <f>'Perth &amp; Kinross'!H183</f>
        <v>2125</v>
      </c>
      <c r="Q28" s="289"/>
      <c r="R28" s="267">
        <f t="shared" si="2"/>
        <v>8.2526744778400385E-2</v>
      </c>
      <c r="S28" s="267"/>
      <c r="T28" s="269">
        <f t="shared" si="3"/>
        <v>162</v>
      </c>
    </row>
    <row r="29" spans="1:20">
      <c r="A29" s="288" t="s">
        <v>40</v>
      </c>
      <c r="B29" s="289">
        <v>975</v>
      </c>
      <c r="C29" s="289">
        <v>955</v>
      </c>
      <c r="D29" s="289">
        <v>955</v>
      </c>
      <c r="E29" s="289">
        <v>0</v>
      </c>
      <c r="F29" s="289">
        <f>Renfrewshire!F183</f>
        <v>868.19999999999993</v>
      </c>
      <c r="G29" s="289"/>
      <c r="H29" s="267" t="e">
        <f t="shared" si="0"/>
        <v>#DIV/0!</v>
      </c>
      <c r="I29" s="267"/>
      <c r="J29" s="269">
        <f t="shared" si="1"/>
        <v>868.19999999999993</v>
      </c>
      <c r="K29" s="290"/>
      <c r="L29" s="291">
        <v>992</v>
      </c>
      <c r="M29" s="289">
        <v>995</v>
      </c>
      <c r="N29" s="289">
        <v>955</v>
      </c>
      <c r="O29" s="289">
        <v>0</v>
      </c>
      <c r="P29" s="289">
        <f>Renfrewshire!H183</f>
        <v>905.87842351369409</v>
      </c>
      <c r="Q29" s="289"/>
      <c r="R29" s="267" t="e">
        <f t="shared" si="2"/>
        <v>#DIV/0!</v>
      </c>
      <c r="S29" s="267"/>
      <c r="T29" s="269">
        <f t="shared" si="3"/>
        <v>905.87842351369409</v>
      </c>
    </row>
    <row r="30" spans="1:20">
      <c r="A30" s="288" t="s">
        <v>41</v>
      </c>
      <c r="B30" s="289">
        <v>3671</v>
      </c>
      <c r="C30" s="289">
        <v>3705</v>
      </c>
      <c r="D30" s="289">
        <v>3623</v>
      </c>
      <c r="E30" s="289">
        <v>3746</v>
      </c>
      <c r="F30" s="289">
        <f>'Scottish Borders'!F183</f>
        <v>3486</v>
      </c>
      <c r="G30" s="289"/>
      <c r="H30" s="267">
        <f t="shared" si="0"/>
        <v>-6.9407367859049662E-2</v>
      </c>
      <c r="I30" s="267"/>
      <c r="J30" s="269">
        <f t="shared" si="1"/>
        <v>-260</v>
      </c>
      <c r="K30" s="290"/>
      <c r="L30" s="291">
        <v>3928</v>
      </c>
      <c r="M30" s="289">
        <v>3569</v>
      </c>
      <c r="N30" s="289">
        <v>3776</v>
      </c>
      <c r="O30" s="289">
        <v>3746</v>
      </c>
      <c r="P30" s="289">
        <f>'Scottish Borders'!H183</f>
        <v>3439</v>
      </c>
      <c r="Q30" s="289"/>
      <c r="R30" s="267">
        <f t="shared" si="2"/>
        <v>-8.1954084356647083E-2</v>
      </c>
      <c r="S30" s="267"/>
      <c r="T30" s="269">
        <f t="shared" si="3"/>
        <v>-307</v>
      </c>
    </row>
    <row r="31" spans="1:20">
      <c r="A31" s="288" t="s">
        <v>42</v>
      </c>
      <c r="B31" s="289">
        <v>0</v>
      </c>
      <c r="C31" s="289">
        <v>0</v>
      </c>
      <c r="D31" s="289">
        <v>0</v>
      </c>
      <c r="E31" s="289">
        <v>0</v>
      </c>
      <c r="F31" s="289">
        <f>'Shetland Islands'!F183</f>
        <v>0</v>
      </c>
      <c r="G31" s="289"/>
      <c r="H31" s="267" t="e">
        <f t="shared" si="0"/>
        <v>#DIV/0!</v>
      </c>
      <c r="I31" s="267"/>
      <c r="J31" s="269">
        <f t="shared" si="1"/>
        <v>0</v>
      </c>
      <c r="K31" s="290"/>
      <c r="L31" s="291">
        <v>0</v>
      </c>
      <c r="M31" s="289">
        <v>0</v>
      </c>
      <c r="N31" s="289">
        <v>0</v>
      </c>
      <c r="O31" s="289">
        <v>0</v>
      </c>
      <c r="P31" s="289">
        <f>'Shetland Islands'!H183</f>
        <v>0</v>
      </c>
      <c r="Q31" s="289"/>
      <c r="R31" s="267" t="e">
        <f t="shared" si="2"/>
        <v>#DIV/0!</v>
      </c>
      <c r="S31" s="267"/>
      <c r="T31" s="269">
        <f t="shared" si="3"/>
        <v>0</v>
      </c>
    </row>
    <row r="32" spans="1:20">
      <c r="A32" s="288" t="s">
        <v>43</v>
      </c>
      <c r="B32" s="289">
        <v>587</v>
      </c>
      <c r="C32" s="289">
        <v>575</v>
      </c>
      <c r="D32" s="289">
        <v>578</v>
      </c>
      <c r="E32" s="289">
        <v>575</v>
      </c>
      <c r="F32" s="289">
        <f>'South Ayrshire'!F183</f>
        <v>577</v>
      </c>
      <c r="G32" s="289"/>
      <c r="H32" s="267">
        <f t="shared" si="0"/>
        <v>3.4782608695651529E-3</v>
      </c>
      <c r="I32" s="267"/>
      <c r="J32" s="269">
        <f t="shared" si="1"/>
        <v>2</v>
      </c>
      <c r="K32" s="290"/>
      <c r="L32" s="291">
        <v>597</v>
      </c>
      <c r="M32" s="289">
        <v>599</v>
      </c>
      <c r="N32" s="289">
        <v>575</v>
      </c>
      <c r="O32" s="289">
        <v>592</v>
      </c>
      <c r="P32" s="289">
        <f>'South Ayrshire'!H183</f>
        <v>654</v>
      </c>
      <c r="Q32" s="289"/>
      <c r="R32" s="267">
        <f t="shared" si="2"/>
        <v>0.10472972972972983</v>
      </c>
      <c r="S32" s="267"/>
      <c r="T32" s="269">
        <f t="shared" si="3"/>
        <v>62</v>
      </c>
    </row>
    <row r="33" spans="1:20">
      <c r="A33" s="288" t="s">
        <v>44</v>
      </c>
      <c r="B33" s="289">
        <v>1834</v>
      </c>
      <c r="C33" s="289">
        <v>1834</v>
      </c>
      <c r="D33" s="289">
        <v>1834</v>
      </c>
      <c r="E33" s="289">
        <v>1826</v>
      </c>
      <c r="F33" s="289">
        <f>'South Lanarkshire'!F183</f>
        <v>1788</v>
      </c>
      <c r="G33" s="289"/>
      <c r="H33" s="267">
        <f t="shared" si="0"/>
        <v>-2.0810514786418377E-2</v>
      </c>
      <c r="I33" s="267"/>
      <c r="J33" s="269">
        <f t="shared" si="1"/>
        <v>-38</v>
      </c>
      <c r="K33" s="290"/>
      <c r="L33" s="291">
        <v>1834</v>
      </c>
      <c r="M33" s="289">
        <v>1834</v>
      </c>
      <c r="N33" s="289">
        <v>1834</v>
      </c>
      <c r="O33" s="289">
        <v>1788</v>
      </c>
      <c r="P33" s="289">
        <f>'South Lanarkshire'!H183</f>
        <v>1788</v>
      </c>
      <c r="Q33" s="289"/>
      <c r="R33" s="267">
        <f t="shared" si="2"/>
        <v>0</v>
      </c>
      <c r="S33" s="267"/>
      <c r="T33" s="269">
        <f t="shared" si="3"/>
        <v>0</v>
      </c>
    </row>
    <row r="34" spans="1:20">
      <c r="A34" s="288" t="s">
        <v>45</v>
      </c>
      <c r="B34" s="289">
        <v>670</v>
      </c>
      <c r="C34" s="289">
        <v>650</v>
      </c>
      <c r="D34" s="289">
        <v>641</v>
      </c>
      <c r="E34" s="289">
        <v>652</v>
      </c>
      <c r="F34" s="289">
        <f>Stirling!F183</f>
        <v>550</v>
      </c>
      <c r="G34" s="289"/>
      <c r="H34" s="267">
        <f t="shared" si="0"/>
        <v>-0.15644171779141103</v>
      </c>
      <c r="I34" s="267"/>
      <c r="J34" s="269">
        <f t="shared" si="1"/>
        <v>-102</v>
      </c>
      <c r="K34" s="290"/>
      <c r="L34" s="291">
        <v>708</v>
      </c>
      <c r="M34" s="289">
        <v>716</v>
      </c>
      <c r="N34" s="289">
        <v>669</v>
      </c>
      <c r="O34" s="289">
        <v>669</v>
      </c>
      <c r="P34" s="289">
        <f>Stirling!H183</f>
        <v>676</v>
      </c>
      <c r="Q34" s="289"/>
      <c r="R34" s="267">
        <f t="shared" si="2"/>
        <v>1.0463378176382765E-2</v>
      </c>
      <c r="S34" s="267"/>
      <c r="T34" s="269">
        <f t="shared" si="3"/>
        <v>7</v>
      </c>
    </row>
    <row r="35" spans="1:20">
      <c r="A35" s="288" t="s">
        <v>46</v>
      </c>
      <c r="B35" s="289">
        <v>535</v>
      </c>
      <c r="C35" s="289">
        <v>524</v>
      </c>
      <c r="D35" s="289">
        <v>526.5</v>
      </c>
      <c r="E35" s="289">
        <v>524</v>
      </c>
      <c r="F35" s="289">
        <f>'West Dunbartonshire'!F183</f>
        <v>525</v>
      </c>
      <c r="G35" s="289"/>
      <c r="H35" s="267">
        <f t="shared" si="0"/>
        <v>1.9083969465649719E-3</v>
      </c>
      <c r="I35" s="267"/>
      <c r="J35" s="269">
        <f t="shared" si="1"/>
        <v>1</v>
      </c>
      <c r="K35" s="290"/>
      <c r="L35" s="291">
        <v>544</v>
      </c>
      <c r="M35" s="289">
        <v>546</v>
      </c>
      <c r="N35" s="289">
        <v>524</v>
      </c>
      <c r="O35" s="289">
        <v>540</v>
      </c>
      <c r="P35" s="289">
        <f>'West Dunbartonshire'!H183</f>
        <v>520</v>
      </c>
      <c r="Q35" s="289"/>
      <c r="R35" s="267">
        <f t="shared" si="2"/>
        <v>-3.703703703703709E-2</v>
      </c>
      <c r="S35" s="267"/>
      <c r="T35" s="269">
        <f t="shared" si="3"/>
        <v>-20</v>
      </c>
    </row>
    <row r="36" spans="1:20">
      <c r="A36" s="292" t="s">
        <v>47</v>
      </c>
      <c r="B36" s="293">
        <v>2256</v>
      </c>
      <c r="C36" s="293">
        <v>2137</v>
      </c>
      <c r="D36" s="293">
        <v>1840</v>
      </c>
      <c r="E36" s="293">
        <v>1975</v>
      </c>
      <c r="F36" s="293">
        <f>'West Lothian'!F183</f>
        <v>2052</v>
      </c>
      <c r="G36" s="293"/>
      <c r="H36" s="294">
        <f t="shared" si="0"/>
        <v>3.8987341772151796E-2</v>
      </c>
      <c r="I36" s="294"/>
      <c r="J36" s="295">
        <f t="shared" si="1"/>
        <v>77</v>
      </c>
      <c r="K36" s="290"/>
      <c r="L36" s="296">
        <v>2082</v>
      </c>
      <c r="M36" s="293">
        <v>1889</v>
      </c>
      <c r="N36" s="293">
        <v>1678</v>
      </c>
      <c r="O36" s="293">
        <v>1774</v>
      </c>
      <c r="P36" s="293">
        <f>'West Lothian'!H183</f>
        <v>1812</v>
      </c>
      <c r="Q36" s="293"/>
      <c r="R36" s="294">
        <f t="shared" si="2"/>
        <v>2.1420518602029315E-2</v>
      </c>
      <c r="S36" s="294"/>
      <c r="T36" s="295">
        <f t="shared" si="3"/>
        <v>38</v>
      </c>
    </row>
    <row r="37" spans="1:20">
      <c r="A37" s="314"/>
      <c r="B37" s="205" t="s">
        <v>316</v>
      </c>
      <c r="C37" s="205"/>
      <c r="D37" s="205"/>
      <c r="E37" s="205"/>
      <c r="F37" s="205" t="s">
        <v>316</v>
      </c>
      <c r="L37" s="205" t="s">
        <v>317</v>
      </c>
      <c r="M37" s="205"/>
      <c r="N37" s="205"/>
      <c r="O37" s="205"/>
      <c r="P37" s="205" t="s">
        <v>318</v>
      </c>
    </row>
    <row r="39" spans="1:20">
      <c r="A39" s="205" t="s">
        <v>334</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3">
    <tabColor theme="9"/>
  </sheetPr>
  <dimension ref="A1:AP103"/>
  <sheetViews>
    <sheetView workbookViewId="0">
      <selection activeCell="M43" sqref="M43"/>
    </sheetView>
  </sheetViews>
  <sheetFormatPr defaultColWidth="9.140625" defaultRowHeight="12.75"/>
  <cols>
    <col min="1" max="1" width="31.42578125" style="316" customWidth="1"/>
    <col min="2" max="2" width="9.85546875" style="316" bestFit="1" customWidth="1"/>
    <col min="3" max="3" width="9.5703125" style="316" bestFit="1" customWidth="1"/>
    <col min="4" max="4" width="9.85546875" style="316" bestFit="1" customWidth="1"/>
    <col min="5" max="5" width="9.5703125" style="316" bestFit="1" customWidth="1"/>
    <col min="6" max="11" width="9.5703125" style="316" customWidth="1"/>
    <col min="12" max="12" width="9.85546875" style="316" bestFit="1" customWidth="1"/>
    <col min="13" max="13" width="9.5703125" style="316" bestFit="1" customWidth="1"/>
    <col min="14" max="14" width="9.85546875" style="316" bestFit="1" customWidth="1"/>
    <col min="15" max="15" width="9.5703125" style="316" bestFit="1" customWidth="1"/>
    <col min="16" max="21" width="9.5703125" style="316" customWidth="1"/>
    <col min="22" max="22" width="10.85546875" style="316" bestFit="1" customWidth="1"/>
    <col min="23" max="23" width="10.7109375" style="316" bestFit="1" customWidth="1"/>
    <col min="24" max="24" width="10.85546875" style="316" bestFit="1" customWidth="1"/>
    <col min="25" max="25" width="10.7109375" style="316" bestFit="1" customWidth="1"/>
    <col min="26" max="31" width="10.7109375" style="316" customWidth="1"/>
    <col min="32" max="16384" width="9.140625" style="316"/>
  </cols>
  <sheetData>
    <row r="1" spans="1:42">
      <c r="A1" s="315" t="s">
        <v>187</v>
      </c>
      <c r="B1" s="972">
        <v>1</v>
      </c>
      <c r="C1" s="973"/>
      <c r="D1" s="973"/>
      <c r="E1" s="973"/>
      <c r="F1" s="973"/>
      <c r="G1" s="973"/>
      <c r="H1" s="973"/>
      <c r="I1" s="973"/>
      <c r="J1" s="973"/>
      <c r="K1" s="974"/>
      <c r="L1" s="975">
        <v>2</v>
      </c>
      <c r="M1" s="968"/>
      <c r="N1" s="968"/>
      <c r="O1" s="968"/>
      <c r="P1" s="968"/>
      <c r="Q1" s="968"/>
      <c r="R1" s="968"/>
      <c r="S1" s="968"/>
      <c r="T1" s="968"/>
      <c r="U1" s="976"/>
      <c r="V1" s="968">
        <v>3</v>
      </c>
      <c r="W1" s="968"/>
      <c r="X1" s="968"/>
      <c r="Y1" s="968"/>
      <c r="Z1" s="968"/>
      <c r="AA1" s="968"/>
      <c r="AB1" s="968"/>
      <c r="AC1" s="968"/>
      <c r="AD1" s="968"/>
      <c r="AE1" s="968"/>
      <c r="AH1" s="977" t="s">
        <v>388</v>
      </c>
      <c r="AI1" s="977"/>
      <c r="AJ1" s="977"/>
      <c r="AK1" s="977"/>
      <c r="AM1" s="977" t="s">
        <v>391</v>
      </c>
      <c r="AN1" s="977"/>
      <c r="AO1" s="977"/>
      <c r="AP1" s="977"/>
    </row>
    <row r="2" spans="1:42">
      <c r="A2" s="317"/>
      <c r="B2" s="969" t="s">
        <v>188</v>
      </c>
      <c r="C2" s="970"/>
      <c r="D2" s="970"/>
      <c r="E2" s="970"/>
      <c r="F2" s="970"/>
      <c r="G2" s="970"/>
      <c r="H2" s="970"/>
      <c r="I2" s="970"/>
      <c r="J2" s="970"/>
      <c r="K2" s="971"/>
      <c r="L2" s="969" t="s">
        <v>189</v>
      </c>
      <c r="M2" s="970"/>
      <c r="N2" s="970"/>
      <c r="O2" s="970"/>
      <c r="P2" s="970"/>
      <c r="Q2" s="970"/>
      <c r="R2" s="970"/>
      <c r="S2" s="970"/>
      <c r="T2" s="970"/>
      <c r="U2" s="971"/>
      <c r="V2" s="968" t="s">
        <v>190</v>
      </c>
      <c r="W2" s="968"/>
      <c r="X2" s="968"/>
      <c r="Y2" s="968"/>
      <c r="Z2" s="968"/>
      <c r="AA2" s="968"/>
      <c r="AB2" s="968"/>
      <c r="AC2" s="968"/>
      <c r="AD2" s="968"/>
      <c r="AE2" s="968"/>
      <c r="AH2" s="977" t="s">
        <v>278</v>
      </c>
      <c r="AI2" s="977"/>
      <c r="AJ2" s="977" t="s">
        <v>273</v>
      </c>
      <c r="AK2" s="977"/>
      <c r="AM2" s="977" t="s">
        <v>278</v>
      </c>
      <c r="AN2" s="977"/>
      <c r="AO2" s="977" t="s">
        <v>273</v>
      </c>
      <c r="AP2" s="977"/>
    </row>
    <row r="3" spans="1:42" ht="28.5" customHeight="1">
      <c r="A3" s="318"/>
      <c r="B3" s="698" t="s">
        <v>426</v>
      </c>
      <c r="C3" s="698" t="s">
        <v>431</v>
      </c>
      <c r="D3" s="698" t="s">
        <v>427</v>
      </c>
      <c r="E3" s="698" t="s">
        <v>432</v>
      </c>
      <c r="F3" s="698" t="s">
        <v>428</v>
      </c>
      <c r="G3" s="698" t="s">
        <v>433</v>
      </c>
      <c r="H3" s="698" t="s">
        <v>429</v>
      </c>
      <c r="I3" s="698" t="s">
        <v>434</v>
      </c>
      <c r="J3" s="698" t="s">
        <v>430</v>
      </c>
      <c r="K3" s="701" t="s">
        <v>435</v>
      </c>
      <c r="L3" s="698" t="s">
        <v>426</v>
      </c>
      <c r="M3" s="698" t="s">
        <v>431</v>
      </c>
      <c r="N3" s="698" t="s">
        <v>427</v>
      </c>
      <c r="O3" s="698" t="s">
        <v>432</v>
      </c>
      <c r="P3" s="698" t="s">
        <v>428</v>
      </c>
      <c r="Q3" s="698" t="s">
        <v>433</v>
      </c>
      <c r="R3" s="698" t="s">
        <v>429</v>
      </c>
      <c r="S3" s="698" t="s">
        <v>434</v>
      </c>
      <c r="T3" s="698" t="s">
        <v>430</v>
      </c>
      <c r="U3" s="701" t="s">
        <v>435</v>
      </c>
      <c r="V3" s="698" t="s">
        <v>426</v>
      </c>
      <c r="W3" s="698" t="s">
        <v>431</v>
      </c>
      <c r="X3" s="698" t="s">
        <v>427</v>
      </c>
      <c r="Y3" s="698" t="s">
        <v>432</v>
      </c>
      <c r="Z3" s="698" t="s">
        <v>428</v>
      </c>
      <c r="AA3" s="698" t="s">
        <v>433</v>
      </c>
      <c r="AB3" s="698" t="s">
        <v>429</v>
      </c>
      <c r="AC3" s="698" t="s">
        <v>434</v>
      </c>
      <c r="AD3" s="698" t="s">
        <v>430</v>
      </c>
      <c r="AE3" s="698" t="s">
        <v>435</v>
      </c>
      <c r="AF3" s="329"/>
      <c r="AH3" s="420" t="s">
        <v>389</v>
      </c>
      <c r="AI3" s="420" t="s">
        <v>390</v>
      </c>
      <c r="AJ3" s="420" t="s">
        <v>389</v>
      </c>
      <c r="AK3" s="420" t="s">
        <v>390</v>
      </c>
      <c r="AM3" s="420" t="s">
        <v>389</v>
      </c>
      <c r="AN3" s="420" t="s">
        <v>390</v>
      </c>
      <c r="AO3" s="420" t="s">
        <v>389</v>
      </c>
      <c r="AP3" s="420" t="s">
        <v>390</v>
      </c>
    </row>
    <row r="4" spans="1:42">
      <c r="A4" s="322" t="s">
        <v>251</v>
      </c>
      <c r="B4" s="323">
        <v>41508</v>
      </c>
      <c r="C4" s="324">
        <v>40538</v>
      </c>
      <c r="D4" s="324">
        <v>42404</v>
      </c>
      <c r="E4" s="324">
        <v>41277</v>
      </c>
      <c r="F4" s="324">
        <v>39411</v>
      </c>
      <c r="G4" s="324">
        <v>38618</v>
      </c>
      <c r="H4" s="324">
        <v>39746.340573034235</v>
      </c>
      <c r="I4" s="324">
        <v>39790.28226301197</v>
      </c>
      <c r="J4" s="284">
        <f>Scotland!$F$240</f>
        <v>41878</v>
      </c>
      <c r="K4" s="284">
        <f>Scotland!$H$240</f>
        <v>46216</v>
      </c>
      <c r="L4" s="323">
        <v>48111</v>
      </c>
      <c r="M4" s="324">
        <v>51194</v>
      </c>
      <c r="N4" s="324">
        <v>57185</v>
      </c>
      <c r="O4" s="324">
        <v>53267</v>
      </c>
      <c r="P4" s="324">
        <v>54528.814438876776</v>
      </c>
      <c r="Q4" s="324">
        <v>50710.483423986771</v>
      </c>
      <c r="R4" s="324">
        <v>51346.424351994436</v>
      </c>
      <c r="S4" s="324">
        <v>49251.591264189119</v>
      </c>
      <c r="T4" s="324">
        <f>Scotland!$F$241</f>
        <v>53500</v>
      </c>
      <c r="U4" s="421">
        <f>Scotland!$H$241</f>
        <v>60428</v>
      </c>
      <c r="V4" s="324">
        <v>89619</v>
      </c>
      <c r="W4" s="324">
        <v>91732</v>
      </c>
      <c r="X4" s="324">
        <v>99589</v>
      </c>
      <c r="Y4" s="325">
        <v>94544</v>
      </c>
      <c r="Z4" s="324">
        <v>93939.814438876783</v>
      </c>
      <c r="AA4" s="324">
        <v>89328.483423986763</v>
      </c>
      <c r="AB4" s="324">
        <v>91092.764925028663</v>
      </c>
      <c r="AC4" s="324">
        <v>89041.873527201096</v>
      </c>
      <c r="AD4" s="324">
        <f>Scotland!$F$242</f>
        <v>95378</v>
      </c>
      <c r="AE4" s="324">
        <f>Scotland!$H$242</f>
        <v>106644</v>
      </c>
      <c r="AH4" s="403">
        <f>AI4/H4</f>
        <v>5.36315896314737E-2</v>
      </c>
      <c r="AI4" s="326">
        <f>J4-H4</f>
        <v>2131.6594269657653</v>
      </c>
      <c r="AJ4" s="403">
        <f>AK4/I4</f>
        <v>0.16148962438904871</v>
      </c>
      <c r="AK4" s="326">
        <f>K4-I4</f>
        <v>6425.7177369880301</v>
      </c>
      <c r="AM4" s="403">
        <f>AN4/R4</f>
        <v>4.1942076301987201E-2</v>
      </c>
      <c r="AN4" s="326">
        <f>T4-R4</f>
        <v>2153.5756480055643</v>
      </c>
      <c r="AO4" s="403">
        <f>AP4/S4</f>
        <v>0.22692482514645693</v>
      </c>
      <c r="AP4" s="326">
        <f>U4-S4</f>
        <v>11176.408735810881</v>
      </c>
    </row>
    <row r="5" spans="1:42">
      <c r="A5" s="316" t="s">
        <v>3</v>
      </c>
      <c r="B5" s="327">
        <v>3105</v>
      </c>
      <c r="C5" s="328">
        <v>3053</v>
      </c>
      <c r="D5" s="328">
        <v>3078</v>
      </c>
      <c r="E5" s="328">
        <v>2723</v>
      </c>
      <c r="F5" s="328">
        <v>3198</v>
      </c>
      <c r="G5" s="328">
        <v>2845</v>
      </c>
      <c r="H5" s="328">
        <v>3492</v>
      </c>
      <c r="I5" s="328">
        <v>3546</v>
      </c>
      <c r="J5" s="289">
        <f>'Aberdeen City'!F240</f>
        <v>3906</v>
      </c>
      <c r="K5" s="289">
        <f>'Aberdeen City'!H240</f>
        <v>3988</v>
      </c>
      <c r="L5" s="327">
        <v>4437</v>
      </c>
      <c r="M5" s="328">
        <v>4818</v>
      </c>
      <c r="N5" s="328">
        <v>4967</v>
      </c>
      <c r="O5" s="328">
        <v>4941</v>
      </c>
      <c r="P5" s="328">
        <v>5729</v>
      </c>
      <c r="Q5" s="328">
        <v>4299</v>
      </c>
      <c r="R5" s="328">
        <v>5442</v>
      </c>
      <c r="S5" s="328">
        <v>5360</v>
      </c>
      <c r="T5" s="328">
        <f>'Aberdeen City'!F241</f>
        <v>4387</v>
      </c>
      <c r="U5" s="422">
        <f>'Aberdeen City'!H241</f>
        <v>3647</v>
      </c>
      <c r="V5" s="328">
        <v>7542</v>
      </c>
      <c r="W5" s="328">
        <v>7871</v>
      </c>
      <c r="X5" s="328">
        <v>8045</v>
      </c>
      <c r="Y5" s="328">
        <v>7664</v>
      </c>
      <c r="Z5" s="328">
        <v>8927</v>
      </c>
      <c r="AA5" s="328">
        <v>7144</v>
      </c>
      <c r="AB5" s="328">
        <v>8934</v>
      </c>
      <c r="AC5" s="328">
        <v>8906</v>
      </c>
      <c r="AD5" s="328">
        <f>'Aberdeen City'!F242</f>
        <v>8293</v>
      </c>
      <c r="AE5" s="328">
        <f>'Aberdeen City'!H242</f>
        <v>7635</v>
      </c>
      <c r="AH5" s="403">
        <f t="shared" ref="AH5:AH36" si="0">AI5/H5</f>
        <v>0.11855670103092783</v>
      </c>
      <c r="AI5" s="326">
        <f t="shared" ref="AI5:AI36" si="1">J5-H5</f>
        <v>414</v>
      </c>
      <c r="AJ5" s="403">
        <f t="shared" ref="AJ5:AJ36" si="2">AK5/I5</f>
        <v>0.12464749012972363</v>
      </c>
      <c r="AK5" s="326">
        <f t="shared" ref="AK5:AK36" si="3">K5-I5</f>
        <v>442</v>
      </c>
      <c r="AM5" s="403">
        <f t="shared" ref="AM5:AM36" si="4">AN5/R5</f>
        <v>-0.19386255053289231</v>
      </c>
      <c r="AN5" s="326">
        <f t="shared" ref="AN5:AN36" si="5">T5-R5</f>
        <v>-1055</v>
      </c>
      <c r="AO5" s="403">
        <f t="shared" ref="AO5:AO36" si="6">AP5/S5</f>
        <v>-0.31958955223880597</v>
      </c>
      <c r="AP5" s="326">
        <f t="shared" ref="AP5:AP36" si="7">U5-S5</f>
        <v>-1713</v>
      </c>
    </row>
    <row r="6" spans="1:42">
      <c r="A6" s="316" t="s">
        <v>4</v>
      </c>
      <c r="B6" s="327">
        <v>1134</v>
      </c>
      <c r="C6" s="328">
        <v>1223</v>
      </c>
      <c r="D6" s="328">
        <v>1146</v>
      </c>
      <c r="E6" s="328">
        <v>1252</v>
      </c>
      <c r="F6" s="328">
        <v>1142</v>
      </c>
      <c r="G6" s="328">
        <v>1246</v>
      </c>
      <c r="H6" s="328">
        <v>1191</v>
      </c>
      <c r="I6" s="328">
        <v>1231</v>
      </c>
      <c r="J6" s="289">
        <f>Aberdeenshire!F240</f>
        <v>1200</v>
      </c>
      <c r="K6" s="289">
        <f>Aberdeenshire!H240</f>
        <v>1100</v>
      </c>
      <c r="L6" s="327">
        <v>1155</v>
      </c>
      <c r="M6" s="328">
        <v>1185</v>
      </c>
      <c r="N6" s="328">
        <v>1271</v>
      </c>
      <c r="O6" s="328">
        <v>1263</v>
      </c>
      <c r="P6" s="328">
        <v>1164</v>
      </c>
      <c r="Q6" s="328">
        <v>1211</v>
      </c>
      <c r="R6" s="328">
        <v>1175</v>
      </c>
      <c r="S6" s="328">
        <v>1154</v>
      </c>
      <c r="T6" s="328">
        <f>Aberdeenshire!F241</f>
        <v>1539</v>
      </c>
      <c r="U6" s="422">
        <f>Aberdeenshire!H241</f>
        <v>1428</v>
      </c>
      <c r="V6" s="328">
        <v>2289</v>
      </c>
      <c r="W6" s="328">
        <v>2408</v>
      </c>
      <c r="X6" s="328">
        <v>2417</v>
      </c>
      <c r="Y6" s="328">
        <v>2515</v>
      </c>
      <c r="Z6" s="328">
        <v>2306</v>
      </c>
      <c r="AA6" s="328">
        <v>2457</v>
      </c>
      <c r="AB6" s="328">
        <v>2366</v>
      </c>
      <c r="AC6" s="328">
        <v>2385</v>
      </c>
      <c r="AD6" s="328">
        <f>Aberdeenshire!F242</f>
        <v>2739</v>
      </c>
      <c r="AE6" s="328">
        <f>Aberdeenshire!H242</f>
        <v>2528</v>
      </c>
      <c r="AH6" s="403">
        <f t="shared" si="0"/>
        <v>7.556675062972292E-3</v>
      </c>
      <c r="AI6" s="326">
        <f t="shared" si="1"/>
        <v>9</v>
      </c>
      <c r="AJ6" s="403">
        <f t="shared" si="2"/>
        <v>-0.10641754670999187</v>
      </c>
      <c r="AK6" s="326">
        <f t="shared" si="3"/>
        <v>-131</v>
      </c>
      <c r="AM6" s="403">
        <f t="shared" si="4"/>
        <v>0.30978723404255321</v>
      </c>
      <c r="AN6" s="326">
        <f t="shared" si="5"/>
        <v>364</v>
      </c>
      <c r="AO6" s="403">
        <f t="shared" si="6"/>
        <v>0.23743500866551126</v>
      </c>
      <c r="AP6" s="326">
        <f t="shared" si="7"/>
        <v>274</v>
      </c>
    </row>
    <row r="7" spans="1:42">
      <c r="A7" s="316" t="s">
        <v>5</v>
      </c>
      <c r="B7" s="327">
        <v>964</v>
      </c>
      <c r="C7" s="328">
        <v>902</v>
      </c>
      <c r="D7" s="328">
        <v>855</v>
      </c>
      <c r="E7" s="328">
        <v>317</v>
      </c>
      <c r="F7" s="328">
        <v>312</v>
      </c>
      <c r="G7" s="328">
        <v>332</v>
      </c>
      <c r="H7" s="328">
        <v>344</v>
      </c>
      <c r="I7" s="328">
        <v>322</v>
      </c>
      <c r="J7" s="289">
        <f>Angus!F240</f>
        <v>314</v>
      </c>
      <c r="K7" s="289">
        <f>Angus!H240</f>
        <v>316</v>
      </c>
      <c r="L7" s="327">
        <v>392</v>
      </c>
      <c r="M7" s="328">
        <v>403</v>
      </c>
      <c r="N7" s="328">
        <v>373</v>
      </c>
      <c r="O7" s="328">
        <v>348</v>
      </c>
      <c r="P7" s="328">
        <v>359</v>
      </c>
      <c r="Q7" s="328">
        <v>379</v>
      </c>
      <c r="R7" s="328">
        <v>357</v>
      </c>
      <c r="S7" s="328">
        <v>392</v>
      </c>
      <c r="T7" s="328">
        <f>Angus!F241</f>
        <v>353</v>
      </c>
      <c r="U7" s="422">
        <f>Angus!H241</f>
        <v>367</v>
      </c>
      <c r="V7" s="328">
        <v>1356</v>
      </c>
      <c r="W7" s="328">
        <v>1305</v>
      </c>
      <c r="X7" s="328">
        <v>1228</v>
      </c>
      <c r="Y7" s="328">
        <v>665</v>
      </c>
      <c r="Z7" s="328">
        <v>671</v>
      </c>
      <c r="AA7" s="328">
        <v>711</v>
      </c>
      <c r="AB7" s="328">
        <v>701</v>
      </c>
      <c r="AC7" s="328">
        <v>714</v>
      </c>
      <c r="AD7" s="328">
        <f>Angus!F242</f>
        <v>667</v>
      </c>
      <c r="AE7" s="328">
        <f>Angus!H242</f>
        <v>683</v>
      </c>
      <c r="AH7" s="403">
        <f t="shared" si="0"/>
        <v>-8.7209302325581398E-2</v>
      </c>
      <c r="AI7" s="326">
        <f t="shared" si="1"/>
        <v>-30</v>
      </c>
      <c r="AJ7" s="403">
        <f t="shared" si="2"/>
        <v>-1.8633540372670808E-2</v>
      </c>
      <c r="AK7" s="326">
        <f t="shared" si="3"/>
        <v>-6</v>
      </c>
      <c r="AM7" s="403">
        <f t="shared" si="4"/>
        <v>-1.1204481792717087E-2</v>
      </c>
      <c r="AN7" s="326">
        <f t="shared" si="5"/>
        <v>-4</v>
      </c>
      <c r="AO7" s="403">
        <f t="shared" si="6"/>
        <v>-6.3775510204081634E-2</v>
      </c>
      <c r="AP7" s="326">
        <f t="shared" si="7"/>
        <v>-25</v>
      </c>
    </row>
    <row r="8" spans="1:42">
      <c r="A8" s="316" t="s">
        <v>6</v>
      </c>
      <c r="B8" s="327">
        <v>145</v>
      </c>
      <c r="C8" s="328">
        <v>139</v>
      </c>
      <c r="D8" s="328">
        <v>138</v>
      </c>
      <c r="E8" s="328">
        <v>143</v>
      </c>
      <c r="F8" s="328">
        <v>141</v>
      </c>
      <c r="G8" s="328">
        <v>113</v>
      </c>
      <c r="H8" s="328">
        <v>116</v>
      </c>
      <c r="I8" s="328">
        <v>23</v>
      </c>
      <c r="J8" s="289">
        <f>'Argyll &amp; Bute'!F240</f>
        <v>22</v>
      </c>
      <c r="K8" s="289">
        <f>'Argyll &amp; Bute'!H240</f>
        <v>22</v>
      </c>
      <c r="L8" s="327">
        <v>1783</v>
      </c>
      <c r="M8" s="328">
        <v>1888</v>
      </c>
      <c r="N8" s="328">
        <v>1931</v>
      </c>
      <c r="O8" s="328">
        <v>1886</v>
      </c>
      <c r="P8" s="328">
        <v>1834</v>
      </c>
      <c r="Q8" s="328">
        <v>1540</v>
      </c>
      <c r="R8" s="328">
        <v>1703</v>
      </c>
      <c r="S8" s="328">
        <v>1889</v>
      </c>
      <c r="T8" s="328">
        <f>'Argyll &amp; Bute'!F241</f>
        <v>1687</v>
      </c>
      <c r="U8" s="422">
        <f>'Argyll &amp; Bute'!H241</f>
        <v>1716</v>
      </c>
      <c r="V8" s="328">
        <v>1928</v>
      </c>
      <c r="W8" s="328">
        <v>2027</v>
      </c>
      <c r="X8" s="328">
        <v>2069</v>
      </c>
      <c r="Y8" s="328">
        <v>2029</v>
      </c>
      <c r="Z8" s="328">
        <v>1975</v>
      </c>
      <c r="AA8" s="328">
        <v>1653</v>
      </c>
      <c r="AB8" s="328">
        <v>1819</v>
      </c>
      <c r="AC8" s="328">
        <v>1912</v>
      </c>
      <c r="AD8" s="328">
        <f>'Argyll &amp; Bute'!F242</f>
        <v>1709</v>
      </c>
      <c r="AE8" s="328">
        <f>'Argyll &amp; Bute'!H242</f>
        <v>1738</v>
      </c>
      <c r="AH8" s="403">
        <f t="shared" si="0"/>
        <v>-0.81034482758620685</v>
      </c>
      <c r="AI8" s="326">
        <f t="shared" si="1"/>
        <v>-94</v>
      </c>
      <c r="AJ8" s="403">
        <f t="shared" si="2"/>
        <v>-4.3478260869565216E-2</v>
      </c>
      <c r="AK8" s="326">
        <f t="shared" si="3"/>
        <v>-1</v>
      </c>
      <c r="AM8" s="403">
        <f t="shared" si="4"/>
        <v>-9.3951849677040514E-3</v>
      </c>
      <c r="AN8" s="326">
        <f t="shared" si="5"/>
        <v>-16</v>
      </c>
      <c r="AO8" s="403">
        <f t="shared" si="6"/>
        <v>-9.1582848067760722E-2</v>
      </c>
      <c r="AP8" s="326">
        <f t="shared" si="7"/>
        <v>-173</v>
      </c>
    </row>
    <row r="9" spans="1:42">
      <c r="A9" s="316" t="s">
        <v>8</v>
      </c>
      <c r="B9" s="327">
        <v>76</v>
      </c>
      <c r="C9" s="328">
        <v>91</v>
      </c>
      <c r="D9" s="328">
        <v>110</v>
      </c>
      <c r="E9" s="328">
        <v>73</v>
      </c>
      <c r="F9" s="328">
        <v>143</v>
      </c>
      <c r="G9" s="328">
        <v>86</v>
      </c>
      <c r="H9" s="328">
        <v>81.114826776562523</v>
      </c>
      <c r="I9" s="328">
        <v>0</v>
      </c>
      <c r="J9" s="289">
        <f>Clackmannanshire!F240</f>
        <v>0</v>
      </c>
      <c r="K9" s="289">
        <f>Clackmannanshire!H240</f>
        <v>0</v>
      </c>
      <c r="L9" s="327">
        <v>763</v>
      </c>
      <c r="M9" s="328">
        <v>728</v>
      </c>
      <c r="N9" s="328">
        <v>661</v>
      </c>
      <c r="O9" s="328">
        <v>660</v>
      </c>
      <c r="P9" s="328">
        <v>364</v>
      </c>
      <c r="Q9" s="328">
        <v>347</v>
      </c>
      <c r="R9" s="328">
        <v>274.66959480277114</v>
      </c>
      <c r="S9" s="328">
        <v>246.67773480187714</v>
      </c>
      <c r="T9" s="328">
        <f>Clackmannanshire!F241</f>
        <v>405</v>
      </c>
      <c r="U9" s="422">
        <f>Clackmannanshire!H241</f>
        <v>352</v>
      </c>
      <c r="V9" s="328">
        <v>839</v>
      </c>
      <c r="W9" s="328">
        <v>819</v>
      </c>
      <c r="X9" s="328">
        <v>771</v>
      </c>
      <c r="Y9" s="328">
        <v>733</v>
      </c>
      <c r="Z9" s="328">
        <v>507</v>
      </c>
      <c r="AA9" s="328">
        <v>433</v>
      </c>
      <c r="AB9" s="328">
        <v>355.78442157933364</v>
      </c>
      <c r="AC9" s="328">
        <v>246.67773480187714</v>
      </c>
      <c r="AD9" s="328">
        <f>Clackmannanshire!F242</f>
        <v>405</v>
      </c>
      <c r="AE9" s="328">
        <f>Clackmannanshire!H242</f>
        <v>352</v>
      </c>
      <c r="AH9" s="403">
        <f t="shared" si="0"/>
        <v>-1</v>
      </c>
      <c r="AI9" s="326">
        <f t="shared" si="1"/>
        <v>-81.114826776562523</v>
      </c>
      <c r="AJ9" s="403" t="e">
        <f t="shared" si="2"/>
        <v>#DIV/0!</v>
      </c>
      <c r="AK9" s="326">
        <f t="shared" si="3"/>
        <v>0</v>
      </c>
      <c r="AM9" s="403">
        <f t="shared" si="4"/>
        <v>0.4744988439321568</v>
      </c>
      <c r="AN9" s="326">
        <f t="shared" si="5"/>
        <v>130.33040519722886</v>
      </c>
      <c r="AO9" s="403">
        <f t="shared" si="6"/>
        <v>0.4269629980294492</v>
      </c>
      <c r="AP9" s="326">
        <f t="shared" si="7"/>
        <v>105.32226519812286</v>
      </c>
    </row>
    <row r="10" spans="1:42">
      <c r="A10" s="316" t="s">
        <v>9</v>
      </c>
      <c r="B10" s="327">
        <v>1609</v>
      </c>
      <c r="C10" s="328">
        <v>1594</v>
      </c>
      <c r="D10" s="328">
        <v>1944</v>
      </c>
      <c r="E10" s="328">
        <v>1636</v>
      </c>
      <c r="F10" s="328">
        <v>1664</v>
      </c>
      <c r="G10" s="328">
        <v>1639</v>
      </c>
      <c r="H10" s="328">
        <v>1627</v>
      </c>
      <c r="I10" s="328">
        <v>1686</v>
      </c>
      <c r="J10" s="289">
        <f>'Dumfries &amp; Galloway'!F240</f>
        <v>1783</v>
      </c>
      <c r="K10" s="289">
        <f>'Dumfries &amp; Galloway'!H240</f>
        <v>1787</v>
      </c>
      <c r="L10" s="327">
        <v>100</v>
      </c>
      <c r="M10" s="328">
        <v>46</v>
      </c>
      <c r="N10" s="328">
        <v>47</v>
      </c>
      <c r="O10" s="328">
        <v>42</v>
      </c>
      <c r="P10" s="328">
        <v>10</v>
      </c>
      <c r="Q10" s="328">
        <v>4</v>
      </c>
      <c r="R10" s="328">
        <v>102</v>
      </c>
      <c r="S10" s="328">
        <v>103</v>
      </c>
      <c r="T10" s="328">
        <f>'Dumfries &amp; Galloway'!F241</f>
        <v>110</v>
      </c>
      <c r="U10" s="422">
        <f>'Dumfries &amp; Galloway'!H241</f>
        <v>116</v>
      </c>
      <c r="V10" s="328">
        <v>1709</v>
      </c>
      <c r="W10" s="328">
        <v>1640</v>
      </c>
      <c r="X10" s="328">
        <v>1991</v>
      </c>
      <c r="Y10" s="328">
        <v>1678</v>
      </c>
      <c r="Z10" s="328">
        <v>1674</v>
      </c>
      <c r="AA10" s="328">
        <v>1643</v>
      </c>
      <c r="AB10" s="328">
        <v>1729</v>
      </c>
      <c r="AC10" s="328">
        <v>1789</v>
      </c>
      <c r="AD10" s="328">
        <f>'Dumfries &amp; Galloway'!F242</f>
        <v>1893</v>
      </c>
      <c r="AE10" s="328">
        <f>'Dumfries &amp; Galloway'!H242</f>
        <v>1903</v>
      </c>
      <c r="AH10" s="403">
        <f t="shared" si="0"/>
        <v>9.5881991395205896E-2</v>
      </c>
      <c r="AI10" s="326">
        <f t="shared" si="1"/>
        <v>156</v>
      </c>
      <c r="AJ10" s="403">
        <f t="shared" si="2"/>
        <v>5.9905100830367736E-2</v>
      </c>
      <c r="AK10" s="326">
        <f t="shared" si="3"/>
        <v>101</v>
      </c>
      <c r="AM10" s="403">
        <f t="shared" si="4"/>
        <v>7.8431372549019607E-2</v>
      </c>
      <c r="AN10" s="326">
        <f t="shared" si="5"/>
        <v>8</v>
      </c>
      <c r="AO10" s="403">
        <f t="shared" si="6"/>
        <v>0.12621359223300971</v>
      </c>
      <c r="AP10" s="326">
        <f t="shared" si="7"/>
        <v>13</v>
      </c>
    </row>
    <row r="11" spans="1:42">
      <c r="A11" s="316" t="s">
        <v>11</v>
      </c>
      <c r="B11" s="327">
        <v>1757</v>
      </c>
      <c r="C11" s="328">
        <v>1431</v>
      </c>
      <c r="D11" s="328">
        <v>1650</v>
      </c>
      <c r="E11" s="328">
        <v>1470</v>
      </c>
      <c r="F11" s="328">
        <v>1662</v>
      </c>
      <c r="G11" s="328">
        <v>1516</v>
      </c>
      <c r="H11" s="328">
        <v>1631</v>
      </c>
      <c r="I11" s="328">
        <v>1648</v>
      </c>
      <c r="J11" s="289">
        <f>'Dundee City'!F240</f>
        <v>2093</v>
      </c>
      <c r="K11" s="289">
        <f>'Dundee City'!H240</f>
        <v>2112</v>
      </c>
      <c r="L11" s="327">
        <v>1618</v>
      </c>
      <c r="M11" s="328">
        <v>1538</v>
      </c>
      <c r="N11" s="328">
        <v>1760</v>
      </c>
      <c r="O11" s="328">
        <v>1565</v>
      </c>
      <c r="P11" s="328">
        <v>1772</v>
      </c>
      <c r="Q11" s="328">
        <v>1674</v>
      </c>
      <c r="R11" s="328">
        <v>1864</v>
      </c>
      <c r="S11" s="328">
        <v>1964</v>
      </c>
      <c r="T11" s="328">
        <f>'Dundee City'!F241</f>
        <v>1886</v>
      </c>
      <c r="U11" s="422">
        <f>'Dundee City'!H241</f>
        <v>1774</v>
      </c>
      <c r="V11" s="328">
        <v>3375</v>
      </c>
      <c r="W11" s="328">
        <v>2969</v>
      </c>
      <c r="X11" s="328">
        <v>3410</v>
      </c>
      <c r="Y11" s="328">
        <v>3035</v>
      </c>
      <c r="Z11" s="328">
        <v>3434</v>
      </c>
      <c r="AA11" s="328">
        <v>3190</v>
      </c>
      <c r="AB11" s="328">
        <v>3495</v>
      </c>
      <c r="AC11" s="328">
        <v>3612</v>
      </c>
      <c r="AD11" s="328">
        <f>'Dundee City'!F242</f>
        <v>3979</v>
      </c>
      <c r="AE11" s="328">
        <f>'Dundee City'!H242</f>
        <v>3886</v>
      </c>
      <c r="AH11" s="403">
        <f t="shared" si="0"/>
        <v>0.2832618025751073</v>
      </c>
      <c r="AI11" s="326">
        <f t="shared" si="1"/>
        <v>462</v>
      </c>
      <c r="AJ11" s="403">
        <f t="shared" si="2"/>
        <v>0.28155339805825241</v>
      </c>
      <c r="AK11" s="326">
        <f t="shared" si="3"/>
        <v>464</v>
      </c>
      <c r="AM11" s="403">
        <f t="shared" si="4"/>
        <v>1.1802575107296138E-2</v>
      </c>
      <c r="AN11" s="326">
        <f t="shared" si="5"/>
        <v>22</v>
      </c>
      <c r="AO11" s="403">
        <f t="shared" si="6"/>
        <v>-9.6741344195519344E-2</v>
      </c>
      <c r="AP11" s="326">
        <f t="shared" si="7"/>
        <v>-190</v>
      </c>
    </row>
    <row r="12" spans="1:42">
      <c r="A12" s="316" t="s">
        <v>13</v>
      </c>
      <c r="B12" s="327">
        <v>799</v>
      </c>
      <c r="C12" s="328">
        <v>735</v>
      </c>
      <c r="D12" s="328">
        <v>829</v>
      </c>
      <c r="E12" s="328">
        <v>728</v>
      </c>
      <c r="F12" s="328">
        <v>794</v>
      </c>
      <c r="G12" s="328">
        <v>731</v>
      </c>
      <c r="H12" s="328">
        <v>716</v>
      </c>
      <c r="I12" s="328">
        <v>738</v>
      </c>
      <c r="J12" s="289">
        <f>'East Ayrshire'!F240</f>
        <v>776</v>
      </c>
      <c r="K12" s="289">
        <f>'East Ayrshire'!H240</f>
        <v>757</v>
      </c>
      <c r="L12" s="327">
        <v>682</v>
      </c>
      <c r="M12" s="328">
        <v>631</v>
      </c>
      <c r="N12" s="328">
        <v>657</v>
      </c>
      <c r="O12" s="328">
        <v>577</v>
      </c>
      <c r="P12" s="328">
        <v>577</v>
      </c>
      <c r="Q12" s="328">
        <v>543</v>
      </c>
      <c r="R12" s="328">
        <v>525</v>
      </c>
      <c r="S12" s="328">
        <v>539</v>
      </c>
      <c r="T12" s="328">
        <f>'East Ayrshire'!F241</f>
        <v>521</v>
      </c>
      <c r="U12" s="422">
        <f>'East Ayrshire'!H241</f>
        <v>506</v>
      </c>
      <c r="V12" s="328">
        <v>1481</v>
      </c>
      <c r="W12" s="328">
        <v>1366</v>
      </c>
      <c r="X12" s="328">
        <v>1486</v>
      </c>
      <c r="Y12" s="328">
        <v>1305</v>
      </c>
      <c r="Z12" s="328">
        <v>1371</v>
      </c>
      <c r="AA12" s="328">
        <v>1274</v>
      </c>
      <c r="AB12" s="328">
        <v>1241</v>
      </c>
      <c r="AC12" s="328">
        <v>1277</v>
      </c>
      <c r="AD12" s="328">
        <f>'East Ayrshire'!F242</f>
        <v>1297</v>
      </c>
      <c r="AE12" s="328">
        <f>'East Ayrshire'!H242</f>
        <v>1263</v>
      </c>
      <c r="AH12" s="403">
        <f t="shared" si="0"/>
        <v>8.3798882681564241E-2</v>
      </c>
      <c r="AI12" s="326">
        <f t="shared" si="1"/>
        <v>60</v>
      </c>
      <c r="AJ12" s="403">
        <f t="shared" si="2"/>
        <v>2.5745257452574527E-2</v>
      </c>
      <c r="AK12" s="326">
        <f t="shared" si="3"/>
        <v>19</v>
      </c>
      <c r="AM12" s="403">
        <f t="shared" si="4"/>
        <v>-7.619047619047619E-3</v>
      </c>
      <c r="AN12" s="326">
        <f t="shared" si="5"/>
        <v>-4</v>
      </c>
      <c r="AO12" s="403">
        <f t="shared" si="6"/>
        <v>-6.1224489795918366E-2</v>
      </c>
      <c r="AP12" s="326">
        <f t="shared" si="7"/>
        <v>-33</v>
      </c>
    </row>
    <row r="13" spans="1:42">
      <c r="A13" s="316" t="s">
        <v>16</v>
      </c>
      <c r="B13" s="327">
        <v>383</v>
      </c>
      <c r="C13" s="328">
        <v>371</v>
      </c>
      <c r="D13" s="328">
        <v>351</v>
      </c>
      <c r="E13" s="328">
        <v>304</v>
      </c>
      <c r="F13" s="328">
        <v>184</v>
      </c>
      <c r="G13" s="328">
        <v>174</v>
      </c>
      <c r="H13" s="328">
        <v>185.637</v>
      </c>
      <c r="I13" s="328">
        <v>170.172</v>
      </c>
      <c r="J13" s="289">
        <f>'East Dunbartonshire'!F240</f>
        <v>170</v>
      </c>
      <c r="K13" s="289">
        <f>'East Dunbartonshire'!H240</f>
        <v>177</v>
      </c>
      <c r="L13" s="327">
        <v>362</v>
      </c>
      <c r="M13" s="328">
        <v>350</v>
      </c>
      <c r="N13" s="328">
        <v>417</v>
      </c>
      <c r="O13" s="328">
        <v>354</v>
      </c>
      <c r="P13" s="328">
        <v>306</v>
      </c>
      <c r="Q13" s="328">
        <v>289</v>
      </c>
      <c r="R13" s="328">
        <v>303.10199999999998</v>
      </c>
      <c r="S13" s="328">
        <v>277.85199999999998</v>
      </c>
      <c r="T13" s="328">
        <f>'East Dunbartonshire'!F241</f>
        <v>278</v>
      </c>
      <c r="U13" s="422">
        <f>'East Dunbartonshire'!H241</f>
        <v>289</v>
      </c>
      <c r="V13" s="328">
        <v>745</v>
      </c>
      <c r="W13" s="328">
        <v>721</v>
      </c>
      <c r="X13" s="328">
        <v>768</v>
      </c>
      <c r="Y13" s="328">
        <v>658</v>
      </c>
      <c r="Z13" s="328">
        <v>490</v>
      </c>
      <c r="AA13" s="328">
        <v>463</v>
      </c>
      <c r="AB13" s="328">
        <v>488.73899999999998</v>
      </c>
      <c r="AC13" s="328">
        <v>448.024</v>
      </c>
      <c r="AD13" s="328">
        <f>'East Dunbartonshire'!F242</f>
        <v>448</v>
      </c>
      <c r="AE13" s="328">
        <f>'East Dunbartonshire'!H242</f>
        <v>466</v>
      </c>
      <c r="AH13" s="403">
        <f t="shared" si="0"/>
        <v>-8.4234285190991021E-2</v>
      </c>
      <c r="AI13" s="326">
        <f t="shared" si="1"/>
        <v>-15.637</v>
      </c>
      <c r="AJ13" s="403">
        <f t="shared" si="2"/>
        <v>4.0124109724278982E-2</v>
      </c>
      <c r="AK13" s="326">
        <f t="shared" si="3"/>
        <v>6.828000000000003</v>
      </c>
      <c r="AM13" s="403">
        <f t="shared" si="4"/>
        <v>-8.2817005496499452E-2</v>
      </c>
      <c r="AN13" s="326">
        <f t="shared" si="5"/>
        <v>-25.101999999999975</v>
      </c>
      <c r="AO13" s="403">
        <f t="shared" si="6"/>
        <v>4.0122079380389655E-2</v>
      </c>
      <c r="AP13" s="326">
        <f t="shared" si="7"/>
        <v>11.148000000000025</v>
      </c>
    </row>
    <row r="14" spans="1:42">
      <c r="A14" s="316" t="s">
        <v>19</v>
      </c>
      <c r="B14" s="327">
        <v>478</v>
      </c>
      <c r="C14" s="328">
        <v>530</v>
      </c>
      <c r="D14" s="328">
        <v>716</v>
      </c>
      <c r="E14" s="328">
        <v>723</v>
      </c>
      <c r="F14" s="328">
        <v>821</v>
      </c>
      <c r="G14" s="328">
        <v>825</v>
      </c>
      <c r="H14" s="328">
        <v>796</v>
      </c>
      <c r="I14" s="328">
        <v>841</v>
      </c>
      <c r="J14" s="289">
        <f>'East Lothian'!F240</f>
        <v>761</v>
      </c>
      <c r="K14" s="289">
        <f>'East Lothian'!H240</f>
        <v>831</v>
      </c>
      <c r="L14" s="327">
        <v>1259</v>
      </c>
      <c r="M14" s="328">
        <v>1450</v>
      </c>
      <c r="N14" s="328">
        <v>1631</v>
      </c>
      <c r="O14" s="328">
        <v>1492</v>
      </c>
      <c r="P14" s="328">
        <v>1158</v>
      </c>
      <c r="Q14" s="328">
        <v>1175</v>
      </c>
      <c r="R14" s="328">
        <v>1184</v>
      </c>
      <c r="S14" s="328">
        <v>1196</v>
      </c>
      <c r="T14" s="328">
        <f>'East Lothian'!F241</f>
        <v>1125</v>
      </c>
      <c r="U14" s="422">
        <f>'East Lothian'!H241</f>
        <v>1145</v>
      </c>
      <c r="V14" s="328">
        <v>1737</v>
      </c>
      <c r="W14" s="328">
        <v>1980</v>
      </c>
      <c r="X14" s="328">
        <v>2347</v>
      </c>
      <c r="Y14" s="328">
        <v>2215</v>
      </c>
      <c r="Z14" s="328">
        <v>1979</v>
      </c>
      <c r="AA14" s="328">
        <v>2000</v>
      </c>
      <c r="AB14" s="328">
        <v>1980</v>
      </c>
      <c r="AC14" s="328">
        <v>2037</v>
      </c>
      <c r="AD14" s="328">
        <f>'East Lothian'!F242</f>
        <v>1886</v>
      </c>
      <c r="AE14" s="328">
        <f>'East Lothian'!H242</f>
        <v>1976</v>
      </c>
      <c r="AH14" s="403">
        <f t="shared" si="0"/>
        <v>-4.3969849246231159E-2</v>
      </c>
      <c r="AI14" s="326">
        <f t="shared" si="1"/>
        <v>-35</v>
      </c>
      <c r="AJ14" s="403">
        <f t="shared" si="2"/>
        <v>-1.1890606420927468E-2</v>
      </c>
      <c r="AK14" s="326">
        <f t="shared" si="3"/>
        <v>-10</v>
      </c>
      <c r="AM14" s="403">
        <f t="shared" si="4"/>
        <v>-4.9831081081081079E-2</v>
      </c>
      <c r="AN14" s="326">
        <f t="shared" si="5"/>
        <v>-59</v>
      </c>
      <c r="AO14" s="403">
        <f t="shared" si="6"/>
        <v>-4.2642140468227424E-2</v>
      </c>
      <c r="AP14" s="326">
        <f t="shared" si="7"/>
        <v>-51</v>
      </c>
    </row>
    <row r="15" spans="1:42">
      <c r="A15" s="316" t="s">
        <v>22</v>
      </c>
      <c r="B15" s="327">
        <v>63</v>
      </c>
      <c r="C15" s="328">
        <v>62</v>
      </c>
      <c r="D15" s="328">
        <v>109</v>
      </c>
      <c r="E15" s="328">
        <v>104</v>
      </c>
      <c r="F15" s="328">
        <v>87</v>
      </c>
      <c r="G15" s="328">
        <v>85</v>
      </c>
      <c r="H15" s="328">
        <v>72</v>
      </c>
      <c r="I15" s="328">
        <v>77</v>
      </c>
      <c r="J15" s="289">
        <f>'East Renfrewshire'!F240</f>
        <v>78</v>
      </c>
      <c r="K15" s="289">
        <f>'East Renfrewshire'!H240</f>
        <v>83</v>
      </c>
      <c r="L15" s="327">
        <v>613</v>
      </c>
      <c r="M15" s="328">
        <v>502</v>
      </c>
      <c r="N15" s="328">
        <v>424</v>
      </c>
      <c r="O15" s="328">
        <v>223</v>
      </c>
      <c r="P15" s="328">
        <v>277</v>
      </c>
      <c r="Q15" s="328">
        <v>332</v>
      </c>
      <c r="R15" s="328">
        <v>377</v>
      </c>
      <c r="S15" s="328">
        <v>392</v>
      </c>
      <c r="T15" s="328">
        <f>'East Renfrewshire'!F241</f>
        <v>424</v>
      </c>
      <c r="U15" s="422">
        <f>'East Renfrewshire'!H241</f>
        <v>444</v>
      </c>
      <c r="V15" s="328">
        <v>676</v>
      </c>
      <c r="W15" s="328">
        <v>564</v>
      </c>
      <c r="X15" s="328">
        <v>533</v>
      </c>
      <c r="Y15" s="328">
        <v>327</v>
      </c>
      <c r="Z15" s="328">
        <v>364</v>
      </c>
      <c r="AA15" s="328">
        <v>417</v>
      </c>
      <c r="AB15" s="328">
        <v>449</v>
      </c>
      <c r="AC15" s="328">
        <v>469</v>
      </c>
      <c r="AD15" s="328">
        <f>'East Renfrewshire'!F242</f>
        <v>502</v>
      </c>
      <c r="AE15" s="328">
        <f>'East Renfrewshire'!H242</f>
        <v>527</v>
      </c>
      <c r="AH15" s="403">
        <f t="shared" si="0"/>
        <v>8.3333333333333329E-2</v>
      </c>
      <c r="AI15" s="326">
        <f t="shared" si="1"/>
        <v>6</v>
      </c>
      <c r="AJ15" s="403">
        <f t="shared" si="2"/>
        <v>7.792207792207792E-2</v>
      </c>
      <c r="AK15" s="326">
        <f t="shared" si="3"/>
        <v>6</v>
      </c>
      <c r="AM15" s="403">
        <f t="shared" si="4"/>
        <v>0.12466843501326259</v>
      </c>
      <c r="AN15" s="326">
        <f t="shared" si="5"/>
        <v>47</v>
      </c>
      <c r="AO15" s="403">
        <f t="shared" si="6"/>
        <v>0.1326530612244898</v>
      </c>
      <c r="AP15" s="326">
        <f t="shared" si="7"/>
        <v>52</v>
      </c>
    </row>
    <row r="16" spans="1:42">
      <c r="A16" s="316" t="s">
        <v>25</v>
      </c>
      <c r="B16" s="327">
        <v>3102</v>
      </c>
      <c r="C16" s="328">
        <v>3109</v>
      </c>
      <c r="D16" s="328">
        <v>3269</v>
      </c>
      <c r="E16" s="328">
        <v>3203</v>
      </c>
      <c r="F16" s="328">
        <v>1884</v>
      </c>
      <c r="G16" s="328">
        <v>2161</v>
      </c>
      <c r="H16" s="328">
        <v>2703</v>
      </c>
      <c r="I16" s="328">
        <v>2907</v>
      </c>
      <c r="J16" s="289">
        <f>'Edinburgh, City of'!F240</f>
        <v>3099</v>
      </c>
      <c r="K16" s="289">
        <f>'Edinburgh, City of'!H240</f>
        <v>2965</v>
      </c>
      <c r="L16" s="327">
        <v>3032</v>
      </c>
      <c r="M16" s="328">
        <v>3399</v>
      </c>
      <c r="N16" s="328">
        <v>2940</v>
      </c>
      <c r="O16" s="328">
        <v>2011</v>
      </c>
      <c r="P16" s="328">
        <v>3961</v>
      </c>
      <c r="Q16" s="328">
        <v>3808</v>
      </c>
      <c r="R16" s="328">
        <v>1151</v>
      </c>
      <c r="S16" s="328">
        <v>2305</v>
      </c>
      <c r="T16" s="328">
        <f>'Edinburgh, City of'!F241</f>
        <v>2262</v>
      </c>
      <c r="U16" s="422">
        <f>'Edinburgh, City of'!H241</f>
        <v>1918</v>
      </c>
      <c r="V16" s="328">
        <v>6134</v>
      </c>
      <c r="W16" s="328">
        <v>6508</v>
      </c>
      <c r="X16" s="328">
        <v>6209</v>
      </c>
      <c r="Y16" s="328">
        <v>5214</v>
      </c>
      <c r="Z16" s="328">
        <v>5845</v>
      </c>
      <c r="AA16" s="328">
        <v>5969</v>
      </c>
      <c r="AB16" s="328">
        <v>3854</v>
      </c>
      <c r="AC16" s="328">
        <v>5212</v>
      </c>
      <c r="AD16" s="328">
        <f>'Edinburgh, City of'!F242</f>
        <v>5361</v>
      </c>
      <c r="AE16" s="328">
        <f>'Edinburgh, City of'!H242</f>
        <v>4883</v>
      </c>
      <c r="AH16" s="403">
        <f t="shared" si="0"/>
        <v>0.146503884572697</v>
      </c>
      <c r="AI16" s="326">
        <f t="shared" si="1"/>
        <v>396</v>
      </c>
      <c r="AJ16" s="403">
        <f t="shared" si="2"/>
        <v>1.9951840385276916E-2</v>
      </c>
      <c r="AK16" s="326">
        <f t="shared" si="3"/>
        <v>58</v>
      </c>
      <c r="AM16" s="403">
        <f t="shared" si="4"/>
        <v>0.96524761077324062</v>
      </c>
      <c r="AN16" s="326">
        <f t="shared" si="5"/>
        <v>1111</v>
      </c>
      <c r="AO16" s="403">
        <f t="shared" si="6"/>
        <v>-0.16789587852494578</v>
      </c>
      <c r="AP16" s="326">
        <f t="shared" si="7"/>
        <v>-387</v>
      </c>
    </row>
    <row r="17" spans="1:42">
      <c r="A17" s="316" t="s">
        <v>26</v>
      </c>
      <c r="B17" s="327">
        <v>444</v>
      </c>
      <c r="C17" s="328">
        <v>404</v>
      </c>
      <c r="D17" s="328">
        <v>491</v>
      </c>
      <c r="E17" s="328">
        <v>415</v>
      </c>
      <c r="F17" s="328">
        <v>613</v>
      </c>
      <c r="G17" s="328">
        <v>612</v>
      </c>
      <c r="H17" s="328">
        <v>603</v>
      </c>
      <c r="I17" s="328">
        <v>650</v>
      </c>
      <c r="J17" s="289">
        <f>'Eilean Siar'!F240</f>
        <v>607</v>
      </c>
      <c r="K17" s="289">
        <f>'Eilean Siar'!H240</f>
        <v>685</v>
      </c>
      <c r="L17" s="327">
        <v>816</v>
      </c>
      <c r="M17" s="328">
        <v>782</v>
      </c>
      <c r="N17" s="328">
        <v>812</v>
      </c>
      <c r="O17" s="328">
        <v>778</v>
      </c>
      <c r="P17" s="328">
        <v>798</v>
      </c>
      <c r="Q17" s="328">
        <v>587</v>
      </c>
      <c r="R17" s="328">
        <v>627</v>
      </c>
      <c r="S17" s="328">
        <v>631</v>
      </c>
      <c r="T17" s="328">
        <f>'Eilean Siar'!F241</f>
        <v>593</v>
      </c>
      <c r="U17" s="422">
        <f>'Eilean Siar'!H241</f>
        <v>571</v>
      </c>
      <c r="V17" s="328">
        <v>1260</v>
      </c>
      <c r="W17" s="328">
        <v>1186</v>
      </c>
      <c r="X17" s="328">
        <v>1303</v>
      </c>
      <c r="Y17" s="328">
        <v>1193</v>
      </c>
      <c r="Z17" s="328">
        <v>1411</v>
      </c>
      <c r="AA17" s="328">
        <v>1199</v>
      </c>
      <c r="AB17" s="328">
        <v>1230</v>
      </c>
      <c r="AC17" s="328">
        <v>1281</v>
      </c>
      <c r="AD17" s="328">
        <f>'Eilean Siar'!F242</f>
        <v>1200</v>
      </c>
      <c r="AE17" s="328">
        <f>'Eilean Siar'!H242</f>
        <v>1256</v>
      </c>
      <c r="AH17" s="403">
        <f t="shared" si="0"/>
        <v>6.6334991708126038E-3</v>
      </c>
      <c r="AI17" s="326">
        <f t="shared" si="1"/>
        <v>4</v>
      </c>
      <c r="AJ17" s="403">
        <f t="shared" si="2"/>
        <v>5.3846153846153849E-2</v>
      </c>
      <c r="AK17" s="326">
        <f t="shared" si="3"/>
        <v>35</v>
      </c>
      <c r="AM17" s="403">
        <f t="shared" si="4"/>
        <v>-5.4226475279106859E-2</v>
      </c>
      <c r="AN17" s="326">
        <f t="shared" si="5"/>
        <v>-34</v>
      </c>
      <c r="AO17" s="403">
        <f t="shared" si="6"/>
        <v>-9.5087163232963554E-2</v>
      </c>
      <c r="AP17" s="326">
        <f t="shared" si="7"/>
        <v>-60</v>
      </c>
    </row>
    <row r="18" spans="1:42">
      <c r="A18" s="316" t="s">
        <v>28</v>
      </c>
      <c r="B18" s="327">
        <v>887</v>
      </c>
      <c r="C18" s="328">
        <v>987</v>
      </c>
      <c r="D18" s="328">
        <v>872</v>
      </c>
      <c r="E18" s="328">
        <v>558</v>
      </c>
      <c r="F18" s="328">
        <v>629</v>
      </c>
      <c r="G18" s="328">
        <v>612</v>
      </c>
      <c r="H18" s="328">
        <v>602</v>
      </c>
      <c r="I18" s="328">
        <v>540</v>
      </c>
      <c r="J18" s="289">
        <f>Falkirk!F240</f>
        <v>624</v>
      </c>
      <c r="K18" s="289">
        <f>Falkirk!H240</f>
        <v>584</v>
      </c>
      <c r="L18" s="327">
        <v>1577</v>
      </c>
      <c r="M18" s="328">
        <v>1545</v>
      </c>
      <c r="N18" s="328">
        <v>1462</v>
      </c>
      <c r="O18" s="328">
        <v>1609</v>
      </c>
      <c r="P18" s="328">
        <v>1545</v>
      </c>
      <c r="Q18" s="328">
        <v>1502</v>
      </c>
      <c r="R18" s="328">
        <v>1558</v>
      </c>
      <c r="S18" s="328">
        <v>1443</v>
      </c>
      <c r="T18" s="328">
        <f>Falkirk!F241</f>
        <v>1485</v>
      </c>
      <c r="U18" s="422">
        <f>Falkirk!H241</f>
        <v>1434</v>
      </c>
      <c r="V18" s="328">
        <v>2464</v>
      </c>
      <c r="W18" s="328">
        <v>2532</v>
      </c>
      <c r="X18" s="328">
        <v>2334</v>
      </c>
      <c r="Y18" s="328">
        <v>2167</v>
      </c>
      <c r="Z18" s="328">
        <v>2174</v>
      </c>
      <c r="AA18" s="328">
        <v>2114</v>
      </c>
      <c r="AB18" s="328">
        <v>2160</v>
      </c>
      <c r="AC18" s="328">
        <v>1983</v>
      </c>
      <c r="AD18" s="328">
        <f>Falkirk!F242</f>
        <v>2109</v>
      </c>
      <c r="AE18" s="328">
        <f>Falkirk!H242</f>
        <v>2018</v>
      </c>
      <c r="AH18" s="403">
        <f t="shared" si="0"/>
        <v>3.6544850498338874E-2</v>
      </c>
      <c r="AI18" s="326">
        <f t="shared" si="1"/>
        <v>22</v>
      </c>
      <c r="AJ18" s="403">
        <f t="shared" si="2"/>
        <v>8.1481481481481488E-2</v>
      </c>
      <c r="AK18" s="326">
        <f t="shared" si="3"/>
        <v>44</v>
      </c>
      <c r="AM18" s="403">
        <f t="shared" si="4"/>
        <v>-4.685494223363286E-2</v>
      </c>
      <c r="AN18" s="326">
        <f t="shared" si="5"/>
        <v>-73</v>
      </c>
      <c r="AO18" s="403">
        <f t="shared" si="6"/>
        <v>-6.2370062370062374E-3</v>
      </c>
      <c r="AP18" s="326">
        <f t="shared" si="7"/>
        <v>-9</v>
      </c>
    </row>
    <row r="19" spans="1:42">
      <c r="A19" s="316" t="s">
        <v>29</v>
      </c>
      <c r="B19" s="327">
        <v>663</v>
      </c>
      <c r="C19" s="328">
        <v>579</v>
      </c>
      <c r="D19" s="328">
        <v>871</v>
      </c>
      <c r="E19" s="328">
        <v>815</v>
      </c>
      <c r="F19" s="328">
        <v>895</v>
      </c>
      <c r="G19" s="328">
        <v>816</v>
      </c>
      <c r="H19" s="328">
        <v>859</v>
      </c>
      <c r="I19" s="328">
        <v>768</v>
      </c>
      <c r="J19" s="289">
        <f>Fife!F240</f>
        <v>834</v>
      </c>
      <c r="K19" s="289">
        <f>Fife!H240</f>
        <v>799</v>
      </c>
      <c r="L19" s="327">
        <v>3440</v>
      </c>
      <c r="M19" s="328">
        <v>3337</v>
      </c>
      <c r="N19" s="328">
        <v>4430</v>
      </c>
      <c r="O19" s="328">
        <v>4480</v>
      </c>
      <c r="P19" s="328">
        <v>4853</v>
      </c>
      <c r="Q19" s="328">
        <v>4469</v>
      </c>
      <c r="R19" s="328">
        <v>4505</v>
      </c>
      <c r="S19" s="328">
        <v>4126</v>
      </c>
      <c r="T19" s="328">
        <f>Fife!F241</f>
        <v>4269</v>
      </c>
      <c r="U19" s="422">
        <f>Fife!H241</f>
        <v>4154</v>
      </c>
      <c r="V19" s="328">
        <v>4103</v>
      </c>
      <c r="W19" s="328">
        <v>3916</v>
      </c>
      <c r="X19" s="328">
        <v>5301</v>
      </c>
      <c r="Y19" s="328">
        <v>5295</v>
      </c>
      <c r="Z19" s="328">
        <v>5748</v>
      </c>
      <c r="AA19" s="328">
        <v>5285</v>
      </c>
      <c r="AB19" s="328">
        <v>5364</v>
      </c>
      <c r="AC19" s="328">
        <v>4894</v>
      </c>
      <c r="AD19" s="328">
        <f>Fife!F242</f>
        <v>5103</v>
      </c>
      <c r="AE19" s="328">
        <f>Fife!H242</f>
        <v>4953</v>
      </c>
      <c r="AH19" s="403">
        <f t="shared" si="0"/>
        <v>-2.9103608847497089E-2</v>
      </c>
      <c r="AI19" s="326">
        <f t="shared" si="1"/>
        <v>-25</v>
      </c>
      <c r="AJ19" s="403">
        <f t="shared" si="2"/>
        <v>4.0364583333333336E-2</v>
      </c>
      <c r="AK19" s="326">
        <f t="shared" si="3"/>
        <v>31</v>
      </c>
      <c r="AM19" s="403">
        <f t="shared" si="4"/>
        <v>-5.2386237513873474E-2</v>
      </c>
      <c r="AN19" s="326">
        <f t="shared" si="5"/>
        <v>-236</v>
      </c>
      <c r="AO19" s="403">
        <f t="shared" si="6"/>
        <v>6.7862336403296175E-3</v>
      </c>
      <c r="AP19" s="326">
        <f t="shared" si="7"/>
        <v>28</v>
      </c>
    </row>
    <row r="20" spans="1:42">
      <c r="A20" s="316" t="s">
        <v>31</v>
      </c>
      <c r="B20" s="327">
        <v>15411</v>
      </c>
      <c r="C20" s="328">
        <v>14960</v>
      </c>
      <c r="D20" s="328">
        <v>15457</v>
      </c>
      <c r="E20" s="328">
        <v>16614</v>
      </c>
      <c r="F20" s="328">
        <v>15620</v>
      </c>
      <c r="G20" s="328">
        <v>15121</v>
      </c>
      <c r="H20" s="328">
        <v>15358</v>
      </c>
      <c r="I20" s="328">
        <v>15210</v>
      </c>
      <c r="J20" s="289">
        <f>'Glasgow City'!F240</f>
        <v>15451</v>
      </c>
      <c r="K20" s="289">
        <f>'Glasgow City'!H240</f>
        <v>19868</v>
      </c>
      <c r="L20" s="327">
        <v>8707</v>
      </c>
      <c r="M20" s="328">
        <v>8846</v>
      </c>
      <c r="N20" s="328">
        <v>14918</v>
      </c>
      <c r="O20" s="328">
        <v>11949</v>
      </c>
      <c r="P20" s="328">
        <v>12433</v>
      </c>
      <c r="Q20" s="328">
        <v>11572</v>
      </c>
      <c r="R20" s="328">
        <v>11449</v>
      </c>
      <c r="S20" s="328">
        <v>11176</v>
      </c>
      <c r="T20" s="328">
        <f>'Glasgow City'!F241</f>
        <v>13579</v>
      </c>
      <c r="U20" s="422">
        <f>'Glasgow City'!H241</f>
        <v>21619</v>
      </c>
      <c r="V20" s="328">
        <v>24118</v>
      </c>
      <c r="W20" s="328">
        <v>23806</v>
      </c>
      <c r="X20" s="328">
        <v>30375</v>
      </c>
      <c r="Y20" s="328">
        <v>28563</v>
      </c>
      <c r="Z20" s="328">
        <v>28053</v>
      </c>
      <c r="AA20" s="328">
        <v>26693</v>
      </c>
      <c r="AB20" s="328">
        <v>26807</v>
      </c>
      <c r="AC20" s="328">
        <v>26386</v>
      </c>
      <c r="AD20" s="328">
        <f>'Glasgow City'!F242</f>
        <v>29030</v>
      </c>
      <c r="AE20" s="328">
        <f>'Glasgow City'!H242</f>
        <v>41487</v>
      </c>
      <c r="AH20" s="403">
        <f t="shared" si="0"/>
        <v>6.0554759734340411E-3</v>
      </c>
      <c r="AI20" s="326">
        <f t="shared" si="1"/>
        <v>93</v>
      </c>
      <c r="AJ20" s="403">
        <f t="shared" si="2"/>
        <v>0.30624589086127546</v>
      </c>
      <c r="AK20" s="326">
        <f t="shared" si="3"/>
        <v>4658</v>
      </c>
      <c r="AM20" s="403">
        <f t="shared" si="4"/>
        <v>0.18604244912219409</v>
      </c>
      <c r="AN20" s="326">
        <f t="shared" si="5"/>
        <v>2130</v>
      </c>
      <c r="AO20" s="403">
        <f t="shared" si="6"/>
        <v>0.9344130279169649</v>
      </c>
      <c r="AP20" s="326">
        <f t="shared" si="7"/>
        <v>10443</v>
      </c>
    </row>
    <row r="21" spans="1:42">
      <c r="A21" s="316" t="s">
        <v>32</v>
      </c>
      <c r="B21" s="327">
        <v>1345</v>
      </c>
      <c r="C21" s="328">
        <v>1318</v>
      </c>
      <c r="D21" s="328">
        <v>1436</v>
      </c>
      <c r="E21" s="328">
        <v>1353</v>
      </c>
      <c r="F21" s="328">
        <v>1383</v>
      </c>
      <c r="G21" s="328">
        <v>1322</v>
      </c>
      <c r="H21" s="328">
        <v>1042</v>
      </c>
      <c r="I21" s="328">
        <v>1045</v>
      </c>
      <c r="J21" s="289">
        <f>Highland!F240</f>
        <v>1534</v>
      </c>
      <c r="K21" s="289">
        <f>Highland!H240</f>
        <v>1481</v>
      </c>
      <c r="L21" s="327">
        <v>2430</v>
      </c>
      <c r="M21" s="328">
        <v>2384</v>
      </c>
      <c r="N21" s="328">
        <v>2371</v>
      </c>
      <c r="O21" s="328">
        <v>2129</v>
      </c>
      <c r="P21" s="328">
        <v>1748</v>
      </c>
      <c r="Q21" s="328">
        <v>1665</v>
      </c>
      <c r="R21" s="328">
        <v>1980</v>
      </c>
      <c r="S21" s="328">
        <v>1483</v>
      </c>
      <c r="T21" s="328">
        <f>Highland!F241</f>
        <v>1764</v>
      </c>
      <c r="U21" s="422">
        <f>Highland!H241</f>
        <v>1704</v>
      </c>
      <c r="V21" s="328">
        <v>3775</v>
      </c>
      <c r="W21" s="328">
        <v>3702</v>
      </c>
      <c r="X21" s="328">
        <v>3807</v>
      </c>
      <c r="Y21" s="328">
        <v>3482</v>
      </c>
      <c r="Z21" s="328">
        <v>3131</v>
      </c>
      <c r="AA21" s="328">
        <v>2987</v>
      </c>
      <c r="AB21" s="328">
        <v>3022</v>
      </c>
      <c r="AC21" s="328">
        <v>2528</v>
      </c>
      <c r="AD21" s="328">
        <f>Highland!F242</f>
        <v>3298</v>
      </c>
      <c r="AE21" s="328">
        <f>Highland!H242</f>
        <v>3185</v>
      </c>
      <c r="AH21" s="403">
        <f t="shared" si="0"/>
        <v>0.47216890595009597</v>
      </c>
      <c r="AI21" s="326">
        <f t="shared" si="1"/>
        <v>492</v>
      </c>
      <c r="AJ21" s="403">
        <f t="shared" si="2"/>
        <v>0.41722488038277511</v>
      </c>
      <c r="AK21" s="326">
        <f t="shared" si="3"/>
        <v>436</v>
      </c>
      <c r="AM21" s="403">
        <f t="shared" si="4"/>
        <v>-0.10909090909090909</v>
      </c>
      <c r="AN21" s="326">
        <f t="shared" si="5"/>
        <v>-216</v>
      </c>
      <c r="AO21" s="403">
        <f t="shared" si="6"/>
        <v>0.1490222521915037</v>
      </c>
      <c r="AP21" s="326">
        <f t="shared" si="7"/>
        <v>221</v>
      </c>
    </row>
    <row r="22" spans="1:42">
      <c r="A22" s="316" t="s">
        <v>33</v>
      </c>
      <c r="B22" s="327">
        <v>276</v>
      </c>
      <c r="C22" s="328">
        <v>274</v>
      </c>
      <c r="D22" s="328">
        <v>250</v>
      </c>
      <c r="E22" s="328">
        <v>271</v>
      </c>
      <c r="F22" s="328">
        <v>273</v>
      </c>
      <c r="G22" s="328">
        <v>278</v>
      </c>
      <c r="H22" s="328">
        <v>272</v>
      </c>
      <c r="I22" s="328">
        <v>262</v>
      </c>
      <c r="J22" s="289">
        <f>Inverclyde!F240</f>
        <v>298</v>
      </c>
      <c r="K22" s="289">
        <f>Inverclyde!H240</f>
        <v>245</v>
      </c>
      <c r="L22" s="327"/>
      <c r="M22" s="328"/>
      <c r="N22" s="328"/>
      <c r="O22" s="328"/>
      <c r="P22" s="328">
        <v>0</v>
      </c>
      <c r="Q22" s="328">
        <v>0</v>
      </c>
      <c r="R22" s="328">
        <v>0</v>
      </c>
      <c r="S22" s="328">
        <v>0</v>
      </c>
      <c r="T22" s="328">
        <f>Inverclyde!F241</f>
        <v>0</v>
      </c>
      <c r="U22" s="422">
        <f>Inverclyde!H241</f>
        <v>0</v>
      </c>
      <c r="V22" s="328">
        <v>276</v>
      </c>
      <c r="W22" s="328">
        <v>274</v>
      </c>
      <c r="X22" s="328">
        <v>250</v>
      </c>
      <c r="Y22" s="328">
        <v>271</v>
      </c>
      <c r="Z22" s="328">
        <v>273</v>
      </c>
      <c r="AA22" s="328">
        <v>278</v>
      </c>
      <c r="AB22" s="328">
        <v>272</v>
      </c>
      <c r="AC22" s="328">
        <v>262</v>
      </c>
      <c r="AD22" s="328">
        <f>Inverclyde!F242</f>
        <v>298</v>
      </c>
      <c r="AE22" s="328">
        <f>Inverclyde!H242</f>
        <v>245</v>
      </c>
      <c r="AH22" s="403">
        <f t="shared" si="0"/>
        <v>9.5588235294117641E-2</v>
      </c>
      <c r="AI22" s="326">
        <f t="shared" si="1"/>
        <v>26</v>
      </c>
      <c r="AJ22" s="403">
        <f t="shared" si="2"/>
        <v>-6.4885496183206104E-2</v>
      </c>
      <c r="AK22" s="326">
        <f t="shared" si="3"/>
        <v>-17</v>
      </c>
      <c r="AM22" s="403" t="e">
        <f t="shared" si="4"/>
        <v>#DIV/0!</v>
      </c>
      <c r="AN22" s="326">
        <f t="shared" si="5"/>
        <v>0</v>
      </c>
      <c r="AO22" s="403" t="e">
        <f t="shared" si="6"/>
        <v>#DIV/0!</v>
      </c>
      <c r="AP22" s="326">
        <f t="shared" si="7"/>
        <v>0</v>
      </c>
    </row>
    <row r="23" spans="1:42">
      <c r="A23" s="316" t="s">
        <v>34</v>
      </c>
      <c r="B23" s="327">
        <v>75</v>
      </c>
      <c r="C23" s="328">
        <v>72</v>
      </c>
      <c r="D23" s="328">
        <v>129</v>
      </c>
      <c r="E23" s="328">
        <v>94</v>
      </c>
      <c r="F23" s="328">
        <v>101</v>
      </c>
      <c r="G23" s="328">
        <v>95</v>
      </c>
      <c r="H23" s="328">
        <v>67</v>
      </c>
      <c r="I23" s="328">
        <v>92</v>
      </c>
      <c r="J23" s="289">
        <f>Midlothian!F240</f>
        <v>54</v>
      </c>
      <c r="K23" s="289">
        <f>Midlothian!H240</f>
        <v>92</v>
      </c>
      <c r="L23" s="327">
        <v>75</v>
      </c>
      <c r="M23" s="328">
        <v>74</v>
      </c>
      <c r="N23" s="328">
        <v>76</v>
      </c>
      <c r="O23" s="328">
        <v>63</v>
      </c>
      <c r="P23" s="328">
        <v>63</v>
      </c>
      <c r="Q23" s="328">
        <v>12</v>
      </c>
      <c r="R23" s="328">
        <v>99</v>
      </c>
      <c r="S23" s="328">
        <v>19</v>
      </c>
      <c r="T23" s="328">
        <f>Midlothian!F241</f>
        <v>92</v>
      </c>
      <c r="U23" s="422">
        <f>Midlothian!H241</f>
        <v>56</v>
      </c>
      <c r="V23" s="328">
        <v>150</v>
      </c>
      <c r="W23" s="328">
        <v>146</v>
      </c>
      <c r="X23" s="328">
        <v>205</v>
      </c>
      <c r="Y23" s="328">
        <v>157</v>
      </c>
      <c r="Z23" s="328">
        <v>164</v>
      </c>
      <c r="AA23" s="328">
        <v>107</v>
      </c>
      <c r="AB23" s="328">
        <v>166</v>
      </c>
      <c r="AC23" s="328">
        <v>111</v>
      </c>
      <c r="AD23" s="328">
        <f>Midlothian!F242</f>
        <v>146</v>
      </c>
      <c r="AE23" s="328">
        <f>Midlothian!H242</f>
        <v>148</v>
      </c>
      <c r="AH23" s="403">
        <f t="shared" si="0"/>
        <v>-0.19402985074626866</v>
      </c>
      <c r="AI23" s="326">
        <f t="shared" si="1"/>
        <v>-13</v>
      </c>
      <c r="AJ23" s="403">
        <f t="shared" si="2"/>
        <v>0</v>
      </c>
      <c r="AK23" s="326">
        <f t="shared" si="3"/>
        <v>0</v>
      </c>
      <c r="AM23" s="403">
        <f t="shared" si="4"/>
        <v>-7.0707070707070704E-2</v>
      </c>
      <c r="AN23" s="326">
        <f t="shared" si="5"/>
        <v>-7</v>
      </c>
      <c r="AO23" s="403">
        <f t="shared" si="6"/>
        <v>1.9473684210526316</v>
      </c>
      <c r="AP23" s="326">
        <f t="shared" si="7"/>
        <v>37</v>
      </c>
    </row>
    <row r="24" spans="1:42">
      <c r="A24" s="316" t="s">
        <v>35</v>
      </c>
      <c r="B24" s="327">
        <v>197</v>
      </c>
      <c r="C24" s="328">
        <v>190</v>
      </c>
      <c r="D24" s="328">
        <v>147</v>
      </c>
      <c r="E24" s="328">
        <v>166</v>
      </c>
      <c r="F24" s="328">
        <v>147</v>
      </c>
      <c r="G24" s="328">
        <v>150</v>
      </c>
      <c r="H24" s="328">
        <v>140</v>
      </c>
      <c r="I24" s="328">
        <v>148</v>
      </c>
      <c r="J24" s="289">
        <f>Moray!F240</f>
        <v>157</v>
      </c>
      <c r="K24" s="289">
        <f>Moray!H240</f>
        <v>168</v>
      </c>
      <c r="L24" s="327">
        <v>522</v>
      </c>
      <c r="M24" s="328">
        <v>581</v>
      </c>
      <c r="N24" s="328">
        <v>677</v>
      </c>
      <c r="O24" s="328">
        <v>676</v>
      </c>
      <c r="P24" s="328">
        <v>366</v>
      </c>
      <c r="Q24" s="328">
        <v>403</v>
      </c>
      <c r="R24" s="328">
        <v>390</v>
      </c>
      <c r="S24" s="328">
        <v>235</v>
      </c>
      <c r="T24" s="328">
        <f>Moray!F241</f>
        <v>288</v>
      </c>
      <c r="U24" s="422">
        <f>Moray!H241</f>
        <v>0</v>
      </c>
      <c r="V24" s="328">
        <v>719</v>
      </c>
      <c r="W24" s="328">
        <v>771</v>
      </c>
      <c r="X24" s="328">
        <v>824</v>
      </c>
      <c r="Y24" s="328">
        <v>842</v>
      </c>
      <c r="Z24" s="328">
        <v>513</v>
      </c>
      <c r="AA24" s="328">
        <v>553</v>
      </c>
      <c r="AB24" s="328">
        <v>530</v>
      </c>
      <c r="AC24" s="328">
        <v>383</v>
      </c>
      <c r="AD24" s="328">
        <f>Moray!F242</f>
        <v>445</v>
      </c>
      <c r="AE24" s="328">
        <f>Moray!H242</f>
        <v>168</v>
      </c>
      <c r="AH24" s="403">
        <f t="shared" si="0"/>
        <v>0.12142857142857143</v>
      </c>
      <c r="AI24" s="326">
        <f t="shared" si="1"/>
        <v>17</v>
      </c>
      <c r="AJ24" s="403">
        <f t="shared" si="2"/>
        <v>0.13513513513513514</v>
      </c>
      <c r="AK24" s="326">
        <f t="shared" si="3"/>
        <v>20</v>
      </c>
      <c r="AM24" s="403">
        <f t="shared" si="4"/>
        <v>-0.26153846153846155</v>
      </c>
      <c r="AN24" s="326">
        <f t="shared" si="5"/>
        <v>-102</v>
      </c>
      <c r="AO24" s="403">
        <f t="shared" si="6"/>
        <v>-1</v>
      </c>
      <c r="AP24" s="326">
        <f t="shared" si="7"/>
        <v>-235</v>
      </c>
    </row>
    <row r="25" spans="1:42">
      <c r="A25" s="316" t="s">
        <v>36</v>
      </c>
      <c r="B25" s="327">
        <v>265</v>
      </c>
      <c r="C25" s="328">
        <v>364</v>
      </c>
      <c r="D25" s="328">
        <v>397</v>
      </c>
      <c r="E25" s="328">
        <v>402</v>
      </c>
      <c r="F25" s="328">
        <v>376</v>
      </c>
      <c r="G25" s="328">
        <v>359</v>
      </c>
      <c r="H25" s="328">
        <v>286</v>
      </c>
      <c r="I25" s="328">
        <v>416</v>
      </c>
      <c r="J25" s="289">
        <f>'North Ayrshire'!F240</f>
        <v>403</v>
      </c>
      <c r="K25" s="289">
        <f>'North Ayrshire'!H240</f>
        <v>338</v>
      </c>
      <c r="L25" s="327">
        <v>1157</v>
      </c>
      <c r="M25" s="328">
        <v>883</v>
      </c>
      <c r="N25" s="328">
        <v>868</v>
      </c>
      <c r="O25" s="328">
        <v>818</v>
      </c>
      <c r="P25" s="328">
        <v>1035.8144388767771</v>
      </c>
      <c r="Q25" s="328">
        <v>976.4834239867721</v>
      </c>
      <c r="R25" s="328">
        <v>930</v>
      </c>
      <c r="S25" s="328">
        <v>918</v>
      </c>
      <c r="T25" s="328">
        <f>'North Ayrshire'!F241</f>
        <v>922</v>
      </c>
      <c r="U25" s="422">
        <f>'North Ayrshire'!H241</f>
        <v>885</v>
      </c>
      <c r="V25" s="328">
        <v>1422</v>
      </c>
      <c r="W25" s="328">
        <v>1247</v>
      </c>
      <c r="X25" s="328">
        <v>1265</v>
      </c>
      <c r="Y25" s="328">
        <v>1220</v>
      </c>
      <c r="Z25" s="328">
        <v>1411.8144388767771</v>
      </c>
      <c r="AA25" s="328">
        <v>1335.4834239867721</v>
      </c>
      <c r="AB25" s="328">
        <v>1216</v>
      </c>
      <c r="AC25" s="328">
        <v>1334</v>
      </c>
      <c r="AD25" s="328">
        <f>'North Ayrshire'!F242</f>
        <v>1325</v>
      </c>
      <c r="AE25" s="328">
        <f>'North Ayrshire'!H242</f>
        <v>1223</v>
      </c>
      <c r="AH25" s="403">
        <f t="shared" si="0"/>
        <v>0.40909090909090912</v>
      </c>
      <c r="AI25" s="326">
        <f t="shared" si="1"/>
        <v>117</v>
      </c>
      <c r="AJ25" s="403">
        <f t="shared" si="2"/>
        <v>-0.1875</v>
      </c>
      <c r="AK25" s="326">
        <f t="shared" si="3"/>
        <v>-78</v>
      </c>
      <c r="AM25" s="403">
        <f t="shared" si="4"/>
        <v>-8.6021505376344086E-3</v>
      </c>
      <c r="AN25" s="326">
        <f t="shared" si="5"/>
        <v>-8</v>
      </c>
      <c r="AO25" s="403">
        <f t="shared" si="6"/>
        <v>-3.5947712418300651E-2</v>
      </c>
      <c r="AP25" s="326">
        <f t="shared" si="7"/>
        <v>-33</v>
      </c>
    </row>
    <row r="26" spans="1:42">
      <c r="A26" s="316" t="s">
        <v>37</v>
      </c>
      <c r="B26" s="327">
        <v>1685</v>
      </c>
      <c r="C26" s="328">
        <v>1711</v>
      </c>
      <c r="D26" s="328">
        <v>1712</v>
      </c>
      <c r="E26" s="328">
        <v>1619</v>
      </c>
      <c r="F26" s="328">
        <v>1580</v>
      </c>
      <c r="G26" s="328">
        <v>1527</v>
      </c>
      <c r="H26" s="328">
        <v>1524.5887462576754</v>
      </c>
      <c r="I26" s="328">
        <v>1472.1102630119726</v>
      </c>
      <c r="J26" s="289">
        <f>'North Lanarkshire'!F240</f>
        <v>1469</v>
      </c>
      <c r="K26" s="289">
        <f>'North Lanarkshire'!H240</f>
        <v>1385</v>
      </c>
      <c r="L26" s="327">
        <v>1521</v>
      </c>
      <c r="M26" s="328">
        <v>1544</v>
      </c>
      <c r="N26" s="328">
        <v>1571</v>
      </c>
      <c r="O26" s="328">
        <v>1485</v>
      </c>
      <c r="P26" s="328">
        <v>1449</v>
      </c>
      <c r="Q26" s="328">
        <v>1378</v>
      </c>
      <c r="R26" s="328">
        <v>1398.6527571916581</v>
      </c>
      <c r="S26" s="328">
        <v>1329.0615293872381</v>
      </c>
      <c r="T26" s="328">
        <f>'North Lanarkshire'!F241</f>
        <v>1348</v>
      </c>
      <c r="U26" s="422">
        <f>'North Lanarkshire'!H241</f>
        <v>1250</v>
      </c>
      <c r="V26" s="328">
        <v>3206</v>
      </c>
      <c r="W26" s="328">
        <v>3255</v>
      </c>
      <c r="X26" s="328">
        <v>3283</v>
      </c>
      <c r="Y26" s="328">
        <v>3104</v>
      </c>
      <c r="Z26" s="328">
        <v>3029</v>
      </c>
      <c r="AA26" s="328">
        <v>2905</v>
      </c>
      <c r="AB26" s="328">
        <v>2923.2415034493333</v>
      </c>
      <c r="AC26" s="328">
        <v>2801.171792399211</v>
      </c>
      <c r="AD26" s="328">
        <f>'North Lanarkshire'!F242</f>
        <v>2817</v>
      </c>
      <c r="AE26" s="328">
        <f>'North Lanarkshire'!H242</f>
        <v>2635</v>
      </c>
      <c r="AH26" s="403">
        <f t="shared" si="0"/>
        <v>-3.6461469621972546E-2</v>
      </c>
      <c r="AI26" s="326">
        <f t="shared" si="1"/>
        <v>-55.588746257675439</v>
      </c>
      <c r="AJ26" s="403">
        <f t="shared" si="2"/>
        <v>-5.9173735283757176E-2</v>
      </c>
      <c r="AK26" s="326">
        <f t="shared" si="3"/>
        <v>-87.11026301197262</v>
      </c>
      <c r="AM26" s="403">
        <f t="shared" si="4"/>
        <v>-3.6215391512446099E-2</v>
      </c>
      <c r="AN26" s="326">
        <f t="shared" si="5"/>
        <v>-50.652757191658111</v>
      </c>
      <c r="AO26" s="403">
        <f t="shared" si="6"/>
        <v>-5.9486733788532219E-2</v>
      </c>
      <c r="AP26" s="326">
        <f t="shared" si="7"/>
        <v>-79.061529387238124</v>
      </c>
    </row>
    <row r="27" spans="1:42">
      <c r="A27" s="316" t="s">
        <v>38</v>
      </c>
      <c r="B27" s="327">
        <v>350</v>
      </c>
      <c r="C27" s="328">
        <v>333</v>
      </c>
      <c r="D27" s="328">
        <v>356</v>
      </c>
      <c r="E27" s="328">
        <v>333</v>
      </c>
      <c r="F27" s="328">
        <v>363</v>
      </c>
      <c r="G27" s="328">
        <v>334</v>
      </c>
      <c r="H27" s="328">
        <v>353</v>
      </c>
      <c r="I27" s="328">
        <v>281</v>
      </c>
      <c r="J27" s="289">
        <f>'Orkney Islands'!F240</f>
        <v>377</v>
      </c>
      <c r="K27" s="289">
        <f>'Orkney Islands'!H240</f>
        <v>279</v>
      </c>
      <c r="L27" s="327">
        <v>476</v>
      </c>
      <c r="M27" s="328">
        <v>447</v>
      </c>
      <c r="N27" s="328">
        <v>424</v>
      </c>
      <c r="O27" s="328">
        <v>442</v>
      </c>
      <c r="P27" s="328">
        <v>443</v>
      </c>
      <c r="Q27" s="328">
        <v>432</v>
      </c>
      <c r="R27" s="328">
        <v>414</v>
      </c>
      <c r="S27" s="328">
        <v>448</v>
      </c>
      <c r="T27" s="328">
        <f>'Orkney Islands'!F241</f>
        <v>393</v>
      </c>
      <c r="U27" s="422">
        <f>'Orkney Islands'!H241</f>
        <v>453</v>
      </c>
      <c r="V27" s="328">
        <v>826</v>
      </c>
      <c r="W27" s="328">
        <v>780</v>
      </c>
      <c r="X27" s="328">
        <v>780</v>
      </c>
      <c r="Y27" s="328">
        <v>775</v>
      </c>
      <c r="Z27" s="328">
        <v>806</v>
      </c>
      <c r="AA27" s="328">
        <v>766</v>
      </c>
      <c r="AB27" s="328">
        <v>767</v>
      </c>
      <c r="AC27" s="328">
        <v>729</v>
      </c>
      <c r="AD27" s="328">
        <f>'Orkney Islands'!F242</f>
        <v>770</v>
      </c>
      <c r="AE27" s="328">
        <f>'Orkney Islands'!H242</f>
        <v>732</v>
      </c>
      <c r="AH27" s="403">
        <f t="shared" si="0"/>
        <v>6.79886685552408E-2</v>
      </c>
      <c r="AI27" s="326">
        <f t="shared" si="1"/>
        <v>24</v>
      </c>
      <c r="AJ27" s="403">
        <f t="shared" si="2"/>
        <v>-7.1174377224199285E-3</v>
      </c>
      <c r="AK27" s="326">
        <f t="shared" si="3"/>
        <v>-2</v>
      </c>
      <c r="AM27" s="403">
        <f t="shared" si="4"/>
        <v>-5.0724637681159424E-2</v>
      </c>
      <c r="AN27" s="326">
        <f t="shared" si="5"/>
        <v>-21</v>
      </c>
      <c r="AO27" s="403">
        <f t="shared" si="6"/>
        <v>1.1160714285714286E-2</v>
      </c>
      <c r="AP27" s="326">
        <f t="shared" si="7"/>
        <v>5</v>
      </c>
    </row>
    <row r="28" spans="1:42">
      <c r="A28" s="316" t="s">
        <v>39</v>
      </c>
      <c r="B28" s="327">
        <v>1077</v>
      </c>
      <c r="C28" s="328">
        <v>1090</v>
      </c>
      <c r="D28" s="328">
        <v>1226</v>
      </c>
      <c r="E28" s="328">
        <v>1194</v>
      </c>
      <c r="F28" s="328">
        <v>913</v>
      </c>
      <c r="G28" s="328">
        <v>947</v>
      </c>
      <c r="H28" s="328">
        <v>1157</v>
      </c>
      <c r="I28" s="328">
        <v>1184</v>
      </c>
      <c r="J28" s="289">
        <f>'Perth &amp; Kinross'!F240</f>
        <v>1129</v>
      </c>
      <c r="K28" s="289">
        <f>'Perth &amp; Kinross'!H240</f>
        <v>1175</v>
      </c>
      <c r="L28" s="327">
        <v>1490</v>
      </c>
      <c r="M28" s="328">
        <v>4381</v>
      </c>
      <c r="N28" s="328">
        <v>2244</v>
      </c>
      <c r="O28" s="328">
        <v>3637</v>
      </c>
      <c r="P28" s="328">
        <v>1648</v>
      </c>
      <c r="Q28" s="328">
        <v>1868</v>
      </c>
      <c r="R28" s="328">
        <v>2327</v>
      </c>
      <c r="S28" s="328">
        <v>1630</v>
      </c>
      <c r="T28" s="328">
        <f>'Perth &amp; Kinross'!F241</f>
        <v>1650</v>
      </c>
      <c r="U28" s="422">
        <f>'Perth &amp; Kinross'!H241</f>
        <v>2076</v>
      </c>
      <c r="V28" s="328">
        <v>2567</v>
      </c>
      <c r="W28" s="328">
        <v>5471</v>
      </c>
      <c r="X28" s="328">
        <v>3470</v>
      </c>
      <c r="Y28" s="328">
        <v>4831</v>
      </c>
      <c r="Z28" s="328">
        <v>2561</v>
      </c>
      <c r="AA28" s="328">
        <v>2815</v>
      </c>
      <c r="AB28" s="328">
        <v>3484</v>
      </c>
      <c r="AC28" s="328">
        <v>2814</v>
      </c>
      <c r="AD28" s="328">
        <f>'Perth &amp; Kinross'!F242</f>
        <v>2779</v>
      </c>
      <c r="AE28" s="328">
        <f>'Perth &amp; Kinross'!H242</f>
        <v>3251</v>
      </c>
      <c r="AH28" s="403">
        <f t="shared" si="0"/>
        <v>-2.4200518582541054E-2</v>
      </c>
      <c r="AI28" s="326">
        <f t="shared" si="1"/>
        <v>-28</v>
      </c>
      <c r="AJ28" s="403">
        <f t="shared" si="2"/>
        <v>-7.6013513513513518E-3</v>
      </c>
      <c r="AK28" s="326">
        <f t="shared" si="3"/>
        <v>-9</v>
      </c>
      <c r="AM28" s="403">
        <f t="shared" si="4"/>
        <v>-0.29093253115599482</v>
      </c>
      <c r="AN28" s="326">
        <f t="shared" si="5"/>
        <v>-677</v>
      </c>
      <c r="AO28" s="403">
        <f t="shared" si="6"/>
        <v>0.27361963190184047</v>
      </c>
      <c r="AP28" s="326">
        <f t="shared" si="7"/>
        <v>446</v>
      </c>
    </row>
    <row r="29" spans="1:42">
      <c r="A29" s="316" t="s">
        <v>40</v>
      </c>
      <c r="B29" s="327">
        <v>1296</v>
      </c>
      <c r="C29" s="328">
        <v>1093</v>
      </c>
      <c r="D29" s="328">
        <v>1094</v>
      </c>
      <c r="E29" s="328">
        <v>1115</v>
      </c>
      <c r="F29" s="328">
        <v>1047</v>
      </c>
      <c r="G29" s="328">
        <v>1153</v>
      </c>
      <c r="H29" s="328">
        <v>1138</v>
      </c>
      <c r="I29" s="328">
        <v>1014</v>
      </c>
      <c r="J29" s="289">
        <f>Renfrewshire!F240</f>
        <v>993</v>
      </c>
      <c r="K29" s="289">
        <f>Renfrewshire!H240</f>
        <v>1196</v>
      </c>
      <c r="L29" s="327">
        <v>1108</v>
      </c>
      <c r="M29" s="328">
        <v>851</v>
      </c>
      <c r="N29" s="328">
        <v>913</v>
      </c>
      <c r="O29" s="328">
        <v>960</v>
      </c>
      <c r="P29" s="328">
        <v>1369</v>
      </c>
      <c r="Q29" s="328">
        <v>2068</v>
      </c>
      <c r="R29" s="328">
        <v>3015</v>
      </c>
      <c r="S29" s="328">
        <v>2477</v>
      </c>
      <c r="T29" s="328">
        <f>Renfrewshire!F241</f>
        <v>4404</v>
      </c>
      <c r="U29" s="422">
        <f>Renfrewshire!H241</f>
        <v>4839</v>
      </c>
      <c r="V29" s="328">
        <v>2404</v>
      </c>
      <c r="W29" s="328">
        <v>1944</v>
      </c>
      <c r="X29" s="328">
        <v>2007</v>
      </c>
      <c r="Y29" s="328">
        <v>2075</v>
      </c>
      <c r="Z29" s="328">
        <v>2416</v>
      </c>
      <c r="AA29" s="328">
        <v>3221</v>
      </c>
      <c r="AB29" s="328">
        <v>4153</v>
      </c>
      <c r="AC29" s="328">
        <v>3491</v>
      </c>
      <c r="AD29" s="328">
        <f>Renfrewshire!F242</f>
        <v>5397</v>
      </c>
      <c r="AE29" s="328">
        <f>Renfrewshire!H242</f>
        <v>6035</v>
      </c>
      <c r="AH29" s="403">
        <f t="shared" si="0"/>
        <v>-0.12741652021089631</v>
      </c>
      <c r="AI29" s="326">
        <f t="shared" si="1"/>
        <v>-145</v>
      </c>
      <c r="AJ29" s="403">
        <f t="shared" si="2"/>
        <v>0.17948717948717949</v>
      </c>
      <c r="AK29" s="326">
        <f t="shared" si="3"/>
        <v>182</v>
      </c>
      <c r="AM29" s="403">
        <f t="shared" si="4"/>
        <v>0.46069651741293532</v>
      </c>
      <c r="AN29" s="326">
        <f t="shared" si="5"/>
        <v>1389</v>
      </c>
      <c r="AO29" s="403">
        <f t="shared" si="6"/>
        <v>0.95357287040775129</v>
      </c>
      <c r="AP29" s="326">
        <f t="shared" si="7"/>
        <v>2362</v>
      </c>
    </row>
    <row r="30" spans="1:42">
      <c r="A30" s="316" t="s">
        <v>41</v>
      </c>
      <c r="B30" s="327">
        <v>1054</v>
      </c>
      <c r="C30" s="328">
        <v>1004</v>
      </c>
      <c r="D30" s="328">
        <v>1054</v>
      </c>
      <c r="E30" s="328">
        <v>904</v>
      </c>
      <c r="F30" s="328">
        <v>961</v>
      </c>
      <c r="G30" s="328">
        <v>788</v>
      </c>
      <c r="H30" s="328">
        <v>822</v>
      </c>
      <c r="I30" s="328">
        <v>804</v>
      </c>
      <c r="J30" s="289">
        <f>'Scottish Borders'!F240</f>
        <v>1179</v>
      </c>
      <c r="K30" s="289">
        <f>'Scottish Borders'!H240</f>
        <v>1183</v>
      </c>
      <c r="L30" s="327">
        <v>2379</v>
      </c>
      <c r="M30" s="328">
        <v>2201</v>
      </c>
      <c r="N30" s="328">
        <v>2390</v>
      </c>
      <c r="O30" s="328">
        <v>1961</v>
      </c>
      <c r="P30" s="328">
        <v>2218</v>
      </c>
      <c r="Q30" s="328">
        <v>1825</v>
      </c>
      <c r="R30" s="328">
        <v>2122</v>
      </c>
      <c r="S30" s="328">
        <v>2049</v>
      </c>
      <c r="T30" s="328">
        <f>'Scottish Borders'!F241</f>
        <v>1533</v>
      </c>
      <c r="U30" s="422">
        <f>'Scottish Borders'!H241</f>
        <v>1521</v>
      </c>
      <c r="V30" s="328">
        <v>3433</v>
      </c>
      <c r="W30" s="328">
        <v>3205</v>
      </c>
      <c r="X30" s="328">
        <v>3444</v>
      </c>
      <c r="Y30" s="328">
        <v>2865</v>
      </c>
      <c r="Z30" s="328">
        <v>3179</v>
      </c>
      <c r="AA30" s="328">
        <v>2613</v>
      </c>
      <c r="AB30" s="328">
        <v>2944</v>
      </c>
      <c r="AC30" s="328">
        <v>2853</v>
      </c>
      <c r="AD30" s="328">
        <f>'Scottish Borders'!F242</f>
        <v>2712</v>
      </c>
      <c r="AE30" s="328">
        <f>'Scottish Borders'!H242</f>
        <v>2704</v>
      </c>
      <c r="AH30" s="403">
        <f t="shared" si="0"/>
        <v>0.43430656934306572</v>
      </c>
      <c r="AI30" s="326">
        <f t="shared" si="1"/>
        <v>357</v>
      </c>
      <c r="AJ30" s="403">
        <f t="shared" si="2"/>
        <v>0.47139303482587064</v>
      </c>
      <c r="AK30" s="326">
        <f t="shared" si="3"/>
        <v>379</v>
      </c>
      <c r="AM30" s="403">
        <f t="shared" si="4"/>
        <v>-0.27756833176248824</v>
      </c>
      <c r="AN30" s="326">
        <f t="shared" si="5"/>
        <v>-589</v>
      </c>
      <c r="AO30" s="403">
        <f t="shared" si="6"/>
        <v>-0.25768667642752563</v>
      </c>
      <c r="AP30" s="326">
        <f t="shared" si="7"/>
        <v>-528</v>
      </c>
    </row>
    <row r="31" spans="1:42">
      <c r="A31" s="316" t="s">
        <v>42</v>
      </c>
      <c r="B31" s="327">
        <v>1057</v>
      </c>
      <c r="C31" s="328">
        <v>1149</v>
      </c>
      <c r="D31" s="328">
        <v>1026</v>
      </c>
      <c r="E31" s="328">
        <v>974</v>
      </c>
      <c r="F31" s="328">
        <v>971</v>
      </c>
      <c r="G31" s="328">
        <v>973</v>
      </c>
      <c r="H31" s="328">
        <v>969</v>
      </c>
      <c r="I31" s="328">
        <v>942</v>
      </c>
      <c r="J31" s="289">
        <f>'Shetland Islands'!F240</f>
        <v>961</v>
      </c>
      <c r="K31" s="289">
        <f>'Shetland Islands'!H240</f>
        <v>960</v>
      </c>
      <c r="L31" s="327">
        <v>89</v>
      </c>
      <c r="M31" s="328">
        <v>0</v>
      </c>
      <c r="N31" s="328">
        <v>334</v>
      </c>
      <c r="O31" s="328">
        <v>380</v>
      </c>
      <c r="P31" s="328">
        <v>346</v>
      </c>
      <c r="Q31" s="328">
        <v>424</v>
      </c>
      <c r="R31" s="328">
        <v>320</v>
      </c>
      <c r="S31" s="328">
        <v>378</v>
      </c>
      <c r="T31" s="328">
        <f>'Shetland Islands'!F241</f>
        <v>296</v>
      </c>
      <c r="U31" s="422">
        <f>'Shetland Islands'!H241</f>
        <v>429</v>
      </c>
      <c r="V31" s="328">
        <v>1146</v>
      </c>
      <c r="W31" s="328">
        <v>1149</v>
      </c>
      <c r="X31" s="328">
        <v>1360</v>
      </c>
      <c r="Y31" s="328">
        <v>1354</v>
      </c>
      <c r="Z31" s="328">
        <v>1317</v>
      </c>
      <c r="AA31" s="328">
        <v>1397</v>
      </c>
      <c r="AB31" s="328">
        <v>1289</v>
      </c>
      <c r="AC31" s="328">
        <v>1320</v>
      </c>
      <c r="AD31" s="328">
        <f>'Shetland Islands'!F242</f>
        <v>1257</v>
      </c>
      <c r="AE31" s="328">
        <f>'Shetland Islands'!H242</f>
        <v>1389</v>
      </c>
      <c r="AH31" s="403">
        <f t="shared" si="0"/>
        <v>-8.2559339525283791E-3</v>
      </c>
      <c r="AI31" s="326">
        <f t="shared" si="1"/>
        <v>-8</v>
      </c>
      <c r="AJ31" s="403">
        <f t="shared" si="2"/>
        <v>1.9108280254777069E-2</v>
      </c>
      <c r="AK31" s="326">
        <f t="shared" si="3"/>
        <v>18</v>
      </c>
      <c r="AM31" s="403">
        <f t="shared" si="4"/>
        <v>-7.4999999999999997E-2</v>
      </c>
      <c r="AN31" s="326">
        <f t="shared" si="5"/>
        <v>-24</v>
      </c>
      <c r="AO31" s="403">
        <f t="shared" si="6"/>
        <v>0.13492063492063491</v>
      </c>
      <c r="AP31" s="326">
        <f t="shared" si="7"/>
        <v>51</v>
      </c>
    </row>
    <row r="32" spans="1:42">
      <c r="A32" s="316" t="s">
        <v>43</v>
      </c>
      <c r="B32" s="327">
        <v>537</v>
      </c>
      <c r="C32" s="328">
        <v>436</v>
      </c>
      <c r="D32" s="328">
        <v>429</v>
      </c>
      <c r="E32" s="328">
        <v>358</v>
      </c>
      <c r="F32" s="328">
        <v>413</v>
      </c>
      <c r="G32" s="328">
        <v>467</v>
      </c>
      <c r="H32" s="328">
        <v>477</v>
      </c>
      <c r="I32" s="328">
        <v>499</v>
      </c>
      <c r="J32" s="289">
        <f>'South Ayrshire'!F240</f>
        <v>456</v>
      </c>
      <c r="K32" s="289">
        <f>'South Ayrshire'!H240</f>
        <v>526</v>
      </c>
      <c r="L32" s="327">
        <v>673</v>
      </c>
      <c r="M32" s="328">
        <v>921</v>
      </c>
      <c r="N32" s="328">
        <v>589</v>
      </c>
      <c r="O32" s="328">
        <v>589</v>
      </c>
      <c r="P32" s="328">
        <v>596</v>
      </c>
      <c r="Q32" s="328">
        <v>485</v>
      </c>
      <c r="R32" s="328">
        <v>731</v>
      </c>
      <c r="S32" s="328">
        <v>513</v>
      </c>
      <c r="T32" s="328">
        <f>'South Ayrshire'!F241</f>
        <v>486</v>
      </c>
      <c r="U32" s="422">
        <f>'South Ayrshire'!H241</f>
        <v>689</v>
      </c>
      <c r="V32" s="328">
        <v>1210</v>
      </c>
      <c r="W32" s="328">
        <v>1357</v>
      </c>
      <c r="X32" s="328">
        <v>1018</v>
      </c>
      <c r="Y32" s="328">
        <v>947</v>
      </c>
      <c r="Z32" s="328">
        <v>1009</v>
      </c>
      <c r="AA32" s="328">
        <v>952</v>
      </c>
      <c r="AB32" s="328">
        <v>1208</v>
      </c>
      <c r="AC32" s="328">
        <v>1012</v>
      </c>
      <c r="AD32" s="328">
        <f>'South Ayrshire'!F242</f>
        <v>942</v>
      </c>
      <c r="AE32" s="328">
        <f>'South Ayrshire'!H242</f>
        <v>1215</v>
      </c>
      <c r="AH32" s="403">
        <f t="shared" si="0"/>
        <v>-4.40251572327044E-2</v>
      </c>
      <c r="AI32" s="326">
        <f t="shared" si="1"/>
        <v>-21</v>
      </c>
      <c r="AJ32" s="403">
        <f t="shared" si="2"/>
        <v>5.410821643286573E-2</v>
      </c>
      <c r="AK32" s="326">
        <f t="shared" si="3"/>
        <v>27</v>
      </c>
      <c r="AM32" s="403">
        <f t="shared" si="4"/>
        <v>-0.33515731874145005</v>
      </c>
      <c r="AN32" s="326">
        <f t="shared" si="5"/>
        <v>-245</v>
      </c>
      <c r="AO32" s="403">
        <f t="shared" si="6"/>
        <v>0.34307992202729043</v>
      </c>
      <c r="AP32" s="326">
        <f t="shared" si="7"/>
        <v>176</v>
      </c>
    </row>
    <row r="33" spans="1:42">
      <c r="A33" s="316" t="s">
        <v>44</v>
      </c>
      <c r="B33" s="327">
        <v>711</v>
      </c>
      <c r="C33" s="328">
        <v>652</v>
      </c>
      <c r="D33" s="328">
        <v>616</v>
      </c>
      <c r="E33" s="328">
        <v>652</v>
      </c>
      <c r="F33" s="328">
        <v>580</v>
      </c>
      <c r="G33" s="328">
        <v>626</v>
      </c>
      <c r="H33" s="328">
        <v>573</v>
      </c>
      <c r="I33" s="328">
        <v>583</v>
      </c>
      <c r="J33" s="289">
        <f>'South Lanarkshire'!F240</f>
        <v>543</v>
      </c>
      <c r="K33" s="289">
        <f>'South Lanarkshire'!H240</f>
        <v>565</v>
      </c>
      <c r="L33" s="327">
        <v>2142</v>
      </c>
      <c r="M33" s="328">
        <v>2066</v>
      </c>
      <c r="N33" s="328">
        <v>2178</v>
      </c>
      <c r="O33" s="328">
        <v>2362</v>
      </c>
      <c r="P33" s="328">
        <v>2510</v>
      </c>
      <c r="Q33" s="328">
        <v>2431</v>
      </c>
      <c r="R33" s="328">
        <v>2519</v>
      </c>
      <c r="S33" s="328">
        <v>2451</v>
      </c>
      <c r="T33" s="328">
        <f>'South Lanarkshire'!F241</f>
        <v>2482</v>
      </c>
      <c r="U33" s="422">
        <f>'South Lanarkshire'!H241</f>
        <v>2521</v>
      </c>
      <c r="V33" s="328">
        <v>2853</v>
      </c>
      <c r="W33" s="328">
        <v>2718</v>
      </c>
      <c r="X33" s="328">
        <v>2794</v>
      </c>
      <c r="Y33" s="328">
        <v>3014</v>
      </c>
      <c r="Z33" s="328">
        <v>3090</v>
      </c>
      <c r="AA33" s="328">
        <v>3057</v>
      </c>
      <c r="AB33" s="328">
        <v>3092</v>
      </c>
      <c r="AC33" s="328">
        <v>3034</v>
      </c>
      <c r="AD33" s="328">
        <f>'South Lanarkshire'!F242</f>
        <v>3025</v>
      </c>
      <c r="AE33" s="328">
        <f>'South Lanarkshire'!H242</f>
        <v>3086</v>
      </c>
      <c r="AH33" s="403">
        <f t="shared" si="0"/>
        <v>-5.2356020942408377E-2</v>
      </c>
      <c r="AI33" s="326">
        <f t="shared" si="1"/>
        <v>-30</v>
      </c>
      <c r="AJ33" s="403">
        <f t="shared" si="2"/>
        <v>-3.0874785591766724E-2</v>
      </c>
      <c r="AK33" s="326">
        <f t="shared" si="3"/>
        <v>-18</v>
      </c>
      <c r="AM33" s="403">
        <f t="shared" si="4"/>
        <v>-1.4688368400158794E-2</v>
      </c>
      <c r="AN33" s="326">
        <f t="shared" si="5"/>
        <v>-37</v>
      </c>
      <c r="AO33" s="403">
        <f t="shared" si="6"/>
        <v>2.8559771521827825E-2</v>
      </c>
      <c r="AP33" s="326">
        <f t="shared" si="7"/>
        <v>70</v>
      </c>
    </row>
    <row r="34" spans="1:42">
      <c r="A34" s="316" t="s">
        <v>45</v>
      </c>
      <c r="B34" s="327">
        <v>293</v>
      </c>
      <c r="C34" s="328">
        <v>416</v>
      </c>
      <c r="D34" s="328">
        <v>358</v>
      </c>
      <c r="E34" s="328">
        <v>508</v>
      </c>
      <c r="F34" s="328">
        <v>290</v>
      </c>
      <c r="G34" s="328">
        <v>437</v>
      </c>
      <c r="H34" s="328">
        <v>288</v>
      </c>
      <c r="I34" s="328">
        <v>452</v>
      </c>
      <c r="J34" s="289">
        <f>Stirling!F240</f>
        <v>341</v>
      </c>
      <c r="K34" s="289">
        <f>Stirling!H240</f>
        <v>330</v>
      </c>
      <c r="L34" s="327">
        <v>1015</v>
      </c>
      <c r="M34" s="328">
        <v>1099</v>
      </c>
      <c r="N34" s="328">
        <v>1254</v>
      </c>
      <c r="O34" s="328">
        <v>1219</v>
      </c>
      <c r="P34" s="328">
        <v>1263</v>
      </c>
      <c r="Q34" s="328">
        <v>1032</v>
      </c>
      <c r="R34" s="328">
        <v>1090</v>
      </c>
      <c r="S34" s="328">
        <v>1017</v>
      </c>
      <c r="T34" s="328">
        <f>Stirling!F241</f>
        <v>1192</v>
      </c>
      <c r="U34" s="422">
        <f>Stirling!H241</f>
        <v>1172</v>
      </c>
      <c r="V34" s="328">
        <v>1308</v>
      </c>
      <c r="W34" s="328">
        <v>1515</v>
      </c>
      <c r="X34" s="328">
        <v>1612</v>
      </c>
      <c r="Y34" s="328">
        <v>1727</v>
      </c>
      <c r="Z34" s="328">
        <v>1553</v>
      </c>
      <c r="AA34" s="328">
        <v>1469</v>
      </c>
      <c r="AB34" s="328">
        <v>1378</v>
      </c>
      <c r="AC34" s="328">
        <v>1469</v>
      </c>
      <c r="AD34" s="328">
        <f>Stirling!F242</f>
        <v>1533</v>
      </c>
      <c r="AE34" s="328">
        <f>Stirling!H242</f>
        <v>1502</v>
      </c>
      <c r="AH34" s="403">
        <f t="shared" si="0"/>
        <v>0.18402777777777779</v>
      </c>
      <c r="AI34" s="326">
        <f t="shared" si="1"/>
        <v>53</v>
      </c>
      <c r="AJ34" s="403">
        <f t="shared" si="2"/>
        <v>-0.26991150442477874</v>
      </c>
      <c r="AK34" s="326">
        <f t="shared" si="3"/>
        <v>-122</v>
      </c>
      <c r="AM34" s="403">
        <f t="shared" si="4"/>
        <v>9.3577981651376152E-2</v>
      </c>
      <c r="AN34" s="326">
        <f t="shared" si="5"/>
        <v>102</v>
      </c>
      <c r="AO34" s="403">
        <f t="shared" si="6"/>
        <v>0.15240904621435594</v>
      </c>
      <c r="AP34" s="326">
        <f t="shared" si="7"/>
        <v>155</v>
      </c>
    </row>
    <row r="35" spans="1:42">
      <c r="A35" s="316" t="s">
        <v>46</v>
      </c>
      <c r="B35" s="327">
        <v>171</v>
      </c>
      <c r="C35" s="328">
        <v>166</v>
      </c>
      <c r="D35" s="328">
        <v>184</v>
      </c>
      <c r="E35" s="328">
        <v>192</v>
      </c>
      <c r="F35" s="328">
        <v>134</v>
      </c>
      <c r="G35" s="328">
        <v>152</v>
      </c>
      <c r="H35" s="328">
        <v>174</v>
      </c>
      <c r="I35" s="328">
        <v>141</v>
      </c>
      <c r="J35" s="289">
        <f>'West Dunbartonshire'!F240</f>
        <v>173</v>
      </c>
      <c r="K35" s="289">
        <f>'West Dunbartonshire'!H240</f>
        <v>126</v>
      </c>
      <c r="L35" s="327">
        <v>1076</v>
      </c>
      <c r="M35" s="328">
        <v>1101</v>
      </c>
      <c r="N35" s="328">
        <v>1288</v>
      </c>
      <c r="O35" s="328">
        <v>1184</v>
      </c>
      <c r="P35" s="328">
        <v>1248</v>
      </c>
      <c r="Q35" s="328">
        <v>1163</v>
      </c>
      <c r="R35" s="328">
        <v>798</v>
      </c>
      <c r="S35" s="328">
        <v>588</v>
      </c>
      <c r="T35" s="328">
        <f>'West Dunbartonshire'!F241</f>
        <v>699</v>
      </c>
      <c r="U35" s="422">
        <f>'West Dunbartonshire'!H241</f>
        <v>707</v>
      </c>
      <c r="V35" s="328">
        <v>1247</v>
      </c>
      <c r="W35" s="328">
        <v>1267</v>
      </c>
      <c r="X35" s="328">
        <v>1472</v>
      </c>
      <c r="Y35" s="328">
        <v>1376</v>
      </c>
      <c r="Z35" s="328">
        <v>1382</v>
      </c>
      <c r="AA35" s="328">
        <v>1315</v>
      </c>
      <c r="AB35" s="328">
        <v>972</v>
      </c>
      <c r="AC35" s="328">
        <v>729</v>
      </c>
      <c r="AD35" s="328">
        <f>'West Dunbartonshire'!F242</f>
        <v>872</v>
      </c>
      <c r="AE35" s="328">
        <f>'West Dunbartonshire'!H242</f>
        <v>833</v>
      </c>
      <c r="AH35" s="403">
        <f t="shared" si="0"/>
        <v>-5.7471264367816091E-3</v>
      </c>
      <c r="AI35" s="326">
        <f t="shared" si="1"/>
        <v>-1</v>
      </c>
      <c r="AJ35" s="403">
        <f t="shared" si="2"/>
        <v>-0.10638297872340426</v>
      </c>
      <c r="AK35" s="326">
        <f t="shared" si="3"/>
        <v>-15</v>
      </c>
      <c r="AM35" s="403">
        <f t="shared" si="4"/>
        <v>-0.12406015037593984</v>
      </c>
      <c r="AN35" s="326">
        <f t="shared" si="5"/>
        <v>-99</v>
      </c>
      <c r="AO35" s="403">
        <f t="shared" si="6"/>
        <v>0.20238095238095238</v>
      </c>
      <c r="AP35" s="326">
        <f t="shared" si="7"/>
        <v>119</v>
      </c>
    </row>
    <row r="36" spans="1:42">
      <c r="A36" s="316" t="s">
        <v>47</v>
      </c>
      <c r="B36" s="327">
        <v>99</v>
      </c>
      <c r="C36" s="328">
        <v>100</v>
      </c>
      <c r="D36" s="328">
        <v>104</v>
      </c>
      <c r="E36" s="328">
        <v>64</v>
      </c>
      <c r="F36" s="328">
        <v>90</v>
      </c>
      <c r="G36" s="328">
        <v>96</v>
      </c>
      <c r="H36" s="328">
        <v>87</v>
      </c>
      <c r="I36" s="328">
        <v>98</v>
      </c>
      <c r="J36" s="289">
        <f>'West Lothian'!F240</f>
        <v>93</v>
      </c>
      <c r="K36" s="289">
        <f>'West Lothian'!H240</f>
        <v>93</v>
      </c>
      <c r="L36" s="327">
        <v>1222</v>
      </c>
      <c r="M36" s="328">
        <v>1213</v>
      </c>
      <c r="N36" s="328">
        <v>1307</v>
      </c>
      <c r="O36" s="328">
        <v>1184</v>
      </c>
      <c r="P36" s="328">
        <v>1086</v>
      </c>
      <c r="Q36" s="328">
        <v>817</v>
      </c>
      <c r="R36" s="328">
        <v>616</v>
      </c>
      <c r="S36" s="328">
        <v>522</v>
      </c>
      <c r="T36" s="328">
        <f>'West Lothian'!F241</f>
        <v>1048</v>
      </c>
      <c r="U36" s="422">
        <f>'West Lothian'!H241</f>
        <v>646</v>
      </c>
      <c r="V36" s="328">
        <v>1321</v>
      </c>
      <c r="W36" s="328">
        <v>1313</v>
      </c>
      <c r="X36" s="328">
        <v>1411</v>
      </c>
      <c r="Y36" s="328">
        <v>1248</v>
      </c>
      <c r="Z36" s="328">
        <v>1176</v>
      </c>
      <c r="AA36" s="328">
        <v>913</v>
      </c>
      <c r="AB36" s="328">
        <v>703</v>
      </c>
      <c r="AC36" s="328">
        <v>620</v>
      </c>
      <c r="AD36" s="328">
        <f>'West Lothian'!F242</f>
        <v>1141</v>
      </c>
      <c r="AE36" s="328">
        <f>'West Lothian'!H242</f>
        <v>739</v>
      </c>
      <c r="AH36" s="403">
        <f t="shared" si="0"/>
        <v>6.8965517241379309E-2</v>
      </c>
      <c r="AI36" s="326">
        <f t="shared" si="1"/>
        <v>6</v>
      </c>
      <c r="AJ36" s="403">
        <f t="shared" si="2"/>
        <v>-5.1020408163265307E-2</v>
      </c>
      <c r="AK36" s="326">
        <f t="shared" si="3"/>
        <v>-5</v>
      </c>
      <c r="AM36" s="403">
        <f t="shared" si="4"/>
        <v>0.70129870129870131</v>
      </c>
      <c r="AN36" s="326">
        <f t="shared" si="5"/>
        <v>432</v>
      </c>
      <c r="AO36" s="403">
        <f t="shared" si="6"/>
        <v>0.23754789272030652</v>
      </c>
      <c r="AP36" s="326">
        <f t="shared" si="7"/>
        <v>124</v>
      </c>
    </row>
    <row r="37" spans="1:42" s="699" customFormat="1">
      <c r="B37" s="699" t="s">
        <v>335</v>
      </c>
      <c r="C37" s="699" t="s">
        <v>279</v>
      </c>
      <c r="D37" s="699" t="s">
        <v>335</v>
      </c>
      <c r="E37" s="699" t="s">
        <v>279</v>
      </c>
      <c r="J37" s="700" t="s">
        <v>335</v>
      </c>
      <c r="K37" s="700" t="s">
        <v>279</v>
      </c>
      <c r="L37" s="700" t="s">
        <v>336</v>
      </c>
      <c r="M37" s="699" t="s">
        <v>337</v>
      </c>
      <c r="N37" s="699" t="s">
        <v>336</v>
      </c>
      <c r="O37" s="700" t="s">
        <v>337</v>
      </c>
      <c r="P37" s="700"/>
      <c r="Q37" s="700"/>
      <c r="R37" s="700"/>
      <c r="S37" s="700"/>
      <c r="T37" s="699" t="s">
        <v>336</v>
      </c>
      <c r="U37" s="700" t="s">
        <v>337</v>
      </c>
      <c r="V37" s="699" t="s">
        <v>338</v>
      </c>
      <c r="W37" s="699" t="s">
        <v>339</v>
      </c>
      <c r="X37" s="699" t="s">
        <v>338</v>
      </c>
      <c r="Y37" s="700" t="s">
        <v>339</v>
      </c>
      <c r="Z37" s="700"/>
      <c r="AA37" s="700"/>
      <c r="AB37" s="700"/>
      <c r="AC37" s="700"/>
      <c r="AD37" s="699" t="s">
        <v>338</v>
      </c>
      <c r="AE37" s="700" t="s">
        <v>339</v>
      </c>
    </row>
    <row r="38" spans="1:42">
      <c r="O38" s="329"/>
      <c r="P38" s="329"/>
      <c r="Q38" s="329"/>
      <c r="R38" s="329"/>
      <c r="S38" s="329"/>
      <c r="T38" s="329"/>
      <c r="U38" s="329"/>
      <c r="Y38" s="329"/>
      <c r="Z38" s="329"/>
      <c r="AA38" s="329"/>
      <c r="AB38" s="329"/>
      <c r="AC38" s="329"/>
    </row>
    <row r="39" spans="1:42">
      <c r="O39" s="329"/>
      <c r="P39" s="329"/>
      <c r="Q39" s="329"/>
      <c r="R39" s="329"/>
      <c r="S39" s="329"/>
      <c r="T39" s="329"/>
      <c r="U39" s="329"/>
      <c r="Y39" s="329"/>
      <c r="Z39" s="329"/>
      <c r="AA39" s="329"/>
      <c r="AB39" s="329"/>
      <c r="AC39" s="329"/>
      <c r="AH39" s="402" t="s">
        <v>392</v>
      </c>
    </row>
    <row r="40" spans="1:42">
      <c r="O40" s="329"/>
      <c r="P40" s="329"/>
      <c r="Q40" s="329"/>
      <c r="R40" s="329"/>
      <c r="S40" s="329"/>
      <c r="T40" s="329"/>
      <c r="U40" s="329"/>
      <c r="Y40" s="329"/>
      <c r="Z40" s="329"/>
      <c r="AA40" s="329"/>
      <c r="AB40" s="329"/>
      <c r="AC40" s="329"/>
    </row>
    <row r="41" spans="1:42">
      <c r="Y41" s="329"/>
      <c r="Z41" s="329"/>
      <c r="AA41" s="329"/>
      <c r="AB41" s="329"/>
      <c r="AC41" s="329"/>
    </row>
    <row r="42" spans="1:42">
      <c r="Y42" s="329"/>
      <c r="Z42" s="329"/>
      <c r="AA42" s="329"/>
      <c r="AB42" s="329"/>
      <c r="AC42" s="329"/>
    </row>
    <row r="43" spans="1:42">
      <c r="Y43" s="329"/>
      <c r="Z43" s="329"/>
      <c r="AA43" s="329"/>
      <c r="AB43" s="329"/>
      <c r="AC43" s="329"/>
    </row>
    <row r="44" spans="1:42">
      <c r="Y44" s="329"/>
      <c r="Z44" s="329"/>
      <c r="AA44" s="329"/>
      <c r="AB44" s="329"/>
      <c r="AC44" s="329"/>
    </row>
    <row r="45" spans="1:42">
      <c r="Y45" s="329"/>
      <c r="Z45" s="329"/>
      <c r="AA45" s="329"/>
      <c r="AB45" s="329"/>
      <c r="AC45" s="329"/>
    </row>
    <row r="46" spans="1:42">
      <c r="Y46" s="329"/>
      <c r="Z46" s="329"/>
      <c r="AA46" s="329"/>
      <c r="AB46" s="329"/>
      <c r="AC46" s="329"/>
    </row>
    <row r="47" spans="1:42">
      <c r="Y47" s="329"/>
      <c r="Z47" s="329"/>
      <c r="AA47" s="329"/>
      <c r="AB47" s="329"/>
      <c r="AC47" s="329"/>
    </row>
    <row r="48" spans="1:42">
      <c r="Y48" s="329"/>
      <c r="Z48" s="329"/>
      <c r="AA48" s="329"/>
      <c r="AB48" s="329"/>
      <c r="AC48" s="329"/>
    </row>
    <row r="49" spans="25:29">
      <c r="Y49" s="329"/>
      <c r="Z49" s="329"/>
      <c r="AA49" s="329"/>
      <c r="AB49" s="329"/>
      <c r="AC49" s="329"/>
    </row>
    <row r="50" spans="25:29">
      <c r="Y50" s="329"/>
      <c r="Z50" s="329"/>
      <c r="AA50" s="329"/>
      <c r="AB50" s="329"/>
      <c r="AC50" s="329"/>
    </row>
    <row r="51" spans="25:29">
      <c r="Y51" s="329"/>
      <c r="Z51" s="329"/>
      <c r="AA51" s="329"/>
      <c r="AB51" s="329"/>
      <c r="AC51" s="329"/>
    </row>
    <row r="52" spans="25:29">
      <c r="Y52" s="329"/>
      <c r="Z52" s="329"/>
      <c r="AA52" s="329"/>
      <c r="AB52" s="329"/>
      <c r="AC52" s="329"/>
    </row>
    <row r="53" spans="25:29">
      <c r="Y53" s="329"/>
      <c r="Z53" s="329"/>
      <c r="AA53" s="329"/>
      <c r="AB53" s="329"/>
      <c r="AC53" s="329"/>
    </row>
    <row r="54" spans="25:29">
      <c r="Y54" s="329"/>
      <c r="Z54" s="329"/>
      <c r="AA54" s="329"/>
      <c r="AB54" s="329"/>
      <c r="AC54" s="329"/>
    </row>
    <row r="55" spans="25:29">
      <c r="Y55" s="329"/>
      <c r="Z55" s="329"/>
      <c r="AA55" s="329"/>
      <c r="AB55" s="329"/>
      <c r="AC55" s="329"/>
    </row>
    <row r="56" spans="25:29">
      <c r="Y56" s="329"/>
      <c r="Z56" s="329"/>
      <c r="AA56" s="329"/>
      <c r="AB56" s="329"/>
      <c r="AC56" s="329"/>
    </row>
    <row r="57" spans="25:29">
      <c r="Y57" s="329"/>
      <c r="Z57" s="329"/>
      <c r="AA57" s="329"/>
      <c r="AB57" s="329"/>
      <c r="AC57" s="329"/>
    </row>
    <row r="58" spans="25:29">
      <c r="Y58" s="329"/>
      <c r="Z58" s="329"/>
      <c r="AA58" s="329"/>
      <c r="AB58" s="329"/>
      <c r="AC58" s="329"/>
    </row>
    <row r="59" spans="25:29">
      <c r="Y59" s="329"/>
      <c r="Z59" s="329"/>
      <c r="AA59" s="329"/>
      <c r="AB59" s="329"/>
      <c r="AC59" s="329"/>
    </row>
    <row r="60" spans="25:29">
      <c r="Y60" s="329"/>
      <c r="Z60" s="329"/>
      <c r="AA60" s="329"/>
      <c r="AB60" s="329"/>
      <c r="AC60" s="329"/>
    </row>
    <row r="61" spans="25:29">
      <c r="Y61" s="329"/>
      <c r="Z61" s="329"/>
      <c r="AA61" s="329"/>
      <c r="AB61" s="329"/>
      <c r="AC61" s="329"/>
    </row>
    <row r="62" spans="25:29">
      <c r="Y62" s="329"/>
      <c r="Z62" s="329"/>
      <c r="AA62" s="329"/>
      <c r="AB62" s="329"/>
      <c r="AC62" s="329"/>
    </row>
    <row r="63" spans="25:29">
      <c r="Y63" s="329"/>
      <c r="Z63" s="329"/>
      <c r="AA63" s="329"/>
      <c r="AB63" s="329"/>
      <c r="AC63" s="329"/>
    </row>
    <row r="64" spans="25:29">
      <c r="Y64" s="329"/>
      <c r="Z64" s="329"/>
      <c r="AA64" s="329"/>
      <c r="AB64" s="329"/>
      <c r="AC64" s="329"/>
    </row>
    <row r="65" spans="25:29">
      <c r="Y65" s="329"/>
      <c r="Z65" s="329"/>
      <c r="AA65" s="329"/>
      <c r="AB65" s="329"/>
      <c r="AC65" s="329"/>
    </row>
    <row r="66" spans="25:29">
      <c r="Y66" s="329"/>
      <c r="Z66" s="329"/>
      <c r="AA66" s="329"/>
      <c r="AB66" s="329"/>
      <c r="AC66" s="329"/>
    </row>
    <row r="67" spans="25:29">
      <c r="Y67" s="329"/>
      <c r="Z67" s="329"/>
      <c r="AA67" s="329"/>
      <c r="AB67" s="329"/>
      <c r="AC67" s="329"/>
    </row>
    <row r="68" spans="25:29">
      <c r="Y68" s="329"/>
      <c r="Z68" s="329"/>
      <c r="AA68" s="329"/>
      <c r="AB68" s="329"/>
      <c r="AC68" s="329"/>
    </row>
    <row r="69" spans="25:29">
      <c r="Y69" s="329"/>
      <c r="Z69" s="329"/>
      <c r="AA69" s="329"/>
      <c r="AB69" s="329"/>
      <c r="AC69" s="329"/>
    </row>
    <row r="70" spans="25:29">
      <c r="Y70" s="329"/>
      <c r="Z70" s="329"/>
      <c r="AA70" s="329"/>
      <c r="AB70" s="329"/>
      <c r="AC70" s="329"/>
    </row>
    <row r="71" spans="25:29">
      <c r="Y71" s="329"/>
      <c r="Z71" s="329"/>
      <c r="AA71" s="329"/>
      <c r="AB71" s="329"/>
      <c r="AC71" s="329"/>
    </row>
    <row r="72" spans="25:29">
      <c r="Y72" s="329"/>
      <c r="Z72" s="329"/>
      <c r="AA72" s="329"/>
      <c r="AB72" s="329"/>
      <c r="AC72" s="329"/>
    </row>
    <row r="73" spans="25:29">
      <c r="Y73" s="329"/>
      <c r="Z73" s="329"/>
      <c r="AA73" s="329"/>
      <c r="AB73" s="329"/>
      <c r="AC73" s="329"/>
    </row>
    <row r="74" spans="25:29">
      <c r="Y74" s="329"/>
      <c r="Z74" s="329"/>
      <c r="AA74" s="329"/>
      <c r="AB74" s="329"/>
      <c r="AC74" s="329"/>
    </row>
    <row r="75" spans="25:29">
      <c r="Y75" s="329"/>
      <c r="Z75" s="329"/>
      <c r="AA75" s="329"/>
      <c r="AB75" s="329"/>
      <c r="AC75" s="329"/>
    </row>
    <row r="76" spans="25:29">
      <c r="Y76" s="329"/>
      <c r="Z76" s="329"/>
      <c r="AA76" s="329"/>
      <c r="AB76" s="329"/>
      <c r="AC76" s="329"/>
    </row>
    <row r="77" spans="25:29">
      <c r="Y77" s="329"/>
      <c r="Z77" s="329"/>
      <c r="AA77" s="329"/>
      <c r="AB77" s="329"/>
      <c r="AC77" s="329"/>
    </row>
    <row r="78" spans="25:29">
      <c r="Y78" s="329"/>
      <c r="Z78" s="329"/>
      <c r="AA78" s="329"/>
      <c r="AB78" s="329"/>
      <c r="AC78" s="329"/>
    </row>
    <row r="79" spans="25:29">
      <c r="Y79" s="329"/>
      <c r="Z79" s="329"/>
      <c r="AA79" s="329"/>
      <c r="AB79" s="329"/>
      <c r="AC79" s="329"/>
    </row>
    <row r="80" spans="25:29">
      <c r="Y80" s="329"/>
      <c r="Z80" s="329"/>
      <c r="AA80" s="329"/>
      <c r="AB80" s="329"/>
      <c r="AC80" s="329"/>
    </row>
    <row r="81" spans="25:29">
      <c r="Y81" s="329"/>
      <c r="Z81" s="329"/>
      <c r="AA81" s="329"/>
      <c r="AB81" s="329"/>
      <c r="AC81" s="329"/>
    </row>
    <row r="82" spans="25:29">
      <c r="Y82" s="329"/>
      <c r="Z82" s="329"/>
      <c r="AA82" s="329"/>
      <c r="AB82" s="329"/>
      <c r="AC82" s="329"/>
    </row>
    <row r="83" spans="25:29">
      <c r="Y83" s="329"/>
      <c r="Z83" s="329"/>
      <c r="AA83" s="329"/>
      <c r="AB83" s="329"/>
      <c r="AC83" s="329"/>
    </row>
    <row r="84" spans="25:29">
      <c r="Y84" s="329"/>
      <c r="Z84" s="329"/>
      <c r="AA84" s="329"/>
      <c r="AB84" s="329"/>
      <c r="AC84" s="329"/>
    </row>
    <row r="85" spans="25:29">
      <c r="Y85" s="329"/>
      <c r="Z85" s="329"/>
      <c r="AA85" s="329"/>
      <c r="AB85" s="329"/>
      <c r="AC85" s="329"/>
    </row>
    <row r="86" spans="25:29">
      <c r="Y86" s="329"/>
      <c r="Z86" s="329"/>
      <c r="AA86" s="329"/>
      <c r="AB86" s="329"/>
      <c r="AC86" s="329"/>
    </row>
    <row r="87" spans="25:29">
      <c r="Y87" s="329"/>
      <c r="Z87" s="329"/>
      <c r="AA87" s="329"/>
      <c r="AB87" s="329"/>
      <c r="AC87" s="329"/>
    </row>
    <row r="88" spans="25:29">
      <c r="Y88" s="329"/>
      <c r="Z88" s="329"/>
      <c r="AA88" s="329"/>
      <c r="AB88" s="329"/>
      <c r="AC88" s="329"/>
    </row>
    <row r="89" spans="25:29">
      <c r="Y89" s="329"/>
      <c r="Z89" s="329"/>
      <c r="AA89" s="329"/>
      <c r="AB89" s="329"/>
      <c r="AC89" s="329"/>
    </row>
    <row r="90" spans="25:29">
      <c r="Y90" s="329"/>
      <c r="Z90" s="329"/>
      <c r="AA90" s="329"/>
      <c r="AB90" s="329"/>
      <c r="AC90" s="329"/>
    </row>
    <row r="91" spans="25:29">
      <c r="Y91" s="329"/>
      <c r="Z91" s="329"/>
      <c r="AA91" s="329"/>
      <c r="AB91" s="329"/>
      <c r="AC91" s="329"/>
    </row>
    <row r="92" spans="25:29">
      <c r="Y92" s="329"/>
      <c r="Z92" s="329"/>
      <c r="AA92" s="329"/>
      <c r="AB92" s="329"/>
      <c r="AC92" s="329"/>
    </row>
    <row r="93" spans="25:29">
      <c r="Y93" s="329"/>
      <c r="Z93" s="329"/>
      <c r="AA93" s="329"/>
      <c r="AB93" s="329"/>
      <c r="AC93" s="329"/>
    </row>
    <row r="94" spans="25:29">
      <c r="Y94" s="329"/>
      <c r="Z94" s="329"/>
      <c r="AA94" s="329"/>
      <c r="AB94" s="329"/>
      <c r="AC94" s="329"/>
    </row>
    <row r="95" spans="25:29">
      <c r="Y95" s="329"/>
      <c r="Z95" s="329"/>
      <c r="AA95" s="329"/>
      <c r="AB95" s="329"/>
      <c r="AC95" s="329"/>
    </row>
    <row r="96" spans="25:29">
      <c r="Y96" s="329"/>
      <c r="Z96" s="329"/>
      <c r="AA96" s="329"/>
      <c r="AB96" s="329"/>
      <c r="AC96" s="329"/>
    </row>
    <row r="97" spans="25:29">
      <c r="Y97" s="329"/>
      <c r="Z97" s="329"/>
      <c r="AA97" s="329"/>
      <c r="AB97" s="329"/>
      <c r="AC97" s="329"/>
    </row>
    <row r="98" spans="25:29">
      <c r="Y98" s="329"/>
      <c r="Z98" s="329"/>
      <c r="AA98" s="329"/>
      <c r="AB98" s="329"/>
      <c r="AC98" s="329"/>
    </row>
    <row r="99" spans="25:29">
      <c r="Y99" s="329"/>
      <c r="Z99" s="329"/>
      <c r="AA99" s="329"/>
      <c r="AB99" s="329"/>
      <c r="AC99" s="329"/>
    </row>
    <row r="100" spans="25:29">
      <c r="Y100" s="329"/>
      <c r="Z100" s="329"/>
      <c r="AA100" s="329"/>
      <c r="AB100" s="329"/>
      <c r="AC100" s="329"/>
    </row>
    <row r="101" spans="25:29">
      <c r="Y101" s="329"/>
      <c r="Z101" s="329"/>
      <c r="AA101" s="329"/>
      <c r="AB101" s="329"/>
      <c r="AC101" s="329"/>
    </row>
    <row r="102" spans="25:29">
      <c r="Y102" s="329"/>
      <c r="Z102" s="329"/>
      <c r="AA102" s="329"/>
      <c r="AB102" s="329"/>
      <c r="AC102" s="329"/>
    </row>
    <row r="103" spans="25:29">
      <c r="Y103" s="329"/>
      <c r="Z103" s="329"/>
      <c r="AA103" s="329"/>
      <c r="AB103" s="329"/>
      <c r="AC103" s="329"/>
    </row>
  </sheetData>
  <mergeCells count="12">
    <mergeCell ref="AH2:AI2"/>
    <mergeCell ref="AJ2:AK2"/>
    <mergeCell ref="AH1:AK1"/>
    <mergeCell ref="AM1:AP1"/>
    <mergeCell ref="AM2:AN2"/>
    <mergeCell ref="AO2:AP2"/>
    <mergeCell ref="V1:AE1"/>
    <mergeCell ref="V2:AE2"/>
    <mergeCell ref="B2:K2"/>
    <mergeCell ref="B1:K1"/>
    <mergeCell ref="L1:U1"/>
    <mergeCell ref="L2:U2"/>
  </mergeCells>
  <pageMargins left="0.7" right="0.7" top="0.75" bottom="0.75" header="0.3" footer="0.3"/>
  <pageSetup paperSize="9" orientation="portrait" r:id="rId1"/>
  <extLst>
    <ext xmlns:x14="http://schemas.microsoft.com/office/spreadsheetml/2009/9/main" uri="{05C60535-1F16-4fd2-B633-F4F36F0B64E0}">
      <x14:sparklineGroups xmlns:xm="http://schemas.microsoft.com/office/excel/2006/main">
        <x14:sparklineGroup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CultureHeritage!V4:AE4</xm:f>
              <xm:sqref>AF4</xm:sqref>
            </x14:sparkline>
            <x14:sparkline>
              <xm:f>CultureHeritage!V5:AE5</xm:f>
              <xm:sqref>AF5</xm:sqref>
            </x14:sparkline>
            <x14:sparkline>
              <xm:f>CultureHeritage!V6:AE6</xm:f>
              <xm:sqref>AF6</xm:sqref>
            </x14:sparkline>
            <x14:sparkline>
              <xm:f>CultureHeritage!V7:AE7</xm:f>
              <xm:sqref>AF7</xm:sqref>
            </x14:sparkline>
            <x14:sparkline>
              <xm:f>CultureHeritage!V8:AE8</xm:f>
              <xm:sqref>AF8</xm:sqref>
            </x14:sparkline>
            <x14:sparkline>
              <xm:f>CultureHeritage!V9:AE9</xm:f>
              <xm:sqref>AF9</xm:sqref>
            </x14:sparkline>
            <x14:sparkline>
              <xm:f>CultureHeritage!V10:AE10</xm:f>
              <xm:sqref>AF10</xm:sqref>
            </x14:sparkline>
            <x14:sparkline>
              <xm:f>CultureHeritage!V11:AE11</xm:f>
              <xm:sqref>AF11</xm:sqref>
            </x14:sparkline>
            <x14:sparkline>
              <xm:f>CultureHeritage!V12:AE12</xm:f>
              <xm:sqref>AF12</xm:sqref>
            </x14:sparkline>
            <x14:sparkline>
              <xm:f>CultureHeritage!V13:AE13</xm:f>
              <xm:sqref>AF13</xm:sqref>
            </x14:sparkline>
            <x14:sparkline>
              <xm:f>CultureHeritage!V14:AE14</xm:f>
              <xm:sqref>AF14</xm:sqref>
            </x14:sparkline>
            <x14:sparkline>
              <xm:f>CultureHeritage!V15:AE15</xm:f>
              <xm:sqref>AF15</xm:sqref>
            </x14:sparkline>
            <x14:sparkline>
              <xm:f>CultureHeritage!V16:AE16</xm:f>
              <xm:sqref>AF16</xm:sqref>
            </x14:sparkline>
            <x14:sparkline>
              <xm:f>CultureHeritage!V17:AE17</xm:f>
              <xm:sqref>AF17</xm:sqref>
            </x14:sparkline>
            <x14:sparkline>
              <xm:f>CultureHeritage!V18:AE18</xm:f>
              <xm:sqref>AF18</xm:sqref>
            </x14:sparkline>
            <x14:sparkline>
              <xm:f>CultureHeritage!V19:AE19</xm:f>
              <xm:sqref>AF19</xm:sqref>
            </x14:sparkline>
            <x14:sparkline>
              <xm:f>CultureHeritage!V20:AE20</xm:f>
              <xm:sqref>AF20</xm:sqref>
            </x14:sparkline>
            <x14:sparkline>
              <xm:f>CultureHeritage!V21:AE21</xm:f>
              <xm:sqref>AF21</xm:sqref>
            </x14:sparkline>
            <x14:sparkline>
              <xm:f>CultureHeritage!V22:AE22</xm:f>
              <xm:sqref>AF22</xm:sqref>
            </x14:sparkline>
            <x14:sparkline>
              <xm:f>CultureHeritage!V23:AE23</xm:f>
              <xm:sqref>AF23</xm:sqref>
            </x14:sparkline>
            <x14:sparkline>
              <xm:f>CultureHeritage!V24:AE24</xm:f>
              <xm:sqref>AF24</xm:sqref>
            </x14:sparkline>
            <x14:sparkline>
              <xm:f>CultureHeritage!V25:AE25</xm:f>
              <xm:sqref>AF25</xm:sqref>
            </x14:sparkline>
            <x14:sparkline>
              <xm:f>CultureHeritage!V26:AE26</xm:f>
              <xm:sqref>AF26</xm:sqref>
            </x14:sparkline>
            <x14:sparkline>
              <xm:f>CultureHeritage!V27:AE27</xm:f>
              <xm:sqref>AF27</xm:sqref>
            </x14:sparkline>
            <x14:sparkline>
              <xm:f>CultureHeritage!V28:AE28</xm:f>
              <xm:sqref>AF28</xm:sqref>
            </x14:sparkline>
            <x14:sparkline>
              <xm:f>CultureHeritage!V29:AE29</xm:f>
              <xm:sqref>AF29</xm:sqref>
            </x14:sparkline>
            <x14:sparkline>
              <xm:f>CultureHeritage!V30:AE30</xm:f>
              <xm:sqref>AF30</xm:sqref>
            </x14:sparkline>
            <x14:sparkline>
              <xm:f>CultureHeritage!V31:AE31</xm:f>
              <xm:sqref>AF31</xm:sqref>
            </x14:sparkline>
            <x14:sparkline>
              <xm:f>CultureHeritage!V32:AE32</xm:f>
              <xm:sqref>AF32</xm:sqref>
            </x14:sparkline>
            <x14:sparkline>
              <xm:f>CultureHeritage!V33:AE33</xm:f>
              <xm:sqref>AF33</xm:sqref>
            </x14:sparkline>
            <x14:sparkline>
              <xm:f>CultureHeritage!V34:AE34</xm:f>
              <xm:sqref>AF34</xm:sqref>
            </x14:sparkline>
            <x14:sparkline>
              <xm:f>CultureHeritage!V35:AE35</xm:f>
              <xm:sqref>AF35</xm:sqref>
            </x14:sparkline>
            <x14:sparkline>
              <xm:f>CultureHeritage!V36:AE36</xm:f>
              <xm:sqref>AF36</xm:sqref>
            </x14:sparkline>
          </x14:sparklines>
        </x14:sparklineGroup>
      </x14:sparklineGroups>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4">
    <tabColor theme="9"/>
  </sheetPr>
  <dimension ref="A1:AO48"/>
  <sheetViews>
    <sheetView workbookViewId="0">
      <selection activeCell="M43" sqref="M43"/>
    </sheetView>
  </sheetViews>
  <sheetFormatPr defaultColWidth="9.140625" defaultRowHeight="12.75"/>
  <cols>
    <col min="1" max="1" width="31.42578125" style="316" customWidth="1"/>
    <col min="2" max="2" width="9.85546875" style="316" bestFit="1" customWidth="1"/>
    <col min="3" max="3" width="9.5703125" style="316" bestFit="1" customWidth="1"/>
    <col min="4" max="4" width="9.85546875" style="316" bestFit="1" customWidth="1"/>
    <col min="5" max="5" width="9.5703125" style="316" bestFit="1" customWidth="1"/>
    <col min="6" max="11" width="9.5703125" style="316" customWidth="1"/>
    <col min="12" max="12" width="9.85546875" style="316" bestFit="1" customWidth="1"/>
    <col min="13" max="13" width="9.5703125" style="316" bestFit="1" customWidth="1"/>
    <col min="14" max="14" width="9.85546875" style="316" bestFit="1" customWidth="1"/>
    <col min="15" max="15" width="9.5703125" style="316" bestFit="1" customWidth="1"/>
    <col min="16" max="21" width="9.5703125" style="316" customWidth="1"/>
    <col min="22" max="22" width="10.85546875" style="316" bestFit="1" customWidth="1"/>
    <col min="23" max="23" width="10.7109375" style="316" bestFit="1" customWidth="1"/>
    <col min="24" max="24" width="10.85546875" style="316" bestFit="1" customWidth="1"/>
    <col min="25" max="25" width="10.7109375" style="316" bestFit="1" customWidth="1"/>
    <col min="26" max="31" width="10.7109375" style="316" customWidth="1"/>
    <col min="32" max="16384" width="9.140625" style="316"/>
  </cols>
  <sheetData>
    <row r="1" spans="1:41">
      <c r="A1" s="315" t="s">
        <v>191</v>
      </c>
      <c r="B1" s="972">
        <v>4</v>
      </c>
      <c r="C1" s="973"/>
      <c r="D1" s="973"/>
      <c r="E1" s="973"/>
      <c r="F1" s="973"/>
      <c r="G1" s="973"/>
      <c r="H1" s="973"/>
      <c r="I1" s="973"/>
      <c r="J1" s="973"/>
      <c r="K1" s="974"/>
      <c r="L1" s="975">
        <v>5</v>
      </c>
      <c r="M1" s="968"/>
      <c r="N1" s="968"/>
      <c r="O1" s="968"/>
      <c r="P1" s="968"/>
      <c r="Q1" s="968"/>
      <c r="R1" s="968"/>
      <c r="S1" s="968"/>
      <c r="T1" s="968"/>
      <c r="U1" s="976"/>
      <c r="V1" s="968">
        <v>6</v>
      </c>
      <c r="W1" s="968"/>
      <c r="X1" s="968"/>
      <c r="Y1" s="968"/>
      <c r="Z1" s="968"/>
      <c r="AA1" s="968"/>
      <c r="AB1" s="968"/>
      <c r="AC1" s="968"/>
      <c r="AD1" s="968"/>
      <c r="AE1" s="968"/>
      <c r="AG1" s="977" t="s">
        <v>393</v>
      </c>
      <c r="AH1" s="977"/>
      <c r="AI1" s="977"/>
      <c r="AJ1" s="977"/>
      <c r="AL1" s="977" t="s">
        <v>395</v>
      </c>
      <c r="AM1" s="977"/>
      <c r="AN1" s="977"/>
      <c r="AO1" s="977"/>
    </row>
    <row r="2" spans="1:41">
      <c r="A2" s="317"/>
      <c r="B2" s="969" t="s">
        <v>192</v>
      </c>
      <c r="C2" s="970"/>
      <c r="D2" s="970"/>
      <c r="E2" s="970"/>
      <c r="F2" s="970"/>
      <c r="G2" s="970"/>
      <c r="H2" s="970"/>
      <c r="I2" s="970"/>
      <c r="J2" s="970"/>
      <c r="K2" s="971"/>
      <c r="L2" s="969" t="s">
        <v>193</v>
      </c>
      <c r="M2" s="970"/>
      <c r="N2" s="970"/>
      <c r="O2" s="970"/>
      <c r="P2" s="970"/>
      <c r="Q2" s="970"/>
      <c r="R2" s="970"/>
      <c r="S2" s="970"/>
      <c r="T2" s="970"/>
      <c r="U2" s="971"/>
      <c r="V2" s="968" t="s">
        <v>194</v>
      </c>
      <c r="W2" s="968"/>
      <c r="X2" s="968"/>
      <c r="Y2" s="968"/>
      <c r="Z2" s="968"/>
      <c r="AA2" s="968"/>
      <c r="AB2" s="968"/>
      <c r="AC2" s="968"/>
      <c r="AD2" s="968"/>
      <c r="AE2" s="968"/>
      <c r="AG2" s="977" t="s">
        <v>278</v>
      </c>
      <c r="AH2" s="977"/>
      <c r="AI2" s="977" t="s">
        <v>273</v>
      </c>
      <c r="AJ2" s="977"/>
      <c r="AL2" s="977" t="s">
        <v>278</v>
      </c>
      <c r="AM2" s="977"/>
      <c r="AN2" s="977" t="s">
        <v>273</v>
      </c>
      <c r="AO2" s="977"/>
    </row>
    <row r="3" spans="1:41" ht="25.5" customHeight="1">
      <c r="A3" s="318"/>
      <c r="B3" s="423" t="s">
        <v>320</v>
      </c>
      <c r="C3" s="423" t="s">
        <v>321</v>
      </c>
      <c r="D3" s="423" t="s">
        <v>312</v>
      </c>
      <c r="E3" s="423" t="s">
        <v>313</v>
      </c>
      <c r="F3" s="423" t="s">
        <v>359</v>
      </c>
      <c r="G3" s="423" t="s">
        <v>360</v>
      </c>
      <c r="H3" s="423" t="s">
        <v>385</v>
      </c>
      <c r="I3" s="423" t="s">
        <v>386</v>
      </c>
      <c r="J3" s="423" t="s">
        <v>417</v>
      </c>
      <c r="K3" s="423" t="s">
        <v>418</v>
      </c>
      <c r="L3" s="424" t="s">
        <v>320</v>
      </c>
      <c r="M3" s="423" t="s">
        <v>321</v>
      </c>
      <c r="N3" s="423" t="s">
        <v>312</v>
      </c>
      <c r="O3" s="423" t="s">
        <v>313</v>
      </c>
      <c r="P3" s="423" t="s">
        <v>359</v>
      </c>
      <c r="Q3" s="423" t="s">
        <v>360</v>
      </c>
      <c r="R3" s="423" t="s">
        <v>385</v>
      </c>
      <c r="S3" s="423" t="s">
        <v>386</v>
      </c>
      <c r="T3" s="423" t="s">
        <v>417</v>
      </c>
      <c r="U3" s="423" t="s">
        <v>418</v>
      </c>
      <c r="V3" s="423" t="s">
        <v>320</v>
      </c>
      <c r="W3" s="423" t="s">
        <v>321</v>
      </c>
      <c r="X3" s="423" t="s">
        <v>312</v>
      </c>
      <c r="Y3" s="423" t="s">
        <v>313</v>
      </c>
      <c r="Z3" s="423" t="s">
        <v>359</v>
      </c>
      <c r="AA3" s="423" t="s">
        <v>360</v>
      </c>
      <c r="AB3" s="423" t="s">
        <v>385</v>
      </c>
      <c r="AC3" s="423" t="s">
        <v>386</v>
      </c>
      <c r="AD3" s="423" t="s">
        <v>417</v>
      </c>
      <c r="AE3" s="423" t="s">
        <v>418</v>
      </c>
      <c r="AG3" s="402" t="s">
        <v>389</v>
      </c>
      <c r="AH3" s="402" t="s">
        <v>394</v>
      </c>
      <c r="AI3" s="402" t="s">
        <v>389</v>
      </c>
      <c r="AJ3" s="402" t="s">
        <v>394</v>
      </c>
      <c r="AL3" s="402" t="s">
        <v>389</v>
      </c>
      <c r="AM3" s="402" t="s">
        <v>394</v>
      </c>
      <c r="AN3" s="402" t="s">
        <v>389</v>
      </c>
      <c r="AO3" s="402" t="s">
        <v>394</v>
      </c>
    </row>
    <row r="4" spans="1:41">
      <c r="A4" s="322" t="s">
        <v>251</v>
      </c>
      <c r="B4" s="323">
        <v>11436</v>
      </c>
      <c r="C4" s="324">
        <v>9579</v>
      </c>
      <c r="D4" s="324">
        <v>9924</v>
      </c>
      <c r="E4" s="324">
        <v>10194</v>
      </c>
      <c r="F4" s="324">
        <v>10079</v>
      </c>
      <c r="G4" s="324">
        <v>11974</v>
      </c>
      <c r="H4" s="324">
        <v>11592.842000000001</v>
      </c>
      <c r="I4" s="324">
        <v>12054</v>
      </c>
      <c r="J4" s="284">
        <f>Scotland!$F$245</f>
        <v>10048</v>
      </c>
      <c r="K4" s="284">
        <f>Scotland!$H$245</f>
        <v>9727</v>
      </c>
      <c r="L4" s="323">
        <v>13949</v>
      </c>
      <c r="M4" s="324">
        <v>12010</v>
      </c>
      <c r="N4" s="324">
        <v>12335</v>
      </c>
      <c r="O4" s="324">
        <v>10805</v>
      </c>
      <c r="P4" s="324">
        <v>13630.038299956992</v>
      </c>
      <c r="Q4" s="324">
        <v>11635.715205216708</v>
      </c>
      <c r="R4" s="324">
        <v>11169.954433872252</v>
      </c>
      <c r="S4" s="324">
        <v>10447.539422381597</v>
      </c>
      <c r="T4" s="284">
        <f>Scotland!$F$246</f>
        <v>10342</v>
      </c>
      <c r="U4" s="373">
        <f>Scotland!$H$246</f>
        <v>9978</v>
      </c>
      <c r="V4" s="324">
        <v>25385</v>
      </c>
      <c r="W4" s="324">
        <v>21589</v>
      </c>
      <c r="X4" s="324">
        <v>22259</v>
      </c>
      <c r="Y4" s="325">
        <v>20999</v>
      </c>
      <c r="Z4" s="324">
        <v>23709.038299956992</v>
      </c>
      <c r="AA4" s="324">
        <v>23609.715205216708</v>
      </c>
      <c r="AB4" s="324">
        <v>22762.796433872252</v>
      </c>
      <c r="AC4" s="324">
        <v>22501.539422381597</v>
      </c>
      <c r="AD4" s="284">
        <f>Scotland!$F$247</f>
        <v>20390</v>
      </c>
      <c r="AE4" s="284">
        <f>Scotland!$H$247</f>
        <v>19705</v>
      </c>
      <c r="AG4" s="403">
        <f>AH4/H4</f>
        <v>-0.13325826402188526</v>
      </c>
      <c r="AH4" s="326">
        <f>J4-H4</f>
        <v>-1544.8420000000006</v>
      </c>
      <c r="AI4" s="336">
        <f>AJ4/I4</f>
        <v>-0.19304795088767215</v>
      </c>
      <c r="AJ4" s="326">
        <f>K4-I4</f>
        <v>-2327</v>
      </c>
      <c r="AL4" s="403">
        <f>AM4/R4</f>
        <v>-7.4123349273612693E-2</v>
      </c>
      <c r="AM4" s="326">
        <f>T4-R4</f>
        <v>-827.95443387225168</v>
      </c>
      <c r="AN4" s="403">
        <f>AO4/S4</f>
        <v>-4.4942584411379174E-2</v>
      </c>
      <c r="AO4" s="326">
        <f>U4-S4</f>
        <v>-469.53942238159652</v>
      </c>
    </row>
    <row r="5" spans="1:41">
      <c r="A5" s="316" t="s">
        <v>3</v>
      </c>
      <c r="B5" s="327">
        <v>654</v>
      </c>
      <c r="C5" s="328">
        <v>706</v>
      </c>
      <c r="D5" s="328">
        <v>586</v>
      </c>
      <c r="E5" s="328">
        <v>658</v>
      </c>
      <c r="F5" s="328">
        <v>753</v>
      </c>
      <c r="G5" s="328">
        <v>477</v>
      </c>
      <c r="H5" s="328">
        <v>388</v>
      </c>
      <c r="I5" s="328">
        <v>391</v>
      </c>
      <c r="J5" s="289">
        <f>'Aberdeen City'!F245</f>
        <v>361</v>
      </c>
      <c r="K5" s="289">
        <f>'Aberdeen City'!H245</f>
        <v>210</v>
      </c>
      <c r="L5" s="327">
        <v>644</v>
      </c>
      <c r="M5" s="328">
        <v>644</v>
      </c>
      <c r="N5" s="328">
        <v>596</v>
      </c>
      <c r="O5" s="328">
        <v>597</v>
      </c>
      <c r="P5" s="328">
        <v>576</v>
      </c>
      <c r="Q5" s="328">
        <v>551</v>
      </c>
      <c r="R5" s="328">
        <v>614</v>
      </c>
      <c r="S5" s="328">
        <v>651</v>
      </c>
      <c r="T5" s="289">
        <f>'Aberdeen City'!F246</f>
        <v>566</v>
      </c>
      <c r="U5" s="374">
        <f>'Aberdeen City'!H246</f>
        <v>295</v>
      </c>
      <c r="V5" s="328">
        <v>1298</v>
      </c>
      <c r="W5" s="328">
        <v>1350</v>
      </c>
      <c r="X5" s="328">
        <v>1182</v>
      </c>
      <c r="Y5" s="328">
        <v>1255</v>
      </c>
      <c r="Z5" s="328">
        <v>1329</v>
      </c>
      <c r="AA5" s="328">
        <v>1028</v>
      </c>
      <c r="AB5" s="328">
        <v>1002</v>
      </c>
      <c r="AC5" s="328">
        <v>1042</v>
      </c>
      <c r="AD5" s="289">
        <f>'Aberdeen City'!F247</f>
        <v>927</v>
      </c>
      <c r="AE5" s="289">
        <f>'Aberdeen City'!H247</f>
        <v>505</v>
      </c>
      <c r="AG5" s="403">
        <f t="shared" ref="AG5:AG36" si="0">AH5/H5</f>
        <v>-6.9587628865979384E-2</v>
      </c>
      <c r="AH5" s="326">
        <f t="shared" ref="AH5:AH36" si="1">J5-H5</f>
        <v>-27</v>
      </c>
      <c r="AI5" s="336">
        <f t="shared" ref="AI5:AI36" si="2">AJ5/I5</f>
        <v>-0.46291560102301788</v>
      </c>
      <c r="AJ5" s="326">
        <f t="shared" ref="AJ5:AJ36" si="3">K5-I5</f>
        <v>-181</v>
      </c>
      <c r="AL5" s="403">
        <f t="shared" ref="AL5:AL36" si="4">AM5/R5</f>
        <v>-7.8175895765472306E-2</v>
      </c>
      <c r="AM5" s="326">
        <f t="shared" ref="AM5:AM36" si="5">T5-R5</f>
        <v>-48</v>
      </c>
      <c r="AN5" s="403">
        <f t="shared" ref="AN5:AN36" si="6">AO5/S5</f>
        <v>-0.54685099846390173</v>
      </c>
      <c r="AO5" s="326">
        <f t="shared" ref="AO5:AO36" si="7">U5-S5</f>
        <v>-356</v>
      </c>
    </row>
    <row r="6" spans="1:41">
      <c r="A6" s="316" t="s">
        <v>4</v>
      </c>
      <c r="B6" s="327">
        <v>0</v>
      </c>
      <c r="C6" s="328">
        <v>0</v>
      </c>
      <c r="D6" s="328">
        <v>0</v>
      </c>
      <c r="E6" s="328">
        <v>0</v>
      </c>
      <c r="F6" s="328">
        <v>0</v>
      </c>
      <c r="G6" s="328">
        <v>0</v>
      </c>
      <c r="H6" s="328">
        <v>0</v>
      </c>
      <c r="I6" s="328">
        <v>0</v>
      </c>
      <c r="J6" s="289">
        <f>Aberdeenshire!F245</f>
        <v>0</v>
      </c>
      <c r="K6" s="289">
        <f>Aberdeenshire!H245</f>
        <v>0</v>
      </c>
      <c r="L6" s="327">
        <v>450</v>
      </c>
      <c r="M6" s="328">
        <v>341</v>
      </c>
      <c r="N6" s="328">
        <v>394</v>
      </c>
      <c r="O6" s="328">
        <v>400</v>
      </c>
      <c r="P6" s="328">
        <v>424</v>
      </c>
      <c r="Q6" s="328">
        <v>410</v>
      </c>
      <c r="R6" s="328">
        <v>400</v>
      </c>
      <c r="S6" s="328">
        <v>400</v>
      </c>
      <c r="T6" s="289">
        <f>Aberdeenshire!F246</f>
        <v>400</v>
      </c>
      <c r="U6" s="374">
        <f>Aberdeenshire!H246</f>
        <v>400</v>
      </c>
      <c r="V6" s="328">
        <v>450</v>
      </c>
      <c r="W6" s="328">
        <v>341</v>
      </c>
      <c r="X6" s="328">
        <v>394</v>
      </c>
      <c r="Y6" s="328">
        <v>400</v>
      </c>
      <c r="Z6" s="328">
        <v>424</v>
      </c>
      <c r="AA6" s="328">
        <v>410</v>
      </c>
      <c r="AB6" s="328">
        <v>400</v>
      </c>
      <c r="AC6" s="328">
        <v>400</v>
      </c>
      <c r="AD6" s="289">
        <f>Aberdeenshire!F247</f>
        <v>400</v>
      </c>
      <c r="AE6" s="289">
        <f>Aberdeenshire!H247</f>
        <v>400</v>
      </c>
      <c r="AG6" s="403" t="e">
        <f t="shared" si="0"/>
        <v>#DIV/0!</v>
      </c>
      <c r="AH6" s="326">
        <f t="shared" si="1"/>
        <v>0</v>
      </c>
      <c r="AI6" s="336" t="e">
        <f t="shared" si="2"/>
        <v>#DIV/0!</v>
      </c>
      <c r="AJ6" s="326">
        <f t="shared" si="3"/>
        <v>0</v>
      </c>
      <c r="AL6" s="403">
        <f t="shared" si="4"/>
        <v>0</v>
      </c>
      <c r="AM6" s="326">
        <f t="shared" si="5"/>
        <v>0</v>
      </c>
      <c r="AN6" s="403">
        <f t="shared" si="6"/>
        <v>0</v>
      </c>
      <c r="AO6" s="326">
        <f t="shared" si="7"/>
        <v>0</v>
      </c>
    </row>
    <row r="7" spans="1:41">
      <c r="A7" s="316" t="s">
        <v>5</v>
      </c>
      <c r="B7" s="327">
        <v>0</v>
      </c>
      <c r="C7" s="328">
        <v>0</v>
      </c>
      <c r="D7" s="328">
        <v>0</v>
      </c>
      <c r="E7" s="328">
        <v>0</v>
      </c>
      <c r="F7" s="328">
        <v>0</v>
      </c>
      <c r="G7" s="328">
        <v>0</v>
      </c>
      <c r="H7" s="328">
        <v>0</v>
      </c>
      <c r="I7" s="328">
        <v>0</v>
      </c>
      <c r="J7" s="289">
        <f>Angus!F245</f>
        <v>0</v>
      </c>
      <c r="K7" s="289">
        <f>Angus!H245</f>
        <v>0</v>
      </c>
      <c r="L7" s="327">
        <v>54</v>
      </c>
      <c r="M7" s="328">
        <v>54</v>
      </c>
      <c r="N7" s="328">
        <v>43</v>
      </c>
      <c r="O7" s="328">
        <v>44</v>
      </c>
      <c r="P7" s="328">
        <v>16</v>
      </c>
      <c r="Q7" s="328">
        <v>16</v>
      </c>
      <c r="R7" s="328">
        <v>0</v>
      </c>
      <c r="S7" s="328">
        <v>0</v>
      </c>
      <c r="T7" s="289">
        <f>Angus!F246</f>
        <v>29</v>
      </c>
      <c r="U7" s="374">
        <f>Angus!H246</f>
        <v>31</v>
      </c>
      <c r="V7" s="328">
        <v>54</v>
      </c>
      <c r="W7" s="328">
        <v>54</v>
      </c>
      <c r="X7" s="328">
        <v>43</v>
      </c>
      <c r="Y7" s="328">
        <v>44</v>
      </c>
      <c r="Z7" s="328">
        <v>16</v>
      </c>
      <c r="AA7" s="328">
        <v>16</v>
      </c>
      <c r="AB7" s="328">
        <v>0</v>
      </c>
      <c r="AC7" s="328">
        <v>0</v>
      </c>
      <c r="AD7" s="289">
        <f>Angus!F247</f>
        <v>29</v>
      </c>
      <c r="AE7" s="289">
        <f>Angus!H247</f>
        <v>31</v>
      </c>
      <c r="AG7" s="403" t="e">
        <f t="shared" si="0"/>
        <v>#DIV/0!</v>
      </c>
      <c r="AH7" s="326">
        <f t="shared" si="1"/>
        <v>0</v>
      </c>
      <c r="AI7" s="336" t="e">
        <f t="shared" si="2"/>
        <v>#DIV/0!</v>
      </c>
      <c r="AJ7" s="326">
        <f t="shared" si="3"/>
        <v>0</v>
      </c>
      <c r="AL7" s="403" t="e">
        <f t="shared" si="4"/>
        <v>#DIV/0!</v>
      </c>
      <c r="AM7" s="326">
        <f t="shared" si="5"/>
        <v>29</v>
      </c>
      <c r="AN7" s="403" t="e">
        <f t="shared" si="6"/>
        <v>#DIV/0!</v>
      </c>
      <c r="AO7" s="326">
        <f t="shared" si="7"/>
        <v>31</v>
      </c>
    </row>
    <row r="8" spans="1:41">
      <c r="A8" s="316" t="s">
        <v>6</v>
      </c>
      <c r="B8" s="327">
        <v>0</v>
      </c>
      <c r="C8" s="328">
        <v>0</v>
      </c>
      <c r="D8" s="328">
        <v>0</v>
      </c>
      <c r="E8" s="328">
        <v>0</v>
      </c>
      <c r="F8" s="328">
        <v>0</v>
      </c>
      <c r="G8" s="328">
        <v>0</v>
      </c>
      <c r="H8" s="328">
        <v>0</v>
      </c>
      <c r="I8" s="328">
        <v>0</v>
      </c>
      <c r="J8" s="289">
        <f>'Argyll &amp; Bute'!F245</f>
        <v>0</v>
      </c>
      <c r="K8" s="289">
        <f>'Argyll &amp; Bute'!H245</f>
        <v>0</v>
      </c>
      <c r="L8" s="327">
        <v>134</v>
      </c>
      <c r="M8" s="328">
        <v>135</v>
      </c>
      <c r="N8" s="328">
        <v>132</v>
      </c>
      <c r="O8" s="328">
        <v>133</v>
      </c>
      <c r="P8" s="328">
        <v>132</v>
      </c>
      <c r="Q8" s="328">
        <v>133</v>
      </c>
      <c r="R8" s="328">
        <v>158</v>
      </c>
      <c r="S8" s="328">
        <v>55</v>
      </c>
      <c r="T8" s="289">
        <f>'Argyll &amp; Bute'!F246</f>
        <v>42</v>
      </c>
      <c r="U8" s="374">
        <f>'Argyll &amp; Bute'!H246</f>
        <v>32</v>
      </c>
      <c r="V8" s="328">
        <v>134</v>
      </c>
      <c r="W8" s="328">
        <v>135</v>
      </c>
      <c r="X8" s="328">
        <v>132</v>
      </c>
      <c r="Y8" s="328">
        <v>133</v>
      </c>
      <c r="Z8" s="328">
        <v>132</v>
      </c>
      <c r="AA8" s="328">
        <v>133</v>
      </c>
      <c r="AB8" s="328">
        <v>158</v>
      </c>
      <c r="AC8" s="328">
        <v>55</v>
      </c>
      <c r="AD8" s="289">
        <f>'Argyll &amp; Bute'!F247</f>
        <v>42</v>
      </c>
      <c r="AE8" s="289">
        <f>'Argyll &amp; Bute'!H247</f>
        <v>32</v>
      </c>
      <c r="AG8" s="403" t="e">
        <f t="shared" si="0"/>
        <v>#DIV/0!</v>
      </c>
      <c r="AH8" s="326">
        <f t="shared" si="1"/>
        <v>0</v>
      </c>
      <c r="AI8" s="336" t="e">
        <f t="shared" si="2"/>
        <v>#DIV/0!</v>
      </c>
      <c r="AJ8" s="326">
        <f t="shared" si="3"/>
        <v>0</v>
      </c>
      <c r="AL8" s="403">
        <f t="shared" si="4"/>
        <v>-0.73417721518987344</v>
      </c>
      <c r="AM8" s="326">
        <f t="shared" si="5"/>
        <v>-116</v>
      </c>
      <c r="AN8" s="403">
        <f t="shared" si="6"/>
        <v>-0.41818181818181815</v>
      </c>
      <c r="AO8" s="326">
        <f t="shared" si="7"/>
        <v>-23</v>
      </c>
    </row>
    <row r="9" spans="1:41">
      <c r="A9" s="316" t="s">
        <v>8</v>
      </c>
      <c r="B9" s="327">
        <v>0</v>
      </c>
      <c r="C9" s="328">
        <v>0</v>
      </c>
      <c r="D9" s="328">
        <v>0</v>
      </c>
      <c r="E9" s="328">
        <v>0</v>
      </c>
      <c r="F9" s="328">
        <v>0</v>
      </c>
      <c r="G9" s="328">
        <v>0</v>
      </c>
      <c r="H9" s="328">
        <v>0</v>
      </c>
      <c r="I9" s="328">
        <v>0</v>
      </c>
      <c r="J9" s="289">
        <f>Clackmannanshire!F245</f>
        <v>0</v>
      </c>
      <c r="K9" s="289">
        <f>Clackmannanshire!H245</f>
        <v>0</v>
      </c>
      <c r="L9" s="327">
        <v>466</v>
      </c>
      <c r="M9" s="328">
        <v>458</v>
      </c>
      <c r="N9" s="328">
        <v>458</v>
      </c>
      <c r="O9" s="328">
        <v>458</v>
      </c>
      <c r="P9" s="328">
        <v>458</v>
      </c>
      <c r="Q9" s="328">
        <v>460</v>
      </c>
      <c r="R9" s="328">
        <v>445.79743387225051</v>
      </c>
      <c r="S9" s="328">
        <v>440.38242238159734</v>
      </c>
      <c r="T9" s="289">
        <f>Clackmannanshire!F246</f>
        <v>443</v>
      </c>
      <c r="U9" s="374">
        <f>Clackmannanshire!H246</f>
        <v>443</v>
      </c>
      <c r="V9" s="328">
        <v>466</v>
      </c>
      <c r="W9" s="328">
        <v>458</v>
      </c>
      <c r="X9" s="328">
        <v>458</v>
      </c>
      <c r="Y9" s="328">
        <v>458</v>
      </c>
      <c r="Z9" s="328">
        <v>458</v>
      </c>
      <c r="AA9" s="328">
        <v>460</v>
      </c>
      <c r="AB9" s="328">
        <v>445.79743387225051</v>
      </c>
      <c r="AC9" s="328">
        <v>440.38242238159734</v>
      </c>
      <c r="AD9" s="289">
        <f>Clackmannanshire!F247</f>
        <v>443</v>
      </c>
      <c r="AE9" s="289">
        <f>Clackmannanshire!H247</f>
        <v>443</v>
      </c>
      <c r="AG9" s="403" t="e">
        <f t="shared" si="0"/>
        <v>#DIV/0!</v>
      </c>
      <c r="AH9" s="326">
        <f t="shared" si="1"/>
        <v>0</v>
      </c>
      <c r="AI9" s="336" t="e">
        <f t="shared" si="2"/>
        <v>#DIV/0!</v>
      </c>
      <c r="AJ9" s="326">
        <f t="shared" si="3"/>
        <v>0</v>
      </c>
      <c r="AL9" s="403">
        <f t="shared" si="4"/>
        <v>-6.2751233176729137E-3</v>
      </c>
      <c r="AM9" s="326">
        <f t="shared" si="5"/>
        <v>-2.7974338722505081</v>
      </c>
      <c r="AN9" s="403">
        <f t="shared" si="6"/>
        <v>5.9438739726412077E-3</v>
      </c>
      <c r="AO9" s="326">
        <f t="shared" si="7"/>
        <v>2.6175776184026631</v>
      </c>
    </row>
    <row r="10" spans="1:41">
      <c r="A10" s="316" t="s">
        <v>9</v>
      </c>
      <c r="B10" s="327">
        <v>0</v>
      </c>
      <c r="C10" s="328">
        <v>0</v>
      </c>
      <c r="D10" s="328">
        <v>329</v>
      </c>
      <c r="E10" s="328">
        <v>318</v>
      </c>
      <c r="F10" s="328">
        <v>349</v>
      </c>
      <c r="G10" s="328">
        <v>339</v>
      </c>
      <c r="H10" s="328">
        <v>401</v>
      </c>
      <c r="I10" s="328">
        <v>351</v>
      </c>
      <c r="J10" s="289">
        <f>'Dumfries &amp; Galloway'!F245</f>
        <v>426</v>
      </c>
      <c r="K10" s="289">
        <f>'Dumfries &amp; Galloway'!H245</f>
        <v>525</v>
      </c>
      <c r="L10" s="327">
        <v>673</v>
      </c>
      <c r="M10" s="328">
        <v>476</v>
      </c>
      <c r="N10" s="328">
        <v>265</v>
      </c>
      <c r="O10" s="328">
        <v>138</v>
      </c>
      <c r="P10" s="328">
        <v>336</v>
      </c>
      <c r="Q10" s="328">
        <v>231</v>
      </c>
      <c r="R10" s="328">
        <v>246</v>
      </c>
      <c r="S10" s="328">
        <v>230</v>
      </c>
      <c r="T10" s="289">
        <f>'Dumfries &amp; Galloway'!F246</f>
        <v>268</v>
      </c>
      <c r="U10" s="374">
        <f>'Dumfries &amp; Galloway'!H246</f>
        <v>71</v>
      </c>
      <c r="V10" s="328">
        <v>673</v>
      </c>
      <c r="W10" s="328">
        <v>476</v>
      </c>
      <c r="X10" s="328">
        <v>594</v>
      </c>
      <c r="Y10" s="328">
        <v>456</v>
      </c>
      <c r="Z10" s="328">
        <v>685</v>
      </c>
      <c r="AA10" s="328">
        <v>570</v>
      </c>
      <c r="AB10" s="328">
        <v>647</v>
      </c>
      <c r="AC10" s="328">
        <v>581</v>
      </c>
      <c r="AD10" s="289">
        <f>'Dumfries &amp; Galloway'!F247</f>
        <v>694</v>
      </c>
      <c r="AE10" s="289">
        <f>'Dumfries &amp; Galloway'!H247</f>
        <v>596</v>
      </c>
      <c r="AG10" s="403">
        <f t="shared" si="0"/>
        <v>6.2344139650872821E-2</v>
      </c>
      <c r="AH10" s="326">
        <f t="shared" si="1"/>
        <v>25</v>
      </c>
      <c r="AI10" s="336">
        <f t="shared" si="2"/>
        <v>0.49572649572649574</v>
      </c>
      <c r="AJ10" s="326">
        <f t="shared" si="3"/>
        <v>174</v>
      </c>
      <c r="AL10" s="403">
        <f t="shared" si="4"/>
        <v>8.943089430894309E-2</v>
      </c>
      <c r="AM10" s="326">
        <f t="shared" si="5"/>
        <v>22</v>
      </c>
      <c r="AN10" s="403">
        <f t="shared" si="6"/>
        <v>-0.69130434782608696</v>
      </c>
      <c r="AO10" s="326">
        <f t="shared" si="7"/>
        <v>-159</v>
      </c>
    </row>
    <row r="11" spans="1:41">
      <c r="A11" s="316" t="s">
        <v>11</v>
      </c>
      <c r="B11" s="327">
        <v>0</v>
      </c>
      <c r="C11" s="328">
        <v>0</v>
      </c>
      <c r="D11" s="328">
        <v>0</v>
      </c>
      <c r="E11" s="328">
        <v>0</v>
      </c>
      <c r="F11" s="328">
        <v>0</v>
      </c>
      <c r="G11" s="328">
        <v>0</v>
      </c>
      <c r="H11" s="328">
        <v>0</v>
      </c>
      <c r="I11" s="328">
        <v>0</v>
      </c>
      <c r="J11" s="289">
        <f>'Dundee City'!F245</f>
        <v>0</v>
      </c>
      <c r="K11" s="289">
        <f>'Dundee City'!H245</f>
        <v>0</v>
      </c>
      <c r="L11" s="327">
        <v>130</v>
      </c>
      <c r="M11" s="328">
        <v>103</v>
      </c>
      <c r="N11" s="328">
        <v>130</v>
      </c>
      <c r="O11" s="328">
        <v>130</v>
      </c>
      <c r="P11" s="328">
        <v>308</v>
      </c>
      <c r="Q11" s="328">
        <v>383</v>
      </c>
      <c r="R11" s="328">
        <v>430</v>
      </c>
      <c r="S11" s="328">
        <v>349</v>
      </c>
      <c r="T11" s="289">
        <f>'Dundee City'!F246</f>
        <v>306</v>
      </c>
      <c r="U11" s="374">
        <f>'Dundee City'!H246</f>
        <v>349</v>
      </c>
      <c r="V11" s="328">
        <v>130</v>
      </c>
      <c r="W11" s="328">
        <v>103</v>
      </c>
      <c r="X11" s="328">
        <v>130</v>
      </c>
      <c r="Y11" s="328">
        <v>130</v>
      </c>
      <c r="Z11" s="328">
        <v>308</v>
      </c>
      <c r="AA11" s="328">
        <v>383</v>
      </c>
      <c r="AB11" s="328">
        <v>430</v>
      </c>
      <c r="AC11" s="328">
        <v>349</v>
      </c>
      <c r="AD11" s="289">
        <f>'Dundee City'!F247</f>
        <v>306</v>
      </c>
      <c r="AE11" s="289">
        <f>'Dundee City'!H247</f>
        <v>349</v>
      </c>
      <c r="AG11" s="403" t="e">
        <f t="shared" si="0"/>
        <v>#DIV/0!</v>
      </c>
      <c r="AH11" s="326">
        <f t="shared" si="1"/>
        <v>0</v>
      </c>
      <c r="AI11" s="336" t="e">
        <f t="shared" si="2"/>
        <v>#DIV/0!</v>
      </c>
      <c r="AJ11" s="326">
        <f t="shared" si="3"/>
        <v>0</v>
      </c>
      <c r="AL11" s="403">
        <f t="shared" si="4"/>
        <v>-0.28837209302325584</v>
      </c>
      <c r="AM11" s="326">
        <f t="shared" si="5"/>
        <v>-124</v>
      </c>
      <c r="AN11" s="403">
        <f t="shared" si="6"/>
        <v>0</v>
      </c>
      <c r="AO11" s="326">
        <f t="shared" si="7"/>
        <v>0</v>
      </c>
    </row>
    <row r="12" spans="1:41">
      <c r="A12" s="316" t="s">
        <v>13</v>
      </c>
      <c r="B12" s="327">
        <v>0</v>
      </c>
      <c r="C12" s="328">
        <v>-15</v>
      </c>
      <c r="D12" s="328">
        <v>0</v>
      </c>
      <c r="E12" s="328">
        <v>0</v>
      </c>
      <c r="F12" s="328">
        <v>0</v>
      </c>
      <c r="G12" s="328">
        <v>0</v>
      </c>
      <c r="H12" s="328">
        <v>0</v>
      </c>
      <c r="I12" s="328">
        <v>0</v>
      </c>
      <c r="J12" s="289">
        <f>'East Ayrshire'!F245</f>
        <v>0</v>
      </c>
      <c r="K12" s="289">
        <f>'East Ayrshire'!H245</f>
        <v>0</v>
      </c>
      <c r="L12" s="327">
        <v>555</v>
      </c>
      <c r="M12" s="328">
        <v>515</v>
      </c>
      <c r="N12" s="328">
        <v>542</v>
      </c>
      <c r="O12" s="328">
        <v>539</v>
      </c>
      <c r="P12" s="328">
        <v>1438</v>
      </c>
      <c r="Q12" s="328">
        <v>1258</v>
      </c>
      <c r="R12" s="328">
        <v>1154</v>
      </c>
      <c r="S12" s="328">
        <v>1214</v>
      </c>
      <c r="T12" s="289">
        <f>'East Ayrshire'!F246</f>
        <v>1357</v>
      </c>
      <c r="U12" s="374">
        <f>'East Ayrshire'!H246</f>
        <v>1311</v>
      </c>
      <c r="V12" s="328">
        <v>555</v>
      </c>
      <c r="W12" s="328">
        <v>500</v>
      </c>
      <c r="X12" s="328">
        <v>542</v>
      </c>
      <c r="Y12" s="328">
        <v>539</v>
      </c>
      <c r="Z12" s="328">
        <v>1438</v>
      </c>
      <c r="AA12" s="328">
        <v>1258</v>
      </c>
      <c r="AB12" s="328">
        <v>1154</v>
      </c>
      <c r="AC12" s="328">
        <v>1214</v>
      </c>
      <c r="AD12" s="289">
        <f>'East Ayrshire'!F247</f>
        <v>1357</v>
      </c>
      <c r="AE12" s="289">
        <f>'East Ayrshire'!H247</f>
        <v>1311</v>
      </c>
      <c r="AG12" s="403" t="e">
        <f t="shared" si="0"/>
        <v>#DIV/0!</v>
      </c>
      <c r="AH12" s="326">
        <f t="shared" si="1"/>
        <v>0</v>
      </c>
      <c r="AI12" s="336" t="e">
        <f t="shared" si="2"/>
        <v>#DIV/0!</v>
      </c>
      <c r="AJ12" s="326">
        <f t="shared" si="3"/>
        <v>0</v>
      </c>
      <c r="AL12" s="403">
        <f t="shared" si="4"/>
        <v>0.17590987868284227</v>
      </c>
      <c r="AM12" s="326">
        <f t="shared" si="5"/>
        <v>203</v>
      </c>
      <c r="AN12" s="403">
        <f t="shared" si="6"/>
        <v>7.9901153212520587E-2</v>
      </c>
      <c r="AO12" s="326">
        <f t="shared" si="7"/>
        <v>97</v>
      </c>
    </row>
    <row r="13" spans="1:41">
      <c r="A13" s="316" t="s">
        <v>16</v>
      </c>
      <c r="B13" s="327">
        <v>52</v>
      </c>
      <c r="C13" s="328">
        <v>50</v>
      </c>
      <c r="D13" s="328">
        <v>47</v>
      </c>
      <c r="E13" s="328">
        <v>40</v>
      </c>
      <c r="F13" s="328">
        <v>67</v>
      </c>
      <c r="G13" s="328">
        <v>67</v>
      </c>
      <c r="H13" s="328">
        <v>77.841999999999999</v>
      </c>
      <c r="I13" s="328">
        <v>60</v>
      </c>
      <c r="J13" s="289">
        <f>'East Dunbartonshire'!F245</f>
        <v>79</v>
      </c>
      <c r="K13" s="289">
        <f>'East Dunbartonshire'!H245</f>
        <v>60</v>
      </c>
      <c r="L13" s="327">
        <v>75</v>
      </c>
      <c r="M13" s="328">
        <v>131</v>
      </c>
      <c r="N13" s="328">
        <v>124</v>
      </c>
      <c r="O13" s="328">
        <v>106</v>
      </c>
      <c r="P13" s="328">
        <v>33</v>
      </c>
      <c r="Q13" s="328">
        <v>33</v>
      </c>
      <c r="R13" s="328">
        <v>38.156999999999996</v>
      </c>
      <c r="S13" s="328">
        <v>38.156999999999996</v>
      </c>
      <c r="T13" s="289">
        <f>'East Dunbartonshire'!F246</f>
        <v>39</v>
      </c>
      <c r="U13" s="374">
        <f>'East Dunbartonshire'!H246</f>
        <v>41</v>
      </c>
      <c r="V13" s="328">
        <v>127</v>
      </c>
      <c r="W13" s="328">
        <v>181</v>
      </c>
      <c r="X13" s="328">
        <v>171</v>
      </c>
      <c r="Y13" s="328">
        <v>146</v>
      </c>
      <c r="Z13" s="328">
        <v>100</v>
      </c>
      <c r="AA13" s="328">
        <v>100</v>
      </c>
      <c r="AB13" s="328">
        <v>115.999</v>
      </c>
      <c r="AC13" s="328">
        <v>98.156999999999996</v>
      </c>
      <c r="AD13" s="289">
        <f>'East Dunbartonshire'!F247</f>
        <v>118</v>
      </c>
      <c r="AE13" s="289">
        <f>'East Dunbartonshire'!H247</f>
        <v>101</v>
      </c>
      <c r="AG13" s="403">
        <f t="shared" si="0"/>
        <v>1.4876287865162782E-2</v>
      </c>
      <c r="AH13" s="326">
        <f t="shared" si="1"/>
        <v>1.1580000000000013</v>
      </c>
      <c r="AI13" s="336">
        <f t="shared" si="2"/>
        <v>0</v>
      </c>
      <c r="AJ13" s="326">
        <f t="shared" si="3"/>
        <v>0</v>
      </c>
      <c r="AL13" s="403">
        <f t="shared" si="4"/>
        <v>2.2092931834263793E-2</v>
      </c>
      <c r="AM13" s="326">
        <f t="shared" si="5"/>
        <v>0.84300000000000352</v>
      </c>
      <c r="AN13" s="403">
        <f t="shared" si="6"/>
        <v>7.4507953979610658E-2</v>
      </c>
      <c r="AO13" s="326">
        <f t="shared" si="7"/>
        <v>2.8430000000000035</v>
      </c>
    </row>
    <row r="14" spans="1:41">
      <c r="A14" s="316" t="s">
        <v>19</v>
      </c>
      <c r="B14" s="327"/>
      <c r="C14" s="328">
        <v>0</v>
      </c>
      <c r="D14" s="328">
        <v>309</v>
      </c>
      <c r="E14" s="328">
        <v>371</v>
      </c>
      <c r="F14" s="328">
        <v>433</v>
      </c>
      <c r="G14" s="328">
        <v>400</v>
      </c>
      <c r="H14" s="328">
        <v>413</v>
      </c>
      <c r="I14" s="328">
        <v>405</v>
      </c>
      <c r="J14" s="289">
        <f>'East Lothian'!F245</f>
        <v>344</v>
      </c>
      <c r="K14" s="289">
        <f>'East Lothian'!H245</f>
        <v>300</v>
      </c>
      <c r="L14" s="327">
        <v>257</v>
      </c>
      <c r="M14" s="328">
        <v>190</v>
      </c>
      <c r="N14" s="328">
        <v>0</v>
      </c>
      <c r="O14" s="328">
        <v>0</v>
      </c>
      <c r="P14" s="328">
        <v>0</v>
      </c>
      <c r="Q14" s="328">
        <v>0</v>
      </c>
      <c r="R14" s="328">
        <v>0</v>
      </c>
      <c r="S14" s="328">
        <v>0</v>
      </c>
      <c r="T14" s="289">
        <f>'East Lothian'!F246</f>
        <v>0</v>
      </c>
      <c r="U14" s="374">
        <f>'East Lothian'!H246</f>
        <v>0</v>
      </c>
      <c r="V14" s="328">
        <v>257</v>
      </c>
      <c r="W14" s="328">
        <v>190</v>
      </c>
      <c r="X14" s="328">
        <v>309</v>
      </c>
      <c r="Y14" s="328">
        <v>371</v>
      </c>
      <c r="Z14" s="328">
        <v>433</v>
      </c>
      <c r="AA14" s="328">
        <v>400</v>
      </c>
      <c r="AB14" s="328">
        <v>413</v>
      </c>
      <c r="AC14" s="328">
        <v>405</v>
      </c>
      <c r="AD14" s="289">
        <f>'East Lothian'!F247</f>
        <v>344</v>
      </c>
      <c r="AE14" s="289">
        <f>'East Lothian'!H247</f>
        <v>300</v>
      </c>
      <c r="AG14" s="403">
        <f t="shared" si="0"/>
        <v>-0.16707021791767554</v>
      </c>
      <c r="AH14" s="326">
        <f t="shared" si="1"/>
        <v>-69</v>
      </c>
      <c r="AI14" s="336">
        <f t="shared" si="2"/>
        <v>-0.25925925925925924</v>
      </c>
      <c r="AJ14" s="326">
        <f t="shared" si="3"/>
        <v>-105</v>
      </c>
      <c r="AL14" s="403" t="e">
        <f t="shared" si="4"/>
        <v>#DIV/0!</v>
      </c>
      <c r="AM14" s="326">
        <f t="shared" si="5"/>
        <v>0</v>
      </c>
      <c r="AN14" s="403" t="e">
        <f t="shared" si="6"/>
        <v>#DIV/0!</v>
      </c>
      <c r="AO14" s="326">
        <f t="shared" si="7"/>
        <v>0</v>
      </c>
    </row>
    <row r="15" spans="1:41">
      <c r="A15" s="316" t="s">
        <v>22</v>
      </c>
      <c r="B15" s="327"/>
      <c r="C15" s="328"/>
      <c r="D15" s="328"/>
      <c r="E15" s="328"/>
      <c r="F15" s="328">
        <v>20</v>
      </c>
      <c r="G15" s="328">
        <v>20</v>
      </c>
      <c r="H15" s="328">
        <v>20</v>
      </c>
      <c r="I15" s="328">
        <v>20</v>
      </c>
      <c r="J15" s="289">
        <f>'East Renfrewshire'!F245</f>
        <v>10</v>
      </c>
      <c r="K15" s="289">
        <f>'East Renfrewshire'!H245</f>
        <v>10</v>
      </c>
      <c r="L15" s="327"/>
      <c r="M15" s="328"/>
      <c r="N15" s="328"/>
      <c r="O15" s="328"/>
      <c r="P15" s="328">
        <v>0</v>
      </c>
      <c r="Q15" s="328">
        <v>0</v>
      </c>
      <c r="R15" s="328">
        <v>0</v>
      </c>
      <c r="S15" s="328">
        <v>0</v>
      </c>
      <c r="T15" s="289">
        <f>'East Renfrewshire'!F246</f>
        <v>0</v>
      </c>
      <c r="U15" s="374">
        <f>'East Renfrewshire'!H246</f>
        <v>0</v>
      </c>
      <c r="V15" s="328">
        <v>0</v>
      </c>
      <c r="W15" s="328">
        <v>0</v>
      </c>
      <c r="X15" s="328">
        <v>0</v>
      </c>
      <c r="Y15" s="328">
        <v>0</v>
      </c>
      <c r="Z15" s="328">
        <v>20</v>
      </c>
      <c r="AA15" s="328">
        <v>20</v>
      </c>
      <c r="AB15" s="328">
        <v>20</v>
      </c>
      <c r="AC15" s="328">
        <v>20</v>
      </c>
      <c r="AD15" s="289">
        <f>'East Renfrewshire'!F247</f>
        <v>10</v>
      </c>
      <c r="AE15" s="289">
        <f>'East Renfrewshire'!H247</f>
        <v>10</v>
      </c>
      <c r="AG15" s="403">
        <f t="shared" si="0"/>
        <v>-0.5</v>
      </c>
      <c r="AH15" s="326">
        <f t="shared" si="1"/>
        <v>-10</v>
      </c>
      <c r="AI15" s="336">
        <f t="shared" si="2"/>
        <v>-0.5</v>
      </c>
      <c r="AJ15" s="326">
        <f t="shared" si="3"/>
        <v>-10</v>
      </c>
      <c r="AL15" s="403" t="e">
        <f t="shared" si="4"/>
        <v>#DIV/0!</v>
      </c>
      <c r="AM15" s="326">
        <f t="shared" si="5"/>
        <v>0</v>
      </c>
      <c r="AN15" s="403" t="e">
        <f t="shared" si="6"/>
        <v>#DIV/0!</v>
      </c>
      <c r="AO15" s="326">
        <f t="shared" si="7"/>
        <v>0</v>
      </c>
    </row>
    <row r="16" spans="1:41">
      <c r="A16" s="316" t="s">
        <v>25</v>
      </c>
      <c r="B16" s="327">
        <v>7435</v>
      </c>
      <c r="C16" s="328">
        <v>6820</v>
      </c>
      <c r="D16" s="328">
        <v>6660</v>
      </c>
      <c r="E16" s="328">
        <v>6768</v>
      </c>
      <c r="F16" s="328">
        <v>6551</v>
      </c>
      <c r="G16" s="328">
        <v>5961</v>
      </c>
      <c r="H16" s="328">
        <v>6340</v>
      </c>
      <c r="I16" s="328">
        <v>6235</v>
      </c>
      <c r="J16" s="289">
        <f>'Edinburgh, City of'!F245</f>
        <v>6017</v>
      </c>
      <c r="K16" s="289">
        <f>'Edinburgh, City of'!H245</f>
        <v>5777</v>
      </c>
      <c r="L16" s="327">
        <v>0</v>
      </c>
      <c r="M16" s="328">
        <v>0</v>
      </c>
      <c r="N16" s="328">
        <v>0</v>
      </c>
      <c r="O16" s="328">
        <v>0</v>
      </c>
      <c r="P16" s="328">
        <v>0</v>
      </c>
      <c r="Q16" s="328">
        <v>0</v>
      </c>
      <c r="R16" s="328">
        <v>0</v>
      </c>
      <c r="S16" s="328">
        <v>0</v>
      </c>
      <c r="T16" s="289">
        <f>'Edinburgh, City of'!F246</f>
        <v>0</v>
      </c>
      <c r="U16" s="374">
        <f>'Edinburgh, City of'!H246</f>
        <v>0</v>
      </c>
      <c r="V16" s="328">
        <v>7435</v>
      </c>
      <c r="W16" s="328">
        <v>6820</v>
      </c>
      <c r="X16" s="328">
        <v>6660</v>
      </c>
      <c r="Y16" s="328">
        <v>6768</v>
      </c>
      <c r="Z16" s="328">
        <v>6551</v>
      </c>
      <c r="AA16" s="328">
        <v>5961</v>
      </c>
      <c r="AB16" s="328">
        <v>6340</v>
      </c>
      <c r="AC16" s="328">
        <v>6235</v>
      </c>
      <c r="AD16" s="289">
        <f>'Edinburgh, City of'!F247</f>
        <v>6017</v>
      </c>
      <c r="AE16" s="289">
        <f>'Edinburgh, City of'!H247</f>
        <v>5777</v>
      </c>
      <c r="AG16" s="403">
        <f t="shared" si="0"/>
        <v>-5.0946372239747635E-2</v>
      </c>
      <c r="AH16" s="326">
        <f t="shared" si="1"/>
        <v>-323</v>
      </c>
      <c r="AI16" s="336">
        <f t="shared" si="2"/>
        <v>-7.3456295108259823E-2</v>
      </c>
      <c r="AJ16" s="326">
        <f t="shared" si="3"/>
        <v>-458</v>
      </c>
      <c r="AL16" s="403" t="e">
        <f t="shared" si="4"/>
        <v>#DIV/0!</v>
      </c>
      <c r="AM16" s="326">
        <f t="shared" si="5"/>
        <v>0</v>
      </c>
      <c r="AN16" s="403" t="e">
        <f t="shared" si="6"/>
        <v>#DIV/0!</v>
      </c>
      <c r="AO16" s="326">
        <f t="shared" si="7"/>
        <v>0</v>
      </c>
    </row>
    <row r="17" spans="1:41">
      <c r="A17" s="316" t="s">
        <v>26</v>
      </c>
      <c r="B17" s="327"/>
      <c r="C17" s="328"/>
      <c r="D17" s="328">
        <v>0</v>
      </c>
      <c r="E17" s="328">
        <v>0</v>
      </c>
      <c r="F17" s="328">
        <v>0</v>
      </c>
      <c r="G17" s="328">
        <v>0</v>
      </c>
      <c r="H17" s="328">
        <v>0</v>
      </c>
      <c r="I17" s="328">
        <v>0</v>
      </c>
      <c r="J17" s="289">
        <f>'Eilean Siar'!F245</f>
        <v>0</v>
      </c>
      <c r="K17" s="289">
        <f>'Eilean Siar'!H245</f>
        <v>0</v>
      </c>
      <c r="L17" s="327">
        <v>101</v>
      </c>
      <c r="M17" s="328">
        <v>104</v>
      </c>
      <c r="N17" s="328">
        <v>112</v>
      </c>
      <c r="O17" s="328">
        <v>94</v>
      </c>
      <c r="P17" s="328">
        <v>95</v>
      </c>
      <c r="Q17" s="328">
        <v>95</v>
      </c>
      <c r="R17" s="328">
        <v>95</v>
      </c>
      <c r="S17" s="328">
        <v>85</v>
      </c>
      <c r="T17" s="289">
        <f>'Eilean Siar'!F246</f>
        <v>85</v>
      </c>
      <c r="U17" s="374">
        <f>'Eilean Siar'!H246</f>
        <v>83</v>
      </c>
      <c r="V17" s="328">
        <v>101</v>
      </c>
      <c r="W17" s="328">
        <v>104</v>
      </c>
      <c r="X17" s="328">
        <v>112</v>
      </c>
      <c r="Y17" s="328">
        <v>94</v>
      </c>
      <c r="Z17" s="328">
        <v>95</v>
      </c>
      <c r="AA17" s="328">
        <v>95</v>
      </c>
      <c r="AB17" s="328">
        <v>95</v>
      </c>
      <c r="AC17" s="328">
        <v>85</v>
      </c>
      <c r="AD17" s="289">
        <f>'Eilean Siar'!F247</f>
        <v>85</v>
      </c>
      <c r="AE17" s="289">
        <f>'Eilean Siar'!H247</f>
        <v>83</v>
      </c>
      <c r="AG17" s="403" t="e">
        <f t="shared" si="0"/>
        <v>#DIV/0!</v>
      </c>
      <c r="AH17" s="326">
        <f t="shared" si="1"/>
        <v>0</v>
      </c>
      <c r="AI17" s="336" t="e">
        <f t="shared" si="2"/>
        <v>#DIV/0!</v>
      </c>
      <c r="AJ17" s="326">
        <f t="shared" si="3"/>
        <v>0</v>
      </c>
      <c r="AL17" s="403">
        <f t="shared" si="4"/>
        <v>-0.10526315789473684</v>
      </c>
      <c r="AM17" s="326">
        <f t="shared" si="5"/>
        <v>-10</v>
      </c>
      <c r="AN17" s="403">
        <f t="shared" si="6"/>
        <v>-2.3529411764705882E-2</v>
      </c>
      <c r="AO17" s="326">
        <f t="shared" si="7"/>
        <v>-2</v>
      </c>
    </row>
    <row r="18" spans="1:41">
      <c r="A18" s="316" t="s">
        <v>28</v>
      </c>
      <c r="B18" s="327">
        <v>0</v>
      </c>
      <c r="C18" s="328">
        <v>0</v>
      </c>
      <c r="D18" s="328">
        <v>0</v>
      </c>
      <c r="E18" s="328">
        <v>0</v>
      </c>
      <c r="F18" s="328">
        <v>0</v>
      </c>
      <c r="G18" s="328">
        <v>0</v>
      </c>
      <c r="H18" s="328">
        <v>0</v>
      </c>
      <c r="I18" s="328">
        <v>0</v>
      </c>
      <c r="J18" s="289">
        <f>Falkirk!F245</f>
        <v>0</v>
      </c>
      <c r="K18" s="289">
        <f>Falkirk!H245</f>
        <v>0</v>
      </c>
      <c r="L18" s="327">
        <v>136</v>
      </c>
      <c r="M18" s="328">
        <v>132</v>
      </c>
      <c r="N18" s="328">
        <v>132</v>
      </c>
      <c r="O18" s="328">
        <v>99</v>
      </c>
      <c r="P18" s="328">
        <v>71</v>
      </c>
      <c r="Q18" s="328">
        <v>50</v>
      </c>
      <c r="R18" s="328">
        <v>80</v>
      </c>
      <c r="S18" s="328">
        <v>52</v>
      </c>
      <c r="T18" s="289">
        <f>Falkirk!F246</f>
        <v>54</v>
      </c>
      <c r="U18" s="374">
        <f>Falkirk!H246</f>
        <v>55</v>
      </c>
      <c r="V18" s="328">
        <v>136</v>
      </c>
      <c r="W18" s="328">
        <v>132</v>
      </c>
      <c r="X18" s="328">
        <v>132</v>
      </c>
      <c r="Y18" s="328">
        <v>99</v>
      </c>
      <c r="Z18" s="328">
        <v>71</v>
      </c>
      <c r="AA18" s="328">
        <v>50</v>
      </c>
      <c r="AB18" s="328">
        <v>80</v>
      </c>
      <c r="AC18" s="328">
        <v>52</v>
      </c>
      <c r="AD18" s="289">
        <f>Falkirk!F247</f>
        <v>54</v>
      </c>
      <c r="AE18" s="289">
        <f>Falkirk!H247</f>
        <v>55</v>
      </c>
      <c r="AG18" s="403" t="e">
        <f t="shared" si="0"/>
        <v>#DIV/0!</v>
      </c>
      <c r="AH18" s="326">
        <f t="shared" si="1"/>
        <v>0</v>
      </c>
      <c r="AI18" s="336" t="e">
        <f t="shared" si="2"/>
        <v>#DIV/0!</v>
      </c>
      <c r="AJ18" s="326">
        <f t="shared" si="3"/>
        <v>0</v>
      </c>
      <c r="AL18" s="403">
        <f t="shared" si="4"/>
        <v>-0.32500000000000001</v>
      </c>
      <c r="AM18" s="326">
        <f t="shared" si="5"/>
        <v>-26</v>
      </c>
      <c r="AN18" s="403">
        <f t="shared" si="6"/>
        <v>5.7692307692307696E-2</v>
      </c>
      <c r="AO18" s="326">
        <f t="shared" si="7"/>
        <v>3</v>
      </c>
    </row>
    <row r="19" spans="1:41">
      <c r="A19" s="316" t="s">
        <v>29</v>
      </c>
      <c r="B19" s="327">
        <v>0</v>
      </c>
      <c r="C19" s="328">
        <v>0</v>
      </c>
      <c r="D19" s="328">
        <v>0</v>
      </c>
      <c r="E19" s="328"/>
      <c r="F19" s="328">
        <v>0</v>
      </c>
      <c r="G19" s="328">
        <v>0</v>
      </c>
      <c r="H19" s="328">
        <v>0</v>
      </c>
      <c r="I19" s="328">
        <v>0</v>
      </c>
      <c r="J19" s="289">
        <f>Fife!F245</f>
        <v>0</v>
      </c>
      <c r="K19" s="289">
        <f>Fife!H245</f>
        <v>0</v>
      </c>
      <c r="L19" s="327">
        <v>402</v>
      </c>
      <c r="M19" s="328">
        <v>403</v>
      </c>
      <c r="N19" s="328">
        <v>507</v>
      </c>
      <c r="O19" s="328">
        <v>502</v>
      </c>
      <c r="P19" s="328">
        <v>495</v>
      </c>
      <c r="Q19" s="328">
        <v>491</v>
      </c>
      <c r="R19" s="328">
        <v>516</v>
      </c>
      <c r="S19" s="328">
        <v>542</v>
      </c>
      <c r="T19" s="289">
        <f>Fife!F246</f>
        <v>517</v>
      </c>
      <c r="U19" s="374">
        <f>Fife!H246</f>
        <v>531</v>
      </c>
      <c r="V19" s="328">
        <v>402</v>
      </c>
      <c r="W19" s="328">
        <v>403</v>
      </c>
      <c r="X19" s="328">
        <v>507</v>
      </c>
      <c r="Y19" s="328">
        <v>502</v>
      </c>
      <c r="Z19" s="328">
        <v>495</v>
      </c>
      <c r="AA19" s="328">
        <v>491</v>
      </c>
      <c r="AB19" s="328">
        <v>516</v>
      </c>
      <c r="AC19" s="328">
        <v>542</v>
      </c>
      <c r="AD19" s="289">
        <f>Fife!F247</f>
        <v>517</v>
      </c>
      <c r="AE19" s="289">
        <f>Fife!H247</f>
        <v>531</v>
      </c>
      <c r="AG19" s="403" t="e">
        <f t="shared" si="0"/>
        <v>#DIV/0!</v>
      </c>
      <c r="AH19" s="326">
        <f t="shared" si="1"/>
        <v>0</v>
      </c>
      <c r="AI19" s="336" t="e">
        <f t="shared" si="2"/>
        <v>#DIV/0!</v>
      </c>
      <c r="AJ19" s="326">
        <f t="shared" si="3"/>
        <v>0</v>
      </c>
      <c r="AL19" s="403">
        <f t="shared" si="4"/>
        <v>1.937984496124031E-3</v>
      </c>
      <c r="AM19" s="326">
        <f t="shared" si="5"/>
        <v>1</v>
      </c>
      <c r="AN19" s="403">
        <f t="shared" si="6"/>
        <v>-2.0295202952029519E-2</v>
      </c>
      <c r="AO19" s="326">
        <f t="shared" si="7"/>
        <v>-11</v>
      </c>
    </row>
    <row r="20" spans="1:41">
      <c r="A20" s="316" t="s">
        <v>31</v>
      </c>
      <c r="B20" s="327">
        <v>1155</v>
      </c>
      <c r="C20" s="328">
        <v>698</v>
      </c>
      <c r="D20" s="328">
        <v>733</v>
      </c>
      <c r="E20" s="328">
        <v>833</v>
      </c>
      <c r="F20" s="328">
        <v>530</v>
      </c>
      <c r="G20" s="328">
        <v>522</v>
      </c>
      <c r="H20" s="328">
        <v>497</v>
      </c>
      <c r="I20" s="328">
        <v>493</v>
      </c>
      <c r="J20" s="289">
        <f>'Glasgow City'!F245</f>
        <v>571</v>
      </c>
      <c r="K20" s="289">
        <f>'Glasgow City'!H245</f>
        <v>571</v>
      </c>
      <c r="L20" s="327">
        <v>3920</v>
      </c>
      <c r="M20" s="328">
        <v>3852</v>
      </c>
      <c r="N20" s="328">
        <v>3844</v>
      </c>
      <c r="O20" s="328">
        <v>3391</v>
      </c>
      <c r="P20" s="328">
        <v>3491</v>
      </c>
      <c r="Q20" s="328">
        <v>3310</v>
      </c>
      <c r="R20" s="328">
        <v>2833</v>
      </c>
      <c r="S20" s="328">
        <v>2758</v>
      </c>
      <c r="T20" s="289">
        <f>'Glasgow City'!F246</f>
        <v>2697</v>
      </c>
      <c r="U20" s="374">
        <f>'Glasgow City'!H246</f>
        <v>2783</v>
      </c>
      <c r="V20" s="328">
        <v>5075</v>
      </c>
      <c r="W20" s="328">
        <v>4550</v>
      </c>
      <c r="X20" s="328">
        <v>4577</v>
      </c>
      <c r="Y20" s="328">
        <v>4224</v>
      </c>
      <c r="Z20" s="328">
        <v>4021</v>
      </c>
      <c r="AA20" s="328">
        <v>3832</v>
      </c>
      <c r="AB20" s="328">
        <v>3330</v>
      </c>
      <c r="AC20" s="328">
        <v>3251</v>
      </c>
      <c r="AD20" s="289">
        <f>'Glasgow City'!F247</f>
        <v>3268</v>
      </c>
      <c r="AE20" s="289">
        <f>'Glasgow City'!H247</f>
        <v>3354</v>
      </c>
      <c r="AG20" s="403">
        <f t="shared" si="0"/>
        <v>0.1488933601609658</v>
      </c>
      <c r="AH20" s="326">
        <f t="shared" si="1"/>
        <v>74</v>
      </c>
      <c r="AI20" s="336">
        <f t="shared" si="2"/>
        <v>0.15821501014198783</v>
      </c>
      <c r="AJ20" s="326">
        <f t="shared" si="3"/>
        <v>78</v>
      </c>
      <c r="AL20" s="403">
        <f t="shared" si="4"/>
        <v>-4.800564772326156E-2</v>
      </c>
      <c r="AM20" s="326">
        <f t="shared" si="5"/>
        <v>-136</v>
      </c>
      <c r="AN20" s="403">
        <f t="shared" si="6"/>
        <v>9.0645395213923129E-3</v>
      </c>
      <c r="AO20" s="326">
        <f t="shared" si="7"/>
        <v>25</v>
      </c>
    </row>
    <row r="21" spans="1:41">
      <c r="A21" s="316" t="s">
        <v>32</v>
      </c>
      <c r="B21" s="327">
        <v>554</v>
      </c>
      <c r="C21" s="328">
        <v>544</v>
      </c>
      <c r="D21" s="328">
        <v>522</v>
      </c>
      <c r="E21" s="328">
        <v>492</v>
      </c>
      <c r="F21" s="328">
        <v>0</v>
      </c>
      <c r="G21" s="328">
        <v>0</v>
      </c>
      <c r="H21" s="328">
        <v>0</v>
      </c>
      <c r="I21" s="328">
        <v>0</v>
      </c>
      <c r="J21" s="289">
        <f>Highland!F245</f>
        <v>0</v>
      </c>
      <c r="K21" s="289">
        <f>Highland!H245</f>
        <v>0</v>
      </c>
      <c r="L21" s="327">
        <v>79</v>
      </c>
      <c r="M21" s="328">
        <v>77</v>
      </c>
      <c r="N21" s="328">
        <v>74</v>
      </c>
      <c r="O21" s="328">
        <v>70</v>
      </c>
      <c r="P21" s="328">
        <v>479</v>
      </c>
      <c r="Q21" s="328">
        <v>458</v>
      </c>
      <c r="R21" s="328">
        <v>331</v>
      </c>
      <c r="S21" s="328">
        <v>337</v>
      </c>
      <c r="T21" s="289">
        <f>Highland!F246</f>
        <v>13</v>
      </c>
      <c r="U21" s="374">
        <f>Highland!H246</f>
        <v>13</v>
      </c>
      <c r="V21" s="328">
        <v>633</v>
      </c>
      <c r="W21" s="328">
        <v>621</v>
      </c>
      <c r="X21" s="328">
        <v>596</v>
      </c>
      <c r="Y21" s="328">
        <v>562</v>
      </c>
      <c r="Z21" s="328">
        <v>479</v>
      </c>
      <c r="AA21" s="328">
        <v>458</v>
      </c>
      <c r="AB21" s="328">
        <v>331</v>
      </c>
      <c r="AC21" s="328">
        <v>337</v>
      </c>
      <c r="AD21" s="289">
        <f>Highland!F247</f>
        <v>13</v>
      </c>
      <c r="AE21" s="289">
        <f>Highland!H247</f>
        <v>13</v>
      </c>
      <c r="AG21" s="403" t="e">
        <f t="shared" si="0"/>
        <v>#DIV/0!</v>
      </c>
      <c r="AH21" s="326">
        <f t="shared" si="1"/>
        <v>0</v>
      </c>
      <c r="AI21" s="336" t="e">
        <f t="shared" si="2"/>
        <v>#DIV/0!</v>
      </c>
      <c r="AJ21" s="326">
        <f t="shared" si="3"/>
        <v>0</v>
      </c>
      <c r="AL21" s="403">
        <f t="shared" si="4"/>
        <v>-0.9607250755287009</v>
      </c>
      <c r="AM21" s="326">
        <f t="shared" si="5"/>
        <v>-318</v>
      </c>
      <c r="AN21" s="403">
        <f t="shared" si="6"/>
        <v>-0.96142433234421365</v>
      </c>
      <c r="AO21" s="326">
        <f t="shared" si="7"/>
        <v>-324</v>
      </c>
    </row>
    <row r="22" spans="1:41">
      <c r="A22" s="316" t="s">
        <v>33</v>
      </c>
      <c r="B22" s="327"/>
      <c r="C22" s="328"/>
      <c r="D22" s="328"/>
      <c r="E22" s="328"/>
      <c r="F22" s="328">
        <v>0</v>
      </c>
      <c r="G22" s="328">
        <v>0</v>
      </c>
      <c r="H22" s="328">
        <v>0</v>
      </c>
      <c r="I22" s="328">
        <v>0</v>
      </c>
      <c r="J22" s="289">
        <f>Inverclyde!F245</f>
        <v>0</v>
      </c>
      <c r="K22" s="289">
        <f>Inverclyde!H245</f>
        <v>0</v>
      </c>
      <c r="L22" s="327">
        <v>74</v>
      </c>
      <c r="M22" s="328">
        <v>74</v>
      </c>
      <c r="N22" s="328">
        <v>74</v>
      </c>
      <c r="O22" s="328">
        <v>74</v>
      </c>
      <c r="P22" s="328">
        <v>65</v>
      </c>
      <c r="Q22" s="328">
        <v>65</v>
      </c>
      <c r="R22" s="328">
        <v>119</v>
      </c>
      <c r="S22" s="328">
        <v>119</v>
      </c>
      <c r="T22" s="289">
        <f>Inverclyde!F246</f>
        <v>69</v>
      </c>
      <c r="U22" s="374">
        <f>Inverclyde!H246</f>
        <v>29</v>
      </c>
      <c r="V22" s="328">
        <v>74</v>
      </c>
      <c r="W22" s="328">
        <v>74</v>
      </c>
      <c r="X22" s="328">
        <v>74</v>
      </c>
      <c r="Y22" s="328">
        <v>74</v>
      </c>
      <c r="Z22" s="328">
        <v>65</v>
      </c>
      <c r="AA22" s="328">
        <v>65</v>
      </c>
      <c r="AB22" s="328">
        <v>119</v>
      </c>
      <c r="AC22" s="328">
        <v>119</v>
      </c>
      <c r="AD22" s="289">
        <f>Inverclyde!F247</f>
        <v>69</v>
      </c>
      <c r="AE22" s="289">
        <f>Inverclyde!H247</f>
        <v>29</v>
      </c>
      <c r="AG22" s="403" t="e">
        <f t="shared" si="0"/>
        <v>#DIV/0!</v>
      </c>
      <c r="AH22" s="326">
        <f t="shared" si="1"/>
        <v>0</v>
      </c>
      <c r="AI22" s="336" t="e">
        <f t="shared" si="2"/>
        <v>#DIV/0!</v>
      </c>
      <c r="AJ22" s="326">
        <f t="shared" si="3"/>
        <v>0</v>
      </c>
      <c r="AL22" s="403">
        <f t="shared" si="4"/>
        <v>-0.42016806722689076</v>
      </c>
      <c r="AM22" s="326">
        <f t="shared" si="5"/>
        <v>-50</v>
      </c>
      <c r="AN22" s="403">
        <f t="shared" si="6"/>
        <v>-0.75630252100840334</v>
      </c>
      <c r="AO22" s="326">
        <f t="shared" si="7"/>
        <v>-90</v>
      </c>
    </row>
    <row r="23" spans="1:41">
      <c r="A23" s="316" t="s">
        <v>34</v>
      </c>
      <c r="B23" s="327">
        <v>0</v>
      </c>
      <c r="C23" s="328">
        <v>0</v>
      </c>
      <c r="D23" s="328">
        <v>0</v>
      </c>
      <c r="E23" s="328">
        <v>0</v>
      </c>
      <c r="F23" s="328">
        <v>0</v>
      </c>
      <c r="G23" s="328">
        <v>0</v>
      </c>
      <c r="H23" s="328">
        <v>0</v>
      </c>
      <c r="I23" s="328">
        <v>0</v>
      </c>
      <c r="J23" s="289">
        <f>Midlothian!F245</f>
        <v>0</v>
      </c>
      <c r="K23" s="289">
        <f>Midlothian!H245</f>
        <v>0</v>
      </c>
      <c r="L23" s="327">
        <v>247</v>
      </c>
      <c r="M23" s="328">
        <v>211</v>
      </c>
      <c r="N23" s="328">
        <v>247</v>
      </c>
      <c r="O23" s="328">
        <v>219</v>
      </c>
      <c r="P23" s="328">
        <v>250</v>
      </c>
      <c r="Q23" s="328">
        <v>203</v>
      </c>
      <c r="R23" s="328">
        <v>236</v>
      </c>
      <c r="S23" s="328">
        <v>212</v>
      </c>
      <c r="T23" s="289">
        <f>Midlothian!F246</f>
        <v>255</v>
      </c>
      <c r="U23" s="374">
        <f>Midlothian!H246</f>
        <v>245</v>
      </c>
      <c r="V23" s="328">
        <v>247</v>
      </c>
      <c r="W23" s="328">
        <v>211</v>
      </c>
      <c r="X23" s="328">
        <v>247</v>
      </c>
      <c r="Y23" s="328">
        <v>219</v>
      </c>
      <c r="Z23" s="328">
        <v>250</v>
      </c>
      <c r="AA23" s="328">
        <v>203</v>
      </c>
      <c r="AB23" s="328">
        <v>236</v>
      </c>
      <c r="AC23" s="328">
        <v>212</v>
      </c>
      <c r="AD23" s="289">
        <f>Midlothian!F247</f>
        <v>255</v>
      </c>
      <c r="AE23" s="289">
        <f>Midlothian!H247</f>
        <v>245</v>
      </c>
      <c r="AG23" s="403" t="e">
        <f t="shared" si="0"/>
        <v>#DIV/0!</v>
      </c>
      <c r="AH23" s="326">
        <f t="shared" si="1"/>
        <v>0</v>
      </c>
      <c r="AI23" s="336" t="e">
        <f t="shared" si="2"/>
        <v>#DIV/0!</v>
      </c>
      <c r="AJ23" s="326">
        <f t="shared" si="3"/>
        <v>0</v>
      </c>
      <c r="AL23" s="403">
        <f t="shared" si="4"/>
        <v>8.050847457627118E-2</v>
      </c>
      <c r="AM23" s="326">
        <f t="shared" si="5"/>
        <v>19</v>
      </c>
      <c r="AN23" s="403">
        <f t="shared" si="6"/>
        <v>0.15566037735849056</v>
      </c>
      <c r="AO23" s="326">
        <f t="shared" si="7"/>
        <v>33</v>
      </c>
    </row>
    <row r="24" spans="1:41">
      <c r="A24" s="316" t="s">
        <v>35</v>
      </c>
      <c r="B24" s="327">
        <v>0</v>
      </c>
      <c r="C24" s="328">
        <v>0</v>
      </c>
      <c r="D24" s="328">
        <v>0</v>
      </c>
      <c r="E24" s="328">
        <v>0</v>
      </c>
      <c r="F24" s="328">
        <v>0</v>
      </c>
      <c r="G24" s="328">
        <v>0</v>
      </c>
      <c r="H24" s="328">
        <v>0</v>
      </c>
      <c r="I24" s="328">
        <v>0</v>
      </c>
      <c r="J24" s="289">
        <f>Moray!F245</f>
        <v>0</v>
      </c>
      <c r="K24" s="289">
        <f>Moray!H245</f>
        <v>0</v>
      </c>
      <c r="L24" s="327">
        <v>8</v>
      </c>
      <c r="M24" s="328">
        <v>33</v>
      </c>
      <c r="N24" s="328">
        <v>32</v>
      </c>
      <c r="O24" s="328">
        <v>33</v>
      </c>
      <c r="P24" s="328">
        <v>0</v>
      </c>
      <c r="Q24" s="328">
        <v>0</v>
      </c>
      <c r="R24" s="328">
        <v>0</v>
      </c>
      <c r="S24" s="328">
        <v>0</v>
      </c>
      <c r="T24" s="289">
        <f>Moray!F246</f>
        <v>15</v>
      </c>
      <c r="U24" s="374">
        <f>Moray!H246</f>
        <v>15</v>
      </c>
      <c r="V24" s="328">
        <v>8</v>
      </c>
      <c r="W24" s="328">
        <v>33</v>
      </c>
      <c r="X24" s="328">
        <v>32</v>
      </c>
      <c r="Y24" s="328">
        <v>33</v>
      </c>
      <c r="Z24" s="328">
        <v>0</v>
      </c>
      <c r="AA24" s="328">
        <v>0</v>
      </c>
      <c r="AB24" s="328">
        <v>0</v>
      </c>
      <c r="AC24" s="328">
        <v>0</v>
      </c>
      <c r="AD24" s="289">
        <f>Moray!F247</f>
        <v>15</v>
      </c>
      <c r="AE24" s="289">
        <f>Moray!H247</f>
        <v>15</v>
      </c>
      <c r="AG24" s="403" t="e">
        <f t="shared" si="0"/>
        <v>#DIV/0!</v>
      </c>
      <c r="AH24" s="326">
        <f t="shared" si="1"/>
        <v>0</v>
      </c>
      <c r="AI24" s="336" t="e">
        <f t="shared" si="2"/>
        <v>#DIV/0!</v>
      </c>
      <c r="AJ24" s="326">
        <f t="shared" si="3"/>
        <v>0</v>
      </c>
      <c r="AL24" s="403" t="e">
        <f t="shared" si="4"/>
        <v>#DIV/0!</v>
      </c>
      <c r="AM24" s="326">
        <f t="shared" si="5"/>
        <v>15</v>
      </c>
      <c r="AN24" s="403" t="e">
        <f t="shared" si="6"/>
        <v>#DIV/0!</v>
      </c>
      <c r="AO24" s="326">
        <f t="shared" si="7"/>
        <v>15</v>
      </c>
    </row>
    <row r="25" spans="1:41">
      <c r="A25" s="316" t="s">
        <v>36</v>
      </c>
      <c r="B25" s="327">
        <v>161</v>
      </c>
      <c r="C25" s="328">
        <v>8</v>
      </c>
      <c r="D25" s="328">
        <v>8</v>
      </c>
      <c r="E25" s="328">
        <v>0</v>
      </c>
      <c r="F25" s="328">
        <v>0</v>
      </c>
      <c r="G25" s="328">
        <v>0</v>
      </c>
      <c r="H25" s="328">
        <v>0</v>
      </c>
      <c r="I25" s="328">
        <v>0</v>
      </c>
      <c r="J25" s="289">
        <f>'North Ayrshire'!F245</f>
        <v>0</v>
      </c>
      <c r="K25" s="289">
        <f>'North Ayrshire'!H245</f>
        <v>0</v>
      </c>
      <c r="L25" s="327">
        <v>310</v>
      </c>
      <c r="M25" s="328">
        <v>314</v>
      </c>
      <c r="N25" s="328">
        <v>339</v>
      </c>
      <c r="O25" s="328">
        <v>336</v>
      </c>
      <c r="P25" s="328">
        <v>495</v>
      </c>
      <c r="Q25" s="328">
        <v>692.87186782158062</v>
      </c>
      <c r="R25" s="328">
        <v>787</v>
      </c>
      <c r="S25" s="328">
        <v>378</v>
      </c>
      <c r="T25" s="289">
        <f>'North Ayrshire'!F246</f>
        <v>361</v>
      </c>
      <c r="U25" s="374">
        <f>'North Ayrshire'!H246</f>
        <v>391</v>
      </c>
      <c r="V25" s="328">
        <v>471</v>
      </c>
      <c r="W25" s="328">
        <v>322</v>
      </c>
      <c r="X25" s="328">
        <v>347</v>
      </c>
      <c r="Y25" s="328">
        <v>336</v>
      </c>
      <c r="Z25" s="328">
        <v>495</v>
      </c>
      <c r="AA25" s="328">
        <v>692.87186782158062</v>
      </c>
      <c r="AB25" s="328">
        <v>787</v>
      </c>
      <c r="AC25" s="328">
        <v>378</v>
      </c>
      <c r="AD25" s="289">
        <f>'North Ayrshire'!F247</f>
        <v>361</v>
      </c>
      <c r="AE25" s="289">
        <f>'North Ayrshire'!H247</f>
        <v>391</v>
      </c>
      <c r="AG25" s="403" t="e">
        <f t="shared" si="0"/>
        <v>#DIV/0!</v>
      </c>
      <c r="AH25" s="326">
        <f t="shared" si="1"/>
        <v>0</v>
      </c>
      <c r="AI25" s="336" t="e">
        <f t="shared" si="2"/>
        <v>#DIV/0!</v>
      </c>
      <c r="AJ25" s="326">
        <f t="shared" si="3"/>
        <v>0</v>
      </c>
      <c r="AL25" s="403">
        <f t="shared" si="4"/>
        <v>-0.5412960609911055</v>
      </c>
      <c r="AM25" s="326">
        <f t="shared" si="5"/>
        <v>-426</v>
      </c>
      <c r="AN25" s="403">
        <f t="shared" si="6"/>
        <v>3.439153439153439E-2</v>
      </c>
      <c r="AO25" s="326">
        <f t="shared" si="7"/>
        <v>13</v>
      </c>
    </row>
    <row r="26" spans="1:41">
      <c r="A26" s="316" t="s">
        <v>37</v>
      </c>
      <c r="B26" s="327">
        <v>0</v>
      </c>
      <c r="C26" s="328">
        <v>0</v>
      </c>
      <c r="D26" s="328"/>
      <c r="E26" s="328"/>
      <c r="F26" s="328">
        <v>0</v>
      </c>
      <c r="G26" s="328">
        <v>0</v>
      </c>
      <c r="H26" s="328">
        <v>0</v>
      </c>
      <c r="I26" s="328">
        <v>0</v>
      </c>
      <c r="J26" s="289">
        <f>'North Lanarkshire'!F245</f>
        <v>0</v>
      </c>
      <c r="K26" s="289">
        <f>'North Lanarkshire'!H245</f>
        <v>0</v>
      </c>
      <c r="L26" s="327">
        <v>50</v>
      </c>
      <c r="M26" s="328">
        <v>50</v>
      </c>
      <c r="N26" s="328">
        <v>100</v>
      </c>
      <c r="O26" s="328">
        <v>100</v>
      </c>
      <c r="P26" s="328">
        <v>102.03829995699115</v>
      </c>
      <c r="Q26" s="328">
        <v>100.84333739512589</v>
      </c>
      <c r="R26" s="328">
        <v>30</v>
      </c>
      <c r="S26" s="328">
        <v>30</v>
      </c>
      <c r="T26" s="289">
        <f>'North Lanarkshire'!F246</f>
        <v>74</v>
      </c>
      <c r="U26" s="374">
        <f>'North Lanarkshire'!H246</f>
        <v>31</v>
      </c>
      <c r="V26" s="328">
        <v>50</v>
      </c>
      <c r="W26" s="328">
        <v>50</v>
      </c>
      <c r="X26" s="328">
        <v>100</v>
      </c>
      <c r="Y26" s="328">
        <v>100</v>
      </c>
      <c r="Z26" s="328">
        <v>102.03829995699115</v>
      </c>
      <c r="AA26" s="328">
        <v>100.84333739512589</v>
      </c>
      <c r="AB26" s="328">
        <v>30</v>
      </c>
      <c r="AC26" s="328">
        <v>30</v>
      </c>
      <c r="AD26" s="289">
        <f>'North Lanarkshire'!F247</f>
        <v>74</v>
      </c>
      <c r="AE26" s="289">
        <f>'North Lanarkshire'!H247</f>
        <v>31</v>
      </c>
      <c r="AG26" s="403" t="e">
        <f t="shared" si="0"/>
        <v>#DIV/0!</v>
      </c>
      <c r="AH26" s="326">
        <f t="shared" si="1"/>
        <v>0</v>
      </c>
      <c r="AI26" s="336" t="e">
        <f t="shared" si="2"/>
        <v>#DIV/0!</v>
      </c>
      <c r="AJ26" s="326">
        <f t="shared" si="3"/>
        <v>0</v>
      </c>
      <c r="AL26" s="403">
        <f t="shared" si="4"/>
        <v>1.4666666666666666</v>
      </c>
      <c r="AM26" s="326">
        <f t="shared" si="5"/>
        <v>44</v>
      </c>
      <c r="AN26" s="403">
        <f t="shared" si="6"/>
        <v>3.3333333333333333E-2</v>
      </c>
      <c r="AO26" s="326">
        <f t="shared" si="7"/>
        <v>1</v>
      </c>
    </row>
    <row r="27" spans="1:41">
      <c r="A27" s="316" t="s">
        <v>38</v>
      </c>
      <c r="B27" s="327">
        <v>0</v>
      </c>
      <c r="C27" s="328">
        <v>0</v>
      </c>
      <c r="D27" s="328">
        <v>0</v>
      </c>
      <c r="E27" s="328">
        <v>0</v>
      </c>
      <c r="F27" s="328">
        <v>0</v>
      </c>
      <c r="G27" s="328">
        <v>0</v>
      </c>
      <c r="H27" s="328">
        <v>0</v>
      </c>
      <c r="I27" s="328">
        <v>0</v>
      </c>
      <c r="J27" s="289">
        <f>'Orkney Islands'!F245</f>
        <v>0</v>
      </c>
      <c r="K27" s="289">
        <f>'Orkney Islands'!H245</f>
        <v>0</v>
      </c>
      <c r="L27" s="327">
        <v>175</v>
      </c>
      <c r="M27" s="328">
        <v>142</v>
      </c>
      <c r="N27" s="328">
        <v>136</v>
      </c>
      <c r="O27" s="328">
        <v>148</v>
      </c>
      <c r="P27" s="328">
        <v>150</v>
      </c>
      <c r="Q27" s="328">
        <v>113</v>
      </c>
      <c r="R27" s="328">
        <v>124</v>
      </c>
      <c r="S27" s="328">
        <v>110</v>
      </c>
      <c r="T27" s="289">
        <f>'Orkney Islands'!F246</f>
        <v>117</v>
      </c>
      <c r="U27" s="374">
        <f>'Orkney Islands'!H246</f>
        <v>130</v>
      </c>
      <c r="V27" s="328">
        <v>175</v>
      </c>
      <c r="W27" s="328">
        <v>142</v>
      </c>
      <c r="X27" s="328">
        <v>136</v>
      </c>
      <c r="Y27" s="328">
        <v>148</v>
      </c>
      <c r="Z27" s="328">
        <v>150</v>
      </c>
      <c r="AA27" s="328">
        <v>113</v>
      </c>
      <c r="AB27" s="328">
        <v>124</v>
      </c>
      <c r="AC27" s="328">
        <v>110</v>
      </c>
      <c r="AD27" s="289">
        <f>'Orkney Islands'!F247</f>
        <v>117</v>
      </c>
      <c r="AE27" s="289">
        <f>'Orkney Islands'!H247</f>
        <v>130</v>
      </c>
      <c r="AG27" s="403" t="e">
        <f t="shared" si="0"/>
        <v>#DIV/0!</v>
      </c>
      <c r="AH27" s="326">
        <f t="shared" si="1"/>
        <v>0</v>
      </c>
      <c r="AI27" s="336" t="e">
        <f t="shared" si="2"/>
        <v>#DIV/0!</v>
      </c>
      <c r="AJ27" s="326">
        <f t="shared" si="3"/>
        <v>0</v>
      </c>
      <c r="AL27" s="403">
        <f t="shared" si="4"/>
        <v>-5.6451612903225805E-2</v>
      </c>
      <c r="AM27" s="326">
        <f t="shared" si="5"/>
        <v>-7</v>
      </c>
      <c r="AN27" s="403">
        <f t="shared" si="6"/>
        <v>0.18181818181818182</v>
      </c>
      <c r="AO27" s="326">
        <f t="shared" si="7"/>
        <v>20</v>
      </c>
    </row>
    <row r="28" spans="1:41">
      <c r="A28" s="316" t="s">
        <v>39</v>
      </c>
      <c r="B28" s="327">
        <v>0</v>
      </c>
      <c r="C28" s="328">
        <v>0</v>
      </c>
      <c r="D28" s="328">
        <v>0</v>
      </c>
      <c r="E28" s="328">
        <v>0</v>
      </c>
      <c r="F28" s="328">
        <v>0</v>
      </c>
      <c r="G28" s="328">
        <v>0</v>
      </c>
      <c r="H28" s="328">
        <v>0</v>
      </c>
      <c r="I28" s="328">
        <v>0</v>
      </c>
      <c r="J28" s="289">
        <f>'Perth &amp; Kinross'!F245</f>
        <v>0</v>
      </c>
      <c r="K28" s="289">
        <f>'Perth &amp; Kinross'!H245</f>
        <v>0</v>
      </c>
      <c r="L28" s="327">
        <v>-76</v>
      </c>
      <c r="M28" s="328">
        <v>-85</v>
      </c>
      <c r="N28" s="328">
        <v>-77</v>
      </c>
      <c r="O28" s="328">
        <v>0</v>
      </c>
      <c r="P28" s="328">
        <v>0</v>
      </c>
      <c r="Q28" s="328">
        <v>0</v>
      </c>
      <c r="R28" s="328">
        <v>0</v>
      </c>
      <c r="S28" s="328">
        <v>0</v>
      </c>
      <c r="T28" s="289">
        <f>'Perth &amp; Kinross'!F246</f>
        <v>0</v>
      </c>
      <c r="U28" s="374">
        <f>'Perth &amp; Kinross'!H246</f>
        <v>0</v>
      </c>
      <c r="V28" s="328">
        <v>-76</v>
      </c>
      <c r="W28" s="328">
        <v>-85</v>
      </c>
      <c r="X28" s="328">
        <v>-77</v>
      </c>
      <c r="Y28" s="328">
        <v>0</v>
      </c>
      <c r="Z28" s="328">
        <v>0</v>
      </c>
      <c r="AA28" s="328">
        <v>0</v>
      </c>
      <c r="AB28" s="328">
        <v>0</v>
      </c>
      <c r="AC28" s="328">
        <v>0</v>
      </c>
      <c r="AD28" s="289">
        <f>'Perth &amp; Kinross'!F247</f>
        <v>0</v>
      </c>
      <c r="AE28" s="289">
        <f>'Perth &amp; Kinross'!H247</f>
        <v>0</v>
      </c>
      <c r="AG28" s="403" t="e">
        <f t="shared" si="0"/>
        <v>#DIV/0!</v>
      </c>
      <c r="AH28" s="326">
        <f t="shared" si="1"/>
        <v>0</v>
      </c>
      <c r="AI28" s="336" t="e">
        <f t="shared" si="2"/>
        <v>#DIV/0!</v>
      </c>
      <c r="AJ28" s="326">
        <f t="shared" si="3"/>
        <v>0</v>
      </c>
      <c r="AL28" s="403" t="e">
        <f t="shared" si="4"/>
        <v>#DIV/0!</v>
      </c>
      <c r="AM28" s="326">
        <f t="shared" si="5"/>
        <v>0</v>
      </c>
      <c r="AN28" s="403" t="e">
        <f t="shared" si="6"/>
        <v>#DIV/0!</v>
      </c>
      <c r="AO28" s="326">
        <f t="shared" si="7"/>
        <v>0</v>
      </c>
    </row>
    <row r="29" spans="1:41">
      <c r="A29" s="316" t="s">
        <v>40</v>
      </c>
      <c r="B29" s="327"/>
      <c r="C29" s="328"/>
      <c r="D29" s="328"/>
      <c r="E29" s="328"/>
      <c r="F29" s="328">
        <v>607</v>
      </c>
      <c r="G29" s="328">
        <v>3432</v>
      </c>
      <c r="H29" s="328">
        <v>2802</v>
      </c>
      <c r="I29" s="328">
        <v>3479</v>
      </c>
      <c r="J29" s="289">
        <f>Renfrewshire!F245</f>
        <v>1540</v>
      </c>
      <c r="K29" s="289">
        <f>Renfrewshire!H245</f>
        <v>1632</v>
      </c>
      <c r="L29" s="327">
        <v>1240</v>
      </c>
      <c r="M29" s="328">
        <v>887</v>
      </c>
      <c r="N29" s="328">
        <v>1514</v>
      </c>
      <c r="O29" s="328">
        <v>857</v>
      </c>
      <c r="P29" s="328">
        <v>1920</v>
      </c>
      <c r="Q29" s="328">
        <v>184</v>
      </c>
      <c r="R29" s="328">
        <v>141</v>
      </c>
      <c r="S29" s="328">
        <v>187</v>
      </c>
      <c r="T29" s="289">
        <f>Renfrewshire!F246</f>
        <v>28</v>
      </c>
      <c r="U29" s="374">
        <f>Renfrewshire!H246</f>
        <v>214</v>
      </c>
      <c r="V29" s="328">
        <v>1240</v>
      </c>
      <c r="W29" s="328">
        <v>887</v>
      </c>
      <c r="X29" s="328">
        <v>1514</v>
      </c>
      <c r="Y29" s="328">
        <v>857</v>
      </c>
      <c r="Z29" s="328">
        <v>2527</v>
      </c>
      <c r="AA29" s="328">
        <v>3616</v>
      </c>
      <c r="AB29" s="328">
        <v>2943</v>
      </c>
      <c r="AC29" s="328">
        <v>3666</v>
      </c>
      <c r="AD29" s="289">
        <f>Renfrewshire!F247</f>
        <v>1568</v>
      </c>
      <c r="AE29" s="289">
        <f>Renfrewshire!H247</f>
        <v>1846</v>
      </c>
      <c r="AG29" s="403">
        <f t="shared" si="0"/>
        <v>-0.45039257673090649</v>
      </c>
      <c r="AH29" s="326">
        <f t="shared" si="1"/>
        <v>-1262</v>
      </c>
      <c r="AI29" s="336">
        <f t="shared" si="2"/>
        <v>-0.53089968381718888</v>
      </c>
      <c r="AJ29" s="326">
        <f t="shared" si="3"/>
        <v>-1847</v>
      </c>
      <c r="AL29" s="403">
        <f t="shared" si="4"/>
        <v>-0.8014184397163121</v>
      </c>
      <c r="AM29" s="326">
        <f t="shared" si="5"/>
        <v>-113</v>
      </c>
      <c r="AN29" s="403">
        <f t="shared" si="6"/>
        <v>0.14438502673796791</v>
      </c>
      <c r="AO29" s="326">
        <f t="shared" si="7"/>
        <v>27</v>
      </c>
    </row>
    <row r="30" spans="1:41">
      <c r="A30" s="316" t="s">
        <v>41</v>
      </c>
      <c r="B30" s="327">
        <v>117</v>
      </c>
      <c r="C30" s="328">
        <v>113</v>
      </c>
      <c r="D30" s="328">
        <v>117</v>
      </c>
      <c r="E30" s="328">
        <v>110</v>
      </c>
      <c r="F30" s="328">
        <v>100</v>
      </c>
      <c r="G30" s="328">
        <v>100</v>
      </c>
      <c r="H30" s="328">
        <v>1</v>
      </c>
      <c r="I30" s="328">
        <v>2</v>
      </c>
      <c r="J30" s="289">
        <f>'Scottish Borders'!F245</f>
        <v>0</v>
      </c>
      <c r="K30" s="289">
        <f>'Scottish Borders'!H245</f>
        <v>0</v>
      </c>
      <c r="L30" s="327">
        <v>259</v>
      </c>
      <c r="M30" s="328">
        <v>252</v>
      </c>
      <c r="N30" s="328">
        <v>174</v>
      </c>
      <c r="O30" s="328">
        <v>160</v>
      </c>
      <c r="P30" s="328">
        <v>173</v>
      </c>
      <c r="Q30" s="328">
        <v>241</v>
      </c>
      <c r="R30" s="328">
        <v>215</v>
      </c>
      <c r="S30" s="328">
        <v>169</v>
      </c>
      <c r="T30" s="289">
        <f>'Scottish Borders'!F246</f>
        <v>318</v>
      </c>
      <c r="U30" s="374">
        <f>'Scottish Borders'!H246</f>
        <v>379</v>
      </c>
      <c r="V30" s="328">
        <v>376</v>
      </c>
      <c r="W30" s="328">
        <v>365</v>
      </c>
      <c r="X30" s="328">
        <v>291</v>
      </c>
      <c r="Y30" s="328">
        <v>270</v>
      </c>
      <c r="Z30" s="328">
        <v>273</v>
      </c>
      <c r="AA30" s="328">
        <v>341</v>
      </c>
      <c r="AB30" s="328">
        <v>216</v>
      </c>
      <c r="AC30" s="328">
        <v>171</v>
      </c>
      <c r="AD30" s="289">
        <f>'Scottish Borders'!F247</f>
        <v>318</v>
      </c>
      <c r="AE30" s="289">
        <f>'Scottish Borders'!H247</f>
        <v>379</v>
      </c>
      <c r="AG30" s="403">
        <f t="shared" si="0"/>
        <v>-1</v>
      </c>
      <c r="AH30" s="326">
        <f t="shared" si="1"/>
        <v>-1</v>
      </c>
      <c r="AI30" s="336">
        <f t="shared" si="2"/>
        <v>-1</v>
      </c>
      <c r="AJ30" s="326">
        <f t="shared" si="3"/>
        <v>-2</v>
      </c>
      <c r="AL30" s="403">
        <f t="shared" si="4"/>
        <v>0.47906976744186047</v>
      </c>
      <c r="AM30" s="326">
        <f t="shared" si="5"/>
        <v>103</v>
      </c>
      <c r="AN30" s="403">
        <f t="shared" si="6"/>
        <v>1.2426035502958579</v>
      </c>
      <c r="AO30" s="326">
        <f t="shared" si="7"/>
        <v>210</v>
      </c>
    </row>
    <row r="31" spans="1:41">
      <c r="A31" s="316" t="s">
        <v>42</v>
      </c>
      <c r="B31" s="327">
        <v>419</v>
      </c>
      <c r="C31" s="328">
        <v>454</v>
      </c>
      <c r="D31" s="328">
        <v>405</v>
      </c>
      <c r="E31" s="328">
        <v>405</v>
      </c>
      <c r="F31" s="328">
        <v>405</v>
      </c>
      <c r="G31" s="328">
        <v>426</v>
      </c>
      <c r="H31" s="328">
        <v>390</v>
      </c>
      <c r="I31" s="328">
        <v>387</v>
      </c>
      <c r="J31" s="289">
        <f>'Shetland Islands'!F245</f>
        <v>401</v>
      </c>
      <c r="K31" s="289">
        <f>'Shetland Islands'!H245</f>
        <v>407</v>
      </c>
      <c r="L31" s="327">
        <v>19</v>
      </c>
      <c r="M31" s="328">
        <v>0</v>
      </c>
      <c r="N31" s="328">
        <v>0</v>
      </c>
      <c r="O31" s="328">
        <v>0</v>
      </c>
      <c r="P31" s="328">
        <v>0</v>
      </c>
      <c r="Q31" s="328">
        <v>0</v>
      </c>
      <c r="R31" s="328">
        <v>0</v>
      </c>
      <c r="S31" s="328">
        <v>0</v>
      </c>
      <c r="T31" s="289">
        <f>'Shetland Islands'!F246</f>
        <v>0</v>
      </c>
      <c r="U31" s="374">
        <f>'Shetland Islands'!H246</f>
        <v>0</v>
      </c>
      <c r="V31" s="328">
        <v>438</v>
      </c>
      <c r="W31" s="328">
        <v>454</v>
      </c>
      <c r="X31" s="328">
        <v>405</v>
      </c>
      <c r="Y31" s="328">
        <v>405</v>
      </c>
      <c r="Z31" s="328">
        <v>405</v>
      </c>
      <c r="AA31" s="328">
        <v>426</v>
      </c>
      <c r="AB31" s="328">
        <v>390</v>
      </c>
      <c r="AC31" s="328">
        <v>387</v>
      </c>
      <c r="AD31" s="289">
        <f>'Shetland Islands'!F247</f>
        <v>401</v>
      </c>
      <c r="AE31" s="289">
        <f>'Shetland Islands'!H247</f>
        <v>407</v>
      </c>
      <c r="AG31" s="403">
        <f t="shared" si="0"/>
        <v>2.8205128205128206E-2</v>
      </c>
      <c r="AH31" s="326">
        <f t="shared" si="1"/>
        <v>11</v>
      </c>
      <c r="AI31" s="336">
        <f t="shared" si="2"/>
        <v>5.1679586563307491E-2</v>
      </c>
      <c r="AJ31" s="326">
        <f t="shared" si="3"/>
        <v>20</v>
      </c>
      <c r="AL31" s="403" t="e">
        <f t="shared" si="4"/>
        <v>#DIV/0!</v>
      </c>
      <c r="AM31" s="326">
        <f t="shared" si="5"/>
        <v>0</v>
      </c>
      <c r="AN31" s="403" t="e">
        <f t="shared" si="6"/>
        <v>#DIV/0!</v>
      </c>
      <c r="AO31" s="326">
        <f t="shared" si="7"/>
        <v>0</v>
      </c>
    </row>
    <row r="32" spans="1:41">
      <c r="A32" s="316" t="s">
        <v>43</v>
      </c>
      <c r="B32" s="327">
        <v>119</v>
      </c>
      <c r="C32" s="328">
        <v>81</v>
      </c>
      <c r="D32" s="328">
        <v>85</v>
      </c>
      <c r="E32" s="328">
        <v>79</v>
      </c>
      <c r="F32" s="328">
        <v>140</v>
      </c>
      <c r="G32" s="328">
        <v>107</v>
      </c>
      <c r="H32" s="328">
        <v>140</v>
      </c>
      <c r="I32" s="328">
        <v>108</v>
      </c>
      <c r="J32" s="289">
        <f>'South Ayrshire'!F245</f>
        <v>102</v>
      </c>
      <c r="K32" s="289">
        <f>'South Ayrshire'!H245</f>
        <v>103</v>
      </c>
      <c r="L32" s="327">
        <v>1441</v>
      </c>
      <c r="M32" s="328">
        <v>887</v>
      </c>
      <c r="N32" s="328">
        <v>890</v>
      </c>
      <c r="O32" s="328">
        <v>713</v>
      </c>
      <c r="P32" s="328">
        <v>684</v>
      </c>
      <c r="Q32" s="328">
        <v>673</v>
      </c>
      <c r="R32" s="328">
        <v>757</v>
      </c>
      <c r="S32" s="328">
        <v>684</v>
      </c>
      <c r="T32" s="289">
        <f>'South Ayrshire'!F246</f>
        <v>854</v>
      </c>
      <c r="U32" s="374">
        <f>'South Ayrshire'!H246</f>
        <v>618</v>
      </c>
      <c r="V32" s="328">
        <v>1560</v>
      </c>
      <c r="W32" s="328">
        <v>968</v>
      </c>
      <c r="X32" s="328">
        <v>975</v>
      </c>
      <c r="Y32" s="328">
        <v>792</v>
      </c>
      <c r="Z32" s="328">
        <v>824</v>
      </c>
      <c r="AA32" s="328">
        <v>780</v>
      </c>
      <c r="AB32" s="328">
        <v>897</v>
      </c>
      <c r="AC32" s="328">
        <v>792</v>
      </c>
      <c r="AD32" s="289">
        <f>'South Ayrshire'!F247</f>
        <v>956</v>
      </c>
      <c r="AE32" s="289">
        <f>'South Ayrshire'!H247</f>
        <v>721</v>
      </c>
      <c r="AG32" s="403">
        <f t="shared" si="0"/>
        <v>-0.27142857142857141</v>
      </c>
      <c r="AH32" s="326">
        <f t="shared" si="1"/>
        <v>-38</v>
      </c>
      <c r="AI32" s="336">
        <f t="shared" si="2"/>
        <v>-4.6296296296296294E-2</v>
      </c>
      <c r="AJ32" s="326">
        <f t="shared" si="3"/>
        <v>-5</v>
      </c>
      <c r="AL32" s="403">
        <f t="shared" si="4"/>
        <v>0.12813738441215325</v>
      </c>
      <c r="AM32" s="326">
        <f t="shared" si="5"/>
        <v>97</v>
      </c>
      <c r="AN32" s="403">
        <f t="shared" si="6"/>
        <v>-9.6491228070175433E-2</v>
      </c>
      <c r="AO32" s="326">
        <f t="shared" si="7"/>
        <v>-66</v>
      </c>
    </row>
    <row r="33" spans="1:41">
      <c r="A33" s="316" t="s">
        <v>44</v>
      </c>
      <c r="B33" s="327">
        <v>0</v>
      </c>
      <c r="C33" s="328">
        <v>0</v>
      </c>
      <c r="D33" s="328">
        <v>0</v>
      </c>
      <c r="E33" s="328">
        <v>0</v>
      </c>
      <c r="F33" s="328">
        <v>0</v>
      </c>
      <c r="G33" s="328">
        <v>0</v>
      </c>
      <c r="H33" s="328">
        <v>0</v>
      </c>
      <c r="I33" s="328">
        <v>0</v>
      </c>
      <c r="J33" s="289">
        <f>'South Lanarkshire'!F245</f>
        <v>0</v>
      </c>
      <c r="K33" s="289">
        <f>'South Lanarkshire'!H245</f>
        <v>0</v>
      </c>
      <c r="L33" s="327">
        <v>1184</v>
      </c>
      <c r="M33" s="328">
        <v>1145</v>
      </c>
      <c r="N33" s="328">
        <v>1088</v>
      </c>
      <c r="O33" s="328">
        <v>1048</v>
      </c>
      <c r="P33" s="328">
        <v>980</v>
      </c>
      <c r="Q33" s="328">
        <v>1018</v>
      </c>
      <c r="R33" s="328">
        <v>972</v>
      </c>
      <c r="S33" s="328">
        <v>947</v>
      </c>
      <c r="T33" s="289">
        <f>'South Lanarkshire'!F246</f>
        <v>959</v>
      </c>
      <c r="U33" s="374">
        <f>'South Lanarkshire'!H246</f>
        <v>995</v>
      </c>
      <c r="V33" s="328">
        <v>1184</v>
      </c>
      <c r="W33" s="328">
        <v>1145</v>
      </c>
      <c r="X33" s="328">
        <v>1088</v>
      </c>
      <c r="Y33" s="328">
        <v>1048</v>
      </c>
      <c r="Z33" s="328">
        <v>980</v>
      </c>
      <c r="AA33" s="328">
        <v>1018</v>
      </c>
      <c r="AB33" s="328">
        <v>972</v>
      </c>
      <c r="AC33" s="328">
        <v>947</v>
      </c>
      <c r="AD33" s="289">
        <f>'South Lanarkshire'!F247</f>
        <v>959</v>
      </c>
      <c r="AE33" s="289">
        <f>'South Lanarkshire'!H247</f>
        <v>995</v>
      </c>
      <c r="AG33" s="403" t="e">
        <f t="shared" si="0"/>
        <v>#DIV/0!</v>
      </c>
      <c r="AH33" s="326">
        <f t="shared" si="1"/>
        <v>0</v>
      </c>
      <c r="AI33" s="336" t="e">
        <f t="shared" si="2"/>
        <v>#DIV/0!</v>
      </c>
      <c r="AJ33" s="326">
        <f t="shared" si="3"/>
        <v>0</v>
      </c>
      <c r="AL33" s="403">
        <f t="shared" si="4"/>
        <v>-1.3374485596707819E-2</v>
      </c>
      <c r="AM33" s="326">
        <f t="shared" si="5"/>
        <v>-13</v>
      </c>
      <c r="AN33" s="403">
        <f t="shared" si="6"/>
        <v>5.0686378035902854E-2</v>
      </c>
      <c r="AO33" s="326">
        <f t="shared" si="7"/>
        <v>48</v>
      </c>
    </row>
    <row r="34" spans="1:41">
      <c r="A34" s="316" t="s">
        <v>45</v>
      </c>
      <c r="B34" s="327">
        <v>640</v>
      </c>
      <c r="C34" s="328">
        <v>0</v>
      </c>
      <c r="D34" s="328">
        <v>0</v>
      </c>
      <c r="E34" s="328">
        <v>0</v>
      </c>
      <c r="F34" s="328">
        <v>0</v>
      </c>
      <c r="G34" s="328">
        <v>0</v>
      </c>
      <c r="H34" s="328">
        <v>0</v>
      </c>
      <c r="I34" s="328">
        <v>0</v>
      </c>
      <c r="J34" s="289">
        <f>Stirling!F245</f>
        <v>68</v>
      </c>
      <c r="K34" s="289">
        <f>Stirling!H245</f>
        <v>0</v>
      </c>
      <c r="L34" s="327">
        <v>483</v>
      </c>
      <c r="M34" s="328">
        <v>24</v>
      </c>
      <c r="N34" s="328">
        <v>3</v>
      </c>
      <c r="O34" s="328">
        <v>4</v>
      </c>
      <c r="P34" s="328">
        <v>1</v>
      </c>
      <c r="Q34" s="328">
        <v>1</v>
      </c>
      <c r="R34" s="328">
        <v>1</v>
      </c>
      <c r="S34" s="328">
        <v>1</v>
      </c>
      <c r="T34" s="289">
        <f>Stirling!F246</f>
        <v>1</v>
      </c>
      <c r="U34" s="374">
        <f>Stirling!H246</f>
        <v>1</v>
      </c>
      <c r="V34" s="328">
        <v>1123</v>
      </c>
      <c r="W34" s="328">
        <v>24</v>
      </c>
      <c r="X34" s="328">
        <v>3</v>
      </c>
      <c r="Y34" s="328">
        <v>4</v>
      </c>
      <c r="Z34" s="328">
        <v>1</v>
      </c>
      <c r="AA34" s="328">
        <v>1</v>
      </c>
      <c r="AB34" s="328">
        <v>1</v>
      </c>
      <c r="AC34" s="328">
        <v>1</v>
      </c>
      <c r="AD34" s="289">
        <f>Stirling!F247</f>
        <v>69</v>
      </c>
      <c r="AE34" s="289">
        <f>Stirling!H247</f>
        <v>1</v>
      </c>
      <c r="AG34" s="403" t="e">
        <f t="shared" si="0"/>
        <v>#DIV/0!</v>
      </c>
      <c r="AH34" s="326">
        <f t="shared" si="1"/>
        <v>68</v>
      </c>
      <c r="AI34" s="336" t="e">
        <f t="shared" si="2"/>
        <v>#DIV/0!</v>
      </c>
      <c r="AJ34" s="326">
        <f t="shared" si="3"/>
        <v>0</v>
      </c>
      <c r="AL34" s="403">
        <f t="shared" si="4"/>
        <v>0</v>
      </c>
      <c r="AM34" s="326">
        <f t="shared" si="5"/>
        <v>0</v>
      </c>
      <c r="AN34" s="403">
        <f t="shared" si="6"/>
        <v>0</v>
      </c>
      <c r="AO34" s="326">
        <f t="shared" si="7"/>
        <v>0</v>
      </c>
    </row>
    <row r="35" spans="1:41">
      <c r="A35" s="316" t="s">
        <v>46</v>
      </c>
      <c r="B35" s="327">
        <v>130</v>
      </c>
      <c r="C35" s="328">
        <v>120</v>
      </c>
      <c r="D35" s="328">
        <v>123</v>
      </c>
      <c r="E35" s="328">
        <v>120</v>
      </c>
      <c r="F35" s="328">
        <v>124</v>
      </c>
      <c r="G35" s="328">
        <v>123</v>
      </c>
      <c r="H35" s="328">
        <v>123</v>
      </c>
      <c r="I35" s="328">
        <v>123</v>
      </c>
      <c r="J35" s="289">
        <f>'West Dunbartonshire'!F245</f>
        <v>129</v>
      </c>
      <c r="K35" s="289">
        <f>'West Dunbartonshire'!H245</f>
        <v>132</v>
      </c>
      <c r="L35" s="327">
        <v>88</v>
      </c>
      <c r="M35" s="328">
        <v>78</v>
      </c>
      <c r="N35" s="328">
        <v>79</v>
      </c>
      <c r="O35" s="328">
        <v>34</v>
      </c>
      <c r="P35" s="328">
        <v>33</v>
      </c>
      <c r="Q35" s="328">
        <v>33</v>
      </c>
      <c r="R35" s="328">
        <v>33</v>
      </c>
      <c r="S35" s="328">
        <v>33</v>
      </c>
      <c r="T35" s="289">
        <f>'West Dunbartonshire'!F246</f>
        <v>0</v>
      </c>
      <c r="U35" s="374">
        <f>'West Dunbartonshire'!H246</f>
        <v>0</v>
      </c>
      <c r="V35" s="328">
        <v>218</v>
      </c>
      <c r="W35" s="328">
        <v>198</v>
      </c>
      <c r="X35" s="328">
        <v>202</v>
      </c>
      <c r="Y35" s="328">
        <v>154</v>
      </c>
      <c r="Z35" s="328">
        <v>157</v>
      </c>
      <c r="AA35" s="328">
        <v>156</v>
      </c>
      <c r="AB35" s="328">
        <v>156</v>
      </c>
      <c r="AC35" s="328">
        <v>156</v>
      </c>
      <c r="AD35" s="289">
        <f>'West Dunbartonshire'!F247</f>
        <v>129</v>
      </c>
      <c r="AE35" s="289">
        <f>'West Dunbartonshire'!H247</f>
        <v>132</v>
      </c>
      <c r="AG35" s="403">
        <f t="shared" si="0"/>
        <v>4.878048780487805E-2</v>
      </c>
      <c r="AH35" s="326">
        <f t="shared" si="1"/>
        <v>6</v>
      </c>
      <c r="AI35" s="336">
        <f t="shared" si="2"/>
        <v>7.3170731707317069E-2</v>
      </c>
      <c r="AJ35" s="326">
        <f t="shared" si="3"/>
        <v>9</v>
      </c>
      <c r="AL35" s="403">
        <f t="shared" si="4"/>
        <v>-1</v>
      </c>
      <c r="AM35" s="326">
        <f t="shared" si="5"/>
        <v>-33</v>
      </c>
      <c r="AN35" s="403">
        <f t="shared" si="6"/>
        <v>-1</v>
      </c>
      <c r="AO35" s="326">
        <f t="shared" si="7"/>
        <v>-33</v>
      </c>
    </row>
    <row r="36" spans="1:41">
      <c r="A36" s="316" t="s">
        <v>47</v>
      </c>
      <c r="B36" s="327">
        <v>0</v>
      </c>
      <c r="C36" s="328">
        <v>0</v>
      </c>
      <c r="D36" s="328">
        <v>0</v>
      </c>
      <c r="E36" s="328">
        <v>0</v>
      </c>
      <c r="F36" s="328">
        <v>0</v>
      </c>
      <c r="G36" s="328">
        <v>0</v>
      </c>
      <c r="H36" s="328">
        <v>0</v>
      </c>
      <c r="I36" s="328">
        <v>0</v>
      </c>
      <c r="J36" s="289">
        <f>'West Lothian'!F245</f>
        <v>0</v>
      </c>
      <c r="K36" s="289">
        <f>'West Lothian'!H245</f>
        <v>0</v>
      </c>
      <c r="L36" s="327">
        <v>371</v>
      </c>
      <c r="M36" s="328">
        <v>383</v>
      </c>
      <c r="N36" s="328">
        <v>383</v>
      </c>
      <c r="O36" s="328">
        <v>378</v>
      </c>
      <c r="P36" s="328">
        <v>425</v>
      </c>
      <c r="Q36" s="328">
        <v>432</v>
      </c>
      <c r="R36" s="328">
        <v>414</v>
      </c>
      <c r="S36" s="328">
        <v>426</v>
      </c>
      <c r="T36" s="289">
        <f>'West Lothian'!F246</f>
        <v>475</v>
      </c>
      <c r="U36" s="374">
        <f>'West Lothian'!H246</f>
        <v>492</v>
      </c>
      <c r="V36" s="328">
        <v>371</v>
      </c>
      <c r="W36" s="328">
        <v>383</v>
      </c>
      <c r="X36" s="328">
        <v>383</v>
      </c>
      <c r="Y36" s="328">
        <v>378</v>
      </c>
      <c r="Z36" s="328">
        <v>425</v>
      </c>
      <c r="AA36" s="328">
        <v>432</v>
      </c>
      <c r="AB36" s="328">
        <v>414</v>
      </c>
      <c r="AC36" s="328">
        <v>426</v>
      </c>
      <c r="AD36" s="289">
        <f>'West Lothian'!F247</f>
        <v>475</v>
      </c>
      <c r="AE36" s="289">
        <f>'West Lothian'!H247</f>
        <v>492</v>
      </c>
      <c r="AG36" s="403" t="e">
        <f t="shared" si="0"/>
        <v>#DIV/0!</v>
      </c>
      <c r="AH36" s="326">
        <f t="shared" si="1"/>
        <v>0</v>
      </c>
      <c r="AI36" s="336" t="e">
        <f t="shared" si="2"/>
        <v>#DIV/0!</v>
      </c>
      <c r="AJ36" s="326">
        <f t="shared" si="3"/>
        <v>0</v>
      </c>
      <c r="AL36" s="403">
        <f t="shared" si="4"/>
        <v>0.14734299516908211</v>
      </c>
      <c r="AM36" s="326">
        <f t="shared" si="5"/>
        <v>61</v>
      </c>
      <c r="AN36" s="403">
        <f t="shared" si="6"/>
        <v>0.15492957746478872</v>
      </c>
      <c r="AO36" s="326">
        <f t="shared" si="7"/>
        <v>66</v>
      </c>
    </row>
    <row r="37" spans="1:41">
      <c r="B37" s="316" t="s">
        <v>340</v>
      </c>
      <c r="C37" s="316" t="s">
        <v>341</v>
      </c>
      <c r="D37" s="316" t="s">
        <v>340</v>
      </c>
      <c r="E37" s="316" t="s">
        <v>341</v>
      </c>
      <c r="J37" s="316" t="s">
        <v>340</v>
      </c>
      <c r="K37" s="316" t="s">
        <v>341</v>
      </c>
      <c r="L37" s="316" t="s">
        <v>342</v>
      </c>
      <c r="M37" s="316" t="s">
        <v>343</v>
      </c>
      <c r="N37" s="316" t="s">
        <v>342</v>
      </c>
      <c r="O37" s="329" t="s">
        <v>343</v>
      </c>
      <c r="P37" s="329"/>
      <c r="Q37" s="329"/>
      <c r="R37" s="329"/>
      <c r="S37" s="329"/>
      <c r="T37" s="316" t="s">
        <v>342</v>
      </c>
      <c r="U37" s="329" t="s">
        <v>343</v>
      </c>
      <c r="V37" s="316" t="s">
        <v>344</v>
      </c>
      <c r="W37" s="316" t="s">
        <v>345</v>
      </c>
      <c r="X37" s="316" t="s">
        <v>344</v>
      </c>
      <c r="Y37" s="329" t="s">
        <v>345</v>
      </c>
      <c r="Z37" s="329"/>
      <c r="AA37" s="329"/>
      <c r="AB37" s="329"/>
      <c r="AC37" s="329"/>
      <c r="AD37" s="316" t="s">
        <v>344</v>
      </c>
      <c r="AE37" s="329" t="s">
        <v>345</v>
      </c>
    </row>
    <row r="38" spans="1:41">
      <c r="O38" s="329"/>
      <c r="P38" s="329"/>
      <c r="Q38" s="329"/>
      <c r="R38" s="329"/>
      <c r="S38" s="329"/>
      <c r="T38" s="329"/>
      <c r="U38" s="329"/>
      <c r="Y38" s="329"/>
      <c r="Z38" s="329"/>
      <c r="AA38" s="329"/>
      <c r="AB38" s="329"/>
      <c r="AC38" s="329"/>
    </row>
    <row r="39" spans="1:41">
      <c r="A39" s="338"/>
      <c r="O39" s="329"/>
      <c r="P39" s="329"/>
      <c r="Q39" s="329"/>
      <c r="R39" s="329"/>
      <c r="S39" s="329"/>
      <c r="T39" s="329"/>
      <c r="U39" s="329"/>
      <c r="Y39" s="329"/>
      <c r="Z39" s="329"/>
      <c r="AA39" s="329"/>
      <c r="AB39" s="329"/>
      <c r="AC39" s="329"/>
    </row>
    <row r="40" spans="1:41">
      <c r="O40" s="329"/>
      <c r="P40" s="329"/>
      <c r="Q40" s="329"/>
      <c r="R40" s="329"/>
      <c r="S40" s="329"/>
      <c r="T40" s="329"/>
      <c r="U40" s="329"/>
      <c r="Y40" s="329"/>
      <c r="Z40" s="329"/>
      <c r="AA40" s="329"/>
      <c r="AB40" s="329"/>
      <c r="AC40" s="329"/>
      <c r="AG40" s="402" t="s">
        <v>334</v>
      </c>
    </row>
    <row r="41" spans="1:41">
      <c r="O41" s="329"/>
      <c r="P41" s="329"/>
      <c r="Q41" s="329"/>
      <c r="R41" s="329"/>
      <c r="S41" s="329"/>
      <c r="Y41" s="329"/>
      <c r="Z41" s="329"/>
      <c r="AA41" s="329"/>
      <c r="AB41" s="329"/>
      <c r="AC41" s="329"/>
    </row>
    <row r="42" spans="1:41">
      <c r="Y42" s="329"/>
      <c r="Z42" s="329"/>
      <c r="AA42" s="329"/>
      <c r="AB42" s="329"/>
      <c r="AC42" s="329"/>
    </row>
    <row r="43" spans="1:41">
      <c r="Y43" s="329"/>
      <c r="Z43" s="329"/>
      <c r="AA43" s="329"/>
      <c r="AB43" s="329"/>
      <c r="AC43" s="329"/>
    </row>
    <row r="44" spans="1:41">
      <c r="Y44" s="329"/>
      <c r="Z44" s="329"/>
      <c r="AA44" s="329"/>
      <c r="AB44" s="329"/>
      <c r="AC44" s="329"/>
    </row>
    <row r="45" spans="1:41">
      <c r="Y45" s="329"/>
      <c r="Z45" s="329"/>
      <c r="AA45" s="329"/>
      <c r="AB45" s="329"/>
      <c r="AC45" s="329"/>
    </row>
    <row r="46" spans="1:41">
      <c r="Y46" s="329"/>
      <c r="Z46" s="329"/>
      <c r="AA46" s="329"/>
      <c r="AB46" s="329"/>
      <c r="AC46" s="329"/>
    </row>
    <row r="47" spans="1:41">
      <c r="Y47" s="329"/>
      <c r="Z47" s="329"/>
      <c r="AA47" s="329"/>
      <c r="AB47" s="329"/>
      <c r="AC47" s="329"/>
    </row>
    <row r="48" spans="1:41">
      <c r="Y48" s="329"/>
      <c r="Z48" s="329"/>
      <c r="AA48" s="329"/>
      <c r="AB48" s="329"/>
      <c r="AC48" s="329"/>
    </row>
  </sheetData>
  <mergeCells count="12">
    <mergeCell ref="AG2:AH2"/>
    <mergeCell ref="AI2:AJ2"/>
    <mergeCell ref="AG1:AJ1"/>
    <mergeCell ref="AL2:AM2"/>
    <mergeCell ref="AN2:AO2"/>
    <mergeCell ref="AL1:AO1"/>
    <mergeCell ref="V1:AE1"/>
    <mergeCell ref="V2:AE2"/>
    <mergeCell ref="B2:K2"/>
    <mergeCell ref="B1:K1"/>
    <mergeCell ref="L1:U1"/>
    <mergeCell ref="L2:U2"/>
  </mergeCells>
  <pageMargins left="0.7" right="0.7" top="0.75" bottom="0.75" header="0.3" footer="0.3"/>
  <pageSetup paperSize="9" orientation="portrait" horizontalDpi="90" verticalDpi="90"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5">
    <tabColor theme="9"/>
  </sheetPr>
  <dimension ref="A1:BU117"/>
  <sheetViews>
    <sheetView topLeftCell="AB1" workbookViewId="0">
      <selection activeCell="M43" sqref="M43"/>
    </sheetView>
  </sheetViews>
  <sheetFormatPr defaultColWidth="9.140625" defaultRowHeight="12.75"/>
  <cols>
    <col min="1" max="1" width="31.42578125" style="316" customWidth="1"/>
    <col min="2" max="2" width="9.85546875" style="316" bestFit="1" customWidth="1"/>
    <col min="3" max="3" width="9.5703125" style="316" bestFit="1" customWidth="1"/>
    <col min="4" max="4" width="9.85546875" style="316" bestFit="1" customWidth="1"/>
    <col min="5" max="5" width="9.5703125" style="316" bestFit="1" customWidth="1"/>
    <col min="6" max="31" width="9.5703125" style="316" customWidth="1"/>
    <col min="32" max="32" width="9.85546875" style="316" bestFit="1" customWidth="1"/>
    <col min="33" max="33" width="9.5703125" style="316" bestFit="1" customWidth="1"/>
    <col min="34" max="34" width="9.85546875" style="316" bestFit="1" customWidth="1"/>
    <col min="35" max="35" width="9.5703125" style="316" bestFit="1" customWidth="1"/>
    <col min="36" max="41" width="9.5703125" style="316" customWidth="1"/>
    <col min="42" max="42" width="10.85546875" style="316" bestFit="1" customWidth="1"/>
    <col min="43" max="43" width="10.7109375" style="316" bestFit="1" customWidth="1"/>
    <col min="44" max="44" width="10.85546875" style="316" bestFit="1" customWidth="1"/>
    <col min="45" max="45" width="10.7109375" style="316" bestFit="1" customWidth="1"/>
    <col min="46" max="51" width="10.7109375" style="316" customWidth="1"/>
    <col min="52" max="16384" width="9.140625" style="316"/>
  </cols>
  <sheetData>
    <row r="1" spans="1:73">
      <c r="A1" s="315" t="s">
        <v>195</v>
      </c>
      <c r="B1" s="972">
        <v>7</v>
      </c>
      <c r="C1" s="973"/>
      <c r="D1" s="973"/>
      <c r="E1" s="973"/>
      <c r="F1" s="973"/>
      <c r="G1" s="973"/>
      <c r="H1" s="973"/>
      <c r="I1" s="973"/>
      <c r="J1" s="973"/>
      <c r="K1" s="974"/>
      <c r="L1" s="972">
        <v>8</v>
      </c>
      <c r="M1" s="973"/>
      <c r="N1" s="973"/>
      <c r="O1" s="973"/>
      <c r="P1" s="973"/>
      <c r="Q1" s="973"/>
      <c r="R1" s="973"/>
      <c r="S1" s="973"/>
      <c r="T1" s="973"/>
      <c r="U1" s="973"/>
      <c r="V1" s="972">
        <v>9</v>
      </c>
      <c r="W1" s="973"/>
      <c r="X1" s="973"/>
      <c r="Y1" s="973"/>
      <c r="Z1" s="973"/>
      <c r="AA1" s="973"/>
      <c r="AB1" s="973"/>
      <c r="AC1" s="973"/>
      <c r="AD1" s="973"/>
      <c r="AE1" s="974"/>
      <c r="AF1" s="975">
        <v>10</v>
      </c>
      <c r="AG1" s="968"/>
      <c r="AH1" s="968"/>
      <c r="AI1" s="968"/>
      <c r="AJ1" s="968"/>
      <c r="AK1" s="968"/>
      <c r="AL1" s="968"/>
      <c r="AM1" s="968"/>
      <c r="AN1" s="968"/>
      <c r="AO1" s="968"/>
      <c r="AP1" s="975">
        <v>11</v>
      </c>
      <c r="AQ1" s="968"/>
      <c r="AR1" s="968"/>
      <c r="AS1" s="968"/>
      <c r="AT1" s="968"/>
      <c r="AU1" s="968"/>
      <c r="AV1" s="968"/>
      <c r="AW1" s="968"/>
      <c r="AX1" s="968"/>
      <c r="AY1" s="968"/>
      <c r="BB1" s="978" t="s">
        <v>196</v>
      </c>
      <c r="BC1" s="978"/>
      <c r="BD1" s="978"/>
      <c r="BE1" s="978"/>
      <c r="BG1" s="978" t="s">
        <v>197</v>
      </c>
      <c r="BH1" s="978"/>
      <c r="BI1" s="978"/>
      <c r="BJ1" s="978"/>
      <c r="BM1" s="978" t="s">
        <v>198</v>
      </c>
      <c r="BN1" s="978"/>
      <c r="BO1" s="978"/>
      <c r="BP1" s="978"/>
      <c r="BR1" s="978" t="s">
        <v>199</v>
      </c>
      <c r="BS1" s="978"/>
      <c r="BT1" s="978"/>
      <c r="BU1" s="978"/>
    </row>
    <row r="2" spans="1:73">
      <c r="A2" s="317"/>
      <c r="B2" s="969" t="s">
        <v>196</v>
      </c>
      <c r="C2" s="970"/>
      <c r="D2" s="970"/>
      <c r="E2" s="970"/>
      <c r="F2" s="970"/>
      <c r="G2" s="970"/>
      <c r="H2" s="970"/>
      <c r="I2" s="970"/>
      <c r="J2" s="970"/>
      <c r="K2" s="971"/>
      <c r="L2" s="969" t="s">
        <v>197</v>
      </c>
      <c r="M2" s="970"/>
      <c r="N2" s="970"/>
      <c r="O2" s="970"/>
      <c r="P2" s="970"/>
      <c r="Q2" s="970"/>
      <c r="R2" s="970"/>
      <c r="S2" s="970"/>
      <c r="T2" s="970"/>
      <c r="U2" s="970"/>
      <c r="V2" s="969" t="s">
        <v>198</v>
      </c>
      <c r="W2" s="970"/>
      <c r="X2" s="970"/>
      <c r="Y2" s="970"/>
      <c r="Z2" s="970"/>
      <c r="AA2" s="970"/>
      <c r="AB2" s="970"/>
      <c r="AC2" s="970"/>
      <c r="AD2" s="970"/>
      <c r="AE2" s="971"/>
      <c r="AF2" s="969" t="s">
        <v>199</v>
      </c>
      <c r="AG2" s="970"/>
      <c r="AH2" s="970"/>
      <c r="AI2" s="970"/>
      <c r="AJ2" s="970"/>
      <c r="AK2" s="970"/>
      <c r="AL2" s="970"/>
      <c r="AM2" s="970"/>
      <c r="AN2" s="970"/>
      <c r="AO2" s="970"/>
      <c r="AP2" s="975" t="s">
        <v>200</v>
      </c>
      <c r="AQ2" s="968"/>
      <c r="AR2" s="968"/>
      <c r="AS2" s="968"/>
      <c r="AT2" s="968"/>
      <c r="AU2" s="968"/>
      <c r="AV2" s="968"/>
      <c r="AW2" s="968"/>
      <c r="AX2" s="968"/>
      <c r="AY2" s="968"/>
      <c r="BB2" s="977" t="s">
        <v>278</v>
      </c>
      <c r="BC2" s="977"/>
      <c r="BD2" s="977" t="s">
        <v>273</v>
      </c>
      <c r="BE2" s="977"/>
      <c r="BH2" s="977" t="s">
        <v>278</v>
      </c>
      <c r="BI2" s="977"/>
      <c r="BJ2" s="977" t="s">
        <v>273</v>
      </c>
      <c r="BK2" s="977"/>
      <c r="BM2" s="977" t="s">
        <v>278</v>
      </c>
      <c r="BN2" s="977"/>
      <c r="BO2" s="977" t="s">
        <v>273</v>
      </c>
      <c r="BP2" s="977"/>
      <c r="BR2" s="977" t="s">
        <v>278</v>
      </c>
      <c r="BS2" s="977"/>
      <c r="BT2" s="977" t="s">
        <v>273</v>
      </c>
      <c r="BU2" s="977"/>
    </row>
    <row r="3" spans="1:73" ht="12.75" customHeight="1">
      <c r="A3" s="318"/>
      <c r="B3" s="321" t="s">
        <v>320</v>
      </c>
      <c r="C3" s="321" t="s">
        <v>321</v>
      </c>
      <c r="D3" s="321" t="s">
        <v>312</v>
      </c>
      <c r="E3" s="321" t="s">
        <v>313</v>
      </c>
      <c r="F3" s="425" t="s">
        <v>359</v>
      </c>
      <c r="G3" s="425" t="s">
        <v>360</v>
      </c>
      <c r="H3" s="425" t="s">
        <v>385</v>
      </c>
      <c r="I3" s="425" t="s">
        <v>386</v>
      </c>
      <c r="J3" s="425" t="s">
        <v>417</v>
      </c>
      <c r="K3" s="425" t="s">
        <v>418</v>
      </c>
      <c r="L3" s="375" t="s">
        <v>320</v>
      </c>
      <c r="M3" s="321" t="s">
        <v>321</v>
      </c>
      <c r="N3" s="321" t="s">
        <v>312</v>
      </c>
      <c r="O3" s="321" t="s">
        <v>313</v>
      </c>
      <c r="P3" s="425" t="s">
        <v>359</v>
      </c>
      <c r="Q3" s="425" t="s">
        <v>360</v>
      </c>
      <c r="R3" s="425" t="s">
        <v>385</v>
      </c>
      <c r="S3" s="425" t="s">
        <v>386</v>
      </c>
      <c r="T3" s="425" t="s">
        <v>417</v>
      </c>
      <c r="U3" s="425" t="s">
        <v>418</v>
      </c>
      <c r="V3" s="375" t="s">
        <v>320</v>
      </c>
      <c r="W3" s="321" t="s">
        <v>321</v>
      </c>
      <c r="X3" s="321" t="s">
        <v>312</v>
      </c>
      <c r="Y3" s="321" t="s">
        <v>313</v>
      </c>
      <c r="Z3" s="425" t="s">
        <v>359</v>
      </c>
      <c r="AA3" s="425" t="s">
        <v>360</v>
      </c>
      <c r="AB3" s="425" t="s">
        <v>385</v>
      </c>
      <c r="AC3" s="425" t="s">
        <v>386</v>
      </c>
      <c r="AD3" s="425" t="s">
        <v>417</v>
      </c>
      <c r="AE3" s="426" t="s">
        <v>418</v>
      </c>
      <c r="AF3" s="375" t="s">
        <v>320</v>
      </c>
      <c r="AG3" s="321" t="s">
        <v>321</v>
      </c>
      <c r="AH3" s="321" t="s">
        <v>312</v>
      </c>
      <c r="AI3" s="321" t="s">
        <v>313</v>
      </c>
      <c r="AJ3" s="425" t="s">
        <v>359</v>
      </c>
      <c r="AK3" s="425" t="s">
        <v>360</v>
      </c>
      <c r="AL3" s="425" t="s">
        <v>385</v>
      </c>
      <c r="AM3" s="425" t="s">
        <v>386</v>
      </c>
      <c r="AN3" s="425" t="s">
        <v>417</v>
      </c>
      <c r="AO3" s="425" t="s">
        <v>418</v>
      </c>
      <c r="AP3" s="375" t="s">
        <v>320</v>
      </c>
      <c r="AQ3" s="321" t="s">
        <v>321</v>
      </c>
      <c r="AR3" s="321" t="s">
        <v>312</v>
      </c>
      <c r="AS3" s="321" t="s">
        <v>313</v>
      </c>
      <c r="AT3" s="321" t="s">
        <v>359</v>
      </c>
      <c r="AU3" s="321" t="s">
        <v>360</v>
      </c>
      <c r="AV3" s="321" t="s">
        <v>385</v>
      </c>
      <c r="AW3" s="321" t="s">
        <v>386</v>
      </c>
      <c r="AX3" s="321" t="s">
        <v>417</v>
      </c>
      <c r="AY3" s="321" t="s">
        <v>418</v>
      </c>
      <c r="BB3" s="402" t="s">
        <v>389</v>
      </c>
      <c r="BC3" s="402" t="s">
        <v>280</v>
      </c>
      <c r="BD3" s="402" t="s">
        <v>389</v>
      </c>
      <c r="BE3" s="402" t="s">
        <v>280</v>
      </c>
      <c r="BH3" s="402" t="s">
        <v>389</v>
      </c>
      <c r="BI3" s="402" t="s">
        <v>280</v>
      </c>
      <c r="BJ3" s="402" t="s">
        <v>389</v>
      </c>
      <c r="BK3" s="402" t="s">
        <v>280</v>
      </c>
      <c r="BM3" s="402" t="s">
        <v>389</v>
      </c>
      <c r="BN3" s="402" t="s">
        <v>280</v>
      </c>
      <c r="BO3" s="402" t="s">
        <v>389</v>
      </c>
      <c r="BP3" s="402" t="s">
        <v>280</v>
      </c>
      <c r="BR3" s="402" t="s">
        <v>389</v>
      </c>
      <c r="BS3" s="402" t="s">
        <v>280</v>
      </c>
      <c r="BT3" s="402" t="s">
        <v>389</v>
      </c>
      <c r="BU3" s="402" t="s">
        <v>280</v>
      </c>
    </row>
    <row r="4" spans="1:73">
      <c r="A4" s="322" t="s">
        <v>251</v>
      </c>
      <c r="B4" s="323">
        <v>22174</v>
      </c>
      <c r="C4" s="324">
        <v>22145</v>
      </c>
      <c r="D4" s="324">
        <v>22741</v>
      </c>
      <c r="E4" s="324">
        <v>20700</v>
      </c>
      <c r="F4" s="324">
        <v>20592.946435791993</v>
      </c>
      <c r="G4" s="324">
        <v>19168.371091373967</v>
      </c>
      <c r="H4" s="284">
        <v>19446.835157266753</v>
      </c>
      <c r="I4" s="284">
        <v>19341.52534485362</v>
      </c>
      <c r="J4" s="284">
        <f>Scotland!$F$250</f>
        <v>19429</v>
      </c>
      <c r="K4" s="284">
        <f>Scotland!$H$250</f>
        <v>19967</v>
      </c>
      <c r="L4" s="323">
        <v>157548</v>
      </c>
      <c r="M4" s="324">
        <v>151364</v>
      </c>
      <c r="N4" s="324">
        <v>158839</v>
      </c>
      <c r="O4" s="324">
        <v>149873</v>
      </c>
      <c r="P4" s="324">
        <v>154493</v>
      </c>
      <c r="Q4" s="324">
        <v>147602.12813217842</v>
      </c>
      <c r="R4" s="324">
        <v>148287.47553549154</v>
      </c>
      <c r="S4" s="324">
        <v>141491.33439326542</v>
      </c>
      <c r="T4" s="284">
        <f>Scotland!$F$251</f>
        <v>148115</v>
      </c>
      <c r="U4" s="284">
        <f>Scotland!$H$251</f>
        <v>143626</v>
      </c>
      <c r="V4" s="323">
        <v>140469</v>
      </c>
      <c r="W4" s="324">
        <v>131959</v>
      </c>
      <c r="X4" s="324">
        <v>131983</v>
      </c>
      <c r="Y4" s="324">
        <v>126899</v>
      </c>
      <c r="Z4" s="324">
        <v>123557.14831237894</v>
      </c>
      <c r="AA4" s="324">
        <v>122045.20853780402</v>
      </c>
      <c r="AB4" s="324">
        <v>117932.12079601457</v>
      </c>
      <c r="AC4" s="324">
        <v>117797.76234681932</v>
      </c>
      <c r="AD4" s="284">
        <f>Scotland!$F$252</f>
        <v>115254</v>
      </c>
      <c r="AE4" s="373">
        <f>Scotland!$H$252</f>
        <v>115309</v>
      </c>
      <c r="AF4" s="323">
        <v>89181</v>
      </c>
      <c r="AG4" s="324">
        <v>58969</v>
      </c>
      <c r="AH4" s="324">
        <v>52914</v>
      </c>
      <c r="AI4" s="324">
        <v>48015</v>
      </c>
      <c r="AJ4" s="324">
        <v>50995</v>
      </c>
      <c r="AK4" s="324">
        <v>50241.516576013229</v>
      </c>
      <c r="AL4" s="324">
        <v>51395.652233179877</v>
      </c>
      <c r="AM4" s="324">
        <v>50180.289825973567</v>
      </c>
      <c r="AN4" s="284">
        <f>Scotland!$F$253</f>
        <v>52745</v>
      </c>
      <c r="AO4" s="284">
        <f>Scotland!$H$253</f>
        <v>51044</v>
      </c>
      <c r="AP4" s="323">
        <v>409372</v>
      </c>
      <c r="AQ4" s="324">
        <v>364437</v>
      </c>
      <c r="AR4" s="324">
        <v>366477</v>
      </c>
      <c r="AS4" s="325">
        <v>345487</v>
      </c>
      <c r="AT4" s="324">
        <v>349638.09474817093</v>
      </c>
      <c r="AU4" s="324">
        <v>339057.22433736961</v>
      </c>
      <c r="AV4" s="324">
        <v>337062.08372195275</v>
      </c>
      <c r="AW4" s="324">
        <v>328810.91191091191</v>
      </c>
      <c r="AX4" s="284">
        <f>Scotland!$F$254</f>
        <v>335543</v>
      </c>
      <c r="AY4" s="284">
        <f>Scotland!$H$254</f>
        <v>329946</v>
      </c>
      <c r="BB4" s="403">
        <f>BC4/H4</f>
        <v>-9.1712389818288716E-4</v>
      </c>
      <c r="BC4" s="326">
        <f>J4-H4</f>
        <v>-17.835157266752503</v>
      </c>
      <c r="BD4" s="403">
        <f>BE4/I4</f>
        <v>3.2338434740505372E-2</v>
      </c>
      <c r="BE4" s="326">
        <f>K4-I4</f>
        <v>625.47465514637952</v>
      </c>
      <c r="BH4" s="403">
        <f>BI4/R4</f>
        <v>-1.1631160006514432E-3</v>
      </c>
      <c r="BI4" s="326">
        <f>T4-R4</f>
        <v>-172.47553549153963</v>
      </c>
      <c r="BJ4" s="403">
        <f>BK4/S4</f>
        <v>1.5086899956723989E-2</v>
      </c>
      <c r="BK4" s="326">
        <f>U4-S4</f>
        <v>2134.6656067345757</v>
      </c>
      <c r="BM4" s="403">
        <f>BN4/AB4</f>
        <v>-2.2709002245850179E-2</v>
      </c>
      <c r="BN4" s="326">
        <f>AD4-AB4</f>
        <v>-2678.1207960145694</v>
      </c>
      <c r="BO4" s="403">
        <f>BP4/AC4</f>
        <v>-2.1127416151521822E-2</v>
      </c>
      <c r="BP4" s="326">
        <f>AE4-AC4</f>
        <v>-2488.7623468193196</v>
      </c>
      <c r="BR4" s="403">
        <f>BS4/AL4</f>
        <v>2.6254122833156975E-2</v>
      </c>
      <c r="BS4" s="326">
        <f>AN4-AL4</f>
        <v>1349.3477668201231</v>
      </c>
      <c r="BT4" s="403">
        <f>BU4/AM4</f>
        <v>1.721214000600237E-2</v>
      </c>
      <c r="BU4" s="326">
        <f>AO4-AM4</f>
        <v>863.71017402643338</v>
      </c>
    </row>
    <row r="5" spans="1:73">
      <c r="A5" s="316" t="s">
        <v>3</v>
      </c>
      <c r="B5" s="327">
        <v>106</v>
      </c>
      <c r="C5" s="328">
        <v>111</v>
      </c>
      <c r="D5" s="328">
        <v>111</v>
      </c>
      <c r="E5" s="328">
        <v>100</v>
      </c>
      <c r="F5" s="328">
        <v>201</v>
      </c>
      <c r="G5" s="328">
        <v>96</v>
      </c>
      <c r="H5" s="289">
        <v>64</v>
      </c>
      <c r="I5" s="289">
        <v>109</v>
      </c>
      <c r="J5" s="289">
        <f>'Aberdeen City'!F250</f>
        <v>66</v>
      </c>
      <c r="K5" s="289">
        <f>'Aberdeen City'!H250</f>
        <v>76</v>
      </c>
      <c r="L5" s="327">
        <v>8488</v>
      </c>
      <c r="M5" s="328">
        <v>8554</v>
      </c>
      <c r="N5" s="328">
        <v>8242</v>
      </c>
      <c r="O5" s="328">
        <v>7610</v>
      </c>
      <c r="P5" s="328">
        <v>7347</v>
      </c>
      <c r="Q5" s="328">
        <v>7336</v>
      </c>
      <c r="R5" s="328">
        <v>7874</v>
      </c>
      <c r="S5" s="328">
        <v>8481</v>
      </c>
      <c r="T5" s="289">
        <f>'Aberdeen City'!F251</f>
        <v>8812</v>
      </c>
      <c r="U5" s="289">
        <f>'Aberdeen City'!H251</f>
        <v>4031</v>
      </c>
      <c r="V5" s="327">
        <v>4643</v>
      </c>
      <c r="W5" s="328">
        <v>4467</v>
      </c>
      <c r="X5" s="328">
        <v>4149</v>
      </c>
      <c r="Y5" s="328">
        <v>4057</v>
      </c>
      <c r="Z5" s="328">
        <v>4693</v>
      </c>
      <c r="AA5" s="328">
        <v>4972</v>
      </c>
      <c r="AB5" s="328">
        <v>3444</v>
      </c>
      <c r="AC5" s="328">
        <v>2887</v>
      </c>
      <c r="AD5" s="289">
        <f>'Aberdeen City'!F252</f>
        <v>2964</v>
      </c>
      <c r="AE5" s="374">
        <f>'Aberdeen City'!H252</f>
        <v>3182</v>
      </c>
      <c r="AF5" s="327">
        <v>972</v>
      </c>
      <c r="AG5" s="328">
        <v>1011</v>
      </c>
      <c r="AH5" s="328">
        <v>911</v>
      </c>
      <c r="AI5" s="328">
        <v>826</v>
      </c>
      <c r="AJ5" s="328">
        <v>930</v>
      </c>
      <c r="AK5" s="328">
        <v>726</v>
      </c>
      <c r="AL5" s="328">
        <v>827</v>
      </c>
      <c r="AM5" s="328">
        <v>922</v>
      </c>
      <c r="AN5" s="289">
        <f>'Aberdeen City'!F253</f>
        <v>694</v>
      </c>
      <c r="AO5" s="289">
        <f>'Aberdeen City'!H253</f>
        <v>797</v>
      </c>
      <c r="AP5" s="327">
        <v>14209</v>
      </c>
      <c r="AQ5" s="328">
        <v>14143</v>
      </c>
      <c r="AR5" s="328">
        <v>13413</v>
      </c>
      <c r="AS5" s="328">
        <v>12593</v>
      </c>
      <c r="AT5" s="328">
        <v>13171</v>
      </c>
      <c r="AU5" s="328">
        <v>13130</v>
      </c>
      <c r="AV5" s="328">
        <v>12209</v>
      </c>
      <c r="AW5" s="328">
        <v>12399</v>
      </c>
      <c r="AX5" s="289">
        <f>'Aberdeen City'!F254</f>
        <v>12536</v>
      </c>
      <c r="AY5" s="289">
        <f>'Aberdeen City'!H254</f>
        <v>8086</v>
      </c>
      <c r="BB5" s="403">
        <f t="shared" ref="BB5:BB36" si="0">BC5/H5</f>
        <v>3.125E-2</v>
      </c>
      <c r="BC5" s="326">
        <f t="shared" ref="BC5:BC36" si="1">J5-H5</f>
        <v>2</v>
      </c>
      <c r="BD5" s="403">
        <f t="shared" ref="BD5:BD36" si="2">BE5/I5</f>
        <v>-0.30275229357798167</v>
      </c>
      <c r="BE5" s="326">
        <f t="shared" ref="BE5:BE36" si="3">K5-I5</f>
        <v>-33</v>
      </c>
      <c r="BH5" s="403">
        <f t="shared" ref="BH5:BH36" si="4">BI5/R5</f>
        <v>0.11912623825247651</v>
      </c>
      <c r="BI5" s="326">
        <f t="shared" ref="BI5:BI36" si="5">T5-R5</f>
        <v>938</v>
      </c>
      <c r="BJ5" s="403">
        <f t="shared" ref="BJ5:BJ36" si="6">BK5/S5</f>
        <v>-0.52470227567503835</v>
      </c>
      <c r="BK5" s="326">
        <f t="shared" ref="BK5:BK36" si="7">U5-S5</f>
        <v>-4450</v>
      </c>
      <c r="BM5" s="403">
        <f t="shared" ref="BM5:BM36" si="8">BN5/AB5</f>
        <v>-0.13937282229965156</v>
      </c>
      <c r="BN5" s="326">
        <f t="shared" ref="BN5:BN36" si="9">AD5-AB5</f>
        <v>-480</v>
      </c>
      <c r="BO5" s="403">
        <f t="shared" ref="BO5:BO36" si="10">BP5/AC5</f>
        <v>0.10218219605126429</v>
      </c>
      <c r="BP5" s="326">
        <f t="shared" ref="BP5:BP36" si="11">AE5-AC5</f>
        <v>295</v>
      </c>
      <c r="BR5" s="403">
        <f t="shared" ref="BR5:BR36" si="12">BS5/AL5</f>
        <v>-0.16082224909310761</v>
      </c>
      <c r="BS5" s="326">
        <f t="shared" ref="BS5:BS36" si="13">AN5-AL5</f>
        <v>-133</v>
      </c>
      <c r="BT5" s="403">
        <f t="shared" ref="BT5:BT36" si="14">BU5/AM5</f>
        <v>-0.13557483731019523</v>
      </c>
      <c r="BU5" s="326">
        <f t="shared" ref="BU5:BU36" si="15">AO5-AM5</f>
        <v>-125</v>
      </c>
    </row>
    <row r="6" spans="1:73">
      <c r="A6" s="316" t="s">
        <v>4</v>
      </c>
      <c r="B6" s="327">
        <v>399</v>
      </c>
      <c r="C6" s="328">
        <v>392</v>
      </c>
      <c r="D6" s="328">
        <v>457</v>
      </c>
      <c r="E6" s="328">
        <v>424</v>
      </c>
      <c r="F6" s="328">
        <v>441</v>
      </c>
      <c r="G6" s="328">
        <v>407</v>
      </c>
      <c r="H6" s="289">
        <v>338</v>
      </c>
      <c r="I6" s="289">
        <v>354</v>
      </c>
      <c r="J6" s="289">
        <f>Aberdeenshire!F250</f>
        <v>354</v>
      </c>
      <c r="K6" s="289">
        <f>Aberdeenshire!H250</f>
        <v>359</v>
      </c>
      <c r="L6" s="327">
        <v>6018</v>
      </c>
      <c r="M6" s="328">
        <v>5656</v>
      </c>
      <c r="N6" s="328">
        <v>6268</v>
      </c>
      <c r="O6" s="328">
        <v>6169</v>
      </c>
      <c r="P6" s="328">
        <v>6745</v>
      </c>
      <c r="Q6" s="328">
        <v>6551</v>
      </c>
      <c r="R6" s="328">
        <v>7024</v>
      </c>
      <c r="S6" s="328">
        <v>5204</v>
      </c>
      <c r="T6" s="289">
        <f>Aberdeenshire!F251</f>
        <v>5703</v>
      </c>
      <c r="U6" s="289">
        <f>Aberdeenshire!H251</f>
        <v>4260</v>
      </c>
      <c r="V6" s="327">
        <v>5043</v>
      </c>
      <c r="W6" s="328">
        <v>5386</v>
      </c>
      <c r="X6" s="328">
        <v>5353</v>
      </c>
      <c r="Y6" s="328">
        <v>5527</v>
      </c>
      <c r="Z6" s="328">
        <v>5250</v>
      </c>
      <c r="AA6" s="328">
        <v>5357</v>
      </c>
      <c r="AB6" s="328">
        <v>5327</v>
      </c>
      <c r="AC6" s="328">
        <v>5430</v>
      </c>
      <c r="AD6" s="289">
        <f>Aberdeenshire!F252</f>
        <v>6808</v>
      </c>
      <c r="AE6" s="374">
        <f>Aberdeenshire!H252</f>
        <v>6596</v>
      </c>
      <c r="AF6" s="327">
        <v>1786</v>
      </c>
      <c r="AG6" s="328">
        <v>1898</v>
      </c>
      <c r="AH6" s="328">
        <v>1902</v>
      </c>
      <c r="AI6" s="328">
        <v>1903</v>
      </c>
      <c r="AJ6" s="328">
        <v>1978</v>
      </c>
      <c r="AK6" s="328">
        <v>1866</v>
      </c>
      <c r="AL6" s="328">
        <v>2202</v>
      </c>
      <c r="AM6" s="328">
        <v>2164</v>
      </c>
      <c r="AN6" s="289">
        <f>Aberdeenshire!F253</f>
        <v>2054</v>
      </c>
      <c r="AO6" s="289">
        <f>Aberdeenshire!H253</f>
        <v>2375</v>
      </c>
      <c r="AP6" s="327">
        <v>13246</v>
      </c>
      <c r="AQ6" s="328">
        <v>13332</v>
      </c>
      <c r="AR6" s="328">
        <v>13980</v>
      </c>
      <c r="AS6" s="328">
        <v>14023</v>
      </c>
      <c r="AT6" s="328">
        <v>14414</v>
      </c>
      <c r="AU6" s="328">
        <v>14181</v>
      </c>
      <c r="AV6" s="328">
        <v>14891</v>
      </c>
      <c r="AW6" s="328">
        <v>13152</v>
      </c>
      <c r="AX6" s="289">
        <f>Aberdeenshire!F254</f>
        <v>14919</v>
      </c>
      <c r="AY6" s="289">
        <f>Aberdeenshire!H254</f>
        <v>13590</v>
      </c>
      <c r="BB6" s="403">
        <f t="shared" si="0"/>
        <v>4.7337278106508875E-2</v>
      </c>
      <c r="BC6" s="326">
        <f t="shared" si="1"/>
        <v>16</v>
      </c>
      <c r="BD6" s="403">
        <f t="shared" si="2"/>
        <v>1.4124293785310734E-2</v>
      </c>
      <c r="BE6" s="326">
        <f t="shared" si="3"/>
        <v>5</v>
      </c>
      <c r="BH6" s="403">
        <f t="shared" si="4"/>
        <v>-0.18806947608200456</v>
      </c>
      <c r="BI6" s="326">
        <f t="shared" si="5"/>
        <v>-1321</v>
      </c>
      <c r="BJ6" s="403">
        <f t="shared" si="6"/>
        <v>-0.1813989239046887</v>
      </c>
      <c r="BK6" s="326">
        <f t="shared" si="7"/>
        <v>-944</v>
      </c>
      <c r="BM6" s="403">
        <f t="shared" si="8"/>
        <v>0.27801764595457107</v>
      </c>
      <c r="BN6" s="326">
        <f t="shared" si="9"/>
        <v>1481</v>
      </c>
      <c r="BO6" s="403">
        <f t="shared" si="10"/>
        <v>0.2147329650092081</v>
      </c>
      <c r="BP6" s="326">
        <f t="shared" si="11"/>
        <v>1166</v>
      </c>
      <c r="BR6" s="403">
        <f t="shared" si="12"/>
        <v>-6.7211625794732055E-2</v>
      </c>
      <c r="BS6" s="326">
        <f t="shared" si="13"/>
        <v>-148</v>
      </c>
      <c r="BT6" s="403">
        <f t="shared" si="14"/>
        <v>9.7504621072088724E-2</v>
      </c>
      <c r="BU6" s="326">
        <f t="shared" si="15"/>
        <v>211</v>
      </c>
    </row>
    <row r="7" spans="1:73">
      <c r="A7" s="316" t="s">
        <v>5</v>
      </c>
      <c r="B7" s="327">
        <v>1090</v>
      </c>
      <c r="C7" s="328">
        <v>1137</v>
      </c>
      <c r="D7" s="328">
        <v>985</v>
      </c>
      <c r="E7" s="328">
        <v>395</v>
      </c>
      <c r="F7" s="328">
        <v>528</v>
      </c>
      <c r="G7" s="328">
        <v>346</v>
      </c>
      <c r="H7" s="289">
        <v>380</v>
      </c>
      <c r="I7" s="289">
        <v>345</v>
      </c>
      <c r="J7" s="289">
        <f>Angus!F250</f>
        <v>412</v>
      </c>
      <c r="K7" s="289">
        <f>Angus!H250</f>
        <v>384</v>
      </c>
      <c r="L7" s="327">
        <v>2913</v>
      </c>
      <c r="M7" s="328">
        <v>2809</v>
      </c>
      <c r="N7" s="328">
        <v>3433</v>
      </c>
      <c r="O7" s="328">
        <v>5179</v>
      </c>
      <c r="P7" s="328">
        <v>5008</v>
      </c>
      <c r="Q7" s="328">
        <v>4486</v>
      </c>
      <c r="R7" s="328">
        <v>4761</v>
      </c>
      <c r="S7" s="328">
        <v>4713</v>
      </c>
      <c r="T7" s="289">
        <f>Angus!F251</f>
        <v>4940</v>
      </c>
      <c r="U7" s="289">
        <f>Angus!H251</f>
        <v>4753</v>
      </c>
      <c r="V7" s="327">
        <v>3050</v>
      </c>
      <c r="W7" s="328">
        <v>3266</v>
      </c>
      <c r="X7" s="328">
        <v>2988</v>
      </c>
      <c r="Y7" s="328">
        <v>3183</v>
      </c>
      <c r="Z7" s="328">
        <v>3085</v>
      </c>
      <c r="AA7" s="328">
        <v>3131</v>
      </c>
      <c r="AB7" s="328">
        <v>3304</v>
      </c>
      <c r="AC7" s="328">
        <v>3209</v>
      </c>
      <c r="AD7" s="289">
        <f>Angus!F252</f>
        <v>2968</v>
      </c>
      <c r="AE7" s="374">
        <f>Angus!H252</f>
        <v>3104</v>
      </c>
      <c r="AF7" s="327">
        <v>122</v>
      </c>
      <c r="AG7" s="328">
        <v>136</v>
      </c>
      <c r="AH7" s="328">
        <v>120</v>
      </c>
      <c r="AI7" s="328">
        <v>119</v>
      </c>
      <c r="AJ7" s="328">
        <v>129</v>
      </c>
      <c r="AK7" s="328">
        <v>34</v>
      </c>
      <c r="AL7" s="328">
        <v>34</v>
      </c>
      <c r="AM7" s="328">
        <v>34</v>
      </c>
      <c r="AN7" s="289">
        <f>Angus!F253</f>
        <v>34</v>
      </c>
      <c r="AO7" s="289">
        <f>Angus!H253</f>
        <v>34</v>
      </c>
      <c r="AP7" s="327">
        <v>7175</v>
      </c>
      <c r="AQ7" s="328">
        <v>7348</v>
      </c>
      <c r="AR7" s="328">
        <v>7526</v>
      </c>
      <c r="AS7" s="328">
        <v>8876</v>
      </c>
      <c r="AT7" s="328">
        <v>8750</v>
      </c>
      <c r="AU7" s="328">
        <v>7997</v>
      </c>
      <c r="AV7" s="328">
        <v>8479</v>
      </c>
      <c r="AW7" s="328">
        <v>8301</v>
      </c>
      <c r="AX7" s="289">
        <f>Angus!F254</f>
        <v>8354</v>
      </c>
      <c r="AY7" s="289">
        <f>Angus!H254</f>
        <v>8275</v>
      </c>
      <c r="BB7" s="403">
        <f t="shared" si="0"/>
        <v>8.4210526315789472E-2</v>
      </c>
      <c r="BC7" s="326">
        <f t="shared" si="1"/>
        <v>32</v>
      </c>
      <c r="BD7" s="403">
        <f t="shared" si="2"/>
        <v>0.11304347826086956</v>
      </c>
      <c r="BE7" s="326">
        <f t="shared" si="3"/>
        <v>39</v>
      </c>
      <c r="BH7" s="403">
        <f t="shared" si="4"/>
        <v>3.7597143457256878E-2</v>
      </c>
      <c r="BI7" s="326">
        <f t="shared" si="5"/>
        <v>179</v>
      </c>
      <c r="BJ7" s="403">
        <f t="shared" si="6"/>
        <v>8.4871631657118616E-3</v>
      </c>
      <c r="BK7" s="326">
        <f t="shared" si="7"/>
        <v>40</v>
      </c>
      <c r="BM7" s="403">
        <f t="shared" si="8"/>
        <v>-0.10169491525423729</v>
      </c>
      <c r="BN7" s="326">
        <f t="shared" si="9"/>
        <v>-336</v>
      </c>
      <c r="BO7" s="403">
        <f t="shared" si="10"/>
        <v>-3.2720473667809287E-2</v>
      </c>
      <c r="BP7" s="326">
        <f t="shared" si="11"/>
        <v>-105</v>
      </c>
      <c r="BR7" s="403">
        <f t="shared" si="12"/>
        <v>0</v>
      </c>
      <c r="BS7" s="326">
        <f t="shared" si="13"/>
        <v>0</v>
      </c>
      <c r="BT7" s="403">
        <f t="shared" si="14"/>
        <v>0</v>
      </c>
      <c r="BU7" s="326">
        <f t="shared" si="15"/>
        <v>0</v>
      </c>
    </row>
    <row r="8" spans="1:73">
      <c r="A8" s="316" t="s">
        <v>6</v>
      </c>
      <c r="B8" s="327">
        <v>0</v>
      </c>
      <c r="C8" s="328">
        <v>0</v>
      </c>
      <c r="D8" s="328">
        <v>0</v>
      </c>
      <c r="E8" s="328">
        <v>0</v>
      </c>
      <c r="F8" s="328">
        <v>0</v>
      </c>
      <c r="G8" s="328">
        <v>0</v>
      </c>
      <c r="H8" s="289">
        <v>0</v>
      </c>
      <c r="I8" s="289">
        <v>0</v>
      </c>
      <c r="J8" s="289">
        <f>'Argyll &amp; Bute'!F250</f>
        <v>0</v>
      </c>
      <c r="K8" s="289">
        <f>'Argyll &amp; Bute'!H250</f>
        <v>0</v>
      </c>
      <c r="L8" s="327">
        <v>1818</v>
      </c>
      <c r="M8" s="328">
        <v>1788</v>
      </c>
      <c r="N8" s="328">
        <v>1929</v>
      </c>
      <c r="O8" s="328">
        <v>1828</v>
      </c>
      <c r="P8" s="328">
        <v>1914</v>
      </c>
      <c r="Q8" s="328">
        <v>1835</v>
      </c>
      <c r="R8" s="328">
        <v>2117</v>
      </c>
      <c r="S8" s="328">
        <v>1321</v>
      </c>
      <c r="T8" s="289">
        <f>'Argyll &amp; Bute'!F251</f>
        <v>1562</v>
      </c>
      <c r="U8" s="289">
        <f>'Argyll &amp; Bute'!H251</f>
        <v>1581</v>
      </c>
      <c r="V8" s="327">
        <v>2063</v>
      </c>
      <c r="W8" s="328">
        <v>2104</v>
      </c>
      <c r="X8" s="328">
        <v>2161</v>
      </c>
      <c r="Y8" s="328">
        <v>1879</v>
      </c>
      <c r="Z8" s="328">
        <v>1801</v>
      </c>
      <c r="AA8" s="328">
        <v>1868</v>
      </c>
      <c r="AB8" s="328">
        <v>1869</v>
      </c>
      <c r="AC8" s="328">
        <v>1788</v>
      </c>
      <c r="AD8" s="289">
        <f>'Argyll &amp; Bute'!F252</f>
        <v>1656</v>
      </c>
      <c r="AE8" s="374">
        <f>'Argyll &amp; Bute'!H252</f>
        <v>1699</v>
      </c>
      <c r="AF8" s="327">
        <v>640</v>
      </c>
      <c r="AG8" s="328">
        <v>581</v>
      </c>
      <c r="AH8" s="328">
        <v>627</v>
      </c>
      <c r="AI8" s="328">
        <v>628</v>
      </c>
      <c r="AJ8" s="328">
        <v>678</v>
      </c>
      <c r="AK8" s="328">
        <v>636</v>
      </c>
      <c r="AL8" s="328">
        <v>730</v>
      </c>
      <c r="AM8" s="328">
        <v>647</v>
      </c>
      <c r="AN8" s="289">
        <f>'Argyll &amp; Bute'!F253</f>
        <v>651</v>
      </c>
      <c r="AO8" s="289">
        <f>'Argyll &amp; Bute'!H253</f>
        <v>665</v>
      </c>
      <c r="AP8" s="327">
        <v>4521</v>
      </c>
      <c r="AQ8" s="328">
        <v>4473</v>
      </c>
      <c r="AR8" s="328">
        <v>4717</v>
      </c>
      <c r="AS8" s="328">
        <v>4335</v>
      </c>
      <c r="AT8" s="328">
        <v>4393</v>
      </c>
      <c r="AU8" s="328">
        <v>4339</v>
      </c>
      <c r="AV8" s="328">
        <v>4716</v>
      </c>
      <c r="AW8" s="328">
        <v>3756</v>
      </c>
      <c r="AX8" s="289">
        <f>'Argyll &amp; Bute'!F254</f>
        <v>3869</v>
      </c>
      <c r="AY8" s="289">
        <f>'Argyll &amp; Bute'!H254</f>
        <v>3945</v>
      </c>
      <c r="BB8" s="403" t="e">
        <f t="shared" si="0"/>
        <v>#DIV/0!</v>
      </c>
      <c r="BC8" s="326">
        <f t="shared" si="1"/>
        <v>0</v>
      </c>
      <c r="BD8" s="403" t="e">
        <f t="shared" si="2"/>
        <v>#DIV/0!</v>
      </c>
      <c r="BE8" s="326">
        <f t="shared" si="3"/>
        <v>0</v>
      </c>
      <c r="BH8" s="403">
        <f t="shared" si="4"/>
        <v>-0.26216343882853094</v>
      </c>
      <c r="BI8" s="326">
        <f t="shared" si="5"/>
        <v>-555</v>
      </c>
      <c r="BJ8" s="403">
        <f t="shared" si="6"/>
        <v>0.19682059046177139</v>
      </c>
      <c r="BK8" s="326">
        <f t="shared" si="7"/>
        <v>260</v>
      </c>
      <c r="BM8" s="403">
        <f t="shared" si="8"/>
        <v>-0.11396468699839486</v>
      </c>
      <c r="BN8" s="326">
        <f t="shared" si="9"/>
        <v>-213</v>
      </c>
      <c r="BO8" s="403">
        <f t="shared" si="10"/>
        <v>-4.9776286353467564E-2</v>
      </c>
      <c r="BP8" s="326">
        <f t="shared" si="11"/>
        <v>-89</v>
      </c>
      <c r="BR8" s="403">
        <f t="shared" si="12"/>
        <v>-0.10821917808219178</v>
      </c>
      <c r="BS8" s="326">
        <f t="shared" si="13"/>
        <v>-79</v>
      </c>
      <c r="BT8" s="403">
        <f t="shared" si="14"/>
        <v>2.7820710973724884E-2</v>
      </c>
      <c r="BU8" s="326">
        <f t="shared" si="15"/>
        <v>18</v>
      </c>
    </row>
    <row r="9" spans="1:73">
      <c r="A9" s="316" t="s">
        <v>8</v>
      </c>
      <c r="B9" s="327">
        <v>292</v>
      </c>
      <c r="C9" s="328">
        <v>322</v>
      </c>
      <c r="D9" s="328">
        <v>288</v>
      </c>
      <c r="E9" s="328">
        <v>293</v>
      </c>
      <c r="F9" s="328">
        <v>211</v>
      </c>
      <c r="G9" s="328">
        <v>222</v>
      </c>
      <c r="H9" s="289">
        <v>658.61660331604548</v>
      </c>
      <c r="I9" s="289">
        <v>662.9963448536198</v>
      </c>
      <c r="J9" s="289">
        <f>Clackmannanshire!F250</f>
        <v>196</v>
      </c>
      <c r="K9" s="289">
        <f>Clackmannanshire!H250</f>
        <v>80</v>
      </c>
      <c r="L9" s="327">
        <v>1025</v>
      </c>
      <c r="M9" s="328">
        <v>831</v>
      </c>
      <c r="N9" s="328">
        <v>906</v>
      </c>
      <c r="O9" s="328">
        <v>910</v>
      </c>
      <c r="P9" s="328">
        <v>918</v>
      </c>
      <c r="Q9" s="328">
        <v>858</v>
      </c>
      <c r="R9" s="328">
        <v>505.80016438043458</v>
      </c>
      <c r="S9" s="328">
        <v>405.78839326542237</v>
      </c>
      <c r="T9" s="289">
        <f>Clackmannanshire!F251</f>
        <v>893</v>
      </c>
      <c r="U9" s="289">
        <f>Clackmannanshire!H251</f>
        <v>810</v>
      </c>
      <c r="V9" s="327">
        <v>1490</v>
      </c>
      <c r="W9" s="328">
        <v>1510</v>
      </c>
      <c r="X9" s="328">
        <v>1260</v>
      </c>
      <c r="Y9" s="328">
        <v>1245</v>
      </c>
      <c r="Z9" s="328">
        <v>1176</v>
      </c>
      <c r="AA9" s="328">
        <v>1182</v>
      </c>
      <c r="AB9" s="328">
        <v>1012.5267960145717</v>
      </c>
      <c r="AC9" s="328">
        <v>1055.6393468193166</v>
      </c>
      <c r="AD9" s="289">
        <f>Clackmannanshire!F252</f>
        <v>880</v>
      </c>
      <c r="AE9" s="374">
        <f>Clackmannanshire!H252</f>
        <v>1091</v>
      </c>
      <c r="AF9" s="327">
        <v>490</v>
      </c>
      <c r="AG9" s="328">
        <v>214</v>
      </c>
      <c r="AH9" s="328">
        <v>322</v>
      </c>
      <c r="AI9" s="328">
        <v>201</v>
      </c>
      <c r="AJ9" s="328">
        <v>364</v>
      </c>
      <c r="AK9" s="328">
        <v>445</v>
      </c>
      <c r="AL9" s="328">
        <v>446.02315597700351</v>
      </c>
      <c r="AM9" s="328">
        <v>389.85493885624612</v>
      </c>
      <c r="AN9" s="289">
        <f>Clackmannanshire!F253</f>
        <v>404</v>
      </c>
      <c r="AO9" s="289">
        <f>Clackmannanshire!H253</f>
        <v>372</v>
      </c>
      <c r="AP9" s="327">
        <v>3297</v>
      </c>
      <c r="AQ9" s="328">
        <v>2877</v>
      </c>
      <c r="AR9" s="328">
        <v>2776</v>
      </c>
      <c r="AS9" s="328">
        <v>2649</v>
      </c>
      <c r="AT9" s="328">
        <v>2669</v>
      </c>
      <c r="AU9" s="328">
        <v>2707</v>
      </c>
      <c r="AV9" s="328">
        <v>2622.9667196880555</v>
      </c>
      <c r="AW9" s="328">
        <v>2514.2790237946047</v>
      </c>
      <c r="AX9" s="289">
        <f>Clackmannanshire!F254</f>
        <v>2373</v>
      </c>
      <c r="AY9" s="289">
        <f>Clackmannanshire!H254</f>
        <v>2353</v>
      </c>
      <c r="BB9" s="403">
        <f t="shared" si="0"/>
        <v>-0.70240653057762814</v>
      </c>
      <c r="BC9" s="326">
        <f t="shared" si="1"/>
        <v>-462.61660331604548</v>
      </c>
      <c r="BD9" s="403">
        <f t="shared" si="2"/>
        <v>-0.87933568469723178</v>
      </c>
      <c r="BE9" s="326">
        <f t="shared" si="3"/>
        <v>-582.9963448536198</v>
      </c>
      <c r="BH9" s="403">
        <f t="shared" si="4"/>
        <v>0.76551939458907603</v>
      </c>
      <c r="BI9" s="326">
        <f t="shared" si="5"/>
        <v>387.19983561956542</v>
      </c>
      <c r="BJ9" s="403">
        <f t="shared" si="6"/>
        <v>0.99611426409179382</v>
      </c>
      <c r="BK9" s="326">
        <f t="shared" si="7"/>
        <v>404.21160673457763</v>
      </c>
      <c r="BM9" s="403">
        <f t="shared" si="8"/>
        <v>-0.13088719877460353</v>
      </c>
      <c r="BN9" s="326">
        <f t="shared" si="9"/>
        <v>-132.52679601457169</v>
      </c>
      <c r="BO9" s="403">
        <f t="shared" si="10"/>
        <v>3.3496907146580331E-2</v>
      </c>
      <c r="BP9" s="326">
        <f t="shared" si="11"/>
        <v>35.360653180683357</v>
      </c>
      <c r="BR9" s="403">
        <f t="shared" si="12"/>
        <v>-9.4217431121827636E-2</v>
      </c>
      <c r="BS9" s="326">
        <f t="shared" si="13"/>
        <v>-42.023155977003512</v>
      </c>
      <c r="BT9" s="403">
        <f t="shared" si="14"/>
        <v>-4.5798929490617264E-2</v>
      </c>
      <c r="BU9" s="326">
        <f t="shared" si="15"/>
        <v>-17.854938856246122</v>
      </c>
    </row>
    <row r="10" spans="1:73">
      <c r="A10" s="316" t="s">
        <v>9</v>
      </c>
      <c r="B10" s="327">
        <v>0</v>
      </c>
      <c r="C10" s="328">
        <v>0</v>
      </c>
      <c r="D10" s="328">
        <v>0</v>
      </c>
      <c r="E10" s="328">
        <v>0</v>
      </c>
      <c r="F10" s="328">
        <v>336</v>
      </c>
      <c r="G10" s="328">
        <v>307</v>
      </c>
      <c r="H10" s="289">
        <v>328</v>
      </c>
      <c r="I10" s="289">
        <v>321</v>
      </c>
      <c r="J10" s="289">
        <f>'Dumfries &amp; Galloway'!F250</f>
        <v>376</v>
      </c>
      <c r="K10" s="289">
        <f>'Dumfries &amp; Galloway'!H250</f>
        <v>190</v>
      </c>
      <c r="L10" s="327">
        <v>7596</v>
      </c>
      <c r="M10" s="328">
        <v>7077</v>
      </c>
      <c r="N10" s="328">
        <v>6779</v>
      </c>
      <c r="O10" s="328">
        <v>5770</v>
      </c>
      <c r="P10" s="328">
        <v>5829</v>
      </c>
      <c r="Q10" s="328">
        <v>5322</v>
      </c>
      <c r="R10" s="328">
        <v>4863</v>
      </c>
      <c r="S10" s="328">
        <v>4573</v>
      </c>
      <c r="T10" s="289">
        <f>'Dumfries &amp; Galloway'!F251</f>
        <v>4662</v>
      </c>
      <c r="U10" s="289">
        <f>'Dumfries &amp; Galloway'!H251</f>
        <v>4594</v>
      </c>
      <c r="V10" s="327">
        <v>2898</v>
      </c>
      <c r="W10" s="328">
        <v>2657</v>
      </c>
      <c r="X10" s="328">
        <v>2719</v>
      </c>
      <c r="Y10" s="328">
        <v>2342</v>
      </c>
      <c r="Z10" s="328">
        <v>2713</v>
      </c>
      <c r="AA10" s="328">
        <v>2455</v>
      </c>
      <c r="AB10" s="328">
        <v>3091</v>
      </c>
      <c r="AC10" s="328">
        <v>2724</v>
      </c>
      <c r="AD10" s="289">
        <f>'Dumfries &amp; Galloway'!F252</f>
        <v>2972</v>
      </c>
      <c r="AE10" s="374">
        <f>'Dumfries &amp; Galloway'!H252</f>
        <v>3052</v>
      </c>
      <c r="AF10" s="327">
        <v>778</v>
      </c>
      <c r="AG10" s="328">
        <v>413</v>
      </c>
      <c r="AH10" s="328">
        <v>646</v>
      </c>
      <c r="AI10" s="328">
        <v>489</v>
      </c>
      <c r="AJ10" s="328">
        <v>553</v>
      </c>
      <c r="AK10" s="328">
        <v>375</v>
      </c>
      <c r="AL10" s="328">
        <v>510</v>
      </c>
      <c r="AM10" s="328">
        <v>339</v>
      </c>
      <c r="AN10" s="289">
        <f>'Dumfries &amp; Galloway'!F253</f>
        <v>854</v>
      </c>
      <c r="AO10" s="289">
        <f>'Dumfries &amp; Galloway'!H253</f>
        <v>537</v>
      </c>
      <c r="AP10" s="327">
        <v>11272</v>
      </c>
      <c r="AQ10" s="328">
        <v>10147</v>
      </c>
      <c r="AR10" s="328">
        <v>10144</v>
      </c>
      <c r="AS10" s="328">
        <v>8601</v>
      </c>
      <c r="AT10" s="328">
        <v>9431</v>
      </c>
      <c r="AU10" s="328">
        <v>8459</v>
      </c>
      <c r="AV10" s="328">
        <v>8792</v>
      </c>
      <c r="AW10" s="328">
        <v>7957</v>
      </c>
      <c r="AX10" s="289">
        <f>'Dumfries &amp; Galloway'!F254</f>
        <v>8864</v>
      </c>
      <c r="AY10" s="289">
        <f>'Dumfries &amp; Galloway'!H254</f>
        <v>8373</v>
      </c>
      <c r="BB10" s="403">
        <f t="shared" si="0"/>
        <v>0.14634146341463414</v>
      </c>
      <c r="BC10" s="326">
        <f t="shared" si="1"/>
        <v>48</v>
      </c>
      <c r="BD10" s="403">
        <f t="shared" si="2"/>
        <v>-0.40809968847352024</v>
      </c>
      <c r="BE10" s="326">
        <f t="shared" si="3"/>
        <v>-131</v>
      </c>
      <c r="BH10" s="403">
        <f t="shared" si="4"/>
        <v>-4.1332510795805057E-2</v>
      </c>
      <c r="BI10" s="326">
        <f t="shared" si="5"/>
        <v>-201</v>
      </c>
      <c r="BJ10" s="403">
        <f t="shared" si="6"/>
        <v>4.5921714410671333E-3</v>
      </c>
      <c r="BK10" s="326">
        <f t="shared" si="7"/>
        <v>21</v>
      </c>
      <c r="BM10" s="403">
        <f t="shared" si="8"/>
        <v>-3.8498867680362342E-2</v>
      </c>
      <c r="BN10" s="326">
        <f t="shared" si="9"/>
        <v>-119</v>
      </c>
      <c r="BO10" s="403">
        <f t="shared" si="10"/>
        <v>0.12041116005873716</v>
      </c>
      <c r="BP10" s="326">
        <f t="shared" si="11"/>
        <v>328</v>
      </c>
      <c r="BR10" s="403">
        <f t="shared" si="12"/>
        <v>0.67450980392156867</v>
      </c>
      <c r="BS10" s="326">
        <f t="shared" si="13"/>
        <v>344</v>
      </c>
      <c r="BT10" s="403">
        <f t="shared" si="14"/>
        <v>0.58407079646017701</v>
      </c>
      <c r="BU10" s="326">
        <f t="shared" si="15"/>
        <v>198</v>
      </c>
    </row>
    <row r="11" spans="1:73">
      <c r="A11" s="316" t="s">
        <v>11</v>
      </c>
      <c r="B11" s="327">
        <v>1195</v>
      </c>
      <c r="C11" s="328">
        <v>1184</v>
      </c>
      <c r="D11" s="328">
        <v>1204</v>
      </c>
      <c r="E11" s="328">
        <v>1154</v>
      </c>
      <c r="F11" s="328">
        <v>1200</v>
      </c>
      <c r="G11" s="328">
        <v>1123</v>
      </c>
      <c r="H11" s="289">
        <v>1103</v>
      </c>
      <c r="I11" s="289">
        <v>1166</v>
      </c>
      <c r="J11" s="289">
        <f>'Dundee City'!F250</f>
        <v>1159</v>
      </c>
      <c r="K11" s="289">
        <f>'Dundee City'!H250</f>
        <v>1198</v>
      </c>
      <c r="L11" s="327">
        <v>2814</v>
      </c>
      <c r="M11" s="328">
        <v>2955</v>
      </c>
      <c r="N11" s="328">
        <v>2884</v>
      </c>
      <c r="O11" s="328">
        <v>2982</v>
      </c>
      <c r="P11" s="328">
        <v>2956</v>
      </c>
      <c r="Q11" s="328">
        <v>2884</v>
      </c>
      <c r="R11" s="328">
        <v>2973</v>
      </c>
      <c r="S11" s="328">
        <v>3046</v>
      </c>
      <c r="T11" s="289">
        <f>'Dundee City'!F251</f>
        <v>2892</v>
      </c>
      <c r="U11" s="289">
        <f>'Dundee City'!H251</f>
        <v>3715</v>
      </c>
      <c r="V11" s="327">
        <v>3860</v>
      </c>
      <c r="W11" s="328">
        <v>3861</v>
      </c>
      <c r="X11" s="328">
        <v>3988</v>
      </c>
      <c r="Y11" s="328">
        <v>2552</v>
      </c>
      <c r="Z11" s="328">
        <v>2624</v>
      </c>
      <c r="AA11" s="328">
        <v>2824</v>
      </c>
      <c r="AB11" s="328">
        <v>2094</v>
      </c>
      <c r="AC11" s="328">
        <v>1912</v>
      </c>
      <c r="AD11" s="289">
        <f>'Dundee City'!F252</f>
        <v>1627</v>
      </c>
      <c r="AE11" s="374">
        <f>'Dundee City'!H252</f>
        <v>1923</v>
      </c>
      <c r="AF11" s="327">
        <v>1963</v>
      </c>
      <c r="AG11" s="328">
        <v>1879</v>
      </c>
      <c r="AH11" s="328">
        <v>1963</v>
      </c>
      <c r="AI11" s="328">
        <v>1675</v>
      </c>
      <c r="AJ11" s="328">
        <v>1776</v>
      </c>
      <c r="AK11" s="328">
        <v>1607</v>
      </c>
      <c r="AL11" s="328">
        <v>1624</v>
      </c>
      <c r="AM11" s="328">
        <v>1690</v>
      </c>
      <c r="AN11" s="289">
        <f>'Dundee City'!F253</f>
        <v>1488</v>
      </c>
      <c r="AO11" s="289">
        <f>'Dundee City'!H253</f>
        <v>1673</v>
      </c>
      <c r="AP11" s="327">
        <v>9832</v>
      </c>
      <c r="AQ11" s="328">
        <v>9879</v>
      </c>
      <c r="AR11" s="328">
        <v>10039</v>
      </c>
      <c r="AS11" s="328">
        <v>8363</v>
      </c>
      <c r="AT11" s="328">
        <v>8556</v>
      </c>
      <c r="AU11" s="328">
        <v>8438</v>
      </c>
      <c r="AV11" s="328">
        <v>7794</v>
      </c>
      <c r="AW11" s="328">
        <v>7814</v>
      </c>
      <c r="AX11" s="289">
        <f>'Dundee City'!F254</f>
        <v>7166</v>
      </c>
      <c r="AY11" s="289">
        <f>'Dundee City'!H254</f>
        <v>8509</v>
      </c>
      <c r="BB11" s="403">
        <f t="shared" si="0"/>
        <v>5.0770625566636446E-2</v>
      </c>
      <c r="BC11" s="326">
        <f t="shared" si="1"/>
        <v>56</v>
      </c>
      <c r="BD11" s="403">
        <f t="shared" si="2"/>
        <v>2.7444253859348199E-2</v>
      </c>
      <c r="BE11" s="326">
        <f t="shared" si="3"/>
        <v>32</v>
      </c>
      <c r="BH11" s="403">
        <f t="shared" si="4"/>
        <v>-2.7245206861755803E-2</v>
      </c>
      <c r="BI11" s="326">
        <f t="shared" si="5"/>
        <v>-81</v>
      </c>
      <c r="BJ11" s="403">
        <f t="shared" si="6"/>
        <v>0.2196323046618516</v>
      </c>
      <c r="BK11" s="326">
        <f t="shared" si="7"/>
        <v>669</v>
      </c>
      <c r="BM11" s="403">
        <f t="shared" si="8"/>
        <v>-0.223018147086915</v>
      </c>
      <c r="BN11" s="326">
        <f t="shared" si="9"/>
        <v>-467</v>
      </c>
      <c r="BO11" s="403">
        <f t="shared" si="10"/>
        <v>5.7531380753138078E-3</v>
      </c>
      <c r="BP11" s="326">
        <f t="shared" si="11"/>
        <v>11</v>
      </c>
      <c r="BR11" s="403">
        <f t="shared" si="12"/>
        <v>-8.3743842364532015E-2</v>
      </c>
      <c r="BS11" s="326">
        <f t="shared" si="13"/>
        <v>-136</v>
      </c>
      <c r="BT11" s="403">
        <f t="shared" si="14"/>
        <v>-1.0059171597633136E-2</v>
      </c>
      <c r="BU11" s="326">
        <f t="shared" si="15"/>
        <v>-17</v>
      </c>
    </row>
    <row r="12" spans="1:73">
      <c r="A12" s="316" t="s">
        <v>13</v>
      </c>
      <c r="B12" s="327">
        <v>280</v>
      </c>
      <c r="C12" s="328">
        <v>255</v>
      </c>
      <c r="D12" s="328">
        <v>310</v>
      </c>
      <c r="E12" s="328">
        <v>273</v>
      </c>
      <c r="F12" s="328">
        <v>313</v>
      </c>
      <c r="G12" s="328">
        <v>294</v>
      </c>
      <c r="H12" s="289">
        <v>266</v>
      </c>
      <c r="I12" s="289">
        <v>275</v>
      </c>
      <c r="J12" s="289">
        <f>'East Ayrshire'!F250</f>
        <v>437</v>
      </c>
      <c r="K12" s="289">
        <f>'East Ayrshire'!H250</f>
        <v>428</v>
      </c>
      <c r="L12" s="327">
        <v>1751</v>
      </c>
      <c r="M12" s="328">
        <v>1648</v>
      </c>
      <c r="N12" s="328">
        <v>1562</v>
      </c>
      <c r="O12" s="328">
        <v>1365</v>
      </c>
      <c r="P12" s="328">
        <v>1448</v>
      </c>
      <c r="Q12" s="328">
        <v>1278</v>
      </c>
      <c r="R12" s="328">
        <v>1038</v>
      </c>
      <c r="S12" s="328">
        <v>1073</v>
      </c>
      <c r="T12" s="289">
        <f>'East Ayrshire'!F251</f>
        <v>762</v>
      </c>
      <c r="U12" s="289">
        <f>'East Ayrshire'!H251</f>
        <v>649</v>
      </c>
      <c r="V12" s="327">
        <v>959</v>
      </c>
      <c r="W12" s="328">
        <v>1038</v>
      </c>
      <c r="X12" s="328">
        <v>997</v>
      </c>
      <c r="Y12" s="328">
        <v>1050</v>
      </c>
      <c r="Z12" s="328">
        <v>972</v>
      </c>
      <c r="AA12" s="328">
        <v>818</v>
      </c>
      <c r="AB12" s="328">
        <v>801</v>
      </c>
      <c r="AC12" s="328">
        <v>802</v>
      </c>
      <c r="AD12" s="289">
        <f>'East Ayrshire'!F252</f>
        <v>886</v>
      </c>
      <c r="AE12" s="374">
        <f>'East Ayrshire'!H252</f>
        <v>648</v>
      </c>
      <c r="AF12" s="327">
        <v>1111</v>
      </c>
      <c r="AG12" s="328">
        <v>1023</v>
      </c>
      <c r="AH12" s="328">
        <v>1236</v>
      </c>
      <c r="AI12" s="328">
        <v>1197</v>
      </c>
      <c r="AJ12" s="328">
        <v>1937</v>
      </c>
      <c r="AK12" s="328">
        <v>1783</v>
      </c>
      <c r="AL12" s="328">
        <v>1469</v>
      </c>
      <c r="AM12" s="328">
        <v>1525</v>
      </c>
      <c r="AN12" s="289">
        <f>'East Ayrshire'!F253</f>
        <v>1667</v>
      </c>
      <c r="AO12" s="289">
        <f>'East Ayrshire'!H253</f>
        <v>1637</v>
      </c>
      <c r="AP12" s="327">
        <v>4101</v>
      </c>
      <c r="AQ12" s="328">
        <v>3964</v>
      </c>
      <c r="AR12" s="328">
        <v>4105</v>
      </c>
      <c r="AS12" s="328">
        <v>3885</v>
      </c>
      <c r="AT12" s="328">
        <v>4670</v>
      </c>
      <c r="AU12" s="328">
        <v>4173</v>
      </c>
      <c r="AV12" s="328">
        <v>3574</v>
      </c>
      <c r="AW12" s="328">
        <v>3675</v>
      </c>
      <c r="AX12" s="289">
        <f>'East Ayrshire'!F254</f>
        <v>3752</v>
      </c>
      <c r="AY12" s="289">
        <f>'East Ayrshire'!H254</f>
        <v>3362</v>
      </c>
      <c r="BB12" s="403">
        <f t="shared" si="0"/>
        <v>0.6428571428571429</v>
      </c>
      <c r="BC12" s="326">
        <f t="shared" si="1"/>
        <v>171</v>
      </c>
      <c r="BD12" s="403">
        <f t="shared" si="2"/>
        <v>0.55636363636363639</v>
      </c>
      <c r="BE12" s="326">
        <f t="shared" si="3"/>
        <v>153</v>
      </c>
      <c r="BH12" s="403">
        <f t="shared" si="4"/>
        <v>-0.26589595375722541</v>
      </c>
      <c r="BI12" s="326">
        <f t="shared" si="5"/>
        <v>-276</v>
      </c>
      <c r="BJ12" s="403">
        <f t="shared" si="6"/>
        <v>-0.39515377446411931</v>
      </c>
      <c r="BK12" s="326">
        <f t="shared" si="7"/>
        <v>-424</v>
      </c>
      <c r="BM12" s="403">
        <f t="shared" si="8"/>
        <v>0.10611735330836454</v>
      </c>
      <c r="BN12" s="326">
        <f t="shared" si="9"/>
        <v>85</v>
      </c>
      <c r="BO12" s="403">
        <f t="shared" si="10"/>
        <v>-0.19201995012468828</v>
      </c>
      <c r="BP12" s="326">
        <f t="shared" si="11"/>
        <v>-154</v>
      </c>
      <c r="BR12" s="403">
        <f t="shared" si="12"/>
        <v>0.134785568413887</v>
      </c>
      <c r="BS12" s="326">
        <f t="shared" si="13"/>
        <v>198</v>
      </c>
      <c r="BT12" s="403">
        <f t="shared" si="14"/>
        <v>7.3442622950819672E-2</v>
      </c>
      <c r="BU12" s="326">
        <f t="shared" si="15"/>
        <v>112</v>
      </c>
    </row>
    <row r="13" spans="1:73">
      <c r="A13" s="316" t="s">
        <v>16</v>
      </c>
      <c r="B13" s="327">
        <v>323</v>
      </c>
      <c r="C13" s="328">
        <v>286</v>
      </c>
      <c r="D13" s="328">
        <v>302</v>
      </c>
      <c r="E13" s="328">
        <v>301</v>
      </c>
      <c r="F13" s="328">
        <v>286</v>
      </c>
      <c r="G13" s="328">
        <v>304</v>
      </c>
      <c r="H13" s="289">
        <v>318.70999999999998</v>
      </c>
      <c r="I13" s="289">
        <v>321.529</v>
      </c>
      <c r="J13" s="289">
        <f>'East Dunbartonshire'!F250</f>
        <v>343</v>
      </c>
      <c r="K13" s="289">
        <f>'East Dunbartonshire'!H250</f>
        <v>315</v>
      </c>
      <c r="L13" s="327">
        <v>2214</v>
      </c>
      <c r="M13" s="328">
        <v>2288</v>
      </c>
      <c r="N13" s="328">
        <v>2508</v>
      </c>
      <c r="O13" s="328">
        <v>2324</v>
      </c>
      <c r="P13" s="328">
        <v>2294</v>
      </c>
      <c r="Q13" s="328">
        <v>2168</v>
      </c>
      <c r="R13" s="328">
        <v>2344.06</v>
      </c>
      <c r="S13" s="328">
        <v>2148.7860000000001</v>
      </c>
      <c r="T13" s="289">
        <f>'East Dunbartonshire'!F251</f>
        <v>2148</v>
      </c>
      <c r="U13" s="289">
        <f>'East Dunbartonshire'!H251</f>
        <v>2238</v>
      </c>
      <c r="V13" s="327">
        <v>1814</v>
      </c>
      <c r="W13" s="328">
        <v>1755</v>
      </c>
      <c r="X13" s="328">
        <v>2742</v>
      </c>
      <c r="Y13" s="328">
        <v>2514</v>
      </c>
      <c r="Z13" s="328">
        <v>3016</v>
      </c>
      <c r="AA13" s="328">
        <v>2947</v>
      </c>
      <c r="AB13" s="328">
        <v>2930.5940000000001</v>
      </c>
      <c r="AC13" s="328">
        <v>3067.123</v>
      </c>
      <c r="AD13" s="289">
        <f>'East Dunbartonshire'!F252</f>
        <v>2790</v>
      </c>
      <c r="AE13" s="374">
        <f>'East Dunbartonshire'!H252</f>
        <v>3005</v>
      </c>
      <c r="AF13" s="327">
        <v>538</v>
      </c>
      <c r="AG13" s="328">
        <v>520</v>
      </c>
      <c r="AH13" s="328">
        <v>492</v>
      </c>
      <c r="AI13" s="328">
        <v>354</v>
      </c>
      <c r="AJ13" s="328">
        <v>1277</v>
      </c>
      <c r="AK13" s="328">
        <v>1234</v>
      </c>
      <c r="AL13" s="328">
        <v>1468.7260000000001</v>
      </c>
      <c r="AM13" s="328">
        <v>1326.645</v>
      </c>
      <c r="AN13" s="289">
        <f>'East Dunbartonshire'!F253</f>
        <v>1530</v>
      </c>
      <c r="AO13" s="289">
        <f>'East Dunbartonshire'!H253</f>
        <v>1107</v>
      </c>
      <c r="AP13" s="327">
        <v>4889</v>
      </c>
      <c r="AQ13" s="328">
        <v>4849</v>
      </c>
      <c r="AR13" s="328">
        <v>6044</v>
      </c>
      <c r="AS13" s="328">
        <v>5493</v>
      </c>
      <c r="AT13" s="328">
        <v>6873</v>
      </c>
      <c r="AU13" s="328">
        <v>6653</v>
      </c>
      <c r="AV13" s="328">
        <v>7062.09</v>
      </c>
      <c r="AW13" s="328">
        <v>6864.0830000000005</v>
      </c>
      <c r="AX13" s="289">
        <f>'East Dunbartonshire'!F254</f>
        <v>6811</v>
      </c>
      <c r="AY13" s="289">
        <f>'East Dunbartonshire'!H254</f>
        <v>6665</v>
      </c>
      <c r="BB13" s="403">
        <f t="shared" si="0"/>
        <v>7.6213485613881027E-2</v>
      </c>
      <c r="BC13" s="326">
        <f t="shared" si="1"/>
        <v>24.29000000000002</v>
      </c>
      <c r="BD13" s="403">
        <f t="shared" si="2"/>
        <v>-2.030609991633724E-2</v>
      </c>
      <c r="BE13" s="326">
        <f t="shared" si="3"/>
        <v>-6.5289999999999964</v>
      </c>
      <c r="BH13" s="403">
        <f t="shared" si="4"/>
        <v>-8.3641203723454155E-2</v>
      </c>
      <c r="BI13" s="326">
        <f t="shared" si="5"/>
        <v>-196.05999999999995</v>
      </c>
      <c r="BJ13" s="403">
        <f t="shared" si="6"/>
        <v>4.1518327092600164E-2</v>
      </c>
      <c r="BK13" s="326">
        <f t="shared" si="7"/>
        <v>89.213999999999942</v>
      </c>
      <c r="BM13" s="403">
        <f t="shared" si="8"/>
        <v>-4.7974574437810238E-2</v>
      </c>
      <c r="BN13" s="326">
        <f t="shared" si="9"/>
        <v>-140.59400000000005</v>
      </c>
      <c r="BO13" s="403">
        <f t="shared" si="10"/>
        <v>-2.0254486044413624E-2</v>
      </c>
      <c r="BP13" s="326">
        <f t="shared" si="11"/>
        <v>-62.123000000000047</v>
      </c>
      <c r="BR13" s="403">
        <f t="shared" si="12"/>
        <v>4.1719149793766765E-2</v>
      </c>
      <c r="BS13" s="326">
        <f t="shared" si="13"/>
        <v>61.273999999999887</v>
      </c>
      <c r="BT13" s="403">
        <f t="shared" si="14"/>
        <v>-0.16556426172789254</v>
      </c>
      <c r="BU13" s="326">
        <f t="shared" si="15"/>
        <v>-219.64499999999998</v>
      </c>
    </row>
    <row r="14" spans="1:73">
      <c r="A14" s="316" t="s">
        <v>19</v>
      </c>
      <c r="B14" s="327">
        <v>735</v>
      </c>
      <c r="C14" s="328">
        <v>650</v>
      </c>
      <c r="D14" s="328">
        <v>734</v>
      </c>
      <c r="E14" s="328">
        <v>759</v>
      </c>
      <c r="F14" s="328">
        <v>764</v>
      </c>
      <c r="G14" s="328">
        <v>795</v>
      </c>
      <c r="H14" s="289">
        <v>740</v>
      </c>
      <c r="I14" s="289">
        <v>782</v>
      </c>
      <c r="J14" s="289">
        <f>'East Lothian'!F250</f>
        <v>726</v>
      </c>
      <c r="K14" s="289">
        <f>'East Lothian'!H250</f>
        <v>756</v>
      </c>
      <c r="L14" s="327">
        <v>3518</v>
      </c>
      <c r="M14" s="328">
        <v>4200</v>
      </c>
      <c r="N14" s="328">
        <v>4014</v>
      </c>
      <c r="O14" s="328">
        <v>3950</v>
      </c>
      <c r="P14" s="328">
        <v>4272</v>
      </c>
      <c r="Q14" s="328">
        <v>4296</v>
      </c>
      <c r="R14" s="328">
        <v>4222</v>
      </c>
      <c r="S14" s="328">
        <v>4297</v>
      </c>
      <c r="T14" s="289">
        <f>'East Lothian'!F251</f>
        <v>4271</v>
      </c>
      <c r="U14" s="289">
        <f>'East Lothian'!H251</f>
        <v>4261</v>
      </c>
      <c r="V14" s="327">
        <v>4497</v>
      </c>
      <c r="W14" s="328">
        <v>4000</v>
      </c>
      <c r="X14" s="328">
        <v>2877</v>
      </c>
      <c r="Y14" s="328">
        <v>2923</v>
      </c>
      <c r="Z14" s="328">
        <v>3032</v>
      </c>
      <c r="AA14" s="328">
        <v>3100</v>
      </c>
      <c r="AB14" s="328">
        <v>3023</v>
      </c>
      <c r="AC14" s="328">
        <v>3062</v>
      </c>
      <c r="AD14" s="289">
        <f>'East Lothian'!F252</f>
        <v>2958</v>
      </c>
      <c r="AE14" s="374">
        <f>'East Lothian'!H252</f>
        <v>3098</v>
      </c>
      <c r="AF14" s="327">
        <v>3027</v>
      </c>
      <c r="AG14" s="328">
        <v>3000</v>
      </c>
      <c r="AH14" s="328">
        <v>2683</v>
      </c>
      <c r="AI14" s="328">
        <v>2804</v>
      </c>
      <c r="AJ14" s="328">
        <v>3678</v>
      </c>
      <c r="AK14" s="328">
        <v>3700</v>
      </c>
      <c r="AL14" s="328">
        <v>3675</v>
      </c>
      <c r="AM14" s="328">
        <v>3710</v>
      </c>
      <c r="AN14" s="289">
        <f>'East Lothian'!F253</f>
        <v>3743</v>
      </c>
      <c r="AO14" s="289">
        <f>'East Lothian'!H253</f>
        <v>3743</v>
      </c>
      <c r="AP14" s="327">
        <v>11777</v>
      </c>
      <c r="AQ14" s="328">
        <v>11850</v>
      </c>
      <c r="AR14" s="328">
        <v>10308</v>
      </c>
      <c r="AS14" s="328">
        <v>10436</v>
      </c>
      <c r="AT14" s="328">
        <v>11746</v>
      </c>
      <c r="AU14" s="328">
        <v>11891</v>
      </c>
      <c r="AV14" s="328">
        <v>11660</v>
      </c>
      <c r="AW14" s="328">
        <v>11851</v>
      </c>
      <c r="AX14" s="289">
        <f>'East Lothian'!F254</f>
        <v>11698</v>
      </c>
      <c r="AY14" s="289">
        <f>'East Lothian'!H254</f>
        <v>11858</v>
      </c>
      <c r="BB14" s="403">
        <f t="shared" si="0"/>
        <v>-1.891891891891892E-2</v>
      </c>
      <c r="BC14" s="326">
        <f t="shared" si="1"/>
        <v>-14</v>
      </c>
      <c r="BD14" s="403">
        <f t="shared" si="2"/>
        <v>-3.3248081841432228E-2</v>
      </c>
      <c r="BE14" s="326">
        <f t="shared" si="3"/>
        <v>-26</v>
      </c>
      <c r="BH14" s="403">
        <f t="shared" si="4"/>
        <v>1.1605873993368073E-2</v>
      </c>
      <c r="BI14" s="326">
        <f t="shared" si="5"/>
        <v>49</v>
      </c>
      <c r="BJ14" s="403">
        <f t="shared" si="6"/>
        <v>-8.3779380963462883E-3</v>
      </c>
      <c r="BK14" s="326">
        <f t="shared" si="7"/>
        <v>-36</v>
      </c>
      <c r="BM14" s="403">
        <f t="shared" si="8"/>
        <v>-2.150181938471717E-2</v>
      </c>
      <c r="BN14" s="326">
        <f t="shared" si="9"/>
        <v>-65</v>
      </c>
      <c r="BO14" s="403">
        <f t="shared" si="10"/>
        <v>1.1757021554539516E-2</v>
      </c>
      <c r="BP14" s="326">
        <f t="shared" si="11"/>
        <v>36</v>
      </c>
      <c r="BR14" s="403">
        <f t="shared" si="12"/>
        <v>1.8503401360544219E-2</v>
      </c>
      <c r="BS14" s="326">
        <f t="shared" si="13"/>
        <v>68</v>
      </c>
      <c r="BT14" s="403">
        <f t="shared" si="14"/>
        <v>8.8948787061994602E-3</v>
      </c>
      <c r="BU14" s="326">
        <f t="shared" si="15"/>
        <v>33</v>
      </c>
    </row>
    <row r="15" spans="1:73">
      <c r="A15" s="316" t="s">
        <v>22</v>
      </c>
      <c r="B15" s="327"/>
      <c r="C15" s="328"/>
      <c r="D15" s="328"/>
      <c r="E15" s="328"/>
      <c r="F15" s="328">
        <v>0</v>
      </c>
      <c r="G15" s="328">
        <v>0</v>
      </c>
      <c r="H15" s="289">
        <v>0</v>
      </c>
      <c r="I15" s="289">
        <v>0</v>
      </c>
      <c r="J15" s="289">
        <f>'East Renfrewshire'!F250</f>
        <v>0</v>
      </c>
      <c r="K15" s="289">
        <f>'East Renfrewshire'!H250</f>
        <v>0</v>
      </c>
      <c r="L15" s="327">
        <v>3616</v>
      </c>
      <c r="M15" s="328">
        <v>3351</v>
      </c>
      <c r="N15" s="328">
        <v>3795</v>
      </c>
      <c r="O15" s="328">
        <v>3373</v>
      </c>
      <c r="P15" s="328">
        <v>2412</v>
      </c>
      <c r="Q15" s="328">
        <v>2569</v>
      </c>
      <c r="R15" s="328">
        <v>3141</v>
      </c>
      <c r="S15" s="328">
        <v>3358</v>
      </c>
      <c r="T15" s="289">
        <f>'East Renfrewshire'!F251</f>
        <v>3693</v>
      </c>
      <c r="U15" s="289">
        <f>'East Renfrewshire'!H251</f>
        <v>3809</v>
      </c>
      <c r="V15" s="327">
        <v>1661</v>
      </c>
      <c r="W15" s="328">
        <v>1772</v>
      </c>
      <c r="X15" s="328">
        <v>1799</v>
      </c>
      <c r="Y15" s="328">
        <v>1589</v>
      </c>
      <c r="Z15" s="328">
        <v>1631</v>
      </c>
      <c r="AA15" s="328">
        <v>1961</v>
      </c>
      <c r="AB15" s="328">
        <v>1907</v>
      </c>
      <c r="AC15" s="328">
        <v>1692</v>
      </c>
      <c r="AD15" s="289">
        <f>'East Renfrewshire'!F252</f>
        <v>1544</v>
      </c>
      <c r="AE15" s="374">
        <f>'East Renfrewshire'!H252</f>
        <v>1282</v>
      </c>
      <c r="AF15" s="327">
        <v>1881</v>
      </c>
      <c r="AG15" s="328">
        <v>1766</v>
      </c>
      <c r="AH15" s="328">
        <v>2007</v>
      </c>
      <c r="AI15" s="328">
        <v>1802</v>
      </c>
      <c r="AJ15" s="328">
        <v>2422</v>
      </c>
      <c r="AK15" s="328">
        <v>2513</v>
      </c>
      <c r="AL15" s="328">
        <v>2711</v>
      </c>
      <c r="AM15" s="328">
        <v>2932</v>
      </c>
      <c r="AN15" s="289">
        <f>'East Renfrewshire'!F253</f>
        <v>3024</v>
      </c>
      <c r="AO15" s="289">
        <f>'East Renfrewshire'!H253</f>
        <v>2874</v>
      </c>
      <c r="AP15" s="327">
        <v>7158</v>
      </c>
      <c r="AQ15" s="328">
        <v>6889</v>
      </c>
      <c r="AR15" s="328">
        <v>7601</v>
      </c>
      <c r="AS15" s="328">
        <v>6764</v>
      </c>
      <c r="AT15" s="328">
        <v>6465</v>
      </c>
      <c r="AU15" s="328">
        <v>7043</v>
      </c>
      <c r="AV15" s="328">
        <v>7759</v>
      </c>
      <c r="AW15" s="328">
        <v>7982</v>
      </c>
      <c r="AX15" s="289">
        <f>'East Renfrewshire'!F254</f>
        <v>8261</v>
      </c>
      <c r="AY15" s="289">
        <f>'East Renfrewshire'!H254</f>
        <v>7965</v>
      </c>
      <c r="BB15" s="403" t="e">
        <f t="shared" si="0"/>
        <v>#DIV/0!</v>
      </c>
      <c r="BC15" s="326">
        <f t="shared" si="1"/>
        <v>0</v>
      </c>
      <c r="BD15" s="403" t="e">
        <f t="shared" si="2"/>
        <v>#DIV/0!</v>
      </c>
      <c r="BE15" s="326">
        <f t="shared" si="3"/>
        <v>0</v>
      </c>
      <c r="BH15" s="403">
        <f t="shared" si="4"/>
        <v>0.17574021012416427</v>
      </c>
      <c r="BI15" s="326">
        <f t="shared" si="5"/>
        <v>552</v>
      </c>
      <c r="BJ15" s="403">
        <f t="shared" si="6"/>
        <v>0.1343061346039309</v>
      </c>
      <c r="BK15" s="326">
        <f t="shared" si="7"/>
        <v>451</v>
      </c>
      <c r="BM15" s="403">
        <f t="shared" si="8"/>
        <v>-0.19035133717881489</v>
      </c>
      <c r="BN15" s="326">
        <f t="shared" si="9"/>
        <v>-363</v>
      </c>
      <c r="BO15" s="403">
        <f t="shared" si="10"/>
        <v>-0.24231678486997635</v>
      </c>
      <c r="BP15" s="326">
        <f t="shared" si="11"/>
        <v>-410</v>
      </c>
      <c r="BR15" s="403">
        <f t="shared" si="12"/>
        <v>0.11545555145702693</v>
      </c>
      <c r="BS15" s="326">
        <f t="shared" si="13"/>
        <v>313</v>
      </c>
      <c r="BT15" s="403">
        <f t="shared" si="14"/>
        <v>-1.9781718963165076E-2</v>
      </c>
      <c r="BU15" s="326">
        <f t="shared" si="15"/>
        <v>-58</v>
      </c>
    </row>
    <row r="16" spans="1:73">
      <c r="A16" s="316" t="s">
        <v>25</v>
      </c>
      <c r="B16" s="327">
        <v>672</v>
      </c>
      <c r="C16" s="328">
        <v>649</v>
      </c>
      <c r="D16" s="328">
        <v>533</v>
      </c>
      <c r="E16" s="328">
        <v>570</v>
      </c>
      <c r="F16" s="328">
        <v>458</v>
      </c>
      <c r="G16" s="328">
        <v>465</v>
      </c>
      <c r="H16" s="289">
        <v>624</v>
      </c>
      <c r="I16" s="289">
        <v>465</v>
      </c>
      <c r="J16" s="289">
        <f>'Edinburgh, City of'!F250</f>
        <v>563</v>
      </c>
      <c r="K16" s="289">
        <f>'Edinburgh, City of'!H250</f>
        <v>456</v>
      </c>
      <c r="L16" s="327">
        <v>10219</v>
      </c>
      <c r="M16" s="328">
        <v>8247</v>
      </c>
      <c r="N16" s="328">
        <v>8434</v>
      </c>
      <c r="O16" s="328">
        <v>8342</v>
      </c>
      <c r="P16" s="328">
        <v>8592</v>
      </c>
      <c r="Q16" s="328">
        <v>8179</v>
      </c>
      <c r="R16" s="328">
        <v>7468</v>
      </c>
      <c r="S16" s="328">
        <v>6969</v>
      </c>
      <c r="T16" s="289">
        <f>'Edinburgh, City of'!F251</f>
        <v>7984</v>
      </c>
      <c r="U16" s="289">
        <f>'Edinburgh, City of'!H251</f>
        <v>7111</v>
      </c>
      <c r="V16" s="327">
        <v>6153</v>
      </c>
      <c r="W16" s="328">
        <v>6032</v>
      </c>
      <c r="X16" s="328">
        <v>5864</v>
      </c>
      <c r="Y16" s="328">
        <v>5951</v>
      </c>
      <c r="Z16" s="328">
        <v>3115</v>
      </c>
      <c r="AA16" s="328">
        <v>3549</v>
      </c>
      <c r="AB16" s="328">
        <v>3554</v>
      </c>
      <c r="AC16" s="328">
        <v>2965</v>
      </c>
      <c r="AD16" s="289">
        <f>'Edinburgh, City of'!F252</f>
        <v>3171</v>
      </c>
      <c r="AE16" s="374">
        <f>'Edinburgh, City of'!H252</f>
        <v>2873</v>
      </c>
      <c r="AF16" s="327">
        <v>10</v>
      </c>
      <c r="AG16" s="328">
        <v>6</v>
      </c>
      <c r="AH16" s="328">
        <v>3</v>
      </c>
      <c r="AI16" s="328">
        <v>-17</v>
      </c>
      <c r="AJ16" s="328">
        <v>-13</v>
      </c>
      <c r="AK16" s="328">
        <v>-18</v>
      </c>
      <c r="AL16" s="328">
        <v>110</v>
      </c>
      <c r="AM16" s="328">
        <v>105</v>
      </c>
      <c r="AN16" s="289">
        <f>'Edinburgh, City of'!F253</f>
        <v>215</v>
      </c>
      <c r="AO16" s="289">
        <f>'Edinburgh, City of'!H253</f>
        <v>197</v>
      </c>
      <c r="AP16" s="327">
        <v>17054</v>
      </c>
      <c r="AQ16" s="328">
        <v>14934</v>
      </c>
      <c r="AR16" s="328">
        <v>14834</v>
      </c>
      <c r="AS16" s="328">
        <v>14846</v>
      </c>
      <c r="AT16" s="328">
        <v>12152</v>
      </c>
      <c r="AU16" s="328">
        <v>12175</v>
      </c>
      <c r="AV16" s="328">
        <v>11756</v>
      </c>
      <c r="AW16" s="328">
        <v>10504</v>
      </c>
      <c r="AX16" s="289">
        <f>'Edinburgh, City of'!F254</f>
        <v>11933</v>
      </c>
      <c r="AY16" s="289">
        <f>'Edinburgh, City of'!H254</f>
        <v>10637</v>
      </c>
      <c r="BB16" s="403">
        <f t="shared" si="0"/>
        <v>-9.7756410256410256E-2</v>
      </c>
      <c r="BC16" s="326">
        <f t="shared" si="1"/>
        <v>-61</v>
      </c>
      <c r="BD16" s="403">
        <f t="shared" si="2"/>
        <v>-1.935483870967742E-2</v>
      </c>
      <c r="BE16" s="326">
        <f t="shared" si="3"/>
        <v>-9</v>
      </c>
      <c r="BH16" s="403">
        <f t="shared" si="4"/>
        <v>6.9094804499196569E-2</v>
      </c>
      <c r="BI16" s="326">
        <f t="shared" si="5"/>
        <v>516</v>
      </c>
      <c r="BJ16" s="403">
        <f t="shared" si="6"/>
        <v>2.0375950638542115E-2</v>
      </c>
      <c r="BK16" s="326">
        <f t="shared" si="7"/>
        <v>142</v>
      </c>
      <c r="BM16" s="403">
        <f t="shared" si="8"/>
        <v>-0.10776589758019134</v>
      </c>
      <c r="BN16" s="326">
        <f t="shared" si="9"/>
        <v>-383</v>
      </c>
      <c r="BO16" s="403">
        <f t="shared" si="10"/>
        <v>-3.102866779089376E-2</v>
      </c>
      <c r="BP16" s="326">
        <f t="shared" si="11"/>
        <v>-92</v>
      </c>
      <c r="BR16" s="403">
        <f t="shared" si="12"/>
        <v>0.95454545454545459</v>
      </c>
      <c r="BS16" s="326">
        <f t="shared" si="13"/>
        <v>105</v>
      </c>
      <c r="BT16" s="403">
        <f t="shared" si="14"/>
        <v>0.87619047619047619</v>
      </c>
      <c r="BU16" s="326">
        <f t="shared" si="15"/>
        <v>92</v>
      </c>
    </row>
    <row r="17" spans="1:73">
      <c r="A17" s="316" t="s">
        <v>26</v>
      </c>
      <c r="B17" s="327">
        <v>446</v>
      </c>
      <c r="C17" s="328">
        <v>37</v>
      </c>
      <c r="D17" s="328">
        <v>371</v>
      </c>
      <c r="E17" s="328">
        <v>23</v>
      </c>
      <c r="F17" s="328">
        <v>22</v>
      </c>
      <c r="G17" s="328">
        <v>57</v>
      </c>
      <c r="H17" s="289">
        <v>24</v>
      </c>
      <c r="I17" s="289">
        <v>26</v>
      </c>
      <c r="J17" s="289">
        <f>'Eilean Siar'!F250</f>
        <v>25</v>
      </c>
      <c r="K17" s="289">
        <f>'Eilean Siar'!H250</f>
        <v>30</v>
      </c>
      <c r="L17" s="327">
        <v>825</v>
      </c>
      <c r="M17" s="328">
        <v>917</v>
      </c>
      <c r="N17" s="328">
        <v>841</v>
      </c>
      <c r="O17" s="328">
        <v>1109</v>
      </c>
      <c r="P17" s="328">
        <v>1049</v>
      </c>
      <c r="Q17" s="328">
        <v>1082</v>
      </c>
      <c r="R17" s="328">
        <v>1178</v>
      </c>
      <c r="S17" s="328">
        <v>1198</v>
      </c>
      <c r="T17" s="289">
        <f>'Eilean Siar'!F251</f>
        <v>1132</v>
      </c>
      <c r="U17" s="289">
        <f>'Eilean Siar'!H251</f>
        <v>969</v>
      </c>
      <c r="V17" s="327">
        <v>6</v>
      </c>
      <c r="W17" s="328">
        <v>43</v>
      </c>
      <c r="X17" s="328">
        <v>21</v>
      </c>
      <c r="Y17" s="328">
        <v>-15</v>
      </c>
      <c r="Z17" s="328">
        <v>101</v>
      </c>
      <c r="AA17" s="328">
        <v>113</v>
      </c>
      <c r="AB17" s="328">
        <v>43</v>
      </c>
      <c r="AC17" s="328">
        <v>56</v>
      </c>
      <c r="AD17" s="289">
        <f>'Eilean Siar'!F252</f>
        <v>58</v>
      </c>
      <c r="AE17" s="374">
        <f>'Eilean Siar'!H252</f>
        <v>40</v>
      </c>
      <c r="AF17" s="327">
        <v>245</v>
      </c>
      <c r="AG17" s="328">
        <v>224</v>
      </c>
      <c r="AH17" s="328">
        <v>202</v>
      </c>
      <c r="AI17" s="328">
        <v>311</v>
      </c>
      <c r="AJ17" s="328">
        <v>393</v>
      </c>
      <c r="AK17" s="328">
        <v>348</v>
      </c>
      <c r="AL17" s="328">
        <v>329</v>
      </c>
      <c r="AM17" s="328">
        <v>322</v>
      </c>
      <c r="AN17" s="289">
        <f>'Eilean Siar'!F253</f>
        <v>344</v>
      </c>
      <c r="AO17" s="289">
        <f>'Eilean Siar'!H253</f>
        <v>362</v>
      </c>
      <c r="AP17" s="327">
        <v>1522</v>
      </c>
      <c r="AQ17" s="328">
        <v>1221</v>
      </c>
      <c r="AR17" s="328">
        <v>1435</v>
      </c>
      <c r="AS17" s="328">
        <v>1428</v>
      </c>
      <c r="AT17" s="328">
        <v>1565</v>
      </c>
      <c r="AU17" s="328">
        <v>1600</v>
      </c>
      <c r="AV17" s="328">
        <v>1574</v>
      </c>
      <c r="AW17" s="328">
        <v>1602</v>
      </c>
      <c r="AX17" s="289">
        <f>'Eilean Siar'!F254</f>
        <v>1559</v>
      </c>
      <c r="AY17" s="289">
        <f>'Eilean Siar'!H254</f>
        <v>1401</v>
      </c>
      <c r="BB17" s="403">
        <f t="shared" si="0"/>
        <v>4.1666666666666664E-2</v>
      </c>
      <c r="BC17" s="326">
        <f t="shared" si="1"/>
        <v>1</v>
      </c>
      <c r="BD17" s="403">
        <f t="shared" si="2"/>
        <v>0.15384615384615385</v>
      </c>
      <c r="BE17" s="326">
        <f t="shared" si="3"/>
        <v>4</v>
      </c>
      <c r="BH17" s="403">
        <f t="shared" si="4"/>
        <v>-3.9049235993208829E-2</v>
      </c>
      <c r="BI17" s="326">
        <f t="shared" si="5"/>
        <v>-46</v>
      </c>
      <c r="BJ17" s="403">
        <f t="shared" si="6"/>
        <v>-0.19115191986644409</v>
      </c>
      <c r="BK17" s="326">
        <f t="shared" si="7"/>
        <v>-229</v>
      </c>
      <c r="BM17" s="403">
        <f t="shared" si="8"/>
        <v>0.34883720930232559</v>
      </c>
      <c r="BN17" s="326">
        <f t="shared" si="9"/>
        <v>15</v>
      </c>
      <c r="BO17" s="403">
        <f t="shared" si="10"/>
        <v>-0.2857142857142857</v>
      </c>
      <c r="BP17" s="326">
        <f t="shared" si="11"/>
        <v>-16</v>
      </c>
      <c r="BR17" s="403">
        <f t="shared" si="12"/>
        <v>4.5592705167173252E-2</v>
      </c>
      <c r="BS17" s="326">
        <f t="shared" si="13"/>
        <v>15</v>
      </c>
      <c r="BT17" s="403">
        <f t="shared" si="14"/>
        <v>0.12422360248447205</v>
      </c>
      <c r="BU17" s="326">
        <f t="shared" si="15"/>
        <v>40</v>
      </c>
    </row>
    <row r="18" spans="1:73">
      <c r="A18" s="316" t="s">
        <v>28</v>
      </c>
      <c r="B18" s="327">
        <v>733</v>
      </c>
      <c r="C18" s="328">
        <v>852</v>
      </c>
      <c r="D18" s="328">
        <v>697</v>
      </c>
      <c r="E18" s="328">
        <v>836</v>
      </c>
      <c r="F18" s="328">
        <v>707</v>
      </c>
      <c r="G18" s="328">
        <v>674</v>
      </c>
      <c r="H18" s="289">
        <v>646</v>
      </c>
      <c r="I18" s="289">
        <v>563</v>
      </c>
      <c r="J18" s="289">
        <f>Falkirk!F250</f>
        <v>650</v>
      </c>
      <c r="K18" s="289">
        <f>Falkirk!H250</f>
        <v>621</v>
      </c>
      <c r="L18" s="327">
        <v>5662</v>
      </c>
      <c r="M18" s="328">
        <v>5181</v>
      </c>
      <c r="N18" s="328">
        <v>5633</v>
      </c>
      <c r="O18" s="328">
        <v>5213</v>
      </c>
      <c r="P18" s="328">
        <v>5517</v>
      </c>
      <c r="Q18" s="328">
        <v>5191</v>
      </c>
      <c r="R18" s="328">
        <v>5290</v>
      </c>
      <c r="S18" s="328">
        <v>4849</v>
      </c>
      <c r="T18" s="289">
        <f>Falkirk!F251</f>
        <v>4717</v>
      </c>
      <c r="U18" s="289">
        <f>Falkirk!H251</f>
        <v>4481</v>
      </c>
      <c r="V18" s="327">
        <v>3209</v>
      </c>
      <c r="W18" s="328">
        <v>2575</v>
      </c>
      <c r="X18" s="328">
        <v>3275</v>
      </c>
      <c r="Y18" s="328">
        <v>2943</v>
      </c>
      <c r="Z18" s="328">
        <v>2656</v>
      </c>
      <c r="AA18" s="328">
        <v>2705</v>
      </c>
      <c r="AB18" s="328">
        <v>3076</v>
      </c>
      <c r="AC18" s="328">
        <v>2933</v>
      </c>
      <c r="AD18" s="289">
        <f>Falkirk!F252</f>
        <v>3013</v>
      </c>
      <c r="AE18" s="374">
        <f>Falkirk!H252</f>
        <v>2642</v>
      </c>
      <c r="AF18" s="327">
        <v>741</v>
      </c>
      <c r="AG18" s="328">
        <v>786</v>
      </c>
      <c r="AH18" s="328">
        <v>725</v>
      </c>
      <c r="AI18" s="328">
        <v>731</v>
      </c>
      <c r="AJ18" s="328">
        <v>694</v>
      </c>
      <c r="AK18" s="328">
        <v>800</v>
      </c>
      <c r="AL18" s="328">
        <v>522</v>
      </c>
      <c r="AM18" s="328">
        <v>491</v>
      </c>
      <c r="AN18" s="289">
        <f>Falkirk!F253</f>
        <v>527</v>
      </c>
      <c r="AO18" s="289">
        <f>Falkirk!H253</f>
        <v>524</v>
      </c>
      <c r="AP18" s="327">
        <v>10345</v>
      </c>
      <c r="AQ18" s="328">
        <v>9394</v>
      </c>
      <c r="AR18" s="328">
        <v>10330</v>
      </c>
      <c r="AS18" s="328">
        <v>9723</v>
      </c>
      <c r="AT18" s="328">
        <v>9574</v>
      </c>
      <c r="AU18" s="328">
        <v>9370</v>
      </c>
      <c r="AV18" s="328">
        <v>9534</v>
      </c>
      <c r="AW18" s="328">
        <v>8836</v>
      </c>
      <c r="AX18" s="289">
        <f>Falkirk!F254</f>
        <v>8907</v>
      </c>
      <c r="AY18" s="289">
        <f>Falkirk!H254</f>
        <v>8268</v>
      </c>
      <c r="BB18" s="403">
        <f t="shared" si="0"/>
        <v>6.1919504643962852E-3</v>
      </c>
      <c r="BC18" s="326">
        <f t="shared" si="1"/>
        <v>4</v>
      </c>
      <c r="BD18" s="403">
        <f t="shared" si="2"/>
        <v>0.10301953818827708</v>
      </c>
      <c r="BE18" s="326">
        <f t="shared" si="3"/>
        <v>58</v>
      </c>
      <c r="BH18" s="403">
        <f t="shared" si="4"/>
        <v>-0.10831758034026465</v>
      </c>
      <c r="BI18" s="326">
        <f t="shared" si="5"/>
        <v>-573</v>
      </c>
      <c r="BJ18" s="403">
        <f t="shared" si="6"/>
        <v>-7.5891936481748815E-2</v>
      </c>
      <c r="BK18" s="326">
        <f t="shared" si="7"/>
        <v>-368</v>
      </c>
      <c r="BM18" s="403">
        <f t="shared" si="8"/>
        <v>-2.048114434330299E-2</v>
      </c>
      <c r="BN18" s="326">
        <f t="shared" si="9"/>
        <v>-63</v>
      </c>
      <c r="BO18" s="403">
        <f t="shared" si="10"/>
        <v>-9.9215819979543124E-2</v>
      </c>
      <c r="BP18" s="326">
        <f t="shared" si="11"/>
        <v>-291</v>
      </c>
      <c r="BR18" s="403">
        <f t="shared" si="12"/>
        <v>9.5785440613026813E-3</v>
      </c>
      <c r="BS18" s="326">
        <f t="shared" si="13"/>
        <v>5</v>
      </c>
      <c r="BT18" s="403">
        <f t="shared" si="14"/>
        <v>6.720977596741344E-2</v>
      </c>
      <c r="BU18" s="326">
        <f t="shared" si="15"/>
        <v>33</v>
      </c>
    </row>
    <row r="19" spans="1:73">
      <c r="A19" s="316" t="s">
        <v>29</v>
      </c>
      <c r="B19" s="327">
        <v>2235</v>
      </c>
      <c r="C19" s="328">
        <v>2366</v>
      </c>
      <c r="D19" s="328">
        <v>3439</v>
      </c>
      <c r="E19" s="328">
        <v>2218</v>
      </c>
      <c r="F19" s="328">
        <v>2041</v>
      </c>
      <c r="G19" s="328">
        <v>1984</v>
      </c>
      <c r="H19" s="289">
        <v>2030</v>
      </c>
      <c r="I19" s="289">
        <v>2470</v>
      </c>
      <c r="J19" s="289">
        <f>Fife!F250</f>
        <v>2482</v>
      </c>
      <c r="K19" s="289">
        <f>Fife!H250</f>
        <v>2534</v>
      </c>
      <c r="L19" s="327">
        <v>7061</v>
      </c>
      <c r="M19" s="328">
        <v>7716</v>
      </c>
      <c r="N19" s="328">
        <v>8791</v>
      </c>
      <c r="O19" s="328">
        <v>7635</v>
      </c>
      <c r="P19" s="328">
        <v>8200</v>
      </c>
      <c r="Q19" s="328">
        <v>7385</v>
      </c>
      <c r="R19" s="328">
        <v>7279</v>
      </c>
      <c r="S19" s="328">
        <v>7123</v>
      </c>
      <c r="T19" s="289">
        <f>Fife!F251</f>
        <v>6929</v>
      </c>
      <c r="U19" s="289">
        <f>Fife!H251</f>
        <v>6903</v>
      </c>
      <c r="V19" s="327">
        <v>12331</v>
      </c>
      <c r="W19" s="328">
        <v>10163</v>
      </c>
      <c r="X19" s="328">
        <v>10988</v>
      </c>
      <c r="Y19" s="328">
        <v>8445</v>
      </c>
      <c r="Z19" s="328">
        <v>9298</v>
      </c>
      <c r="AA19" s="328">
        <v>9384</v>
      </c>
      <c r="AB19" s="328">
        <v>9597</v>
      </c>
      <c r="AC19" s="328">
        <v>8450</v>
      </c>
      <c r="AD19" s="289">
        <f>Fife!F252</f>
        <v>7309</v>
      </c>
      <c r="AE19" s="374">
        <f>Fife!H252</f>
        <v>8815</v>
      </c>
      <c r="AF19" s="327">
        <v>11932</v>
      </c>
      <c r="AG19" s="328">
        <v>11481</v>
      </c>
      <c r="AH19" s="328">
        <v>12174</v>
      </c>
      <c r="AI19" s="328">
        <v>10113</v>
      </c>
      <c r="AJ19" s="328">
        <v>9868</v>
      </c>
      <c r="AK19" s="328">
        <v>10329</v>
      </c>
      <c r="AL19" s="328">
        <v>10087</v>
      </c>
      <c r="AM19" s="328">
        <v>9547</v>
      </c>
      <c r="AN19" s="289">
        <f>Fife!F253</f>
        <v>10059</v>
      </c>
      <c r="AO19" s="289">
        <f>Fife!H253</f>
        <v>9478</v>
      </c>
      <c r="AP19" s="327">
        <v>33559</v>
      </c>
      <c r="AQ19" s="328">
        <v>31726</v>
      </c>
      <c r="AR19" s="328">
        <v>35392</v>
      </c>
      <c r="AS19" s="328">
        <v>28411</v>
      </c>
      <c r="AT19" s="328">
        <v>29407</v>
      </c>
      <c r="AU19" s="328">
        <v>29082</v>
      </c>
      <c r="AV19" s="328">
        <v>28993</v>
      </c>
      <c r="AW19" s="328">
        <v>27590</v>
      </c>
      <c r="AX19" s="289">
        <f>Fife!F254</f>
        <v>26779</v>
      </c>
      <c r="AY19" s="289">
        <f>Fife!H254</f>
        <v>27730</v>
      </c>
      <c r="BB19" s="403">
        <f t="shared" si="0"/>
        <v>0.22266009852216748</v>
      </c>
      <c r="BC19" s="326">
        <f t="shared" si="1"/>
        <v>452</v>
      </c>
      <c r="BD19" s="403">
        <f t="shared" si="2"/>
        <v>2.5910931174089068E-2</v>
      </c>
      <c r="BE19" s="326">
        <f t="shared" si="3"/>
        <v>64</v>
      </c>
      <c r="BH19" s="403">
        <f t="shared" si="4"/>
        <v>-4.8083527957136968E-2</v>
      </c>
      <c r="BI19" s="326">
        <f t="shared" si="5"/>
        <v>-350</v>
      </c>
      <c r="BJ19" s="403">
        <f t="shared" si="6"/>
        <v>-3.0885862698301278E-2</v>
      </c>
      <c r="BK19" s="326">
        <f t="shared" si="7"/>
        <v>-220</v>
      </c>
      <c r="BM19" s="403">
        <f t="shared" si="8"/>
        <v>-0.23840783578201521</v>
      </c>
      <c r="BN19" s="326">
        <f t="shared" si="9"/>
        <v>-2288</v>
      </c>
      <c r="BO19" s="403">
        <f t="shared" si="10"/>
        <v>4.319526627218935E-2</v>
      </c>
      <c r="BP19" s="326">
        <f t="shared" si="11"/>
        <v>365</v>
      </c>
      <c r="BR19" s="403">
        <f t="shared" si="12"/>
        <v>-2.7758501040943788E-3</v>
      </c>
      <c r="BS19" s="326">
        <f t="shared" si="13"/>
        <v>-28</v>
      </c>
      <c r="BT19" s="403">
        <f t="shared" si="14"/>
        <v>-7.2274012778883422E-3</v>
      </c>
      <c r="BU19" s="326">
        <f t="shared" si="15"/>
        <v>-69</v>
      </c>
    </row>
    <row r="20" spans="1:73">
      <c r="A20" s="316" t="s">
        <v>31</v>
      </c>
      <c r="B20" s="327">
        <v>1553</v>
      </c>
      <c r="C20" s="328">
        <v>1571</v>
      </c>
      <c r="D20" s="328">
        <v>1456</v>
      </c>
      <c r="E20" s="328">
        <v>1649</v>
      </c>
      <c r="F20" s="328">
        <v>1505</v>
      </c>
      <c r="G20" s="328">
        <v>1517</v>
      </c>
      <c r="H20" s="289">
        <v>1614</v>
      </c>
      <c r="I20" s="289">
        <v>1410</v>
      </c>
      <c r="J20" s="289">
        <f>'Glasgow City'!F250</f>
        <v>1272</v>
      </c>
      <c r="K20" s="289">
        <f>'Glasgow City'!H250</f>
        <v>1409</v>
      </c>
      <c r="L20" s="327">
        <v>29602</v>
      </c>
      <c r="M20" s="328">
        <v>28118</v>
      </c>
      <c r="N20" s="328">
        <v>27046</v>
      </c>
      <c r="O20" s="328">
        <v>26124</v>
      </c>
      <c r="P20" s="328">
        <v>27234</v>
      </c>
      <c r="Q20" s="328">
        <v>26478</v>
      </c>
      <c r="R20" s="328">
        <v>26756</v>
      </c>
      <c r="S20" s="328">
        <v>26339</v>
      </c>
      <c r="T20" s="289">
        <f>'Glasgow City'!F251</f>
        <v>26402</v>
      </c>
      <c r="U20" s="289">
        <f>'Glasgow City'!H251</f>
        <v>33225</v>
      </c>
      <c r="V20" s="327">
        <v>24755</v>
      </c>
      <c r="W20" s="328">
        <v>21357</v>
      </c>
      <c r="X20" s="328">
        <v>21079</v>
      </c>
      <c r="Y20" s="328">
        <v>20102</v>
      </c>
      <c r="Z20" s="328">
        <v>20093</v>
      </c>
      <c r="AA20" s="328">
        <v>19490</v>
      </c>
      <c r="AB20" s="328">
        <v>19075</v>
      </c>
      <c r="AC20" s="328">
        <v>20513</v>
      </c>
      <c r="AD20" s="289">
        <f>'Glasgow City'!F252</f>
        <v>20060</v>
      </c>
      <c r="AE20" s="374">
        <f>'Glasgow City'!H252</f>
        <v>20231</v>
      </c>
      <c r="AF20" s="327">
        <v>37764</v>
      </c>
      <c r="AG20" s="328">
        <v>10373</v>
      </c>
      <c r="AH20" s="328">
        <v>5037</v>
      </c>
      <c r="AI20" s="328">
        <v>4949</v>
      </c>
      <c r="AJ20" s="328">
        <v>4100</v>
      </c>
      <c r="AK20" s="328">
        <v>4529</v>
      </c>
      <c r="AL20" s="328">
        <v>4411</v>
      </c>
      <c r="AM20" s="328">
        <v>4390</v>
      </c>
      <c r="AN20" s="289">
        <f>'Glasgow City'!F253</f>
        <v>4917</v>
      </c>
      <c r="AO20" s="289">
        <f>'Glasgow City'!H253</f>
        <v>5130</v>
      </c>
      <c r="AP20" s="327">
        <v>93674</v>
      </c>
      <c r="AQ20" s="328">
        <v>61419</v>
      </c>
      <c r="AR20" s="328">
        <v>54618</v>
      </c>
      <c r="AS20" s="328">
        <v>52824</v>
      </c>
      <c r="AT20" s="328">
        <v>52932</v>
      </c>
      <c r="AU20" s="328">
        <v>52014</v>
      </c>
      <c r="AV20" s="328">
        <v>51856</v>
      </c>
      <c r="AW20" s="328">
        <v>52652</v>
      </c>
      <c r="AX20" s="289">
        <f>'Glasgow City'!F254</f>
        <v>52651</v>
      </c>
      <c r="AY20" s="289">
        <f>'Glasgow City'!H254</f>
        <v>59995</v>
      </c>
      <c r="BB20" s="403">
        <f t="shared" si="0"/>
        <v>-0.21189591078066913</v>
      </c>
      <c r="BC20" s="326">
        <f t="shared" si="1"/>
        <v>-342</v>
      </c>
      <c r="BD20" s="403">
        <f t="shared" si="2"/>
        <v>-7.0921985815602842E-4</v>
      </c>
      <c r="BE20" s="326">
        <f t="shared" si="3"/>
        <v>-1</v>
      </c>
      <c r="BH20" s="403">
        <f t="shared" si="4"/>
        <v>-1.3230677231275228E-2</v>
      </c>
      <c r="BI20" s="326">
        <f t="shared" si="5"/>
        <v>-354</v>
      </c>
      <c r="BJ20" s="403">
        <f t="shared" si="6"/>
        <v>0.26143741220243744</v>
      </c>
      <c r="BK20" s="326">
        <f t="shared" si="7"/>
        <v>6886</v>
      </c>
      <c r="BM20" s="403">
        <f t="shared" si="8"/>
        <v>5.1638269986893838E-2</v>
      </c>
      <c r="BN20" s="326">
        <f t="shared" si="9"/>
        <v>985</v>
      </c>
      <c r="BO20" s="403">
        <f t="shared" si="10"/>
        <v>-1.3747379710427533E-2</v>
      </c>
      <c r="BP20" s="326">
        <f t="shared" si="11"/>
        <v>-282</v>
      </c>
      <c r="BR20" s="403">
        <f t="shared" si="12"/>
        <v>0.11471321695760599</v>
      </c>
      <c r="BS20" s="326">
        <f t="shared" si="13"/>
        <v>506</v>
      </c>
      <c r="BT20" s="403">
        <f t="shared" si="14"/>
        <v>0.16856492027334852</v>
      </c>
      <c r="BU20" s="326">
        <f t="shared" si="15"/>
        <v>740</v>
      </c>
    </row>
    <row r="21" spans="1:73">
      <c r="A21" s="316" t="s">
        <v>32</v>
      </c>
      <c r="B21" s="327">
        <v>1099</v>
      </c>
      <c r="C21" s="328">
        <v>1078</v>
      </c>
      <c r="D21" s="328">
        <v>1301</v>
      </c>
      <c r="E21" s="328">
        <v>1226</v>
      </c>
      <c r="F21" s="328">
        <v>1355</v>
      </c>
      <c r="G21" s="328">
        <v>1294</v>
      </c>
      <c r="H21" s="289">
        <v>1151</v>
      </c>
      <c r="I21" s="289">
        <v>1542</v>
      </c>
      <c r="J21" s="289">
        <f>Highland!F250</f>
        <v>1245</v>
      </c>
      <c r="K21" s="289">
        <f>Highland!H250</f>
        <v>1202</v>
      </c>
      <c r="L21" s="327">
        <v>4286</v>
      </c>
      <c r="M21" s="328">
        <v>4203</v>
      </c>
      <c r="N21" s="328">
        <v>4916</v>
      </c>
      <c r="O21" s="328">
        <v>4624</v>
      </c>
      <c r="P21" s="328">
        <v>4589</v>
      </c>
      <c r="Q21" s="328">
        <v>4385</v>
      </c>
      <c r="R21" s="328">
        <v>4126</v>
      </c>
      <c r="S21" s="328">
        <v>4198</v>
      </c>
      <c r="T21" s="289">
        <f>Highland!F251</f>
        <v>4216</v>
      </c>
      <c r="U21" s="289">
        <f>Highland!H251</f>
        <v>4091</v>
      </c>
      <c r="V21" s="327">
        <v>3194</v>
      </c>
      <c r="W21" s="328">
        <v>3132</v>
      </c>
      <c r="X21" s="328">
        <v>3070</v>
      </c>
      <c r="Y21" s="328">
        <v>2893</v>
      </c>
      <c r="Z21" s="328">
        <v>2402</v>
      </c>
      <c r="AA21" s="328">
        <v>2295</v>
      </c>
      <c r="AB21" s="328">
        <v>2205</v>
      </c>
      <c r="AC21" s="328">
        <v>2243</v>
      </c>
      <c r="AD21" s="289">
        <f>Highland!F252</f>
        <v>1968</v>
      </c>
      <c r="AE21" s="374">
        <f>Highland!H252</f>
        <v>1910</v>
      </c>
      <c r="AF21" s="327">
        <v>2765</v>
      </c>
      <c r="AG21" s="328">
        <v>2712</v>
      </c>
      <c r="AH21" s="328">
        <v>2181</v>
      </c>
      <c r="AI21" s="328">
        <v>2055</v>
      </c>
      <c r="AJ21" s="328">
        <v>2151</v>
      </c>
      <c r="AK21" s="328">
        <v>2056</v>
      </c>
      <c r="AL21" s="328">
        <v>2549</v>
      </c>
      <c r="AM21" s="328">
        <v>2593</v>
      </c>
      <c r="AN21" s="289">
        <f>Highland!F253</f>
        <v>2777</v>
      </c>
      <c r="AO21" s="289">
        <f>Highland!H253</f>
        <v>2701</v>
      </c>
      <c r="AP21" s="327">
        <v>11344</v>
      </c>
      <c r="AQ21" s="328">
        <v>11125</v>
      </c>
      <c r="AR21" s="328">
        <v>11468</v>
      </c>
      <c r="AS21" s="328">
        <v>10798</v>
      </c>
      <c r="AT21" s="328">
        <v>10497</v>
      </c>
      <c r="AU21" s="328">
        <v>10030</v>
      </c>
      <c r="AV21" s="328">
        <v>10031</v>
      </c>
      <c r="AW21" s="328">
        <v>10576</v>
      </c>
      <c r="AX21" s="289">
        <f>Highland!F254</f>
        <v>10206</v>
      </c>
      <c r="AY21" s="289">
        <f>Highland!H254</f>
        <v>9904</v>
      </c>
      <c r="BB21" s="403">
        <f t="shared" si="0"/>
        <v>8.1668114682884443E-2</v>
      </c>
      <c r="BC21" s="326">
        <f t="shared" si="1"/>
        <v>94</v>
      </c>
      <c r="BD21" s="403">
        <f t="shared" si="2"/>
        <v>-0.22049286640726329</v>
      </c>
      <c r="BE21" s="326">
        <f t="shared" si="3"/>
        <v>-340</v>
      </c>
      <c r="BH21" s="403">
        <f t="shared" si="4"/>
        <v>2.1812893843916627E-2</v>
      </c>
      <c r="BI21" s="326">
        <f t="shared" si="5"/>
        <v>90</v>
      </c>
      <c r="BJ21" s="403">
        <f t="shared" si="6"/>
        <v>-2.5488327775131013E-2</v>
      </c>
      <c r="BK21" s="326">
        <f t="shared" si="7"/>
        <v>-107</v>
      </c>
      <c r="BM21" s="403">
        <f t="shared" si="8"/>
        <v>-0.10748299319727891</v>
      </c>
      <c r="BN21" s="326">
        <f t="shared" si="9"/>
        <v>-237</v>
      </c>
      <c r="BO21" s="403">
        <f t="shared" si="10"/>
        <v>-0.14846188140882746</v>
      </c>
      <c r="BP21" s="326">
        <f t="shared" si="11"/>
        <v>-333</v>
      </c>
      <c r="BR21" s="403">
        <f t="shared" si="12"/>
        <v>8.9446841898783838E-2</v>
      </c>
      <c r="BS21" s="326">
        <f t="shared" si="13"/>
        <v>228</v>
      </c>
      <c r="BT21" s="403">
        <f t="shared" si="14"/>
        <v>4.165059776320864E-2</v>
      </c>
      <c r="BU21" s="326">
        <f t="shared" si="15"/>
        <v>108</v>
      </c>
    </row>
    <row r="22" spans="1:73">
      <c r="A22" s="316" t="s">
        <v>33</v>
      </c>
      <c r="B22" s="327">
        <v>217</v>
      </c>
      <c r="C22" s="328">
        <v>200</v>
      </c>
      <c r="D22" s="328">
        <v>200</v>
      </c>
      <c r="E22" s="328">
        <v>200</v>
      </c>
      <c r="F22" s="328">
        <v>171</v>
      </c>
      <c r="G22" s="328">
        <v>171</v>
      </c>
      <c r="H22" s="289">
        <v>175</v>
      </c>
      <c r="I22" s="289">
        <v>155</v>
      </c>
      <c r="J22" s="289">
        <f>Inverclyde!F250</f>
        <v>133</v>
      </c>
      <c r="K22" s="289">
        <f>Inverclyde!H250</f>
        <v>133</v>
      </c>
      <c r="L22" s="327">
        <v>1185</v>
      </c>
      <c r="M22" s="328">
        <v>1160</v>
      </c>
      <c r="N22" s="328">
        <v>1663</v>
      </c>
      <c r="O22" s="328">
        <v>1578</v>
      </c>
      <c r="P22" s="328">
        <v>1842</v>
      </c>
      <c r="Q22" s="328">
        <v>1503</v>
      </c>
      <c r="R22" s="328">
        <v>1434</v>
      </c>
      <c r="S22" s="328">
        <v>1177</v>
      </c>
      <c r="T22" s="289">
        <f>Inverclyde!F251</f>
        <v>1236</v>
      </c>
      <c r="U22" s="289">
        <f>Inverclyde!H251</f>
        <v>1204</v>
      </c>
      <c r="V22" s="327">
        <v>2664</v>
      </c>
      <c r="W22" s="328">
        <v>2473</v>
      </c>
      <c r="X22" s="328">
        <v>2081</v>
      </c>
      <c r="Y22" s="328">
        <v>2162</v>
      </c>
      <c r="Z22" s="328">
        <v>2133</v>
      </c>
      <c r="AA22" s="328">
        <v>2176</v>
      </c>
      <c r="AB22" s="328">
        <v>2065</v>
      </c>
      <c r="AC22" s="328">
        <v>2055</v>
      </c>
      <c r="AD22" s="289">
        <f>Inverclyde!F252</f>
        <v>2008</v>
      </c>
      <c r="AE22" s="374">
        <f>Inverclyde!H252</f>
        <v>2043</v>
      </c>
      <c r="AF22" s="327">
        <v>1473</v>
      </c>
      <c r="AG22" s="328">
        <v>1455</v>
      </c>
      <c r="AH22" s="328">
        <v>1300</v>
      </c>
      <c r="AI22" s="328">
        <v>1389</v>
      </c>
      <c r="AJ22" s="328">
        <v>1292</v>
      </c>
      <c r="AK22" s="328">
        <v>1441</v>
      </c>
      <c r="AL22" s="328">
        <v>1744</v>
      </c>
      <c r="AM22" s="328">
        <v>1625</v>
      </c>
      <c r="AN22" s="289">
        <f>Inverclyde!F253</f>
        <v>1508</v>
      </c>
      <c r="AO22" s="289">
        <f>Inverclyde!H253</f>
        <v>1421</v>
      </c>
      <c r="AP22" s="327">
        <v>5539</v>
      </c>
      <c r="AQ22" s="328">
        <v>5288</v>
      </c>
      <c r="AR22" s="328">
        <v>5244</v>
      </c>
      <c r="AS22" s="328">
        <v>5329</v>
      </c>
      <c r="AT22" s="328">
        <v>5438</v>
      </c>
      <c r="AU22" s="328">
        <v>5291</v>
      </c>
      <c r="AV22" s="328">
        <v>5418</v>
      </c>
      <c r="AW22" s="328">
        <v>5012</v>
      </c>
      <c r="AX22" s="289">
        <f>Inverclyde!F254</f>
        <v>4885</v>
      </c>
      <c r="AY22" s="289">
        <f>Inverclyde!H254</f>
        <v>4801</v>
      </c>
      <c r="BB22" s="403">
        <f t="shared" si="0"/>
        <v>-0.24</v>
      </c>
      <c r="BC22" s="326">
        <f t="shared" si="1"/>
        <v>-42</v>
      </c>
      <c r="BD22" s="403">
        <f t="shared" si="2"/>
        <v>-0.14193548387096774</v>
      </c>
      <c r="BE22" s="326">
        <f t="shared" si="3"/>
        <v>-22</v>
      </c>
      <c r="BH22" s="403">
        <f t="shared" si="4"/>
        <v>-0.13807531380753138</v>
      </c>
      <c r="BI22" s="326">
        <f t="shared" si="5"/>
        <v>-198</v>
      </c>
      <c r="BJ22" s="403">
        <f t="shared" si="6"/>
        <v>2.2939677145284623E-2</v>
      </c>
      <c r="BK22" s="326">
        <f t="shared" si="7"/>
        <v>27</v>
      </c>
      <c r="BM22" s="403">
        <f t="shared" si="8"/>
        <v>-2.7602905569007265E-2</v>
      </c>
      <c r="BN22" s="326">
        <f t="shared" si="9"/>
        <v>-57</v>
      </c>
      <c r="BO22" s="403">
        <f t="shared" si="10"/>
        <v>-5.8394160583941602E-3</v>
      </c>
      <c r="BP22" s="326">
        <f t="shared" si="11"/>
        <v>-12</v>
      </c>
      <c r="BR22" s="403">
        <f t="shared" si="12"/>
        <v>-0.13532110091743119</v>
      </c>
      <c r="BS22" s="326">
        <f t="shared" si="13"/>
        <v>-236</v>
      </c>
      <c r="BT22" s="403">
        <f t="shared" si="14"/>
        <v>-0.12553846153846154</v>
      </c>
      <c r="BU22" s="326">
        <f t="shared" si="15"/>
        <v>-204</v>
      </c>
    </row>
    <row r="23" spans="1:73">
      <c r="A23" s="316" t="s">
        <v>34</v>
      </c>
      <c r="B23" s="327">
        <v>1487</v>
      </c>
      <c r="C23" s="328">
        <v>1669</v>
      </c>
      <c r="D23" s="328">
        <v>1460</v>
      </c>
      <c r="E23" s="328">
        <v>1469</v>
      </c>
      <c r="F23" s="328">
        <v>1750</v>
      </c>
      <c r="G23" s="328">
        <v>1567</v>
      </c>
      <c r="H23" s="289">
        <v>1590</v>
      </c>
      <c r="I23" s="289">
        <v>1481</v>
      </c>
      <c r="J23" s="289">
        <f>Midlothian!F250</f>
        <v>1425</v>
      </c>
      <c r="K23" s="289">
        <f>Midlothian!H250</f>
        <v>1395</v>
      </c>
      <c r="L23" s="327">
        <v>3334</v>
      </c>
      <c r="M23" s="328">
        <v>3176</v>
      </c>
      <c r="N23" s="328">
        <v>3130</v>
      </c>
      <c r="O23" s="328">
        <v>3251</v>
      </c>
      <c r="P23" s="328">
        <v>3353</v>
      </c>
      <c r="Q23" s="328">
        <v>2834</v>
      </c>
      <c r="R23" s="328">
        <v>2769</v>
      </c>
      <c r="S23" s="328">
        <v>3157</v>
      </c>
      <c r="T23" s="289">
        <f>Midlothian!F251</f>
        <v>3215</v>
      </c>
      <c r="U23" s="289">
        <f>Midlothian!H251</f>
        <v>3206</v>
      </c>
      <c r="V23" s="327">
        <v>518</v>
      </c>
      <c r="W23" s="328">
        <v>565</v>
      </c>
      <c r="X23" s="328">
        <v>590</v>
      </c>
      <c r="Y23" s="328">
        <v>571</v>
      </c>
      <c r="Z23" s="328">
        <v>530</v>
      </c>
      <c r="AA23" s="328">
        <v>555</v>
      </c>
      <c r="AB23" s="328">
        <v>713</v>
      </c>
      <c r="AC23" s="328">
        <v>493</v>
      </c>
      <c r="AD23" s="289">
        <f>Midlothian!F252</f>
        <v>568</v>
      </c>
      <c r="AE23" s="374">
        <f>Midlothian!H252</f>
        <v>438</v>
      </c>
      <c r="AF23" s="327">
        <v>1254</v>
      </c>
      <c r="AG23" s="328">
        <v>1020</v>
      </c>
      <c r="AH23" s="328">
        <v>1022</v>
      </c>
      <c r="AI23" s="328">
        <v>925</v>
      </c>
      <c r="AJ23" s="328">
        <v>988</v>
      </c>
      <c r="AK23" s="328">
        <v>901</v>
      </c>
      <c r="AL23" s="328">
        <v>899</v>
      </c>
      <c r="AM23" s="328">
        <v>445</v>
      </c>
      <c r="AN23" s="289">
        <f>Midlothian!F253</f>
        <v>771</v>
      </c>
      <c r="AO23" s="289">
        <f>Midlothian!H253</f>
        <v>469</v>
      </c>
      <c r="AP23" s="327">
        <v>6593</v>
      </c>
      <c r="AQ23" s="328">
        <v>6430</v>
      </c>
      <c r="AR23" s="328">
        <v>6202</v>
      </c>
      <c r="AS23" s="328">
        <v>6216</v>
      </c>
      <c r="AT23" s="328">
        <v>6621</v>
      </c>
      <c r="AU23" s="328">
        <v>5857</v>
      </c>
      <c r="AV23" s="328">
        <v>5971</v>
      </c>
      <c r="AW23" s="328">
        <v>5576</v>
      </c>
      <c r="AX23" s="289">
        <f>Midlothian!F254</f>
        <v>5979</v>
      </c>
      <c r="AY23" s="289">
        <f>Midlothian!H254</f>
        <v>5508</v>
      </c>
      <c r="BB23" s="403">
        <f t="shared" si="0"/>
        <v>-0.10377358490566038</v>
      </c>
      <c r="BC23" s="326">
        <f t="shared" si="1"/>
        <v>-165</v>
      </c>
      <c r="BD23" s="403">
        <f t="shared" si="2"/>
        <v>-5.8068872383524643E-2</v>
      </c>
      <c r="BE23" s="326">
        <f t="shared" si="3"/>
        <v>-86</v>
      </c>
      <c r="BH23" s="403">
        <f t="shared" si="4"/>
        <v>0.16106897797038641</v>
      </c>
      <c r="BI23" s="326">
        <f t="shared" si="5"/>
        <v>446</v>
      </c>
      <c r="BJ23" s="403">
        <f t="shared" si="6"/>
        <v>1.5521064301552107E-2</v>
      </c>
      <c r="BK23" s="326">
        <f t="shared" si="7"/>
        <v>49</v>
      </c>
      <c r="BM23" s="403">
        <f t="shared" si="8"/>
        <v>-0.20336605890603085</v>
      </c>
      <c r="BN23" s="326">
        <f t="shared" si="9"/>
        <v>-145</v>
      </c>
      <c r="BO23" s="403">
        <f t="shared" si="10"/>
        <v>-0.11156186612576065</v>
      </c>
      <c r="BP23" s="326">
        <f t="shared" si="11"/>
        <v>-55</v>
      </c>
      <c r="BR23" s="403">
        <f t="shared" si="12"/>
        <v>-0.14238042269187987</v>
      </c>
      <c r="BS23" s="326">
        <f t="shared" si="13"/>
        <v>-128</v>
      </c>
      <c r="BT23" s="403">
        <f t="shared" si="14"/>
        <v>5.3932584269662923E-2</v>
      </c>
      <c r="BU23" s="326">
        <f t="shared" si="15"/>
        <v>24</v>
      </c>
    </row>
    <row r="24" spans="1:73">
      <c r="A24" s="316" t="s">
        <v>35</v>
      </c>
      <c r="B24" s="327">
        <v>118</v>
      </c>
      <c r="C24" s="328">
        <v>118</v>
      </c>
      <c r="D24" s="328">
        <v>135</v>
      </c>
      <c r="E24" s="328">
        <v>135</v>
      </c>
      <c r="F24" s="328">
        <v>147</v>
      </c>
      <c r="G24" s="328">
        <v>165</v>
      </c>
      <c r="H24" s="289">
        <v>136</v>
      </c>
      <c r="I24" s="289">
        <v>148</v>
      </c>
      <c r="J24" s="289">
        <f>Moray!F250</f>
        <v>144</v>
      </c>
      <c r="K24" s="289">
        <f>Moray!H250</f>
        <v>149</v>
      </c>
      <c r="L24" s="327">
        <v>2861</v>
      </c>
      <c r="M24" s="328">
        <v>3151</v>
      </c>
      <c r="N24" s="328">
        <v>3013</v>
      </c>
      <c r="O24" s="328">
        <v>2801</v>
      </c>
      <c r="P24" s="328">
        <v>2536</v>
      </c>
      <c r="Q24" s="328">
        <v>2547</v>
      </c>
      <c r="R24" s="328">
        <v>2299</v>
      </c>
      <c r="S24" s="328">
        <v>2218</v>
      </c>
      <c r="T24" s="289">
        <f>Moray!F251</f>
        <v>2339</v>
      </c>
      <c r="U24" s="289">
        <f>Moray!H251</f>
        <v>2159</v>
      </c>
      <c r="V24" s="327">
        <v>1086</v>
      </c>
      <c r="W24" s="328">
        <v>1148</v>
      </c>
      <c r="X24" s="328">
        <v>1423</v>
      </c>
      <c r="Y24" s="328">
        <v>1287</v>
      </c>
      <c r="Z24" s="328">
        <v>1611</v>
      </c>
      <c r="AA24" s="328">
        <v>1429</v>
      </c>
      <c r="AB24" s="328">
        <v>1480</v>
      </c>
      <c r="AC24" s="328">
        <v>1478</v>
      </c>
      <c r="AD24" s="289">
        <f>Moray!F252</f>
        <v>1449</v>
      </c>
      <c r="AE24" s="374">
        <f>Moray!H252</f>
        <v>1308</v>
      </c>
      <c r="AF24" s="327">
        <v>627</v>
      </c>
      <c r="AG24" s="328">
        <v>688</v>
      </c>
      <c r="AH24" s="328">
        <v>635</v>
      </c>
      <c r="AI24" s="328">
        <v>627</v>
      </c>
      <c r="AJ24" s="328">
        <v>571</v>
      </c>
      <c r="AK24" s="328">
        <v>639</v>
      </c>
      <c r="AL24" s="328">
        <v>621</v>
      </c>
      <c r="AM24" s="328">
        <v>605</v>
      </c>
      <c r="AN24" s="289">
        <f>Moray!F253</f>
        <v>570</v>
      </c>
      <c r="AO24" s="289">
        <f>Moray!H253</f>
        <v>499</v>
      </c>
      <c r="AP24" s="327">
        <v>4692</v>
      </c>
      <c r="AQ24" s="328">
        <v>5105</v>
      </c>
      <c r="AR24" s="328">
        <v>5206</v>
      </c>
      <c r="AS24" s="328">
        <v>4850</v>
      </c>
      <c r="AT24" s="328">
        <v>4865</v>
      </c>
      <c r="AU24" s="328">
        <v>4780</v>
      </c>
      <c r="AV24" s="328">
        <v>4536</v>
      </c>
      <c r="AW24" s="328">
        <v>4449</v>
      </c>
      <c r="AX24" s="289">
        <f>Moray!F254</f>
        <v>4502</v>
      </c>
      <c r="AY24" s="289">
        <f>Moray!H254</f>
        <v>4115</v>
      </c>
      <c r="BB24" s="403">
        <f t="shared" si="0"/>
        <v>5.8823529411764705E-2</v>
      </c>
      <c r="BC24" s="326">
        <f t="shared" si="1"/>
        <v>8</v>
      </c>
      <c r="BD24" s="403">
        <f t="shared" si="2"/>
        <v>6.7567567567567571E-3</v>
      </c>
      <c r="BE24" s="326">
        <f t="shared" si="3"/>
        <v>1</v>
      </c>
      <c r="BH24" s="403">
        <f t="shared" si="4"/>
        <v>1.7398869073510223E-2</v>
      </c>
      <c r="BI24" s="326">
        <f t="shared" si="5"/>
        <v>40</v>
      </c>
      <c r="BJ24" s="403">
        <f t="shared" si="6"/>
        <v>-2.660054102795311E-2</v>
      </c>
      <c r="BK24" s="326">
        <f t="shared" si="7"/>
        <v>-59</v>
      </c>
      <c r="BM24" s="403">
        <f t="shared" si="8"/>
        <v>-2.0945945945945947E-2</v>
      </c>
      <c r="BN24" s="326">
        <f t="shared" si="9"/>
        <v>-31</v>
      </c>
      <c r="BO24" s="403">
        <f t="shared" si="10"/>
        <v>-0.11502029769959404</v>
      </c>
      <c r="BP24" s="326">
        <f t="shared" si="11"/>
        <v>-170</v>
      </c>
      <c r="BR24" s="403">
        <f t="shared" si="12"/>
        <v>-8.2125603864734303E-2</v>
      </c>
      <c r="BS24" s="326">
        <f t="shared" si="13"/>
        <v>-51</v>
      </c>
      <c r="BT24" s="403">
        <f t="shared" si="14"/>
        <v>-0.17520661157024794</v>
      </c>
      <c r="BU24" s="326">
        <f t="shared" si="15"/>
        <v>-106</v>
      </c>
    </row>
    <row r="25" spans="1:73">
      <c r="A25" s="316" t="s">
        <v>36</v>
      </c>
      <c r="B25" s="327">
        <v>1127</v>
      </c>
      <c r="C25" s="328">
        <v>1123</v>
      </c>
      <c r="D25" s="328">
        <v>1194</v>
      </c>
      <c r="E25" s="328">
        <v>1210</v>
      </c>
      <c r="F25" s="328">
        <v>1020</v>
      </c>
      <c r="G25" s="328">
        <v>901</v>
      </c>
      <c r="H25" s="289">
        <v>898</v>
      </c>
      <c r="I25" s="289">
        <v>818</v>
      </c>
      <c r="J25" s="289">
        <f>'North Ayrshire'!F250</f>
        <v>746</v>
      </c>
      <c r="K25" s="289">
        <f>'North Ayrshire'!H250</f>
        <v>710</v>
      </c>
      <c r="L25" s="327">
        <v>3759</v>
      </c>
      <c r="M25" s="328">
        <v>3832</v>
      </c>
      <c r="N25" s="328">
        <v>3637</v>
      </c>
      <c r="O25" s="328">
        <v>3673</v>
      </c>
      <c r="P25" s="328">
        <v>3846</v>
      </c>
      <c r="Q25" s="328">
        <v>3624.1281321784195</v>
      </c>
      <c r="R25" s="328">
        <v>3904</v>
      </c>
      <c r="S25" s="328">
        <v>3708</v>
      </c>
      <c r="T25" s="289">
        <f>'North Ayrshire'!F251</f>
        <v>3564</v>
      </c>
      <c r="U25" s="289">
        <f>'North Ayrshire'!H251</f>
        <v>3573</v>
      </c>
      <c r="V25" s="327">
        <v>4954</v>
      </c>
      <c r="W25" s="328">
        <v>4508</v>
      </c>
      <c r="X25" s="328">
        <v>4552</v>
      </c>
      <c r="Y25" s="328">
        <v>4876</v>
      </c>
      <c r="Z25" s="328">
        <v>4198</v>
      </c>
      <c r="AA25" s="328">
        <v>4120</v>
      </c>
      <c r="AB25" s="328">
        <v>4166</v>
      </c>
      <c r="AC25" s="328">
        <v>3925</v>
      </c>
      <c r="AD25" s="289">
        <f>'North Ayrshire'!F252</f>
        <v>3601</v>
      </c>
      <c r="AE25" s="374">
        <f>'North Ayrshire'!H252</f>
        <v>3717</v>
      </c>
      <c r="AF25" s="327">
        <v>2289</v>
      </c>
      <c r="AG25" s="328">
        <v>2229</v>
      </c>
      <c r="AH25" s="328">
        <v>2284</v>
      </c>
      <c r="AI25" s="328">
        <v>2131</v>
      </c>
      <c r="AJ25" s="328">
        <v>2202</v>
      </c>
      <c r="AK25" s="328">
        <v>1975.5165760132279</v>
      </c>
      <c r="AL25" s="328">
        <v>1956</v>
      </c>
      <c r="AM25" s="328">
        <v>1937</v>
      </c>
      <c r="AN25" s="289">
        <f>'North Ayrshire'!F253</f>
        <v>2223</v>
      </c>
      <c r="AO25" s="289">
        <f>'North Ayrshire'!H253</f>
        <v>2046</v>
      </c>
      <c r="AP25" s="327">
        <v>12129</v>
      </c>
      <c r="AQ25" s="328">
        <v>11692</v>
      </c>
      <c r="AR25" s="328">
        <v>11667</v>
      </c>
      <c r="AS25" s="328">
        <v>11890</v>
      </c>
      <c r="AT25" s="328">
        <v>11266</v>
      </c>
      <c r="AU25" s="328">
        <v>10620.644708191647</v>
      </c>
      <c r="AV25" s="328">
        <v>10924</v>
      </c>
      <c r="AW25" s="328">
        <v>10388</v>
      </c>
      <c r="AX25" s="289">
        <f>'North Ayrshire'!F254</f>
        <v>10134</v>
      </c>
      <c r="AY25" s="289">
        <f>'North Ayrshire'!H254</f>
        <v>10046</v>
      </c>
      <c r="BB25" s="403">
        <f t="shared" si="0"/>
        <v>-0.16926503340757237</v>
      </c>
      <c r="BC25" s="326">
        <f t="shared" si="1"/>
        <v>-152</v>
      </c>
      <c r="BD25" s="403">
        <f t="shared" si="2"/>
        <v>-0.13202933985330073</v>
      </c>
      <c r="BE25" s="326">
        <f t="shared" si="3"/>
        <v>-108</v>
      </c>
      <c r="BH25" s="403">
        <f t="shared" si="4"/>
        <v>-8.7090163934426229E-2</v>
      </c>
      <c r="BI25" s="326">
        <f t="shared" si="5"/>
        <v>-340</v>
      </c>
      <c r="BJ25" s="403">
        <f t="shared" si="6"/>
        <v>-3.640776699029126E-2</v>
      </c>
      <c r="BK25" s="326">
        <f t="shared" si="7"/>
        <v>-135</v>
      </c>
      <c r="BM25" s="403">
        <f t="shared" si="8"/>
        <v>-0.13562169947191552</v>
      </c>
      <c r="BN25" s="326">
        <f t="shared" si="9"/>
        <v>-565</v>
      </c>
      <c r="BO25" s="403">
        <f t="shared" si="10"/>
        <v>-5.2993630573248407E-2</v>
      </c>
      <c r="BP25" s="326">
        <f t="shared" si="11"/>
        <v>-208</v>
      </c>
      <c r="BR25" s="403">
        <f t="shared" si="12"/>
        <v>0.13650306748466257</v>
      </c>
      <c r="BS25" s="326">
        <f t="shared" si="13"/>
        <v>267</v>
      </c>
      <c r="BT25" s="403">
        <f t="shared" si="14"/>
        <v>5.6272586473928757E-2</v>
      </c>
      <c r="BU25" s="326">
        <f t="shared" si="15"/>
        <v>109</v>
      </c>
    </row>
    <row r="26" spans="1:73">
      <c r="A26" s="316" t="s">
        <v>37</v>
      </c>
      <c r="B26" s="327">
        <v>3837</v>
      </c>
      <c r="C26" s="328">
        <v>3969</v>
      </c>
      <c r="D26" s="328">
        <v>3380</v>
      </c>
      <c r="E26" s="328">
        <v>3595</v>
      </c>
      <c r="F26" s="328">
        <v>3502.9464357919924</v>
      </c>
      <c r="G26" s="328">
        <v>2685.3710913739674</v>
      </c>
      <c r="H26" s="289">
        <v>3056.5085539507049</v>
      </c>
      <c r="I26" s="289">
        <v>2450</v>
      </c>
      <c r="J26" s="289">
        <f>'North Lanarkshire'!F250</f>
        <v>3381</v>
      </c>
      <c r="K26" s="289">
        <f>'North Lanarkshire'!H250</f>
        <v>3699</v>
      </c>
      <c r="L26" s="327">
        <v>12031</v>
      </c>
      <c r="M26" s="328">
        <v>12226</v>
      </c>
      <c r="N26" s="328">
        <v>12315</v>
      </c>
      <c r="O26" s="328">
        <v>9804</v>
      </c>
      <c r="P26" s="328">
        <v>9324</v>
      </c>
      <c r="Q26" s="328">
        <v>9696</v>
      </c>
      <c r="R26" s="328">
        <v>8622.615371111111</v>
      </c>
      <c r="S26" s="328">
        <v>8284.7599999999984</v>
      </c>
      <c r="T26" s="289">
        <f>'North Lanarkshire'!F251</f>
        <v>8645</v>
      </c>
      <c r="U26" s="289">
        <f>'North Lanarkshire'!H251</f>
        <v>7485</v>
      </c>
      <c r="V26" s="327">
        <v>9941</v>
      </c>
      <c r="W26" s="328">
        <v>10254</v>
      </c>
      <c r="X26" s="328">
        <v>8845</v>
      </c>
      <c r="Y26" s="328">
        <v>10804</v>
      </c>
      <c r="Z26" s="328">
        <v>8867.3176414524169</v>
      </c>
      <c r="AA26" s="328">
        <v>8344.7085378040229</v>
      </c>
      <c r="AB26" s="328">
        <v>8516</v>
      </c>
      <c r="AC26" s="328">
        <v>6480</v>
      </c>
      <c r="AD26" s="289">
        <f>'North Lanarkshire'!F252</f>
        <v>7777</v>
      </c>
      <c r="AE26" s="374">
        <f>'North Lanarkshire'!H252</f>
        <v>8562</v>
      </c>
      <c r="AF26" s="327">
        <v>4475</v>
      </c>
      <c r="AG26" s="328">
        <v>4543</v>
      </c>
      <c r="AH26" s="328">
        <v>5149</v>
      </c>
      <c r="AI26" s="328">
        <v>3899</v>
      </c>
      <c r="AJ26" s="328">
        <v>4106</v>
      </c>
      <c r="AK26" s="328">
        <v>4055</v>
      </c>
      <c r="AL26" s="328">
        <v>3991.9030772028705</v>
      </c>
      <c r="AM26" s="328">
        <v>3909.7898871173243</v>
      </c>
      <c r="AN26" s="289">
        <f>'North Lanarkshire'!F253</f>
        <v>3871</v>
      </c>
      <c r="AO26" s="289">
        <f>'North Lanarkshire'!H253</f>
        <v>3678</v>
      </c>
      <c r="AP26" s="327">
        <v>30284</v>
      </c>
      <c r="AQ26" s="328">
        <v>30992</v>
      </c>
      <c r="AR26" s="328">
        <v>29689</v>
      </c>
      <c r="AS26" s="328">
        <v>28102</v>
      </c>
      <c r="AT26" s="328">
        <v>25800.26407724441</v>
      </c>
      <c r="AU26" s="328">
        <v>24781.079629177992</v>
      </c>
      <c r="AV26" s="328">
        <v>24187.027002264687</v>
      </c>
      <c r="AW26" s="328">
        <v>21124.549887117322</v>
      </c>
      <c r="AX26" s="289">
        <f>'North Lanarkshire'!F254</f>
        <v>23674</v>
      </c>
      <c r="AY26" s="289">
        <f>'North Lanarkshire'!H254</f>
        <v>23424</v>
      </c>
      <c r="BB26" s="403">
        <f t="shared" si="0"/>
        <v>0.1061640889667631</v>
      </c>
      <c r="BC26" s="326">
        <f t="shared" si="1"/>
        <v>324.49144604929506</v>
      </c>
      <c r="BD26" s="403">
        <f t="shared" si="2"/>
        <v>0.50979591836734695</v>
      </c>
      <c r="BE26" s="326">
        <f t="shared" si="3"/>
        <v>1249</v>
      </c>
      <c r="BH26" s="403">
        <f t="shared" si="4"/>
        <v>2.5960370404419998E-3</v>
      </c>
      <c r="BI26" s="326">
        <f t="shared" si="5"/>
        <v>22.384628888888983</v>
      </c>
      <c r="BJ26" s="403">
        <f t="shared" si="6"/>
        <v>-9.6533876660277254E-2</v>
      </c>
      <c r="BK26" s="326">
        <f t="shared" si="7"/>
        <v>-799.7599999999984</v>
      </c>
      <c r="BM26" s="403">
        <f t="shared" si="8"/>
        <v>-8.6777829967120718E-2</v>
      </c>
      <c r="BN26" s="326">
        <f t="shared" si="9"/>
        <v>-739</v>
      </c>
      <c r="BO26" s="403">
        <f t="shared" si="10"/>
        <v>0.3212962962962963</v>
      </c>
      <c r="BP26" s="326">
        <f t="shared" si="11"/>
        <v>2082</v>
      </c>
      <c r="BR26" s="403">
        <f t="shared" si="12"/>
        <v>-3.028707733244549E-2</v>
      </c>
      <c r="BS26" s="326">
        <f t="shared" si="13"/>
        <v>-120.90307720287046</v>
      </c>
      <c r="BT26" s="403">
        <f t="shared" si="14"/>
        <v>-5.9284486841880452E-2</v>
      </c>
      <c r="BU26" s="326">
        <f t="shared" si="15"/>
        <v>-231.78988711732427</v>
      </c>
    </row>
    <row r="27" spans="1:73">
      <c r="A27" s="316" t="s">
        <v>38</v>
      </c>
      <c r="B27" s="327">
        <v>0</v>
      </c>
      <c r="C27" s="328">
        <v>0</v>
      </c>
      <c r="D27" s="328">
        <v>0</v>
      </c>
      <c r="E27" s="328">
        <v>0</v>
      </c>
      <c r="F27" s="328">
        <v>0</v>
      </c>
      <c r="G27" s="328">
        <v>0</v>
      </c>
      <c r="H27" s="289">
        <v>0</v>
      </c>
      <c r="I27" s="289">
        <v>0</v>
      </c>
      <c r="J27" s="289">
        <f>'Orkney Islands'!F250</f>
        <v>0</v>
      </c>
      <c r="K27" s="289">
        <f>'Orkney Islands'!H250</f>
        <v>0</v>
      </c>
      <c r="L27" s="327">
        <v>1188</v>
      </c>
      <c r="M27" s="328">
        <v>1128</v>
      </c>
      <c r="N27" s="328">
        <v>1232</v>
      </c>
      <c r="O27" s="328">
        <v>1133</v>
      </c>
      <c r="P27" s="328">
        <v>1309</v>
      </c>
      <c r="Q27" s="328">
        <v>1306</v>
      </c>
      <c r="R27" s="328">
        <v>1330</v>
      </c>
      <c r="S27" s="328">
        <v>1387</v>
      </c>
      <c r="T27" s="289">
        <f>'Orkney Islands'!F251</f>
        <v>1363</v>
      </c>
      <c r="U27" s="289">
        <f>'Orkney Islands'!H251</f>
        <v>1308</v>
      </c>
      <c r="V27" s="327">
        <v>415</v>
      </c>
      <c r="W27" s="328">
        <v>357</v>
      </c>
      <c r="X27" s="328">
        <v>438</v>
      </c>
      <c r="Y27" s="328">
        <v>380</v>
      </c>
      <c r="Z27" s="328">
        <v>410</v>
      </c>
      <c r="AA27" s="328">
        <v>369</v>
      </c>
      <c r="AB27" s="328">
        <v>352</v>
      </c>
      <c r="AC27" s="328">
        <v>304</v>
      </c>
      <c r="AD27" s="289">
        <f>'Orkney Islands'!F252</f>
        <v>326</v>
      </c>
      <c r="AE27" s="374">
        <f>'Orkney Islands'!H252</f>
        <v>375</v>
      </c>
      <c r="AF27" s="327">
        <v>593</v>
      </c>
      <c r="AG27" s="328">
        <v>666</v>
      </c>
      <c r="AH27" s="328">
        <v>680</v>
      </c>
      <c r="AI27" s="328">
        <v>709</v>
      </c>
      <c r="AJ27" s="328">
        <v>721</v>
      </c>
      <c r="AK27" s="328">
        <v>691</v>
      </c>
      <c r="AL27" s="328">
        <v>745</v>
      </c>
      <c r="AM27" s="328">
        <v>722</v>
      </c>
      <c r="AN27" s="289">
        <f>'Orkney Islands'!F253</f>
        <v>734</v>
      </c>
      <c r="AO27" s="289">
        <f>'Orkney Islands'!H253</f>
        <v>744</v>
      </c>
      <c r="AP27" s="327">
        <v>2196</v>
      </c>
      <c r="AQ27" s="328">
        <v>2151</v>
      </c>
      <c r="AR27" s="328">
        <v>2350</v>
      </c>
      <c r="AS27" s="328">
        <v>2222</v>
      </c>
      <c r="AT27" s="328">
        <v>2440</v>
      </c>
      <c r="AU27" s="328">
        <v>2366</v>
      </c>
      <c r="AV27" s="328">
        <v>2427</v>
      </c>
      <c r="AW27" s="328">
        <v>2413</v>
      </c>
      <c r="AX27" s="289">
        <f>'Orkney Islands'!F254</f>
        <v>2423</v>
      </c>
      <c r="AY27" s="289">
        <f>'Orkney Islands'!H254</f>
        <v>2427</v>
      </c>
      <c r="BB27" s="403" t="e">
        <f t="shared" si="0"/>
        <v>#DIV/0!</v>
      </c>
      <c r="BC27" s="326">
        <f t="shared" si="1"/>
        <v>0</v>
      </c>
      <c r="BD27" s="403" t="e">
        <f t="shared" si="2"/>
        <v>#DIV/0!</v>
      </c>
      <c r="BE27" s="326">
        <f t="shared" si="3"/>
        <v>0</v>
      </c>
      <c r="BH27" s="403">
        <f t="shared" si="4"/>
        <v>2.4812030075187969E-2</v>
      </c>
      <c r="BI27" s="326">
        <f t="shared" si="5"/>
        <v>33</v>
      </c>
      <c r="BJ27" s="403">
        <f t="shared" si="6"/>
        <v>-5.6957462148521987E-2</v>
      </c>
      <c r="BK27" s="326">
        <f t="shared" si="7"/>
        <v>-79</v>
      </c>
      <c r="BM27" s="403">
        <f t="shared" si="8"/>
        <v>-7.3863636363636367E-2</v>
      </c>
      <c r="BN27" s="326">
        <f t="shared" si="9"/>
        <v>-26</v>
      </c>
      <c r="BO27" s="403">
        <f t="shared" si="10"/>
        <v>0.23355263157894737</v>
      </c>
      <c r="BP27" s="326">
        <f t="shared" si="11"/>
        <v>71</v>
      </c>
      <c r="BR27" s="403">
        <f t="shared" si="12"/>
        <v>-1.4765100671140939E-2</v>
      </c>
      <c r="BS27" s="326">
        <f t="shared" si="13"/>
        <v>-11</v>
      </c>
      <c r="BT27" s="403">
        <f t="shared" si="14"/>
        <v>3.0470914127423823E-2</v>
      </c>
      <c r="BU27" s="326">
        <f t="shared" si="15"/>
        <v>22</v>
      </c>
    </row>
    <row r="28" spans="1:73">
      <c r="A28" s="316" t="s">
        <v>39</v>
      </c>
      <c r="B28" s="327">
        <v>0</v>
      </c>
      <c r="C28" s="328">
        <v>0</v>
      </c>
      <c r="D28" s="328">
        <v>0</v>
      </c>
      <c r="E28" s="328">
        <v>0</v>
      </c>
      <c r="F28" s="328">
        <v>0</v>
      </c>
      <c r="G28" s="328">
        <v>0</v>
      </c>
      <c r="H28" s="289">
        <v>0</v>
      </c>
      <c r="I28" s="289">
        <v>0</v>
      </c>
      <c r="J28" s="289">
        <f>'Perth &amp; Kinross'!F250</f>
        <v>0</v>
      </c>
      <c r="K28" s="289">
        <f>'Perth &amp; Kinross'!H250</f>
        <v>0</v>
      </c>
      <c r="L28" s="327">
        <v>4593</v>
      </c>
      <c r="M28" s="328">
        <v>4548</v>
      </c>
      <c r="N28" s="328">
        <v>4485</v>
      </c>
      <c r="O28" s="328">
        <v>4521</v>
      </c>
      <c r="P28" s="328">
        <v>5042</v>
      </c>
      <c r="Q28" s="328">
        <v>5073</v>
      </c>
      <c r="R28" s="328">
        <v>5087</v>
      </c>
      <c r="S28" s="328">
        <v>4970</v>
      </c>
      <c r="T28" s="289">
        <f>'Perth &amp; Kinross'!F251</f>
        <v>5046</v>
      </c>
      <c r="U28" s="289">
        <f>'Perth &amp; Kinross'!H251</f>
        <v>5444</v>
      </c>
      <c r="V28" s="327">
        <v>6437</v>
      </c>
      <c r="W28" s="328">
        <v>5920</v>
      </c>
      <c r="X28" s="328">
        <v>5956</v>
      </c>
      <c r="Y28" s="328">
        <v>5801</v>
      </c>
      <c r="Z28" s="328">
        <v>5993</v>
      </c>
      <c r="AA28" s="328">
        <v>5911</v>
      </c>
      <c r="AB28" s="328">
        <v>6005</v>
      </c>
      <c r="AC28" s="328">
        <v>5531</v>
      </c>
      <c r="AD28" s="289">
        <f>'Perth &amp; Kinross'!F252</f>
        <v>5847</v>
      </c>
      <c r="AE28" s="374">
        <f>'Perth &amp; Kinross'!H252</f>
        <v>5937</v>
      </c>
      <c r="AF28" s="327">
        <v>652</v>
      </c>
      <c r="AG28" s="328">
        <v>643</v>
      </c>
      <c r="AH28" s="328">
        <v>533</v>
      </c>
      <c r="AI28" s="328">
        <v>457</v>
      </c>
      <c r="AJ28" s="328">
        <v>222</v>
      </c>
      <c r="AK28" s="328">
        <v>203</v>
      </c>
      <c r="AL28" s="328">
        <v>0</v>
      </c>
      <c r="AM28" s="328">
        <v>0</v>
      </c>
      <c r="AN28" s="289">
        <f>'Perth &amp; Kinross'!F253</f>
        <v>0</v>
      </c>
      <c r="AO28" s="289">
        <f>'Perth &amp; Kinross'!H253</f>
        <v>0</v>
      </c>
      <c r="AP28" s="327">
        <v>11682</v>
      </c>
      <c r="AQ28" s="328">
        <v>11111</v>
      </c>
      <c r="AR28" s="328">
        <v>10974</v>
      </c>
      <c r="AS28" s="328">
        <v>10779</v>
      </c>
      <c r="AT28" s="328">
        <v>11257</v>
      </c>
      <c r="AU28" s="328">
        <v>11187</v>
      </c>
      <c r="AV28" s="328">
        <v>11092</v>
      </c>
      <c r="AW28" s="328">
        <v>10501</v>
      </c>
      <c r="AX28" s="289">
        <f>'Perth &amp; Kinross'!F254</f>
        <v>10893</v>
      </c>
      <c r="AY28" s="289">
        <f>'Perth &amp; Kinross'!H254</f>
        <v>11381</v>
      </c>
      <c r="BB28" s="403" t="e">
        <f t="shared" si="0"/>
        <v>#DIV/0!</v>
      </c>
      <c r="BC28" s="326">
        <f t="shared" si="1"/>
        <v>0</v>
      </c>
      <c r="BD28" s="403" t="e">
        <f t="shared" si="2"/>
        <v>#DIV/0!</v>
      </c>
      <c r="BE28" s="326">
        <f t="shared" si="3"/>
        <v>0</v>
      </c>
      <c r="BH28" s="403">
        <f t="shared" si="4"/>
        <v>-8.0597601729899739E-3</v>
      </c>
      <c r="BI28" s="326">
        <f t="shared" si="5"/>
        <v>-41</v>
      </c>
      <c r="BJ28" s="403">
        <f t="shared" si="6"/>
        <v>9.537223340040242E-2</v>
      </c>
      <c r="BK28" s="326">
        <f t="shared" si="7"/>
        <v>474</v>
      </c>
      <c r="BM28" s="403">
        <f t="shared" si="8"/>
        <v>-2.6311407160699418E-2</v>
      </c>
      <c r="BN28" s="326">
        <f t="shared" si="9"/>
        <v>-158</v>
      </c>
      <c r="BO28" s="403">
        <f t="shared" si="10"/>
        <v>7.3404447658651242E-2</v>
      </c>
      <c r="BP28" s="326">
        <f t="shared" si="11"/>
        <v>406</v>
      </c>
      <c r="BR28" s="403" t="e">
        <f t="shared" si="12"/>
        <v>#DIV/0!</v>
      </c>
      <c r="BS28" s="326">
        <f t="shared" si="13"/>
        <v>0</v>
      </c>
      <c r="BT28" s="403" t="e">
        <f t="shared" si="14"/>
        <v>#DIV/0!</v>
      </c>
      <c r="BU28" s="326">
        <f t="shared" si="15"/>
        <v>0</v>
      </c>
    </row>
    <row r="29" spans="1:73">
      <c r="A29" s="316" t="s">
        <v>40</v>
      </c>
      <c r="B29" s="327">
        <v>521</v>
      </c>
      <c r="C29" s="328">
        <v>491</v>
      </c>
      <c r="D29" s="328">
        <v>491</v>
      </c>
      <c r="E29" s="328">
        <v>428</v>
      </c>
      <c r="F29" s="328">
        <v>421</v>
      </c>
      <c r="G29" s="328">
        <v>594</v>
      </c>
      <c r="H29" s="289">
        <v>424</v>
      </c>
      <c r="I29" s="289">
        <v>553</v>
      </c>
      <c r="J29" s="289">
        <f>Renfrewshire!F250</f>
        <v>384</v>
      </c>
      <c r="K29" s="289">
        <f>Renfrewshire!H250</f>
        <v>1001</v>
      </c>
      <c r="L29" s="327">
        <v>3931</v>
      </c>
      <c r="M29" s="328">
        <v>4004</v>
      </c>
      <c r="N29" s="328">
        <v>4005</v>
      </c>
      <c r="O29" s="328">
        <v>3909</v>
      </c>
      <c r="P29" s="328">
        <v>4013</v>
      </c>
      <c r="Q29" s="328">
        <v>4373</v>
      </c>
      <c r="R29" s="328">
        <v>4431</v>
      </c>
      <c r="S29" s="328">
        <v>4238</v>
      </c>
      <c r="T29" s="289">
        <f>Renfrewshire!F251</f>
        <v>4451</v>
      </c>
      <c r="U29" s="289">
        <f>Renfrewshire!H251</f>
        <v>5005</v>
      </c>
      <c r="V29" s="327">
        <v>4460</v>
      </c>
      <c r="W29" s="328">
        <v>3331</v>
      </c>
      <c r="X29" s="328">
        <v>5234</v>
      </c>
      <c r="Y29" s="328">
        <v>4838</v>
      </c>
      <c r="Z29" s="328">
        <v>4925.8306709265171</v>
      </c>
      <c r="AA29" s="328">
        <v>4302</v>
      </c>
      <c r="AB29" s="328">
        <v>4033</v>
      </c>
      <c r="AC29" s="328">
        <v>8215</v>
      </c>
      <c r="AD29" s="289">
        <f>Renfrewshire!F252</f>
        <v>5792</v>
      </c>
      <c r="AE29" s="374">
        <f>Renfrewshire!H252</f>
        <v>4696</v>
      </c>
      <c r="AF29" s="327">
        <v>1110</v>
      </c>
      <c r="AG29" s="328">
        <v>189</v>
      </c>
      <c r="AH29" s="328">
        <v>376</v>
      </c>
      <c r="AI29" s="328">
        <v>421</v>
      </c>
      <c r="AJ29" s="328">
        <v>365</v>
      </c>
      <c r="AK29" s="328">
        <v>425</v>
      </c>
      <c r="AL29" s="328">
        <v>948</v>
      </c>
      <c r="AM29" s="328">
        <v>945</v>
      </c>
      <c r="AN29" s="289">
        <f>Renfrewshire!F253</f>
        <v>1247</v>
      </c>
      <c r="AO29" s="289">
        <f>Renfrewshire!H253</f>
        <v>1365</v>
      </c>
      <c r="AP29" s="327">
        <v>10022</v>
      </c>
      <c r="AQ29" s="328">
        <v>8015</v>
      </c>
      <c r="AR29" s="328">
        <v>10106</v>
      </c>
      <c r="AS29" s="328">
        <v>9596</v>
      </c>
      <c r="AT29" s="328">
        <v>9724.8306709265162</v>
      </c>
      <c r="AU29" s="328">
        <v>9694</v>
      </c>
      <c r="AV29" s="328">
        <v>9836</v>
      </c>
      <c r="AW29" s="328">
        <v>13951</v>
      </c>
      <c r="AX29" s="289">
        <f>Renfrewshire!F254</f>
        <v>11874</v>
      </c>
      <c r="AY29" s="289">
        <f>Renfrewshire!H254</f>
        <v>12067</v>
      </c>
      <c r="BB29" s="403">
        <f t="shared" si="0"/>
        <v>-9.4339622641509441E-2</v>
      </c>
      <c r="BC29" s="326">
        <f t="shared" si="1"/>
        <v>-40</v>
      </c>
      <c r="BD29" s="403">
        <f t="shared" si="2"/>
        <v>0.810126582278481</v>
      </c>
      <c r="BE29" s="326">
        <f t="shared" si="3"/>
        <v>448</v>
      </c>
      <c r="BH29" s="403">
        <f t="shared" si="4"/>
        <v>4.5136538027533285E-3</v>
      </c>
      <c r="BI29" s="326">
        <f t="shared" si="5"/>
        <v>20</v>
      </c>
      <c r="BJ29" s="403">
        <f t="shared" si="6"/>
        <v>0.18098159509202455</v>
      </c>
      <c r="BK29" s="326">
        <f t="shared" si="7"/>
        <v>767</v>
      </c>
      <c r="BM29" s="403">
        <f t="shared" si="8"/>
        <v>0.43615174807835361</v>
      </c>
      <c r="BN29" s="326">
        <f t="shared" si="9"/>
        <v>1759</v>
      </c>
      <c r="BO29" s="403">
        <f t="shared" si="10"/>
        <v>-0.42836275106512478</v>
      </c>
      <c r="BP29" s="326">
        <f t="shared" si="11"/>
        <v>-3519</v>
      </c>
      <c r="BR29" s="403">
        <f t="shared" si="12"/>
        <v>0.31540084388185652</v>
      </c>
      <c r="BS29" s="326">
        <f t="shared" si="13"/>
        <v>299</v>
      </c>
      <c r="BT29" s="403">
        <f t="shared" si="14"/>
        <v>0.44444444444444442</v>
      </c>
      <c r="BU29" s="326">
        <f t="shared" si="15"/>
        <v>420</v>
      </c>
    </row>
    <row r="30" spans="1:73">
      <c r="A30" s="316" t="s">
        <v>41</v>
      </c>
      <c r="B30" s="327">
        <v>929</v>
      </c>
      <c r="C30" s="328">
        <v>960</v>
      </c>
      <c r="D30" s="328">
        <v>977</v>
      </c>
      <c r="E30" s="328">
        <v>867</v>
      </c>
      <c r="F30" s="328">
        <v>815</v>
      </c>
      <c r="G30" s="328">
        <v>745</v>
      </c>
      <c r="H30" s="289">
        <v>473</v>
      </c>
      <c r="I30" s="289">
        <v>438</v>
      </c>
      <c r="J30" s="289">
        <f>'Scottish Borders'!F250</f>
        <v>488</v>
      </c>
      <c r="K30" s="289">
        <f>'Scottish Borders'!H250</f>
        <v>502</v>
      </c>
      <c r="L30" s="327">
        <v>2822</v>
      </c>
      <c r="M30" s="328">
        <v>2672</v>
      </c>
      <c r="N30" s="328">
        <v>2789</v>
      </c>
      <c r="O30" s="328">
        <v>2557</v>
      </c>
      <c r="P30" s="328">
        <v>3031</v>
      </c>
      <c r="Q30" s="328">
        <v>2864</v>
      </c>
      <c r="R30" s="328">
        <v>3116</v>
      </c>
      <c r="S30" s="328">
        <v>2519</v>
      </c>
      <c r="T30" s="289">
        <f>'Scottish Borders'!F251</f>
        <v>2709</v>
      </c>
      <c r="U30" s="289">
        <f>'Scottish Borders'!H251</f>
        <v>2317</v>
      </c>
      <c r="V30" s="327">
        <v>3933</v>
      </c>
      <c r="W30" s="328">
        <v>3747</v>
      </c>
      <c r="X30" s="328">
        <v>3854</v>
      </c>
      <c r="Y30" s="328">
        <v>3758</v>
      </c>
      <c r="Z30" s="328">
        <v>3827</v>
      </c>
      <c r="AA30" s="328">
        <v>3706</v>
      </c>
      <c r="AB30" s="328">
        <v>3544</v>
      </c>
      <c r="AC30" s="328">
        <v>3974</v>
      </c>
      <c r="AD30" s="289">
        <f>'Scottish Borders'!F252</f>
        <v>4002</v>
      </c>
      <c r="AE30" s="374">
        <f>'Scottish Borders'!H252</f>
        <v>3684</v>
      </c>
      <c r="AF30" s="327">
        <v>350</v>
      </c>
      <c r="AG30" s="328">
        <v>340</v>
      </c>
      <c r="AH30" s="328">
        <v>163</v>
      </c>
      <c r="AI30" s="328">
        <v>158</v>
      </c>
      <c r="AJ30" s="328">
        <v>173</v>
      </c>
      <c r="AK30" s="328">
        <v>176</v>
      </c>
      <c r="AL30" s="328">
        <v>4</v>
      </c>
      <c r="AM30" s="328">
        <v>4</v>
      </c>
      <c r="AN30" s="289">
        <f>'Scottish Borders'!F253</f>
        <v>4</v>
      </c>
      <c r="AO30" s="289">
        <f>'Scottish Borders'!H253</f>
        <v>4</v>
      </c>
      <c r="AP30" s="327">
        <v>8034</v>
      </c>
      <c r="AQ30" s="328">
        <v>7719</v>
      </c>
      <c r="AR30" s="328">
        <v>7783</v>
      </c>
      <c r="AS30" s="328">
        <v>7340</v>
      </c>
      <c r="AT30" s="328">
        <v>7846</v>
      </c>
      <c r="AU30" s="328">
        <v>7491</v>
      </c>
      <c r="AV30" s="328">
        <v>7137</v>
      </c>
      <c r="AW30" s="328">
        <v>6935</v>
      </c>
      <c r="AX30" s="289">
        <f>'Scottish Borders'!F254</f>
        <v>7203</v>
      </c>
      <c r="AY30" s="289">
        <f>'Scottish Borders'!H254</f>
        <v>6507</v>
      </c>
      <c r="BB30" s="403">
        <f t="shared" si="0"/>
        <v>3.1712473572938688E-2</v>
      </c>
      <c r="BC30" s="326">
        <f t="shared" si="1"/>
        <v>15</v>
      </c>
      <c r="BD30" s="403">
        <f t="shared" si="2"/>
        <v>0.14611872146118721</v>
      </c>
      <c r="BE30" s="326">
        <f t="shared" si="3"/>
        <v>64</v>
      </c>
      <c r="BH30" s="403">
        <f t="shared" si="4"/>
        <v>-0.13061617458279845</v>
      </c>
      <c r="BI30" s="326">
        <f t="shared" si="5"/>
        <v>-407</v>
      </c>
      <c r="BJ30" s="403">
        <f t="shared" si="6"/>
        <v>-8.0190551806272325E-2</v>
      </c>
      <c r="BK30" s="326">
        <f t="shared" si="7"/>
        <v>-202</v>
      </c>
      <c r="BM30" s="403">
        <f t="shared" si="8"/>
        <v>0.12923250564334085</v>
      </c>
      <c r="BN30" s="326">
        <f t="shared" si="9"/>
        <v>458</v>
      </c>
      <c r="BO30" s="403">
        <f t="shared" si="10"/>
        <v>-7.2974333165576249E-2</v>
      </c>
      <c r="BP30" s="326">
        <f t="shared" si="11"/>
        <v>-290</v>
      </c>
      <c r="BR30" s="403">
        <f t="shared" si="12"/>
        <v>0</v>
      </c>
      <c r="BS30" s="326">
        <f t="shared" si="13"/>
        <v>0</v>
      </c>
      <c r="BT30" s="403">
        <f t="shared" si="14"/>
        <v>0</v>
      </c>
      <c r="BU30" s="326">
        <f t="shared" si="15"/>
        <v>0</v>
      </c>
    </row>
    <row r="31" spans="1:73">
      <c r="A31" s="316" t="s">
        <v>42</v>
      </c>
      <c r="B31" s="327">
        <v>171</v>
      </c>
      <c r="C31" s="328">
        <v>179</v>
      </c>
      <c r="D31" s="328">
        <v>159</v>
      </c>
      <c r="E31" s="328">
        <v>120</v>
      </c>
      <c r="F31" s="328">
        <v>87</v>
      </c>
      <c r="G31" s="328">
        <v>81</v>
      </c>
      <c r="H31" s="289">
        <v>153</v>
      </c>
      <c r="I31" s="289">
        <v>77</v>
      </c>
      <c r="J31" s="289">
        <f>'Shetland Islands'!F250</f>
        <v>159</v>
      </c>
      <c r="K31" s="289">
        <f>'Shetland Islands'!H250</f>
        <v>76</v>
      </c>
      <c r="L31" s="327">
        <v>663</v>
      </c>
      <c r="M31" s="328">
        <v>506</v>
      </c>
      <c r="N31" s="328">
        <v>659</v>
      </c>
      <c r="O31" s="328">
        <v>555</v>
      </c>
      <c r="P31" s="328">
        <v>600</v>
      </c>
      <c r="Q31" s="328">
        <v>562</v>
      </c>
      <c r="R31" s="328">
        <v>588</v>
      </c>
      <c r="S31" s="328">
        <v>595</v>
      </c>
      <c r="T31" s="289">
        <f>'Shetland Islands'!F251</f>
        <v>505</v>
      </c>
      <c r="U31" s="289">
        <f>'Shetland Islands'!H251</f>
        <v>510</v>
      </c>
      <c r="V31" s="327">
        <v>312</v>
      </c>
      <c r="W31" s="328">
        <v>318</v>
      </c>
      <c r="X31" s="328">
        <v>328</v>
      </c>
      <c r="Y31" s="328">
        <v>330</v>
      </c>
      <c r="Z31" s="328">
        <v>309</v>
      </c>
      <c r="AA31" s="328">
        <v>314</v>
      </c>
      <c r="AB31" s="328">
        <v>284</v>
      </c>
      <c r="AC31" s="328">
        <v>276</v>
      </c>
      <c r="AD31" s="289">
        <f>'Shetland Islands'!F252</f>
        <v>287</v>
      </c>
      <c r="AE31" s="374">
        <f>'Shetland Islands'!H252</f>
        <v>294</v>
      </c>
      <c r="AF31" s="327">
        <v>844</v>
      </c>
      <c r="AG31" s="328">
        <v>895</v>
      </c>
      <c r="AH31" s="328">
        <v>842</v>
      </c>
      <c r="AI31" s="328">
        <v>868</v>
      </c>
      <c r="AJ31" s="328">
        <v>885</v>
      </c>
      <c r="AK31" s="328">
        <v>855</v>
      </c>
      <c r="AL31" s="328">
        <v>833</v>
      </c>
      <c r="AM31" s="328">
        <v>864</v>
      </c>
      <c r="AN31" s="289">
        <f>'Shetland Islands'!F253</f>
        <v>922</v>
      </c>
      <c r="AO31" s="289">
        <f>'Shetland Islands'!H253</f>
        <v>924</v>
      </c>
      <c r="AP31" s="327">
        <v>1990</v>
      </c>
      <c r="AQ31" s="328">
        <v>1898</v>
      </c>
      <c r="AR31" s="328">
        <v>1988</v>
      </c>
      <c r="AS31" s="328">
        <v>1873</v>
      </c>
      <c r="AT31" s="328">
        <v>1881</v>
      </c>
      <c r="AU31" s="328">
        <v>1812</v>
      </c>
      <c r="AV31" s="328">
        <v>1858</v>
      </c>
      <c r="AW31" s="328">
        <v>1812</v>
      </c>
      <c r="AX31" s="289">
        <f>'Shetland Islands'!F254</f>
        <v>1873</v>
      </c>
      <c r="AY31" s="289">
        <f>'Shetland Islands'!H254</f>
        <v>1804</v>
      </c>
      <c r="BB31" s="403">
        <f t="shared" si="0"/>
        <v>3.9215686274509803E-2</v>
      </c>
      <c r="BC31" s="326">
        <f t="shared" si="1"/>
        <v>6</v>
      </c>
      <c r="BD31" s="403">
        <f t="shared" si="2"/>
        <v>-1.2987012987012988E-2</v>
      </c>
      <c r="BE31" s="326">
        <f t="shared" si="3"/>
        <v>-1</v>
      </c>
      <c r="BH31" s="403">
        <f t="shared" si="4"/>
        <v>-0.141156462585034</v>
      </c>
      <c r="BI31" s="326">
        <f t="shared" si="5"/>
        <v>-83</v>
      </c>
      <c r="BJ31" s="403">
        <f t="shared" si="6"/>
        <v>-0.14285714285714285</v>
      </c>
      <c r="BK31" s="326">
        <f t="shared" si="7"/>
        <v>-85</v>
      </c>
      <c r="BM31" s="403">
        <f t="shared" si="8"/>
        <v>1.0563380281690141E-2</v>
      </c>
      <c r="BN31" s="326">
        <f t="shared" si="9"/>
        <v>3</v>
      </c>
      <c r="BO31" s="403">
        <f t="shared" si="10"/>
        <v>6.5217391304347824E-2</v>
      </c>
      <c r="BP31" s="326">
        <f t="shared" si="11"/>
        <v>18</v>
      </c>
      <c r="BR31" s="403">
        <f t="shared" si="12"/>
        <v>0.10684273709483794</v>
      </c>
      <c r="BS31" s="326">
        <f t="shared" si="13"/>
        <v>89</v>
      </c>
      <c r="BT31" s="403">
        <f t="shared" si="14"/>
        <v>6.9444444444444448E-2</v>
      </c>
      <c r="BU31" s="326">
        <f t="shared" si="15"/>
        <v>60</v>
      </c>
    </row>
    <row r="32" spans="1:73">
      <c r="A32" s="316" t="s">
        <v>43</v>
      </c>
      <c r="B32" s="327"/>
      <c r="C32" s="328"/>
      <c r="D32" s="328"/>
      <c r="E32" s="328"/>
      <c r="F32" s="328">
        <v>0</v>
      </c>
      <c r="G32" s="328">
        <v>0</v>
      </c>
      <c r="H32" s="289">
        <v>0</v>
      </c>
      <c r="I32" s="289">
        <v>0</v>
      </c>
      <c r="J32" s="289">
        <f>'South Ayrshire'!F250</f>
        <v>0</v>
      </c>
      <c r="K32" s="289">
        <f>'South Ayrshire'!H250</f>
        <v>0</v>
      </c>
      <c r="L32" s="327">
        <v>3542</v>
      </c>
      <c r="M32" s="328">
        <v>2766</v>
      </c>
      <c r="N32" s="328">
        <v>4173</v>
      </c>
      <c r="O32" s="328">
        <v>3222</v>
      </c>
      <c r="P32" s="328">
        <v>3914</v>
      </c>
      <c r="Q32" s="328">
        <v>3643</v>
      </c>
      <c r="R32" s="328">
        <v>3631</v>
      </c>
      <c r="S32" s="328">
        <v>3371</v>
      </c>
      <c r="T32" s="289">
        <f>'South Ayrshire'!F251</f>
        <v>3178</v>
      </c>
      <c r="U32" s="289">
        <f>'South Ayrshire'!H251</f>
        <v>3248</v>
      </c>
      <c r="V32" s="327">
        <v>2827</v>
      </c>
      <c r="W32" s="328">
        <v>2781</v>
      </c>
      <c r="X32" s="328">
        <v>2766</v>
      </c>
      <c r="Y32" s="328">
        <v>2712</v>
      </c>
      <c r="Z32" s="328">
        <v>2767</v>
      </c>
      <c r="AA32" s="328">
        <v>2847</v>
      </c>
      <c r="AB32" s="328">
        <v>2986</v>
      </c>
      <c r="AC32" s="328">
        <v>3020</v>
      </c>
      <c r="AD32" s="289">
        <f>'South Ayrshire'!F252</f>
        <v>3255</v>
      </c>
      <c r="AE32" s="374">
        <f>'South Ayrshire'!H252</f>
        <v>2962</v>
      </c>
      <c r="AF32" s="327">
        <v>651</v>
      </c>
      <c r="AG32" s="328">
        <v>489</v>
      </c>
      <c r="AH32" s="328">
        <v>434</v>
      </c>
      <c r="AI32" s="328">
        <v>437</v>
      </c>
      <c r="AJ32" s="328">
        <v>539</v>
      </c>
      <c r="AK32" s="328">
        <v>492</v>
      </c>
      <c r="AL32" s="328">
        <v>656</v>
      </c>
      <c r="AM32" s="328">
        <v>587</v>
      </c>
      <c r="AN32" s="289">
        <f>'South Ayrshire'!F253</f>
        <v>550</v>
      </c>
      <c r="AO32" s="289">
        <f>'South Ayrshire'!H253</f>
        <v>539</v>
      </c>
      <c r="AP32" s="327">
        <v>7020</v>
      </c>
      <c r="AQ32" s="328">
        <v>6036</v>
      </c>
      <c r="AR32" s="328">
        <v>7373</v>
      </c>
      <c r="AS32" s="328">
        <v>6371</v>
      </c>
      <c r="AT32" s="328">
        <v>7220</v>
      </c>
      <c r="AU32" s="328">
        <v>6982</v>
      </c>
      <c r="AV32" s="328">
        <v>7273</v>
      </c>
      <c r="AW32" s="328">
        <v>6978</v>
      </c>
      <c r="AX32" s="289">
        <f>'South Ayrshire'!F254</f>
        <v>6983</v>
      </c>
      <c r="AY32" s="289">
        <f>'South Ayrshire'!H254</f>
        <v>6749</v>
      </c>
      <c r="BB32" s="403" t="e">
        <f t="shared" si="0"/>
        <v>#DIV/0!</v>
      </c>
      <c r="BC32" s="326">
        <f t="shared" si="1"/>
        <v>0</v>
      </c>
      <c r="BD32" s="403" t="e">
        <f t="shared" si="2"/>
        <v>#DIV/0!</v>
      </c>
      <c r="BE32" s="326">
        <f t="shared" si="3"/>
        <v>0</v>
      </c>
      <c r="BH32" s="403">
        <f t="shared" si="4"/>
        <v>-0.12475901955384192</v>
      </c>
      <c r="BI32" s="326">
        <f t="shared" si="5"/>
        <v>-453</v>
      </c>
      <c r="BJ32" s="403">
        <f t="shared" si="6"/>
        <v>-3.6487689113022845E-2</v>
      </c>
      <c r="BK32" s="326">
        <f t="shared" si="7"/>
        <v>-123</v>
      </c>
      <c r="BM32" s="403">
        <f t="shared" si="8"/>
        <v>9.0087073007367721E-2</v>
      </c>
      <c r="BN32" s="326">
        <f t="shared" si="9"/>
        <v>269</v>
      </c>
      <c r="BO32" s="403">
        <f t="shared" si="10"/>
        <v>-1.9205298013245033E-2</v>
      </c>
      <c r="BP32" s="326">
        <f t="shared" si="11"/>
        <v>-58</v>
      </c>
      <c r="BR32" s="403">
        <f t="shared" si="12"/>
        <v>-0.16158536585365854</v>
      </c>
      <c r="BS32" s="326">
        <f t="shared" si="13"/>
        <v>-106</v>
      </c>
      <c r="BT32" s="403">
        <f t="shared" si="14"/>
        <v>-8.1771720613287899E-2</v>
      </c>
      <c r="BU32" s="326">
        <f t="shared" si="15"/>
        <v>-48</v>
      </c>
    </row>
    <row r="33" spans="1:73">
      <c r="A33" s="316" t="s">
        <v>44</v>
      </c>
      <c r="B33" s="327">
        <v>943</v>
      </c>
      <c r="C33" s="328">
        <v>937</v>
      </c>
      <c r="D33" s="328">
        <v>768</v>
      </c>
      <c r="E33" s="328">
        <v>761</v>
      </c>
      <c r="F33" s="328">
        <v>594</v>
      </c>
      <c r="G33" s="328">
        <v>672</v>
      </c>
      <c r="H33" s="289">
        <v>635</v>
      </c>
      <c r="I33" s="289">
        <v>737</v>
      </c>
      <c r="J33" s="289">
        <f>'South Lanarkshire'!F250</f>
        <v>626</v>
      </c>
      <c r="K33" s="289">
        <f>'South Lanarkshire'!H250</f>
        <v>706</v>
      </c>
      <c r="L33" s="327">
        <v>6169</v>
      </c>
      <c r="M33" s="328">
        <v>5340</v>
      </c>
      <c r="N33" s="328">
        <v>6479</v>
      </c>
      <c r="O33" s="328">
        <v>5553</v>
      </c>
      <c r="P33" s="328">
        <v>6318</v>
      </c>
      <c r="Q33" s="328">
        <v>6003</v>
      </c>
      <c r="R33" s="328">
        <v>6686</v>
      </c>
      <c r="S33" s="328">
        <v>5707</v>
      </c>
      <c r="T33" s="289">
        <f>'South Lanarkshire'!F251</f>
        <v>7249</v>
      </c>
      <c r="U33" s="289">
        <f>'South Lanarkshire'!H251</f>
        <v>6217</v>
      </c>
      <c r="V33" s="327">
        <v>10416</v>
      </c>
      <c r="W33" s="328">
        <v>10371</v>
      </c>
      <c r="X33" s="328">
        <v>10456</v>
      </c>
      <c r="Y33" s="328">
        <v>10535</v>
      </c>
      <c r="Z33" s="328">
        <v>10547</v>
      </c>
      <c r="AA33" s="328">
        <v>10631</v>
      </c>
      <c r="AB33" s="328">
        <v>7021</v>
      </c>
      <c r="AC33" s="328">
        <v>7459</v>
      </c>
      <c r="AD33" s="289">
        <f>'South Lanarkshire'!F252</f>
        <v>7081</v>
      </c>
      <c r="AE33" s="374">
        <f>'South Lanarkshire'!H252</f>
        <v>7407</v>
      </c>
      <c r="AF33" s="327">
        <v>5551</v>
      </c>
      <c r="AG33" s="328">
        <v>5255</v>
      </c>
      <c r="AH33" s="328">
        <v>4844</v>
      </c>
      <c r="AI33" s="328">
        <v>4511</v>
      </c>
      <c r="AJ33" s="328">
        <v>4479</v>
      </c>
      <c r="AK33" s="328">
        <v>4229</v>
      </c>
      <c r="AL33" s="328">
        <v>3907</v>
      </c>
      <c r="AM33" s="328">
        <v>4141</v>
      </c>
      <c r="AN33" s="289">
        <f>'South Lanarkshire'!F253</f>
        <v>3877</v>
      </c>
      <c r="AO33" s="289">
        <f>'South Lanarkshire'!H253</f>
        <v>3728</v>
      </c>
      <c r="AP33" s="327">
        <v>23079</v>
      </c>
      <c r="AQ33" s="328">
        <v>21903</v>
      </c>
      <c r="AR33" s="328">
        <v>22547</v>
      </c>
      <c r="AS33" s="328">
        <v>21360</v>
      </c>
      <c r="AT33" s="328">
        <v>21938</v>
      </c>
      <c r="AU33" s="328">
        <v>21535</v>
      </c>
      <c r="AV33" s="328">
        <v>18249</v>
      </c>
      <c r="AW33" s="328">
        <v>18044</v>
      </c>
      <c r="AX33" s="289">
        <f>'South Lanarkshire'!F254</f>
        <v>18833</v>
      </c>
      <c r="AY33" s="289">
        <f>'South Lanarkshire'!H254</f>
        <v>18058</v>
      </c>
      <c r="BB33" s="403">
        <f t="shared" si="0"/>
        <v>-1.4173228346456693E-2</v>
      </c>
      <c r="BC33" s="326">
        <f t="shared" si="1"/>
        <v>-9</v>
      </c>
      <c r="BD33" s="403">
        <f t="shared" si="2"/>
        <v>-4.2062415196743558E-2</v>
      </c>
      <c r="BE33" s="326">
        <f t="shared" si="3"/>
        <v>-31</v>
      </c>
      <c r="BH33" s="403">
        <f t="shared" si="4"/>
        <v>8.4205803170804672E-2</v>
      </c>
      <c r="BI33" s="326">
        <f t="shared" si="5"/>
        <v>563</v>
      </c>
      <c r="BJ33" s="403">
        <f t="shared" si="6"/>
        <v>8.9363939022253369E-2</v>
      </c>
      <c r="BK33" s="326">
        <f t="shared" si="7"/>
        <v>510</v>
      </c>
      <c r="BM33" s="403">
        <f t="shared" si="8"/>
        <v>8.5457911978350665E-3</v>
      </c>
      <c r="BN33" s="326">
        <f t="shared" si="9"/>
        <v>60</v>
      </c>
      <c r="BO33" s="403">
        <f t="shared" si="10"/>
        <v>-6.9714438932832823E-3</v>
      </c>
      <c r="BP33" s="326">
        <f t="shared" si="11"/>
        <v>-52</v>
      </c>
      <c r="BR33" s="403">
        <f t="shared" si="12"/>
        <v>-7.678525723061172E-3</v>
      </c>
      <c r="BS33" s="326">
        <f t="shared" si="13"/>
        <v>-30</v>
      </c>
      <c r="BT33" s="403">
        <f t="shared" si="14"/>
        <v>-9.9734363680270471E-2</v>
      </c>
      <c r="BU33" s="326">
        <f t="shared" si="15"/>
        <v>-413</v>
      </c>
    </row>
    <row r="34" spans="1:73">
      <c r="A34" s="316" t="s">
        <v>45</v>
      </c>
      <c r="B34" s="327">
        <v>483</v>
      </c>
      <c r="C34" s="328">
        <v>434</v>
      </c>
      <c r="D34" s="328">
        <v>371</v>
      </c>
      <c r="E34" s="328">
        <v>313</v>
      </c>
      <c r="F34" s="328">
        <v>341</v>
      </c>
      <c r="G34" s="328">
        <v>363</v>
      </c>
      <c r="H34" s="289">
        <v>351</v>
      </c>
      <c r="I34" s="289">
        <v>363</v>
      </c>
      <c r="J34" s="289">
        <f>Stirling!F250</f>
        <v>321</v>
      </c>
      <c r="K34" s="289">
        <f>Stirling!H250</f>
        <v>316</v>
      </c>
      <c r="L34" s="327">
        <v>2432</v>
      </c>
      <c r="M34" s="328">
        <v>2157</v>
      </c>
      <c r="N34" s="328">
        <v>2399</v>
      </c>
      <c r="O34" s="328">
        <v>2488</v>
      </c>
      <c r="P34" s="328">
        <v>1995</v>
      </c>
      <c r="Q34" s="328">
        <v>1935</v>
      </c>
      <c r="R34" s="328">
        <v>2001</v>
      </c>
      <c r="S34" s="328">
        <v>1841</v>
      </c>
      <c r="T34" s="289">
        <f>Stirling!F251</f>
        <v>2308</v>
      </c>
      <c r="U34" s="289">
        <f>Stirling!H251</f>
        <v>2039</v>
      </c>
      <c r="V34" s="327">
        <v>1992</v>
      </c>
      <c r="W34" s="328">
        <v>2327</v>
      </c>
      <c r="X34" s="328">
        <v>2137</v>
      </c>
      <c r="Y34" s="328">
        <v>1956</v>
      </c>
      <c r="Z34" s="328">
        <v>2123</v>
      </c>
      <c r="AA34" s="328">
        <v>1933</v>
      </c>
      <c r="AB34" s="328">
        <v>2058</v>
      </c>
      <c r="AC34" s="328">
        <v>2202</v>
      </c>
      <c r="AD34" s="289">
        <f>Stirling!F252</f>
        <v>2386</v>
      </c>
      <c r="AE34" s="374">
        <f>Stirling!H252</f>
        <v>2241</v>
      </c>
      <c r="AF34" s="327">
        <v>483</v>
      </c>
      <c r="AG34" s="328">
        <v>634</v>
      </c>
      <c r="AH34" s="328">
        <v>1038</v>
      </c>
      <c r="AI34" s="328">
        <v>991</v>
      </c>
      <c r="AJ34" s="328">
        <v>1168</v>
      </c>
      <c r="AK34" s="328">
        <v>1112</v>
      </c>
      <c r="AL34" s="328">
        <v>1260</v>
      </c>
      <c r="AM34" s="328">
        <v>1141</v>
      </c>
      <c r="AN34" s="289">
        <f>Stirling!F253</f>
        <v>1335</v>
      </c>
      <c r="AO34" s="289">
        <f>Stirling!H253</f>
        <v>1235</v>
      </c>
      <c r="AP34" s="327">
        <v>5390</v>
      </c>
      <c r="AQ34" s="328">
        <v>5552</v>
      </c>
      <c r="AR34" s="328">
        <v>5945</v>
      </c>
      <c r="AS34" s="328">
        <v>5748</v>
      </c>
      <c r="AT34" s="328">
        <v>5627</v>
      </c>
      <c r="AU34" s="328">
        <v>5343</v>
      </c>
      <c r="AV34" s="328">
        <v>5670</v>
      </c>
      <c r="AW34" s="328">
        <v>5547</v>
      </c>
      <c r="AX34" s="289">
        <f>Stirling!F254</f>
        <v>6350</v>
      </c>
      <c r="AY34" s="289">
        <f>Stirling!H254</f>
        <v>5831</v>
      </c>
      <c r="BB34" s="403">
        <f t="shared" si="0"/>
        <v>-8.5470085470085472E-2</v>
      </c>
      <c r="BC34" s="326">
        <f t="shared" si="1"/>
        <v>-30</v>
      </c>
      <c r="BD34" s="403">
        <f t="shared" si="2"/>
        <v>-0.12947658402203857</v>
      </c>
      <c r="BE34" s="326">
        <f t="shared" si="3"/>
        <v>-47</v>
      </c>
      <c r="BH34" s="403">
        <f t="shared" si="4"/>
        <v>0.15342328835582209</v>
      </c>
      <c r="BI34" s="326">
        <f t="shared" si="5"/>
        <v>307</v>
      </c>
      <c r="BJ34" s="403">
        <f t="shared" si="6"/>
        <v>0.10755024443237371</v>
      </c>
      <c r="BK34" s="326">
        <f t="shared" si="7"/>
        <v>198</v>
      </c>
      <c r="BM34" s="403">
        <f t="shared" si="8"/>
        <v>0.15937803692905733</v>
      </c>
      <c r="BN34" s="326">
        <f t="shared" si="9"/>
        <v>328</v>
      </c>
      <c r="BO34" s="403">
        <f t="shared" si="10"/>
        <v>1.7711171662125342E-2</v>
      </c>
      <c r="BP34" s="326">
        <f t="shared" si="11"/>
        <v>39</v>
      </c>
      <c r="BR34" s="403">
        <f t="shared" si="12"/>
        <v>5.9523809523809521E-2</v>
      </c>
      <c r="BS34" s="326">
        <f t="shared" si="13"/>
        <v>75</v>
      </c>
      <c r="BT34" s="403">
        <f t="shared" si="14"/>
        <v>8.238387379491674E-2</v>
      </c>
      <c r="BU34" s="326">
        <f t="shared" si="15"/>
        <v>94</v>
      </c>
    </row>
    <row r="35" spans="1:73">
      <c r="A35" s="316" t="s">
        <v>46</v>
      </c>
      <c r="B35" s="327">
        <v>0</v>
      </c>
      <c r="C35" s="328">
        <v>0</v>
      </c>
      <c r="D35" s="328">
        <v>197</v>
      </c>
      <c r="E35" s="328">
        <v>195</v>
      </c>
      <c r="F35" s="328">
        <v>200</v>
      </c>
      <c r="G35" s="328">
        <v>195</v>
      </c>
      <c r="H35" s="289">
        <v>231</v>
      </c>
      <c r="I35" s="289">
        <v>198</v>
      </c>
      <c r="J35" s="289">
        <f>'West Dunbartonshire'!F250</f>
        <v>249</v>
      </c>
      <c r="K35" s="289">
        <f>'West Dunbartonshire'!H250</f>
        <v>227</v>
      </c>
      <c r="L35" s="327">
        <v>2704</v>
      </c>
      <c r="M35" s="328">
        <v>2534</v>
      </c>
      <c r="N35" s="328">
        <v>4037</v>
      </c>
      <c r="O35" s="328">
        <v>4058</v>
      </c>
      <c r="P35" s="328">
        <v>4236</v>
      </c>
      <c r="Q35" s="328">
        <v>4342</v>
      </c>
      <c r="R35" s="328">
        <v>4366</v>
      </c>
      <c r="S35" s="328">
        <v>4142</v>
      </c>
      <c r="T35" s="289">
        <f>'West Dunbartonshire'!F251</f>
        <v>4532</v>
      </c>
      <c r="U35" s="289">
        <f>'West Dunbartonshire'!H251</f>
        <v>4326</v>
      </c>
      <c r="V35" s="327">
        <v>4045</v>
      </c>
      <c r="W35" s="328">
        <v>4030</v>
      </c>
      <c r="X35" s="328">
        <v>3241</v>
      </c>
      <c r="Y35" s="328">
        <v>2998</v>
      </c>
      <c r="Z35" s="328">
        <v>2987</v>
      </c>
      <c r="AA35" s="328">
        <v>2773.5</v>
      </c>
      <c r="AB35" s="328">
        <v>3253</v>
      </c>
      <c r="AC35" s="328">
        <v>2772</v>
      </c>
      <c r="AD35" s="289">
        <f>'West Dunbartonshire'!F252</f>
        <v>3128</v>
      </c>
      <c r="AE35" s="374">
        <f>'West Dunbartonshire'!H252</f>
        <v>3202</v>
      </c>
      <c r="AF35" s="327">
        <v>2050</v>
      </c>
      <c r="AG35" s="328">
        <v>1886</v>
      </c>
      <c r="AH35" s="328">
        <v>368</v>
      </c>
      <c r="AI35" s="328">
        <v>338</v>
      </c>
      <c r="AJ35" s="328">
        <v>358</v>
      </c>
      <c r="AK35" s="328">
        <v>75</v>
      </c>
      <c r="AL35" s="328">
        <v>114</v>
      </c>
      <c r="AM35" s="328">
        <v>116</v>
      </c>
      <c r="AN35" s="289">
        <f>'West Dunbartonshire'!F253</f>
        <v>140</v>
      </c>
      <c r="AO35" s="289">
        <f>'West Dunbartonshire'!H253</f>
        <v>175</v>
      </c>
      <c r="AP35" s="327">
        <v>8799</v>
      </c>
      <c r="AQ35" s="328">
        <v>8450</v>
      </c>
      <c r="AR35" s="328">
        <v>7843</v>
      </c>
      <c r="AS35" s="328">
        <v>7589</v>
      </c>
      <c r="AT35" s="328">
        <v>7781</v>
      </c>
      <c r="AU35" s="328">
        <v>7385.5</v>
      </c>
      <c r="AV35" s="328">
        <v>7964</v>
      </c>
      <c r="AW35" s="328">
        <v>7228</v>
      </c>
      <c r="AX35" s="289">
        <f>'West Dunbartonshire'!F254</f>
        <v>8049</v>
      </c>
      <c r="AY35" s="289">
        <f>'West Dunbartonshire'!H254</f>
        <v>7930</v>
      </c>
      <c r="BB35" s="403">
        <f t="shared" si="0"/>
        <v>7.792207792207792E-2</v>
      </c>
      <c r="BC35" s="326">
        <f t="shared" si="1"/>
        <v>18</v>
      </c>
      <c r="BD35" s="403">
        <f t="shared" si="2"/>
        <v>0.14646464646464646</v>
      </c>
      <c r="BE35" s="326">
        <f t="shared" si="3"/>
        <v>29</v>
      </c>
      <c r="BH35" s="403">
        <f t="shared" si="4"/>
        <v>3.8021071919377002E-2</v>
      </c>
      <c r="BI35" s="326">
        <f t="shared" si="5"/>
        <v>166</v>
      </c>
      <c r="BJ35" s="403">
        <f t="shared" si="6"/>
        <v>4.4422984065668761E-2</v>
      </c>
      <c r="BK35" s="326">
        <f t="shared" si="7"/>
        <v>184</v>
      </c>
      <c r="BM35" s="403">
        <f t="shared" si="8"/>
        <v>-3.8426068244697201E-2</v>
      </c>
      <c r="BN35" s="326">
        <f t="shared" si="9"/>
        <v>-125</v>
      </c>
      <c r="BO35" s="403">
        <f t="shared" si="10"/>
        <v>0.15512265512265513</v>
      </c>
      <c r="BP35" s="326">
        <f t="shared" si="11"/>
        <v>430</v>
      </c>
      <c r="BR35" s="403">
        <f t="shared" si="12"/>
        <v>0.22807017543859648</v>
      </c>
      <c r="BS35" s="326">
        <f t="shared" si="13"/>
        <v>26</v>
      </c>
      <c r="BT35" s="403">
        <f t="shared" si="14"/>
        <v>0.50862068965517238</v>
      </c>
      <c r="BU35" s="326">
        <f t="shared" si="15"/>
        <v>59</v>
      </c>
    </row>
    <row r="36" spans="1:73">
      <c r="A36" s="316" t="s">
        <v>47</v>
      </c>
      <c r="B36" s="327">
        <v>1183</v>
      </c>
      <c r="C36" s="328">
        <v>1175</v>
      </c>
      <c r="D36" s="328">
        <v>1221</v>
      </c>
      <c r="E36" s="328">
        <v>1186</v>
      </c>
      <c r="F36" s="328">
        <v>1176</v>
      </c>
      <c r="G36" s="328">
        <v>1144</v>
      </c>
      <c r="H36" s="289">
        <v>1039</v>
      </c>
      <c r="I36" s="289">
        <v>1111</v>
      </c>
      <c r="J36" s="289">
        <f>'West Lothian'!F250</f>
        <v>1067</v>
      </c>
      <c r="K36" s="289">
        <f>'West Lothian'!H250</f>
        <v>1015</v>
      </c>
      <c r="L36" s="327">
        <v>6908</v>
      </c>
      <c r="M36" s="328">
        <v>6625</v>
      </c>
      <c r="N36" s="328">
        <v>6842</v>
      </c>
      <c r="O36" s="328">
        <v>6263</v>
      </c>
      <c r="P36" s="328">
        <v>6810</v>
      </c>
      <c r="Q36" s="328">
        <v>5014</v>
      </c>
      <c r="R36" s="328">
        <v>5063</v>
      </c>
      <c r="S36" s="328">
        <v>4880</v>
      </c>
      <c r="T36" s="289">
        <f>'West Lothian'!F251</f>
        <v>6057</v>
      </c>
      <c r="U36" s="289">
        <f>'West Lothian'!H251</f>
        <v>4104</v>
      </c>
      <c r="V36" s="327">
        <v>4843</v>
      </c>
      <c r="W36" s="328">
        <v>4711</v>
      </c>
      <c r="X36" s="328">
        <v>4752</v>
      </c>
      <c r="Y36" s="328">
        <v>4711</v>
      </c>
      <c r="Z36" s="328">
        <v>4671</v>
      </c>
      <c r="AA36" s="328">
        <v>4483</v>
      </c>
      <c r="AB36" s="328">
        <v>5103</v>
      </c>
      <c r="AC36" s="328">
        <v>4825</v>
      </c>
      <c r="AD36" s="289">
        <f>'West Lothian'!F252</f>
        <v>4115</v>
      </c>
      <c r="AE36" s="374">
        <f>'West Lothian'!H252</f>
        <v>3252</v>
      </c>
      <c r="AF36" s="327">
        <v>14</v>
      </c>
      <c r="AG36" s="328">
        <v>14</v>
      </c>
      <c r="AH36" s="328">
        <v>15</v>
      </c>
      <c r="AI36" s="328">
        <v>14</v>
      </c>
      <c r="AJ36" s="328">
        <v>11</v>
      </c>
      <c r="AK36" s="328">
        <v>9</v>
      </c>
      <c r="AL36" s="328">
        <v>12</v>
      </c>
      <c r="AM36" s="328">
        <v>11</v>
      </c>
      <c r="AN36" s="289">
        <f>'West Lothian'!F253</f>
        <v>11</v>
      </c>
      <c r="AO36" s="289">
        <f>'West Lothian'!H253</f>
        <v>11</v>
      </c>
      <c r="AP36" s="327">
        <v>12948</v>
      </c>
      <c r="AQ36" s="328">
        <v>12525</v>
      </c>
      <c r="AR36" s="328">
        <v>12830</v>
      </c>
      <c r="AS36" s="328">
        <v>12174</v>
      </c>
      <c r="AT36" s="328">
        <v>12668</v>
      </c>
      <c r="AU36" s="328">
        <v>10650</v>
      </c>
      <c r="AV36" s="328">
        <v>11217</v>
      </c>
      <c r="AW36" s="328">
        <v>10827</v>
      </c>
      <c r="AX36" s="289">
        <f>'West Lothian'!F254</f>
        <v>11250</v>
      </c>
      <c r="AY36" s="289">
        <f>'West Lothian'!H254</f>
        <v>8382</v>
      </c>
      <c r="BB36" s="403">
        <f t="shared" si="0"/>
        <v>2.6948989412897015E-2</v>
      </c>
      <c r="BC36" s="326">
        <f t="shared" si="1"/>
        <v>28</v>
      </c>
      <c r="BD36" s="403">
        <f t="shared" si="2"/>
        <v>-8.6408640864086408E-2</v>
      </c>
      <c r="BE36" s="326">
        <f t="shared" si="3"/>
        <v>-96</v>
      </c>
      <c r="BH36" s="403">
        <f t="shared" si="4"/>
        <v>0.1963262887616038</v>
      </c>
      <c r="BI36" s="326">
        <f t="shared" si="5"/>
        <v>994</v>
      </c>
      <c r="BJ36" s="403">
        <f t="shared" si="6"/>
        <v>-0.15901639344262294</v>
      </c>
      <c r="BK36" s="326">
        <f t="shared" si="7"/>
        <v>-776</v>
      </c>
      <c r="BM36" s="403">
        <f t="shared" si="8"/>
        <v>-0.19361160101900843</v>
      </c>
      <c r="BN36" s="326">
        <f t="shared" si="9"/>
        <v>-988</v>
      </c>
      <c r="BO36" s="403">
        <f t="shared" si="10"/>
        <v>-0.3260103626943005</v>
      </c>
      <c r="BP36" s="326">
        <f t="shared" si="11"/>
        <v>-1573</v>
      </c>
      <c r="BR36" s="403">
        <f t="shared" si="12"/>
        <v>-8.3333333333333329E-2</v>
      </c>
      <c r="BS36" s="326">
        <f t="shared" si="13"/>
        <v>-1</v>
      </c>
      <c r="BT36" s="403">
        <f t="shared" si="14"/>
        <v>0</v>
      </c>
      <c r="BU36" s="326">
        <f t="shared" si="15"/>
        <v>0</v>
      </c>
    </row>
    <row r="37" spans="1:73">
      <c r="B37" s="316" t="s">
        <v>346</v>
      </c>
      <c r="C37" s="316" t="s">
        <v>347</v>
      </c>
      <c r="D37" s="316" t="s">
        <v>346</v>
      </c>
      <c r="E37" s="316" t="s">
        <v>347</v>
      </c>
      <c r="J37" s="316" t="s">
        <v>346</v>
      </c>
      <c r="K37" s="316" t="s">
        <v>347</v>
      </c>
      <c r="L37" s="316" t="s">
        <v>348</v>
      </c>
      <c r="M37" s="316" t="s">
        <v>349</v>
      </c>
      <c r="N37" s="316" t="s">
        <v>348</v>
      </c>
      <c r="O37" s="329" t="s">
        <v>349</v>
      </c>
      <c r="P37" s="329"/>
      <c r="Q37" s="329"/>
      <c r="R37" s="329"/>
      <c r="S37" s="329"/>
      <c r="T37" s="316" t="s">
        <v>348</v>
      </c>
      <c r="U37" s="329" t="s">
        <v>349</v>
      </c>
      <c r="V37" s="316" t="s">
        <v>350</v>
      </c>
      <c r="W37" s="316" t="s">
        <v>351</v>
      </c>
      <c r="X37" s="316" t="s">
        <v>350</v>
      </c>
      <c r="Y37" s="316" t="s">
        <v>351</v>
      </c>
      <c r="AD37" s="316" t="s">
        <v>350</v>
      </c>
      <c r="AE37" s="316" t="s">
        <v>351</v>
      </c>
      <c r="AF37" s="316" t="s">
        <v>352</v>
      </c>
      <c r="AG37" s="316" t="s">
        <v>353</v>
      </c>
      <c r="AH37" s="316" t="s">
        <v>352</v>
      </c>
      <c r="AI37" s="329" t="s">
        <v>353</v>
      </c>
      <c r="AJ37" s="329"/>
      <c r="AK37" s="329"/>
      <c r="AL37" s="329"/>
      <c r="AM37" s="329"/>
      <c r="AN37" s="316" t="s">
        <v>352</v>
      </c>
      <c r="AO37" s="329" t="s">
        <v>353</v>
      </c>
      <c r="AP37" s="316" t="s">
        <v>354</v>
      </c>
      <c r="AQ37" s="316" t="s">
        <v>355</v>
      </c>
      <c r="AR37" s="316" t="s">
        <v>354</v>
      </c>
      <c r="AS37" s="329" t="s">
        <v>355</v>
      </c>
      <c r="AT37" s="329"/>
      <c r="AU37" s="329"/>
      <c r="AV37" s="329"/>
      <c r="AW37" s="329"/>
      <c r="AX37" s="316" t="s">
        <v>354</v>
      </c>
      <c r="AY37" s="329" t="s">
        <v>355</v>
      </c>
    </row>
    <row r="38" spans="1:73">
      <c r="O38" s="329"/>
      <c r="P38" s="329"/>
      <c r="Q38" s="329"/>
      <c r="R38" s="329"/>
      <c r="S38" s="329"/>
      <c r="AI38" s="329"/>
      <c r="AJ38" s="329"/>
      <c r="AK38" s="329"/>
      <c r="AL38" s="329"/>
      <c r="AM38" s="329"/>
      <c r="AN38" s="329"/>
      <c r="AO38" s="329"/>
      <c r="AS38" s="329"/>
      <c r="AT38" s="329"/>
      <c r="AU38" s="329"/>
      <c r="AV38" s="329"/>
      <c r="AW38" s="329"/>
    </row>
    <row r="39" spans="1:73">
      <c r="O39" s="329"/>
      <c r="P39" s="329"/>
      <c r="Q39" s="329"/>
      <c r="R39" s="329"/>
      <c r="S39" s="329"/>
      <c r="AI39" s="329"/>
      <c r="AJ39" s="329"/>
      <c r="AK39" s="329"/>
      <c r="AL39" s="329"/>
      <c r="AM39" s="329"/>
      <c r="AS39" s="329"/>
      <c r="AT39" s="329"/>
      <c r="AU39" s="329"/>
      <c r="AV39" s="329"/>
      <c r="AW39" s="329"/>
      <c r="BB39" s="402" t="s">
        <v>396</v>
      </c>
    </row>
    <row r="40" spans="1:73">
      <c r="O40" s="329"/>
      <c r="P40" s="329"/>
      <c r="Q40" s="329"/>
      <c r="R40" s="329"/>
      <c r="S40" s="329"/>
      <c r="AI40" s="329"/>
      <c r="AJ40" s="329"/>
      <c r="AK40" s="329"/>
      <c r="AL40" s="329"/>
      <c r="AM40" s="329"/>
      <c r="AS40" s="329"/>
      <c r="AT40" s="329"/>
      <c r="AU40" s="329"/>
      <c r="AV40" s="329"/>
      <c r="AW40" s="329"/>
    </row>
    <row r="41" spans="1:73">
      <c r="O41" s="329"/>
      <c r="P41" s="329"/>
      <c r="Q41" s="329"/>
      <c r="R41" s="329"/>
      <c r="S41" s="329"/>
      <c r="AI41" s="329"/>
      <c r="AJ41" s="329"/>
      <c r="AK41" s="329"/>
      <c r="AL41" s="329"/>
      <c r="AM41" s="329"/>
      <c r="AS41" s="329"/>
      <c r="AT41" s="329"/>
      <c r="AU41" s="329"/>
      <c r="AV41" s="329"/>
      <c r="AW41" s="329"/>
    </row>
    <row r="42" spans="1:73">
      <c r="O42" s="329"/>
      <c r="P42" s="329"/>
      <c r="Q42" s="329"/>
      <c r="R42" s="329"/>
      <c r="S42" s="329"/>
      <c r="AI42" s="329"/>
      <c r="AJ42" s="329"/>
      <c r="AK42" s="329"/>
      <c r="AL42" s="329"/>
      <c r="AM42" s="329"/>
      <c r="AS42" s="329"/>
      <c r="AT42" s="329"/>
      <c r="AU42" s="329"/>
      <c r="AV42" s="329"/>
      <c r="AW42" s="329"/>
    </row>
    <row r="43" spans="1:73">
      <c r="O43" s="329"/>
      <c r="P43" s="329"/>
      <c r="Q43" s="329"/>
      <c r="R43" s="329"/>
      <c r="S43" s="329"/>
      <c r="AI43" s="329"/>
      <c r="AJ43" s="329"/>
      <c r="AK43" s="329"/>
      <c r="AL43" s="329"/>
      <c r="AM43" s="329"/>
      <c r="AS43" s="329"/>
      <c r="AT43" s="329"/>
      <c r="AU43" s="329"/>
      <c r="AV43" s="329"/>
      <c r="AW43" s="329"/>
    </row>
    <row r="44" spans="1:73">
      <c r="O44" s="329"/>
      <c r="P44" s="329"/>
      <c r="Q44" s="329"/>
      <c r="R44" s="329"/>
      <c r="S44" s="329"/>
      <c r="AI44" s="329"/>
      <c r="AJ44" s="329"/>
      <c r="AK44" s="329"/>
      <c r="AL44" s="329"/>
      <c r="AM44" s="329"/>
      <c r="AS44" s="329"/>
      <c r="AT44" s="329"/>
      <c r="AU44" s="329"/>
      <c r="AV44" s="329"/>
      <c r="AW44" s="329"/>
    </row>
    <row r="45" spans="1:73">
      <c r="O45" s="329"/>
      <c r="P45" s="329"/>
      <c r="Q45" s="329"/>
      <c r="R45" s="329"/>
      <c r="S45" s="329"/>
      <c r="AI45" s="329"/>
      <c r="AJ45" s="329"/>
      <c r="AK45" s="329"/>
      <c r="AL45" s="329"/>
      <c r="AM45" s="329"/>
      <c r="AS45" s="329"/>
      <c r="AT45" s="329"/>
      <c r="AU45" s="329"/>
      <c r="AV45" s="329"/>
      <c r="AW45" s="329"/>
    </row>
    <row r="46" spans="1:73">
      <c r="O46" s="329"/>
      <c r="P46" s="329"/>
      <c r="Q46" s="329"/>
      <c r="R46" s="329"/>
      <c r="S46" s="329"/>
      <c r="AI46" s="329"/>
      <c r="AJ46" s="329"/>
      <c r="AK46" s="329"/>
      <c r="AL46" s="329"/>
      <c r="AM46" s="329"/>
      <c r="AS46" s="329"/>
      <c r="AT46" s="329"/>
      <c r="AU46" s="329"/>
      <c r="AV46" s="329"/>
      <c r="AW46" s="329"/>
    </row>
    <row r="47" spans="1:73">
      <c r="O47" s="329"/>
      <c r="P47" s="329"/>
      <c r="Q47" s="329"/>
      <c r="R47" s="329"/>
      <c r="S47" s="329"/>
      <c r="AI47" s="329"/>
      <c r="AJ47" s="329"/>
      <c r="AK47" s="329"/>
      <c r="AL47" s="329"/>
      <c r="AM47" s="329"/>
      <c r="AS47" s="329"/>
      <c r="AT47" s="329"/>
      <c r="AU47" s="329"/>
      <c r="AV47" s="329"/>
      <c r="AW47" s="329"/>
    </row>
    <row r="48" spans="1:73">
      <c r="O48" s="329"/>
      <c r="P48" s="329"/>
      <c r="Q48" s="329"/>
      <c r="R48" s="329"/>
      <c r="S48" s="329"/>
      <c r="AI48" s="329"/>
      <c r="AJ48" s="329"/>
      <c r="AK48" s="329"/>
      <c r="AL48" s="329"/>
      <c r="AM48" s="329"/>
      <c r="AS48" s="329"/>
      <c r="AT48" s="329"/>
      <c r="AU48" s="329"/>
      <c r="AV48" s="329"/>
      <c r="AW48" s="329"/>
    </row>
    <row r="49" spans="15:49">
      <c r="O49" s="329"/>
      <c r="P49" s="329"/>
      <c r="Q49" s="329"/>
      <c r="R49" s="329"/>
      <c r="S49" s="329"/>
      <c r="AI49" s="329"/>
      <c r="AJ49" s="329"/>
      <c r="AK49" s="329"/>
      <c r="AL49" s="329"/>
      <c r="AM49" s="329"/>
      <c r="AS49" s="329"/>
      <c r="AT49" s="329"/>
      <c r="AU49" s="329"/>
      <c r="AV49" s="329"/>
      <c r="AW49" s="329"/>
    </row>
    <row r="50" spans="15:49">
      <c r="O50" s="329"/>
      <c r="P50" s="329"/>
      <c r="Q50" s="329"/>
      <c r="R50" s="329"/>
      <c r="S50" s="329"/>
      <c r="AI50" s="329"/>
      <c r="AJ50" s="329"/>
      <c r="AK50" s="329"/>
      <c r="AL50" s="329"/>
      <c r="AM50" s="329"/>
      <c r="AS50" s="329"/>
      <c r="AT50" s="329"/>
      <c r="AU50" s="329"/>
      <c r="AV50" s="329"/>
      <c r="AW50" s="329"/>
    </row>
    <row r="51" spans="15:49">
      <c r="O51" s="329"/>
      <c r="P51" s="329"/>
      <c r="Q51" s="329"/>
      <c r="R51" s="329"/>
      <c r="S51" s="329"/>
      <c r="AI51" s="329"/>
      <c r="AJ51" s="329"/>
      <c r="AK51" s="329"/>
      <c r="AL51" s="329"/>
      <c r="AM51" s="329"/>
      <c r="AS51" s="329"/>
      <c r="AT51" s="329"/>
      <c r="AU51" s="329"/>
      <c r="AV51" s="329"/>
      <c r="AW51" s="329"/>
    </row>
    <row r="52" spans="15:49">
      <c r="O52" s="329"/>
      <c r="P52" s="329"/>
      <c r="Q52" s="329"/>
      <c r="R52" s="329"/>
      <c r="S52" s="329"/>
      <c r="AI52" s="329"/>
      <c r="AJ52" s="329"/>
      <c r="AK52" s="329"/>
      <c r="AL52" s="329"/>
      <c r="AM52" s="329"/>
      <c r="AS52" s="329"/>
      <c r="AT52" s="329"/>
      <c r="AU52" s="329"/>
      <c r="AV52" s="329"/>
      <c r="AW52" s="329"/>
    </row>
    <row r="53" spans="15:49">
      <c r="O53" s="329"/>
      <c r="P53" s="329"/>
      <c r="Q53" s="329"/>
      <c r="R53" s="329"/>
      <c r="S53" s="329"/>
      <c r="AI53" s="329"/>
      <c r="AJ53" s="329"/>
      <c r="AK53" s="329"/>
      <c r="AL53" s="329"/>
      <c r="AM53" s="329"/>
      <c r="AS53" s="329"/>
      <c r="AT53" s="329"/>
      <c r="AU53" s="329"/>
      <c r="AV53" s="329"/>
      <c r="AW53" s="329"/>
    </row>
    <row r="54" spans="15:49">
      <c r="O54" s="329"/>
      <c r="P54" s="329"/>
      <c r="Q54" s="329"/>
      <c r="R54" s="329"/>
      <c r="S54" s="329"/>
      <c r="AI54" s="329"/>
      <c r="AJ54" s="329"/>
      <c r="AK54" s="329"/>
      <c r="AL54" s="329"/>
      <c r="AM54" s="329"/>
      <c r="AS54" s="329"/>
      <c r="AT54" s="329"/>
      <c r="AU54" s="329"/>
      <c r="AV54" s="329"/>
      <c r="AW54" s="329"/>
    </row>
    <row r="55" spans="15:49">
      <c r="O55" s="329"/>
      <c r="P55" s="329"/>
      <c r="Q55" s="329"/>
      <c r="R55" s="329"/>
      <c r="S55" s="329"/>
      <c r="AI55" s="329"/>
      <c r="AJ55" s="329"/>
      <c r="AK55" s="329"/>
      <c r="AL55" s="329"/>
      <c r="AM55" s="329"/>
      <c r="AS55" s="329"/>
      <c r="AT55" s="329"/>
      <c r="AU55" s="329"/>
      <c r="AV55" s="329"/>
      <c r="AW55" s="329"/>
    </row>
    <row r="56" spans="15:49">
      <c r="O56" s="329"/>
      <c r="P56" s="329"/>
      <c r="Q56" s="329"/>
      <c r="R56" s="329"/>
      <c r="S56" s="329"/>
      <c r="AI56" s="329"/>
      <c r="AJ56" s="329"/>
      <c r="AK56" s="329"/>
      <c r="AL56" s="329"/>
      <c r="AM56" s="329"/>
      <c r="AS56" s="329"/>
      <c r="AT56" s="329"/>
      <c r="AU56" s="329"/>
      <c r="AV56" s="329"/>
      <c r="AW56" s="329"/>
    </row>
    <row r="57" spans="15:49">
      <c r="AI57" s="329"/>
      <c r="AJ57" s="329"/>
      <c r="AK57" s="329"/>
      <c r="AL57" s="329"/>
      <c r="AM57" s="329"/>
      <c r="AS57" s="329"/>
      <c r="AT57" s="329"/>
      <c r="AU57" s="329"/>
      <c r="AV57" s="329"/>
      <c r="AW57" s="329"/>
    </row>
    <row r="58" spans="15:49">
      <c r="AI58" s="329"/>
      <c r="AJ58" s="329"/>
      <c r="AK58" s="329"/>
      <c r="AL58" s="329"/>
      <c r="AM58" s="329"/>
      <c r="AS58" s="329"/>
      <c r="AT58" s="329"/>
      <c r="AU58" s="329"/>
      <c r="AV58" s="329"/>
      <c r="AW58" s="329"/>
    </row>
    <row r="59" spans="15:49">
      <c r="AI59" s="329"/>
      <c r="AJ59" s="329"/>
      <c r="AK59" s="329"/>
      <c r="AL59" s="329"/>
      <c r="AM59" s="329"/>
      <c r="AS59" s="329"/>
      <c r="AT59" s="329"/>
      <c r="AU59" s="329"/>
      <c r="AV59" s="329"/>
      <c r="AW59" s="329"/>
    </row>
    <row r="60" spans="15:49">
      <c r="AI60" s="329"/>
      <c r="AJ60" s="329"/>
      <c r="AK60" s="329"/>
      <c r="AL60" s="329"/>
      <c r="AM60" s="329"/>
      <c r="AS60" s="329"/>
      <c r="AT60" s="329"/>
      <c r="AU60" s="329"/>
      <c r="AV60" s="329"/>
      <c r="AW60" s="329"/>
    </row>
    <row r="61" spans="15:49">
      <c r="AI61" s="329"/>
      <c r="AJ61" s="329"/>
      <c r="AK61" s="329"/>
      <c r="AL61" s="329"/>
      <c r="AM61" s="329"/>
      <c r="AS61" s="329"/>
      <c r="AT61" s="329"/>
      <c r="AU61" s="329"/>
      <c r="AV61" s="329"/>
      <c r="AW61" s="329"/>
    </row>
    <row r="62" spans="15:49">
      <c r="AI62" s="329"/>
      <c r="AJ62" s="329"/>
      <c r="AK62" s="329"/>
      <c r="AL62" s="329"/>
      <c r="AM62" s="329"/>
      <c r="AS62" s="329"/>
      <c r="AT62" s="329"/>
      <c r="AU62" s="329"/>
      <c r="AV62" s="329"/>
      <c r="AW62" s="329"/>
    </row>
    <row r="63" spans="15:49">
      <c r="AI63" s="329"/>
      <c r="AJ63" s="329"/>
      <c r="AK63" s="329"/>
      <c r="AL63" s="329"/>
      <c r="AM63" s="329"/>
      <c r="AS63" s="329"/>
      <c r="AT63" s="329"/>
      <c r="AU63" s="329"/>
      <c r="AV63" s="329"/>
      <c r="AW63" s="329"/>
    </row>
    <row r="64" spans="15:49">
      <c r="AI64" s="329"/>
      <c r="AJ64" s="329"/>
      <c r="AK64" s="329"/>
      <c r="AL64" s="329"/>
      <c r="AM64" s="329"/>
      <c r="AS64" s="329"/>
      <c r="AT64" s="329"/>
      <c r="AU64" s="329"/>
      <c r="AV64" s="329"/>
      <c r="AW64" s="329"/>
    </row>
    <row r="65" spans="35:49">
      <c r="AI65" s="329"/>
      <c r="AJ65" s="329"/>
      <c r="AK65" s="329"/>
      <c r="AL65" s="329"/>
      <c r="AM65" s="329"/>
      <c r="AS65" s="329"/>
      <c r="AT65" s="329"/>
      <c r="AU65" s="329"/>
      <c r="AV65" s="329"/>
      <c r="AW65" s="329"/>
    </row>
    <row r="66" spans="35:49">
      <c r="AI66" s="329"/>
      <c r="AJ66" s="329"/>
      <c r="AK66" s="329"/>
      <c r="AL66" s="329"/>
      <c r="AM66" s="329"/>
      <c r="AS66" s="329"/>
      <c r="AT66" s="329"/>
      <c r="AU66" s="329"/>
      <c r="AV66" s="329"/>
      <c r="AW66" s="329"/>
    </row>
    <row r="67" spans="35:49">
      <c r="AI67" s="329"/>
      <c r="AJ67" s="329"/>
      <c r="AK67" s="329"/>
      <c r="AL67" s="329"/>
      <c r="AM67" s="329"/>
      <c r="AS67" s="329"/>
      <c r="AT67" s="329"/>
      <c r="AU67" s="329"/>
      <c r="AV67" s="329"/>
      <c r="AW67" s="329"/>
    </row>
    <row r="68" spans="35:49">
      <c r="AI68" s="329"/>
      <c r="AJ68" s="329"/>
      <c r="AK68" s="329"/>
      <c r="AL68" s="329"/>
      <c r="AM68" s="329"/>
      <c r="AS68" s="329"/>
      <c r="AT68" s="329"/>
      <c r="AU68" s="329"/>
      <c r="AV68" s="329"/>
      <c r="AW68" s="329"/>
    </row>
    <row r="69" spans="35:49">
      <c r="AI69" s="329"/>
      <c r="AJ69" s="329"/>
      <c r="AK69" s="329"/>
      <c r="AL69" s="329"/>
      <c r="AM69" s="329"/>
      <c r="AS69" s="329"/>
      <c r="AT69" s="329"/>
      <c r="AU69" s="329"/>
      <c r="AV69" s="329"/>
      <c r="AW69" s="329"/>
    </row>
    <row r="70" spans="35:49">
      <c r="AI70" s="329"/>
      <c r="AJ70" s="329"/>
      <c r="AK70" s="329"/>
      <c r="AL70" s="329"/>
      <c r="AM70" s="329"/>
      <c r="AS70" s="329"/>
      <c r="AT70" s="329"/>
      <c r="AU70" s="329"/>
      <c r="AV70" s="329"/>
      <c r="AW70" s="329"/>
    </row>
    <row r="71" spans="35:49">
      <c r="AI71" s="329"/>
      <c r="AJ71" s="329"/>
      <c r="AK71" s="329"/>
      <c r="AL71" s="329"/>
      <c r="AM71" s="329"/>
      <c r="AS71" s="329"/>
      <c r="AT71" s="329"/>
      <c r="AU71" s="329"/>
      <c r="AV71" s="329"/>
      <c r="AW71" s="329"/>
    </row>
    <row r="72" spans="35:49">
      <c r="AI72" s="329"/>
      <c r="AJ72" s="329"/>
      <c r="AK72" s="329"/>
      <c r="AL72" s="329"/>
      <c r="AM72" s="329"/>
      <c r="AS72" s="329"/>
      <c r="AT72" s="329"/>
      <c r="AU72" s="329"/>
      <c r="AV72" s="329"/>
      <c r="AW72" s="329"/>
    </row>
    <row r="73" spans="35:49">
      <c r="AI73" s="329"/>
      <c r="AJ73" s="329"/>
      <c r="AK73" s="329"/>
      <c r="AL73" s="329"/>
      <c r="AM73" s="329"/>
      <c r="AS73" s="329"/>
      <c r="AT73" s="329"/>
      <c r="AU73" s="329"/>
      <c r="AV73" s="329"/>
      <c r="AW73" s="329"/>
    </row>
    <row r="74" spans="35:49">
      <c r="AI74" s="329"/>
      <c r="AJ74" s="329"/>
      <c r="AK74" s="329"/>
      <c r="AL74" s="329"/>
      <c r="AM74" s="329"/>
      <c r="AS74" s="329"/>
      <c r="AT74" s="329"/>
      <c r="AU74" s="329"/>
      <c r="AV74" s="329"/>
      <c r="AW74" s="329"/>
    </row>
    <row r="75" spans="35:49">
      <c r="AI75" s="329"/>
      <c r="AJ75" s="329"/>
      <c r="AK75" s="329"/>
      <c r="AL75" s="329"/>
      <c r="AM75" s="329"/>
      <c r="AS75" s="329"/>
      <c r="AT75" s="329"/>
      <c r="AU75" s="329"/>
      <c r="AV75" s="329"/>
      <c r="AW75" s="329"/>
    </row>
    <row r="76" spans="35:49">
      <c r="AI76" s="329"/>
      <c r="AJ76" s="329"/>
      <c r="AK76" s="329"/>
      <c r="AL76" s="329"/>
      <c r="AM76" s="329"/>
      <c r="AS76" s="329"/>
      <c r="AT76" s="329"/>
      <c r="AU76" s="329"/>
      <c r="AV76" s="329"/>
      <c r="AW76" s="329"/>
    </row>
    <row r="77" spans="35:49">
      <c r="AI77" s="329"/>
      <c r="AJ77" s="329"/>
      <c r="AK77" s="329"/>
      <c r="AL77" s="329"/>
      <c r="AM77" s="329"/>
      <c r="AS77" s="329"/>
      <c r="AT77" s="329"/>
      <c r="AU77" s="329"/>
      <c r="AV77" s="329"/>
      <c r="AW77" s="329"/>
    </row>
    <row r="78" spans="35:49">
      <c r="AI78" s="329"/>
      <c r="AJ78" s="329"/>
      <c r="AK78" s="329"/>
      <c r="AL78" s="329"/>
      <c r="AM78" s="329"/>
      <c r="AS78" s="329"/>
      <c r="AT78" s="329"/>
      <c r="AU78" s="329"/>
      <c r="AV78" s="329"/>
      <c r="AW78" s="329"/>
    </row>
    <row r="79" spans="35:49">
      <c r="AI79" s="329"/>
      <c r="AJ79" s="329"/>
      <c r="AK79" s="329"/>
      <c r="AL79" s="329"/>
      <c r="AM79" s="329"/>
      <c r="AS79" s="329"/>
      <c r="AT79" s="329"/>
      <c r="AU79" s="329"/>
      <c r="AV79" s="329"/>
      <c r="AW79" s="329"/>
    </row>
    <row r="80" spans="35:49">
      <c r="AI80" s="329"/>
      <c r="AJ80" s="329"/>
      <c r="AK80" s="329"/>
      <c r="AL80" s="329"/>
      <c r="AM80" s="329"/>
      <c r="AS80" s="329"/>
      <c r="AT80" s="329"/>
      <c r="AU80" s="329"/>
      <c r="AV80" s="329"/>
      <c r="AW80" s="329"/>
    </row>
    <row r="81" spans="45:49">
      <c r="AS81" s="329"/>
      <c r="AT81" s="329"/>
      <c r="AU81" s="329"/>
      <c r="AV81" s="329"/>
      <c r="AW81" s="329"/>
    </row>
    <row r="82" spans="45:49">
      <c r="AS82" s="329"/>
      <c r="AT82" s="329"/>
      <c r="AU82" s="329"/>
      <c r="AV82" s="329"/>
      <c r="AW82" s="329"/>
    </row>
    <row r="83" spans="45:49">
      <c r="AS83" s="329"/>
      <c r="AT83" s="329"/>
      <c r="AU83" s="329"/>
      <c r="AV83" s="329"/>
      <c r="AW83" s="329"/>
    </row>
    <row r="84" spans="45:49">
      <c r="AS84" s="329"/>
      <c r="AT84" s="329"/>
      <c r="AU84" s="329"/>
      <c r="AV84" s="329"/>
      <c r="AW84" s="329"/>
    </row>
    <row r="85" spans="45:49">
      <c r="AS85" s="329"/>
      <c r="AT85" s="329"/>
      <c r="AU85" s="329"/>
      <c r="AV85" s="329"/>
      <c r="AW85" s="329"/>
    </row>
    <row r="86" spans="45:49">
      <c r="AS86" s="329"/>
      <c r="AT86" s="329"/>
      <c r="AU86" s="329"/>
      <c r="AV86" s="329"/>
      <c r="AW86" s="329"/>
    </row>
    <row r="87" spans="45:49">
      <c r="AS87" s="329"/>
      <c r="AT87" s="329"/>
      <c r="AU87" s="329"/>
      <c r="AV87" s="329"/>
      <c r="AW87" s="329"/>
    </row>
    <row r="88" spans="45:49">
      <c r="AS88" s="329"/>
      <c r="AT88" s="329"/>
      <c r="AU88" s="329"/>
      <c r="AV88" s="329"/>
      <c r="AW88" s="329"/>
    </row>
    <row r="89" spans="45:49">
      <c r="AS89" s="329"/>
      <c r="AT89" s="329"/>
      <c r="AU89" s="329"/>
      <c r="AV89" s="329"/>
      <c r="AW89" s="329"/>
    </row>
    <row r="90" spans="45:49">
      <c r="AS90" s="329"/>
      <c r="AT90" s="329"/>
      <c r="AU90" s="329"/>
      <c r="AV90" s="329"/>
      <c r="AW90" s="329"/>
    </row>
    <row r="91" spans="45:49">
      <c r="AS91" s="329"/>
      <c r="AT91" s="329"/>
      <c r="AU91" s="329"/>
      <c r="AV91" s="329"/>
      <c r="AW91" s="329"/>
    </row>
    <row r="92" spans="45:49">
      <c r="AS92" s="329"/>
      <c r="AT92" s="329"/>
      <c r="AU92" s="329"/>
      <c r="AV92" s="329"/>
      <c r="AW92" s="329"/>
    </row>
    <row r="93" spans="45:49">
      <c r="AS93" s="329"/>
      <c r="AT93" s="329"/>
      <c r="AU93" s="329"/>
      <c r="AV93" s="329"/>
      <c r="AW93" s="329"/>
    </row>
    <row r="94" spans="45:49">
      <c r="AS94" s="329"/>
      <c r="AT94" s="329"/>
      <c r="AU94" s="329"/>
      <c r="AV94" s="329"/>
      <c r="AW94" s="329"/>
    </row>
    <row r="95" spans="45:49">
      <c r="AS95" s="329"/>
      <c r="AT95" s="329"/>
      <c r="AU95" s="329"/>
      <c r="AV95" s="329"/>
      <c r="AW95" s="329"/>
    </row>
    <row r="96" spans="45:49">
      <c r="AS96" s="329"/>
      <c r="AT96" s="329"/>
      <c r="AU96" s="329"/>
      <c r="AV96" s="329"/>
      <c r="AW96" s="329"/>
    </row>
    <row r="97" spans="45:49">
      <c r="AS97" s="329"/>
      <c r="AT97" s="329"/>
      <c r="AU97" s="329"/>
      <c r="AV97" s="329"/>
      <c r="AW97" s="329"/>
    </row>
    <row r="98" spans="45:49">
      <c r="AS98" s="329"/>
      <c r="AT98" s="329"/>
      <c r="AU98" s="329"/>
      <c r="AV98" s="329"/>
      <c r="AW98" s="329"/>
    </row>
    <row r="99" spans="45:49">
      <c r="AS99" s="329"/>
      <c r="AT99" s="329"/>
      <c r="AU99" s="329"/>
      <c r="AV99" s="329"/>
      <c r="AW99" s="329"/>
    </row>
    <row r="100" spans="45:49">
      <c r="AS100" s="329"/>
      <c r="AT100" s="329"/>
      <c r="AU100" s="329"/>
      <c r="AV100" s="329"/>
      <c r="AW100" s="329"/>
    </row>
    <row r="101" spans="45:49">
      <c r="AS101" s="329"/>
      <c r="AT101" s="329"/>
      <c r="AU101" s="329"/>
      <c r="AV101" s="329"/>
      <c r="AW101" s="329"/>
    </row>
    <row r="102" spans="45:49">
      <c r="AS102" s="329"/>
      <c r="AT102" s="329"/>
      <c r="AU102" s="329"/>
      <c r="AV102" s="329"/>
      <c r="AW102" s="329"/>
    </row>
    <row r="103" spans="45:49">
      <c r="AS103" s="329"/>
      <c r="AT103" s="329"/>
      <c r="AU103" s="329"/>
      <c r="AV103" s="329"/>
      <c r="AW103" s="329"/>
    </row>
    <row r="104" spans="45:49">
      <c r="AS104" s="329"/>
      <c r="AT104" s="329"/>
      <c r="AU104" s="329"/>
      <c r="AV104" s="329"/>
      <c r="AW104" s="329"/>
    </row>
    <row r="105" spans="45:49">
      <c r="AS105" s="329"/>
      <c r="AT105" s="329"/>
      <c r="AU105" s="329"/>
      <c r="AV105" s="329"/>
      <c r="AW105" s="329"/>
    </row>
    <row r="106" spans="45:49">
      <c r="AS106" s="329"/>
      <c r="AT106" s="329"/>
      <c r="AU106" s="329"/>
      <c r="AV106" s="329"/>
      <c r="AW106" s="329"/>
    </row>
    <row r="107" spans="45:49">
      <c r="AS107" s="329"/>
      <c r="AT107" s="329"/>
      <c r="AU107" s="329"/>
      <c r="AV107" s="329"/>
      <c r="AW107" s="329"/>
    </row>
    <row r="108" spans="45:49">
      <c r="AS108" s="329"/>
      <c r="AT108" s="329"/>
      <c r="AU108" s="329"/>
      <c r="AV108" s="329"/>
      <c r="AW108" s="329"/>
    </row>
    <row r="109" spans="45:49">
      <c r="AS109" s="329"/>
      <c r="AT109" s="329"/>
      <c r="AU109" s="329"/>
      <c r="AV109" s="329"/>
      <c r="AW109" s="329"/>
    </row>
    <row r="110" spans="45:49">
      <c r="AS110" s="329"/>
      <c r="AT110" s="329"/>
      <c r="AU110" s="329"/>
      <c r="AV110" s="329"/>
      <c r="AW110" s="329"/>
    </row>
    <row r="111" spans="45:49">
      <c r="AS111" s="329"/>
      <c r="AT111" s="329"/>
      <c r="AU111" s="329"/>
      <c r="AV111" s="329"/>
      <c r="AW111" s="329"/>
    </row>
    <row r="112" spans="45:49">
      <c r="AS112" s="329"/>
      <c r="AT112" s="329"/>
      <c r="AU112" s="329"/>
      <c r="AV112" s="329"/>
      <c r="AW112" s="329"/>
    </row>
    <row r="113" spans="45:49">
      <c r="AS113" s="329"/>
      <c r="AT113" s="329"/>
      <c r="AU113" s="329"/>
      <c r="AV113" s="329"/>
      <c r="AW113" s="329"/>
    </row>
    <row r="114" spans="45:49">
      <c r="AS114" s="329"/>
      <c r="AT114" s="329"/>
      <c r="AU114" s="329"/>
      <c r="AV114" s="329"/>
      <c r="AW114" s="329"/>
    </row>
    <row r="115" spans="45:49">
      <c r="AS115" s="329"/>
      <c r="AT115" s="329"/>
      <c r="AU115" s="329"/>
      <c r="AV115" s="329"/>
      <c r="AW115" s="329"/>
    </row>
    <row r="116" spans="45:49">
      <c r="AS116" s="329"/>
      <c r="AT116" s="329"/>
      <c r="AU116" s="329"/>
      <c r="AV116" s="329"/>
      <c r="AW116" s="329"/>
    </row>
    <row r="117" spans="45:49">
      <c r="AS117" s="329"/>
      <c r="AT117" s="329"/>
      <c r="AU117" s="329"/>
      <c r="AV117" s="329"/>
      <c r="AW117" s="329"/>
    </row>
  </sheetData>
  <mergeCells count="22">
    <mergeCell ref="BM1:BP1"/>
    <mergeCell ref="BM2:BN2"/>
    <mergeCell ref="BO2:BP2"/>
    <mergeCell ref="BR1:BU1"/>
    <mergeCell ref="BR2:BS2"/>
    <mergeCell ref="BT2:BU2"/>
    <mergeCell ref="BB1:BE1"/>
    <mergeCell ref="BB2:BC2"/>
    <mergeCell ref="BD2:BE2"/>
    <mergeCell ref="BG1:BJ1"/>
    <mergeCell ref="BH2:BI2"/>
    <mergeCell ref="BJ2:BK2"/>
    <mergeCell ref="AF1:AO1"/>
    <mergeCell ref="AF2:AO2"/>
    <mergeCell ref="AP1:AY1"/>
    <mergeCell ref="AP2:AY2"/>
    <mergeCell ref="B2:K2"/>
    <mergeCell ref="B1:K1"/>
    <mergeCell ref="L1:U1"/>
    <mergeCell ref="L2:U2"/>
    <mergeCell ref="V1:AE1"/>
    <mergeCell ref="V2:AE2"/>
  </mergeCells>
  <pageMargins left="0.7" right="0.7" top="0.75" bottom="0.75" header="0.3" footer="0.3"/>
  <pageSetup paperSize="9"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6">
    <tabColor theme="9"/>
  </sheetPr>
  <dimension ref="A1:P94"/>
  <sheetViews>
    <sheetView workbookViewId="0">
      <selection activeCell="M43" sqref="M43"/>
    </sheetView>
  </sheetViews>
  <sheetFormatPr defaultColWidth="9.140625" defaultRowHeight="12.75"/>
  <cols>
    <col min="1" max="1" width="31.42578125" style="316" customWidth="1"/>
    <col min="2" max="2" width="9.85546875" style="316" bestFit="1" customWidth="1"/>
    <col min="3" max="3" width="9.5703125" style="316" bestFit="1" customWidth="1"/>
    <col min="4" max="4" width="9.85546875" style="316" bestFit="1" customWidth="1"/>
    <col min="5" max="5" width="9.5703125" style="316" bestFit="1" customWidth="1"/>
    <col min="6" max="11" width="9.5703125" style="316" customWidth="1"/>
    <col min="12" max="13" width="9.140625" style="316"/>
    <col min="14" max="14" width="10.28515625" style="316" bestFit="1" customWidth="1"/>
    <col min="15" max="16384" width="9.140625" style="316"/>
  </cols>
  <sheetData>
    <row r="1" spans="1:16">
      <c r="A1" s="330" t="s">
        <v>356</v>
      </c>
      <c r="B1" s="972">
        <v>12</v>
      </c>
      <c r="C1" s="973"/>
      <c r="D1" s="973"/>
      <c r="E1" s="973"/>
      <c r="F1" s="973"/>
      <c r="G1" s="973"/>
      <c r="H1" s="973"/>
      <c r="I1" s="973"/>
      <c r="J1" s="973"/>
      <c r="K1" s="973"/>
    </row>
    <row r="2" spans="1:16">
      <c r="A2" s="329"/>
      <c r="B2" s="969" t="s">
        <v>201</v>
      </c>
      <c r="C2" s="970"/>
      <c r="D2" s="970"/>
      <c r="E2" s="970"/>
      <c r="F2" s="970"/>
      <c r="G2" s="970"/>
      <c r="H2" s="970"/>
      <c r="I2" s="970"/>
      <c r="J2" s="970"/>
      <c r="K2" s="970"/>
    </row>
    <row r="3" spans="1:16" ht="12.75" customHeight="1">
      <c r="A3" s="331"/>
      <c r="B3" s="320" t="s">
        <v>320</v>
      </c>
      <c r="C3" s="319" t="s">
        <v>321</v>
      </c>
      <c r="D3" s="319" t="s">
        <v>312</v>
      </c>
      <c r="E3" s="319" t="s">
        <v>313</v>
      </c>
      <c r="F3" s="319" t="s">
        <v>359</v>
      </c>
      <c r="G3" s="319" t="s">
        <v>360</v>
      </c>
      <c r="H3" s="319" t="s">
        <v>385</v>
      </c>
      <c r="I3" s="319" t="s">
        <v>386</v>
      </c>
      <c r="J3" s="319" t="s">
        <v>417</v>
      </c>
      <c r="K3" s="319" t="s">
        <v>418</v>
      </c>
      <c r="M3" s="335" t="s">
        <v>361</v>
      </c>
      <c r="N3" s="335"/>
      <c r="O3" s="335" t="s">
        <v>362</v>
      </c>
    </row>
    <row r="4" spans="1:16">
      <c r="A4" s="322" t="s">
        <v>251</v>
      </c>
      <c r="B4" s="323">
        <v>107007</v>
      </c>
      <c r="C4" s="324">
        <v>105446</v>
      </c>
      <c r="D4" s="324">
        <v>107304</v>
      </c>
      <c r="E4" s="324">
        <v>99010</v>
      </c>
      <c r="F4" s="324">
        <v>98586</v>
      </c>
      <c r="G4" s="324">
        <v>96343.5</v>
      </c>
      <c r="H4" s="324">
        <v>97007.298739837948</v>
      </c>
      <c r="I4" s="324">
        <v>97180.085827514427</v>
      </c>
      <c r="J4" s="284">
        <f>Scotland!$F$256</f>
        <v>96571</v>
      </c>
      <c r="K4" s="284">
        <f>Scotland!$H$256</f>
        <v>97530.356</v>
      </c>
      <c r="M4" s="336">
        <f>J4/H4-1</f>
        <v>-4.4975867332215369E-3</v>
      </c>
      <c r="N4" s="337">
        <f>J4-H4</f>
        <v>-436.29873983794823</v>
      </c>
      <c r="O4" s="336">
        <f>K4/I4-1</f>
        <v>3.6043410489188243E-3</v>
      </c>
      <c r="P4" s="326">
        <f>K4-I4</f>
        <v>350.2701724855724</v>
      </c>
    </row>
    <row r="5" spans="1:16">
      <c r="A5" s="316" t="s">
        <v>3</v>
      </c>
      <c r="B5" s="327">
        <v>4629</v>
      </c>
      <c r="C5" s="328">
        <v>5130</v>
      </c>
      <c r="D5" s="328">
        <v>4720</v>
      </c>
      <c r="E5" s="328">
        <v>4505</v>
      </c>
      <c r="F5" s="328">
        <v>4636</v>
      </c>
      <c r="G5" s="328">
        <v>4534</v>
      </c>
      <c r="H5" s="328">
        <v>4815</v>
      </c>
      <c r="I5" s="328">
        <v>5116</v>
      </c>
      <c r="J5" s="289">
        <f>'Aberdeen City'!F256</f>
        <v>4343</v>
      </c>
      <c r="K5" s="289">
        <f>'Aberdeen City'!H256</f>
        <v>4371</v>
      </c>
      <c r="M5" s="336">
        <f t="shared" ref="M5:M36" si="0">J5/H5-1</f>
        <v>-9.8026998961578404E-2</v>
      </c>
      <c r="N5" s="337">
        <f t="shared" ref="N5:N36" si="1">J5-H5</f>
        <v>-472</v>
      </c>
      <c r="O5" s="336">
        <f t="shared" ref="O5:O36" si="2">K5/I5-1</f>
        <v>-0.1456215793588741</v>
      </c>
      <c r="P5" s="326">
        <f t="shared" ref="P5:P36" si="3">K5-I5</f>
        <v>-745</v>
      </c>
    </row>
    <row r="6" spans="1:16">
      <c r="A6" s="316" t="s">
        <v>4</v>
      </c>
      <c r="B6" s="327">
        <v>4346</v>
      </c>
      <c r="C6" s="328">
        <v>4708</v>
      </c>
      <c r="D6" s="328">
        <v>4576</v>
      </c>
      <c r="E6" s="328">
        <v>4711</v>
      </c>
      <c r="F6" s="328">
        <v>4501</v>
      </c>
      <c r="G6" s="328">
        <v>4613</v>
      </c>
      <c r="H6" s="328">
        <v>4670</v>
      </c>
      <c r="I6" s="328">
        <v>4489</v>
      </c>
      <c r="J6" s="289">
        <f>Aberdeenshire!F256</f>
        <v>4827</v>
      </c>
      <c r="K6" s="289">
        <f>Aberdeenshire!H256</f>
        <v>4795</v>
      </c>
      <c r="M6" s="336">
        <f t="shared" si="0"/>
        <v>3.3618843683083544E-2</v>
      </c>
      <c r="N6" s="337">
        <f t="shared" si="1"/>
        <v>157</v>
      </c>
      <c r="O6" s="336">
        <f t="shared" si="2"/>
        <v>6.8166629538872758E-2</v>
      </c>
      <c r="P6" s="326">
        <f t="shared" si="3"/>
        <v>306</v>
      </c>
    </row>
    <row r="7" spans="1:16">
      <c r="A7" s="316" t="s">
        <v>5</v>
      </c>
      <c r="B7" s="327">
        <v>2305</v>
      </c>
      <c r="C7" s="328">
        <v>2293</v>
      </c>
      <c r="D7" s="328">
        <v>2343</v>
      </c>
      <c r="E7" s="328">
        <v>730</v>
      </c>
      <c r="F7" s="328">
        <v>757</v>
      </c>
      <c r="G7" s="328">
        <v>673</v>
      </c>
      <c r="H7" s="328">
        <v>669</v>
      </c>
      <c r="I7" s="328">
        <v>672</v>
      </c>
      <c r="J7" s="289">
        <f>Angus!F256</f>
        <v>791</v>
      </c>
      <c r="K7" s="289">
        <f>Angus!H256</f>
        <v>663</v>
      </c>
      <c r="M7" s="336">
        <f t="shared" si="0"/>
        <v>0.18236173393124067</v>
      </c>
      <c r="N7" s="337">
        <f t="shared" si="1"/>
        <v>122</v>
      </c>
      <c r="O7" s="336">
        <f t="shared" si="2"/>
        <v>-1.3392857142857095E-2</v>
      </c>
      <c r="P7" s="326">
        <f t="shared" si="3"/>
        <v>-9</v>
      </c>
    </row>
    <row r="8" spans="1:16">
      <c r="A8" s="316" t="s">
        <v>6</v>
      </c>
      <c r="B8" s="327">
        <v>1648</v>
      </c>
      <c r="C8" s="328">
        <v>1648</v>
      </c>
      <c r="D8" s="328">
        <v>1732</v>
      </c>
      <c r="E8" s="328">
        <v>1607</v>
      </c>
      <c r="F8" s="328">
        <v>1518</v>
      </c>
      <c r="G8" s="328">
        <v>1587</v>
      </c>
      <c r="H8" s="328">
        <v>1194</v>
      </c>
      <c r="I8" s="328">
        <v>1259</v>
      </c>
      <c r="J8" s="289">
        <f>'Argyll &amp; Bute'!F256</f>
        <v>1271</v>
      </c>
      <c r="K8" s="289">
        <f>'Argyll &amp; Bute'!H256</f>
        <v>1321</v>
      </c>
      <c r="M8" s="336">
        <f t="shared" si="0"/>
        <v>6.4489112227805734E-2</v>
      </c>
      <c r="N8" s="337">
        <f t="shared" si="1"/>
        <v>77</v>
      </c>
      <c r="O8" s="336">
        <f t="shared" si="2"/>
        <v>4.924543288324057E-2</v>
      </c>
      <c r="P8" s="326">
        <f t="shared" si="3"/>
        <v>62</v>
      </c>
    </row>
    <row r="9" spans="1:16">
      <c r="A9" s="316" t="s">
        <v>8</v>
      </c>
      <c r="B9" s="327">
        <v>641</v>
      </c>
      <c r="C9" s="328">
        <v>680</v>
      </c>
      <c r="D9" s="328">
        <v>978</v>
      </c>
      <c r="E9" s="328">
        <v>1071</v>
      </c>
      <c r="F9" s="328">
        <v>906</v>
      </c>
      <c r="G9" s="328">
        <v>1238</v>
      </c>
      <c r="H9" s="328">
        <v>1052.4048804901449</v>
      </c>
      <c r="I9" s="328">
        <v>1127.3995070309516</v>
      </c>
      <c r="J9" s="289">
        <f>Clackmannanshire!F256</f>
        <v>1075</v>
      </c>
      <c r="K9" s="289">
        <f>Clackmannanshire!H256</f>
        <v>913</v>
      </c>
      <c r="M9" s="336">
        <f t="shared" si="0"/>
        <v>2.1469987386728562E-2</v>
      </c>
      <c r="N9" s="337">
        <f t="shared" si="1"/>
        <v>22.595119509855067</v>
      </c>
      <c r="O9" s="336">
        <f t="shared" si="2"/>
        <v>-0.19017172323906772</v>
      </c>
      <c r="P9" s="326">
        <f t="shared" si="3"/>
        <v>-214.39950703095155</v>
      </c>
    </row>
    <row r="10" spans="1:16">
      <c r="A10" s="316" t="s">
        <v>9</v>
      </c>
      <c r="B10" s="327">
        <v>2923</v>
      </c>
      <c r="C10" s="328">
        <v>2833</v>
      </c>
      <c r="D10" s="328">
        <v>2034</v>
      </c>
      <c r="E10" s="328">
        <v>1941</v>
      </c>
      <c r="F10" s="328">
        <v>2627</v>
      </c>
      <c r="G10" s="328">
        <v>2545</v>
      </c>
      <c r="H10" s="328">
        <v>2823</v>
      </c>
      <c r="I10" s="328">
        <v>2925</v>
      </c>
      <c r="J10" s="289">
        <f>'Dumfries &amp; Galloway'!F256</f>
        <v>2556</v>
      </c>
      <c r="K10" s="289">
        <f>'Dumfries &amp; Galloway'!H256</f>
        <v>2331.3559999999998</v>
      </c>
      <c r="M10" s="336">
        <f t="shared" si="0"/>
        <v>-9.4580233793836399E-2</v>
      </c>
      <c r="N10" s="337">
        <f t="shared" si="1"/>
        <v>-267</v>
      </c>
      <c r="O10" s="336">
        <f t="shared" si="2"/>
        <v>-0.20295521367521374</v>
      </c>
      <c r="P10" s="326">
        <f t="shared" si="3"/>
        <v>-593.64400000000023</v>
      </c>
    </row>
    <row r="11" spans="1:16">
      <c r="A11" s="316" t="s">
        <v>11</v>
      </c>
      <c r="B11" s="327">
        <v>3752</v>
      </c>
      <c r="C11" s="328">
        <v>4451</v>
      </c>
      <c r="D11" s="328">
        <v>4445</v>
      </c>
      <c r="E11" s="328">
        <v>4307</v>
      </c>
      <c r="F11" s="328">
        <v>4570</v>
      </c>
      <c r="G11" s="328">
        <v>4408</v>
      </c>
      <c r="H11" s="328">
        <v>4736</v>
      </c>
      <c r="I11" s="328">
        <v>4808</v>
      </c>
      <c r="J11" s="289">
        <f>'Dundee City'!F256</f>
        <v>4825</v>
      </c>
      <c r="K11" s="289">
        <f>'Dundee City'!H256</f>
        <v>4925</v>
      </c>
      <c r="M11" s="336">
        <f t="shared" si="0"/>
        <v>1.8792229729729826E-2</v>
      </c>
      <c r="N11" s="337">
        <f t="shared" si="1"/>
        <v>89</v>
      </c>
      <c r="O11" s="336">
        <f t="shared" si="2"/>
        <v>2.4334442595673966E-2</v>
      </c>
      <c r="P11" s="326">
        <f t="shared" si="3"/>
        <v>117</v>
      </c>
    </row>
    <row r="12" spans="1:16">
      <c r="A12" s="316" t="s">
        <v>13</v>
      </c>
      <c r="B12" s="327">
        <v>1845</v>
      </c>
      <c r="C12" s="328">
        <v>1694</v>
      </c>
      <c r="D12" s="328">
        <v>1923</v>
      </c>
      <c r="E12" s="328">
        <v>1697</v>
      </c>
      <c r="F12" s="328">
        <v>1352</v>
      </c>
      <c r="G12" s="328">
        <v>1277</v>
      </c>
      <c r="H12" s="328">
        <v>1373</v>
      </c>
      <c r="I12" s="328">
        <v>1411</v>
      </c>
      <c r="J12" s="289">
        <f>'East Ayrshire'!F256</f>
        <v>1334</v>
      </c>
      <c r="K12" s="289">
        <f>'East Ayrshire'!H256</f>
        <v>1296</v>
      </c>
      <c r="M12" s="336">
        <f t="shared" si="0"/>
        <v>-2.8404952658412252E-2</v>
      </c>
      <c r="N12" s="337">
        <f t="shared" si="1"/>
        <v>-39</v>
      </c>
      <c r="O12" s="336">
        <f t="shared" si="2"/>
        <v>-8.150248051027642E-2</v>
      </c>
      <c r="P12" s="326">
        <f t="shared" si="3"/>
        <v>-115</v>
      </c>
    </row>
    <row r="13" spans="1:16">
      <c r="A13" s="316" t="s">
        <v>16</v>
      </c>
      <c r="B13" s="327">
        <v>2184</v>
      </c>
      <c r="C13" s="328">
        <v>2113</v>
      </c>
      <c r="D13" s="328">
        <v>2201</v>
      </c>
      <c r="E13" s="328">
        <v>2014</v>
      </c>
      <c r="F13" s="328">
        <v>2337</v>
      </c>
      <c r="G13" s="328">
        <v>2208</v>
      </c>
      <c r="H13" s="328">
        <v>2295.2910000000002</v>
      </c>
      <c r="I13" s="328">
        <v>2104.0790000000002</v>
      </c>
      <c r="J13" s="289">
        <f>'East Dunbartonshire'!F256</f>
        <v>2104</v>
      </c>
      <c r="K13" s="289">
        <f>'East Dunbartonshire'!H256</f>
        <v>2191</v>
      </c>
      <c r="M13" s="336">
        <f t="shared" si="0"/>
        <v>-8.3340630882968725E-2</v>
      </c>
      <c r="N13" s="337">
        <f t="shared" si="1"/>
        <v>-191.29100000000017</v>
      </c>
      <c r="O13" s="336">
        <f t="shared" si="2"/>
        <v>4.1310711242305898E-2</v>
      </c>
      <c r="P13" s="326">
        <f t="shared" si="3"/>
        <v>86.920999999999822</v>
      </c>
    </row>
    <row r="14" spans="1:16">
      <c r="A14" s="316" t="s">
        <v>19</v>
      </c>
      <c r="B14" s="327">
        <v>1961</v>
      </c>
      <c r="C14" s="328">
        <v>2100</v>
      </c>
      <c r="D14" s="328">
        <v>1812</v>
      </c>
      <c r="E14" s="328">
        <v>1643</v>
      </c>
      <c r="F14" s="328">
        <v>2006</v>
      </c>
      <c r="G14" s="328">
        <v>2048</v>
      </c>
      <c r="H14" s="328">
        <v>1998</v>
      </c>
      <c r="I14" s="328">
        <v>2082</v>
      </c>
      <c r="J14" s="289">
        <f>'East Lothian'!F256</f>
        <v>2055</v>
      </c>
      <c r="K14" s="289">
        <f>'East Lothian'!H256</f>
        <v>2045</v>
      </c>
      <c r="M14" s="336">
        <f t="shared" si="0"/>
        <v>2.8528528528528607E-2</v>
      </c>
      <c r="N14" s="337">
        <f t="shared" si="1"/>
        <v>57</v>
      </c>
      <c r="O14" s="336">
        <f t="shared" si="2"/>
        <v>-1.7771373679154712E-2</v>
      </c>
      <c r="P14" s="326">
        <f t="shared" si="3"/>
        <v>-37</v>
      </c>
    </row>
    <row r="15" spans="1:16">
      <c r="A15" s="316" t="s">
        <v>22</v>
      </c>
      <c r="B15" s="327">
        <v>1958</v>
      </c>
      <c r="C15" s="328">
        <v>2100</v>
      </c>
      <c r="D15" s="328">
        <v>2628</v>
      </c>
      <c r="E15" s="328">
        <v>1802</v>
      </c>
      <c r="F15" s="328">
        <v>1878</v>
      </c>
      <c r="G15" s="328">
        <v>1640</v>
      </c>
      <c r="H15" s="328">
        <v>1185</v>
      </c>
      <c r="I15" s="328">
        <v>1343</v>
      </c>
      <c r="J15" s="289">
        <f>'East Renfrewshire'!F256</f>
        <v>1166</v>
      </c>
      <c r="K15" s="289">
        <f>'East Renfrewshire'!H256</f>
        <v>1331</v>
      </c>
      <c r="M15" s="336">
        <f t="shared" si="0"/>
        <v>-1.6033755274261652E-2</v>
      </c>
      <c r="N15" s="337">
        <f t="shared" si="1"/>
        <v>-19</v>
      </c>
      <c r="O15" s="336">
        <f t="shared" si="2"/>
        <v>-8.9352196574832288E-3</v>
      </c>
      <c r="P15" s="326">
        <f t="shared" si="3"/>
        <v>-12</v>
      </c>
    </row>
    <row r="16" spans="1:16">
      <c r="A16" s="316" t="s">
        <v>25</v>
      </c>
      <c r="B16" s="327">
        <v>10923</v>
      </c>
      <c r="C16" s="328">
        <v>10495</v>
      </c>
      <c r="D16" s="328">
        <v>9854</v>
      </c>
      <c r="E16" s="328">
        <v>9874</v>
      </c>
      <c r="F16" s="328">
        <v>8341</v>
      </c>
      <c r="G16" s="328">
        <v>9471</v>
      </c>
      <c r="H16" s="328">
        <v>9613</v>
      </c>
      <c r="I16" s="328">
        <v>9983</v>
      </c>
      <c r="J16" s="289">
        <f>'Edinburgh, City of'!F256</f>
        <v>9792</v>
      </c>
      <c r="K16" s="289">
        <f>'Edinburgh, City of'!H256</f>
        <v>9661</v>
      </c>
      <c r="M16" s="336">
        <f t="shared" si="0"/>
        <v>1.8620617913242432E-2</v>
      </c>
      <c r="N16" s="337">
        <f t="shared" si="1"/>
        <v>179</v>
      </c>
      <c r="O16" s="336">
        <f t="shared" si="2"/>
        <v>-3.2254833216468048E-2</v>
      </c>
      <c r="P16" s="326">
        <f t="shared" si="3"/>
        <v>-322</v>
      </c>
    </row>
    <row r="17" spans="1:16">
      <c r="A17" s="316" t="s">
        <v>26</v>
      </c>
      <c r="B17" s="327">
        <v>854</v>
      </c>
      <c r="C17" s="328">
        <v>794</v>
      </c>
      <c r="D17" s="328">
        <v>847</v>
      </c>
      <c r="E17" s="328">
        <v>762</v>
      </c>
      <c r="F17" s="328">
        <v>765</v>
      </c>
      <c r="G17" s="328">
        <v>791</v>
      </c>
      <c r="H17" s="328">
        <v>798</v>
      </c>
      <c r="I17" s="328">
        <v>844</v>
      </c>
      <c r="J17" s="289">
        <f>'Eilean Siar'!F256</f>
        <v>847</v>
      </c>
      <c r="K17" s="289">
        <f>'Eilean Siar'!H256</f>
        <v>856</v>
      </c>
      <c r="M17" s="336">
        <f t="shared" si="0"/>
        <v>6.1403508771929793E-2</v>
      </c>
      <c r="N17" s="337">
        <f t="shared" si="1"/>
        <v>49</v>
      </c>
      <c r="O17" s="336">
        <f t="shared" si="2"/>
        <v>1.4218009478673022E-2</v>
      </c>
      <c r="P17" s="326">
        <f t="shared" si="3"/>
        <v>12</v>
      </c>
    </row>
    <row r="18" spans="1:16">
      <c r="A18" s="316" t="s">
        <v>28</v>
      </c>
      <c r="B18" s="327">
        <v>3276</v>
      </c>
      <c r="C18" s="328">
        <v>3408</v>
      </c>
      <c r="D18" s="328">
        <v>3241</v>
      </c>
      <c r="E18" s="328">
        <v>2877</v>
      </c>
      <c r="F18" s="328">
        <v>2942</v>
      </c>
      <c r="G18" s="328">
        <v>2957</v>
      </c>
      <c r="H18" s="328">
        <v>2795</v>
      </c>
      <c r="I18" s="328">
        <v>2848</v>
      </c>
      <c r="J18" s="289">
        <f>Falkirk!F256</f>
        <v>2987</v>
      </c>
      <c r="K18" s="289">
        <f>Falkirk!H256</f>
        <v>3098</v>
      </c>
      <c r="M18" s="336">
        <f t="shared" si="0"/>
        <v>6.8694096601073396E-2</v>
      </c>
      <c r="N18" s="337">
        <f t="shared" si="1"/>
        <v>192</v>
      </c>
      <c r="O18" s="336">
        <f t="shared" si="2"/>
        <v>8.778089887640439E-2</v>
      </c>
      <c r="P18" s="326">
        <f t="shared" si="3"/>
        <v>250</v>
      </c>
    </row>
    <row r="19" spans="1:16">
      <c r="A19" s="316" t="s">
        <v>29</v>
      </c>
      <c r="B19" s="327">
        <v>6567</v>
      </c>
      <c r="C19" s="328">
        <v>6234</v>
      </c>
      <c r="D19" s="328">
        <v>6448</v>
      </c>
      <c r="E19" s="328">
        <v>6523</v>
      </c>
      <c r="F19" s="328">
        <v>6021</v>
      </c>
      <c r="G19" s="328">
        <v>5575</v>
      </c>
      <c r="H19" s="328">
        <v>5680</v>
      </c>
      <c r="I19" s="328">
        <v>5265</v>
      </c>
      <c r="J19" s="289">
        <f>Fife!F256</f>
        <v>5520</v>
      </c>
      <c r="K19" s="289">
        <f>Fife!H256</f>
        <v>5513</v>
      </c>
      <c r="M19" s="336">
        <f t="shared" si="0"/>
        <v>-2.8169014084507005E-2</v>
      </c>
      <c r="N19" s="337">
        <f t="shared" si="1"/>
        <v>-160</v>
      </c>
      <c r="O19" s="336">
        <f t="shared" si="2"/>
        <v>4.7103513770180516E-2</v>
      </c>
      <c r="P19" s="326">
        <f t="shared" si="3"/>
        <v>248</v>
      </c>
    </row>
    <row r="20" spans="1:16">
      <c r="A20" s="316" t="s">
        <v>31</v>
      </c>
      <c r="B20" s="327">
        <v>12593</v>
      </c>
      <c r="C20" s="328">
        <v>12025</v>
      </c>
      <c r="D20" s="328">
        <v>13104</v>
      </c>
      <c r="E20" s="328">
        <v>10604</v>
      </c>
      <c r="F20" s="328">
        <v>10981</v>
      </c>
      <c r="G20" s="328">
        <v>9953</v>
      </c>
      <c r="H20" s="328">
        <v>10135</v>
      </c>
      <c r="I20" s="328">
        <v>10000</v>
      </c>
      <c r="J20" s="289">
        <f>'Glasgow City'!F256</f>
        <v>10001</v>
      </c>
      <c r="K20" s="289">
        <f>'Glasgow City'!H256</f>
        <v>10335</v>
      </c>
      <c r="M20" s="336">
        <f t="shared" si="0"/>
        <v>-1.3221509620128247E-2</v>
      </c>
      <c r="N20" s="337">
        <f t="shared" si="1"/>
        <v>-134</v>
      </c>
      <c r="O20" s="336">
        <f t="shared" si="2"/>
        <v>3.3500000000000085E-2</v>
      </c>
      <c r="P20" s="326">
        <f t="shared" si="3"/>
        <v>335</v>
      </c>
    </row>
    <row r="21" spans="1:16">
      <c r="A21" s="316" t="s">
        <v>32</v>
      </c>
      <c r="B21" s="327">
        <v>6016</v>
      </c>
      <c r="C21" s="328">
        <v>5899</v>
      </c>
      <c r="D21" s="328">
        <v>6006</v>
      </c>
      <c r="E21" s="328">
        <v>5660</v>
      </c>
      <c r="F21" s="328">
        <v>5900</v>
      </c>
      <c r="G21" s="328">
        <v>5638</v>
      </c>
      <c r="H21" s="328">
        <v>6192</v>
      </c>
      <c r="I21" s="328">
        <v>6300</v>
      </c>
      <c r="J21" s="289">
        <f>Highland!F256</f>
        <v>6653</v>
      </c>
      <c r="K21" s="289">
        <f>Highland!H256</f>
        <v>6573</v>
      </c>
      <c r="M21" s="336">
        <f t="shared" si="0"/>
        <v>7.4450904392764805E-2</v>
      </c>
      <c r="N21" s="337">
        <f t="shared" si="1"/>
        <v>461</v>
      </c>
      <c r="O21" s="336">
        <f t="shared" si="2"/>
        <v>4.3333333333333224E-2</v>
      </c>
      <c r="P21" s="326">
        <f t="shared" si="3"/>
        <v>273</v>
      </c>
    </row>
    <row r="22" spans="1:16">
      <c r="A22" s="316" t="s">
        <v>33</v>
      </c>
      <c r="B22" s="327">
        <v>1307</v>
      </c>
      <c r="C22" s="328">
        <v>1311</v>
      </c>
      <c r="D22" s="328">
        <v>1271</v>
      </c>
      <c r="E22" s="328">
        <v>1297</v>
      </c>
      <c r="F22" s="328">
        <v>1339</v>
      </c>
      <c r="G22" s="328">
        <v>1357</v>
      </c>
      <c r="H22" s="328">
        <v>1409</v>
      </c>
      <c r="I22" s="328">
        <v>1387</v>
      </c>
      <c r="J22" s="289">
        <f>Inverclyde!F256</f>
        <v>1282</v>
      </c>
      <c r="K22" s="289">
        <f>Inverclyde!H256</f>
        <v>1349</v>
      </c>
      <c r="M22" s="336">
        <f t="shared" si="0"/>
        <v>-9.0134847409510277E-2</v>
      </c>
      <c r="N22" s="337">
        <f t="shared" si="1"/>
        <v>-127</v>
      </c>
      <c r="O22" s="336">
        <f t="shared" si="2"/>
        <v>-2.7397260273972601E-2</v>
      </c>
      <c r="P22" s="326">
        <f t="shared" si="3"/>
        <v>-38</v>
      </c>
    </row>
    <row r="23" spans="1:16">
      <c r="A23" s="316" t="s">
        <v>34</v>
      </c>
      <c r="B23" s="327">
        <v>1674</v>
      </c>
      <c r="C23" s="328">
        <v>1483</v>
      </c>
      <c r="D23" s="328">
        <v>1531</v>
      </c>
      <c r="E23" s="328">
        <v>1501</v>
      </c>
      <c r="F23" s="328">
        <v>1504</v>
      </c>
      <c r="G23" s="328">
        <v>1358</v>
      </c>
      <c r="H23" s="328">
        <v>1421</v>
      </c>
      <c r="I23" s="328">
        <v>1399</v>
      </c>
      <c r="J23" s="289">
        <f>Midlothian!F256</f>
        <v>1414</v>
      </c>
      <c r="K23" s="289">
        <f>Midlothian!H256</f>
        <v>1397</v>
      </c>
      <c r="M23" s="336">
        <f t="shared" si="0"/>
        <v>-4.9261083743842304E-3</v>
      </c>
      <c r="N23" s="337">
        <f t="shared" si="1"/>
        <v>-7</v>
      </c>
      <c r="O23" s="336">
        <f t="shared" si="2"/>
        <v>-1.4295925661186315E-3</v>
      </c>
      <c r="P23" s="326">
        <f t="shared" si="3"/>
        <v>-2</v>
      </c>
    </row>
    <row r="24" spans="1:16">
      <c r="A24" s="316" t="s">
        <v>35</v>
      </c>
      <c r="B24" s="327">
        <v>2102</v>
      </c>
      <c r="C24" s="328">
        <v>2136</v>
      </c>
      <c r="D24" s="328">
        <v>2233</v>
      </c>
      <c r="E24" s="328">
        <v>2190</v>
      </c>
      <c r="F24" s="328">
        <v>2120</v>
      </c>
      <c r="G24" s="328">
        <v>2116</v>
      </c>
      <c r="H24" s="328">
        <v>2195</v>
      </c>
      <c r="I24" s="328">
        <v>2185</v>
      </c>
      <c r="J24" s="289">
        <f>Moray!F256</f>
        <v>2284</v>
      </c>
      <c r="K24" s="289">
        <f>Moray!H256</f>
        <v>2084</v>
      </c>
      <c r="M24" s="336">
        <f t="shared" si="0"/>
        <v>4.0546697038724266E-2</v>
      </c>
      <c r="N24" s="337">
        <f t="shared" si="1"/>
        <v>89</v>
      </c>
      <c r="O24" s="336">
        <f t="shared" si="2"/>
        <v>-4.6224256292906163E-2</v>
      </c>
      <c r="P24" s="326">
        <f t="shared" si="3"/>
        <v>-101</v>
      </c>
    </row>
    <row r="25" spans="1:16">
      <c r="A25" s="316" t="s">
        <v>36</v>
      </c>
      <c r="B25" s="327">
        <v>2836</v>
      </c>
      <c r="C25" s="328">
        <v>2666</v>
      </c>
      <c r="D25" s="328">
        <v>2461</v>
      </c>
      <c r="E25" s="328">
        <v>2426</v>
      </c>
      <c r="F25" s="328">
        <v>2549</v>
      </c>
      <c r="G25" s="328">
        <v>2327</v>
      </c>
      <c r="H25" s="328">
        <v>2487</v>
      </c>
      <c r="I25" s="328">
        <v>2383</v>
      </c>
      <c r="J25" s="289">
        <f>'North Ayrshire'!F256</f>
        <v>2653</v>
      </c>
      <c r="K25" s="289">
        <f>'North Ayrshire'!H256</f>
        <v>2682</v>
      </c>
      <c r="M25" s="336">
        <f t="shared" si="0"/>
        <v>6.6747084841174198E-2</v>
      </c>
      <c r="N25" s="337">
        <f t="shared" si="1"/>
        <v>166</v>
      </c>
      <c r="O25" s="336">
        <f t="shared" si="2"/>
        <v>0.12547209399916071</v>
      </c>
      <c r="P25" s="326">
        <f t="shared" si="3"/>
        <v>299</v>
      </c>
    </row>
    <row r="26" spans="1:16">
      <c r="A26" s="316" t="s">
        <v>37</v>
      </c>
      <c r="B26" s="327">
        <v>6657</v>
      </c>
      <c r="C26" s="328">
        <v>6759</v>
      </c>
      <c r="D26" s="328">
        <v>7129</v>
      </c>
      <c r="E26" s="328">
        <v>6516</v>
      </c>
      <c r="F26" s="328">
        <v>6358</v>
      </c>
      <c r="G26" s="328">
        <v>6032</v>
      </c>
      <c r="H26" s="328">
        <v>6135.6028593477949</v>
      </c>
      <c r="I26" s="328">
        <v>5816.6073204834674</v>
      </c>
      <c r="J26" s="289">
        <f>'North Lanarkshire'!F256</f>
        <v>5913</v>
      </c>
      <c r="K26" s="289">
        <f>'North Lanarkshire'!H256</f>
        <v>5472</v>
      </c>
      <c r="M26" s="336">
        <f t="shared" si="0"/>
        <v>-3.62805195268876E-2</v>
      </c>
      <c r="N26" s="337">
        <f t="shared" si="1"/>
        <v>-222.60285934779495</v>
      </c>
      <c r="O26" s="336">
        <f t="shared" si="2"/>
        <v>-5.924541601251232E-2</v>
      </c>
      <c r="P26" s="326">
        <f t="shared" si="3"/>
        <v>-344.60732048346745</v>
      </c>
    </row>
    <row r="27" spans="1:16">
      <c r="A27" s="316" t="s">
        <v>38</v>
      </c>
      <c r="B27" s="327">
        <v>883</v>
      </c>
      <c r="C27" s="328">
        <v>911</v>
      </c>
      <c r="D27" s="328">
        <v>850</v>
      </c>
      <c r="E27" s="328">
        <v>784</v>
      </c>
      <c r="F27" s="328">
        <v>792</v>
      </c>
      <c r="G27" s="328">
        <v>767</v>
      </c>
      <c r="H27" s="328">
        <v>837</v>
      </c>
      <c r="I27" s="328">
        <v>783</v>
      </c>
      <c r="J27" s="289">
        <f>'Orkney Islands'!F256</f>
        <v>806</v>
      </c>
      <c r="K27" s="289">
        <f>'Orkney Islands'!H256</f>
        <v>803</v>
      </c>
      <c r="M27" s="336">
        <f t="shared" si="0"/>
        <v>-3.703703703703709E-2</v>
      </c>
      <c r="N27" s="337">
        <f t="shared" si="1"/>
        <v>-31</v>
      </c>
      <c r="O27" s="336">
        <f t="shared" si="2"/>
        <v>2.5542784163473886E-2</v>
      </c>
      <c r="P27" s="326">
        <f t="shared" si="3"/>
        <v>20</v>
      </c>
    </row>
    <row r="28" spans="1:16">
      <c r="A28" s="316" t="s">
        <v>39</v>
      </c>
      <c r="B28" s="327">
        <v>2903</v>
      </c>
      <c r="C28" s="328">
        <v>2885</v>
      </c>
      <c r="D28" s="328">
        <v>3083</v>
      </c>
      <c r="E28" s="328">
        <v>2876</v>
      </c>
      <c r="F28" s="328">
        <v>3289</v>
      </c>
      <c r="G28" s="328">
        <v>3311</v>
      </c>
      <c r="H28" s="328">
        <v>3102</v>
      </c>
      <c r="I28" s="328">
        <v>3172</v>
      </c>
      <c r="J28" s="289">
        <f>'Perth &amp; Kinross'!F256</f>
        <v>3049</v>
      </c>
      <c r="K28" s="289">
        <f>'Perth &amp; Kinross'!H256</f>
        <v>3174</v>
      </c>
      <c r="M28" s="336">
        <f t="shared" si="0"/>
        <v>-1.7085751128304349E-2</v>
      </c>
      <c r="N28" s="337">
        <f t="shared" si="1"/>
        <v>-53</v>
      </c>
      <c r="O28" s="336">
        <f t="shared" si="2"/>
        <v>6.3051702395955367E-4</v>
      </c>
      <c r="P28" s="326">
        <f t="shared" si="3"/>
        <v>2</v>
      </c>
    </row>
    <row r="29" spans="1:16">
      <c r="A29" s="316" t="s">
        <v>40</v>
      </c>
      <c r="B29" s="327">
        <v>3233</v>
      </c>
      <c r="C29" s="328">
        <v>2864</v>
      </c>
      <c r="D29" s="328">
        <v>2921</v>
      </c>
      <c r="E29" s="328">
        <v>2898</v>
      </c>
      <c r="F29" s="328">
        <v>2834</v>
      </c>
      <c r="G29" s="328">
        <v>3137</v>
      </c>
      <c r="H29" s="328">
        <v>2503</v>
      </c>
      <c r="I29" s="328">
        <v>2574</v>
      </c>
      <c r="J29" s="289">
        <f>Renfrewshire!F256</f>
        <v>2514</v>
      </c>
      <c r="K29" s="289">
        <f>Renfrewshire!H256</f>
        <v>3069</v>
      </c>
      <c r="M29" s="336">
        <f t="shared" si="0"/>
        <v>4.3947263284058735E-3</v>
      </c>
      <c r="N29" s="337">
        <f t="shared" si="1"/>
        <v>11</v>
      </c>
      <c r="O29" s="336">
        <f t="shared" si="2"/>
        <v>0.19230769230769229</v>
      </c>
      <c r="P29" s="326">
        <f t="shared" si="3"/>
        <v>495</v>
      </c>
    </row>
    <row r="30" spans="1:16">
      <c r="A30" s="316" t="s">
        <v>41</v>
      </c>
      <c r="B30" s="327">
        <v>2072</v>
      </c>
      <c r="C30" s="328">
        <v>1866</v>
      </c>
      <c r="D30" s="328">
        <v>2051</v>
      </c>
      <c r="E30" s="328">
        <v>1734</v>
      </c>
      <c r="F30" s="328">
        <v>1896</v>
      </c>
      <c r="G30" s="328">
        <v>1562</v>
      </c>
      <c r="H30" s="328">
        <v>1561</v>
      </c>
      <c r="I30" s="328">
        <v>1472</v>
      </c>
      <c r="J30" s="289">
        <f>'Scottish Borders'!F256</f>
        <v>1692</v>
      </c>
      <c r="K30" s="289">
        <f>'Scottish Borders'!H256</f>
        <v>1712</v>
      </c>
      <c r="M30" s="336">
        <f t="shared" si="0"/>
        <v>8.3920563741191501E-2</v>
      </c>
      <c r="N30" s="337">
        <f t="shared" si="1"/>
        <v>131</v>
      </c>
      <c r="O30" s="336">
        <f t="shared" si="2"/>
        <v>0.16304347826086962</v>
      </c>
      <c r="P30" s="326">
        <f t="shared" si="3"/>
        <v>240</v>
      </c>
    </row>
    <row r="31" spans="1:16">
      <c r="A31" s="316" t="s">
        <v>42</v>
      </c>
      <c r="B31" s="327">
        <v>993</v>
      </c>
      <c r="C31" s="328">
        <v>963</v>
      </c>
      <c r="D31" s="328">
        <v>932</v>
      </c>
      <c r="E31" s="328">
        <v>1003</v>
      </c>
      <c r="F31" s="328">
        <v>975</v>
      </c>
      <c r="G31" s="328">
        <v>930</v>
      </c>
      <c r="H31" s="328">
        <v>905</v>
      </c>
      <c r="I31" s="328">
        <v>929</v>
      </c>
      <c r="J31" s="289">
        <f>'Shetland Islands'!F256</f>
        <v>890</v>
      </c>
      <c r="K31" s="289">
        <f>'Shetland Islands'!H256</f>
        <v>974</v>
      </c>
      <c r="M31" s="336">
        <f t="shared" si="0"/>
        <v>-1.6574585635359074E-2</v>
      </c>
      <c r="N31" s="337">
        <f t="shared" si="1"/>
        <v>-15</v>
      </c>
      <c r="O31" s="336">
        <f t="shared" si="2"/>
        <v>4.8439181916038798E-2</v>
      </c>
      <c r="P31" s="326">
        <f t="shared" si="3"/>
        <v>45</v>
      </c>
    </row>
    <row r="32" spans="1:16">
      <c r="A32" s="316" t="s">
        <v>43</v>
      </c>
      <c r="B32" s="327">
        <v>2152</v>
      </c>
      <c r="C32" s="328">
        <v>2263</v>
      </c>
      <c r="D32" s="328">
        <v>2266</v>
      </c>
      <c r="E32" s="328">
        <v>2212</v>
      </c>
      <c r="F32" s="328">
        <v>2275</v>
      </c>
      <c r="G32" s="328">
        <v>2147</v>
      </c>
      <c r="H32" s="328">
        <v>2193</v>
      </c>
      <c r="I32" s="328">
        <v>2233</v>
      </c>
      <c r="J32" s="289">
        <f>'South Ayrshire'!F256</f>
        <v>2044</v>
      </c>
      <c r="K32" s="289">
        <f>'South Ayrshire'!H256</f>
        <v>2231</v>
      </c>
      <c r="M32" s="336">
        <f t="shared" si="0"/>
        <v>-6.7943456452348339E-2</v>
      </c>
      <c r="N32" s="337">
        <f t="shared" si="1"/>
        <v>-149</v>
      </c>
      <c r="O32" s="336">
        <f t="shared" si="2"/>
        <v>-8.9565606806984999E-4</v>
      </c>
      <c r="P32" s="326">
        <f t="shared" si="3"/>
        <v>-2</v>
      </c>
    </row>
    <row r="33" spans="1:16">
      <c r="A33" s="316" t="s">
        <v>44</v>
      </c>
      <c r="B33" s="327">
        <v>5310</v>
      </c>
      <c r="C33" s="328">
        <v>4844</v>
      </c>
      <c r="D33" s="328">
        <v>4659</v>
      </c>
      <c r="E33" s="328">
        <v>4642</v>
      </c>
      <c r="F33" s="328">
        <v>4434</v>
      </c>
      <c r="G33" s="328">
        <v>4485</v>
      </c>
      <c r="H33" s="328">
        <v>4264</v>
      </c>
      <c r="I33" s="328">
        <v>4411</v>
      </c>
      <c r="J33" s="289">
        <f>'South Lanarkshire'!F256</f>
        <v>4076</v>
      </c>
      <c r="K33" s="289">
        <f>'South Lanarkshire'!H256</f>
        <v>4546</v>
      </c>
      <c r="M33" s="336">
        <f t="shared" si="0"/>
        <v>-4.4090056285178258E-2</v>
      </c>
      <c r="N33" s="337">
        <f t="shared" si="1"/>
        <v>-188</v>
      </c>
      <c r="O33" s="336">
        <f t="shared" si="2"/>
        <v>3.0605304919519405E-2</v>
      </c>
      <c r="P33" s="326">
        <f t="shared" si="3"/>
        <v>135</v>
      </c>
    </row>
    <row r="34" spans="1:16">
      <c r="A34" s="316" t="s">
        <v>45</v>
      </c>
      <c r="B34" s="327">
        <v>2259</v>
      </c>
      <c r="C34" s="328">
        <v>2312</v>
      </c>
      <c r="D34" s="328">
        <v>2471</v>
      </c>
      <c r="E34" s="328">
        <v>2539</v>
      </c>
      <c r="F34" s="328">
        <v>2086</v>
      </c>
      <c r="G34" s="328">
        <v>2114</v>
      </c>
      <c r="H34" s="328">
        <v>2364</v>
      </c>
      <c r="I34" s="328">
        <v>2310</v>
      </c>
      <c r="J34" s="289">
        <f>Stirling!F256</f>
        <v>2632</v>
      </c>
      <c r="K34" s="289">
        <f>Stirling!H256</f>
        <v>2626</v>
      </c>
      <c r="M34" s="336">
        <f t="shared" si="0"/>
        <v>0.11336717428087995</v>
      </c>
      <c r="N34" s="337">
        <f t="shared" si="1"/>
        <v>268</v>
      </c>
      <c r="O34" s="336">
        <f t="shared" si="2"/>
        <v>0.13679653679653669</v>
      </c>
      <c r="P34" s="326">
        <f t="shared" si="3"/>
        <v>316</v>
      </c>
    </row>
    <row r="35" spans="1:16">
      <c r="A35" s="316" t="s">
        <v>46</v>
      </c>
      <c r="B35" s="327">
        <v>2387</v>
      </c>
      <c r="C35" s="328">
        <v>2312</v>
      </c>
      <c r="D35" s="328">
        <v>2951</v>
      </c>
      <c r="E35" s="328">
        <v>2822</v>
      </c>
      <c r="F35" s="328">
        <v>2921</v>
      </c>
      <c r="G35" s="328">
        <v>2547.5</v>
      </c>
      <c r="H35" s="328">
        <v>2438</v>
      </c>
      <c r="I35" s="328">
        <v>2450</v>
      </c>
      <c r="J35" s="289">
        <f>'West Dunbartonshire'!F256</f>
        <v>2118</v>
      </c>
      <c r="K35" s="289">
        <f>'West Dunbartonshire'!H256</f>
        <v>2154</v>
      </c>
      <c r="M35" s="336">
        <f t="shared" si="0"/>
        <v>-0.13125512715340448</v>
      </c>
      <c r="N35" s="337">
        <f t="shared" si="1"/>
        <v>-320</v>
      </c>
      <c r="O35" s="336">
        <f t="shared" si="2"/>
        <v>-0.12081632653061225</v>
      </c>
      <c r="P35" s="326">
        <f t="shared" si="3"/>
        <v>-296</v>
      </c>
    </row>
    <row r="36" spans="1:16">
      <c r="A36" s="316" t="s">
        <v>47</v>
      </c>
      <c r="B36" s="327">
        <v>1818</v>
      </c>
      <c r="C36" s="328">
        <v>1266</v>
      </c>
      <c r="D36" s="328">
        <v>1603</v>
      </c>
      <c r="E36" s="328">
        <v>1242</v>
      </c>
      <c r="F36" s="328">
        <v>1176</v>
      </c>
      <c r="G36" s="328">
        <v>997</v>
      </c>
      <c r="H36" s="328">
        <v>1169</v>
      </c>
      <c r="I36" s="328">
        <v>1099</v>
      </c>
      <c r="J36" s="289">
        <f>'West Lothian'!F256</f>
        <v>1057</v>
      </c>
      <c r="K36" s="289">
        <f>'West Lothian'!H256</f>
        <v>1039</v>
      </c>
      <c r="M36" s="336">
        <f t="shared" si="0"/>
        <v>-9.5808383233532912E-2</v>
      </c>
      <c r="N36" s="337">
        <f t="shared" si="1"/>
        <v>-112</v>
      </c>
      <c r="O36" s="336">
        <f t="shared" si="2"/>
        <v>-5.459508644222022E-2</v>
      </c>
      <c r="P36" s="326">
        <f t="shared" si="3"/>
        <v>-60</v>
      </c>
    </row>
    <row r="37" spans="1:16">
      <c r="B37" s="316" t="s">
        <v>357</v>
      </c>
      <c r="C37" s="316" t="s">
        <v>358</v>
      </c>
      <c r="D37" s="316" t="s">
        <v>357</v>
      </c>
      <c r="E37" s="329" t="s">
        <v>358</v>
      </c>
      <c r="F37" s="329"/>
      <c r="G37" s="329"/>
      <c r="H37" s="329"/>
      <c r="I37" s="329"/>
      <c r="J37" s="316" t="s">
        <v>357</v>
      </c>
      <c r="K37" s="329" t="s">
        <v>358</v>
      </c>
    </row>
    <row r="38" spans="1:16">
      <c r="E38" s="329"/>
      <c r="F38" s="329"/>
      <c r="G38" s="329"/>
      <c r="H38" s="329"/>
      <c r="I38" s="329"/>
      <c r="M38" s="402" t="s">
        <v>397</v>
      </c>
    </row>
    <row r="39" spans="1:16">
      <c r="E39" s="329"/>
      <c r="F39" s="329"/>
      <c r="G39" s="329"/>
      <c r="H39" s="329"/>
      <c r="I39" s="329"/>
    </row>
    <row r="40" spans="1:16">
      <c r="E40" s="329"/>
      <c r="F40" s="329"/>
      <c r="G40" s="329"/>
      <c r="H40" s="329"/>
      <c r="I40" s="329"/>
    </row>
    <row r="41" spans="1:16">
      <c r="E41" s="329"/>
      <c r="F41" s="329"/>
      <c r="G41" s="329"/>
      <c r="H41" s="329"/>
      <c r="I41" s="329"/>
    </row>
    <row r="42" spans="1:16">
      <c r="E42" s="329"/>
      <c r="F42" s="329"/>
      <c r="G42" s="329"/>
      <c r="H42" s="329"/>
      <c r="I42" s="329"/>
    </row>
    <row r="43" spans="1:16">
      <c r="E43" s="329"/>
      <c r="F43" s="329"/>
      <c r="G43" s="329"/>
      <c r="H43" s="329"/>
      <c r="I43" s="329"/>
    </row>
    <row r="44" spans="1:16">
      <c r="E44" s="329"/>
      <c r="F44" s="329"/>
      <c r="G44" s="329"/>
      <c r="H44" s="329"/>
      <c r="I44" s="329"/>
    </row>
    <row r="45" spans="1:16">
      <c r="E45" s="329"/>
      <c r="F45" s="329"/>
      <c r="G45" s="329"/>
      <c r="H45" s="329"/>
      <c r="I45" s="329"/>
    </row>
    <row r="46" spans="1:16">
      <c r="E46" s="329"/>
      <c r="F46" s="329"/>
      <c r="G46" s="329"/>
      <c r="H46" s="329"/>
      <c r="I46" s="329"/>
    </row>
    <row r="47" spans="1:16">
      <c r="E47" s="329"/>
      <c r="F47" s="329"/>
      <c r="G47" s="329"/>
      <c r="H47" s="329"/>
      <c r="I47" s="329"/>
    </row>
    <row r="48" spans="1:16">
      <c r="E48" s="329"/>
      <c r="F48" s="329"/>
      <c r="G48" s="329"/>
      <c r="H48" s="329"/>
      <c r="I48" s="329"/>
    </row>
    <row r="49" spans="5:9">
      <c r="E49" s="329"/>
      <c r="F49" s="329"/>
      <c r="G49" s="329"/>
      <c r="H49" s="329"/>
      <c r="I49" s="329"/>
    </row>
    <row r="50" spans="5:9">
      <c r="E50" s="329"/>
      <c r="F50" s="329"/>
      <c r="G50" s="329"/>
      <c r="H50" s="329"/>
      <c r="I50" s="329"/>
    </row>
    <row r="51" spans="5:9">
      <c r="E51" s="329"/>
      <c r="F51" s="329"/>
      <c r="G51" s="329"/>
      <c r="H51" s="329"/>
      <c r="I51" s="329"/>
    </row>
    <row r="52" spans="5:9">
      <c r="E52" s="329"/>
      <c r="F52" s="329"/>
      <c r="G52" s="329"/>
      <c r="H52" s="329"/>
      <c r="I52" s="329"/>
    </row>
    <row r="53" spans="5:9">
      <c r="E53" s="329"/>
      <c r="F53" s="329"/>
      <c r="G53" s="329"/>
      <c r="H53" s="329"/>
      <c r="I53" s="329"/>
    </row>
    <row r="54" spans="5:9">
      <c r="E54" s="329"/>
      <c r="F54" s="329"/>
      <c r="G54" s="329"/>
      <c r="H54" s="329"/>
      <c r="I54" s="329"/>
    </row>
    <row r="55" spans="5:9">
      <c r="E55" s="329"/>
      <c r="F55" s="329"/>
      <c r="G55" s="329"/>
      <c r="H55" s="329"/>
      <c r="I55" s="329"/>
    </row>
    <row r="56" spans="5:9">
      <c r="E56" s="329"/>
      <c r="F56" s="329"/>
      <c r="G56" s="329"/>
      <c r="H56" s="329"/>
      <c r="I56" s="329"/>
    </row>
    <row r="57" spans="5:9">
      <c r="E57" s="329"/>
      <c r="F57" s="329"/>
      <c r="G57" s="329"/>
      <c r="H57" s="329"/>
      <c r="I57" s="329"/>
    </row>
    <row r="58" spans="5:9">
      <c r="E58" s="329"/>
      <c r="F58" s="329"/>
      <c r="G58" s="329"/>
      <c r="H58" s="329"/>
      <c r="I58" s="329"/>
    </row>
    <row r="59" spans="5:9">
      <c r="E59" s="329"/>
      <c r="F59" s="329"/>
      <c r="G59" s="329"/>
      <c r="H59" s="329"/>
      <c r="I59" s="329"/>
    </row>
    <row r="60" spans="5:9">
      <c r="E60" s="329"/>
      <c r="F60" s="329"/>
      <c r="G60" s="329"/>
      <c r="H60" s="329"/>
      <c r="I60" s="329"/>
    </row>
    <row r="61" spans="5:9">
      <c r="E61" s="329"/>
      <c r="F61" s="329"/>
      <c r="G61" s="329"/>
      <c r="H61" s="329"/>
      <c r="I61" s="329"/>
    </row>
    <row r="62" spans="5:9">
      <c r="E62" s="329"/>
      <c r="F62" s="329"/>
      <c r="G62" s="329"/>
      <c r="H62" s="329"/>
      <c r="I62" s="329"/>
    </row>
    <row r="63" spans="5:9">
      <c r="E63" s="329"/>
      <c r="F63" s="329"/>
      <c r="G63" s="329"/>
      <c r="H63" s="329"/>
      <c r="I63" s="329"/>
    </row>
    <row r="64" spans="5:9">
      <c r="E64" s="329"/>
      <c r="F64" s="329"/>
      <c r="G64" s="329"/>
      <c r="H64" s="329"/>
      <c r="I64" s="329"/>
    </row>
    <row r="65" spans="5:9">
      <c r="E65" s="329"/>
      <c r="F65" s="329"/>
      <c r="G65" s="329"/>
      <c r="H65" s="329"/>
      <c r="I65" s="329"/>
    </row>
    <row r="66" spans="5:9">
      <c r="E66" s="329"/>
      <c r="F66" s="329"/>
      <c r="G66" s="329"/>
      <c r="H66" s="329"/>
      <c r="I66" s="329"/>
    </row>
    <row r="67" spans="5:9">
      <c r="E67" s="329"/>
      <c r="F67" s="329"/>
      <c r="G67" s="329"/>
      <c r="H67" s="329"/>
      <c r="I67" s="329"/>
    </row>
    <row r="68" spans="5:9">
      <c r="E68" s="329"/>
      <c r="F68" s="329"/>
      <c r="G68" s="329"/>
      <c r="H68" s="329"/>
      <c r="I68" s="329"/>
    </row>
    <row r="69" spans="5:9">
      <c r="E69" s="329"/>
      <c r="F69" s="329"/>
      <c r="G69" s="329"/>
      <c r="H69" s="329"/>
      <c r="I69" s="329"/>
    </row>
    <row r="70" spans="5:9">
      <c r="E70" s="329"/>
      <c r="F70" s="329"/>
      <c r="G70" s="329"/>
      <c r="H70" s="329"/>
      <c r="I70" s="329"/>
    </row>
    <row r="71" spans="5:9">
      <c r="E71" s="329"/>
      <c r="F71" s="329"/>
      <c r="G71" s="329"/>
      <c r="H71" s="329"/>
      <c r="I71" s="329"/>
    </row>
    <row r="72" spans="5:9">
      <c r="E72" s="329"/>
      <c r="F72" s="329"/>
      <c r="G72" s="329"/>
      <c r="H72" s="329"/>
      <c r="I72" s="329"/>
    </row>
    <row r="73" spans="5:9">
      <c r="E73" s="329"/>
      <c r="F73" s="329"/>
      <c r="G73" s="329"/>
      <c r="H73" s="329"/>
      <c r="I73" s="329"/>
    </row>
    <row r="74" spans="5:9">
      <c r="E74" s="329"/>
      <c r="F74" s="329"/>
      <c r="G74" s="329"/>
      <c r="H74" s="329"/>
      <c r="I74" s="329"/>
    </row>
    <row r="75" spans="5:9">
      <c r="E75" s="329"/>
      <c r="F75" s="329"/>
      <c r="G75" s="329"/>
      <c r="H75" s="329"/>
      <c r="I75" s="329"/>
    </row>
    <row r="76" spans="5:9">
      <c r="E76" s="329"/>
      <c r="F76" s="329"/>
      <c r="G76" s="329"/>
      <c r="H76" s="329"/>
      <c r="I76" s="329"/>
    </row>
    <row r="77" spans="5:9">
      <c r="E77" s="329"/>
      <c r="F77" s="329"/>
      <c r="G77" s="329"/>
      <c r="H77" s="329"/>
      <c r="I77" s="329"/>
    </row>
    <row r="78" spans="5:9">
      <c r="E78" s="329"/>
      <c r="F78" s="329"/>
      <c r="G78" s="329"/>
      <c r="H78" s="329"/>
      <c r="I78" s="329"/>
    </row>
    <row r="79" spans="5:9">
      <c r="E79" s="329"/>
      <c r="F79" s="329"/>
      <c r="G79" s="329"/>
      <c r="H79" s="329"/>
      <c r="I79" s="329"/>
    </row>
    <row r="80" spans="5:9">
      <c r="E80" s="329"/>
      <c r="F80" s="329"/>
      <c r="G80" s="329"/>
      <c r="H80" s="329"/>
      <c r="I80" s="329"/>
    </row>
    <row r="81" spans="5:9">
      <c r="E81" s="329"/>
      <c r="F81" s="329"/>
      <c r="G81" s="329"/>
      <c r="H81" s="329"/>
      <c r="I81" s="329"/>
    </row>
    <row r="82" spans="5:9">
      <c r="E82" s="329"/>
      <c r="F82" s="329"/>
      <c r="G82" s="329"/>
      <c r="H82" s="329"/>
      <c r="I82" s="329"/>
    </row>
    <row r="83" spans="5:9">
      <c r="E83" s="329"/>
      <c r="F83" s="329"/>
      <c r="G83" s="329"/>
      <c r="H83" s="329"/>
      <c r="I83" s="329"/>
    </row>
    <row r="84" spans="5:9">
      <c r="E84" s="329"/>
      <c r="F84" s="329"/>
      <c r="G84" s="329"/>
      <c r="H84" s="329"/>
      <c r="I84" s="329"/>
    </row>
    <row r="85" spans="5:9">
      <c r="E85" s="329"/>
      <c r="F85" s="329"/>
      <c r="G85" s="329"/>
      <c r="H85" s="329"/>
      <c r="I85" s="329"/>
    </row>
    <row r="86" spans="5:9">
      <c r="E86" s="329"/>
      <c r="F86" s="329"/>
      <c r="G86" s="329"/>
      <c r="H86" s="329"/>
      <c r="I86" s="329"/>
    </row>
    <row r="87" spans="5:9">
      <c r="E87" s="329"/>
      <c r="F87" s="329"/>
      <c r="G87" s="329"/>
      <c r="H87" s="329"/>
      <c r="I87" s="329"/>
    </row>
    <row r="88" spans="5:9">
      <c r="E88" s="329"/>
      <c r="F88" s="329"/>
      <c r="G88" s="329"/>
      <c r="H88" s="329"/>
      <c r="I88" s="329"/>
    </row>
    <row r="89" spans="5:9">
      <c r="E89" s="329"/>
      <c r="F89" s="329"/>
      <c r="G89" s="329"/>
      <c r="H89" s="329"/>
      <c r="I89" s="329"/>
    </row>
    <row r="90" spans="5:9">
      <c r="E90" s="329"/>
      <c r="F90" s="329"/>
      <c r="G90" s="329"/>
      <c r="H90" s="329"/>
      <c r="I90" s="329"/>
    </row>
    <row r="91" spans="5:9">
      <c r="E91" s="329"/>
      <c r="F91" s="329"/>
      <c r="G91" s="329"/>
      <c r="H91" s="329"/>
      <c r="I91" s="329"/>
    </row>
    <row r="92" spans="5:9">
      <c r="E92" s="329"/>
      <c r="F92" s="329"/>
      <c r="G92" s="329"/>
      <c r="H92" s="329"/>
      <c r="I92" s="329"/>
    </row>
    <row r="93" spans="5:9">
      <c r="E93" s="329"/>
      <c r="F93" s="329"/>
      <c r="G93" s="329"/>
      <c r="H93" s="329"/>
      <c r="I93" s="329"/>
    </row>
    <row r="94" spans="5:9">
      <c r="E94" s="329"/>
      <c r="F94" s="329"/>
      <c r="G94" s="329"/>
      <c r="H94" s="329"/>
      <c r="I94" s="329"/>
    </row>
  </sheetData>
  <mergeCells count="2">
    <mergeCell ref="B2:K2"/>
    <mergeCell ref="B1:K1"/>
  </mergeCell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9">
    <tabColor theme="6"/>
  </sheetPr>
  <dimension ref="A1:AR42"/>
  <sheetViews>
    <sheetView workbookViewId="0">
      <selection activeCell="B8" sqref="B8"/>
    </sheetView>
  </sheetViews>
  <sheetFormatPr defaultColWidth="9.140625" defaultRowHeight="12.75"/>
  <cols>
    <col min="1" max="1" width="18.7109375" style="271" bestFit="1" customWidth="1"/>
    <col min="2" max="2" width="9.140625" style="271"/>
    <col min="3" max="8" width="0" style="271" hidden="1" customWidth="1"/>
    <col min="9" max="11" width="9.140625" style="271"/>
    <col min="12" max="12" width="8" style="271" customWidth="1"/>
    <col min="13" max="17" width="8" style="271" hidden="1" customWidth="1"/>
    <col min="18" max="19" width="8" style="271" customWidth="1"/>
    <col min="20" max="20" width="7.5703125" style="271" customWidth="1"/>
    <col min="21" max="21" width="1.42578125" style="271" customWidth="1"/>
    <col min="22" max="22" width="9.7109375" style="271" customWidth="1"/>
    <col min="23" max="23" width="2.42578125" style="271" customWidth="1"/>
    <col min="24" max="24" width="9.140625" style="271"/>
    <col min="25" max="29" width="0" style="271" hidden="1" customWidth="1"/>
    <col min="30" max="33" width="9.140625" style="271"/>
    <col min="34" max="34" width="7.85546875" style="271" customWidth="1"/>
    <col min="35" max="38" width="7.85546875" style="271" hidden="1" customWidth="1"/>
    <col min="39" max="41" width="7.85546875" style="271" customWidth="1"/>
    <col min="42" max="42" width="7.5703125" style="271" customWidth="1"/>
    <col min="43" max="43" width="1.42578125" style="271" customWidth="1"/>
    <col min="44" max="44" width="9.7109375" style="271" customWidth="1"/>
    <col min="45" max="16384" width="9.140625" style="271"/>
  </cols>
  <sheetData>
    <row r="1" spans="1:44">
      <c r="A1" s="270" t="s">
        <v>121</v>
      </c>
      <c r="O1" s="272"/>
      <c r="P1" s="272"/>
      <c r="Q1" s="272"/>
      <c r="R1" s="272"/>
      <c r="S1" s="272"/>
      <c r="T1" s="272"/>
      <c r="U1" s="272"/>
      <c r="V1" s="272"/>
      <c r="AK1" s="272"/>
      <c r="AL1" s="272"/>
      <c r="AM1" s="272"/>
      <c r="AN1" s="272"/>
      <c r="AO1" s="272"/>
      <c r="AP1" s="272"/>
      <c r="AQ1" s="272"/>
      <c r="AR1" s="272"/>
    </row>
    <row r="2" spans="1:44">
      <c r="A2" s="273"/>
      <c r="B2" s="412" t="s">
        <v>278</v>
      </c>
      <c r="C2" s="413"/>
      <c r="D2" s="413"/>
      <c r="E2" s="413"/>
      <c r="F2" s="413"/>
      <c r="G2" s="413"/>
      <c r="H2" s="413"/>
      <c r="I2" s="413"/>
      <c r="J2" s="413"/>
      <c r="K2" s="413"/>
      <c r="L2" s="413" t="s">
        <v>265</v>
      </c>
      <c r="M2" s="413"/>
      <c r="N2" s="413"/>
      <c r="O2" s="413"/>
      <c r="P2" s="413"/>
      <c r="Q2" s="413"/>
      <c r="R2" s="413"/>
      <c r="S2" s="274"/>
      <c r="T2" s="274"/>
      <c r="U2" s="274"/>
      <c r="V2" s="275" t="s">
        <v>280</v>
      </c>
      <c r="W2" s="276"/>
      <c r="X2" s="412" t="s">
        <v>273</v>
      </c>
      <c r="Y2" s="413"/>
      <c r="Z2" s="413"/>
      <c r="AA2" s="413"/>
      <c r="AB2" s="413"/>
      <c r="AC2" s="413"/>
      <c r="AD2" s="413"/>
      <c r="AE2" s="413"/>
      <c r="AF2" s="413"/>
      <c r="AG2" s="413"/>
      <c r="AH2" s="413" t="s">
        <v>265</v>
      </c>
      <c r="AI2" s="413"/>
      <c r="AJ2" s="413"/>
      <c r="AK2" s="413"/>
      <c r="AL2" s="413"/>
      <c r="AM2" s="413"/>
      <c r="AN2" s="413"/>
      <c r="AO2" s="274"/>
      <c r="AP2" s="274"/>
      <c r="AQ2" s="274"/>
      <c r="AR2" s="275" t="s">
        <v>280</v>
      </c>
    </row>
    <row r="3" spans="1:44" ht="25.5">
      <c r="A3" s="277"/>
      <c r="B3" s="304" t="s">
        <v>274</v>
      </c>
      <c r="C3" s="274" t="s">
        <v>275</v>
      </c>
      <c r="D3" s="274" t="s">
        <v>276</v>
      </c>
      <c r="E3" s="274" t="s">
        <v>277</v>
      </c>
      <c r="F3" s="274" t="s">
        <v>270</v>
      </c>
      <c r="G3" s="313" t="s">
        <v>271</v>
      </c>
      <c r="H3" s="313" t="s">
        <v>272</v>
      </c>
      <c r="I3" s="313" t="s">
        <v>331</v>
      </c>
      <c r="J3" s="313" t="s">
        <v>381</v>
      </c>
      <c r="K3" s="279"/>
      <c r="L3" s="278" t="s">
        <v>281</v>
      </c>
      <c r="M3" s="278" t="s">
        <v>282</v>
      </c>
      <c r="N3" s="278" t="s">
        <v>283</v>
      </c>
      <c r="O3" s="278" t="s">
        <v>284</v>
      </c>
      <c r="P3" s="280" t="s">
        <v>285</v>
      </c>
      <c r="Q3" s="280" t="s">
        <v>286</v>
      </c>
      <c r="R3" s="280" t="s">
        <v>333</v>
      </c>
      <c r="S3" s="280" t="s">
        <v>384</v>
      </c>
      <c r="T3" s="278"/>
      <c r="U3" s="278"/>
      <c r="V3" s="281" t="s">
        <v>384</v>
      </c>
      <c r="W3" s="282"/>
      <c r="X3" s="304" t="s">
        <v>275</v>
      </c>
      <c r="Y3" s="274" t="s">
        <v>276</v>
      </c>
      <c r="Z3" s="274" t="s">
        <v>277</v>
      </c>
      <c r="AA3" s="274" t="s">
        <v>270</v>
      </c>
      <c r="AB3" s="274" t="s">
        <v>271</v>
      </c>
      <c r="AC3" s="313" t="s">
        <v>272</v>
      </c>
      <c r="AD3" s="313" t="s">
        <v>331</v>
      </c>
      <c r="AE3" s="313" t="s">
        <v>381</v>
      </c>
      <c r="AF3" s="313" t="s">
        <v>412</v>
      </c>
      <c r="AG3" s="279"/>
      <c r="AH3" s="278" t="s">
        <v>282</v>
      </c>
      <c r="AI3" s="278" t="s">
        <v>283</v>
      </c>
      <c r="AJ3" s="278" t="s">
        <v>284</v>
      </c>
      <c r="AK3" s="278" t="s">
        <v>285</v>
      </c>
      <c r="AL3" s="278" t="s">
        <v>286</v>
      </c>
      <c r="AM3" s="278" t="s">
        <v>333</v>
      </c>
      <c r="AN3" s="278" t="s">
        <v>384</v>
      </c>
      <c r="AO3" s="278" t="s">
        <v>416</v>
      </c>
      <c r="AP3" s="278"/>
      <c r="AQ3" s="278"/>
      <c r="AR3" s="305" t="s">
        <v>416</v>
      </c>
    </row>
    <row r="4" spans="1:44">
      <c r="A4" s="283" t="s">
        <v>251</v>
      </c>
      <c r="B4" s="417">
        <v>1688281.24</v>
      </c>
      <c r="C4" s="284">
        <v>2016272</v>
      </c>
      <c r="D4" s="284">
        <v>2067980</v>
      </c>
      <c r="E4" s="284">
        <v>2054325</v>
      </c>
      <c r="F4" s="284">
        <v>2019100</v>
      </c>
      <c r="G4" s="284">
        <v>1995608</v>
      </c>
      <c r="H4" s="284">
        <v>1928512.9794811504</v>
      </c>
      <c r="I4" s="284">
        <v>1849299.3421120297</v>
      </c>
      <c r="J4" s="284" t="e">
        <f>#REF!</f>
        <v>#REF!</v>
      </c>
      <c r="K4" s="284"/>
      <c r="L4" s="268">
        <v>0.19427495385780635</v>
      </c>
      <c r="M4" s="268">
        <v>2.5645349436980824E-2</v>
      </c>
      <c r="N4" s="268">
        <v>-6.6030619251636891E-3</v>
      </c>
      <c r="O4" s="268">
        <v>-1.7146751366020507E-2</v>
      </c>
      <c r="P4" s="268">
        <f t="shared" ref="P4:P36" si="0">G4/F4-1</f>
        <v>-1.1634886830766189E-2</v>
      </c>
      <c r="Q4" s="268">
        <f t="shared" ref="Q4:Q36" si="1">H4/G4-1</f>
        <v>-3.3621342728055614E-2</v>
      </c>
      <c r="R4" s="268">
        <f t="shared" ref="R4:R36" si="2">I4/H4-1</f>
        <v>-4.1074982751960754E-2</v>
      </c>
      <c r="S4" s="268" t="e">
        <f t="shared" ref="S4:S36" si="3">J4/I4-1</f>
        <v>#REF!</v>
      </c>
      <c r="T4" s="268" t="e">
        <f>S4</f>
        <v>#REF!</v>
      </c>
      <c r="U4" s="268"/>
      <c r="V4" s="285" t="e">
        <f>J4-I4</f>
        <v>#REF!</v>
      </c>
      <c r="W4" s="286"/>
      <c r="X4" s="287">
        <v>1706837</v>
      </c>
      <c r="Y4" s="284">
        <v>2072461.38</v>
      </c>
      <c r="Z4" s="284">
        <v>2087283</v>
      </c>
      <c r="AA4" s="284">
        <v>2107348</v>
      </c>
      <c r="AB4" s="284">
        <v>2005679</v>
      </c>
      <c r="AC4" s="284">
        <v>1914347</v>
      </c>
      <c r="AD4" s="284">
        <v>1893710.3309375911</v>
      </c>
      <c r="AE4" s="284">
        <v>1871926.9395476356</v>
      </c>
      <c r="AF4" s="284" t="e">
        <f>#REF!</f>
        <v>#REF!</v>
      </c>
      <c r="AG4" s="284"/>
      <c r="AH4" s="268">
        <v>0.21421165582888113</v>
      </c>
      <c r="AI4" s="268">
        <v>7.151699010188528E-3</v>
      </c>
      <c r="AJ4" s="268">
        <v>9.6129753368374704E-3</v>
      </c>
      <c r="AK4" s="268">
        <v>-4.8244997978501902E-2</v>
      </c>
      <c r="AL4" s="268">
        <f t="shared" ref="AL4:AL36" si="4">AC4/AB4-1</f>
        <v>-4.5536698544482945E-2</v>
      </c>
      <c r="AM4" s="268">
        <f t="shared" ref="AM4:AM36" si="5">AD4/AC4-1</f>
        <v>-1.0780004389177589E-2</v>
      </c>
      <c r="AN4" s="268">
        <f t="shared" ref="AN4:AN36" si="6">AE4/AD4-1</f>
        <v>-1.1503021889926801E-2</v>
      </c>
      <c r="AO4" s="268" t="e">
        <f t="shared" ref="AO4:AO36" si="7">AF4/AE4-1</f>
        <v>#REF!</v>
      </c>
      <c r="AP4" s="268" t="e">
        <f>AO4</f>
        <v>#REF!</v>
      </c>
      <c r="AQ4" s="268"/>
      <c r="AR4" s="285" t="e">
        <f>AF4-AE4</f>
        <v>#REF!</v>
      </c>
    </row>
    <row r="5" spans="1:44">
      <c r="A5" s="288" t="s">
        <v>3</v>
      </c>
      <c r="B5" s="414">
        <v>53061</v>
      </c>
      <c r="C5" s="289">
        <v>68161</v>
      </c>
      <c r="D5" s="289">
        <v>65417</v>
      </c>
      <c r="E5" s="289">
        <v>57419</v>
      </c>
      <c r="F5" s="289">
        <v>54557</v>
      </c>
      <c r="G5" s="289">
        <v>57906</v>
      </c>
      <c r="H5" s="289">
        <v>57351</v>
      </c>
      <c r="I5" s="289">
        <v>38914</v>
      </c>
      <c r="J5" s="289" t="e">
        <f>#REF!</f>
        <v>#REF!</v>
      </c>
      <c r="K5" s="289"/>
      <c r="L5" s="267">
        <v>0.28457812706130681</v>
      </c>
      <c r="M5" s="267">
        <v>-4.0257625328266933E-2</v>
      </c>
      <c r="N5" s="267">
        <v>-0.12226179739211518</v>
      </c>
      <c r="O5" s="267">
        <v>-4.9844128250230768E-2</v>
      </c>
      <c r="P5" s="267">
        <f t="shared" si="0"/>
        <v>6.1385340103011554E-2</v>
      </c>
      <c r="Q5" s="267">
        <f t="shared" si="1"/>
        <v>-9.5844990156460641E-3</v>
      </c>
      <c r="R5" s="267">
        <f t="shared" si="2"/>
        <v>-0.32147652176945474</v>
      </c>
      <c r="S5" s="267" t="e">
        <f t="shared" si="3"/>
        <v>#REF!</v>
      </c>
      <c r="T5" s="268" t="e">
        <f t="shared" ref="T5:T36" si="8">S5</f>
        <v>#REF!</v>
      </c>
      <c r="U5" s="267"/>
      <c r="V5" s="269" t="e">
        <f t="shared" ref="V5:V36" si="9">J5-I5</f>
        <v>#REF!</v>
      </c>
      <c r="W5" s="290"/>
      <c r="X5" s="291">
        <v>52749</v>
      </c>
      <c r="Y5" s="289">
        <v>67421</v>
      </c>
      <c r="Z5" s="289">
        <v>58409</v>
      </c>
      <c r="AA5" s="289">
        <v>55864</v>
      </c>
      <c r="AB5" s="289">
        <v>57904</v>
      </c>
      <c r="AC5" s="289">
        <v>58640</v>
      </c>
      <c r="AD5" s="289">
        <v>59203</v>
      </c>
      <c r="AE5" s="289">
        <v>37802</v>
      </c>
      <c r="AF5" s="289" t="e">
        <f>#REF!</f>
        <v>#REF!</v>
      </c>
      <c r="AG5" s="289"/>
      <c r="AH5" s="267">
        <v>0.27814745303228494</v>
      </c>
      <c r="AI5" s="267">
        <v>-0.13366755165304578</v>
      </c>
      <c r="AJ5" s="267">
        <v>-4.3572052252221383E-2</v>
      </c>
      <c r="AK5" s="267">
        <v>3.6517256193613123E-2</v>
      </c>
      <c r="AL5" s="267">
        <f t="shared" si="4"/>
        <v>1.2710693561757358E-2</v>
      </c>
      <c r="AM5" s="267">
        <f t="shared" si="5"/>
        <v>9.6009549795361693E-3</v>
      </c>
      <c r="AN5" s="267">
        <f t="shared" si="6"/>
        <v>-0.36148505987872237</v>
      </c>
      <c r="AO5" s="267" t="e">
        <f t="shared" si="7"/>
        <v>#REF!</v>
      </c>
      <c r="AP5" s="268" t="e">
        <f t="shared" ref="AP5:AP36" si="10">AO5</f>
        <v>#REF!</v>
      </c>
      <c r="AQ5" s="267"/>
      <c r="AR5" s="269" t="e">
        <f t="shared" ref="AR5:AR36" si="11">AF5-AE5</f>
        <v>#REF!</v>
      </c>
    </row>
    <row r="6" spans="1:44">
      <c r="A6" s="288" t="s">
        <v>4</v>
      </c>
      <c r="B6" s="414">
        <v>48596</v>
      </c>
      <c r="C6" s="289">
        <v>56234</v>
      </c>
      <c r="D6" s="289">
        <v>70007</v>
      </c>
      <c r="E6" s="289">
        <v>59437</v>
      </c>
      <c r="F6" s="289">
        <v>64224</v>
      </c>
      <c r="G6" s="289">
        <v>65012</v>
      </c>
      <c r="H6" s="289">
        <v>64256</v>
      </c>
      <c r="I6" s="289">
        <v>68672</v>
      </c>
      <c r="J6" s="289" t="e">
        <f>#REF!</f>
        <v>#REF!</v>
      </c>
      <c r="K6" s="289"/>
      <c r="L6" s="267">
        <v>0.15717342991192695</v>
      </c>
      <c r="M6" s="267">
        <v>0.24492300032009107</v>
      </c>
      <c r="N6" s="267">
        <v>-0.150984901509849</v>
      </c>
      <c r="O6" s="267">
        <v>8.0539058162424126E-2</v>
      </c>
      <c r="P6" s="267">
        <f t="shared" si="0"/>
        <v>1.2269556552067851E-2</v>
      </c>
      <c r="Q6" s="267">
        <f t="shared" si="1"/>
        <v>-1.1628622408170752E-2</v>
      </c>
      <c r="R6" s="267">
        <f t="shared" si="2"/>
        <v>6.8725099601593564E-2</v>
      </c>
      <c r="S6" s="267" t="e">
        <f t="shared" si="3"/>
        <v>#REF!</v>
      </c>
      <c r="T6" s="268" t="e">
        <f t="shared" si="8"/>
        <v>#REF!</v>
      </c>
      <c r="U6" s="267"/>
      <c r="V6" s="269" t="e">
        <f t="shared" si="9"/>
        <v>#REF!</v>
      </c>
      <c r="W6" s="290"/>
      <c r="X6" s="291">
        <v>51684</v>
      </c>
      <c r="Y6" s="289">
        <v>60804</v>
      </c>
      <c r="Z6" s="289">
        <v>60573</v>
      </c>
      <c r="AA6" s="289">
        <v>63544</v>
      </c>
      <c r="AB6" s="289">
        <v>61008</v>
      </c>
      <c r="AC6" s="289">
        <v>66858</v>
      </c>
      <c r="AD6" s="289">
        <v>66947</v>
      </c>
      <c r="AE6" s="289">
        <v>66530</v>
      </c>
      <c r="AF6" s="289" t="e">
        <f>#REF!</f>
        <v>#REF!</v>
      </c>
      <c r="AG6" s="289"/>
      <c r="AH6" s="267">
        <v>0.17645693057812872</v>
      </c>
      <c r="AI6" s="267">
        <v>-3.7990921649891929E-3</v>
      </c>
      <c r="AJ6" s="267">
        <v>4.9048255823551656E-2</v>
      </c>
      <c r="AK6" s="267">
        <v>-3.9909354148306653E-2</v>
      </c>
      <c r="AL6" s="267">
        <f t="shared" si="4"/>
        <v>9.5889063729347024E-2</v>
      </c>
      <c r="AM6" s="267">
        <f t="shared" si="5"/>
        <v>1.3311795147925576E-3</v>
      </c>
      <c r="AN6" s="267">
        <f t="shared" si="6"/>
        <v>-6.2288078629363364E-3</v>
      </c>
      <c r="AO6" s="267" t="e">
        <f t="shared" si="7"/>
        <v>#REF!</v>
      </c>
      <c r="AP6" s="268" t="e">
        <f t="shared" si="10"/>
        <v>#REF!</v>
      </c>
      <c r="AQ6" s="267"/>
      <c r="AR6" s="269" t="e">
        <f t="shared" si="11"/>
        <v>#REF!</v>
      </c>
    </row>
    <row r="7" spans="1:44">
      <c r="A7" s="288" t="s">
        <v>5</v>
      </c>
      <c r="B7" s="414">
        <v>24770</v>
      </c>
      <c r="C7" s="289">
        <v>42319</v>
      </c>
      <c r="D7" s="289">
        <v>42605</v>
      </c>
      <c r="E7" s="289">
        <v>43390</v>
      </c>
      <c r="F7" s="289">
        <v>42531</v>
      </c>
      <c r="G7" s="289">
        <v>39533</v>
      </c>
      <c r="H7" s="289">
        <v>42591</v>
      </c>
      <c r="I7" s="289">
        <v>47683</v>
      </c>
      <c r="J7" s="289" t="e">
        <f>#REF!</f>
        <v>#REF!</v>
      </c>
      <c r="K7" s="289"/>
      <c r="L7" s="267">
        <v>0.7084779975777149</v>
      </c>
      <c r="M7" s="267">
        <v>6.7581937191332209E-3</v>
      </c>
      <c r="N7" s="267">
        <v>1.8425067480342783E-2</v>
      </c>
      <c r="O7" s="267">
        <v>-1.9797188292233203E-2</v>
      </c>
      <c r="P7" s="267">
        <f t="shared" si="0"/>
        <v>-7.0489760410053837E-2</v>
      </c>
      <c r="Q7" s="267">
        <f t="shared" si="1"/>
        <v>7.7353097412288463E-2</v>
      </c>
      <c r="R7" s="267">
        <f t="shared" si="2"/>
        <v>0.11955577469418421</v>
      </c>
      <c r="S7" s="267" t="e">
        <f t="shared" si="3"/>
        <v>#REF!</v>
      </c>
      <c r="T7" s="268" t="e">
        <f t="shared" si="8"/>
        <v>#REF!</v>
      </c>
      <c r="U7" s="267"/>
      <c r="V7" s="269" t="e">
        <f t="shared" si="9"/>
        <v>#REF!</v>
      </c>
      <c r="W7" s="290"/>
      <c r="X7" s="291">
        <v>24283</v>
      </c>
      <c r="Y7" s="289">
        <v>42856</v>
      </c>
      <c r="Z7" s="289">
        <v>43798</v>
      </c>
      <c r="AA7" s="289">
        <v>44159</v>
      </c>
      <c r="AB7" s="289">
        <v>44061</v>
      </c>
      <c r="AC7" s="289">
        <v>42129</v>
      </c>
      <c r="AD7" s="289">
        <v>46705</v>
      </c>
      <c r="AE7" s="289">
        <v>52093</v>
      </c>
      <c r="AF7" s="289" t="e">
        <f>#REF!</f>
        <v>#REF!</v>
      </c>
      <c r="AG7" s="289"/>
      <c r="AH7" s="267">
        <v>0.76485607214924012</v>
      </c>
      <c r="AI7" s="267">
        <v>2.1980586148963921E-2</v>
      </c>
      <c r="AJ7" s="267">
        <v>8.2423854970545829E-3</v>
      </c>
      <c r="AK7" s="267">
        <v>-2.219253153377565E-3</v>
      </c>
      <c r="AL7" s="267">
        <f t="shared" si="4"/>
        <v>-4.3848301218764929E-2</v>
      </c>
      <c r="AM7" s="267">
        <f t="shared" si="5"/>
        <v>0.10861876617057131</v>
      </c>
      <c r="AN7" s="267">
        <f t="shared" si="6"/>
        <v>0.11536238090140238</v>
      </c>
      <c r="AO7" s="267" t="e">
        <f t="shared" si="7"/>
        <v>#REF!</v>
      </c>
      <c r="AP7" s="268" t="e">
        <f t="shared" si="10"/>
        <v>#REF!</v>
      </c>
      <c r="AQ7" s="267"/>
      <c r="AR7" s="269" t="e">
        <f t="shared" si="11"/>
        <v>#REF!</v>
      </c>
    </row>
    <row r="8" spans="1:44">
      <c r="A8" s="288" t="s">
        <v>6</v>
      </c>
      <c r="B8" s="414">
        <v>57870</v>
      </c>
      <c r="C8" s="289">
        <v>61147</v>
      </c>
      <c r="D8" s="289">
        <v>54577</v>
      </c>
      <c r="E8" s="289">
        <v>57843</v>
      </c>
      <c r="F8" s="289">
        <v>55228</v>
      </c>
      <c r="G8" s="289">
        <v>48091</v>
      </c>
      <c r="H8" s="289">
        <v>43768</v>
      </c>
      <c r="I8" s="289">
        <v>45645</v>
      </c>
      <c r="J8" s="289" t="e">
        <f>#REF!</f>
        <v>#REF!</v>
      </c>
      <c r="K8" s="289"/>
      <c r="L8" s="267">
        <v>5.6626922412303493E-2</v>
      </c>
      <c r="M8" s="267">
        <v>-0.10744599080903394</v>
      </c>
      <c r="N8" s="267">
        <v>5.984205800978426E-2</v>
      </c>
      <c r="O8" s="267">
        <v>-4.5208581850872176E-2</v>
      </c>
      <c r="P8" s="267">
        <f t="shared" si="0"/>
        <v>-0.12922792786267834</v>
      </c>
      <c r="Q8" s="267">
        <f t="shared" si="1"/>
        <v>-8.98920795990934E-2</v>
      </c>
      <c r="R8" s="267">
        <f t="shared" si="2"/>
        <v>4.288521294096137E-2</v>
      </c>
      <c r="S8" s="267" t="e">
        <f t="shared" si="3"/>
        <v>#REF!</v>
      </c>
      <c r="T8" s="268" t="e">
        <f t="shared" si="8"/>
        <v>#REF!</v>
      </c>
      <c r="U8" s="267"/>
      <c r="V8" s="269" t="e">
        <f t="shared" si="9"/>
        <v>#REF!</v>
      </c>
      <c r="W8" s="290"/>
      <c r="X8" s="291">
        <v>55112</v>
      </c>
      <c r="Y8" s="289">
        <v>57210</v>
      </c>
      <c r="Z8" s="289">
        <v>53146</v>
      </c>
      <c r="AA8" s="289">
        <v>55095</v>
      </c>
      <c r="AB8" s="289">
        <v>47561</v>
      </c>
      <c r="AC8" s="289">
        <v>47146</v>
      </c>
      <c r="AD8" s="289">
        <v>41881</v>
      </c>
      <c r="AE8" s="289">
        <v>40651</v>
      </c>
      <c r="AF8" s="289" t="e">
        <f>#REF!</f>
        <v>#REF!</v>
      </c>
      <c r="AG8" s="289"/>
      <c r="AH8" s="267">
        <v>3.8067934388154923E-2</v>
      </c>
      <c r="AI8" s="267">
        <v>-7.1036532074812087E-2</v>
      </c>
      <c r="AJ8" s="267">
        <v>3.6672562375343443E-2</v>
      </c>
      <c r="AK8" s="267">
        <v>-0.13674562119974587</v>
      </c>
      <c r="AL8" s="267">
        <f t="shared" si="4"/>
        <v>-8.7256365509555955E-3</v>
      </c>
      <c r="AM8" s="267">
        <f t="shared" si="5"/>
        <v>-0.1116743732236033</v>
      </c>
      <c r="AN8" s="267">
        <f t="shared" si="6"/>
        <v>-2.9368926243403926E-2</v>
      </c>
      <c r="AO8" s="267" t="e">
        <f t="shared" si="7"/>
        <v>#REF!</v>
      </c>
      <c r="AP8" s="268" t="e">
        <f t="shared" si="10"/>
        <v>#REF!</v>
      </c>
      <c r="AQ8" s="267"/>
      <c r="AR8" s="269" t="e">
        <f t="shared" si="11"/>
        <v>#REF!</v>
      </c>
    </row>
    <row r="9" spans="1:44">
      <c r="A9" s="288" t="s">
        <v>8</v>
      </c>
      <c r="B9" s="414">
        <v>17368</v>
      </c>
      <c r="C9" s="289">
        <v>21879</v>
      </c>
      <c r="D9" s="289">
        <v>22338</v>
      </c>
      <c r="E9" s="289">
        <v>22656</v>
      </c>
      <c r="F9" s="289">
        <v>22880</v>
      </c>
      <c r="G9" s="289">
        <v>22423</v>
      </c>
      <c r="H9" s="289">
        <v>20529.018833008864</v>
      </c>
      <c r="I9" s="289">
        <v>23317.448715350569</v>
      </c>
      <c r="J9" s="289" t="e">
        <f>#REF!</f>
        <v>#REF!</v>
      </c>
      <c r="K9" s="289"/>
      <c r="L9" s="267">
        <v>0.25973053892215558</v>
      </c>
      <c r="M9" s="267">
        <v>2.0979020979021046E-2</v>
      </c>
      <c r="N9" s="267">
        <v>1.4235831318828884E-2</v>
      </c>
      <c r="O9" s="267">
        <v>9.8870056497175618E-3</v>
      </c>
      <c r="P9" s="267">
        <f t="shared" si="0"/>
        <v>-1.9973776223776274E-2</v>
      </c>
      <c r="Q9" s="267">
        <f t="shared" si="1"/>
        <v>-8.4466002184860889E-2</v>
      </c>
      <c r="R9" s="267">
        <f t="shared" si="2"/>
        <v>0.1358286971736884</v>
      </c>
      <c r="S9" s="267" t="e">
        <f t="shared" si="3"/>
        <v>#REF!</v>
      </c>
      <c r="T9" s="268" t="e">
        <f t="shared" si="8"/>
        <v>#REF!</v>
      </c>
      <c r="U9" s="267"/>
      <c r="V9" s="269" t="e">
        <f t="shared" si="9"/>
        <v>#REF!</v>
      </c>
      <c r="W9" s="290"/>
      <c r="X9" s="291">
        <v>18592</v>
      </c>
      <c r="Y9" s="289">
        <v>22620</v>
      </c>
      <c r="Z9" s="289">
        <v>22953</v>
      </c>
      <c r="AA9" s="289">
        <v>22781</v>
      </c>
      <c r="AB9" s="289">
        <v>22613</v>
      </c>
      <c r="AC9" s="289">
        <v>21530</v>
      </c>
      <c r="AD9" s="289">
        <v>20668</v>
      </c>
      <c r="AE9" s="289">
        <v>24655.808248308047</v>
      </c>
      <c r="AF9" s="289" t="e">
        <f>#REF!</f>
        <v>#REF!</v>
      </c>
      <c r="AG9" s="289"/>
      <c r="AH9" s="267">
        <v>0.21665232358003439</v>
      </c>
      <c r="AI9" s="267">
        <v>1.47214854111406E-2</v>
      </c>
      <c r="AJ9" s="267">
        <v>-7.4935738247723371E-3</v>
      </c>
      <c r="AK9" s="267">
        <v>-7.3745665247355596E-3</v>
      </c>
      <c r="AL9" s="267">
        <f t="shared" si="4"/>
        <v>-4.7892805023659002E-2</v>
      </c>
      <c r="AM9" s="267">
        <f t="shared" si="5"/>
        <v>-4.0037157454714367E-2</v>
      </c>
      <c r="AN9" s="267">
        <f t="shared" si="6"/>
        <v>0.19294601549777668</v>
      </c>
      <c r="AO9" s="267" t="e">
        <f t="shared" si="7"/>
        <v>#REF!</v>
      </c>
      <c r="AP9" s="268" t="e">
        <f t="shared" si="10"/>
        <v>#REF!</v>
      </c>
      <c r="AQ9" s="267"/>
      <c r="AR9" s="269" t="e">
        <f t="shared" si="11"/>
        <v>#REF!</v>
      </c>
    </row>
    <row r="10" spans="1:44">
      <c r="A10" s="288" t="s">
        <v>9</v>
      </c>
      <c r="B10" s="414">
        <v>41351</v>
      </c>
      <c r="C10" s="289">
        <v>57676</v>
      </c>
      <c r="D10" s="289">
        <v>57927</v>
      </c>
      <c r="E10" s="289">
        <v>57085</v>
      </c>
      <c r="F10" s="289">
        <v>60282</v>
      </c>
      <c r="G10" s="289">
        <v>68454</v>
      </c>
      <c r="H10" s="289">
        <v>66124</v>
      </c>
      <c r="I10" s="289">
        <v>60911</v>
      </c>
      <c r="J10" s="289" t="e">
        <f>#REF!</f>
        <v>#REF!</v>
      </c>
      <c r="K10" s="289"/>
      <c r="L10" s="267">
        <v>0.39479093613213712</v>
      </c>
      <c r="M10" s="267">
        <v>4.3518968028295468E-3</v>
      </c>
      <c r="N10" s="267">
        <v>-1.4535536105788283E-2</v>
      </c>
      <c r="O10" s="267">
        <v>5.6004204256810075E-2</v>
      </c>
      <c r="P10" s="267">
        <f t="shared" si="0"/>
        <v>0.13556285458345774</v>
      </c>
      <c r="Q10" s="267">
        <f t="shared" si="1"/>
        <v>-3.4037455809740824E-2</v>
      </c>
      <c r="R10" s="267">
        <f t="shared" si="2"/>
        <v>-7.8836730990260673E-2</v>
      </c>
      <c r="S10" s="267" t="e">
        <f t="shared" si="3"/>
        <v>#REF!</v>
      </c>
      <c r="T10" s="268" t="e">
        <f t="shared" si="8"/>
        <v>#REF!</v>
      </c>
      <c r="U10" s="267"/>
      <c r="V10" s="269" t="e">
        <f t="shared" si="9"/>
        <v>#REF!</v>
      </c>
      <c r="W10" s="290"/>
      <c r="X10" s="291">
        <v>43541</v>
      </c>
      <c r="Y10" s="289">
        <v>61542</v>
      </c>
      <c r="Z10" s="289">
        <v>57166</v>
      </c>
      <c r="AA10" s="289">
        <v>60061</v>
      </c>
      <c r="AB10" s="289">
        <v>60212</v>
      </c>
      <c r="AC10" s="289">
        <v>62753</v>
      </c>
      <c r="AD10" s="289">
        <v>63811</v>
      </c>
      <c r="AE10" s="289">
        <v>62181</v>
      </c>
      <c r="AF10" s="289" t="e">
        <f>#REF!</f>
        <v>#REF!</v>
      </c>
      <c r="AG10" s="289"/>
      <c r="AH10" s="267">
        <v>0.41342642566776133</v>
      </c>
      <c r="AI10" s="267">
        <v>-7.1105911410093925E-2</v>
      </c>
      <c r="AJ10" s="267">
        <v>5.064198999405245E-2</v>
      </c>
      <c r="AK10" s="267">
        <v>2.5141106541681779E-3</v>
      </c>
      <c r="AL10" s="267">
        <f t="shared" si="4"/>
        <v>4.2200890188002438E-2</v>
      </c>
      <c r="AM10" s="267">
        <f t="shared" si="5"/>
        <v>1.685975172501708E-2</v>
      </c>
      <c r="AN10" s="267">
        <f t="shared" si="6"/>
        <v>-2.5544185171835543E-2</v>
      </c>
      <c r="AO10" s="267" t="e">
        <f t="shared" si="7"/>
        <v>#REF!</v>
      </c>
      <c r="AP10" s="268" t="e">
        <f t="shared" si="10"/>
        <v>#REF!</v>
      </c>
      <c r="AQ10" s="267"/>
      <c r="AR10" s="269" t="e">
        <f t="shared" si="11"/>
        <v>#REF!</v>
      </c>
    </row>
    <row r="11" spans="1:44">
      <c r="A11" s="288" t="s">
        <v>11</v>
      </c>
      <c r="B11" s="414">
        <v>51084</v>
      </c>
      <c r="C11" s="289">
        <v>56322</v>
      </c>
      <c r="D11" s="289">
        <v>60121</v>
      </c>
      <c r="E11" s="289">
        <v>58493</v>
      </c>
      <c r="F11" s="289">
        <v>63378</v>
      </c>
      <c r="G11" s="289">
        <v>55445</v>
      </c>
      <c r="H11" s="289">
        <v>53348</v>
      </c>
      <c r="I11" s="289">
        <v>34228</v>
      </c>
      <c r="J11" s="289" t="e">
        <f>#REF!</f>
        <v>#REF!</v>
      </c>
      <c r="K11" s="289"/>
      <c r="L11" s="267">
        <v>0.10253699788583504</v>
      </c>
      <c r="M11" s="267">
        <v>6.7451439934661517E-2</v>
      </c>
      <c r="N11" s="267">
        <v>-2.7078724572112911E-2</v>
      </c>
      <c r="O11" s="267">
        <v>8.3514266664387105E-2</v>
      </c>
      <c r="P11" s="267">
        <f t="shared" si="0"/>
        <v>-0.12516961721733089</v>
      </c>
      <c r="Q11" s="267">
        <f t="shared" si="1"/>
        <v>-3.7821264315988867E-2</v>
      </c>
      <c r="R11" s="267">
        <f t="shared" si="2"/>
        <v>-0.35840143960410886</v>
      </c>
      <c r="S11" s="267" t="e">
        <f t="shared" si="3"/>
        <v>#REF!</v>
      </c>
      <c r="T11" s="268" t="e">
        <f t="shared" si="8"/>
        <v>#REF!</v>
      </c>
      <c r="U11" s="267"/>
      <c r="V11" s="269" t="e">
        <f t="shared" si="9"/>
        <v>#REF!</v>
      </c>
      <c r="W11" s="290"/>
      <c r="X11" s="291">
        <v>50021</v>
      </c>
      <c r="Y11" s="289">
        <v>54710</v>
      </c>
      <c r="Z11" s="289">
        <v>58001</v>
      </c>
      <c r="AA11" s="289">
        <v>57055</v>
      </c>
      <c r="AB11" s="289">
        <v>56988</v>
      </c>
      <c r="AC11" s="289">
        <v>52255</v>
      </c>
      <c r="AD11" s="289">
        <v>52634</v>
      </c>
      <c r="AE11" s="289">
        <v>45889.085719034636</v>
      </c>
      <c r="AF11" s="289" t="e">
        <f>#REF!</f>
        <v>#REF!</v>
      </c>
      <c r="AG11" s="289"/>
      <c r="AH11" s="267">
        <v>9.3740628935846892E-2</v>
      </c>
      <c r="AI11" s="267">
        <v>6.0153536830561238E-2</v>
      </c>
      <c r="AJ11" s="267">
        <v>-1.6310063619592752E-2</v>
      </c>
      <c r="AK11" s="267">
        <v>-1.1743054946981024E-3</v>
      </c>
      <c r="AL11" s="267">
        <f t="shared" si="4"/>
        <v>-8.3052572471397523E-2</v>
      </c>
      <c r="AM11" s="267">
        <f t="shared" si="5"/>
        <v>7.2528944598602152E-3</v>
      </c>
      <c r="AN11" s="267">
        <f t="shared" si="6"/>
        <v>-0.12814747655442038</v>
      </c>
      <c r="AO11" s="267" t="e">
        <f t="shared" si="7"/>
        <v>#REF!</v>
      </c>
      <c r="AP11" s="268" t="e">
        <f t="shared" si="10"/>
        <v>#REF!</v>
      </c>
      <c r="AQ11" s="267"/>
      <c r="AR11" s="269" t="e">
        <f t="shared" si="11"/>
        <v>#REF!</v>
      </c>
    </row>
    <row r="12" spans="1:44">
      <c r="A12" s="288" t="s">
        <v>13</v>
      </c>
      <c r="B12" s="414">
        <v>35310</v>
      </c>
      <c r="C12" s="289">
        <v>39661</v>
      </c>
      <c r="D12" s="289">
        <v>44028</v>
      </c>
      <c r="E12" s="289">
        <v>46742</v>
      </c>
      <c r="F12" s="289">
        <v>43914</v>
      </c>
      <c r="G12" s="289">
        <v>43778</v>
      </c>
      <c r="H12" s="289">
        <v>43933</v>
      </c>
      <c r="I12" s="289">
        <v>42335</v>
      </c>
      <c r="J12" s="289" t="e">
        <f>#REF!</f>
        <v>#REF!</v>
      </c>
      <c r="K12" s="289"/>
      <c r="L12" s="267">
        <v>0.12322288303596718</v>
      </c>
      <c r="M12" s="267">
        <v>0.11010816671289181</v>
      </c>
      <c r="N12" s="267">
        <v>6.164259107840464E-2</v>
      </c>
      <c r="O12" s="267">
        <v>-6.0502331949852328E-2</v>
      </c>
      <c r="P12" s="267">
        <f t="shared" si="0"/>
        <v>-3.096962244386714E-3</v>
      </c>
      <c r="Q12" s="267">
        <f t="shared" si="1"/>
        <v>3.5405911645118859E-3</v>
      </c>
      <c r="R12" s="267">
        <f t="shared" si="2"/>
        <v>-3.6373568843466209E-2</v>
      </c>
      <c r="S12" s="267" t="e">
        <f t="shared" si="3"/>
        <v>#REF!</v>
      </c>
      <c r="T12" s="268" t="e">
        <f t="shared" si="8"/>
        <v>#REF!</v>
      </c>
      <c r="U12" s="267"/>
      <c r="V12" s="269" t="e">
        <f t="shared" si="9"/>
        <v>#REF!</v>
      </c>
      <c r="W12" s="290"/>
      <c r="X12" s="291">
        <v>35709</v>
      </c>
      <c r="Y12" s="289">
        <v>42612</v>
      </c>
      <c r="Z12" s="289">
        <v>44264</v>
      </c>
      <c r="AA12" s="289">
        <v>42255</v>
      </c>
      <c r="AB12" s="289">
        <v>45319</v>
      </c>
      <c r="AC12" s="289">
        <v>46608</v>
      </c>
      <c r="AD12" s="289">
        <v>45779</v>
      </c>
      <c r="AE12" s="289">
        <v>40801</v>
      </c>
      <c r="AF12" s="289" t="e">
        <f>#REF!</f>
        <v>#REF!</v>
      </c>
      <c r="AG12" s="289"/>
      <c r="AH12" s="267">
        <v>0.19331261026631941</v>
      </c>
      <c r="AI12" s="267">
        <v>3.8768422040739603E-2</v>
      </c>
      <c r="AJ12" s="267">
        <v>-4.5386770287366707E-2</v>
      </c>
      <c r="AK12" s="267">
        <v>7.251212874216062E-2</v>
      </c>
      <c r="AL12" s="267">
        <f t="shared" si="4"/>
        <v>2.8442816478739585E-2</v>
      </c>
      <c r="AM12" s="267">
        <f t="shared" si="5"/>
        <v>-1.7786646069344325E-2</v>
      </c>
      <c r="AN12" s="267">
        <f t="shared" si="6"/>
        <v>-0.1087398151991088</v>
      </c>
      <c r="AO12" s="267" t="e">
        <f t="shared" si="7"/>
        <v>#REF!</v>
      </c>
      <c r="AP12" s="268" t="e">
        <f t="shared" si="10"/>
        <v>#REF!</v>
      </c>
      <c r="AQ12" s="267"/>
      <c r="AR12" s="269" t="e">
        <f t="shared" si="11"/>
        <v>#REF!</v>
      </c>
    </row>
    <row r="13" spans="1:44">
      <c r="A13" s="288" t="s">
        <v>16</v>
      </c>
      <c r="B13" s="414">
        <v>21173</v>
      </c>
      <c r="C13" s="289">
        <v>36761</v>
      </c>
      <c r="D13" s="289">
        <v>43031</v>
      </c>
      <c r="E13" s="289">
        <v>37555</v>
      </c>
      <c r="F13" s="289">
        <v>37438</v>
      </c>
      <c r="G13" s="289">
        <v>38839</v>
      </c>
      <c r="H13" s="289">
        <v>38720</v>
      </c>
      <c r="I13" s="289">
        <v>36728.513999999996</v>
      </c>
      <c r="J13" s="289" t="e">
        <f>#REF!</f>
        <v>#REF!</v>
      </c>
      <c r="K13" s="289"/>
      <c r="L13" s="267">
        <v>0.73622065838567985</v>
      </c>
      <c r="M13" s="267">
        <v>0.1705611925682109</v>
      </c>
      <c r="N13" s="267">
        <v>-0.12725709372312988</v>
      </c>
      <c r="O13" s="267">
        <v>-3.115430701637556E-3</v>
      </c>
      <c r="P13" s="267">
        <f t="shared" si="0"/>
        <v>3.7421870826433112E-2</v>
      </c>
      <c r="Q13" s="267">
        <f t="shared" si="1"/>
        <v>-3.0639305852364629E-3</v>
      </c>
      <c r="R13" s="267">
        <f t="shared" si="2"/>
        <v>-5.1433006198347231E-2</v>
      </c>
      <c r="S13" s="267" t="e">
        <f t="shared" si="3"/>
        <v>#REF!</v>
      </c>
      <c r="T13" s="268" t="e">
        <f t="shared" si="8"/>
        <v>#REF!</v>
      </c>
      <c r="U13" s="267"/>
      <c r="V13" s="269" t="e">
        <f t="shared" si="9"/>
        <v>#REF!</v>
      </c>
      <c r="W13" s="290"/>
      <c r="X13" s="291">
        <v>22730</v>
      </c>
      <c r="Y13" s="289">
        <v>33463</v>
      </c>
      <c r="Z13" s="289">
        <v>39991</v>
      </c>
      <c r="AA13" s="289">
        <v>37894</v>
      </c>
      <c r="AB13" s="289">
        <v>38213</v>
      </c>
      <c r="AC13" s="289">
        <v>35979</v>
      </c>
      <c r="AD13" s="289">
        <v>38131</v>
      </c>
      <c r="AE13" s="289">
        <v>33101.933000000005</v>
      </c>
      <c r="AF13" s="289" t="e">
        <f>#REF!</f>
        <v>#REF!</v>
      </c>
      <c r="AG13" s="289"/>
      <c r="AH13" s="267">
        <v>0.47219533655961277</v>
      </c>
      <c r="AI13" s="267">
        <v>0.19508113438723362</v>
      </c>
      <c r="AJ13" s="267">
        <v>-5.2436798279612895E-2</v>
      </c>
      <c r="AK13" s="267">
        <v>8.4182192431518921E-3</v>
      </c>
      <c r="AL13" s="267">
        <f t="shared" si="4"/>
        <v>-5.8461780022505461E-2</v>
      </c>
      <c r="AM13" s="267">
        <f t="shared" si="5"/>
        <v>5.9812668501070032E-2</v>
      </c>
      <c r="AN13" s="267">
        <f t="shared" si="6"/>
        <v>-0.13188919776559738</v>
      </c>
      <c r="AO13" s="267" t="e">
        <f t="shared" si="7"/>
        <v>#REF!</v>
      </c>
      <c r="AP13" s="268" t="e">
        <f t="shared" si="10"/>
        <v>#REF!</v>
      </c>
      <c r="AQ13" s="267"/>
      <c r="AR13" s="269" t="e">
        <f t="shared" si="11"/>
        <v>#REF!</v>
      </c>
    </row>
    <row r="14" spans="1:44">
      <c r="A14" s="288" t="s">
        <v>19</v>
      </c>
      <c r="B14" s="414">
        <v>23896</v>
      </c>
      <c r="C14" s="289">
        <v>35832</v>
      </c>
      <c r="D14" s="289">
        <v>33678</v>
      </c>
      <c r="E14" s="289">
        <v>34370</v>
      </c>
      <c r="F14" s="289">
        <v>30322</v>
      </c>
      <c r="G14" s="289">
        <v>30242</v>
      </c>
      <c r="H14" s="289">
        <v>34294</v>
      </c>
      <c r="I14" s="289">
        <v>35324</v>
      </c>
      <c r="J14" s="289" t="e">
        <f>#REF!</f>
        <v>#REF!</v>
      </c>
      <c r="K14" s="289"/>
      <c r="L14" s="267">
        <v>0.49949782390358211</v>
      </c>
      <c r="M14" s="267">
        <v>-6.0113864701942354E-2</v>
      </c>
      <c r="N14" s="267">
        <v>2.0547538452402092E-2</v>
      </c>
      <c r="O14" s="267">
        <v>-0.1177771312190864</v>
      </c>
      <c r="P14" s="267">
        <f t="shared" si="0"/>
        <v>-2.6383483939054209E-3</v>
      </c>
      <c r="Q14" s="267">
        <f t="shared" si="1"/>
        <v>0.13398584749685871</v>
      </c>
      <c r="R14" s="267">
        <f t="shared" si="2"/>
        <v>3.0034408351315101E-2</v>
      </c>
      <c r="S14" s="267" t="e">
        <f t="shared" si="3"/>
        <v>#REF!</v>
      </c>
      <c r="T14" s="268" t="e">
        <f t="shared" si="8"/>
        <v>#REF!</v>
      </c>
      <c r="U14" s="267"/>
      <c r="V14" s="269" t="e">
        <f t="shared" si="9"/>
        <v>#REF!</v>
      </c>
      <c r="W14" s="290"/>
      <c r="X14" s="291">
        <v>28073</v>
      </c>
      <c r="Y14" s="289">
        <v>36639</v>
      </c>
      <c r="Z14" s="289">
        <v>34653</v>
      </c>
      <c r="AA14" s="289">
        <v>35936</v>
      </c>
      <c r="AB14" s="289">
        <v>33905</v>
      </c>
      <c r="AC14" s="289">
        <v>32592</v>
      </c>
      <c r="AD14" s="289">
        <v>36106</v>
      </c>
      <c r="AE14" s="289">
        <v>36281</v>
      </c>
      <c r="AF14" s="289" t="e">
        <f>#REF!</f>
        <v>#REF!</v>
      </c>
      <c r="AG14" s="289"/>
      <c r="AH14" s="267">
        <v>0.30513304598724744</v>
      </c>
      <c r="AI14" s="267">
        <v>-5.420453615000409E-2</v>
      </c>
      <c r="AJ14" s="267">
        <v>3.7024211467982626E-2</v>
      </c>
      <c r="AK14" s="267">
        <v>-5.6517141585040065E-2</v>
      </c>
      <c r="AL14" s="267">
        <f t="shared" si="4"/>
        <v>-3.8725851644300202E-2</v>
      </c>
      <c r="AM14" s="267">
        <f t="shared" si="5"/>
        <v>0.10781786941580762</v>
      </c>
      <c r="AN14" s="267">
        <f t="shared" si="6"/>
        <v>4.8468398604111229E-3</v>
      </c>
      <c r="AO14" s="267" t="e">
        <f t="shared" si="7"/>
        <v>#REF!</v>
      </c>
      <c r="AP14" s="268" t="e">
        <f t="shared" si="10"/>
        <v>#REF!</v>
      </c>
      <c r="AQ14" s="267"/>
      <c r="AR14" s="269" t="e">
        <f t="shared" si="11"/>
        <v>#REF!</v>
      </c>
    </row>
    <row r="15" spans="1:44">
      <c r="A15" s="288" t="s">
        <v>22</v>
      </c>
      <c r="B15" s="414">
        <v>28066</v>
      </c>
      <c r="C15" s="289">
        <v>34973</v>
      </c>
      <c r="D15" s="289">
        <v>37964</v>
      </c>
      <c r="E15" s="289">
        <v>38270</v>
      </c>
      <c r="F15" s="289">
        <v>35826</v>
      </c>
      <c r="G15" s="289">
        <v>33032</v>
      </c>
      <c r="H15" s="289">
        <v>30810</v>
      </c>
      <c r="I15" s="289">
        <v>31858</v>
      </c>
      <c r="J15" s="289" t="e">
        <f>#REF!</f>
        <v>#REF!</v>
      </c>
      <c r="K15" s="289"/>
      <c r="L15" s="267">
        <v>0.24609848214921959</v>
      </c>
      <c r="M15" s="267">
        <v>8.5523117833757434E-2</v>
      </c>
      <c r="N15" s="267">
        <v>8.0602676219576619E-3</v>
      </c>
      <c r="O15" s="267">
        <v>-6.3862032923961309E-2</v>
      </c>
      <c r="P15" s="267">
        <f t="shared" si="0"/>
        <v>-7.7988053369061561E-2</v>
      </c>
      <c r="Q15" s="267">
        <f t="shared" si="1"/>
        <v>-6.7268103657059819E-2</v>
      </c>
      <c r="R15" s="267">
        <f t="shared" si="2"/>
        <v>3.4014930217461936E-2</v>
      </c>
      <c r="S15" s="267" t="e">
        <f t="shared" si="3"/>
        <v>#REF!</v>
      </c>
      <c r="T15" s="268" t="e">
        <f t="shared" si="8"/>
        <v>#REF!</v>
      </c>
      <c r="U15" s="267"/>
      <c r="V15" s="269" t="e">
        <f t="shared" si="9"/>
        <v>#REF!</v>
      </c>
      <c r="W15" s="290"/>
      <c r="X15" s="291">
        <v>26970</v>
      </c>
      <c r="Y15" s="289">
        <v>37153</v>
      </c>
      <c r="Z15" s="289">
        <v>40053</v>
      </c>
      <c r="AA15" s="289">
        <v>38652</v>
      </c>
      <c r="AB15" s="289">
        <v>39996</v>
      </c>
      <c r="AC15" s="289">
        <v>33922</v>
      </c>
      <c r="AD15" s="289">
        <v>32858</v>
      </c>
      <c r="AE15" s="289">
        <v>33399</v>
      </c>
      <c r="AF15" s="289" t="e">
        <f>#REF!</f>
        <v>#REF!</v>
      </c>
      <c r="AG15" s="289"/>
      <c r="AH15" s="267">
        <v>0.37756766777901363</v>
      </c>
      <c r="AI15" s="267">
        <v>7.8055607891691192E-2</v>
      </c>
      <c r="AJ15" s="267">
        <v>-3.4978653284398198E-2</v>
      </c>
      <c r="AK15" s="267">
        <v>3.4771809996895442E-2</v>
      </c>
      <c r="AL15" s="267">
        <f t="shared" si="4"/>
        <v>-0.15186518651865188</v>
      </c>
      <c r="AM15" s="267">
        <f t="shared" si="5"/>
        <v>-3.1366075113495651E-2</v>
      </c>
      <c r="AN15" s="267">
        <f t="shared" si="6"/>
        <v>1.6464787875098974E-2</v>
      </c>
      <c r="AO15" s="267" t="e">
        <f t="shared" si="7"/>
        <v>#REF!</v>
      </c>
      <c r="AP15" s="268" t="e">
        <f t="shared" si="10"/>
        <v>#REF!</v>
      </c>
      <c r="AQ15" s="267"/>
      <c r="AR15" s="269" t="e">
        <f t="shared" si="11"/>
        <v>#REF!</v>
      </c>
    </row>
    <row r="16" spans="1:44">
      <c r="A16" s="288" t="s">
        <v>25</v>
      </c>
      <c r="B16" s="414">
        <v>192043</v>
      </c>
      <c r="C16" s="289">
        <v>208569</v>
      </c>
      <c r="D16" s="289">
        <v>222343</v>
      </c>
      <c r="E16" s="289">
        <v>216397</v>
      </c>
      <c r="F16" s="289">
        <v>211790</v>
      </c>
      <c r="G16" s="289">
        <v>208202</v>
      </c>
      <c r="H16" s="289">
        <v>210690</v>
      </c>
      <c r="I16" s="289">
        <v>190871</v>
      </c>
      <c r="J16" s="289" t="e">
        <f>#REF!</f>
        <v>#REF!</v>
      </c>
      <c r="K16" s="289"/>
      <c r="L16" s="267">
        <v>8.6053644235926319E-2</v>
      </c>
      <c r="M16" s="267">
        <v>6.6040494992064991E-2</v>
      </c>
      <c r="N16" s="267">
        <v>-2.6742465470017018E-2</v>
      </c>
      <c r="O16" s="267">
        <v>-2.1289574254726218E-2</v>
      </c>
      <c r="P16" s="267">
        <f t="shared" si="0"/>
        <v>-1.6941309787997572E-2</v>
      </c>
      <c r="Q16" s="267">
        <f t="shared" si="1"/>
        <v>1.1949933237913157E-2</v>
      </c>
      <c r="R16" s="267">
        <f t="shared" si="2"/>
        <v>-9.4067112819782639E-2</v>
      </c>
      <c r="S16" s="267" t="e">
        <f t="shared" si="3"/>
        <v>#REF!</v>
      </c>
      <c r="T16" s="268" t="e">
        <f t="shared" si="8"/>
        <v>#REF!</v>
      </c>
      <c r="U16" s="267"/>
      <c r="V16" s="269" t="e">
        <f t="shared" si="9"/>
        <v>#REF!</v>
      </c>
      <c r="W16" s="290"/>
      <c r="X16" s="291">
        <v>187005</v>
      </c>
      <c r="Y16" s="289">
        <v>227376</v>
      </c>
      <c r="Z16" s="289">
        <v>214490</v>
      </c>
      <c r="AA16" s="289">
        <v>226108</v>
      </c>
      <c r="AB16" s="289">
        <v>213613</v>
      </c>
      <c r="AC16" s="289">
        <v>200229</v>
      </c>
      <c r="AD16" s="289">
        <v>196032</v>
      </c>
      <c r="AE16" s="289">
        <v>212277</v>
      </c>
      <c r="AF16" s="289" t="e">
        <f>#REF!</f>
        <v>#REF!</v>
      </c>
      <c r="AG16" s="289"/>
      <c r="AH16" s="267">
        <v>0.21588192829068742</v>
      </c>
      <c r="AI16" s="267">
        <v>-5.6672647948772026E-2</v>
      </c>
      <c r="AJ16" s="267">
        <v>5.4165695370413491E-2</v>
      </c>
      <c r="AK16" s="267">
        <v>-5.5261202611141536E-2</v>
      </c>
      <c r="AL16" s="267">
        <f t="shared" si="4"/>
        <v>-6.2655362735414055E-2</v>
      </c>
      <c r="AM16" s="267">
        <f t="shared" si="5"/>
        <v>-2.0960999655394552E-2</v>
      </c>
      <c r="AN16" s="267">
        <f t="shared" si="6"/>
        <v>8.2869123408423118E-2</v>
      </c>
      <c r="AO16" s="267" t="e">
        <f t="shared" si="7"/>
        <v>#REF!</v>
      </c>
      <c r="AP16" s="268" t="e">
        <f t="shared" si="10"/>
        <v>#REF!</v>
      </c>
      <c r="AQ16" s="267"/>
      <c r="AR16" s="269" t="e">
        <f t="shared" si="11"/>
        <v>#REF!</v>
      </c>
    </row>
    <row r="17" spans="1:44">
      <c r="A17" s="288" t="s">
        <v>26</v>
      </c>
      <c r="B17" s="414">
        <v>29301</v>
      </c>
      <c r="C17" s="289">
        <v>28399</v>
      </c>
      <c r="D17" s="289">
        <v>28456</v>
      </c>
      <c r="E17" s="289">
        <v>34357</v>
      </c>
      <c r="F17" s="289">
        <v>29848</v>
      </c>
      <c r="G17" s="289">
        <v>27464</v>
      </c>
      <c r="H17" s="289">
        <v>23602</v>
      </c>
      <c r="I17" s="289">
        <v>22986</v>
      </c>
      <c r="J17" s="289" t="e">
        <f>#REF!</f>
        <v>#REF!</v>
      </c>
      <c r="K17" s="289"/>
      <c r="L17" s="267">
        <v>-3.0783932289000338E-2</v>
      </c>
      <c r="M17" s="267">
        <v>2.0071129265115673E-3</v>
      </c>
      <c r="N17" s="267">
        <v>0.20737278605566489</v>
      </c>
      <c r="O17" s="267">
        <v>-0.13123963093401636</v>
      </c>
      <c r="P17" s="267">
        <f t="shared" si="0"/>
        <v>-7.9871348164031075E-2</v>
      </c>
      <c r="Q17" s="267">
        <f t="shared" si="1"/>
        <v>-0.14062044858724143</v>
      </c>
      <c r="R17" s="267">
        <f t="shared" si="2"/>
        <v>-2.6099483094653042E-2</v>
      </c>
      <c r="S17" s="267" t="e">
        <f t="shared" si="3"/>
        <v>#REF!</v>
      </c>
      <c r="T17" s="268" t="e">
        <f t="shared" si="8"/>
        <v>#REF!</v>
      </c>
      <c r="U17" s="267"/>
      <c r="V17" s="269" t="e">
        <f t="shared" si="9"/>
        <v>#REF!</v>
      </c>
      <c r="W17" s="290"/>
      <c r="X17" s="291">
        <v>29756</v>
      </c>
      <c r="Y17" s="289">
        <v>27356</v>
      </c>
      <c r="Z17" s="289">
        <v>28801</v>
      </c>
      <c r="AA17" s="289">
        <v>29336</v>
      </c>
      <c r="AB17" s="289">
        <v>28299</v>
      </c>
      <c r="AC17" s="289">
        <v>24088</v>
      </c>
      <c r="AD17" s="289">
        <v>22799</v>
      </c>
      <c r="AE17" s="289">
        <v>22294</v>
      </c>
      <c r="AF17" s="289" t="e">
        <f>#REF!</f>
        <v>#REF!</v>
      </c>
      <c r="AG17" s="289"/>
      <c r="AH17" s="267">
        <v>-8.0656002150826689E-2</v>
      </c>
      <c r="AI17" s="267">
        <v>5.2822050007311105E-2</v>
      </c>
      <c r="AJ17" s="267">
        <v>1.8575743897781383E-2</v>
      </c>
      <c r="AK17" s="267">
        <v>-3.5349059176438491E-2</v>
      </c>
      <c r="AL17" s="267">
        <f t="shared" si="4"/>
        <v>-0.1488038446588219</v>
      </c>
      <c r="AM17" s="267">
        <f t="shared" si="5"/>
        <v>-5.3512122218532077E-2</v>
      </c>
      <c r="AN17" s="267">
        <f t="shared" si="6"/>
        <v>-2.2150094302381684E-2</v>
      </c>
      <c r="AO17" s="267" t="e">
        <f t="shared" si="7"/>
        <v>#REF!</v>
      </c>
      <c r="AP17" s="268" t="e">
        <f t="shared" si="10"/>
        <v>#REF!</v>
      </c>
      <c r="AQ17" s="267"/>
      <c r="AR17" s="269" t="e">
        <f t="shared" si="11"/>
        <v>#REF!</v>
      </c>
    </row>
    <row r="18" spans="1:44">
      <c r="A18" s="288" t="s">
        <v>28</v>
      </c>
      <c r="B18" s="414">
        <v>39267</v>
      </c>
      <c r="C18" s="289">
        <v>55414</v>
      </c>
      <c r="D18" s="289">
        <v>57419</v>
      </c>
      <c r="E18" s="289">
        <v>57453</v>
      </c>
      <c r="F18" s="289">
        <v>55738</v>
      </c>
      <c r="G18" s="289">
        <v>56292</v>
      </c>
      <c r="H18" s="289">
        <v>46807</v>
      </c>
      <c r="I18" s="289">
        <v>49410</v>
      </c>
      <c r="J18" s="289" t="e">
        <f>#REF!</f>
        <v>#REF!</v>
      </c>
      <c r="K18" s="289"/>
      <c r="L18" s="267">
        <v>0.41121043115083911</v>
      </c>
      <c r="M18" s="267">
        <v>3.6182192225791221E-2</v>
      </c>
      <c r="N18" s="267">
        <v>5.921384907434657E-4</v>
      </c>
      <c r="O18" s="267">
        <v>-2.9850486484604755E-2</v>
      </c>
      <c r="P18" s="267">
        <f t="shared" si="0"/>
        <v>9.9393591445693374E-3</v>
      </c>
      <c r="Q18" s="267">
        <f t="shared" si="1"/>
        <v>-0.16849641156825124</v>
      </c>
      <c r="R18" s="267">
        <f t="shared" si="2"/>
        <v>5.5611340184160474E-2</v>
      </c>
      <c r="S18" s="267" t="e">
        <f t="shared" si="3"/>
        <v>#REF!</v>
      </c>
      <c r="T18" s="268" t="e">
        <f t="shared" si="8"/>
        <v>#REF!</v>
      </c>
      <c r="U18" s="267"/>
      <c r="V18" s="269" t="e">
        <f t="shared" si="9"/>
        <v>#REF!</v>
      </c>
      <c r="W18" s="290"/>
      <c r="X18" s="291">
        <v>37714</v>
      </c>
      <c r="Y18" s="289">
        <v>59479</v>
      </c>
      <c r="Z18" s="289">
        <v>57227</v>
      </c>
      <c r="AA18" s="289">
        <v>56433</v>
      </c>
      <c r="AB18" s="289">
        <v>56058</v>
      </c>
      <c r="AC18" s="289">
        <v>56665</v>
      </c>
      <c r="AD18" s="289">
        <v>47545</v>
      </c>
      <c r="AE18" s="289">
        <v>50355</v>
      </c>
      <c r="AF18" s="289" t="e">
        <f>#REF!</f>
        <v>#REF!</v>
      </c>
      <c r="AG18" s="289"/>
      <c r="AH18" s="267">
        <v>0.57710664474730877</v>
      </c>
      <c r="AI18" s="267">
        <v>-3.7862102590830338E-2</v>
      </c>
      <c r="AJ18" s="267">
        <v>-1.3874569696122441E-2</v>
      </c>
      <c r="AK18" s="267">
        <v>-6.6450481101483216E-3</v>
      </c>
      <c r="AL18" s="267">
        <f t="shared" si="4"/>
        <v>1.0828070926540478E-2</v>
      </c>
      <c r="AM18" s="267">
        <f t="shared" si="5"/>
        <v>-0.16094591017382864</v>
      </c>
      <c r="AN18" s="267">
        <f t="shared" si="6"/>
        <v>5.910190345988009E-2</v>
      </c>
      <c r="AO18" s="267" t="e">
        <f t="shared" si="7"/>
        <v>#REF!</v>
      </c>
      <c r="AP18" s="268" t="e">
        <f t="shared" si="10"/>
        <v>#REF!</v>
      </c>
      <c r="AQ18" s="267"/>
      <c r="AR18" s="269" t="e">
        <f t="shared" si="11"/>
        <v>#REF!</v>
      </c>
    </row>
    <row r="19" spans="1:44">
      <c r="A19" s="288" t="s">
        <v>29</v>
      </c>
      <c r="B19" s="414">
        <v>99328</v>
      </c>
      <c r="C19" s="289">
        <v>119453</v>
      </c>
      <c r="D19" s="289">
        <v>118002</v>
      </c>
      <c r="E19" s="289">
        <v>118726</v>
      </c>
      <c r="F19" s="289">
        <v>113402</v>
      </c>
      <c r="G19" s="289">
        <v>110041</v>
      </c>
      <c r="H19" s="289">
        <v>110108</v>
      </c>
      <c r="I19" s="289">
        <v>100623</v>
      </c>
      <c r="J19" s="289" t="e">
        <f>#REF!</f>
        <v>#REF!</v>
      </c>
      <c r="K19" s="289"/>
      <c r="L19" s="267">
        <v>0.202611549613402</v>
      </c>
      <c r="M19" s="267">
        <v>-1.2147036909914366E-2</v>
      </c>
      <c r="N19" s="267">
        <v>6.1354892289962049E-3</v>
      </c>
      <c r="O19" s="267">
        <v>-4.4842747165742991E-2</v>
      </c>
      <c r="P19" s="267">
        <f t="shared" si="0"/>
        <v>-2.9637925257050113E-2</v>
      </c>
      <c r="Q19" s="267">
        <f t="shared" si="1"/>
        <v>6.0886396888437666E-4</v>
      </c>
      <c r="R19" s="267">
        <f t="shared" si="2"/>
        <v>-8.6142696261852003E-2</v>
      </c>
      <c r="S19" s="267" t="e">
        <f t="shared" si="3"/>
        <v>#REF!</v>
      </c>
      <c r="T19" s="268" t="e">
        <f t="shared" si="8"/>
        <v>#REF!</v>
      </c>
      <c r="U19" s="267"/>
      <c r="V19" s="269" t="e">
        <f t="shared" si="9"/>
        <v>#REF!</v>
      </c>
      <c r="W19" s="290"/>
      <c r="X19" s="291">
        <v>105218</v>
      </c>
      <c r="Y19" s="289">
        <v>134376</v>
      </c>
      <c r="Z19" s="289">
        <v>149161</v>
      </c>
      <c r="AA19" s="289">
        <v>162680</v>
      </c>
      <c r="AB19" s="289">
        <v>111241</v>
      </c>
      <c r="AC19" s="289">
        <v>107450</v>
      </c>
      <c r="AD19" s="289">
        <v>96002</v>
      </c>
      <c r="AE19" s="289">
        <v>108144</v>
      </c>
      <c r="AF19" s="289" t="e">
        <f>#REF!</f>
        <v>#REF!</v>
      </c>
      <c r="AG19" s="289"/>
      <c r="AH19" s="267">
        <v>0.27711988443042057</v>
      </c>
      <c r="AI19" s="267">
        <v>0.11002708817050655</v>
      </c>
      <c r="AJ19" s="267">
        <v>9.0633610662304465E-2</v>
      </c>
      <c r="AK19" s="267">
        <v>-0.31619744283255469</v>
      </c>
      <c r="AL19" s="267">
        <f t="shared" si="4"/>
        <v>-3.4079161460252916E-2</v>
      </c>
      <c r="AM19" s="267">
        <f t="shared" si="5"/>
        <v>-0.10654257794322941</v>
      </c>
      <c r="AN19" s="267">
        <f t="shared" si="6"/>
        <v>0.12647653173892204</v>
      </c>
      <c r="AO19" s="267" t="e">
        <f t="shared" si="7"/>
        <v>#REF!</v>
      </c>
      <c r="AP19" s="268" t="e">
        <f t="shared" si="10"/>
        <v>#REF!</v>
      </c>
      <c r="AQ19" s="267"/>
      <c r="AR19" s="269" t="e">
        <f t="shared" si="11"/>
        <v>#REF!</v>
      </c>
    </row>
    <row r="20" spans="1:44">
      <c r="A20" s="288" t="s">
        <v>31</v>
      </c>
      <c r="B20" s="414">
        <v>270185</v>
      </c>
      <c r="C20" s="289">
        <v>293225</v>
      </c>
      <c r="D20" s="289">
        <v>304308</v>
      </c>
      <c r="E20" s="289">
        <v>307802</v>
      </c>
      <c r="F20" s="289">
        <v>308058</v>
      </c>
      <c r="G20" s="289">
        <v>298393</v>
      </c>
      <c r="H20" s="289">
        <v>283753</v>
      </c>
      <c r="I20" s="289">
        <v>287141</v>
      </c>
      <c r="J20" s="289" t="e">
        <f>#REF!</f>
        <v>#REF!</v>
      </c>
      <c r="K20" s="289"/>
      <c r="L20" s="267">
        <v>8.5274904232285342E-2</v>
      </c>
      <c r="M20" s="267">
        <v>3.7796913632875739E-2</v>
      </c>
      <c r="N20" s="267">
        <v>1.1481788188282938E-2</v>
      </c>
      <c r="O20" s="267">
        <v>8.3170349770300689E-4</v>
      </c>
      <c r="P20" s="267">
        <f t="shared" si="0"/>
        <v>-3.1373962046108206E-2</v>
      </c>
      <c r="Q20" s="267">
        <f t="shared" si="1"/>
        <v>-4.9062813135696937E-2</v>
      </c>
      <c r="R20" s="267">
        <f t="shared" si="2"/>
        <v>1.1939961868244531E-2</v>
      </c>
      <c r="S20" s="267" t="e">
        <f t="shared" si="3"/>
        <v>#REF!</v>
      </c>
      <c r="T20" s="268" t="e">
        <f t="shared" si="8"/>
        <v>#REF!</v>
      </c>
      <c r="U20" s="267"/>
      <c r="V20" s="269" t="e">
        <f t="shared" si="9"/>
        <v>#REF!</v>
      </c>
      <c r="W20" s="290"/>
      <c r="X20" s="291">
        <v>275658</v>
      </c>
      <c r="Y20" s="289">
        <v>292387</v>
      </c>
      <c r="Z20" s="289">
        <v>304828</v>
      </c>
      <c r="AA20" s="289">
        <v>313835</v>
      </c>
      <c r="AB20" s="289">
        <v>298119</v>
      </c>
      <c r="AC20" s="289">
        <v>281990</v>
      </c>
      <c r="AD20" s="289">
        <v>290155</v>
      </c>
      <c r="AE20" s="289">
        <v>271271</v>
      </c>
      <c r="AF20" s="289" t="e">
        <f>#REF!</f>
        <v>#REF!</v>
      </c>
      <c r="AG20" s="289"/>
      <c r="AH20" s="267">
        <v>6.0687518591878264E-2</v>
      </c>
      <c r="AI20" s="267">
        <v>4.2549771364663869E-2</v>
      </c>
      <c r="AJ20" s="267">
        <v>2.9547810568582911E-2</v>
      </c>
      <c r="AK20" s="267">
        <v>-5.0077269902974453E-2</v>
      </c>
      <c r="AL20" s="267">
        <f t="shared" si="4"/>
        <v>-5.4102556361721343E-2</v>
      </c>
      <c r="AM20" s="267">
        <f t="shared" si="5"/>
        <v>2.8954927479697856E-2</v>
      </c>
      <c r="AN20" s="267">
        <f t="shared" si="6"/>
        <v>-6.5082455928727745E-2</v>
      </c>
      <c r="AO20" s="267" t="e">
        <f t="shared" si="7"/>
        <v>#REF!</v>
      </c>
      <c r="AP20" s="268" t="e">
        <f t="shared" si="10"/>
        <v>#REF!</v>
      </c>
      <c r="AQ20" s="267"/>
      <c r="AR20" s="269" t="e">
        <f t="shared" si="11"/>
        <v>#REF!</v>
      </c>
    </row>
    <row r="21" spans="1:44">
      <c r="A21" s="288" t="s">
        <v>32</v>
      </c>
      <c r="B21" s="414">
        <v>92310</v>
      </c>
      <c r="C21" s="289">
        <v>105588</v>
      </c>
      <c r="D21" s="289">
        <v>103526</v>
      </c>
      <c r="E21" s="289">
        <v>105488</v>
      </c>
      <c r="F21" s="289">
        <v>98401</v>
      </c>
      <c r="G21" s="289">
        <v>98194</v>
      </c>
      <c r="H21" s="289">
        <v>89640</v>
      </c>
      <c r="I21" s="289">
        <v>88971</v>
      </c>
      <c r="J21" s="289" t="e">
        <f>#REF!</f>
        <v>#REF!</v>
      </c>
      <c r="K21" s="289"/>
      <c r="L21" s="267">
        <v>0.14384140396490097</v>
      </c>
      <c r="M21" s="267">
        <v>-1.9528734325870323E-2</v>
      </c>
      <c r="N21" s="267">
        <v>1.8951760910302706E-2</v>
      </c>
      <c r="O21" s="267">
        <v>-6.7182997118155674E-2</v>
      </c>
      <c r="P21" s="267">
        <f t="shared" si="0"/>
        <v>-2.1036371581589774E-3</v>
      </c>
      <c r="Q21" s="267">
        <f t="shared" si="1"/>
        <v>-8.7113265576308163E-2</v>
      </c>
      <c r="R21" s="267">
        <f t="shared" si="2"/>
        <v>-7.4631860776439574E-3</v>
      </c>
      <c r="S21" s="267" t="e">
        <f t="shared" si="3"/>
        <v>#REF!</v>
      </c>
      <c r="T21" s="268" t="e">
        <f t="shared" si="8"/>
        <v>#REF!</v>
      </c>
      <c r="U21" s="267"/>
      <c r="V21" s="269" t="e">
        <f t="shared" si="9"/>
        <v>#REF!</v>
      </c>
      <c r="W21" s="290"/>
      <c r="X21" s="291">
        <v>95631</v>
      </c>
      <c r="Y21" s="289">
        <v>108414.38</v>
      </c>
      <c r="Z21" s="289">
        <v>105090</v>
      </c>
      <c r="AA21" s="289">
        <v>110490</v>
      </c>
      <c r="AB21" s="289">
        <v>96581</v>
      </c>
      <c r="AC21" s="289">
        <v>89269</v>
      </c>
      <c r="AD21" s="289">
        <v>92583</v>
      </c>
      <c r="AE21" s="289">
        <v>89159</v>
      </c>
      <c r="AF21" s="289" t="e">
        <f>#REF!</f>
        <v>#REF!</v>
      </c>
      <c r="AG21" s="289"/>
      <c r="AH21" s="267">
        <v>0.13367401783940358</v>
      </c>
      <c r="AI21" s="267">
        <v>-3.066364443535996E-2</v>
      </c>
      <c r="AJ21" s="267">
        <v>5.1384527547816194E-2</v>
      </c>
      <c r="AK21" s="267">
        <v>-0.12588469544755176</v>
      </c>
      <c r="AL21" s="267">
        <f t="shared" si="4"/>
        <v>-7.5708472680962147E-2</v>
      </c>
      <c r="AM21" s="267">
        <f t="shared" si="5"/>
        <v>3.7123749565918684E-2</v>
      </c>
      <c r="AN21" s="267">
        <f t="shared" si="6"/>
        <v>-3.698303144205739E-2</v>
      </c>
      <c r="AO21" s="267" t="e">
        <f t="shared" si="7"/>
        <v>#REF!</v>
      </c>
      <c r="AP21" s="268" t="e">
        <f t="shared" si="10"/>
        <v>#REF!</v>
      </c>
      <c r="AQ21" s="267"/>
      <c r="AR21" s="269" t="e">
        <f t="shared" si="11"/>
        <v>#REF!</v>
      </c>
    </row>
    <row r="22" spans="1:44">
      <c r="A22" s="288" t="s">
        <v>33</v>
      </c>
      <c r="B22" s="414">
        <v>26648</v>
      </c>
      <c r="C22" s="289">
        <v>34426</v>
      </c>
      <c r="D22" s="289">
        <v>34062</v>
      </c>
      <c r="E22" s="289">
        <v>33137</v>
      </c>
      <c r="F22" s="289">
        <v>33874</v>
      </c>
      <c r="G22" s="289">
        <v>34159</v>
      </c>
      <c r="H22" s="289">
        <v>34723</v>
      </c>
      <c r="I22" s="289">
        <v>34603</v>
      </c>
      <c r="J22" s="289" t="e">
        <f>#REF!</f>
        <v>#REF!</v>
      </c>
      <c r="K22" s="289"/>
      <c r="L22" s="267">
        <v>0.29187931552086455</v>
      </c>
      <c r="M22" s="267">
        <v>-1.0573403822692118E-2</v>
      </c>
      <c r="N22" s="267">
        <v>-2.715636192824844E-2</v>
      </c>
      <c r="O22" s="267">
        <v>2.224099948697833E-2</v>
      </c>
      <c r="P22" s="267">
        <f t="shared" si="0"/>
        <v>8.4135325028045216E-3</v>
      </c>
      <c r="Q22" s="267">
        <f t="shared" si="1"/>
        <v>1.6511021985421204E-2</v>
      </c>
      <c r="R22" s="267">
        <f t="shared" si="2"/>
        <v>-3.4559225873340704E-3</v>
      </c>
      <c r="S22" s="267" t="e">
        <f t="shared" si="3"/>
        <v>#REF!</v>
      </c>
      <c r="T22" s="268" t="e">
        <f t="shared" si="8"/>
        <v>#REF!</v>
      </c>
      <c r="U22" s="267"/>
      <c r="V22" s="269" t="e">
        <f t="shared" si="9"/>
        <v>#REF!</v>
      </c>
      <c r="W22" s="290"/>
      <c r="X22" s="291">
        <v>23940</v>
      </c>
      <c r="Y22" s="289">
        <v>35831</v>
      </c>
      <c r="Z22" s="289">
        <v>35886</v>
      </c>
      <c r="AA22" s="289">
        <v>35095</v>
      </c>
      <c r="AB22" s="289">
        <v>37925</v>
      </c>
      <c r="AC22" s="289">
        <v>34029</v>
      </c>
      <c r="AD22" s="289">
        <v>35017</v>
      </c>
      <c r="AE22" s="289">
        <v>38458</v>
      </c>
      <c r="AF22" s="289" t="e">
        <f>#REF!</f>
        <v>#REF!</v>
      </c>
      <c r="AG22" s="289"/>
      <c r="AH22" s="267">
        <v>0.49670008354218886</v>
      </c>
      <c r="AI22" s="267">
        <v>1.5349836733555833E-3</v>
      </c>
      <c r="AJ22" s="267">
        <v>-2.2042021958423863E-2</v>
      </c>
      <c r="AK22" s="267">
        <v>8.0638267559481447E-2</v>
      </c>
      <c r="AL22" s="267">
        <f t="shared" si="4"/>
        <v>-0.10272907053394853</v>
      </c>
      <c r="AM22" s="267">
        <f t="shared" si="5"/>
        <v>2.9034059184813055E-2</v>
      </c>
      <c r="AN22" s="267">
        <f t="shared" si="6"/>
        <v>9.826655624411007E-2</v>
      </c>
      <c r="AO22" s="267" t="e">
        <f t="shared" si="7"/>
        <v>#REF!</v>
      </c>
      <c r="AP22" s="268" t="e">
        <f t="shared" si="10"/>
        <v>#REF!</v>
      </c>
      <c r="AQ22" s="267"/>
      <c r="AR22" s="269" t="e">
        <f t="shared" si="11"/>
        <v>#REF!</v>
      </c>
    </row>
    <row r="23" spans="1:44">
      <c r="A23" s="288" t="s">
        <v>34</v>
      </c>
      <c r="B23" s="414">
        <v>22782</v>
      </c>
      <c r="C23" s="289">
        <v>30195</v>
      </c>
      <c r="D23" s="289">
        <v>34349</v>
      </c>
      <c r="E23" s="289">
        <v>34225</v>
      </c>
      <c r="F23" s="289">
        <v>36160</v>
      </c>
      <c r="G23" s="289">
        <v>33302</v>
      </c>
      <c r="H23" s="289">
        <v>30200</v>
      </c>
      <c r="I23" s="289">
        <v>28419.043834107142</v>
      </c>
      <c r="J23" s="289" t="e">
        <f>#REF!</f>
        <v>#REF!</v>
      </c>
      <c r="K23" s="289"/>
      <c r="L23" s="267">
        <v>0.32538846457729798</v>
      </c>
      <c r="M23" s="267">
        <v>0.13757244576916716</v>
      </c>
      <c r="N23" s="267">
        <v>-3.6100032024222184E-3</v>
      </c>
      <c r="O23" s="267">
        <v>5.6537618699780801E-2</v>
      </c>
      <c r="P23" s="267">
        <f t="shared" si="0"/>
        <v>-7.9037610619469012E-2</v>
      </c>
      <c r="Q23" s="267">
        <f t="shared" si="1"/>
        <v>-9.3147558705182876E-2</v>
      </c>
      <c r="R23" s="267">
        <f t="shared" si="2"/>
        <v>-5.897205847327347E-2</v>
      </c>
      <c r="S23" s="267" t="e">
        <f t="shared" si="3"/>
        <v>#REF!</v>
      </c>
      <c r="T23" s="268" t="e">
        <f t="shared" si="8"/>
        <v>#REF!</v>
      </c>
      <c r="U23" s="267"/>
      <c r="V23" s="269" t="e">
        <f t="shared" si="9"/>
        <v>#REF!</v>
      </c>
      <c r="W23" s="290"/>
      <c r="X23" s="291">
        <v>20960</v>
      </c>
      <c r="Y23" s="289">
        <v>28503</v>
      </c>
      <c r="Z23" s="289">
        <v>29181</v>
      </c>
      <c r="AA23" s="289">
        <v>30612</v>
      </c>
      <c r="AB23" s="289">
        <v>28597</v>
      </c>
      <c r="AC23" s="289">
        <v>28832</v>
      </c>
      <c r="AD23" s="289">
        <v>28631</v>
      </c>
      <c r="AE23" s="289">
        <v>26474.39976</v>
      </c>
      <c r="AF23" s="289" t="e">
        <f>#REF!</f>
        <v>#REF!</v>
      </c>
      <c r="AG23" s="289"/>
      <c r="AH23" s="267">
        <v>0.35987595419847329</v>
      </c>
      <c r="AI23" s="267">
        <v>2.3786969792653379E-2</v>
      </c>
      <c r="AJ23" s="267">
        <v>4.9038758096021429E-2</v>
      </c>
      <c r="AK23" s="267">
        <v>-6.5823859924212691E-2</v>
      </c>
      <c r="AL23" s="267">
        <f t="shared" si="4"/>
        <v>8.2176452075393147E-3</v>
      </c>
      <c r="AM23" s="267">
        <f t="shared" si="5"/>
        <v>-6.9714206437292425E-3</v>
      </c>
      <c r="AN23" s="267">
        <f t="shared" si="6"/>
        <v>-7.5323957947679099E-2</v>
      </c>
      <c r="AO23" s="267" t="e">
        <f t="shared" si="7"/>
        <v>#REF!</v>
      </c>
      <c r="AP23" s="268" t="e">
        <f t="shared" si="10"/>
        <v>#REF!</v>
      </c>
      <c r="AQ23" s="267"/>
      <c r="AR23" s="269" t="e">
        <f t="shared" si="11"/>
        <v>#REF!</v>
      </c>
    </row>
    <row r="24" spans="1:44">
      <c r="A24" s="288" t="s">
        <v>35</v>
      </c>
      <c r="B24" s="414">
        <v>27228</v>
      </c>
      <c r="C24" s="289">
        <v>24822</v>
      </c>
      <c r="D24" s="289">
        <v>28702</v>
      </c>
      <c r="E24" s="289">
        <v>28528</v>
      </c>
      <c r="F24" s="289">
        <v>28400</v>
      </c>
      <c r="G24" s="289">
        <v>29951</v>
      </c>
      <c r="H24" s="289">
        <v>29881</v>
      </c>
      <c r="I24" s="289">
        <v>31749</v>
      </c>
      <c r="J24" s="289" t="e">
        <f>#REF!</f>
        <v>#REF!</v>
      </c>
      <c r="K24" s="289"/>
      <c r="L24" s="267">
        <v>-8.8364918466284692E-2</v>
      </c>
      <c r="M24" s="267">
        <v>0.15631294819112074</v>
      </c>
      <c r="N24" s="267">
        <v>-6.0622953104313426E-3</v>
      </c>
      <c r="O24" s="267">
        <v>-4.4868199663488095E-3</v>
      </c>
      <c r="P24" s="267">
        <f t="shared" si="0"/>
        <v>5.4612676056338127E-2</v>
      </c>
      <c r="Q24" s="267">
        <f t="shared" si="1"/>
        <v>-2.3371506794430674E-3</v>
      </c>
      <c r="R24" s="267">
        <f t="shared" si="2"/>
        <v>6.2514641410930105E-2</v>
      </c>
      <c r="S24" s="267" t="e">
        <f t="shared" si="3"/>
        <v>#REF!</v>
      </c>
      <c r="T24" s="268" t="e">
        <f t="shared" si="8"/>
        <v>#REF!</v>
      </c>
      <c r="U24" s="267"/>
      <c r="V24" s="269" t="e">
        <f t="shared" si="9"/>
        <v>#REF!</v>
      </c>
      <c r="W24" s="290"/>
      <c r="X24" s="291">
        <v>26779</v>
      </c>
      <c r="Y24" s="289">
        <v>29344</v>
      </c>
      <c r="Z24" s="289">
        <v>27628</v>
      </c>
      <c r="AA24" s="289">
        <v>29644</v>
      </c>
      <c r="AB24" s="289">
        <v>29816</v>
      </c>
      <c r="AC24" s="289">
        <v>31235</v>
      </c>
      <c r="AD24" s="289">
        <v>30987</v>
      </c>
      <c r="AE24" s="289">
        <v>32229</v>
      </c>
      <c r="AF24" s="289" t="e">
        <f>#REF!</f>
        <v>#REF!</v>
      </c>
      <c r="AG24" s="289"/>
      <c r="AH24" s="267">
        <v>9.5784009858471242E-2</v>
      </c>
      <c r="AI24" s="267">
        <v>-5.8478735005452531E-2</v>
      </c>
      <c r="AJ24" s="267">
        <v>7.2969451281308828E-2</v>
      </c>
      <c r="AK24" s="267">
        <v>5.8021859398191822E-3</v>
      </c>
      <c r="AL24" s="267">
        <f t="shared" si="4"/>
        <v>4.7591896968070868E-2</v>
      </c>
      <c r="AM24" s="267">
        <f t="shared" si="5"/>
        <v>-7.9398111093325063E-3</v>
      </c>
      <c r="AN24" s="267">
        <f t="shared" si="6"/>
        <v>4.0081324426372245E-2</v>
      </c>
      <c r="AO24" s="267" t="e">
        <f t="shared" si="7"/>
        <v>#REF!</v>
      </c>
      <c r="AP24" s="268" t="e">
        <f t="shared" si="10"/>
        <v>#REF!</v>
      </c>
      <c r="AQ24" s="267"/>
      <c r="AR24" s="269" t="e">
        <f t="shared" si="11"/>
        <v>#REF!</v>
      </c>
    </row>
    <row r="25" spans="1:44">
      <c r="A25" s="288" t="s">
        <v>36</v>
      </c>
      <c r="B25" s="414">
        <v>41970.239999999998</v>
      </c>
      <c r="C25" s="289">
        <v>49343</v>
      </c>
      <c r="D25" s="289">
        <v>50113</v>
      </c>
      <c r="E25" s="289">
        <v>49085</v>
      </c>
      <c r="F25" s="289">
        <v>49918</v>
      </c>
      <c r="G25" s="289">
        <v>44794</v>
      </c>
      <c r="H25" s="289">
        <v>45908</v>
      </c>
      <c r="I25" s="289">
        <v>45547</v>
      </c>
      <c r="J25" s="289" t="e">
        <f>#REF!</f>
        <v>#REF!</v>
      </c>
      <c r="K25" s="289"/>
      <c r="L25" s="267">
        <v>0.17566637693756348</v>
      </c>
      <c r="M25" s="267">
        <v>1.5605050361753525E-2</v>
      </c>
      <c r="N25" s="267">
        <v>-2.051363917546345E-2</v>
      </c>
      <c r="O25" s="267">
        <v>1.6970561271264062E-2</v>
      </c>
      <c r="P25" s="267">
        <f t="shared" si="0"/>
        <v>-0.10264834328298411</v>
      </c>
      <c r="Q25" s="267">
        <f t="shared" si="1"/>
        <v>2.4869402152073894E-2</v>
      </c>
      <c r="R25" s="267">
        <f t="shared" si="2"/>
        <v>-7.8635531933431979E-3</v>
      </c>
      <c r="S25" s="267" t="e">
        <f t="shared" si="3"/>
        <v>#REF!</v>
      </c>
      <c r="T25" s="268" t="e">
        <f t="shared" si="8"/>
        <v>#REF!</v>
      </c>
      <c r="U25" s="267"/>
      <c r="V25" s="269" t="e">
        <f t="shared" si="9"/>
        <v>#REF!</v>
      </c>
      <c r="W25" s="290"/>
      <c r="X25" s="291">
        <v>45275</v>
      </c>
      <c r="Y25" s="289">
        <v>52113</v>
      </c>
      <c r="Z25" s="289">
        <v>49925</v>
      </c>
      <c r="AA25" s="289">
        <v>50000</v>
      </c>
      <c r="AB25" s="289">
        <v>48128</v>
      </c>
      <c r="AC25" s="289">
        <v>46640</v>
      </c>
      <c r="AD25" s="289">
        <v>48153</v>
      </c>
      <c r="AE25" s="289">
        <v>45940</v>
      </c>
      <c r="AF25" s="289" t="e">
        <f>#REF!</f>
        <v>#REF!</v>
      </c>
      <c r="AG25" s="289"/>
      <c r="AH25" s="267">
        <v>0.15103257868580888</v>
      </c>
      <c r="AI25" s="267">
        <v>-4.1985684953850244E-2</v>
      </c>
      <c r="AJ25" s="267">
        <v>1.502253380070151E-3</v>
      </c>
      <c r="AK25" s="267">
        <v>-3.7440000000000029E-2</v>
      </c>
      <c r="AL25" s="267">
        <f t="shared" si="4"/>
        <v>-3.0917553191489366E-2</v>
      </c>
      <c r="AM25" s="267">
        <f t="shared" si="5"/>
        <v>3.2439965694682771E-2</v>
      </c>
      <c r="AN25" s="267">
        <f t="shared" si="6"/>
        <v>-4.5957676572591533E-2</v>
      </c>
      <c r="AO25" s="267" t="e">
        <f t="shared" si="7"/>
        <v>#REF!</v>
      </c>
      <c r="AP25" s="268" t="e">
        <f t="shared" si="10"/>
        <v>#REF!</v>
      </c>
      <c r="AQ25" s="267"/>
      <c r="AR25" s="269" t="e">
        <f t="shared" si="11"/>
        <v>#REF!</v>
      </c>
    </row>
    <row r="26" spans="1:44">
      <c r="A26" s="288" t="s">
        <v>37</v>
      </c>
      <c r="B26" s="414">
        <v>90487</v>
      </c>
      <c r="C26" s="289">
        <v>104774</v>
      </c>
      <c r="D26" s="289">
        <v>100409</v>
      </c>
      <c r="E26" s="289">
        <v>105598</v>
      </c>
      <c r="F26" s="289">
        <v>96020</v>
      </c>
      <c r="G26" s="289">
        <v>106476</v>
      </c>
      <c r="H26" s="289">
        <v>105394.96064814147</v>
      </c>
      <c r="I26" s="289">
        <v>91357.335562571854</v>
      </c>
      <c r="J26" s="289" t="e">
        <f>#REF!</f>
        <v>#REF!</v>
      </c>
      <c r="K26" s="289"/>
      <c r="L26" s="267">
        <v>0.15789008365842605</v>
      </c>
      <c r="M26" s="267">
        <v>-4.1661099127646151E-2</v>
      </c>
      <c r="N26" s="267">
        <v>5.1678634385363909E-2</v>
      </c>
      <c r="O26" s="267">
        <v>-9.0702475425670892E-2</v>
      </c>
      <c r="P26" s="267">
        <f t="shared" si="0"/>
        <v>0.10889398042074561</v>
      </c>
      <c r="Q26" s="267">
        <f t="shared" si="1"/>
        <v>-1.0152892218514342E-2</v>
      </c>
      <c r="R26" s="267">
        <f t="shared" si="2"/>
        <v>-0.13319066679510305</v>
      </c>
      <c r="S26" s="267" t="e">
        <f t="shared" si="3"/>
        <v>#REF!</v>
      </c>
      <c r="T26" s="268" t="e">
        <f t="shared" si="8"/>
        <v>#REF!</v>
      </c>
      <c r="U26" s="267"/>
      <c r="V26" s="269" t="e">
        <f t="shared" si="9"/>
        <v>#REF!</v>
      </c>
      <c r="W26" s="290"/>
      <c r="X26" s="291">
        <v>93246</v>
      </c>
      <c r="Y26" s="289">
        <v>106981</v>
      </c>
      <c r="Z26" s="289">
        <v>116975</v>
      </c>
      <c r="AA26" s="289">
        <v>99952</v>
      </c>
      <c r="AB26" s="289">
        <v>97981</v>
      </c>
      <c r="AC26" s="289">
        <v>86614</v>
      </c>
      <c r="AD26" s="289">
        <v>90423.33093759109</v>
      </c>
      <c r="AE26" s="289">
        <v>90421.712820292887</v>
      </c>
      <c r="AF26" s="289" t="e">
        <f>#REF!</f>
        <v>#REF!</v>
      </c>
      <c r="AG26" s="289"/>
      <c r="AH26" s="267">
        <v>0.14729854363726047</v>
      </c>
      <c r="AI26" s="267">
        <v>9.3418457483104511E-2</v>
      </c>
      <c r="AJ26" s="267">
        <v>-0.14552682197050648</v>
      </c>
      <c r="AK26" s="267">
        <v>-1.9719465343364773E-2</v>
      </c>
      <c r="AL26" s="267">
        <f t="shared" si="4"/>
        <v>-0.11601228809667186</v>
      </c>
      <c r="AM26" s="267">
        <f t="shared" si="5"/>
        <v>4.3980545149642003E-2</v>
      </c>
      <c r="AN26" s="267">
        <f t="shared" si="6"/>
        <v>-1.7894909216775723E-5</v>
      </c>
      <c r="AO26" s="267" t="e">
        <f t="shared" si="7"/>
        <v>#REF!</v>
      </c>
      <c r="AP26" s="268" t="e">
        <f t="shared" si="10"/>
        <v>#REF!</v>
      </c>
      <c r="AQ26" s="267"/>
      <c r="AR26" s="269" t="e">
        <f t="shared" si="11"/>
        <v>#REF!</v>
      </c>
    </row>
    <row r="27" spans="1:44">
      <c r="A27" s="288" t="s">
        <v>38</v>
      </c>
      <c r="B27" s="414">
        <v>13225</v>
      </c>
      <c r="C27" s="289">
        <v>11124</v>
      </c>
      <c r="D27" s="289">
        <v>10818</v>
      </c>
      <c r="E27" s="289">
        <v>10282</v>
      </c>
      <c r="F27" s="289">
        <v>9973</v>
      </c>
      <c r="G27" s="289">
        <v>10506</v>
      </c>
      <c r="H27" s="289">
        <v>8644</v>
      </c>
      <c r="I27" s="289">
        <v>10287</v>
      </c>
      <c r="J27" s="289" t="e">
        <f>#REF!</f>
        <v>#REF!</v>
      </c>
      <c r="K27" s="289"/>
      <c r="L27" s="267">
        <v>-0.15886578449905486</v>
      </c>
      <c r="M27" s="267">
        <v>-2.7508090614886682E-2</v>
      </c>
      <c r="N27" s="267">
        <v>-4.9547051210944715E-2</v>
      </c>
      <c r="O27" s="267">
        <v>-3.0052518965181907E-2</v>
      </c>
      <c r="P27" s="267">
        <f t="shared" si="0"/>
        <v>5.3444299608944146E-2</v>
      </c>
      <c r="Q27" s="267">
        <f t="shared" si="1"/>
        <v>-0.17723205787169238</v>
      </c>
      <c r="R27" s="267">
        <f t="shared" si="2"/>
        <v>0.19007403979639048</v>
      </c>
      <c r="S27" s="267" t="e">
        <f t="shared" si="3"/>
        <v>#REF!</v>
      </c>
      <c r="T27" s="268" t="e">
        <f t="shared" si="8"/>
        <v>#REF!</v>
      </c>
      <c r="U27" s="267"/>
      <c r="V27" s="269" t="e">
        <f t="shared" si="9"/>
        <v>#REF!</v>
      </c>
      <c r="W27" s="290"/>
      <c r="X27" s="291">
        <v>13950</v>
      </c>
      <c r="Y27" s="289">
        <v>11920</v>
      </c>
      <c r="Z27" s="289">
        <v>11729</v>
      </c>
      <c r="AA27" s="289">
        <v>10997</v>
      </c>
      <c r="AB27" s="289">
        <v>10933</v>
      </c>
      <c r="AC27" s="289">
        <v>9472</v>
      </c>
      <c r="AD27" s="289">
        <v>10575</v>
      </c>
      <c r="AE27" s="289">
        <v>12866</v>
      </c>
      <c r="AF27" s="289" t="e">
        <f>#REF!</f>
        <v>#REF!</v>
      </c>
      <c r="AG27" s="289"/>
      <c r="AH27" s="267">
        <v>-0.1455197132616487</v>
      </c>
      <c r="AI27" s="267">
        <v>-1.6023489932885937E-2</v>
      </c>
      <c r="AJ27" s="267">
        <v>-6.2409412567141276E-2</v>
      </c>
      <c r="AK27" s="267">
        <v>-5.8197690279166991E-3</v>
      </c>
      <c r="AL27" s="267">
        <f t="shared" si="4"/>
        <v>-0.13363212293057714</v>
      </c>
      <c r="AM27" s="267">
        <f t="shared" si="5"/>
        <v>0.11644847972972983</v>
      </c>
      <c r="AN27" s="267">
        <f t="shared" si="6"/>
        <v>0.21664302600472807</v>
      </c>
      <c r="AO27" s="267" t="e">
        <f t="shared" si="7"/>
        <v>#REF!</v>
      </c>
      <c r="AP27" s="268" t="e">
        <f t="shared" si="10"/>
        <v>#REF!</v>
      </c>
      <c r="AQ27" s="267"/>
      <c r="AR27" s="269" t="e">
        <f t="shared" si="11"/>
        <v>#REF!</v>
      </c>
    </row>
    <row r="28" spans="1:44">
      <c r="A28" s="288" t="s">
        <v>39</v>
      </c>
      <c r="B28" s="414">
        <v>36909</v>
      </c>
      <c r="C28" s="289">
        <v>46749</v>
      </c>
      <c r="D28" s="289">
        <v>44943</v>
      </c>
      <c r="E28" s="289">
        <v>43504</v>
      </c>
      <c r="F28" s="289">
        <v>46700</v>
      </c>
      <c r="G28" s="289">
        <v>45001</v>
      </c>
      <c r="H28" s="289">
        <v>45493</v>
      </c>
      <c r="I28" s="289">
        <v>46732</v>
      </c>
      <c r="J28" s="289" t="e">
        <f>#REF!</f>
        <v>#REF!</v>
      </c>
      <c r="K28" s="289"/>
      <c r="L28" s="267">
        <v>0.26660164187596513</v>
      </c>
      <c r="M28" s="267">
        <v>-3.8631842392350624E-2</v>
      </c>
      <c r="N28" s="267">
        <v>-3.2018334334601661E-2</v>
      </c>
      <c r="O28" s="267">
        <v>7.3464509010665591E-2</v>
      </c>
      <c r="P28" s="267">
        <f t="shared" si="0"/>
        <v>-3.6381156316916519E-2</v>
      </c>
      <c r="Q28" s="267">
        <f t="shared" si="1"/>
        <v>1.0933090375769394E-2</v>
      </c>
      <c r="R28" s="267">
        <f t="shared" si="2"/>
        <v>2.7234959224496036E-2</v>
      </c>
      <c r="S28" s="267" t="e">
        <f t="shared" si="3"/>
        <v>#REF!</v>
      </c>
      <c r="T28" s="268" t="e">
        <f t="shared" si="8"/>
        <v>#REF!</v>
      </c>
      <c r="U28" s="267"/>
      <c r="V28" s="269" t="e">
        <f t="shared" si="9"/>
        <v>#REF!</v>
      </c>
      <c r="W28" s="290"/>
      <c r="X28" s="291">
        <v>38081</v>
      </c>
      <c r="Y28" s="289">
        <v>47931</v>
      </c>
      <c r="Z28" s="289">
        <v>48250</v>
      </c>
      <c r="AA28" s="289">
        <v>43910</v>
      </c>
      <c r="AB28" s="289">
        <v>46766</v>
      </c>
      <c r="AC28" s="289">
        <v>47393</v>
      </c>
      <c r="AD28" s="289">
        <v>46259</v>
      </c>
      <c r="AE28" s="289">
        <v>48083</v>
      </c>
      <c r="AF28" s="289" t="e">
        <f>#REF!</f>
        <v>#REF!</v>
      </c>
      <c r="AG28" s="289"/>
      <c r="AH28" s="267">
        <v>0.25865917386623249</v>
      </c>
      <c r="AI28" s="267">
        <v>6.6554004715111414E-3</v>
      </c>
      <c r="AJ28" s="267">
        <v>-8.9948186528497454E-2</v>
      </c>
      <c r="AK28" s="267">
        <v>6.5042131632885525E-2</v>
      </c>
      <c r="AL28" s="267">
        <f t="shared" si="4"/>
        <v>1.3407176153615863E-2</v>
      </c>
      <c r="AM28" s="267">
        <f t="shared" si="5"/>
        <v>-2.3927584242398714E-2</v>
      </c>
      <c r="AN28" s="267">
        <f t="shared" si="6"/>
        <v>3.9430164940876367E-2</v>
      </c>
      <c r="AO28" s="267" t="e">
        <f t="shared" si="7"/>
        <v>#REF!</v>
      </c>
      <c r="AP28" s="268" t="e">
        <f t="shared" si="10"/>
        <v>#REF!</v>
      </c>
      <c r="AQ28" s="267"/>
      <c r="AR28" s="269" t="e">
        <f t="shared" si="11"/>
        <v>#REF!</v>
      </c>
    </row>
    <row r="29" spans="1:44">
      <c r="A29" s="288" t="s">
        <v>40</v>
      </c>
      <c r="B29" s="414">
        <v>70674</v>
      </c>
      <c r="C29" s="289">
        <v>80262</v>
      </c>
      <c r="D29" s="289">
        <v>73803</v>
      </c>
      <c r="E29" s="289">
        <v>80101</v>
      </c>
      <c r="F29" s="289">
        <v>68581</v>
      </c>
      <c r="G29" s="289">
        <v>76567</v>
      </c>
      <c r="H29" s="289">
        <v>76178</v>
      </c>
      <c r="I29" s="289">
        <v>68370</v>
      </c>
      <c r="J29" s="289" t="e">
        <f>#REF!</f>
        <v>#REF!</v>
      </c>
      <c r="K29" s="289"/>
      <c r="L29" s="267">
        <v>0.135665166822311</v>
      </c>
      <c r="M29" s="267">
        <v>-8.0473947820886571E-2</v>
      </c>
      <c r="N29" s="267">
        <v>8.5335284473530892E-2</v>
      </c>
      <c r="O29" s="267">
        <v>-0.14381842923309318</v>
      </c>
      <c r="P29" s="267">
        <f t="shared" si="0"/>
        <v>0.11644624604482301</v>
      </c>
      <c r="Q29" s="267">
        <f t="shared" si="1"/>
        <v>-5.080517716509747E-3</v>
      </c>
      <c r="R29" s="267">
        <f t="shared" si="2"/>
        <v>-0.10249678384835514</v>
      </c>
      <c r="S29" s="267" t="e">
        <f t="shared" si="3"/>
        <v>#REF!</v>
      </c>
      <c r="T29" s="268" t="e">
        <f t="shared" si="8"/>
        <v>#REF!</v>
      </c>
      <c r="U29" s="267"/>
      <c r="V29" s="269" t="e">
        <f t="shared" si="9"/>
        <v>#REF!</v>
      </c>
      <c r="W29" s="290"/>
      <c r="X29" s="291">
        <v>65614</v>
      </c>
      <c r="Y29" s="289">
        <v>75707</v>
      </c>
      <c r="Z29" s="289">
        <v>67486</v>
      </c>
      <c r="AA29" s="289">
        <v>75586</v>
      </c>
      <c r="AB29" s="289">
        <v>70669</v>
      </c>
      <c r="AC29" s="289">
        <v>68595</v>
      </c>
      <c r="AD29" s="289">
        <v>50138</v>
      </c>
      <c r="AE29" s="289">
        <v>53437</v>
      </c>
      <c r="AF29" s="289" t="e">
        <f>#REF!</f>
        <v>#REF!</v>
      </c>
      <c r="AG29" s="289"/>
      <c r="AH29" s="267">
        <v>0.15382387905020267</v>
      </c>
      <c r="AI29" s="267">
        <v>-0.10858969448003486</v>
      </c>
      <c r="AJ29" s="267">
        <v>0.1200248940520996</v>
      </c>
      <c r="AK29" s="267">
        <v>-6.505172915619295E-2</v>
      </c>
      <c r="AL29" s="267">
        <f t="shared" si="4"/>
        <v>-2.9348087563146552E-2</v>
      </c>
      <c r="AM29" s="267">
        <f t="shared" si="5"/>
        <v>-0.26907208980246378</v>
      </c>
      <c r="AN29" s="267">
        <f t="shared" si="6"/>
        <v>6.5798396425864603E-2</v>
      </c>
      <c r="AO29" s="267" t="e">
        <f t="shared" si="7"/>
        <v>#REF!</v>
      </c>
      <c r="AP29" s="268" t="e">
        <f t="shared" si="10"/>
        <v>#REF!</v>
      </c>
      <c r="AQ29" s="267"/>
      <c r="AR29" s="269" t="e">
        <f t="shared" si="11"/>
        <v>#REF!</v>
      </c>
    </row>
    <row r="30" spans="1:44">
      <c r="A30" s="288" t="s">
        <v>41</v>
      </c>
      <c r="B30" s="414">
        <v>31109</v>
      </c>
      <c r="C30" s="289">
        <v>34909</v>
      </c>
      <c r="D30" s="289">
        <v>34166</v>
      </c>
      <c r="E30" s="289">
        <v>35379</v>
      </c>
      <c r="F30" s="289">
        <v>34912</v>
      </c>
      <c r="G30" s="289">
        <v>34189</v>
      </c>
      <c r="H30" s="289">
        <v>34596</v>
      </c>
      <c r="I30" s="289">
        <v>32786</v>
      </c>
      <c r="J30" s="289" t="e">
        <f>#REF!</f>
        <v>#REF!</v>
      </c>
      <c r="K30" s="289"/>
      <c r="L30" s="267">
        <v>0.12215114597061949</v>
      </c>
      <c r="M30" s="267">
        <v>-2.1283909593514561E-2</v>
      </c>
      <c r="N30" s="267">
        <v>3.5503131768424678E-2</v>
      </c>
      <c r="O30" s="267">
        <v>-1.3199920857005609E-2</v>
      </c>
      <c r="P30" s="267">
        <f t="shared" si="0"/>
        <v>-2.0709211732355626E-2</v>
      </c>
      <c r="Q30" s="267">
        <f t="shared" si="1"/>
        <v>1.1904413700313032E-2</v>
      </c>
      <c r="R30" s="267">
        <f t="shared" si="2"/>
        <v>-5.2318187073650102E-2</v>
      </c>
      <c r="S30" s="267" t="e">
        <f t="shared" si="3"/>
        <v>#REF!</v>
      </c>
      <c r="T30" s="268" t="e">
        <f t="shared" si="8"/>
        <v>#REF!</v>
      </c>
      <c r="U30" s="267"/>
      <c r="V30" s="269" t="e">
        <f t="shared" si="9"/>
        <v>#REF!</v>
      </c>
      <c r="W30" s="290"/>
      <c r="X30" s="291">
        <v>33465</v>
      </c>
      <c r="Y30" s="289">
        <v>35197</v>
      </c>
      <c r="Z30" s="289">
        <v>35541</v>
      </c>
      <c r="AA30" s="289">
        <v>34528</v>
      </c>
      <c r="AB30" s="289">
        <v>34370</v>
      </c>
      <c r="AC30" s="289">
        <v>34439</v>
      </c>
      <c r="AD30" s="289">
        <v>34392</v>
      </c>
      <c r="AE30" s="289">
        <v>33826</v>
      </c>
      <c r="AF30" s="289" t="e">
        <f>#REF!</f>
        <v>#REF!</v>
      </c>
      <c r="AG30" s="289"/>
      <c r="AH30" s="267">
        <v>5.1755565516210966E-2</v>
      </c>
      <c r="AI30" s="267">
        <v>9.7735602466120231E-3</v>
      </c>
      <c r="AJ30" s="267">
        <v>-2.8502293126248524E-2</v>
      </c>
      <c r="AK30" s="267">
        <v>-4.5759962928637599E-3</v>
      </c>
      <c r="AL30" s="267">
        <f t="shared" si="4"/>
        <v>2.0075647366890603E-3</v>
      </c>
      <c r="AM30" s="267">
        <f t="shared" si="5"/>
        <v>-1.3647318447109757E-3</v>
      </c>
      <c r="AN30" s="267">
        <f t="shared" si="6"/>
        <v>-1.6457315654803462E-2</v>
      </c>
      <c r="AO30" s="267" t="e">
        <f t="shared" si="7"/>
        <v>#REF!</v>
      </c>
      <c r="AP30" s="268" t="e">
        <f t="shared" si="10"/>
        <v>#REF!</v>
      </c>
      <c r="AQ30" s="267"/>
      <c r="AR30" s="269" t="e">
        <f t="shared" si="11"/>
        <v>#REF!</v>
      </c>
    </row>
    <row r="31" spans="1:44">
      <c r="A31" s="288" t="s">
        <v>42</v>
      </c>
      <c r="B31" s="414">
        <v>9961</v>
      </c>
      <c r="C31" s="289">
        <v>10307</v>
      </c>
      <c r="D31" s="289">
        <v>10963</v>
      </c>
      <c r="E31" s="289">
        <v>10704</v>
      </c>
      <c r="F31" s="289">
        <v>7631</v>
      </c>
      <c r="G31" s="289">
        <v>10100</v>
      </c>
      <c r="H31" s="289">
        <v>9782</v>
      </c>
      <c r="I31" s="289">
        <v>8127</v>
      </c>
      <c r="J31" s="289" t="e">
        <f>#REF!</f>
        <v>#REF!</v>
      </c>
      <c r="K31" s="289"/>
      <c r="L31" s="267">
        <v>3.473546832647334E-2</v>
      </c>
      <c r="M31" s="267">
        <v>6.3646065780537553E-2</v>
      </c>
      <c r="N31" s="267">
        <v>-2.3624920186080423E-2</v>
      </c>
      <c r="O31" s="267">
        <v>-0.28708893871449925</v>
      </c>
      <c r="P31" s="267">
        <f t="shared" si="0"/>
        <v>0.32354868300353812</v>
      </c>
      <c r="Q31" s="267">
        <f t="shared" si="1"/>
        <v>-3.1485148514851513E-2</v>
      </c>
      <c r="R31" s="267">
        <f t="shared" si="2"/>
        <v>-0.16918830505009197</v>
      </c>
      <c r="S31" s="267" t="e">
        <f t="shared" si="3"/>
        <v>#REF!</v>
      </c>
      <c r="T31" s="268" t="e">
        <f t="shared" si="8"/>
        <v>#REF!</v>
      </c>
      <c r="U31" s="267"/>
      <c r="V31" s="269" t="e">
        <f t="shared" si="9"/>
        <v>#REF!</v>
      </c>
      <c r="W31" s="290"/>
      <c r="X31" s="291">
        <v>9150</v>
      </c>
      <c r="Y31" s="289">
        <v>9853</v>
      </c>
      <c r="Z31" s="289">
        <v>9906</v>
      </c>
      <c r="AA31" s="289">
        <v>9962</v>
      </c>
      <c r="AB31" s="289">
        <v>8749</v>
      </c>
      <c r="AC31" s="289">
        <v>8868</v>
      </c>
      <c r="AD31" s="289">
        <v>10491</v>
      </c>
      <c r="AE31" s="289">
        <v>9707</v>
      </c>
      <c r="AF31" s="289" t="e">
        <f>#REF!</f>
        <v>#REF!</v>
      </c>
      <c r="AG31" s="289"/>
      <c r="AH31" s="267">
        <v>7.6830601092896078E-2</v>
      </c>
      <c r="AI31" s="267">
        <v>5.3790723637470172E-3</v>
      </c>
      <c r="AJ31" s="267">
        <v>5.6531395114072236E-3</v>
      </c>
      <c r="AK31" s="267">
        <v>-0.12176269825336283</v>
      </c>
      <c r="AL31" s="267">
        <f t="shared" si="4"/>
        <v>1.3601554463367194E-2</v>
      </c>
      <c r="AM31" s="267">
        <f t="shared" si="5"/>
        <v>0.18301759133964812</v>
      </c>
      <c r="AN31" s="267">
        <f t="shared" si="6"/>
        <v>-7.473072157087024E-2</v>
      </c>
      <c r="AO31" s="267" t="e">
        <f t="shared" si="7"/>
        <v>#REF!</v>
      </c>
      <c r="AP31" s="268" t="e">
        <f t="shared" si="10"/>
        <v>#REF!</v>
      </c>
      <c r="AQ31" s="267"/>
      <c r="AR31" s="269" t="e">
        <f t="shared" si="11"/>
        <v>#REF!</v>
      </c>
    </row>
    <row r="32" spans="1:44">
      <c r="A32" s="288" t="s">
        <v>43</v>
      </c>
      <c r="B32" s="414">
        <v>27095</v>
      </c>
      <c r="C32" s="289">
        <v>34031</v>
      </c>
      <c r="D32" s="289">
        <v>34368</v>
      </c>
      <c r="E32" s="289">
        <v>38922</v>
      </c>
      <c r="F32" s="289">
        <v>38197</v>
      </c>
      <c r="G32" s="289">
        <v>38546</v>
      </c>
      <c r="H32" s="289">
        <v>35038</v>
      </c>
      <c r="I32" s="289">
        <v>37050</v>
      </c>
      <c r="J32" s="289" t="e">
        <f>#REF!</f>
        <v>#REF!</v>
      </c>
      <c r="K32" s="289"/>
      <c r="L32" s="267">
        <v>0.25598818970289727</v>
      </c>
      <c r="M32" s="267">
        <v>9.9027357409420258E-3</v>
      </c>
      <c r="N32" s="267">
        <v>0.13250698324022347</v>
      </c>
      <c r="O32" s="267">
        <v>-1.8626997584913374E-2</v>
      </c>
      <c r="P32" s="267">
        <f t="shared" si="0"/>
        <v>9.1368432075817907E-3</v>
      </c>
      <c r="Q32" s="267">
        <f t="shared" si="1"/>
        <v>-9.1008146111139943E-2</v>
      </c>
      <c r="R32" s="267">
        <f t="shared" si="2"/>
        <v>5.7423368913750883E-2</v>
      </c>
      <c r="S32" s="267" t="e">
        <f t="shared" si="3"/>
        <v>#REF!</v>
      </c>
      <c r="T32" s="268" t="e">
        <f t="shared" si="8"/>
        <v>#REF!</v>
      </c>
      <c r="U32" s="267"/>
      <c r="V32" s="269" t="e">
        <f t="shared" si="9"/>
        <v>#REF!</v>
      </c>
      <c r="W32" s="290"/>
      <c r="X32" s="291">
        <v>26217</v>
      </c>
      <c r="Y32" s="289">
        <v>34546</v>
      </c>
      <c r="Z32" s="289">
        <v>35525</v>
      </c>
      <c r="AA32" s="289">
        <v>38069</v>
      </c>
      <c r="AB32" s="289">
        <v>39097</v>
      </c>
      <c r="AC32" s="289">
        <v>37292</v>
      </c>
      <c r="AD32" s="289">
        <v>39894</v>
      </c>
      <c r="AE32" s="289">
        <v>39646</v>
      </c>
      <c r="AF32" s="289" t="e">
        <f>#REF!</f>
        <v>#REF!</v>
      </c>
      <c r="AG32" s="289"/>
      <c r="AH32" s="267">
        <v>0.31769462562459472</v>
      </c>
      <c r="AI32" s="267">
        <v>2.8339026225901787E-2</v>
      </c>
      <c r="AJ32" s="267">
        <v>7.1611541168191462E-2</v>
      </c>
      <c r="AK32" s="267">
        <v>2.7003598728624345E-2</v>
      </c>
      <c r="AL32" s="267">
        <f t="shared" si="4"/>
        <v>-4.6167225106785725E-2</v>
      </c>
      <c r="AM32" s="267">
        <f t="shared" si="5"/>
        <v>6.9773678000643491E-2</v>
      </c>
      <c r="AN32" s="267">
        <f t="shared" si="6"/>
        <v>-6.2164736551862942E-3</v>
      </c>
      <c r="AO32" s="267" t="e">
        <f t="shared" si="7"/>
        <v>#REF!</v>
      </c>
      <c r="AP32" s="268" t="e">
        <f t="shared" si="10"/>
        <v>#REF!</v>
      </c>
      <c r="AQ32" s="267"/>
      <c r="AR32" s="269" t="e">
        <f t="shared" si="11"/>
        <v>#REF!</v>
      </c>
    </row>
    <row r="33" spans="1:44">
      <c r="A33" s="288" t="s">
        <v>44</v>
      </c>
      <c r="B33" s="414">
        <v>60618</v>
      </c>
      <c r="C33" s="289">
        <v>111534</v>
      </c>
      <c r="D33" s="289">
        <v>121401</v>
      </c>
      <c r="E33" s="289">
        <v>111353</v>
      </c>
      <c r="F33" s="289">
        <v>127454</v>
      </c>
      <c r="G33" s="289">
        <v>123314</v>
      </c>
      <c r="H33" s="289">
        <v>110264</v>
      </c>
      <c r="I33" s="289">
        <v>103279</v>
      </c>
      <c r="J33" s="289" t="e">
        <f>#REF!</f>
        <v>#REF!</v>
      </c>
      <c r="K33" s="289"/>
      <c r="L33" s="267">
        <v>0.83994853013956261</v>
      </c>
      <c r="M33" s="267">
        <v>8.8466297272580485E-2</v>
      </c>
      <c r="N33" s="267">
        <v>-8.2767028278185495E-2</v>
      </c>
      <c r="O33" s="267">
        <v>0.14459421838657249</v>
      </c>
      <c r="P33" s="267">
        <f t="shared" si="0"/>
        <v>-3.2482307342256767E-2</v>
      </c>
      <c r="Q33" s="267">
        <f t="shared" si="1"/>
        <v>-0.10582739997080626</v>
      </c>
      <c r="R33" s="267">
        <f t="shared" si="2"/>
        <v>-6.3347964884277741E-2</v>
      </c>
      <c r="S33" s="267" t="e">
        <f t="shared" si="3"/>
        <v>#REF!</v>
      </c>
      <c r="T33" s="268" t="e">
        <f t="shared" si="8"/>
        <v>#REF!</v>
      </c>
      <c r="U33" s="267"/>
      <c r="V33" s="269" t="e">
        <f t="shared" si="9"/>
        <v>#REF!</v>
      </c>
      <c r="W33" s="290"/>
      <c r="X33" s="291">
        <v>66373</v>
      </c>
      <c r="Y33" s="289">
        <v>114500</v>
      </c>
      <c r="Z33" s="289">
        <v>123560</v>
      </c>
      <c r="AA33" s="289">
        <v>121895</v>
      </c>
      <c r="AB33" s="289">
        <v>125335</v>
      </c>
      <c r="AC33" s="289">
        <v>118107</v>
      </c>
      <c r="AD33" s="289">
        <v>108246</v>
      </c>
      <c r="AE33" s="289">
        <v>104912</v>
      </c>
      <c r="AF33" s="289" t="e">
        <f>#REF!</f>
        <v>#REF!</v>
      </c>
      <c r="AG33" s="289"/>
      <c r="AH33" s="267">
        <v>0.7250990613653141</v>
      </c>
      <c r="AI33" s="267">
        <v>7.9126637554585155E-2</v>
      </c>
      <c r="AJ33" s="267">
        <v>-1.3475234703787642E-2</v>
      </c>
      <c r="AK33" s="267">
        <v>2.8221009885557313E-2</v>
      </c>
      <c r="AL33" s="267">
        <f t="shared" si="4"/>
        <v>-5.7669445885028092E-2</v>
      </c>
      <c r="AM33" s="267">
        <f t="shared" si="5"/>
        <v>-8.3492087683202487E-2</v>
      </c>
      <c r="AN33" s="267">
        <f t="shared" si="6"/>
        <v>-3.0800214326626385E-2</v>
      </c>
      <c r="AO33" s="267" t="e">
        <f t="shared" si="7"/>
        <v>#REF!</v>
      </c>
      <c r="AP33" s="268" t="e">
        <f t="shared" si="10"/>
        <v>#REF!</v>
      </c>
      <c r="AQ33" s="267"/>
      <c r="AR33" s="269" t="e">
        <f t="shared" si="11"/>
        <v>#REF!</v>
      </c>
    </row>
    <row r="34" spans="1:44">
      <c r="A34" s="288" t="s">
        <v>45</v>
      </c>
      <c r="B34" s="414">
        <v>30527</v>
      </c>
      <c r="C34" s="289">
        <v>36995</v>
      </c>
      <c r="D34" s="289">
        <v>36423</v>
      </c>
      <c r="E34" s="289">
        <v>40003</v>
      </c>
      <c r="F34" s="289">
        <v>36411</v>
      </c>
      <c r="G34" s="289">
        <v>35808</v>
      </c>
      <c r="H34" s="289">
        <v>31393</v>
      </c>
      <c r="I34" s="289">
        <v>32981</v>
      </c>
      <c r="J34" s="289" t="e">
        <f>#REF!</f>
        <v>#REF!</v>
      </c>
      <c r="K34" s="289"/>
      <c r="L34" s="267">
        <v>0.2118780096308186</v>
      </c>
      <c r="M34" s="267">
        <v>-1.5461548857953811E-2</v>
      </c>
      <c r="N34" s="267">
        <v>9.8289542322159029E-2</v>
      </c>
      <c r="O34" s="267">
        <v>-8.979326550508715E-2</v>
      </c>
      <c r="P34" s="267">
        <f t="shared" si="0"/>
        <v>-1.656092938947018E-2</v>
      </c>
      <c r="Q34" s="267">
        <f t="shared" si="1"/>
        <v>-0.12329647006255584</v>
      </c>
      <c r="R34" s="267">
        <f t="shared" si="2"/>
        <v>5.0584525212627129E-2</v>
      </c>
      <c r="S34" s="267" t="e">
        <f t="shared" si="3"/>
        <v>#REF!</v>
      </c>
      <c r="T34" s="268" t="e">
        <f t="shared" si="8"/>
        <v>#REF!</v>
      </c>
      <c r="U34" s="267"/>
      <c r="V34" s="269" t="e">
        <f t="shared" si="9"/>
        <v>#REF!</v>
      </c>
      <c r="W34" s="290"/>
      <c r="X34" s="291">
        <v>32106</v>
      </c>
      <c r="Y34" s="289">
        <v>37076</v>
      </c>
      <c r="Z34" s="289">
        <v>36989</v>
      </c>
      <c r="AA34" s="289">
        <v>39324</v>
      </c>
      <c r="AB34" s="289">
        <v>39757</v>
      </c>
      <c r="AC34" s="289">
        <v>34432</v>
      </c>
      <c r="AD34" s="289">
        <v>33412</v>
      </c>
      <c r="AE34" s="289">
        <v>32743</v>
      </c>
      <c r="AF34" s="289" t="e">
        <f>#REF!</f>
        <v>#REF!</v>
      </c>
      <c r="AG34" s="289"/>
      <c r="AH34" s="267">
        <v>0.1547997259079299</v>
      </c>
      <c r="AI34" s="267">
        <v>-2.346531448915723E-3</v>
      </c>
      <c r="AJ34" s="267">
        <v>6.3126875557598217E-2</v>
      </c>
      <c r="AK34" s="267">
        <v>1.1011087376665563E-2</v>
      </c>
      <c r="AL34" s="267">
        <f t="shared" si="4"/>
        <v>-0.13393867746560351</v>
      </c>
      <c r="AM34" s="267">
        <f t="shared" si="5"/>
        <v>-2.9623605947955434E-2</v>
      </c>
      <c r="AN34" s="267">
        <f t="shared" si="6"/>
        <v>-2.0022746318687945E-2</v>
      </c>
      <c r="AO34" s="267" t="e">
        <f t="shared" si="7"/>
        <v>#REF!</v>
      </c>
      <c r="AP34" s="268" t="e">
        <f t="shared" si="10"/>
        <v>#REF!</v>
      </c>
      <c r="AQ34" s="267"/>
      <c r="AR34" s="269" t="e">
        <f t="shared" si="11"/>
        <v>#REF!</v>
      </c>
    </row>
    <row r="35" spans="1:44">
      <c r="A35" s="288" t="s">
        <v>46</v>
      </c>
      <c r="B35" s="414">
        <v>23098</v>
      </c>
      <c r="C35" s="289">
        <v>30781</v>
      </c>
      <c r="D35" s="289">
        <v>33816</v>
      </c>
      <c r="E35" s="289">
        <v>30051</v>
      </c>
      <c r="F35" s="289">
        <v>22425</v>
      </c>
      <c r="G35" s="289">
        <v>16960</v>
      </c>
      <c r="H35" s="289">
        <v>20932</v>
      </c>
      <c r="I35" s="289">
        <v>22946</v>
      </c>
      <c r="J35" s="289" t="e">
        <f>#REF!</f>
        <v>#REF!</v>
      </c>
      <c r="K35" s="289"/>
      <c r="L35" s="267">
        <v>0.33262620140271881</v>
      </c>
      <c r="M35" s="267">
        <v>9.8599785582014876E-2</v>
      </c>
      <c r="N35" s="267">
        <v>-0.11133782824698368</v>
      </c>
      <c r="O35" s="267">
        <v>-0.25376859339123492</v>
      </c>
      <c r="P35" s="267">
        <f t="shared" si="0"/>
        <v>-0.24370122630992197</v>
      </c>
      <c r="Q35" s="267">
        <f t="shared" si="1"/>
        <v>0.23419811320754724</v>
      </c>
      <c r="R35" s="267">
        <f t="shared" si="2"/>
        <v>9.6216319510796788E-2</v>
      </c>
      <c r="S35" s="267" t="e">
        <f t="shared" si="3"/>
        <v>#REF!</v>
      </c>
      <c r="T35" s="268" t="e">
        <f t="shared" si="8"/>
        <v>#REF!</v>
      </c>
      <c r="U35" s="267"/>
      <c r="V35" s="269" t="e">
        <f t="shared" si="9"/>
        <v>#REF!</v>
      </c>
      <c r="W35" s="290"/>
      <c r="X35" s="291">
        <v>21244</v>
      </c>
      <c r="Y35" s="289">
        <v>29702</v>
      </c>
      <c r="Z35" s="289">
        <v>31132</v>
      </c>
      <c r="AA35" s="289">
        <v>21214</v>
      </c>
      <c r="AB35" s="289">
        <v>20274</v>
      </c>
      <c r="AC35" s="289">
        <v>15500</v>
      </c>
      <c r="AD35" s="289">
        <v>22093</v>
      </c>
      <c r="AE35" s="289">
        <v>21758</v>
      </c>
      <c r="AF35" s="289" t="e">
        <f>#REF!</f>
        <v>#REF!</v>
      </c>
      <c r="AG35" s="289"/>
      <c r="AH35" s="267">
        <v>0.39813594426661636</v>
      </c>
      <c r="AI35" s="267">
        <v>4.8144906066931448E-2</v>
      </c>
      <c r="AJ35" s="267">
        <v>-0.31857895413079784</v>
      </c>
      <c r="AK35" s="267">
        <v>-4.4310361082304128E-2</v>
      </c>
      <c r="AL35" s="267">
        <f t="shared" si="4"/>
        <v>-0.23547400611620795</v>
      </c>
      <c r="AM35" s="267">
        <f t="shared" si="5"/>
        <v>0.4253548387096775</v>
      </c>
      <c r="AN35" s="267">
        <f t="shared" si="6"/>
        <v>-1.5163173855972434E-2</v>
      </c>
      <c r="AO35" s="267" t="e">
        <f t="shared" si="7"/>
        <v>#REF!</v>
      </c>
      <c r="AP35" s="268" t="e">
        <f t="shared" si="10"/>
        <v>#REF!</v>
      </c>
      <c r="AQ35" s="267"/>
      <c r="AR35" s="269" t="e">
        <f t="shared" si="11"/>
        <v>#REF!</v>
      </c>
    </row>
    <row r="36" spans="1:44">
      <c r="A36" s="292" t="s">
        <v>47</v>
      </c>
      <c r="B36" s="415">
        <v>50971</v>
      </c>
      <c r="C36" s="293">
        <v>54407</v>
      </c>
      <c r="D36" s="293">
        <v>53897</v>
      </c>
      <c r="E36" s="293">
        <v>49970</v>
      </c>
      <c r="F36" s="293">
        <v>54627</v>
      </c>
      <c r="G36" s="293">
        <v>54594</v>
      </c>
      <c r="H36" s="293">
        <v>49762</v>
      </c>
      <c r="I36" s="293">
        <v>49448</v>
      </c>
      <c r="J36" s="293" t="e">
        <f>#REF!</f>
        <v>#REF!</v>
      </c>
      <c r="K36" s="293"/>
      <c r="L36" s="294">
        <v>6.7410880696866737E-2</v>
      </c>
      <c r="M36" s="294">
        <v>-9.3737938132960608E-3</v>
      </c>
      <c r="N36" s="294">
        <v>-7.2861198211403244E-2</v>
      </c>
      <c r="O36" s="294">
        <v>9.3195917550530361E-2</v>
      </c>
      <c r="P36" s="294">
        <f t="shared" si="0"/>
        <v>-6.0409687517160027E-4</v>
      </c>
      <c r="Q36" s="294">
        <f t="shared" si="1"/>
        <v>-8.8507894640436624E-2</v>
      </c>
      <c r="R36" s="294">
        <f t="shared" si="2"/>
        <v>-6.3100357702664533E-3</v>
      </c>
      <c r="S36" s="294" t="e">
        <f t="shared" si="3"/>
        <v>#REF!</v>
      </c>
      <c r="T36" s="416" t="e">
        <f t="shared" si="8"/>
        <v>#REF!</v>
      </c>
      <c r="U36" s="294"/>
      <c r="V36" s="295" t="e">
        <f t="shared" si="9"/>
        <v>#REF!</v>
      </c>
      <c r="W36" s="290"/>
      <c r="X36" s="296">
        <v>49991</v>
      </c>
      <c r="Y36" s="293">
        <v>56839</v>
      </c>
      <c r="Z36" s="293">
        <v>54966</v>
      </c>
      <c r="AA36" s="293">
        <v>54382</v>
      </c>
      <c r="AB36" s="293">
        <v>55591</v>
      </c>
      <c r="AC36" s="293">
        <v>52796</v>
      </c>
      <c r="AD36" s="293">
        <v>55160</v>
      </c>
      <c r="AE36" s="293">
        <v>54541</v>
      </c>
      <c r="AF36" s="293" t="e">
        <f>#REF!</f>
        <v>#REF!</v>
      </c>
      <c r="AG36" s="293"/>
      <c r="AH36" s="294">
        <v>0.13698465723830289</v>
      </c>
      <c r="AI36" s="294">
        <v>-3.295272612114919E-2</v>
      </c>
      <c r="AJ36" s="294">
        <v>-1.0624749845358994E-2</v>
      </c>
      <c r="AK36" s="294">
        <v>2.223162075686802E-2</v>
      </c>
      <c r="AL36" s="294">
        <f t="shared" si="4"/>
        <v>-5.0277922685326715E-2</v>
      </c>
      <c r="AM36" s="294">
        <f t="shared" si="5"/>
        <v>4.4776119402984982E-2</v>
      </c>
      <c r="AN36" s="294">
        <f t="shared" si="6"/>
        <v>-1.1221899927483681E-2</v>
      </c>
      <c r="AO36" s="294" t="e">
        <f t="shared" si="7"/>
        <v>#REF!</v>
      </c>
      <c r="AP36" s="416" t="e">
        <f t="shared" si="10"/>
        <v>#REF!</v>
      </c>
      <c r="AQ36" s="294"/>
      <c r="AR36" s="295" t="e">
        <f t="shared" si="11"/>
        <v>#REF!</v>
      </c>
    </row>
    <row r="37" spans="1:44">
      <c r="A37" s="314"/>
    </row>
    <row r="38" spans="1:44">
      <c r="A38" s="696"/>
      <c r="K38" s="298" t="s">
        <v>422</v>
      </c>
      <c r="L38" s="697">
        <f t="shared" ref="L38:S38" si="12">MAX(L7:L36)</f>
        <v>0.83994853013956261</v>
      </c>
      <c r="M38" s="697">
        <f t="shared" si="12"/>
        <v>0.1705611925682109</v>
      </c>
      <c r="N38" s="697">
        <f t="shared" si="12"/>
        <v>0.20737278605566489</v>
      </c>
      <c r="O38" s="697">
        <f t="shared" si="12"/>
        <v>0.14459421838657249</v>
      </c>
      <c r="P38" s="697">
        <f t="shared" si="12"/>
        <v>0.32354868300353812</v>
      </c>
      <c r="Q38" s="697">
        <f t="shared" si="12"/>
        <v>0.23419811320754724</v>
      </c>
      <c r="R38" s="697">
        <f t="shared" si="12"/>
        <v>0.19007403979639048</v>
      </c>
      <c r="S38" s="697" t="e">
        <f t="shared" si="12"/>
        <v>#REF!</v>
      </c>
      <c r="AG38" s="298" t="s">
        <v>422</v>
      </c>
      <c r="AH38" s="697">
        <f t="shared" ref="AH38:AO38" si="13">MAX(AH7:AH36)</f>
        <v>0.76485607214924012</v>
      </c>
      <c r="AI38" s="697">
        <f t="shared" si="13"/>
        <v>0.19508113438723362</v>
      </c>
      <c r="AJ38" s="697">
        <f t="shared" si="13"/>
        <v>0.1200248940520996</v>
      </c>
      <c r="AK38" s="697">
        <f t="shared" si="13"/>
        <v>8.0638267559481447E-2</v>
      </c>
      <c r="AL38" s="697">
        <f t="shared" si="13"/>
        <v>4.7591896968070868E-2</v>
      </c>
      <c r="AM38" s="697">
        <f t="shared" si="13"/>
        <v>0.4253548387096775</v>
      </c>
      <c r="AN38" s="697">
        <f t="shared" si="13"/>
        <v>0.21664302600472807</v>
      </c>
      <c r="AO38" s="697" t="e">
        <f t="shared" si="13"/>
        <v>#REF!</v>
      </c>
    </row>
    <row r="39" spans="1:44">
      <c r="K39" s="298" t="s">
        <v>423</v>
      </c>
      <c r="L39" s="697">
        <f t="shared" ref="L39:S39" si="14">MIN(L7:L36)</f>
        <v>-0.15886578449905486</v>
      </c>
      <c r="M39" s="697">
        <f t="shared" si="14"/>
        <v>-0.10744599080903394</v>
      </c>
      <c r="N39" s="697">
        <f t="shared" si="14"/>
        <v>-0.12725709372312988</v>
      </c>
      <c r="O39" s="697">
        <f t="shared" si="14"/>
        <v>-0.28708893871449925</v>
      </c>
      <c r="P39" s="697">
        <f t="shared" si="14"/>
        <v>-0.24370122630992197</v>
      </c>
      <c r="Q39" s="697">
        <f t="shared" si="14"/>
        <v>-0.17723205787169238</v>
      </c>
      <c r="R39" s="697">
        <f t="shared" si="14"/>
        <v>-0.35840143960410886</v>
      </c>
      <c r="S39" s="697" t="e">
        <f t="shared" si="14"/>
        <v>#REF!</v>
      </c>
      <c r="AG39" s="298" t="s">
        <v>423</v>
      </c>
      <c r="AH39" s="697">
        <f t="shared" ref="AH39:AO39" si="15">MIN(AH7:AH36)</f>
        <v>-0.1455197132616487</v>
      </c>
      <c r="AI39" s="697">
        <f t="shared" si="15"/>
        <v>-0.10858969448003486</v>
      </c>
      <c r="AJ39" s="697">
        <f t="shared" si="15"/>
        <v>-0.31857895413079784</v>
      </c>
      <c r="AK39" s="697">
        <f t="shared" si="15"/>
        <v>-0.31619744283255469</v>
      </c>
      <c r="AL39" s="697">
        <f t="shared" si="15"/>
        <v>-0.23547400611620795</v>
      </c>
      <c r="AM39" s="697">
        <f t="shared" si="15"/>
        <v>-0.26907208980246378</v>
      </c>
      <c r="AN39" s="697">
        <f t="shared" si="15"/>
        <v>-0.13188919776559738</v>
      </c>
      <c r="AO39" s="697" t="e">
        <f t="shared" si="15"/>
        <v>#REF!</v>
      </c>
    </row>
    <row r="40" spans="1:44">
      <c r="K40" s="298" t="s">
        <v>424</v>
      </c>
      <c r="L40" s="334">
        <f>ABS(L38-L39)</f>
        <v>0.99881431463861747</v>
      </c>
      <c r="M40" s="334">
        <f t="shared" ref="M40:S40" si="16">ABS(M38-M39)</f>
        <v>0.27800718337724484</v>
      </c>
      <c r="N40" s="334">
        <f t="shared" si="16"/>
        <v>0.33462987977879477</v>
      </c>
      <c r="O40" s="334">
        <f t="shared" si="16"/>
        <v>0.43168315710107175</v>
      </c>
      <c r="P40" s="334">
        <f t="shared" si="16"/>
        <v>0.56724990931346009</v>
      </c>
      <c r="Q40" s="334">
        <f t="shared" si="16"/>
        <v>0.41143017107923963</v>
      </c>
      <c r="R40" s="334">
        <f t="shared" si="16"/>
        <v>0.54847547940049934</v>
      </c>
      <c r="S40" s="334" t="e">
        <f t="shared" si="16"/>
        <v>#REF!</v>
      </c>
      <c r="AG40" s="298" t="s">
        <v>424</v>
      </c>
      <c r="AH40" s="334">
        <f>ABS(AH38-AH39)</f>
        <v>0.91037578541088882</v>
      </c>
      <c r="AI40" s="334">
        <f t="shared" ref="AI40:AO40" si="17">ABS(AI38-AI39)</f>
        <v>0.30367082886726848</v>
      </c>
      <c r="AJ40" s="334">
        <f t="shared" si="17"/>
        <v>0.43860384818289744</v>
      </c>
      <c r="AK40" s="334">
        <f t="shared" si="17"/>
        <v>0.39683571039203613</v>
      </c>
      <c r="AL40" s="334">
        <f t="shared" si="17"/>
        <v>0.28306590308427881</v>
      </c>
      <c r="AM40" s="334">
        <f t="shared" si="17"/>
        <v>0.69442692851214127</v>
      </c>
      <c r="AN40" s="334">
        <f t="shared" si="17"/>
        <v>0.34853222377032544</v>
      </c>
      <c r="AO40" s="334" t="e">
        <f t="shared" si="17"/>
        <v>#REF!</v>
      </c>
    </row>
    <row r="41" spans="1:44">
      <c r="K41" s="298" t="s">
        <v>425</v>
      </c>
      <c r="L41" s="334">
        <f t="array" ref="L41">_xlfn.STDEV.P(IF(C5:C36&lt;&gt;0,L5:L36,""))</f>
        <v>0.21982045218123616</v>
      </c>
      <c r="M41" s="334">
        <f t="array" ref="M41">_xlfn.STDEV.P(IF(D5:D36&lt;&gt;0,M5:M36,""))</f>
        <v>7.6469079956125507E-2</v>
      </c>
      <c r="N41" s="334">
        <f t="array" ref="N41">_xlfn.STDEV.P(IF(E5:E36&lt;&gt;0,N5:N36,""))</f>
        <v>7.408427797982263E-2</v>
      </c>
      <c r="O41" s="334">
        <f t="array" ref="O41">_xlfn.STDEV.P(IF(F5:F36&lt;&gt;0,O5:O36,""))</f>
        <v>9.0904155858052629E-2</v>
      </c>
      <c r="P41" s="334">
        <f t="array" ref="P41">_xlfn.STDEV.P(IF(G5:G36&lt;&gt;0,P5:P36,""))</f>
        <v>9.52611815186067E-2</v>
      </c>
      <c r="Q41" s="334">
        <f t="array" ref="Q41">_xlfn.STDEV.P(IF(H5:H36&lt;&gt;0,Q5:Q36,""))</f>
        <v>8.1817925132964223E-2</v>
      </c>
      <c r="R41" s="334">
        <f t="array" ref="R41">_xlfn.STDEV.P(IF(I5:I36&lt;&gt;0,R5:R36,""))</f>
        <v>0.11353161375108614</v>
      </c>
      <c r="S41" s="334" t="e">
        <f t="array" ref="S41">_xlfn.STDEV.P(IF(J5:J36&lt;&gt;0,S5:S36,""))</f>
        <v>#REF!</v>
      </c>
      <c r="AG41" s="298" t="s">
        <v>425</v>
      </c>
      <c r="AH41" s="334">
        <f t="array" ref="AH41">_xlfn.STDEV.P(IF(Y5:Y36&lt;&gt;0,AH5:AH36,""))</f>
        <v>0.20415656044907435</v>
      </c>
      <c r="AI41" s="334">
        <f t="array" ref="AI41">_xlfn.STDEV.P(IF(Z5:Z36&lt;&gt;0,AI5:AI36,""))</f>
        <v>6.5957816356630408E-2</v>
      </c>
      <c r="AJ41" s="334">
        <f t="array" ref="AJ41">_xlfn.STDEV.P(IF(AA5:AA36&lt;&gt;0,AJ5:AJ36,""))</f>
        <v>7.8750986696964051E-2</v>
      </c>
      <c r="AK41" s="334">
        <f t="array" ref="AK41">_xlfn.STDEV.P(IF(AB5:AB36&lt;&gt;0,AK5:AK36,""))</f>
        <v>7.375127032065211E-2</v>
      </c>
      <c r="AL41" s="334">
        <f t="array" ref="AL41">_xlfn.STDEV.P(IF(AC5:AC36&lt;&gt;0,AL5:AL36,""))</f>
        <v>6.7876205460428815E-2</v>
      </c>
      <c r="AM41" s="334">
        <f t="array" ref="AM41">_xlfn.STDEV.P(IF(AD5:AD36&lt;&gt;0,AM5:AM36,""))</f>
        <v>0.11197336022448015</v>
      </c>
      <c r="AN41" s="334">
        <f t="array" ref="AN41">_xlfn.STDEV.P(IF(AE5:AE36&lt;&gt;0,AN5:AN36,""))</f>
        <v>0.10305957811931146</v>
      </c>
      <c r="AO41" s="334" t="e">
        <f t="array" ref="AO41">_xlfn.STDEV.P(IF(AF5:AF36&lt;&gt;0,AO5:AO36,""))</f>
        <v>#REF!</v>
      </c>
    </row>
    <row r="42" spans="1:44">
      <c r="K42" s="298" t="s">
        <v>436</v>
      </c>
      <c r="L42" s="334">
        <f>L4</f>
        <v>0.19427495385780635</v>
      </c>
      <c r="M42" s="334">
        <f t="shared" ref="M42:R42" si="18">M4</f>
        <v>2.5645349436980824E-2</v>
      </c>
      <c r="N42" s="334">
        <f t="shared" si="18"/>
        <v>-6.6030619251636891E-3</v>
      </c>
      <c r="O42" s="334">
        <f t="shared" si="18"/>
        <v>-1.7146751366020507E-2</v>
      </c>
      <c r="P42" s="334">
        <f t="shared" si="18"/>
        <v>-1.1634886830766189E-2</v>
      </c>
      <c r="Q42" s="334">
        <f t="shared" si="18"/>
        <v>-3.3621342728055614E-2</v>
      </c>
      <c r="R42" s="334">
        <f t="shared" si="18"/>
        <v>-4.1074982751960754E-2</v>
      </c>
      <c r="S42" s="334" t="e">
        <f>SUMIF(J5:J36, "&lt;&gt;0")/SUMIF(J5:J36, "&lt;&gt;0", I5:I36)-1</f>
        <v>#REF!</v>
      </c>
      <c r="AG42" s="298" t="s">
        <v>436</v>
      </c>
      <c r="AH42" s="334">
        <f>AH4</f>
        <v>0.21421165582888113</v>
      </c>
      <c r="AI42" s="334">
        <f t="shared" ref="AI42:AN42" si="19">AI4</f>
        <v>7.151699010188528E-3</v>
      </c>
      <c r="AJ42" s="334">
        <f t="shared" si="19"/>
        <v>9.6129753368374704E-3</v>
      </c>
      <c r="AK42" s="334">
        <f t="shared" si="19"/>
        <v>-4.8244997978501902E-2</v>
      </c>
      <c r="AL42" s="334">
        <f t="shared" si="19"/>
        <v>-4.5536698544482945E-2</v>
      </c>
      <c r="AM42" s="334">
        <f t="shared" si="19"/>
        <v>-1.0780004389177589E-2</v>
      </c>
      <c r="AN42" s="334">
        <f t="shared" si="19"/>
        <v>-1.1503021889926801E-2</v>
      </c>
      <c r="AO42" s="334" t="e">
        <f>SUMIF(AF5:AF36, "&lt;&gt;0")/SUMIF(AF5:AF36, "&lt;&gt;0", AE5:AE36)-1</f>
        <v>#REF!</v>
      </c>
    </row>
  </sheetData>
  <conditionalFormatting sqref="T4:T36">
    <cfRule type="dataBar" priority="3">
      <dataBar showValue="0">
        <cfvo type="min"/>
        <cfvo type="max"/>
        <color rgb="FF638EC6"/>
      </dataBar>
      <extLst>
        <ext xmlns:x14="http://schemas.microsoft.com/office/spreadsheetml/2009/9/main" uri="{B025F937-C7B1-47D3-B67F-A62EFF666E3E}">
          <x14:id>{532CAB52-23EC-489C-8886-82EBD03760F0}</x14:id>
        </ext>
      </extLst>
    </cfRule>
  </conditionalFormatting>
  <conditionalFormatting sqref="AP4:AP36">
    <cfRule type="dataBar" priority="2">
      <dataBar showValue="0">
        <cfvo type="min"/>
        <cfvo type="max"/>
        <color rgb="FF638EC6"/>
      </dataBar>
      <extLst>
        <ext xmlns:x14="http://schemas.microsoft.com/office/spreadsheetml/2009/9/main" uri="{B025F937-C7B1-47D3-B67F-A62EFF666E3E}">
          <x14:id>{1C5BCF6A-CBCE-43AE-861F-6BD78A0A7712}</x14:id>
        </ext>
      </extLst>
    </cfRule>
  </conditionalFormatting>
  <conditionalFormatting sqref="S5:S36 AO5:AO36">
    <cfRule type="expression" dxfId="0" priority="1">
      <formula>IF(ABS(S5-S$42)&gt;S$41,TRUE,FALSE)</formula>
    </cfRule>
  </conditionalFormatting>
  <pageMargins left="0.7" right="0.7" top="0.75" bottom="0.75" header="0.3" footer="0.3"/>
  <ignoredErrors>
    <ignoredError sqref="L38:O40 AH38:AL40" formulaRange="1"/>
  </ignoredErrors>
  <extLst>
    <ext xmlns:x14="http://schemas.microsoft.com/office/spreadsheetml/2009/9/main" uri="{78C0D931-6437-407d-A8EE-F0AAD7539E65}">
      <x14:conditionalFormattings>
        <x14:conditionalFormatting xmlns:xm="http://schemas.microsoft.com/office/excel/2006/main">
          <x14:cfRule type="dataBar" id="{532CAB52-23EC-489C-8886-82EBD03760F0}">
            <x14:dataBar minLength="0" maxLength="100" border="1" gradient="0" negativeBarBorderColorSameAsPositive="0">
              <x14:cfvo type="autoMin"/>
              <x14:cfvo type="autoMax"/>
              <x14:borderColor rgb="FF638EC6"/>
              <x14:negativeFillColor rgb="FFFF0000"/>
              <x14:negativeBorderColor rgb="FFFF0000"/>
              <x14:axisColor rgb="FF000000"/>
            </x14:dataBar>
          </x14:cfRule>
          <xm:sqref>T4:T36</xm:sqref>
        </x14:conditionalFormatting>
        <x14:conditionalFormatting xmlns:xm="http://schemas.microsoft.com/office/excel/2006/main">
          <x14:cfRule type="dataBar" id="{1C5BCF6A-CBCE-43AE-861F-6BD78A0A7712}">
            <x14:dataBar minLength="0" maxLength="100" border="1" gradient="0" negativeBarBorderColorSameAsPositive="0">
              <x14:cfvo type="autoMin"/>
              <x14:cfvo type="autoMax"/>
              <x14:borderColor rgb="FF638EC6"/>
              <x14:negativeFillColor rgb="FFFF0000"/>
              <x14:negativeBorderColor rgb="FFFF0000"/>
              <x14:axisColor rgb="FF000000"/>
            </x14:dataBar>
          </x14:cfRule>
          <xm:sqref>AP4:AP36</xm:sqref>
        </x14:conditionalFormatting>
      </x14:conditionalFormattings>
    </ext>
    <ext xmlns:x14="http://schemas.microsoft.com/office/spreadsheetml/2009/9/main" uri="{05C60535-1F16-4fd2-B633-F4F36F0B64E0}">
      <x14:sparklineGroups xmlns:xm="http://schemas.microsoft.com/office/excel/2006/main">
        <x14:sparklineGroup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Other!B4:J4</xm:f>
              <xm:sqref>K4</xm:sqref>
            </x14:sparkline>
            <x14:sparkline>
              <xm:f>Other!B5:J5</xm:f>
              <xm:sqref>K5</xm:sqref>
            </x14:sparkline>
            <x14:sparkline>
              <xm:f>Other!B6:J6</xm:f>
              <xm:sqref>K6</xm:sqref>
            </x14:sparkline>
            <x14:sparkline>
              <xm:f>Other!B7:J7</xm:f>
              <xm:sqref>K7</xm:sqref>
            </x14:sparkline>
            <x14:sparkline>
              <xm:f>Other!B8:J8</xm:f>
              <xm:sqref>K8</xm:sqref>
            </x14:sparkline>
            <x14:sparkline>
              <xm:f>Other!B9:J9</xm:f>
              <xm:sqref>K9</xm:sqref>
            </x14:sparkline>
            <x14:sparkline>
              <xm:f>Other!B10:J10</xm:f>
              <xm:sqref>K10</xm:sqref>
            </x14:sparkline>
            <x14:sparkline>
              <xm:f>Other!B11:J11</xm:f>
              <xm:sqref>K11</xm:sqref>
            </x14:sparkline>
            <x14:sparkline>
              <xm:f>Other!B12:J12</xm:f>
              <xm:sqref>K12</xm:sqref>
            </x14:sparkline>
            <x14:sparkline>
              <xm:f>Other!B13:J13</xm:f>
              <xm:sqref>K13</xm:sqref>
            </x14:sparkline>
            <x14:sparkline>
              <xm:f>Other!B14:J14</xm:f>
              <xm:sqref>K14</xm:sqref>
            </x14:sparkline>
            <x14:sparkline>
              <xm:f>Other!B15:J15</xm:f>
              <xm:sqref>K15</xm:sqref>
            </x14:sparkline>
            <x14:sparkline>
              <xm:f>Other!B16:J16</xm:f>
              <xm:sqref>K16</xm:sqref>
            </x14:sparkline>
            <x14:sparkline>
              <xm:f>Other!B17:J17</xm:f>
              <xm:sqref>K17</xm:sqref>
            </x14:sparkline>
            <x14:sparkline>
              <xm:f>Other!B18:J18</xm:f>
              <xm:sqref>K18</xm:sqref>
            </x14:sparkline>
            <x14:sparkline>
              <xm:f>Other!B19:J19</xm:f>
              <xm:sqref>K19</xm:sqref>
            </x14:sparkline>
            <x14:sparkline>
              <xm:f>Other!B20:J20</xm:f>
              <xm:sqref>K20</xm:sqref>
            </x14:sparkline>
            <x14:sparkline>
              <xm:f>Other!B21:J21</xm:f>
              <xm:sqref>K21</xm:sqref>
            </x14:sparkline>
            <x14:sparkline>
              <xm:f>Other!B22:J22</xm:f>
              <xm:sqref>K22</xm:sqref>
            </x14:sparkline>
            <x14:sparkline>
              <xm:f>Other!B23:J23</xm:f>
              <xm:sqref>K23</xm:sqref>
            </x14:sparkline>
            <x14:sparkline>
              <xm:f>Other!B24:J24</xm:f>
              <xm:sqref>K24</xm:sqref>
            </x14:sparkline>
            <x14:sparkline>
              <xm:f>Other!B25:J25</xm:f>
              <xm:sqref>K25</xm:sqref>
            </x14:sparkline>
            <x14:sparkline>
              <xm:f>Other!B26:J26</xm:f>
              <xm:sqref>K26</xm:sqref>
            </x14:sparkline>
            <x14:sparkline>
              <xm:f>Other!B27:J27</xm:f>
              <xm:sqref>K27</xm:sqref>
            </x14:sparkline>
            <x14:sparkline>
              <xm:f>Other!B28:J28</xm:f>
              <xm:sqref>K28</xm:sqref>
            </x14:sparkline>
            <x14:sparkline>
              <xm:f>Other!B29:J29</xm:f>
              <xm:sqref>K29</xm:sqref>
            </x14:sparkline>
            <x14:sparkline>
              <xm:f>Other!B30:J30</xm:f>
              <xm:sqref>K30</xm:sqref>
            </x14:sparkline>
            <x14:sparkline>
              <xm:f>Other!B31:J31</xm:f>
              <xm:sqref>K31</xm:sqref>
            </x14:sparkline>
            <x14:sparkline>
              <xm:f>Other!B32:J32</xm:f>
              <xm:sqref>K32</xm:sqref>
            </x14:sparkline>
            <x14:sparkline>
              <xm:f>Other!B33:J33</xm:f>
              <xm:sqref>K33</xm:sqref>
            </x14:sparkline>
            <x14:sparkline>
              <xm:f>Other!B34:J34</xm:f>
              <xm:sqref>K34</xm:sqref>
            </x14:sparkline>
            <x14:sparkline>
              <xm:f>Other!B35:J35</xm:f>
              <xm:sqref>K35</xm:sqref>
            </x14:sparkline>
            <x14:sparkline>
              <xm:f>Other!B36:J36</xm:f>
              <xm:sqref>K36</xm:sqref>
            </x14:sparkline>
          </x14:sparklines>
        </x14:sparklineGroup>
        <x14:sparklineGroup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Other!X4:AF4</xm:f>
              <xm:sqref>AG4</xm:sqref>
            </x14:sparkline>
            <x14:sparkline>
              <xm:f>Other!X5:AF5</xm:f>
              <xm:sqref>AG5</xm:sqref>
            </x14:sparkline>
            <x14:sparkline>
              <xm:f>Other!X6:AF6</xm:f>
              <xm:sqref>AG6</xm:sqref>
            </x14:sparkline>
            <x14:sparkline>
              <xm:f>Other!X7:AF7</xm:f>
              <xm:sqref>AG7</xm:sqref>
            </x14:sparkline>
            <x14:sparkline>
              <xm:f>Other!X8:AF8</xm:f>
              <xm:sqref>AG8</xm:sqref>
            </x14:sparkline>
            <x14:sparkline>
              <xm:f>Other!X9:AF9</xm:f>
              <xm:sqref>AG9</xm:sqref>
            </x14:sparkline>
            <x14:sparkline>
              <xm:f>Other!X10:AF10</xm:f>
              <xm:sqref>AG10</xm:sqref>
            </x14:sparkline>
            <x14:sparkline>
              <xm:f>Other!X11:AF11</xm:f>
              <xm:sqref>AG11</xm:sqref>
            </x14:sparkline>
            <x14:sparkline>
              <xm:f>Other!X12:AF12</xm:f>
              <xm:sqref>AG12</xm:sqref>
            </x14:sparkline>
            <x14:sparkline>
              <xm:f>Other!X13:AF13</xm:f>
              <xm:sqref>AG13</xm:sqref>
            </x14:sparkline>
            <x14:sparkline>
              <xm:f>Other!X14:AF14</xm:f>
              <xm:sqref>AG14</xm:sqref>
            </x14:sparkline>
            <x14:sparkline>
              <xm:f>Other!X15:AF15</xm:f>
              <xm:sqref>AG15</xm:sqref>
            </x14:sparkline>
            <x14:sparkline>
              <xm:f>Other!X16:AF16</xm:f>
              <xm:sqref>AG16</xm:sqref>
            </x14:sparkline>
            <x14:sparkline>
              <xm:f>Other!X17:AF17</xm:f>
              <xm:sqref>AG17</xm:sqref>
            </x14:sparkline>
            <x14:sparkline>
              <xm:f>Other!X18:AF18</xm:f>
              <xm:sqref>AG18</xm:sqref>
            </x14:sparkline>
            <x14:sparkline>
              <xm:f>Other!X19:AF19</xm:f>
              <xm:sqref>AG19</xm:sqref>
            </x14:sparkline>
            <x14:sparkline>
              <xm:f>Other!X20:AF20</xm:f>
              <xm:sqref>AG20</xm:sqref>
            </x14:sparkline>
            <x14:sparkline>
              <xm:f>Other!X21:AF21</xm:f>
              <xm:sqref>AG21</xm:sqref>
            </x14:sparkline>
            <x14:sparkline>
              <xm:f>Other!X22:AF22</xm:f>
              <xm:sqref>AG22</xm:sqref>
            </x14:sparkline>
            <x14:sparkline>
              <xm:f>Other!X23:AF23</xm:f>
              <xm:sqref>AG23</xm:sqref>
            </x14:sparkline>
            <x14:sparkline>
              <xm:f>Other!X24:AF24</xm:f>
              <xm:sqref>AG24</xm:sqref>
            </x14:sparkline>
            <x14:sparkline>
              <xm:f>Other!X25:AF25</xm:f>
              <xm:sqref>AG25</xm:sqref>
            </x14:sparkline>
            <x14:sparkline>
              <xm:f>Other!X26:AF26</xm:f>
              <xm:sqref>AG26</xm:sqref>
            </x14:sparkline>
            <x14:sparkline>
              <xm:f>Other!X27:AF27</xm:f>
              <xm:sqref>AG27</xm:sqref>
            </x14:sparkline>
            <x14:sparkline>
              <xm:f>Other!X28:AF28</xm:f>
              <xm:sqref>AG28</xm:sqref>
            </x14:sparkline>
            <x14:sparkline>
              <xm:f>Other!X29:AF29</xm:f>
              <xm:sqref>AG29</xm:sqref>
            </x14:sparkline>
            <x14:sparkline>
              <xm:f>Other!X30:AF30</xm:f>
              <xm:sqref>AG30</xm:sqref>
            </x14:sparkline>
            <x14:sparkline>
              <xm:f>Other!X31:AF31</xm:f>
              <xm:sqref>AG31</xm:sqref>
            </x14:sparkline>
            <x14:sparkline>
              <xm:f>Other!X32:AF32</xm:f>
              <xm:sqref>AG32</xm:sqref>
            </x14:sparkline>
            <x14:sparkline>
              <xm:f>Other!X33:AF33</xm:f>
              <xm:sqref>AG33</xm:sqref>
            </x14:sparkline>
            <x14:sparkline>
              <xm:f>Other!X34:AF34</xm:f>
              <xm:sqref>AG34</xm:sqref>
            </x14:sparkline>
            <x14:sparkline>
              <xm:f>Other!X35:AF35</xm:f>
              <xm:sqref>AG35</xm:sqref>
            </x14:sparkline>
            <x14:sparkline>
              <xm:f>Other!X36:AF36</xm:f>
              <xm:sqref>AG36</xm:sqref>
            </x14:sparkline>
          </x14:sparklines>
        </x14:sparklineGroup>
      </x14:sparklineGroups>
    </ext>
  </extLs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P114"/>
  <sheetViews>
    <sheetView workbookViewId="0">
      <selection activeCell="Q41" sqref="Q41"/>
    </sheetView>
  </sheetViews>
  <sheetFormatPr defaultColWidth="9.140625" defaultRowHeight="12.75"/>
  <cols>
    <col min="1" max="1" width="9.140625" style="205"/>
    <col min="2" max="2" width="20.7109375" style="205" customWidth="1"/>
    <col min="3" max="3" width="15" style="205" customWidth="1"/>
    <col min="4" max="4" width="12.5703125" style="205" bestFit="1" customWidth="1"/>
    <col min="5" max="5" width="3.85546875" style="205" customWidth="1"/>
    <col min="6" max="6" width="13" style="205" bestFit="1" customWidth="1"/>
    <col min="7" max="7" width="15.42578125" style="205" customWidth="1"/>
    <col min="8" max="8" width="20.42578125" style="205" customWidth="1"/>
    <col min="9" max="9" width="16.85546875" style="205" customWidth="1"/>
    <col min="10" max="10" width="14" style="205" customWidth="1"/>
    <col min="11" max="11" width="13.28515625" style="205" customWidth="1"/>
    <col min="12" max="12" width="18.28515625" style="205" customWidth="1"/>
    <col min="13" max="13" width="15.5703125" style="205" customWidth="1"/>
    <col min="14" max="16" width="11.28515625" style="205" bestFit="1" customWidth="1"/>
    <col min="17" max="17" width="9.140625" style="205"/>
    <col min="18" max="18" width="12.85546875" style="205" bestFit="1" customWidth="1"/>
    <col min="19" max="16384" width="9.140625" style="205"/>
  </cols>
  <sheetData>
    <row r="1" spans="1:16">
      <c r="A1" s="205" t="s">
        <v>455</v>
      </c>
    </row>
    <row r="3" spans="1:16">
      <c r="J3" s="979" t="s">
        <v>331</v>
      </c>
      <c r="K3" s="980"/>
      <c r="M3" s="979" t="s">
        <v>381</v>
      </c>
      <c r="N3" s="980"/>
    </row>
    <row r="4" spans="1:16" ht="25.5">
      <c r="B4" s="311"/>
      <c r="C4" s="721" t="s">
        <v>437</v>
      </c>
      <c r="D4" s="722" t="s">
        <v>438</v>
      </c>
      <c r="E4" s="729"/>
      <c r="F4" s="723" t="s">
        <v>439</v>
      </c>
      <c r="G4" s="712" t="s">
        <v>441</v>
      </c>
      <c r="H4" s="713" t="s">
        <v>440</v>
      </c>
      <c r="I4" s="310"/>
      <c r="J4" s="723" t="s">
        <v>442</v>
      </c>
      <c r="K4" s="713" t="s">
        <v>443</v>
      </c>
      <c r="L4" s="312"/>
      <c r="M4" s="723" t="s">
        <v>442</v>
      </c>
      <c r="N4" s="713" t="s">
        <v>443</v>
      </c>
      <c r="O4" s="377"/>
      <c r="P4" s="377"/>
    </row>
    <row r="5" spans="1:16">
      <c r="B5" s="378" t="s">
        <v>251</v>
      </c>
      <c r="C5" s="388">
        <f>Scotland!F43</f>
        <v>6872934</v>
      </c>
      <c r="D5" s="389">
        <f>Scotland!H43</f>
        <v>6691389</v>
      </c>
      <c r="E5" s="730"/>
      <c r="F5" s="392">
        <v>6820710</v>
      </c>
      <c r="G5" s="376">
        <v>54087</v>
      </c>
      <c r="H5" s="393">
        <v>6619720</v>
      </c>
      <c r="I5" s="728"/>
      <c r="J5" s="392">
        <f t="shared" ref="J5:J37" si="0">F5-C5</f>
        <v>-52224</v>
      </c>
      <c r="K5" s="393">
        <f t="shared" ref="K5:K37" si="1">F5+G5-C5</f>
        <v>1863</v>
      </c>
      <c r="L5" s="728"/>
      <c r="M5" s="392">
        <f t="shared" ref="M5:M37" si="2">H5-D5</f>
        <v>-71669</v>
      </c>
      <c r="N5" s="393">
        <f t="shared" ref="N5:N37" si="3">H5+G5-D5</f>
        <v>-17582</v>
      </c>
      <c r="O5" s="380"/>
      <c r="P5" s="380"/>
    </row>
    <row r="6" spans="1:16">
      <c r="B6" s="381" t="s">
        <v>3</v>
      </c>
      <c r="C6" s="390">
        <f>'Aberdeen City'!F43</f>
        <v>94027.999999999985</v>
      </c>
      <c r="D6" s="391">
        <f>'Aberdeen City'!H43</f>
        <v>63399</v>
      </c>
      <c r="E6" s="379"/>
      <c r="F6" s="394">
        <v>92762</v>
      </c>
      <c r="G6" s="380">
        <v>1266</v>
      </c>
      <c r="H6" s="395">
        <v>61897</v>
      </c>
      <c r="I6" s="380"/>
      <c r="J6" s="394">
        <f t="shared" si="0"/>
        <v>-1265.9999999999854</v>
      </c>
      <c r="K6" s="395">
        <f t="shared" si="1"/>
        <v>0</v>
      </c>
      <c r="L6" s="380"/>
      <c r="M6" s="394">
        <f t="shared" si="2"/>
        <v>-1502</v>
      </c>
      <c r="N6" s="395">
        <f t="shared" si="3"/>
        <v>-236</v>
      </c>
      <c r="O6" s="380"/>
      <c r="P6" s="380"/>
    </row>
    <row r="7" spans="1:16">
      <c r="B7" s="381" t="s">
        <v>4</v>
      </c>
      <c r="C7" s="390">
        <f>Aberdeenshire!F43</f>
        <v>300724.99999999994</v>
      </c>
      <c r="D7" s="391">
        <f>Aberdeenshire!H43</f>
        <v>279278</v>
      </c>
      <c r="E7" s="379"/>
      <c r="F7" s="394">
        <v>297395</v>
      </c>
      <c r="G7" s="380">
        <v>1979</v>
      </c>
      <c r="H7" s="395">
        <v>283270</v>
      </c>
      <c r="I7" s="380"/>
      <c r="J7" s="394">
        <f t="shared" si="0"/>
        <v>-3329.9999999999418</v>
      </c>
      <c r="K7" s="395">
        <f t="shared" si="1"/>
        <v>-1350.9999999999418</v>
      </c>
      <c r="L7" s="380"/>
      <c r="M7" s="394">
        <f t="shared" si="2"/>
        <v>3992</v>
      </c>
      <c r="N7" s="395">
        <f t="shared" si="3"/>
        <v>5971</v>
      </c>
      <c r="O7" s="380"/>
      <c r="P7" s="380"/>
    </row>
    <row r="8" spans="1:16">
      <c r="B8" s="381" t="s">
        <v>5</v>
      </c>
      <c r="C8" s="390">
        <f>Angus!F43</f>
        <v>174775.99999999997</v>
      </c>
      <c r="D8" s="391">
        <f>Angus!H43</f>
        <v>176762</v>
      </c>
      <c r="E8" s="379"/>
      <c r="F8" s="394">
        <v>171099</v>
      </c>
      <c r="G8" s="380">
        <v>885</v>
      </c>
      <c r="H8" s="395">
        <v>171115</v>
      </c>
      <c r="I8" s="380"/>
      <c r="J8" s="394">
        <f t="shared" si="0"/>
        <v>-3676.9999999999709</v>
      </c>
      <c r="K8" s="395">
        <f t="shared" si="1"/>
        <v>-2791.9999999999709</v>
      </c>
      <c r="L8" s="380"/>
      <c r="M8" s="394">
        <f t="shared" si="2"/>
        <v>-5647</v>
      </c>
      <c r="N8" s="395">
        <f t="shared" si="3"/>
        <v>-4762</v>
      </c>
      <c r="O8" s="380"/>
      <c r="P8" s="380"/>
    </row>
    <row r="9" spans="1:16">
      <c r="B9" s="381" t="s">
        <v>6</v>
      </c>
      <c r="C9" s="390">
        <f>'Argyll &amp; Bute'!F43</f>
        <v>159108.99999999997</v>
      </c>
      <c r="D9" s="391">
        <f>'Argyll &amp; Bute'!H43</f>
        <v>157169</v>
      </c>
      <c r="E9" s="379"/>
      <c r="F9" s="394">
        <v>158627</v>
      </c>
      <c r="G9" s="380">
        <v>482</v>
      </c>
      <c r="H9" s="395">
        <v>155159</v>
      </c>
      <c r="I9" s="380"/>
      <c r="J9" s="394">
        <f t="shared" si="0"/>
        <v>-481.9999999999709</v>
      </c>
      <c r="K9" s="395">
        <f t="shared" si="1"/>
        <v>0</v>
      </c>
      <c r="L9" s="380"/>
      <c r="M9" s="394">
        <f t="shared" si="2"/>
        <v>-2010</v>
      </c>
      <c r="N9" s="395">
        <f t="shared" si="3"/>
        <v>-1528</v>
      </c>
      <c r="O9" s="380"/>
      <c r="P9" s="380"/>
    </row>
    <row r="10" spans="1:16">
      <c r="B10" s="381" t="s">
        <v>8</v>
      </c>
      <c r="C10" s="390">
        <f>Clackmannanshire!F43</f>
        <v>77472.000000000015</v>
      </c>
      <c r="D10" s="391">
        <f>Clackmannanshire!H43</f>
        <v>77926</v>
      </c>
      <c r="E10" s="379"/>
      <c r="F10" s="394">
        <v>76850</v>
      </c>
      <c r="G10" s="380">
        <v>622</v>
      </c>
      <c r="H10" s="395">
        <v>74726</v>
      </c>
      <c r="I10" s="380"/>
      <c r="J10" s="394">
        <f t="shared" si="0"/>
        <v>-622.00000000001455</v>
      </c>
      <c r="K10" s="395">
        <f t="shared" si="1"/>
        <v>0</v>
      </c>
      <c r="L10" s="380"/>
      <c r="M10" s="394">
        <f t="shared" si="2"/>
        <v>-3200</v>
      </c>
      <c r="N10" s="395">
        <f t="shared" si="3"/>
        <v>-2578</v>
      </c>
      <c r="O10" s="380"/>
      <c r="P10" s="380"/>
    </row>
    <row r="11" spans="1:16">
      <c r="B11" s="381" t="s">
        <v>9</v>
      </c>
      <c r="C11" s="390">
        <f>'Dumfries &amp; Galloway'!F43</f>
        <v>235765.00000000003</v>
      </c>
      <c r="D11" s="391">
        <f>'Dumfries &amp; Galloway'!H43</f>
        <v>226039</v>
      </c>
      <c r="E11" s="379"/>
      <c r="F11" s="394">
        <v>234449</v>
      </c>
      <c r="G11" s="380">
        <v>1316</v>
      </c>
      <c r="H11" s="395">
        <v>227196</v>
      </c>
      <c r="I11" s="380"/>
      <c r="J11" s="394">
        <f t="shared" si="0"/>
        <v>-1316.0000000000291</v>
      </c>
      <c r="K11" s="395">
        <f t="shared" si="1"/>
        <v>0</v>
      </c>
      <c r="L11" s="380"/>
      <c r="M11" s="394">
        <f t="shared" si="2"/>
        <v>1157</v>
      </c>
      <c r="N11" s="395">
        <f t="shared" si="3"/>
        <v>2473</v>
      </c>
      <c r="O11" s="380"/>
      <c r="P11" s="380"/>
    </row>
    <row r="12" spans="1:16">
      <c r="B12" s="381" t="s">
        <v>11</v>
      </c>
      <c r="C12" s="390">
        <f>'Dundee City'!F43</f>
        <v>232528</v>
      </c>
      <c r="D12" s="391">
        <f>'Dundee City'!H43</f>
        <v>220963</v>
      </c>
      <c r="E12" s="379"/>
      <c r="F12" s="394">
        <v>231008</v>
      </c>
      <c r="G12" s="380">
        <v>3774</v>
      </c>
      <c r="H12" s="395">
        <v>221942</v>
      </c>
      <c r="I12" s="380"/>
      <c r="J12" s="394">
        <f t="shared" si="0"/>
        <v>-1520</v>
      </c>
      <c r="K12" s="395">
        <f t="shared" si="1"/>
        <v>2254</v>
      </c>
      <c r="L12" s="380"/>
      <c r="M12" s="394">
        <f t="shared" si="2"/>
        <v>979</v>
      </c>
      <c r="N12" s="395">
        <f t="shared" si="3"/>
        <v>4753</v>
      </c>
      <c r="O12" s="380"/>
      <c r="P12" s="380"/>
    </row>
    <row r="13" spans="1:16">
      <c r="B13" s="381" t="s">
        <v>13</v>
      </c>
      <c r="C13" s="390">
        <f>'East Ayrshire'!F43</f>
        <v>195373.99999999997</v>
      </c>
      <c r="D13" s="391">
        <f>'East Ayrshire'!H43</f>
        <v>200626</v>
      </c>
      <c r="E13" s="382"/>
      <c r="F13" s="394">
        <v>193968</v>
      </c>
      <c r="G13" s="380">
        <v>1156</v>
      </c>
      <c r="H13" s="395">
        <v>195112</v>
      </c>
      <c r="I13" s="380"/>
      <c r="J13" s="394">
        <f t="shared" si="0"/>
        <v>-1405.9999999999709</v>
      </c>
      <c r="K13" s="395">
        <f t="shared" si="1"/>
        <v>-249.9999999999709</v>
      </c>
      <c r="L13" s="380"/>
      <c r="M13" s="394">
        <f t="shared" si="2"/>
        <v>-5514</v>
      </c>
      <c r="N13" s="395">
        <f t="shared" si="3"/>
        <v>-4358</v>
      </c>
      <c r="O13" s="380"/>
      <c r="P13" s="380"/>
    </row>
    <row r="14" spans="1:16">
      <c r="B14" s="381" t="s">
        <v>16</v>
      </c>
      <c r="C14" s="390">
        <f>'East Dunbartonshire'!F43</f>
        <v>159514.00000000003</v>
      </c>
      <c r="D14" s="391">
        <f>'East Dunbartonshire'!H43</f>
        <v>158945</v>
      </c>
      <c r="E14" s="379"/>
      <c r="F14" s="394">
        <v>158681</v>
      </c>
      <c r="G14" s="380">
        <v>2799</v>
      </c>
      <c r="H14" s="395">
        <v>158282</v>
      </c>
      <c r="I14" s="380"/>
      <c r="J14" s="394">
        <f t="shared" si="0"/>
        <v>-833.0000000000291</v>
      </c>
      <c r="K14" s="395">
        <f t="shared" si="1"/>
        <v>1965.9999999999709</v>
      </c>
      <c r="L14" s="380"/>
      <c r="M14" s="394">
        <f t="shared" si="2"/>
        <v>-663</v>
      </c>
      <c r="N14" s="395">
        <f t="shared" si="3"/>
        <v>2136</v>
      </c>
      <c r="O14" s="380"/>
      <c r="P14" s="380"/>
    </row>
    <row r="15" spans="1:16">
      <c r="B15" s="381" t="s">
        <v>19</v>
      </c>
      <c r="C15" s="390">
        <f>'East Lothian'!F43</f>
        <v>145184.00000000006</v>
      </c>
      <c r="D15" s="391">
        <f>'East Lothian'!H43</f>
        <v>143537</v>
      </c>
      <c r="E15" s="382"/>
      <c r="F15" s="394">
        <v>144112</v>
      </c>
      <c r="G15" s="380">
        <v>1072</v>
      </c>
      <c r="H15" s="395">
        <v>142565</v>
      </c>
      <c r="I15" s="380"/>
      <c r="J15" s="394">
        <f t="shared" si="0"/>
        <v>-1072.0000000000582</v>
      </c>
      <c r="K15" s="395">
        <f t="shared" si="1"/>
        <v>0</v>
      </c>
      <c r="L15" s="380"/>
      <c r="M15" s="394">
        <f t="shared" si="2"/>
        <v>-972</v>
      </c>
      <c r="N15" s="395">
        <f t="shared" si="3"/>
        <v>100</v>
      </c>
      <c r="O15" s="380"/>
      <c r="P15" s="380"/>
    </row>
    <row r="16" spans="1:16">
      <c r="B16" s="381" t="s">
        <v>22</v>
      </c>
      <c r="C16" s="390">
        <f>'East Renfrewshire'!F43</f>
        <v>162679.99999999997</v>
      </c>
      <c r="D16" s="391">
        <f>'East Renfrewshire'!H43</f>
        <v>161290</v>
      </c>
      <c r="E16" s="382"/>
      <c r="F16" s="394">
        <v>160458</v>
      </c>
      <c r="G16" s="380">
        <v>2222</v>
      </c>
      <c r="H16" s="395">
        <v>159190</v>
      </c>
      <c r="I16" s="380"/>
      <c r="J16" s="394">
        <f t="shared" si="0"/>
        <v>-2221.9999999999709</v>
      </c>
      <c r="K16" s="395">
        <f t="shared" si="1"/>
        <v>0</v>
      </c>
      <c r="L16" s="380"/>
      <c r="M16" s="394">
        <f t="shared" si="2"/>
        <v>-2100</v>
      </c>
      <c r="N16" s="395">
        <f t="shared" si="3"/>
        <v>122</v>
      </c>
      <c r="O16" s="380"/>
      <c r="P16" s="380"/>
    </row>
    <row r="17" spans="2:16">
      <c r="B17" s="381" t="s">
        <v>25</v>
      </c>
      <c r="C17" s="390">
        <f>'Edinburgh, City of'!F43</f>
        <v>360928</v>
      </c>
      <c r="D17" s="391">
        <f>'Edinburgh, City of'!H43</f>
        <v>338679</v>
      </c>
      <c r="E17" s="382"/>
      <c r="F17" s="394">
        <v>360822</v>
      </c>
      <c r="G17" s="380">
        <v>2280</v>
      </c>
      <c r="H17" s="395">
        <v>338837</v>
      </c>
      <c r="I17" s="380"/>
      <c r="J17" s="394">
        <f t="shared" si="0"/>
        <v>-106</v>
      </c>
      <c r="K17" s="395">
        <f t="shared" si="1"/>
        <v>2174</v>
      </c>
      <c r="L17" s="380"/>
      <c r="M17" s="394">
        <f t="shared" si="2"/>
        <v>158</v>
      </c>
      <c r="N17" s="395">
        <f t="shared" si="3"/>
        <v>2438</v>
      </c>
      <c r="O17" s="380"/>
      <c r="P17" s="380"/>
    </row>
    <row r="18" spans="2:16">
      <c r="B18" s="381" t="s">
        <v>26</v>
      </c>
      <c r="C18" s="390">
        <f>'Eilean Siar'!F43</f>
        <v>86515</v>
      </c>
      <c r="D18" s="391">
        <f>'Eilean Siar'!H43</f>
        <v>84793</v>
      </c>
      <c r="E18" s="379"/>
      <c r="F18" s="394">
        <v>86194</v>
      </c>
      <c r="G18" s="380">
        <v>321</v>
      </c>
      <c r="H18" s="395">
        <v>84626</v>
      </c>
      <c r="I18" s="380"/>
      <c r="J18" s="394">
        <f t="shared" si="0"/>
        <v>-321</v>
      </c>
      <c r="K18" s="395">
        <f t="shared" si="1"/>
        <v>0</v>
      </c>
      <c r="L18" s="380"/>
      <c r="M18" s="394">
        <f t="shared" si="2"/>
        <v>-167</v>
      </c>
      <c r="N18" s="395">
        <f t="shared" si="3"/>
        <v>154</v>
      </c>
      <c r="O18" s="380"/>
      <c r="P18" s="380"/>
    </row>
    <row r="19" spans="2:16">
      <c r="B19" s="381" t="s">
        <v>28</v>
      </c>
      <c r="C19" s="390">
        <f>Falkirk!F43</f>
        <v>207093.99999999994</v>
      </c>
      <c r="D19" s="391">
        <f>Falkirk!H43</f>
        <v>202700</v>
      </c>
      <c r="E19" s="379"/>
      <c r="F19" s="394">
        <v>205167</v>
      </c>
      <c r="G19" s="380">
        <v>1927</v>
      </c>
      <c r="H19" s="395">
        <v>201354</v>
      </c>
      <c r="I19" s="380"/>
      <c r="J19" s="394">
        <f t="shared" si="0"/>
        <v>-1926.9999999999418</v>
      </c>
      <c r="K19" s="395">
        <f t="shared" si="1"/>
        <v>0</v>
      </c>
      <c r="L19" s="380"/>
      <c r="M19" s="394">
        <f t="shared" si="2"/>
        <v>-1346</v>
      </c>
      <c r="N19" s="395">
        <f t="shared" si="3"/>
        <v>581</v>
      </c>
      <c r="O19" s="380"/>
      <c r="P19" s="380"/>
    </row>
    <row r="20" spans="2:16">
      <c r="B20" s="381" t="s">
        <v>29</v>
      </c>
      <c r="C20" s="390">
        <f>Fife!F43</f>
        <v>467621.99999999983</v>
      </c>
      <c r="D20" s="391">
        <f>Fife!H43</f>
        <v>461753</v>
      </c>
      <c r="E20" s="379"/>
      <c r="F20" s="394">
        <v>463534</v>
      </c>
      <c r="G20" s="380">
        <v>4088</v>
      </c>
      <c r="H20" s="395">
        <v>459377</v>
      </c>
      <c r="I20" s="380"/>
      <c r="J20" s="394">
        <f t="shared" si="0"/>
        <v>-4087.9999999998254</v>
      </c>
      <c r="K20" s="395">
        <f t="shared" si="1"/>
        <v>0</v>
      </c>
      <c r="L20" s="380"/>
      <c r="M20" s="394">
        <f t="shared" si="2"/>
        <v>-2376</v>
      </c>
      <c r="N20" s="395">
        <f t="shared" si="3"/>
        <v>1712</v>
      </c>
      <c r="O20" s="380"/>
      <c r="P20" s="380"/>
    </row>
    <row r="21" spans="2:16">
      <c r="B21" s="381" t="s">
        <v>31</v>
      </c>
      <c r="C21" s="390">
        <f>'Glasgow City'!F43</f>
        <v>868812</v>
      </c>
      <c r="D21" s="391">
        <f>'Glasgow City'!H43</f>
        <v>871105</v>
      </c>
      <c r="E21" s="379"/>
      <c r="F21" s="394">
        <v>864827</v>
      </c>
      <c r="G21" s="380">
        <v>5140</v>
      </c>
      <c r="H21" s="395">
        <v>846295</v>
      </c>
      <c r="I21" s="380"/>
      <c r="J21" s="394">
        <f t="shared" si="0"/>
        <v>-3985</v>
      </c>
      <c r="K21" s="395">
        <f t="shared" si="1"/>
        <v>1155</v>
      </c>
      <c r="L21" s="380"/>
      <c r="M21" s="394">
        <f t="shared" si="2"/>
        <v>-24810</v>
      </c>
      <c r="N21" s="395">
        <f t="shared" si="3"/>
        <v>-19670</v>
      </c>
      <c r="O21" s="380"/>
      <c r="P21" s="380"/>
    </row>
    <row r="22" spans="2:16">
      <c r="B22" s="381" t="s">
        <v>32</v>
      </c>
      <c r="C22" s="390">
        <f>Highland!F43</f>
        <v>310402.00000000006</v>
      </c>
      <c r="D22" s="391">
        <f>Highland!H43</f>
        <v>292198</v>
      </c>
      <c r="E22" s="379"/>
      <c r="F22" s="394">
        <v>308220</v>
      </c>
      <c r="G22" s="380">
        <v>2182</v>
      </c>
      <c r="H22" s="395">
        <v>292031</v>
      </c>
      <c r="I22" s="380"/>
      <c r="J22" s="394">
        <f t="shared" si="0"/>
        <v>-2182.0000000000582</v>
      </c>
      <c r="K22" s="395">
        <f t="shared" si="1"/>
        <v>0</v>
      </c>
      <c r="L22" s="380"/>
      <c r="M22" s="394">
        <f t="shared" si="2"/>
        <v>-167</v>
      </c>
      <c r="N22" s="395">
        <f t="shared" si="3"/>
        <v>2015</v>
      </c>
      <c r="O22" s="380"/>
      <c r="P22" s="380"/>
    </row>
    <row r="23" spans="2:16">
      <c r="B23" s="381" t="s">
        <v>33</v>
      </c>
      <c r="C23" s="390">
        <f>Inverclyde!F43</f>
        <v>142616</v>
      </c>
      <c r="D23" s="391">
        <f>Inverclyde!H43</f>
        <v>140741</v>
      </c>
      <c r="E23" s="379"/>
      <c r="F23" s="394">
        <v>141667</v>
      </c>
      <c r="G23" s="380">
        <v>949</v>
      </c>
      <c r="H23" s="395">
        <v>140225</v>
      </c>
      <c r="I23" s="380"/>
      <c r="J23" s="394">
        <f t="shared" si="0"/>
        <v>-949</v>
      </c>
      <c r="K23" s="395">
        <f t="shared" si="1"/>
        <v>0</v>
      </c>
      <c r="L23" s="380"/>
      <c r="M23" s="394">
        <f t="shared" si="2"/>
        <v>-516</v>
      </c>
      <c r="N23" s="395">
        <f t="shared" si="3"/>
        <v>433</v>
      </c>
      <c r="O23" s="380"/>
      <c r="P23" s="380"/>
    </row>
    <row r="24" spans="2:16">
      <c r="B24" s="381" t="s">
        <v>34</v>
      </c>
      <c r="C24" s="390">
        <f>Midlothian!F43</f>
        <v>126301.00000000001</v>
      </c>
      <c r="D24" s="391">
        <f>Midlothian!H43</f>
        <v>125798</v>
      </c>
      <c r="E24" s="379"/>
      <c r="F24" s="394">
        <v>125530</v>
      </c>
      <c r="G24" s="380">
        <v>771</v>
      </c>
      <c r="H24" s="395">
        <v>123164</v>
      </c>
      <c r="I24" s="380"/>
      <c r="J24" s="394">
        <f t="shared" si="0"/>
        <v>-771.00000000001455</v>
      </c>
      <c r="K24" s="395">
        <f t="shared" si="1"/>
        <v>0</v>
      </c>
      <c r="L24" s="380"/>
      <c r="M24" s="394">
        <f t="shared" si="2"/>
        <v>-2634</v>
      </c>
      <c r="N24" s="395">
        <f t="shared" si="3"/>
        <v>-1863</v>
      </c>
      <c r="O24" s="380"/>
      <c r="P24" s="380"/>
    </row>
    <row r="25" spans="2:16">
      <c r="B25" s="381" t="s">
        <v>35</v>
      </c>
      <c r="C25" s="390">
        <f>Moray!F43</f>
        <v>117593.99999999994</v>
      </c>
      <c r="D25" s="391">
        <f>Moray!H43</f>
        <v>115869</v>
      </c>
      <c r="E25" s="379"/>
      <c r="F25" s="394">
        <v>114762</v>
      </c>
      <c r="G25" s="380">
        <v>636</v>
      </c>
      <c r="H25" s="395">
        <v>111351</v>
      </c>
      <c r="I25" s="380"/>
      <c r="J25" s="394">
        <f t="shared" si="0"/>
        <v>-2831.9999999999418</v>
      </c>
      <c r="K25" s="395">
        <f t="shared" si="1"/>
        <v>-2195.9999999999418</v>
      </c>
      <c r="L25" s="380"/>
      <c r="M25" s="394">
        <f t="shared" si="2"/>
        <v>-4518</v>
      </c>
      <c r="N25" s="395">
        <f t="shared" si="3"/>
        <v>-3882</v>
      </c>
      <c r="O25" s="380"/>
      <c r="P25" s="380"/>
    </row>
    <row r="26" spans="2:16">
      <c r="B26" s="381" t="s">
        <v>36</v>
      </c>
      <c r="C26" s="390">
        <f>'North Ayrshire'!F43</f>
        <v>228714.99999999997</v>
      </c>
      <c r="D26" s="391">
        <f>'North Ayrshire'!H43</f>
        <v>222589</v>
      </c>
      <c r="E26" s="379"/>
      <c r="F26" s="394">
        <v>225973</v>
      </c>
      <c r="G26" s="380">
        <v>1851</v>
      </c>
      <c r="H26" s="395">
        <v>224928</v>
      </c>
      <c r="I26" s="380"/>
      <c r="J26" s="394">
        <f t="shared" si="0"/>
        <v>-2741.9999999999709</v>
      </c>
      <c r="K26" s="395">
        <f t="shared" si="1"/>
        <v>-890.9999999999709</v>
      </c>
      <c r="L26" s="380"/>
      <c r="M26" s="394">
        <f t="shared" si="2"/>
        <v>2339</v>
      </c>
      <c r="N26" s="395">
        <f t="shared" si="3"/>
        <v>4190</v>
      </c>
      <c r="O26" s="380"/>
      <c r="P26" s="380"/>
    </row>
    <row r="27" spans="2:16">
      <c r="B27" s="381" t="s">
        <v>37</v>
      </c>
      <c r="C27" s="390">
        <f>'North Lanarkshire'!F43</f>
        <v>496236.99999999988</v>
      </c>
      <c r="D27" s="391">
        <f>'North Lanarkshire'!H43</f>
        <v>491075</v>
      </c>
      <c r="E27" s="379"/>
      <c r="F27" s="394">
        <v>491636</v>
      </c>
      <c r="G27" s="380">
        <v>4601</v>
      </c>
      <c r="H27" s="395">
        <v>488752</v>
      </c>
      <c r="I27" s="380"/>
      <c r="J27" s="394">
        <f t="shared" si="0"/>
        <v>-4600.9999999998836</v>
      </c>
      <c r="K27" s="395">
        <f t="shared" si="1"/>
        <v>0</v>
      </c>
      <c r="L27" s="380"/>
      <c r="M27" s="394">
        <f t="shared" si="2"/>
        <v>-2323</v>
      </c>
      <c r="N27" s="395">
        <f t="shared" si="3"/>
        <v>2278</v>
      </c>
      <c r="O27" s="380"/>
      <c r="P27" s="380"/>
    </row>
    <row r="28" spans="2:16">
      <c r="B28" s="381" t="s">
        <v>38</v>
      </c>
      <c r="C28" s="390">
        <f>'Orkney Islands'!F43</f>
        <v>59296</v>
      </c>
      <c r="D28" s="391">
        <f>'Orkney Islands'!H43</f>
        <v>58359</v>
      </c>
      <c r="E28" s="379"/>
      <c r="F28" s="394">
        <v>59056</v>
      </c>
      <c r="G28" s="380">
        <v>240</v>
      </c>
      <c r="H28" s="395">
        <v>57704</v>
      </c>
      <c r="I28" s="380"/>
      <c r="J28" s="394">
        <f t="shared" si="0"/>
        <v>-240</v>
      </c>
      <c r="K28" s="395">
        <f t="shared" si="1"/>
        <v>0</v>
      </c>
      <c r="L28" s="380"/>
      <c r="M28" s="394">
        <f t="shared" si="2"/>
        <v>-655</v>
      </c>
      <c r="N28" s="395">
        <f t="shared" si="3"/>
        <v>-415</v>
      </c>
      <c r="O28" s="380"/>
      <c r="P28" s="380"/>
    </row>
    <row r="29" spans="2:16">
      <c r="B29" s="381" t="s">
        <v>39</v>
      </c>
      <c r="C29" s="390">
        <f>'Perth &amp; Kinross'!F43</f>
        <v>191653.99999999994</v>
      </c>
      <c r="D29" s="391">
        <f>'Perth &amp; Kinross'!H43</f>
        <v>187820</v>
      </c>
      <c r="E29" s="379"/>
      <c r="F29" s="394">
        <v>190432</v>
      </c>
      <c r="G29" s="380">
        <v>1222</v>
      </c>
      <c r="H29" s="395">
        <v>186872</v>
      </c>
      <c r="I29" s="380"/>
      <c r="J29" s="394">
        <f t="shared" si="0"/>
        <v>-1221.9999999999418</v>
      </c>
      <c r="K29" s="395">
        <f t="shared" si="1"/>
        <v>0</v>
      </c>
      <c r="L29" s="380"/>
      <c r="M29" s="394">
        <f t="shared" si="2"/>
        <v>-948</v>
      </c>
      <c r="N29" s="395">
        <f t="shared" si="3"/>
        <v>274</v>
      </c>
      <c r="O29" s="380"/>
      <c r="P29" s="380"/>
    </row>
    <row r="30" spans="2:16" s="194" customFormat="1">
      <c r="B30" s="714" t="s">
        <v>40</v>
      </c>
      <c r="C30" s="715">
        <f>Renfrewshire!F43</f>
        <v>183015.00000000003</v>
      </c>
      <c r="D30" s="716">
        <f>Renfrewshire!H43</f>
        <v>198913</v>
      </c>
      <c r="E30" s="717"/>
      <c r="F30" s="718">
        <v>181263</v>
      </c>
      <c r="G30" s="719">
        <v>1752</v>
      </c>
      <c r="H30" s="720">
        <v>197528</v>
      </c>
      <c r="I30" s="719"/>
      <c r="J30" s="718">
        <f t="shared" si="0"/>
        <v>-1752.0000000000291</v>
      </c>
      <c r="K30" s="720">
        <f t="shared" si="1"/>
        <v>0</v>
      </c>
      <c r="L30" s="719"/>
      <c r="M30" s="718">
        <f t="shared" si="2"/>
        <v>-1385</v>
      </c>
      <c r="N30" s="720">
        <f t="shared" si="3"/>
        <v>367</v>
      </c>
      <c r="O30" s="719"/>
      <c r="P30" s="719"/>
    </row>
    <row r="31" spans="2:16">
      <c r="B31" s="381" t="s">
        <v>41</v>
      </c>
      <c r="C31" s="390">
        <f>'Scottish Borders'!F43</f>
        <v>169350.00000000003</v>
      </c>
      <c r="D31" s="391">
        <f>'Scottish Borders'!H43</f>
        <v>167589</v>
      </c>
      <c r="E31" s="379"/>
      <c r="F31" s="394">
        <v>168350</v>
      </c>
      <c r="G31" s="380">
        <v>1000</v>
      </c>
      <c r="H31" s="395">
        <v>164755</v>
      </c>
      <c r="I31" s="380"/>
      <c r="J31" s="394">
        <f t="shared" si="0"/>
        <v>-1000.0000000000291</v>
      </c>
      <c r="K31" s="395">
        <f t="shared" si="1"/>
        <v>0</v>
      </c>
      <c r="L31" s="380"/>
      <c r="M31" s="394">
        <f t="shared" si="2"/>
        <v>-2834</v>
      </c>
      <c r="N31" s="395">
        <f t="shared" si="3"/>
        <v>-1834</v>
      </c>
      <c r="O31" s="380"/>
      <c r="P31" s="380"/>
    </row>
    <row r="32" spans="2:16">
      <c r="B32" s="381" t="s">
        <v>42</v>
      </c>
      <c r="C32" s="390">
        <f>'Shetland Islands'!F43</f>
        <v>56662.999999999993</v>
      </c>
      <c r="D32" s="391">
        <f>'Shetland Islands'!H43</f>
        <v>53390</v>
      </c>
      <c r="E32" s="379"/>
      <c r="F32" s="394">
        <v>56457</v>
      </c>
      <c r="G32" s="380">
        <v>206</v>
      </c>
      <c r="H32" s="395">
        <v>53526</v>
      </c>
      <c r="I32" s="380"/>
      <c r="J32" s="394">
        <f t="shared" si="0"/>
        <v>-205.99999999999272</v>
      </c>
      <c r="K32" s="395">
        <f t="shared" si="1"/>
        <v>0</v>
      </c>
      <c r="L32" s="380"/>
      <c r="M32" s="394">
        <f t="shared" si="2"/>
        <v>136</v>
      </c>
      <c r="N32" s="395">
        <f t="shared" si="3"/>
        <v>342</v>
      </c>
      <c r="O32" s="380"/>
      <c r="P32" s="380"/>
    </row>
    <row r="33" spans="1:16">
      <c r="B33" s="381" t="s">
        <v>43</v>
      </c>
      <c r="C33" s="390">
        <f>'South Ayrshire'!F43</f>
        <v>158918</v>
      </c>
      <c r="D33" s="391">
        <f>'South Ayrshire'!H43</f>
        <v>158842</v>
      </c>
      <c r="E33" s="379"/>
      <c r="F33" s="394">
        <v>157591</v>
      </c>
      <c r="G33" s="380">
        <v>1111</v>
      </c>
      <c r="H33" s="395">
        <v>153775</v>
      </c>
      <c r="I33" s="380"/>
      <c r="J33" s="394">
        <f t="shared" si="0"/>
        <v>-1327</v>
      </c>
      <c r="K33" s="395">
        <f t="shared" si="1"/>
        <v>-216</v>
      </c>
      <c r="L33" s="380"/>
      <c r="M33" s="394">
        <f t="shared" si="2"/>
        <v>-5067</v>
      </c>
      <c r="N33" s="395">
        <f t="shared" si="3"/>
        <v>-3956</v>
      </c>
      <c r="O33" s="380"/>
      <c r="P33" s="380"/>
    </row>
    <row r="34" spans="1:16">
      <c r="B34" s="381" t="s">
        <v>44</v>
      </c>
      <c r="C34" s="390">
        <f>'South Lanarkshire'!F43</f>
        <v>253433.99999999991</v>
      </c>
      <c r="D34" s="391">
        <f>'South Lanarkshire'!H43</f>
        <v>211597</v>
      </c>
      <c r="E34" s="379"/>
      <c r="F34" s="394">
        <v>248728</v>
      </c>
      <c r="G34" s="380">
        <v>2653</v>
      </c>
      <c r="H34" s="395">
        <v>203729</v>
      </c>
      <c r="I34" s="380"/>
      <c r="J34" s="394">
        <f t="shared" si="0"/>
        <v>-4705.9999999999127</v>
      </c>
      <c r="K34" s="395">
        <f t="shared" si="1"/>
        <v>-2052.9999999999127</v>
      </c>
      <c r="L34" s="380"/>
      <c r="M34" s="394">
        <f t="shared" si="2"/>
        <v>-7868</v>
      </c>
      <c r="N34" s="395">
        <f t="shared" si="3"/>
        <v>-5215</v>
      </c>
      <c r="O34" s="380"/>
      <c r="P34" s="380"/>
    </row>
    <row r="35" spans="1:16">
      <c r="B35" s="381" t="s">
        <v>45</v>
      </c>
      <c r="C35" s="390">
        <f>Stirling!F43</f>
        <v>121625.99999999999</v>
      </c>
      <c r="D35" s="391">
        <f>Stirling!H43</f>
        <v>119822</v>
      </c>
      <c r="E35" s="379"/>
      <c r="F35" s="394">
        <v>120671</v>
      </c>
      <c r="G35" s="380">
        <v>955</v>
      </c>
      <c r="H35" s="395">
        <v>118992</v>
      </c>
      <c r="I35" s="380"/>
      <c r="J35" s="394">
        <f t="shared" si="0"/>
        <v>-954.99999999998545</v>
      </c>
      <c r="K35" s="395">
        <f t="shared" si="1"/>
        <v>0</v>
      </c>
      <c r="L35" s="380"/>
      <c r="M35" s="394">
        <f t="shared" si="2"/>
        <v>-830</v>
      </c>
      <c r="N35" s="395">
        <f t="shared" si="3"/>
        <v>125</v>
      </c>
      <c r="O35" s="380"/>
      <c r="P35" s="380"/>
    </row>
    <row r="36" spans="1:16" s="194" customFormat="1">
      <c r="B36" s="714" t="s">
        <v>46</v>
      </c>
      <c r="C36" s="715">
        <f>'West Dunbartonshire'!F43</f>
        <v>100486</v>
      </c>
      <c r="D36" s="716">
        <f>'West Dunbartonshire'!H43</f>
        <v>96829</v>
      </c>
      <c r="E36" s="717"/>
      <c r="F36" s="718">
        <v>103694</v>
      </c>
      <c r="G36" s="719">
        <v>855</v>
      </c>
      <c r="H36" s="720">
        <v>97596</v>
      </c>
      <c r="I36" s="719"/>
      <c r="J36" s="718">
        <f t="shared" si="0"/>
        <v>3208</v>
      </c>
      <c r="K36" s="720">
        <f t="shared" si="1"/>
        <v>4063</v>
      </c>
      <c r="L36" s="719"/>
      <c r="M36" s="718">
        <f t="shared" si="2"/>
        <v>767</v>
      </c>
      <c r="N36" s="720">
        <f t="shared" si="3"/>
        <v>1622</v>
      </c>
      <c r="O36" s="719"/>
      <c r="P36" s="719"/>
    </row>
    <row r="37" spans="1:16">
      <c r="B37" s="381" t="s">
        <v>47</v>
      </c>
      <c r="C37" s="390">
        <f>'West Lothian'!F43</f>
        <v>228501.00000000003</v>
      </c>
      <c r="D37" s="391">
        <f>'West Lothian'!H43</f>
        <v>224994</v>
      </c>
      <c r="E37" s="379"/>
      <c r="F37" s="394">
        <v>226727</v>
      </c>
      <c r="G37" s="380">
        <v>1774</v>
      </c>
      <c r="H37" s="395">
        <v>223849</v>
      </c>
      <c r="I37" s="380"/>
      <c r="J37" s="394">
        <f t="shared" si="0"/>
        <v>-1774.0000000000291</v>
      </c>
      <c r="K37" s="395">
        <f t="shared" si="1"/>
        <v>0</v>
      </c>
      <c r="L37" s="380"/>
      <c r="M37" s="394">
        <f t="shared" si="2"/>
        <v>-1145</v>
      </c>
      <c r="N37" s="395">
        <f t="shared" si="3"/>
        <v>629</v>
      </c>
      <c r="O37" s="380"/>
      <c r="P37" s="380"/>
    </row>
    <row r="38" spans="1:16">
      <c r="D38" s="310"/>
      <c r="E38" s="383"/>
      <c r="F38" s="384"/>
      <c r="G38" s="385"/>
      <c r="H38" s="384"/>
      <c r="I38" s="310"/>
      <c r="J38" s="205" t="s">
        <v>444</v>
      </c>
      <c r="K38" s="205" t="s">
        <v>445</v>
      </c>
      <c r="M38" s="205" t="s">
        <v>445</v>
      </c>
      <c r="N38" s="205" t="s">
        <v>444</v>
      </c>
    </row>
    <row r="39" spans="1:16">
      <c r="D39" s="310"/>
      <c r="E39" s="383"/>
      <c r="F39" s="384"/>
      <c r="G39" s="385"/>
      <c r="H39" s="384"/>
      <c r="I39" s="310"/>
    </row>
    <row r="41" spans="1:16">
      <c r="A41" s="205" t="s">
        <v>446</v>
      </c>
    </row>
    <row r="42" spans="1:16">
      <c r="B42" s="310"/>
      <c r="C42" s="310"/>
      <c r="D42" s="310"/>
      <c r="E42" s="310"/>
      <c r="F42" s="310"/>
      <c r="G42" s="310"/>
      <c r="H42" s="310"/>
      <c r="I42" s="310"/>
      <c r="J42" s="310"/>
      <c r="K42" s="310"/>
      <c r="L42" s="310"/>
      <c r="M42" s="310"/>
      <c r="N42" s="310"/>
      <c r="O42" s="310"/>
    </row>
    <row r="43" spans="1:16" ht="38.25">
      <c r="B43" s="396"/>
      <c r="C43" s="724" t="s">
        <v>447</v>
      </c>
      <c r="D43" s="724" t="s">
        <v>269</v>
      </c>
      <c r="E43" s="725"/>
      <c r="F43" s="721" t="s">
        <v>326</v>
      </c>
      <c r="G43" s="724" t="s">
        <v>448</v>
      </c>
      <c r="H43" s="724" t="s">
        <v>449</v>
      </c>
      <c r="I43" s="724" t="s">
        <v>450</v>
      </c>
      <c r="J43" s="722" t="s">
        <v>451</v>
      </c>
      <c r="K43" s="727" t="s">
        <v>287</v>
      </c>
      <c r="L43" s="727" t="s">
        <v>452</v>
      </c>
      <c r="M43" s="721" t="s">
        <v>453</v>
      </c>
    </row>
    <row r="44" spans="1:16">
      <c r="B44" s="397" t="s">
        <v>251</v>
      </c>
      <c r="C44" s="387" t="e">
        <f>#REF!</f>
        <v>#REF!</v>
      </c>
      <c r="D44" s="387" t="e">
        <f>#REF!</f>
        <v>#REF!</v>
      </c>
      <c r="E44" s="726"/>
      <c r="F44" s="399">
        <f t="shared" ref="F44:F76" si="4">F5</f>
        <v>6820710</v>
      </c>
      <c r="G44" s="387">
        <f>Scotland!F47</f>
        <v>273575</v>
      </c>
      <c r="H44" s="387" t="e">
        <f>#REF!</f>
        <v>#REF!</v>
      </c>
      <c r="I44" s="387" t="e">
        <f>#REF!</f>
        <v>#REF!</v>
      </c>
      <c r="J44" s="400" t="e">
        <f t="shared" ref="J44:J76" si="5">SUM(F44:I44)</f>
        <v>#REF!</v>
      </c>
      <c r="K44" s="387" t="e">
        <f t="shared" ref="K44:K76" si="6">J44-D44</f>
        <v>#REF!</v>
      </c>
      <c r="L44" s="387" t="e">
        <f>#REF!</f>
        <v>#REF!</v>
      </c>
      <c r="M44" s="399" t="e">
        <f t="shared" ref="M44:M76" si="7">C44+K44+L44</f>
        <v>#REF!</v>
      </c>
    </row>
    <row r="45" spans="1:16">
      <c r="B45" s="398" t="s">
        <v>3</v>
      </c>
      <c r="C45" s="386" t="e">
        <f>#REF!</f>
        <v>#REF!</v>
      </c>
      <c r="D45" s="386" t="e">
        <f>#REF!</f>
        <v>#REF!</v>
      </c>
      <c r="E45" s="340"/>
      <c r="F45" s="339">
        <f t="shared" si="4"/>
        <v>92762</v>
      </c>
      <c r="G45" s="386">
        <f>'Aberdeen City'!F47</f>
        <v>8386</v>
      </c>
      <c r="H45" s="386" t="e">
        <f>#REF!</f>
        <v>#REF!</v>
      </c>
      <c r="I45" s="386" t="e">
        <f>#REF!</f>
        <v>#REF!</v>
      </c>
      <c r="J45" s="401" t="e">
        <f t="shared" si="5"/>
        <v>#REF!</v>
      </c>
      <c r="K45" s="386" t="e">
        <f t="shared" si="6"/>
        <v>#REF!</v>
      </c>
      <c r="L45" s="386" t="e">
        <f>#REF!</f>
        <v>#REF!</v>
      </c>
      <c r="M45" s="339" t="e">
        <f t="shared" si="7"/>
        <v>#REF!</v>
      </c>
    </row>
    <row r="46" spans="1:16">
      <c r="B46" s="398" t="s">
        <v>4</v>
      </c>
      <c r="C46" s="386" t="e">
        <f>#REF!</f>
        <v>#REF!</v>
      </c>
      <c r="D46" s="386" t="e">
        <f>#REF!</f>
        <v>#REF!</v>
      </c>
      <c r="E46" s="340"/>
      <c r="F46" s="339">
        <f t="shared" si="4"/>
        <v>297395</v>
      </c>
      <c r="G46" s="386">
        <f>Aberdeenshire!F47</f>
        <v>7441</v>
      </c>
      <c r="H46" s="386" t="e">
        <f>#REF!</f>
        <v>#REF!</v>
      </c>
      <c r="I46" s="386" t="e">
        <f>#REF!</f>
        <v>#REF!</v>
      </c>
      <c r="J46" s="401" t="e">
        <f t="shared" si="5"/>
        <v>#REF!</v>
      </c>
      <c r="K46" s="386" t="e">
        <f t="shared" si="6"/>
        <v>#REF!</v>
      </c>
      <c r="L46" s="386" t="e">
        <f>#REF!</f>
        <v>#REF!</v>
      </c>
      <c r="M46" s="339" t="e">
        <f t="shared" si="7"/>
        <v>#REF!</v>
      </c>
    </row>
    <row r="47" spans="1:16">
      <c r="B47" s="398" t="s">
        <v>5</v>
      </c>
      <c r="C47" s="386" t="e">
        <f>#REF!</f>
        <v>#REF!</v>
      </c>
      <c r="D47" s="386" t="e">
        <f>#REF!</f>
        <v>#REF!</v>
      </c>
      <c r="E47" s="340"/>
      <c r="F47" s="339">
        <f t="shared" si="4"/>
        <v>171099</v>
      </c>
      <c r="G47" s="386">
        <f>Angus!F47</f>
        <v>4477</v>
      </c>
      <c r="H47" s="386" t="e">
        <f>#REF!</f>
        <v>#REF!</v>
      </c>
      <c r="I47" s="386" t="e">
        <f>#REF!</f>
        <v>#REF!</v>
      </c>
      <c r="J47" s="401" t="e">
        <f t="shared" si="5"/>
        <v>#REF!</v>
      </c>
      <c r="K47" s="386" t="e">
        <f t="shared" si="6"/>
        <v>#REF!</v>
      </c>
      <c r="L47" s="386" t="e">
        <f>#REF!</f>
        <v>#REF!</v>
      </c>
      <c r="M47" s="339" t="e">
        <f t="shared" si="7"/>
        <v>#REF!</v>
      </c>
    </row>
    <row r="48" spans="1:16">
      <c r="B48" s="398" t="s">
        <v>6</v>
      </c>
      <c r="C48" s="386" t="e">
        <f>#REF!</f>
        <v>#REF!</v>
      </c>
      <c r="D48" s="386" t="e">
        <f>#REF!</f>
        <v>#REF!</v>
      </c>
      <c r="E48" s="340"/>
      <c r="F48" s="339">
        <f t="shared" si="4"/>
        <v>158627</v>
      </c>
      <c r="G48" s="386">
        <f>'Argyll &amp; Bute'!F47</f>
        <v>4021</v>
      </c>
      <c r="H48" s="386" t="e">
        <f>#REF!</f>
        <v>#REF!</v>
      </c>
      <c r="I48" s="386" t="e">
        <f>#REF!</f>
        <v>#REF!</v>
      </c>
      <c r="J48" s="401" t="e">
        <f t="shared" si="5"/>
        <v>#REF!</v>
      </c>
      <c r="K48" s="386" t="e">
        <f t="shared" si="6"/>
        <v>#REF!</v>
      </c>
      <c r="L48" s="386" t="e">
        <f>#REF!</f>
        <v>#REF!</v>
      </c>
      <c r="M48" s="339" t="e">
        <f t="shared" si="7"/>
        <v>#REF!</v>
      </c>
    </row>
    <row r="49" spans="2:13">
      <c r="B49" s="398" t="s">
        <v>8</v>
      </c>
      <c r="C49" s="386" t="e">
        <f>#REF!</f>
        <v>#REF!</v>
      </c>
      <c r="D49" s="386" t="e">
        <f>#REF!</f>
        <v>#REF!</v>
      </c>
      <c r="E49" s="340"/>
      <c r="F49" s="339">
        <f t="shared" si="4"/>
        <v>76850</v>
      </c>
      <c r="G49" s="386">
        <f>Clackmannanshire!F47</f>
        <v>2939</v>
      </c>
      <c r="H49" s="386" t="e">
        <f>#REF!</f>
        <v>#REF!</v>
      </c>
      <c r="I49" s="386" t="e">
        <f>#REF!</f>
        <v>#REF!</v>
      </c>
      <c r="J49" s="401" t="e">
        <f t="shared" si="5"/>
        <v>#REF!</v>
      </c>
      <c r="K49" s="386" t="e">
        <f t="shared" si="6"/>
        <v>#REF!</v>
      </c>
      <c r="L49" s="386" t="e">
        <f>#REF!</f>
        <v>#REF!</v>
      </c>
      <c r="M49" s="339" t="e">
        <f t="shared" si="7"/>
        <v>#REF!</v>
      </c>
    </row>
    <row r="50" spans="2:13">
      <c r="B50" s="398" t="s">
        <v>9</v>
      </c>
      <c r="C50" s="386" t="e">
        <f>#REF!</f>
        <v>#REF!</v>
      </c>
      <c r="D50" s="386" t="e">
        <f>#REF!</f>
        <v>#REF!</v>
      </c>
      <c r="E50" s="340"/>
      <c r="F50" s="339">
        <f t="shared" si="4"/>
        <v>234449</v>
      </c>
      <c r="G50" s="386">
        <f>'Dumfries &amp; Galloway'!F47</f>
        <v>6711</v>
      </c>
      <c r="H50" s="386" t="e">
        <f>#REF!</f>
        <v>#REF!</v>
      </c>
      <c r="I50" s="386" t="e">
        <f>#REF!</f>
        <v>#REF!</v>
      </c>
      <c r="J50" s="401" t="e">
        <f t="shared" si="5"/>
        <v>#REF!</v>
      </c>
      <c r="K50" s="386" t="e">
        <f t="shared" si="6"/>
        <v>#REF!</v>
      </c>
      <c r="L50" s="386" t="e">
        <f>#REF!</f>
        <v>#REF!</v>
      </c>
      <c r="M50" s="339" t="e">
        <f t="shared" si="7"/>
        <v>#REF!</v>
      </c>
    </row>
    <row r="51" spans="2:13">
      <c r="B51" s="398" t="s">
        <v>11</v>
      </c>
      <c r="C51" s="386" t="e">
        <f>#REF!</f>
        <v>#REF!</v>
      </c>
      <c r="D51" s="386" t="e">
        <f>#REF!</f>
        <v>#REF!</v>
      </c>
      <c r="E51" s="340"/>
      <c r="F51" s="339">
        <f t="shared" si="4"/>
        <v>231008</v>
      </c>
      <c r="G51" s="386">
        <f>'Dundee City'!F47</f>
        <v>10468</v>
      </c>
      <c r="H51" s="386" t="e">
        <f>#REF!</f>
        <v>#REF!</v>
      </c>
      <c r="I51" s="386" t="e">
        <f>#REF!</f>
        <v>#REF!</v>
      </c>
      <c r="J51" s="401" t="e">
        <f t="shared" si="5"/>
        <v>#REF!</v>
      </c>
      <c r="K51" s="386" t="e">
        <f t="shared" si="6"/>
        <v>#REF!</v>
      </c>
      <c r="L51" s="386" t="e">
        <f>#REF!</f>
        <v>#REF!</v>
      </c>
      <c r="M51" s="339" t="e">
        <f t="shared" si="7"/>
        <v>#REF!</v>
      </c>
    </row>
    <row r="52" spans="2:13">
      <c r="B52" s="398" t="s">
        <v>13</v>
      </c>
      <c r="C52" s="386" t="e">
        <f>#REF!</f>
        <v>#REF!</v>
      </c>
      <c r="D52" s="386" t="e">
        <f>#REF!</f>
        <v>#REF!</v>
      </c>
      <c r="E52" s="340"/>
      <c r="F52" s="339">
        <f t="shared" si="4"/>
        <v>193968</v>
      </c>
      <c r="G52" s="386">
        <f>'East Ayrshire'!F47</f>
        <v>8032</v>
      </c>
      <c r="H52" s="386" t="e">
        <f>#REF!</f>
        <v>#REF!</v>
      </c>
      <c r="I52" s="386" t="e">
        <f>#REF!</f>
        <v>#REF!</v>
      </c>
      <c r="J52" s="401" t="e">
        <f t="shared" si="5"/>
        <v>#REF!</v>
      </c>
      <c r="K52" s="386" t="e">
        <f t="shared" si="6"/>
        <v>#REF!</v>
      </c>
      <c r="L52" s="386" t="e">
        <f>#REF!</f>
        <v>#REF!</v>
      </c>
      <c r="M52" s="339" t="e">
        <f t="shared" si="7"/>
        <v>#REF!</v>
      </c>
    </row>
    <row r="53" spans="2:13">
      <c r="B53" s="398" t="s">
        <v>16</v>
      </c>
      <c r="C53" s="386" t="e">
        <f>#REF!</f>
        <v>#REF!</v>
      </c>
      <c r="D53" s="386" t="e">
        <f>#REF!</f>
        <v>#REF!</v>
      </c>
      <c r="E53" s="340"/>
      <c r="F53" s="339">
        <f t="shared" si="4"/>
        <v>158681</v>
      </c>
      <c r="G53" s="386">
        <f>'East Dunbartonshire'!F47</f>
        <v>2989</v>
      </c>
      <c r="H53" s="386" t="e">
        <f>#REF!</f>
        <v>#REF!</v>
      </c>
      <c r="I53" s="386" t="e">
        <f>#REF!</f>
        <v>#REF!</v>
      </c>
      <c r="J53" s="401" t="e">
        <f t="shared" si="5"/>
        <v>#REF!</v>
      </c>
      <c r="K53" s="386" t="e">
        <f t="shared" si="6"/>
        <v>#REF!</v>
      </c>
      <c r="L53" s="386" t="e">
        <f>#REF!</f>
        <v>#REF!</v>
      </c>
      <c r="M53" s="339" t="e">
        <f t="shared" si="7"/>
        <v>#REF!</v>
      </c>
    </row>
    <row r="54" spans="2:13">
      <c r="B54" s="398" t="s">
        <v>19</v>
      </c>
      <c r="C54" s="386" t="e">
        <f>#REF!</f>
        <v>#REF!</v>
      </c>
      <c r="D54" s="386" t="e">
        <f>#REF!</f>
        <v>#REF!</v>
      </c>
      <c r="E54" s="340"/>
      <c r="F54" s="339">
        <f t="shared" si="4"/>
        <v>144112</v>
      </c>
      <c r="G54" s="386">
        <f>'East Lothian'!F47</f>
        <v>3402</v>
      </c>
      <c r="H54" s="386" t="e">
        <f>#REF!</f>
        <v>#REF!</v>
      </c>
      <c r="I54" s="386" t="e">
        <f>#REF!</f>
        <v>#REF!</v>
      </c>
      <c r="J54" s="401" t="e">
        <f t="shared" si="5"/>
        <v>#REF!</v>
      </c>
      <c r="K54" s="386" t="e">
        <f t="shared" si="6"/>
        <v>#REF!</v>
      </c>
      <c r="L54" s="386" t="e">
        <f>#REF!</f>
        <v>#REF!</v>
      </c>
      <c r="M54" s="339" t="e">
        <f t="shared" si="7"/>
        <v>#REF!</v>
      </c>
    </row>
    <row r="55" spans="2:13">
      <c r="B55" s="398" t="s">
        <v>22</v>
      </c>
      <c r="C55" s="386" t="e">
        <f>#REF!</f>
        <v>#REF!</v>
      </c>
      <c r="D55" s="386" t="e">
        <f>#REF!</f>
        <v>#REF!</v>
      </c>
      <c r="E55" s="340"/>
      <c r="F55" s="339">
        <f t="shared" si="4"/>
        <v>160458</v>
      </c>
      <c r="G55" s="386">
        <f>'East Renfrewshire'!F47</f>
        <v>3520</v>
      </c>
      <c r="H55" s="386" t="e">
        <f>#REF!</f>
        <v>#REF!</v>
      </c>
      <c r="I55" s="386" t="e">
        <f>#REF!</f>
        <v>#REF!</v>
      </c>
      <c r="J55" s="401" t="e">
        <f t="shared" si="5"/>
        <v>#REF!</v>
      </c>
      <c r="K55" s="386" t="e">
        <f t="shared" si="6"/>
        <v>#REF!</v>
      </c>
      <c r="L55" s="386" t="e">
        <f>#REF!</f>
        <v>#REF!</v>
      </c>
      <c r="M55" s="339" t="e">
        <f t="shared" si="7"/>
        <v>#REF!</v>
      </c>
    </row>
    <row r="56" spans="2:13">
      <c r="B56" s="398" t="s">
        <v>25</v>
      </c>
      <c r="C56" s="386" t="e">
        <f>#REF!</f>
        <v>#REF!</v>
      </c>
      <c r="D56" s="386" t="e">
        <f>#REF!</f>
        <v>#REF!</v>
      </c>
      <c r="E56" s="340"/>
      <c r="F56" s="339">
        <f t="shared" si="4"/>
        <v>360822</v>
      </c>
      <c r="G56" s="386">
        <f>'Edinburgh, City of'!F47</f>
        <v>19340</v>
      </c>
      <c r="H56" s="386" t="e">
        <f>#REF!</f>
        <v>#REF!</v>
      </c>
      <c r="I56" s="386" t="e">
        <f>#REF!</f>
        <v>#REF!</v>
      </c>
      <c r="J56" s="401" t="e">
        <f t="shared" si="5"/>
        <v>#REF!</v>
      </c>
      <c r="K56" s="386" t="e">
        <f t="shared" si="6"/>
        <v>#REF!</v>
      </c>
      <c r="L56" s="386" t="e">
        <f>#REF!</f>
        <v>#REF!</v>
      </c>
      <c r="M56" s="339" t="e">
        <f t="shared" si="7"/>
        <v>#REF!</v>
      </c>
    </row>
    <row r="57" spans="2:13">
      <c r="B57" s="398" t="s">
        <v>26</v>
      </c>
      <c r="C57" s="386" t="e">
        <f>#REF!</f>
        <v>#REF!</v>
      </c>
      <c r="D57" s="386" t="e">
        <f>#REF!</f>
        <v>#REF!</v>
      </c>
      <c r="E57" s="340"/>
      <c r="F57" s="339">
        <f t="shared" si="4"/>
        <v>86194</v>
      </c>
      <c r="G57" s="386">
        <f>'Eilean Siar'!F47</f>
        <v>1580</v>
      </c>
      <c r="H57" s="386" t="e">
        <f>#REF!</f>
        <v>#REF!</v>
      </c>
      <c r="I57" s="386" t="e">
        <f>#REF!</f>
        <v>#REF!</v>
      </c>
      <c r="J57" s="401" t="e">
        <f t="shared" si="5"/>
        <v>#REF!</v>
      </c>
      <c r="K57" s="386" t="e">
        <f t="shared" si="6"/>
        <v>#REF!</v>
      </c>
      <c r="L57" s="386" t="e">
        <f>#REF!</f>
        <v>#REF!</v>
      </c>
      <c r="M57" s="339" t="e">
        <f t="shared" si="7"/>
        <v>#REF!</v>
      </c>
    </row>
    <row r="58" spans="2:13">
      <c r="B58" s="398" t="s">
        <v>28</v>
      </c>
      <c r="C58" s="386" t="e">
        <f>#REF!</f>
        <v>#REF!</v>
      </c>
      <c r="D58" s="386" t="e">
        <f>#REF!</f>
        <v>#REF!</v>
      </c>
      <c r="E58" s="340"/>
      <c r="F58" s="339">
        <f t="shared" si="4"/>
        <v>205167</v>
      </c>
      <c r="G58" s="386">
        <f>Falkirk!F47</f>
        <v>7356</v>
      </c>
      <c r="H58" s="386" t="e">
        <f>#REF!</f>
        <v>#REF!</v>
      </c>
      <c r="I58" s="386" t="e">
        <f>#REF!</f>
        <v>#REF!</v>
      </c>
      <c r="J58" s="401" t="e">
        <f t="shared" si="5"/>
        <v>#REF!</v>
      </c>
      <c r="K58" s="386" t="e">
        <f t="shared" si="6"/>
        <v>#REF!</v>
      </c>
      <c r="L58" s="386" t="e">
        <f>#REF!</f>
        <v>#REF!</v>
      </c>
      <c r="M58" s="339" t="e">
        <f t="shared" si="7"/>
        <v>#REF!</v>
      </c>
    </row>
    <row r="59" spans="2:13">
      <c r="B59" s="398" t="s">
        <v>29</v>
      </c>
      <c r="C59" s="386" t="e">
        <f>#REF!</f>
        <v>#REF!</v>
      </c>
      <c r="D59" s="386" t="e">
        <f>#REF!</f>
        <v>#REF!</v>
      </c>
      <c r="E59" s="340"/>
      <c r="F59" s="339">
        <f t="shared" si="4"/>
        <v>463534</v>
      </c>
      <c r="G59" s="386">
        <f>Fife!F47</f>
        <v>19375</v>
      </c>
      <c r="H59" s="386" t="e">
        <f>#REF!</f>
        <v>#REF!</v>
      </c>
      <c r="I59" s="386" t="e">
        <f>#REF!</f>
        <v>#REF!</v>
      </c>
      <c r="J59" s="401" t="e">
        <f t="shared" si="5"/>
        <v>#REF!</v>
      </c>
      <c r="K59" s="386" t="e">
        <f t="shared" si="6"/>
        <v>#REF!</v>
      </c>
      <c r="L59" s="386" t="e">
        <f>#REF!</f>
        <v>#REF!</v>
      </c>
      <c r="M59" s="339" t="e">
        <f t="shared" si="7"/>
        <v>#REF!</v>
      </c>
    </row>
    <row r="60" spans="2:13">
      <c r="B60" s="398" t="s">
        <v>31</v>
      </c>
      <c r="C60" s="386" t="e">
        <f>#REF!</f>
        <v>#REF!</v>
      </c>
      <c r="D60" s="386" t="e">
        <f>#REF!</f>
        <v>#REF!</v>
      </c>
      <c r="E60" s="340"/>
      <c r="F60" s="339">
        <f t="shared" si="4"/>
        <v>864827</v>
      </c>
      <c r="G60" s="386">
        <f>'Glasgow City'!F47</f>
        <v>46150</v>
      </c>
      <c r="H60" s="386" t="e">
        <f>#REF!</f>
        <v>#REF!</v>
      </c>
      <c r="I60" s="386" t="e">
        <f>#REF!</f>
        <v>#REF!</v>
      </c>
      <c r="J60" s="401" t="e">
        <f t="shared" si="5"/>
        <v>#REF!</v>
      </c>
      <c r="K60" s="386" t="e">
        <f t="shared" si="6"/>
        <v>#REF!</v>
      </c>
      <c r="L60" s="386" t="e">
        <f>#REF!</f>
        <v>#REF!</v>
      </c>
      <c r="M60" s="339" t="e">
        <f t="shared" si="7"/>
        <v>#REF!</v>
      </c>
    </row>
    <row r="61" spans="2:13">
      <c r="B61" s="398" t="s">
        <v>32</v>
      </c>
      <c r="C61" s="386" t="e">
        <f>#REF!</f>
        <v>#REF!</v>
      </c>
      <c r="D61" s="386" t="e">
        <f>#REF!</f>
        <v>#REF!</v>
      </c>
      <c r="E61" s="340"/>
      <c r="F61" s="339">
        <f t="shared" si="4"/>
        <v>308220</v>
      </c>
      <c r="G61" s="386">
        <f>Highland!F47</f>
        <v>10117</v>
      </c>
      <c r="H61" s="386" t="e">
        <f>#REF!</f>
        <v>#REF!</v>
      </c>
      <c r="I61" s="386" t="e">
        <f>#REF!</f>
        <v>#REF!</v>
      </c>
      <c r="J61" s="401" t="e">
        <f t="shared" si="5"/>
        <v>#REF!</v>
      </c>
      <c r="K61" s="386" t="e">
        <f t="shared" si="6"/>
        <v>#REF!</v>
      </c>
      <c r="L61" s="386" t="e">
        <f>#REF!</f>
        <v>#REF!</v>
      </c>
      <c r="M61" s="339" t="e">
        <f t="shared" si="7"/>
        <v>#REF!</v>
      </c>
    </row>
    <row r="62" spans="2:13">
      <c r="B62" s="398" t="s">
        <v>33</v>
      </c>
      <c r="C62" s="386" t="e">
        <f>#REF!</f>
        <v>#REF!</v>
      </c>
      <c r="D62" s="386" t="e">
        <f>#REF!</f>
        <v>#REF!</v>
      </c>
      <c r="E62" s="340"/>
      <c r="F62" s="339">
        <f t="shared" si="4"/>
        <v>141667</v>
      </c>
      <c r="G62" s="386">
        <f>Inverclyde!F47</f>
        <v>4540</v>
      </c>
      <c r="H62" s="386" t="e">
        <f>#REF!</f>
        <v>#REF!</v>
      </c>
      <c r="I62" s="386" t="e">
        <f>#REF!</f>
        <v>#REF!</v>
      </c>
      <c r="J62" s="401" t="e">
        <f t="shared" si="5"/>
        <v>#REF!</v>
      </c>
      <c r="K62" s="386" t="e">
        <f t="shared" si="6"/>
        <v>#REF!</v>
      </c>
      <c r="L62" s="386" t="e">
        <f>#REF!</f>
        <v>#REF!</v>
      </c>
      <c r="M62" s="339" t="e">
        <f t="shared" si="7"/>
        <v>#REF!</v>
      </c>
    </row>
    <row r="63" spans="2:13">
      <c r="B63" s="398" t="s">
        <v>34</v>
      </c>
      <c r="C63" s="386" t="e">
        <f>#REF!</f>
        <v>#REF!</v>
      </c>
      <c r="D63" s="386" t="e">
        <f>#REF!</f>
        <v>#REF!</v>
      </c>
      <c r="E63" s="340"/>
      <c r="F63" s="339">
        <f t="shared" si="4"/>
        <v>125530</v>
      </c>
      <c r="G63" s="386">
        <f>Midlothian!F47</f>
        <v>1371</v>
      </c>
      <c r="H63" s="386" t="e">
        <f>#REF!</f>
        <v>#REF!</v>
      </c>
      <c r="I63" s="386" t="e">
        <f>#REF!</f>
        <v>#REF!</v>
      </c>
      <c r="J63" s="401" t="e">
        <f t="shared" si="5"/>
        <v>#REF!</v>
      </c>
      <c r="K63" s="386" t="e">
        <f t="shared" si="6"/>
        <v>#REF!</v>
      </c>
      <c r="L63" s="386" t="e">
        <f>#REF!</f>
        <v>#REF!</v>
      </c>
      <c r="M63" s="339" t="e">
        <f t="shared" si="7"/>
        <v>#REF!</v>
      </c>
    </row>
    <row r="64" spans="2:13">
      <c r="B64" s="398" t="s">
        <v>35</v>
      </c>
      <c r="C64" s="386" t="e">
        <f>#REF!</f>
        <v>#REF!</v>
      </c>
      <c r="D64" s="386" t="e">
        <f>#REF!</f>
        <v>#REF!</v>
      </c>
      <c r="E64" s="340"/>
      <c r="F64" s="339">
        <f t="shared" si="4"/>
        <v>114762</v>
      </c>
      <c r="G64" s="386">
        <f>Moray!F47</f>
        <v>3116</v>
      </c>
      <c r="H64" s="386" t="e">
        <f>#REF!</f>
        <v>#REF!</v>
      </c>
      <c r="I64" s="386" t="e">
        <f>#REF!</f>
        <v>#REF!</v>
      </c>
      <c r="J64" s="401" t="e">
        <f t="shared" si="5"/>
        <v>#REF!</v>
      </c>
      <c r="K64" s="386" t="e">
        <f t="shared" si="6"/>
        <v>#REF!</v>
      </c>
      <c r="L64" s="386" t="e">
        <f>#REF!</f>
        <v>#REF!</v>
      </c>
      <c r="M64" s="339" t="e">
        <f t="shared" si="7"/>
        <v>#REF!</v>
      </c>
    </row>
    <row r="65" spans="1:15">
      <c r="B65" s="398" t="s">
        <v>36</v>
      </c>
      <c r="C65" s="386" t="e">
        <f>#REF!</f>
        <v>#REF!</v>
      </c>
      <c r="D65" s="386" t="e">
        <f>#REF!</f>
        <v>#REF!</v>
      </c>
      <c r="E65" s="340"/>
      <c r="F65" s="339">
        <f t="shared" si="4"/>
        <v>225973</v>
      </c>
      <c r="G65" s="386">
        <f>'North Ayrshire'!F47</f>
        <v>8960</v>
      </c>
      <c r="H65" s="386" t="e">
        <f>#REF!</f>
        <v>#REF!</v>
      </c>
      <c r="I65" s="386" t="e">
        <f>#REF!</f>
        <v>#REF!</v>
      </c>
      <c r="J65" s="401" t="e">
        <f t="shared" si="5"/>
        <v>#REF!</v>
      </c>
      <c r="K65" s="386" t="e">
        <f t="shared" si="6"/>
        <v>#REF!</v>
      </c>
      <c r="L65" s="386" t="e">
        <f>#REF!</f>
        <v>#REF!</v>
      </c>
      <c r="M65" s="339" t="e">
        <f t="shared" si="7"/>
        <v>#REF!</v>
      </c>
    </row>
    <row r="66" spans="1:15">
      <c r="B66" s="398" t="s">
        <v>37</v>
      </c>
      <c r="C66" s="386" t="e">
        <f>#REF!</f>
        <v>#REF!</v>
      </c>
      <c r="D66" s="386" t="e">
        <f>#REF!</f>
        <v>#REF!</v>
      </c>
      <c r="E66" s="340"/>
      <c r="F66" s="339">
        <f t="shared" si="4"/>
        <v>491636</v>
      </c>
      <c r="G66" s="386">
        <f>'North Lanarkshire'!F47</f>
        <v>18736</v>
      </c>
      <c r="H66" s="386" t="e">
        <f>#REF!</f>
        <v>#REF!</v>
      </c>
      <c r="I66" s="386" t="e">
        <f>#REF!</f>
        <v>#REF!</v>
      </c>
      <c r="J66" s="401" t="e">
        <f t="shared" si="5"/>
        <v>#REF!</v>
      </c>
      <c r="K66" s="386" t="e">
        <f t="shared" si="6"/>
        <v>#REF!</v>
      </c>
      <c r="L66" s="386" t="e">
        <f>#REF!</f>
        <v>#REF!</v>
      </c>
      <c r="M66" s="339" t="e">
        <f t="shared" si="7"/>
        <v>#REF!</v>
      </c>
    </row>
    <row r="67" spans="1:15">
      <c r="B67" s="398" t="s">
        <v>38</v>
      </c>
      <c r="C67" s="386" t="e">
        <f>#REF!</f>
        <v>#REF!</v>
      </c>
      <c r="D67" s="386" t="e">
        <f>#REF!</f>
        <v>#REF!</v>
      </c>
      <c r="E67" s="340"/>
      <c r="F67" s="339">
        <f t="shared" si="4"/>
        <v>59056</v>
      </c>
      <c r="G67" s="386">
        <f>'Orkney Islands'!F47</f>
        <v>6332</v>
      </c>
      <c r="H67" s="386" t="e">
        <f>#REF!</f>
        <v>#REF!</v>
      </c>
      <c r="I67" s="386" t="e">
        <f>#REF!</f>
        <v>#REF!</v>
      </c>
      <c r="J67" s="401" t="e">
        <f t="shared" si="5"/>
        <v>#REF!</v>
      </c>
      <c r="K67" s="386" t="e">
        <f t="shared" si="6"/>
        <v>#REF!</v>
      </c>
      <c r="L67" s="386" t="e">
        <f>#REF!</f>
        <v>#REF!</v>
      </c>
      <c r="M67" s="339" t="e">
        <f t="shared" si="7"/>
        <v>#REF!</v>
      </c>
    </row>
    <row r="68" spans="1:15">
      <c r="B68" s="398" t="s">
        <v>39</v>
      </c>
      <c r="C68" s="386" t="e">
        <f>#REF!</f>
        <v>#REF!</v>
      </c>
      <c r="D68" s="386" t="e">
        <f>#REF!</f>
        <v>#REF!</v>
      </c>
      <c r="E68" s="340"/>
      <c r="F68" s="339">
        <f t="shared" si="4"/>
        <v>190432</v>
      </c>
      <c r="G68" s="386">
        <f>'Perth &amp; Kinross'!F47</f>
        <v>4491</v>
      </c>
      <c r="H68" s="386" t="e">
        <f>#REF!</f>
        <v>#REF!</v>
      </c>
      <c r="I68" s="386" t="e">
        <f>#REF!</f>
        <v>#REF!</v>
      </c>
      <c r="J68" s="401" t="e">
        <f t="shared" si="5"/>
        <v>#REF!</v>
      </c>
      <c r="K68" s="386" t="e">
        <f t="shared" si="6"/>
        <v>#REF!</v>
      </c>
      <c r="L68" s="386" t="e">
        <f>#REF!</f>
        <v>#REF!</v>
      </c>
      <c r="M68" s="339" t="e">
        <f t="shared" si="7"/>
        <v>#REF!</v>
      </c>
    </row>
    <row r="69" spans="1:15">
      <c r="B69" s="398" t="s">
        <v>40</v>
      </c>
      <c r="C69" s="386" t="e">
        <f>#REF!</f>
        <v>#REF!</v>
      </c>
      <c r="D69" s="386" t="e">
        <f>#REF!</f>
        <v>#REF!</v>
      </c>
      <c r="E69" s="340"/>
      <c r="F69" s="339">
        <f t="shared" si="4"/>
        <v>181263</v>
      </c>
      <c r="G69" s="386">
        <f>Renfrewshire!F47</f>
        <v>10099</v>
      </c>
      <c r="H69" s="386" t="e">
        <f>#REF!</f>
        <v>#REF!</v>
      </c>
      <c r="I69" s="386" t="e">
        <f>#REF!</f>
        <v>#REF!</v>
      </c>
      <c r="J69" s="401" t="e">
        <f t="shared" si="5"/>
        <v>#REF!</v>
      </c>
      <c r="K69" s="386" t="e">
        <f t="shared" si="6"/>
        <v>#REF!</v>
      </c>
      <c r="L69" s="386" t="e">
        <f>#REF!</f>
        <v>#REF!</v>
      </c>
      <c r="M69" s="339" t="e">
        <f t="shared" si="7"/>
        <v>#REF!</v>
      </c>
    </row>
    <row r="70" spans="1:15">
      <c r="B70" s="398" t="s">
        <v>41</v>
      </c>
      <c r="C70" s="386" t="e">
        <f>#REF!</f>
        <v>#REF!</v>
      </c>
      <c r="D70" s="386" t="e">
        <f>#REF!</f>
        <v>#REF!</v>
      </c>
      <c r="E70" s="340"/>
      <c r="F70" s="339">
        <f t="shared" si="4"/>
        <v>168350</v>
      </c>
      <c r="G70" s="386">
        <f>'Scottish Borders'!F47</f>
        <v>3804</v>
      </c>
      <c r="H70" s="386" t="e">
        <f>#REF!</f>
        <v>#REF!</v>
      </c>
      <c r="I70" s="386" t="e">
        <f>#REF!</f>
        <v>#REF!</v>
      </c>
      <c r="J70" s="401" t="e">
        <f t="shared" si="5"/>
        <v>#REF!</v>
      </c>
      <c r="K70" s="386" t="e">
        <f t="shared" si="6"/>
        <v>#REF!</v>
      </c>
      <c r="L70" s="386" t="e">
        <f>#REF!</f>
        <v>#REF!</v>
      </c>
      <c r="M70" s="339" t="e">
        <f t="shared" si="7"/>
        <v>#REF!</v>
      </c>
    </row>
    <row r="71" spans="1:15">
      <c r="B71" s="398" t="s">
        <v>42</v>
      </c>
      <c r="C71" s="386" t="e">
        <f>#REF!</f>
        <v>#REF!</v>
      </c>
      <c r="D71" s="386" t="e">
        <f>#REF!</f>
        <v>#REF!</v>
      </c>
      <c r="E71" s="340"/>
      <c r="F71" s="339">
        <f t="shared" si="4"/>
        <v>56457</v>
      </c>
      <c r="G71" s="386">
        <f>'Shetland Islands'!F47</f>
        <v>5984</v>
      </c>
      <c r="H71" s="386" t="e">
        <f>#REF!</f>
        <v>#REF!</v>
      </c>
      <c r="I71" s="386" t="e">
        <f>#REF!</f>
        <v>#REF!</v>
      </c>
      <c r="J71" s="401" t="e">
        <f t="shared" si="5"/>
        <v>#REF!</v>
      </c>
      <c r="K71" s="386" t="e">
        <f t="shared" si="6"/>
        <v>#REF!</v>
      </c>
      <c r="L71" s="386" t="e">
        <f>#REF!</f>
        <v>#REF!</v>
      </c>
      <c r="M71" s="339" t="e">
        <f t="shared" si="7"/>
        <v>#REF!</v>
      </c>
    </row>
    <row r="72" spans="1:15">
      <c r="B72" s="398" t="s">
        <v>43</v>
      </c>
      <c r="C72" s="386" t="e">
        <f>#REF!</f>
        <v>#REF!</v>
      </c>
      <c r="D72" s="386" t="e">
        <f>#REF!</f>
        <v>#REF!</v>
      </c>
      <c r="E72" s="340"/>
      <c r="F72" s="339">
        <f t="shared" si="4"/>
        <v>157591</v>
      </c>
      <c r="G72" s="386">
        <f>'South Ayrshire'!F47</f>
        <v>5047</v>
      </c>
      <c r="H72" s="386" t="e">
        <f>#REF!</f>
        <v>#REF!</v>
      </c>
      <c r="I72" s="386" t="e">
        <f>#REF!</f>
        <v>#REF!</v>
      </c>
      <c r="J72" s="401" t="e">
        <f t="shared" si="5"/>
        <v>#REF!</v>
      </c>
      <c r="K72" s="386" t="e">
        <f t="shared" si="6"/>
        <v>#REF!</v>
      </c>
      <c r="L72" s="386" t="e">
        <f>#REF!</f>
        <v>#REF!</v>
      </c>
      <c r="M72" s="339" t="e">
        <f t="shared" si="7"/>
        <v>#REF!</v>
      </c>
    </row>
    <row r="73" spans="1:15">
      <c r="B73" s="398" t="s">
        <v>44</v>
      </c>
      <c r="C73" s="386" t="e">
        <f>#REF!</f>
        <v>#REF!</v>
      </c>
      <c r="D73" s="386" t="e">
        <f>#REF!</f>
        <v>#REF!</v>
      </c>
      <c r="E73" s="340"/>
      <c r="F73" s="339">
        <f t="shared" si="4"/>
        <v>248728</v>
      </c>
      <c r="G73" s="386">
        <f>'South Lanarkshire'!F47</f>
        <v>14756</v>
      </c>
      <c r="H73" s="386" t="e">
        <f>#REF!</f>
        <v>#REF!</v>
      </c>
      <c r="I73" s="386" t="e">
        <f>#REF!</f>
        <v>#REF!</v>
      </c>
      <c r="J73" s="401" t="e">
        <f t="shared" si="5"/>
        <v>#REF!</v>
      </c>
      <c r="K73" s="386" t="e">
        <f t="shared" si="6"/>
        <v>#REF!</v>
      </c>
      <c r="L73" s="386" t="e">
        <f>#REF!</f>
        <v>#REF!</v>
      </c>
      <c r="M73" s="339" t="e">
        <f t="shared" si="7"/>
        <v>#REF!</v>
      </c>
    </row>
    <row r="74" spans="1:15">
      <c r="B74" s="398" t="s">
        <v>45</v>
      </c>
      <c r="C74" s="386" t="e">
        <f>#REF!</f>
        <v>#REF!</v>
      </c>
      <c r="D74" s="386" t="e">
        <f>#REF!</f>
        <v>#REF!</v>
      </c>
      <c r="E74" s="340"/>
      <c r="F74" s="339">
        <f t="shared" si="4"/>
        <v>120671</v>
      </c>
      <c r="G74" s="386">
        <f>Stirling!F47</f>
        <v>4375</v>
      </c>
      <c r="H74" s="386" t="e">
        <f>#REF!</f>
        <v>#REF!</v>
      </c>
      <c r="I74" s="386" t="e">
        <f>#REF!</f>
        <v>#REF!</v>
      </c>
      <c r="J74" s="401" t="e">
        <f t="shared" si="5"/>
        <v>#REF!</v>
      </c>
      <c r="K74" s="386" t="e">
        <f t="shared" si="6"/>
        <v>#REF!</v>
      </c>
      <c r="L74" s="386" t="e">
        <f>#REF!</f>
        <v>#REF!</v>
      </c>
      <c r="M74" s="339" t="e">
        <f t="shared" si="7"/>
        <v>#REF!</v>
      </c>
    </row>
    <row r="75" spans="1:15">
      <c r="B75" s="398" t="s">
        <v>46</v>
      </c>
      <c r="C75" s="386" t="e">
        <f>#REF!</f>
        <v>#REF!</v>
      </c>
      <c r="D75" s="386" t="e">
        <f>#REF!</f>
        <v>#REF!</v>
      </c>
      <c r="E75" s="340"/>
      <c r="F75" s="339">
        <f t="shared" si="4"/>
        <v>103694</v>
      </c>
      <c r="G75" s="386">
        <f>'West Dunbartonshire'!F47</f>
        <v>6148</v>
      </c>
      <c r="H75" s="386" t="e">
        <f>#REF!</f>
        <v>#REF!</v>
      </c>
      <c r="I75" s="386" t="e">
        <f>#REF!</f>
        <v>#REF!</v>
      </c>
      <c r="J75" s="401" t="e">
        <f t="shared" si="5"/>
        <v>#REF!</v>
      </c>
      <c r="K75" s="386" t="e">
        <f t="shared" si="6"/>
        <v>#REF!</v>
      </c>
      <c r="L75" s="386" t="e">
        <f>#REF!</f>
        <v>#REF!</v>
      </c>
      <c r="M75" s="339" t="e">
        <f t="shared" si="7"/>
        <v>#REF!</v>
      </c>
    </row>
    <row r="76" spans="1:15">
      <c r="B76" s="398" t="s">
        <v>47</v>
      </c>
      <c r="C76" s="386" t="e">
        <f>#REF!</f>
        <v>#REF!</v>
      </c>
      <c r="D76" s="386" t="e">
        <f>#REF!</f>
        <v>#REF!</v>
      </c>
      <c r="E76" s="340"/>
      <c r="F76" s="339">
        <f t="shared" si="4"/>
        <v>226727</v>
      </c>
      <c r="G76" s="386">
        <f>'West Lothian'!F47</f>
        <v>9512</v>
      </c>
      <c r="H76" s="386" t="e">
        <f>#REF!</f>
        <v>#REF!</v>
      </c>
      <c r="I76" s="386" t="e">
        <f>#REF!</f>
        <v>#REF!</v>
      </c>
      <c r="J76" s="401" t="e">
        <f t="shared" si="5"/>
        <v>#REF!</v>
      </c>
      <c r="K76" s="386" t="e">
        <f t="shared" si="6"/>
        <v>#REF!</v>
      </c>
      <c r="L76" s="386" t="e">
        <f>#REF!</f>
        <v>#REF!</v>
      </c>
      <c r="M76" s="339" t="e">
        <f t="shared" si="7"/>
        <v>#REF!</v>
      </c>
    </row>
    <row r="79" spans="1:15">
      <c r="A79" s="205" t="s">
        <v>454</v>
      </c>
    </row>
    <row r="80" spans="1:15">
      <c r="B80" s="310"/>
      <c r="C80" s="310"/>
      <c r="D80" s="310"/>
      <c r="E80" s="310"/>
      <c r="F80" s="310"/>
      <c r="G80" s="310"/>
      <c r="H80" s="310"/>
      <c r="I80" s="310"/>
      <c r="J80" s="310"/>
      <c r="K80" s="310"/>
      <c r="L80" s="310"/>
      <c r="M80" s="310"/>
      <c r="N80" s="310"/>
      <c r="O80" s="310"/>
    </row>
    <row r="81" spans="2:13" ht="38.25">
      <c r="B81" s="396"/>
      <c r="C81" s="724" t="s">
        <v>447</v>
      </c>
      <c r="D81" s="724" t="s">
        <v>269</v>
      </c>
      <c r="E81" s="725"/>
      <c r="F81" s="721" t="s">
        <v>326</v>
      </c>
      <c r="G81" s="724" t="s">
        <v>448</v>
      </c>
      <c r="H81" s="724" t="s">
        <v>449</v>
      </c>
      <c r="I81" s="724" t="s">
        <v>450</v>
      </c>
      <c r="J81" s="722" t="s">
        <v>451</v>
      </c>
      <c r="K81" s="727" t="s">
        <v>287</v>
      </c>
      <c r="L81" s="727" t="s">
        <v>452</v>
      </c>
      <c r="M81" s="721" t="s">
        <v>453</v>
      </c>
    </row>
    <row r="82" spans="2:13">
      <c r="B82" s="397" t="s">
        <v>251</v>
      </c>
      <c r="C82" s="387" t="e">
        <f t="shared" ref="C82:C114" si="8">M44</f>
        <v>#REF!</v>
      </c>
      <c r="D82" s="387" t="e">
        <f>#REF!</f>
        <v>#REF!</v>
      </c>
      <c r="E82" s="726"/>
      <c r="F82" s="399">
        <f t="shared" ref="F82:F114" si="9">G5+H5</f>
        <v>6673807</v>
      </c>
      <c r="G82" s="387">
        <f>Scotland!H47</f>
        <v>513578</v>
      </c>
      <c r="H82" s="387" t="e">
        <f>#REF!</f>
        <v>#REF!</v>
      </c>
      <c r="I82" s="387" t="e">
        <f>#REF!</f>
        <v>#REF!</v>
      </c>
      <c r="J82" s="407" t="e">
        <f t="shared" ref="J82:J114" si="10">SUM(F82:I82)</f>
        <v>#REF!</v>
      </c>
      <c r="K82" s="387" t="e">
        <f t="shared" ref="K82:K114" si="11">J82-D82</f>
        <v>#REF!</v>
      </c>
      <c r="L82" s="387" t="e">
        <f>#REF!</f>
        <v>#REF!</v>
      </c>
      <c r="M82" s="399" t="e">
        <f t="shared" ref="M82:M114" si="12">C82+K82+L82</f>
        <v>#REF!</v>
      </c>
    </row>
    <row r="83" spans="2:13">
      <c r="B83" s="398" t="s">
        <v>3</v>
      </c>
      <c r="C83" s="386" t="e">
        <f t="shared" si="8"/>
        <v>#REF!</v>
      </c>
      <c r="D83" s="386" t="e">
        <f>#REF!</f>
        <v>#REF!</v>
      </c>
      <c r="E83" s="340"/>
      <c r="F83" s="339">
        <f t="shared" si="9"/>
        <v>63163</v>
      </c>
      <c r="G83" s="386">
        <f>'Aberdeen City'!H47</f>
        <v>20337</v>
      </c>
      <c r="H83" s="386" t="e">
        <f>#REF!</f>
        <v>#REF!</v>
      </c>
      <c r="I83" s="386" t="e">
        <f>#REF!</f>
        <v>#REF!</v>
      </c>
      <c r="J83" s="401" t="e">
        <f t="shared" si="10"/>
        <v>#REF!</v>
      </c>
      <c r="K83" s="386" t="e">
        <f t="shared" si="11"/>
        <v>#REF!</v>
      </c>
      <c r="L83" s="386" t="e">
        <f>#REF!</f>
        <v>#REF!</v>
      </c>
      <c r="M83" s="339" t="e">
        <f t="shared" si="12"/>
        <v>#REF!</v>
      </c>
    </row>
    <row r="84" spans="2:13">
      <c r="B84" s="398" t="s">
        <v>4</v>
      </c>
      <c r="C84" s="386" t="e">
        <f t="shared" si="8"/>
        <v>#REF!</v>
      </c>
      <c r="D84" s="386" t="e">
        <f>#REF!</f>
        <v>#REF!</v>
      </c>
      <c r="E84" s="340"/>
      <c r="F84" s="339">
        <f t="shared" si="9"/>
        <v>285249</v>
      </c>
      <c r="G84" s="386">
        <f>Aberdeenshire!H47</f>
        <v>20697</v>
      </c>
      <c r="H84" s="386" t="e">
        <f>#REF!</f>
        <v>#REF!</v>
      </c>
      <c r="I84" s="386" t="e">
        <f>#REF!</f>
        <v>#REF!</v>
      </c>
      <c r="J84" s="401" t="e">
        <f t="shared" si="10"/>
        <v>#REF!</v>
      </c>
      <c r="K84" s="386" t="e">
        <f t="shared" si="11"/>
        <v>#REF!</v>
      </c>
      <c r="L84" s="386" t="e">
        <f>#REF!</f>
        <v>#REF!</v>
      </c>
      <c r="M84" s="339" t="e">
        <f t="shared" si="12"/>
        <v>#REF!</v>
      </c>
    </row>
    <row r="85" spans="2:13">
      <c r="B85" s="398" t="s">
        <v>5</v>
      </c>
      <c r="C85" s="386" t="e">
        <f t="shared" si="8"/>
        <v>#REF!</v>
      </c>
      <c r="D85" s="386" t="e">
        <f>#REF!</f>
        <v>#REF!</v>
      </c>
      <c r="E85" s="340"/>
      <c r="F85" s="339">
        <f t="shared" si="9"/>
        <v>172000</v>
      </c>
      <c r="G85" s="386">
        <f>Angus!H47</f>
        <v>9142</v>
      </c>
      <c r="H85" s="386" t="e">
        <f>#REF!</f>
        <v>#REF!</v>
      </c>
      <c r="I85" s="386" t="e">
        <f>#REF!</f>
        <v>#REF!</v>
      </c>
      <c r="J85" s="401" t="e">
        <f t="shared" si="10"/>
        <v>#REF!</v>
      </c>
      <c r="K85" s="386" t="e">
        <f t="shared" si="11"/>
        <v>#REF!</v>
      </c>
      <c r="L85" s="386" t="e">
        <f>#REF!</f>
        <v>#REF!</v>
      </c>
      <c r="M85" s="339" t="e">
        <f t="shared" si="12"/>
        <v>#REF!</v>
      </c>
    </row>
    <row r="86" spans="2:13">
      <c r="B86" s="398" t="s">
        <v>6</v>
      </c>
      <c r="C86" s="386" t="e">
        <f t="shared" si="8"/>
        <v>#REF!</v>
      </c>
      <c r="D86" s="386" t="e">
        <f>#REF!</f>
        <v>#REF!</v>
      </c>
      <c r="E86" s="340"/>
      <c r="F86" s="339">
        <f t="shared" si="9"/>
        <v>155641</v>
      </c>
      <c r="G86" s="386">
        <f>'Argyll &amp; Bute'!H47</f>
        <v>7585</v>
      </c>
      <c r="H86" s="386" t="e">
        <f>#REF!</f>
        <v>#REF!</v>
      </c>
      <c r="I86" s="386" t="e">
        <f>#REF!</f>
        <v>#REF!</v>
      </c>
      <c r="J86" s="401" t="e">
        <f t="shared" si="10"/>
        <v>#REF!</v>
      </c>
      <c r="K86" s="386" t="e">
        <f t="shared" si="11"/>
        <v>#REF!</v>
      </c>
      <c r="L86" s="386" t="e">
        <f>#REF!</f>
        <v>#REF!</v>
      </c>
      <c r="M86" s="339" t="e">
        <f t="shared" si="12"/>
        <v>#REF!</v>
      </c>
    </row>
    <row r="87" spans="2:13">
      <c r="B87" s="398" t="s">
        <v>8</v>
      </c>
      <c r="C87" s="386" t="e">
        <f t="shared" si="8"/>
        <v>#REF!</v>
      </c>
      <c r="D87" s="386" t="e">
        <f>#REF!</f>
        <v>#REF!</v>
      </c>
      <c r="E87" s="340"/>
      <c r="F87" s="339">
        <f t="shared" si="9"/>
        <v>75348</v>
      </c>
      <c r="G87" s="386">
        <f>Clackmannanshire!H47</f>
        <v>5161</v>
      </c>
      <c r="H87" s="386" t="e">
        <f>#REF!</f>
        <v>#REF!</v>
      </c>
      <c r="I87" s="386" t="e">
        <f>#REF!</f>
        <v>#REF!</v>
      </c>
      <c r="J87" s="401" t="e">
        <f t="shared" si="10"/>
        <v>#REF!</v>
      </c>
      <c r="K87" s="386" t="e">
        <f t="shared" si="11"/>
        <v>#REF!</v>
      </c>
      <c r="L87" s="386" t="e">
        <f>#REF!</f>
        <v>#REF!</v>
      </c>
      <c r="M87" s="339" t="e">
        <f t="shared" si="12"/>
        <v>#REF!</v>
      </c>
    </row>
    <row r="88" spans="2:13">
      <c r="B88" s="398" t="s">
        <v>9</v>
      </c>
      <c r="C88" s="386" t="e">
        <f t="shared" si="8"/>
        <v>#REF!</v>
      </c>
      <c r="D88" s="386" t="e">
        <f>#REF!</f>
        <v>#REF!</v>
      </c>
      <c r="E88" s="340"/>
      <c r="F88" s="339">
        <f t="shared" si="9"/>
        <v>228512</v>
      </c>
      <c r="G88" s="386">
        <f>'Dumfries &amp; Galloway'!H47</f>
        <v>11017</v>
      </c>
      <c r="H88" s="386" t="e">
        <f>#REF!</f>
        <v>#REF!</v>
      </c>
      <c r="I88" s="386" t="e">
        <f>#REF!</f>
        <v>#REF!</v>
      </c>
      <c r="J88" s="401" t="e">
        <f t="shared" si="10"/>
        <v>#REF!</v>
      </c>
      <c r="K88" s="386" t="e">
        <f t="shared" si="11"/>
        <v>#REF!</v>
      </c>
      <c r="L88" s="386" t="e">
        <f>#REF!</f>
        <v>#REF!</v>
      </c>
      <c r="M88" s="339" t="e">
        <f t="shared" si="12"/>
        <v>#REF!</v>
      </c>
    </row>
    <row r="89" spans="2:13">
      <c r="B89" s="398" t="s">
        <v>11</v>
      </c>
      <c r="C89" s="386" t="e">
        <f t="shared" si="8"/>
        <v>#REF!</v>
      </c>
      <c r="D89" s="386" t="e">
        <f>#REF!</f>
        <v>#REF!</v>
      </c>
      <c r="E89" s="340"/>
      <c r="F89" s="339">
        <f t="shared" si="9"/>
        <v>225716</v>
      </c>
      <c r="G89" s="386">
        <f>'Dundee City'!H47</f>
        <v>17188</v>
      </c>
      <c r="H89" s="386" t="e">
        <f>#REF!</f>
        <v>#REF!</v>
      </c>
      <c r="I89" s="386" t="e">
        <f>#REF!</f>
        <v>#REF!</v>
      </c>
      <c r="J89" s="401" t="e">
        <f t="shared" si="10"/>
        <v>#REF!</v>
      </c>
      <c r="K89" s="386" t="e">
        <f t="shared" si="11"/>
        <v>#REF!</v>
      </c>
      <c r="L89" s="386" t="e">
        <f>#REF!</f>
        <v>#REF!</v>
      </c>
      <c r="M89" s="339" t="e">
        <f t="shared" si="12"/>
        <v>#REF!</v>
      </c>
    </row>
    <row r="90" spans="2:13">
      <c r="B90" s="398" t="s">
        <v>13</v>
      </c>
      <c r="C90" s="386" t="e">
        <f t="shared" si="8"/>
        <v>#REF!</v>
      </c>
      <c r="D90" s="386" t="e">
        <f>#REF!</f>
        <v>#REF!</v>
      </c>
      <c r="E90" s="340"/>
      <c r="F90" s="339">
        <f t="shared" si="9"/>
        <v>196268</v>
      </c>
      <c r="G90" s="386">
        <f>'East Ayrshire'!H47</f>
        <v>13049</v>
      </c>
      <c r="H90" s="386" t="e">
        <f>#REF!</f>
        <v>#REF!</v>
      </c>
      <c r="I90" s="386" t="e">
        <f>#REF!</f>
        <v>#REF!</v>
      </c>
      <c r="J90" s="401" t="e">
        <f t="shared" si="10"/>
        <v>#REF!</v>
      </c>
      <c r="K90" s="386" t="e">
        <f t="shared" si="11"/>
        <v>#REF!</v>
      </c>
      <c r="L90" s="386" t="e">
        <f>#REF!</f>
        <v>#REF!</v>
      </c>
      <c r="M90" s="339" t="e">
        <f t="shared" si="12"/>
        <v>#REF!</v>
      </c>
    </row>
    <row r="91" spans="2:13">
      <c r="B91" s="398" t="s">
        <v>16</v>
      </c>
      <c r="C91" s="386" t="e">
        <f t="shared" si="8"/>
        <v>#REF!</v>
      </c>
      <c r="D91" s="386" t="e">
        <f>#REF!</f>
        <v>#REF!</v>
      </c>
      <c r="E91" s="340"/>
      <c r="F91" s="339">
        <f t="shared" si="9"/>
        <v>161081</v>
      </c>
      <c r="G91" s="386">
        <f>'East Dunbartonshire'!H47</f>
        <v>8113</v>
      </c>
      <c r="H91" s="386" t="e">
        <f>#REF!</f>
        <v>#REF!</v>
      </c>
      <c r="I91" s="386" t="e">
        <f>#REF!</f>
        <v>#REF!</v>
      </c>
      <c r="J91" s="401" t="e">
        <f t="shared" si="10"/>
        <v>#REF!</v>
      </c>
      <c r="K91" s="386" t="e">
        <f t="shared" si="11"/>
        <v>#REF!</v>
      </c>
      <c r="L91" s="386" t="e">
        <f>#REF!</f>
        <v>#REF!</v>
      </c>
      <c r="M91" s="339" t="e">
        <f t="shared" si="12"/>
        <v>#REF!</v>
      </c>
    </row>
    <row r="92" spans="2:13">
      <c r="B92" s="398" t="s">
        <v>19</v>
      </c>
      <c r="C92" s="386" t="e">
        <f t="shared" si="8"/>
        <v>#REF!</v>
      </c>
      <c r="D92" s="386" t="e">
        <f>#REF!</f>
        <v>#REF!</v>
      </c>
      <c r="E92" s="340"/>
      <c r="F92" s="339">
        <f t="shared" si="9"/>
        <v>143637</v>
      </c>
      <c r="G92" s="386">
        <f>'East Lothian'!H47</f>
        <v>9403</v>
      </c>
      <c r="H92" s="386" t="e">
        <f>#REF!</f>
        <v>#REF!</v>
      </c>
      <c r="I92" s="386" t="e">
        <f>#REF!</f>
        <v>#REF!</v>
      </c>
      <c r="J92" s="401" t="e">
        <f t="shared" si="10"/>
        <v>#REF!</v>
      </c>
      <c r="K92" s="386" t="e">
        <f t="shared" si="11"/>
        <v>#REF!</v>
      </c>
      <c r="L92" s="386" t="e">
        <f>#REF!</f>
        <v>#REF!</v>
      </c>
      <c r="M92" s="339" t="e">
        <f t="shared" si="12"/>
        <v>#REF!</v>
      </c>
    </row>
    <row r="93" spans="2:13">
      <c r="B93" s="398" t="s">
        <v>22</v>
      </c>
      <c r="C93" s="386" t="e">
        <f t="shared" si="8"/>
        <v>#REF!</v>
      </c>
      <c r="D93" s="386" t="e">
        <f>#REF!</f>
        <v>#REF!</v>
      </c>
      <c r="E93" s="340"/>
      <c r="F93" s="339">
        <f t="shared" si="9"/>
        <v>161412</v>
      </c>
      <c r="G93" s="386">
        <f>'East Renfrewshire'!H47</f>
        <v>5366</v>
      </c>
      <c r="H93" s="386" t="e">
        <f>#REF!</f>
        <v>#REF!</v>
      </c>
      <c r="I93" s="386" t="e">
        <f>#REF!</f>
        <v>#REF!</v>
      </c>
      <c r="J93" s="401" t="e">
        <f t="shared" si="10"/>
        <v>#REF!</v>
      </c>
      <c r="K93" s="386" t="e">
        <f t="shared" si="11"/>
        <v>#REF!</v>
      </c>
      <c r="L93" s="386" t="e">
        <f>#REF!</f>
        <v>#REF!</v>
      </c>
      <c r="M93" s="339" t="e">
        <f t="shared" si="12"/>
        <v>#REF!</v>
      </c>
    </row>
    <row r="94" spans="2:13">
      <c r="B94" s="398" t="s">
        <v>25</v>
      </c>
      <c r="C94" s="386" t="e">
        <f t="shared" si="8"/>
        <v>#REF!</v>
      </c>
      <c r="D94" s="386" t="e">
        <f>#REF!</f>
        <v>#REF!</v>
      </c>
      <c r="E94" s="340"/>
      <c r="F94" s="339">
        <f t="shared" si="9"/>
        <v>341117</v>
      </c>
      <c r="G94" s="386">
        <f>'Edinburgh, City of'!H47</f>
        <v>49159</v>
      </c>
      <c r="H94" s="386" t="e">
        <f>#REF!</f>
        <v>#REF!</v>
      </c>
      <c r="I94" s="386" t="e">
        <f>#REF!</f>
        <v>#REF!</v>
      </c>
      <c r="J94" s="401" t="e">
        <f t="shared" si="10"/>
        <v>#REF!</v>
      </c>
      <c r="K94" s="386" t="e">
        <f t="shared" si="11"/>
        <v>#REF!</v>
      </c>
      <c r="L94" s="386" t="e">
        <f>#REF!</f>
        <v>#REF!</v>
      </c>
      <c r="M94" s="339" t="e">
        <f t="shared" si="12"/>
        <v>#REF!</v>
      </c>
    </row>
    <row r="95" spans="2:13">
      <c r="B95" s="398" t="s">
        <v>26</v>
      </c>
      <c r="C95" s="386" t="e">
        <f t="shared" si="8"/>
        <v>#REF!</v>
      </c>
      <c r="D95" s="386" t="e">
        <f>#REF!</f>
        <v>#REF!</v>
      </c>
      <c r="E95" s="340"/>
      <c r="F95" s="339">
        <f t="shared" si="9"/>
        <v>84947</v>
      </c>
      <c r="G95" s="386">
        <f>'Eilean Siar'!H47</f>
        <v>3128</v>
      </c>
      <c r="H95" s="386" t="e">
        <f>#REF!</f>
        <v>#REF!</v>
      </c>
      <c r="I95" s="386" t="e">
        <f>#REF!</f>
        <v>#REF!</v>
      </c>
      <c r="J95" s="401" t="e">
        <f t="shared" si="10"/>
        <v>#REF!</v>
      </c>
      <c r="K95" s="386" t="e">
        <f t="shared" si="11"/>
        <v>#REF!</v>
      </c>
      <c r="L95" s="386" t="e">
        <f>#REF!</f>
        <v>#REF!</v>
      </c>
      <c r="M95" s="339" t="e">
        <f t="shared" si="12"/>
        <v>#REF!</v>
      </c>
    </row>
    <row r="96" spans="2:13">
      <c r="B96" s="398" t="s">
        <v>28</v>
      </c>
      <c r="C96" s="386" t="e">
        <f t="shared" si="8"/>
        <v>#REF!</v>
      </c>
      <c r="D96" s="386" t="e">
        <f>#REF!</f>
        <v>#REF!</v>
      </c>
      <c r="E96" s="340"/>
      <c r="F96" s="339">
        <f t="shared" si="9"/>
        <v>203281</v>
      </c>
      <c r="G96" s="386">
        <f>Falkirk!H47</f>
        <v>15996</v>
      </c>
      <c r="H96" s="386" t="e">
        <f>#REF!</f>
        <v>#REF!</v>
      </c>
      <c r="I96" s="386" t="e">
        <f>#REF!</f>
        <v>#REF!</v>
      </c>
      <c r="J96" s="401" t="e">
        <f t="shared" si="10"/>
        <v>#REF!</v>
      </c>
      <c r="K96" s="386" t="e">
        <f t="shared" si="11"/>
        <v>#REF!</v>
      </c>
      <c r="L96" s="386" t="e">
        <f>#REF!</f>
        <v>#REF!</v>
      </c>
      <c r="M96" s="339" t="e">
        <f t="shared" si="12"/>
        <v>#REF!</v>
      </c>
    </row>
    <row r="97" spans="2:13">
      <c r="B97" s="398" t="s">
        <v>29</v>
      </c>
      <c r="C97" s="386" t="e">
        <f t="shared" si="8"/>
        <v>#REF!</v>
      </c>
      <c r="D97" s="386" t="e">
        <f>#REF!</f>
        <v>#REF!</v>
      </c>
      <c r="E97" s="340"/>
      <c r="F97" s="339">
        <f t="shared" si="9"/>
        <v>463465</v>
      </c>
      <c r="G97" s="386">
        <f>Fife!H47</f>
        <v>34395</v>
      </c>
      <c r="H97" s="386" t="e">
        <f>#REF!</f>
        <v>#REF!</v>
      </c>
      <c r="I97" s="386" t="e">
        <f>#REF!</f>
        <v>#REF!</v>
      </c>
      <c r="J97" s="401" t="e">
        <f t="shared" si="10"/>
        <v>#REF!</v>
      </c>
      <c r="K97" s="386" t="e">
        <f t="shared" si="11"/>
        <v>#REF!</v>
      </c>
      <c r="L97" s="386" t="e">
        <f>#REF!</f>
        <v>#REF!</v>
      </c>
      <c r="M97" s="339" t="e">
        <f t="shared" si="12"/>
        <v>#REF!</v>
      </c>
    </row>
    <row r="98" spans="2:13">
      <c r="B98" s="398" t="s">
        <v>31</v>
      </c>
      <c r="C98" s="386" t="e">
        <f t="shared" si="8"/>
        <v>#REF!</v>
      </c>
      <c r="D98" s="386" t="e">
        <f>#REF!</f>
        <v>#REF!</v>
      </c>
      <c r="E98" s="340"/>
      <c r="F98" s="339">
        <f t="shared" si="9"/>
        <v>851435</v>
      </c>
      <c r="G98" s="386">
        <f>'Glasgow City'!H47</f>
        <v>67256</v>
      </c>
      <c r="H98" s="386" t="e">
        <f>#REF!</f>
        <v>#REF!</v>
      </c>
      <c r="I98" s="386" t="e">
        <f>#REF!</f>
        <v>#REF!</v>
      </c>
      <c r="J98" s="401" t="e">
        <f t="shared" si="10"/>
        <v>#REF!</v>
      </c>
      <c r="K98" s="386" t="e">
        <f t="shared" si="11"/>
        <v>#REF!</v>
      </c>
      <c r="L98" s="386" t="e">
        <f>#REF!</f>
        <v>#REF!</v>
      </c>
      <c r="M98" s="339" t="e">
        <f t="shared" si="12"/>
        <v>#REF!</v>
      </c>
    </row>
    <row r="99" spans="2:13">
      <c r="B99" s="398" t="s">
        <v>32</v>
      </c>
      <c r="C99" s="386" t="e">
        <f t="shared" si="8"/>
        <v>#REF!</v>
      </c>
      <c r="D99" s="386" t="e">
        <f>#REF!</f>
        <v>#REF!</v>
      </c>
      <c r="E99" s="340"/>
      <c r="F99" s="339">
        <f t="shared" si="9"/>
        <v>294213</v>
      </c>
      <c r="G99" s="386">
        <f>Highland!H47</f>
        <v>21328</v>
      </c>
      <c r="H99" s="386" t="e">
        <f>#REF!</f>
        <v>#REF!</v>
      </c>
      <c r="I99" s="386" t="e">
        <f>#REF!</f>
        <v>#REF!</v>
      </c>
      <c r="J99" s="401" t="e">
        <f t="shared" si="10"/>
        <v>#REF!</v>
      </c>
      <c r="K99" s="386" t="e">
        <f t="shared" si="11"/>
        <v>#REF!</v>
      </c>
      <c r="L99" s="386" t="e">
        <f>#REF!</f>
        <v>#REF!</v>
      </c>
      <c r="M99" s="339" t="e">
        <f t="shared" si="12"/>
        <v>#REF!</v>
      </c>
    </row>
    <row r="100" spans="2:13">
      <c r="B100" s="398" t="s">
        <v>33</v>
      </c>
      <c r="C100" s="386" t="e">
        <f t="shared" si="8"/>
        <v>#REF!</v>
      </c>
      <c r="D100" s="386" t="e">
        <f>#REF!</f>
        <v>#REF!</v>
      </c>
      <c r="E100" s="340"/>
      <c r="F100" s="339">
        <f t="shared" si="9"/>
        <v>141174</v>
      </c>
      <c r="G100" s="386">
        <f>Inverclyde!H47</f>
        <v>8334</v>
      </c>
      <c r="H100" s="386" t="e">
        <f>#REF!</f>
        <v>#REF!</v>
      </c>
      <c r="I100" s="386" t="e">
        <f>#REF!</f>
        <v>#REF!</v>
      </c>
      <c r="J100" s="401" t="e">
        <f t="shared" si="10"/>
        <v>#REF!</v>
      </c>
      <c r="K100" s="386" t="e">
        <f t="shared" si="11"/>
        <v>#REF!</v>
      </c>
      <c r="L100" s="386" t="e">
        <f>#REF!</f>
        <v>#REF!</v>
      </c>
      <c r="M100" s="339" t="e">
        <f t="shared" si="12"/>
        <v>#REF!</v>
      </c>
    </row>
    <row r="101" spans="2:13">
      <c r="B101" s="398" t="s">
        <v>34</v>
      </c>
      <c r="C101" s="386" t="e">
        <f t="shared" si="8"/>
        <v>#REF!</v>
      </c>
      <c r="D101" s="386" t="e">
        <f>#REF!</f>
        <v>#REF!</v>
      </c>
      <c r="E101" s="340"/>
      <c r="F101" s="339">
        <f t="shared" si="9"/>
        <v>123935</v>
      </c>
      <c r="G101" s="386">
        <f>Midlothian!H47</f>
        <v>1232</v>
      </c>
      <c r="H101" s="386" t="e">
        <f>#REF!</f>
        <v>#REF!</v>
      </c>
      <c r="I101" s="386" t="e">
        <f>#REF!</f>
        <v>#REF!</v>
      </c>
      <c r="J101" s="401" t="e">
        <f t="shared" si="10"/>
        <v>#REF!</v>
      </c>
      <c r="K101" s="386" t="e">
        <f t="shared" si="11"/>
        <v>#REF!</v>
      </c>
      <c r="L101" s="386" t="e">
        <f>#REF!</f>
        <v>#REF!</v>
      </c>
      <c r="M101" s="339" t="e">
        <f t="shared" si="12"/>
        <v>#REF!</v>
      </c>
    </row>
    <row r="102" spans="2:13">
      <c r="B102" s="398" t="s">
        <v>35</v>
      </c>
      <c r="C102" s="386" t="e">
        <f t="shared" si="8"/>
        <v>#REF!</v>
      </c>
      <c r="D102" s="386" t="e">
        <f>#REF!</f>
        <v>#REF!</v>
      </c>
      <c r="E102" s="340"/>
      <c r="F102" s="339">
        <f t="shared" si="9"/>
        <v>111987</v>
      </c>
      <c r="G102" s="386">
        <f>Moray!H47</f>
        <v>8109</v>
      </c>
      <c r="H102" s="386" t="e">
        <f>#REF!</f>
        <v>#REF!</v>
      </c>
      <c r="I102" s="386" t="e">
        <f>#REF!</f>
        <v>#REF!</v>
      </c>
      <c r="J102" s="401" t="e">
        <f t="shared" si="10"/>
        <v>#REF!</v>
      </c>
      <c r="K102" s="386" t="e">
        <f t="shared" si="11"/>
        <v>#REF!</v>
      </c>
      <c r="L102" s="386" t="e">
        <f>#REF!</f>
        <v>#REF!</v>
      </c>
      <c r="M102" s="339" t="e">
        <f t="shared" si="12"/>
        <v>#REF!</v>
      </c>
    </row>
    <row r="103" spans="2:13">
      <c r="B103" s="398" t="s">
        <v>36</v>
      </c>
      <c r="C103" s="386" t="e">
        <f t="shared" si="8"/>
        <v>#REF!</v>
      </c>
      <c r="D103" s="386" t="e">
        <f>#REF!</f>
        <v>#REF!</v>
      </c>
      <c r="E103" s="340"/>
      <c r="F103" s="339">
        <f t="shared" si="9"/>
        <v>226779</v>
      </c>
      <c r="G103" s="386">
        <f>'North Ayrshire'!H47</f>
        <v>19309</v>
      </c>
      <c r="H103" s="386" t="e">
        <f>#REF!</f>
        <v>#REF!</v>
      </c>
      <c r="I103" s="386" t="e">
        <f>#REF!</f>
        <v>#REF!</v>
      </c>
      <c r="J103" s="401" t="e">
        <f t="shared" si="10"/>
        <v>#REF!</v>
      </c>
      <c r="K103" s="386" t="e">
        <f t="shared" si="11"/>
        <v>#REF!</v>
      </c>
      <c r="L103" s="386" t="e">
        <f>#REF!</f>
        <v>#REF!</v>
      </c>
      <c r="M103" s="339" t="e">
        <f t="shared" si="12"/>
        <v>#REF!</v>
      </c>
    </row>
    <row r="104" spans="2:13">
      <c r="B104" s="398" t="s">
        <v>37</v>
      </c>
      <c r="C104" s="386" t="e">
        <f t="shared" si="8"/>
        <v>#REF!</v>
      </c>
      <c r="D104" s="386" t="e">
        <f>#REF!</f>
        <v>#REF!</v>
      </c>
      <c r="E104" s="340"/>
      <c r="F104" s="339">
        <f t="shared" si="9"/>
        <v>493353</v>
      </c>
      <c r="G104" s="386">
        <f>'North Lanarkshire'!H47</f>
        <v>33644</v>
      </c>
      <c r="H104" s="386" t="e">
        <f>#REF!</f>
        <v>#REF!</v>
      </c>
      <c r="I104" s="386" t="e">
        <f>#REF!</f>
        <v>#REF!</v>
      </c>
      <c r="J104" s="401" t="e">
        <f t="shared" si="10"/>
        <v>#REF!</v>
      </c>
      <c r="K104" s="386" t="e">
        <f t="shared" si="11"/>
        <v>#REF!</v>
      </c>
      <c r="L104" s="386" t="e">
        <f>#REF!</f>
        <v>#REF!</v>
      </c>
      <c r="M104" s="339" t="e">
        <f t="shared" si="12"/>
        <v>#REF!</v>
      </c>
    </row>
    <row r="105" spans="2:13">
      <c r="B105" s="398" t="s">
        <v>38</v>
      </c>
      <c r="C105" s="386" t="e">
        <f t="shared" si="8"/>
        <v>#REF!</v>
      </c>
      <c r="D105" s="386" t="e">
        <f>#REF!</f>
        <v>#REF!</v>
      </c>
      <c r="E105" s="340"/>
      <c r="F105" s="339">
        <f t="shared" si="9"/>
        <v>57944</v>
      </c>
      <c r="G105" s="386">
        <f>'Orkney Islands'!H47</f>
        <v>7021</v>
      </c>
      <c r="H105" s="386" t="e">
        <f>#REF!</f>
        <v>#REF!</v>
      </c>
      <c r="I105" s="386" t="e">
        <f>#REF!</f>
        <v>#REF!</v>
      </c>
      <c r="J105" s="401" t="e">
        <f t="shared" si="10"/>
        <v>#REF!</v>
      </c>
      <c r="K105" s="386" t="e">
        <f t="shared" si="11"/>
        <v>#REF!</v>
      </c>
      <c r="L105" s="386" t="e">
        <f>#REF!</f>
        <v>#REF!</v>
      </c>
      <c r="M105" s="339" t="e">
        <f t="shared" si="12"/>
        <v>#REF!</v>
      </c>
    </row>
    <row r="106" spans="2:13">
      <c r="B106" s="398" t="s">
        <v>39</v>
      </c>
      <c r="C106" s="386" t="e">
        <f t="shared" si="8"/>
        <v>#REF!</v>
      </c>
      <c r="D106" s="386" t="e">
        <f>#REF!</f>
        <v>#REF!</v>
      </c>
      <c r="E106" s="340"/>
      <c r="F106" s="339">
        <f t="shared" si="9"/>
        <v>188094</v>
      </c>
      <c r="G106" s="386">
        <f>'Perth &amp; Kinross'!H47</f>
        <v>10531</v>
      </c>
      <c r="H106" s="386" t="e">
        <f>#REF!</f>
        <v>#REF!</v>
      </c>
      <c r="I106" s="386" t="e">
        <f>#REF!</f>
        <v>#REF!</v>
      </c>
      <c r="J106" s="401" t="e">
        <f t="shared" si="10"/>
        <v>#REF!</v>
      </c>
      <c r="K106" s="386" t="e">
        <f t="shared" si="11"/>
        <v>#REF!</v>
      </c>
      <c r="L106" s="386" t="e">
        <f>#REF!</f>
        <v>#REF!</v>
      </c>
      <c r="M106" s="339" t="e">
        <f t="shared" si="12"/>
        <v>#REF!</v>
      </c>
    </row>
    <row r="107" spans="2:13">
      <c r="B107" s="398" t="s">
        <v>40</v>
      </c>
      <c r="C107" s="386" t="e">
        <f t="shared" si="8"/>
        <v>#REF!</v>
      </c>
      <c r="D107" s="386" t="e">
        <f>#REF!</f>
        <v>#REF!</v>
      </c>
      <c r="E107" s="340"/>
      <c r="F107" s="339">
        <f t="shared" si="9"/>
        <v>199280</v>
      </c>
      <c r="G107" s="386">
        <f>Renfrewshire!H47</f>
        <v>18398</v>
      </c>
      <c r="H107" s="386" t="e">
        <f>#REF!</f>
        <v>#REF!</v>
      </c>
      <c r="I107" s="386" t="e">
        <f>#REF!</f>
        <v>#REF!</v>
      </c>
      <c r="J107" s="401" t="e">
        <f t="shared" si="10"/>
        <v>#REF!</v>
      </c>
      <c r="K107" s="386" t="e">
        <f t="shared" si="11"/>
        <v>#REF!</v>
      </c>
      <c r="L107" s="386" t="e">
        <f>#REF!</f>
        <v>#REF!</v>
      </c>
      <c r="M107" s="339" t="e">
        <f t="shared" si="12"/>
        <v>#REF!</v>
      </c>
    </row>
    <row r="108" spans="2:13">
      <c r="B108" s="398" t="s">
        <v>41</v>
      </c>
      <c r="C108" s="386" t="e">
        <f t="shared" si="8"/>
        <v>#REF!</v>
      </c>
      <c r="D108" s="386" t="e">
        <f>#REF!</f>
        <v>#REF!</v>
      </c>
      <c r="E108" s="340"/>
      <c r="F108" s="339">
        <f t="shared" si="9"/>
        <v>165755</v>
      </c>
      <c r="G108" s="386">
        <f>'Scottish Borders'!H47</f>
        <v>9330</v>
      </c>
      <c r="H108" s="386" t="e">
        <f>#REF!</f>
        <v>#REF!</v>
      </c>
      <c r="I108" s="386" t="e">
        <f>#REF!</f>
        <v>#REF!</v>
      </c>
      <c r="J108" s="401" t="e">
        <f t="shared" si="10"/>
        <v>#REF!</v>
      </c>
      <c r="K108" s="386" t="e">
        <f t="shared" si="11"/>
        <v>#REF!</v>
      </c>
      <c r="L108" s="386" t="e">
        <f>#REF!</f>
        <v>#REF!</v>
      </c>
      <c r="M108" s="339" t="e">
        <f t="shared" si="12"/>
        <v>#REF!</v>
      </c>
    </row>
    <row r="109" spans="2:13">
      <c r="B109" s="398" t="s">
        <v>42</v>
      </c>
      <c r="C109" s="386" t="e">
        <f t="shared" si="8"/>
        <v>#REF!</v>
      </c>
      <c r="D109" s="386" t="e">
        <f>#REF!</f>
        <v>#REF!</v>
      </c>
      <c r="E109" s="340"/>
      <c r="F109" s="339">
        <f t="shared" si="9"/>
        <v>53732</v>
      </c>
      <c r="G109" s="386">
        <f>'Shetland Islands'!H47</f>
        <v>7168</v>
      </c>
      <c r="H109" s="386" t="e">
        <f>#REF!</f>
        <v>#REF!</v>
      </c>
      <c r="I109" s="386" t="e">
        <f>#REF!</f>
        <v>#REF!</v>
      </c>
      <c r="J109" s="401" t="e">
        <f t="shared" si="10"/>
        <v>#REF!</v>
      </c>
      <c r="K109" s="386" t="e">
        <f t="shared" si="11"/>
        <v>#REF!</v>
      </c>
      <c r="L109" s="386" t="e">
        <f>#REF!</f>
        <v>#REF!</v>
      </c>
      <c r="M109" s="339" t="e">
        <f t="shared" si="12"/>
        <v>#REF!</v>
      </c>
    </row>
    <row r="110" spans="2:13">
      <c r="B110" s="398" t="s">
        <v>43</v>
      </c>
      <c r="C110" s="386" t="e">
        <f t="shared" si="8"/>
        <v>#REF!</v>
      </c>
      <c r="D110" s="386" t="e">
        <f>#REF!</f>
        <v>#REF!</v>
      </c>
      <c r="E110" s="340"/>
      <c r="F110" s="339">
        <f t="shared" si="9"/>
        <v>154886</v>
      </c>
      <c r="G110" s="386">
        <f>'South Ayrshire'!H47</f>
        <v>9221</v>
      </c>
      <c r="H110" s="386" t="e">
        <f>#REF!</f>
        <v>#REF!</v>
      </c>
      <c r="I110" s="386" t="e">
        <f>#REF!</f>
        <v>#REF!</v>
      </c>
      <c r="J110" s="401" t="e">
        <f t="shared" si="10"/>
        <v>#REF!</v>
      </c>
      <c r="K110" s="386" t="e">
        <f t="shared" si="11"/>
        <v>#REF!</v>
      </c>
      <c r="L110" s="386" t="e">
        <f>#REF!</f>
        <v>#REF!</v>
      </c>
      <c r="M110" s="339" t="e">
        <f t="shared" si="12"/>
        <v>#REF!</v>
      </c>
    </row>
    <row r="111" spans="2:13">
      <c r="B111" s="398" t="s">
        <v>44</v>
      </c>
      <c r="C111" s="386" t="e">
        <f t="shared" si="8"/>
        <v>#REF!</v>
      </c>
      <c r="D111" s="386" t="e">
        <f>#REF!</f>
        <v>#REF!</v>
      </c>
      <c r="E111" s="340"/>
      <c r="F111" s="339">
        <f t="shared" si="9"/>
        <v>206382</v>
      </c>
      <c r="G111" s="386">
        <f>'South Lanarkshire'!H47</f>
        <v>28144</v>
      </c>
      <c r="H111" s="386" t="e">
        <f>#REF!</f>
        <v>#REF!</v>
      </c>
      <c r="I111" s="386" t="e">
        <f>#REF!</f>
        <v>#REF!</v>
      </c>
      <c r="J111" s="401" t="e">
        <f t="shared" si="10"/>
        <v>#REF!</v>
      </c>
      <c r="K111" s="386" t="e">
        <f t="shared" si="11"/>
        <v>#REF!</v>
      </c>
      <c r="L111" s="386" t="e">
        <f>#REF!</f>
        <v>#REF!</v>
      </c>
      <c r="M111" s="339" t="e">
        <f t="shared" si="12"/>
        <v>#REF!</v>
      </c>
    </row>
    <row r="112" spans="2:13">
      <c r="B112" s="398" t="s">
        <v>45</v>
      </c>
      <c r="C112" s="386" t="e">
        <f t="shared" si="8"/>
        <v>#REF!</v>
      </c>
      <c r="D112" s="386" t="e">
        <f>#REF!</f>
        <v>#REF!</v>
      </c>
      <c r="E112" s="340"/>
      <c r="F112" s="339">
        <f t="shared" si="9"/>
        <v>119947</v>
      </c>
      <c r="G112" s="386">
        <f>Stirling!H47</f>
        <v>9204</v>
      </c>
      <c r="H112" s="386" t="e">
        <f>#REF!</f>
        <v>#REF!</v>
      </c>
      <c r="I112" s="386" t="e">
        <f>#REF!</f>
        <v>#REF!</v>
      </c>
      <c r="J112" s="401" t="e">
        <f t="shared" si="10"/>
        <v>#REF!</v>
      </c>
      <c r="K112" s="386" t="e">
        <f t="shared" si="11"/>
        <v>#REF!</v>
      </c>
      <c r="L112" s="386" t="e">
        <f>#REF!</f>
        <v>#REF!</v>
      </c>
      <c r="M112" s="339" t="e">
        <f t="shared" si="12"/>
        <v>#REF!</v>
      </c>
    </row>
    <row r="113" spans="2:13">
      <c r="B113" s="398" t="s">
        <v>46</v>
      </c>
      <c r="C113" s="386" t="e">
        <f t="shared" si="8"/>
        <v>#REF!</v>
      </c>
      <c r="D113" s="386" t="e">
        <f>#REF!</f>
        <v>#REF!</v>
      </c>
      <c r="E113" s="340"/>
      <c r="F113" s="339">
        <f t="shared" si="9"/>
        <v>98451</v>
      </c>
      <c r="G113" s="386">
        <f>'West Dunbartonshire'!H47</f>
        <v>9976</v>
      </c>
      <c r="H113" s="386" t="e">
        <f>#REF!</f>
        <v>#REF!</v>
      </c>
      <c r="I113" s="386" t="e">
        <f>#REF!</f>
        <v>#REF!</v>
      </c>
      <c r="J113" s="401" t="e">
        <f t="shared" si="10"/>
        <v>#REF!</v>
      </c>
      <c r="K113" s="386" t="e">
        <f t="shared" si="11"/>
        <v>#REF!</v>
      </c>
      <c r="L113" s="386" t="e">
        <f>#REF!</f>
        <v>#REF!</v>
      </c>
      <c r="M113" s="339" t="e">
        <f t="shared" si="12"/>
        <v>#REF!</v>
      </c>
    </row>
    <row r="114" spans="2:13">
      <c r="B114" s="398" t="s">
        <v>47</v>
      </c>
      <c r="C114" s="386" t="e">
        <f t="shared" si="8"/>
        <v>#REF!</v>
      </c>
      <c r="D114" s="386" t="e">
        <f>#REF!</f>
        <v>#REF!</v>
      </c>
      <c r="E114" s="340"/>
      <c r="F114" s="339">
        <f t="shared" si="9"/>
        <v>225623</v>
      </c>
      <c r="G114" s="386">
        <f>'West Lothian'!H47</f>
        <v>15637</v>
      </c>
      <c r="H114" s="386" t="e">
        <f>#REF!</f>
        <v>#REF!</v>
      </c>
      <c r="I114" s="386" t="e">
        <f>#REF!</f>
        <v>#REF!</v>
      </c>
      <c r="J114" s="401" t="e">
        <f t="shared" si="10"/>
        <v>#REF!</v>
      </c>
      <c r="K114" s="386" t="e">
        <f t="shared" si="11"/>
        <v>#REF!</v>
      </c>
      <c r="L114" s="386" t="e">
        <f>#REF!</f>
        <v>#REF!</v>
      </c>
      <c r="M114" s="339" t="e">
        <f t="shared" si="12"/>
        <v>#REF!</v>
      </c>
    </row>
  </sheetData>
  <mergeCells count="2">
    <mergeCell ref="J3:K3"/>
    <mergeCell ref="M3:N3"/>
  </mergeCells>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metadata xmlns="http://www.objective.com/ecm/document/metadata/53D26341A57B383EE0540010E0463CCA" version="1.0.0">
  <systemFields>
    <field name="Objective-Id">
      <value order="0">A24740578</value>
    </field>
    <field name="Objective-Title">
      <value order="0">POBE 2019 - Publication - Workbook for web</value>
    </field>
    <field name="Objective-Description">
      <value order="0"/>
    </field>
    <field name="Objective-CreationStamp">
      <value order="0">2019-06-13T11:22:52Z</value>
    </field>
    <field name="Objective-IsApproved">
      <value order="0">false</value>
    </field>
    <field name="Objective-IsPublished">
      <value order="0">true</value>
    </field>
    <field name="Objective-DatePublished">
      <value order="0">2019-06-14T10:37:58Z</value>
    </field>
    <field name="Objective-ModificationStamp">
      <value order="0">2019-06-14T10:56:35Z</value>
    </field>
    <field name="Objective-Owner">
      <value order="0">Fillipi, Sam S (U443124)</value>
    </field>
    <field name="Objective-Path">
      <value order="0">Objective Global Folder:SG File Plan:Government, politics and public administration:Local government:Finance - Expenditure and grants:Research and analysis: Finance - Expenditure and grants:Statistical: Statistical returns - provisional outturn and budget estimates 2019: Research and analysis: Finance - expenditure and grants: 2019-2024</value>
    </field>
    <field name="Objective-Parent">
      <value order="0">Statistical: Statistical returns - provisional outturn and budget estimates 2019: Research and analysis: Finance - expenditure and grants: 2019-2024</value>
    </field>
    <field name="Objective-State">
      <value order="0">Published</value>
    </field>
    <field name="Objective-VersionId">
      <value order="0">vA35490172</value>
    </field>
    <field name="Objective-Version">
      <value order="0">1.0</value>
    </field>
    <field name="Objective-VersionNumber">
      <value order="0">3</value>
    </field>
    <field name="Objective-VersionComment">
      <value order="0"/>
    </field>
    <field name="Objective-FileNumber">
      <value order="0">PUBRES/3902</value>
    </field>
    <field name="Objective-Classification">
      <value order="0">OFFICIAL</value>
    </field>
    <field name="Objective-Caveats">
      <value order="0">Caveat for access to SG Fileplan</value>
    </field>
  </systemFields>
  <catalogues>
    <catalogue name="Document Type Catalogue" type="type" ori="id:cA35">
      <field name="Objective-Date of Original">
        <value order="0"/>
      </field>
      <field name="Objective-Date Received">
        <value order="0"/>
      </field>
      <field name="Objective-SG Web Publication - Category">
        <value order="0"/>
      </field>
      <field name="Objective-SG Web Publication - Category 2 Classification">
        <value order="0"/>
      </field>
      <field name="Objective-Connect Creator">
        <value order="0"/>
      </field>
    </catalogue>
  </catalogues>
</metadata>
</file>

<file path=customXml/itemProps1.xml><?xml version="1.0" encoding="utf-8"?>
<ds:datastoreItem xmlns:ds="http://schemas.openxmlformats.org/officeDocument/2006/customXml" ds:itemID="{5745109E-2DDF-40CB-AC2B-FF9B10C90820}">
  <ds:schemaRefs>
    <ds:schemaRef ds:uri="http://www.objective.com/ecm/document/metadata/53D26341A57B383EE0540010E0463CC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42</vt:i4>
      </vt:variant>
    </vt:vector>
  </HeadingPairs>
  <TitlesOfParts>
    <vt:vector size="42" baseType="lpstr">
      <vt:lpstr>Publication Tables - Original</vt:lpstr>
      <vt:lpstr>Scotland</vt:lpstr>
      <vt:lpstr>Aberdeen City</vt:lpstr>
      <vt:lpstr>Aberdeenshire</vt:lpstr>
      <vt:lpstr>Angus</vt:lpstr>
      <vt:lpstr>Argyll &amp; Bute</vt:lpstr>
      <vt:lpstr>Clackmannanshire</vt:lpstr>
      <vt:lpstr>Dumfries &amp; Galloway</vt:lpstr>
      <vt:lpstr>Dundee City</vt:lpstr>
      <vt:lpstr>East Ayrshire</vt:lpstr>
      <vt:lpstr>East Dunbartonshire</vt:lpstr>
      <vt:lpstr>East Lothian</vt:lpstr>
      <vt:lpstr>East Renfrewshire</vt:lpstr>
      <vt:lpstr>Edinburgh, City of</vt:lpstr>
      <vt:lpstr>Eilean Siar</vt:lpstr>
      <vt:lpstr>Falkirk</vt:lpstr>
      <vt:lpstr>Fife</vt:lpstr>
      <vt:lpstr>Glasgow City</vt:lpstr>
      <vt:lpstr>Highland</vt:lpstr>
      <vt:lpstr>Inverclyde</vt:lpstr>
      <vt:lpstr>Midlothian</vt:lpstr>
      <vt:lpstr>Moray</vt:lpstr>
      <vt:lpstr>North Ayrshire</vt:lpstr>
      <vt:lpstr>North Lanarkshire</vt:lpstr>
      <vt:lpstr>Orkney Islands</vt:lpstr>
      <vt:lpstr>Perth &amp; Kinross</vt:lpstr>
      <vt:lpstr>Renfrewshire</vt:lpstr>
      <vt:lpstr>Scottish Borders</vt:lpstr>
      <vt:lpstr>Shetland Islands</vt:lpstr>
      <vt:lpstr>South Ayrshire</vt:lpstr>
      <vt:lpstr>South Lanarkshire</vt:lpstr>
      <vt:lpstr>Stirling</vt:lpstr>
      <vt:lpstr>West Dunbartonshire</vt:lpstr>
      <vt:lpstr>West Lothian</vt:lpstr>
      <vt:lpstr>Children&amp;Families inc Ad Info</vt:lpstr>
      <vt:lpstr>Buses - subsidy</vt:lpstr>
      <vt:lpstr>CultureHeritage</vt:lpstr>
      <vt:lpstr>Tourism</vt:lpstr>
      <vt:lpstr>RecSport</vt:lpstr>
      <vt:lpstr>Library</vt:lpstr>
      <vt:lpstr>Other</vt:lpstr>
      <vt:lpstr>RSG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SCOTTISH OFFICE</dc:creator>
  <cp:lastModifiedBy>U443124</cp:lastModifiedBy>
  <cp:lastPrinted>2016-06-14T09:11:27Z</cp:lastPrinted>
  <dcterms:created xsi:type="dcterms:W3CDTF">1998-11-26T15:43:12Z</dcterms:created>
  <dcterms:modified xsi:type="dcterms:W3CDTF">2019-10-04T15:19:22Z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bjective-Id">
    <vt:lpwstr>A24740578</vt:lpwstr>
  </property>
  <property fmtid="{D5CDD505-2E9C-101B-9397-08002B2CF9AE}" pid="3" name="Objective-Comment">
    <vt:lpwstr/>
  </property>
  <property fmtid="{D5CDD505-2E9C-101B-9397-08002B2CF9AE}" pid="4" name="Objective-CreationStamp">
    <vt:filetime>2019-06-13T13:05:23Z</vt:filetime>
  </property>
  <property fmtid="{D5CDD505-2E9C-101B-9397-08002B2CF9AE}" pid="5" name="Objective-IsApproved">
    <vt:bool>false</vt:bool>
  </property>
  <property fmtid="{D5CDD505-2E9C-101B-9397-08002B2CF9AE}" pid="6" name="Objective-IsPublished">
    <vt:bool>true</vt:bool>
  </property>
  <property fmtid="{D5CDD505-2E9C-101B-9397-08002B2CF9AE}" pid="7" name="Objective-DatePublished">
    <vt:filetime>2019-06-14T10:37:58Z</vt:filetime>
  </property>
  <property fmtid="{D5CDD505-2E9C-101B-9397-08002B2CF9AE}" pid="8" name="Objective-ModificationStamp">
    <vt:filetime>2019-06-14T10:56:35Z</vt:filetime>
  </property>
  <property fmtid="{D5CDD505-2E9C-101B-9397-08002B2CF9AE}" pid="9" name="Objective-Owner">
    <vt:lpwstr>Fillipi, Sam S (U443124)</vt:lpwstr>
  </property>
  <property fmtid="{D5CDD505-2E9C-101B-9397-08002B2CF9AE}" pid="10" name="Objective-Path">
    <vt:lpwstr>Objective Global Folder:SG File Plan:Government, politics and public administration:Local government:Finance - Expenditure and grants:Research and analysis: Finance - Expenditure and grants:Statistical: Statistical returns - provisional outturn and budget</vt:lpwstr>
  </property>
  <property fmtid="{D5CDD505-2E9C-101B-9397-08002B2CF9AE}" pid="11" name="Objective-Parent">
    <vt:lpwstr>Statistical: Statistical returns - provisional outturn and budget estimates 2019: Research and analysis: Finance - expenditure and grants: 2019-2024</vt:lpwstr>
  </property>
  <property fmtid="{D5CDD505-2E9C-101B-9397-08002B2CF9AE}" pid="12" name="Objective-State">
    <vt:lpwstr>Published</vt:lpwstr>
  </property>
  <property fmtid="{D5CDD505-2E9C-101B-9397-08002B2CF9AE}" pid="13" name="Objective-Title">
    <vt:lpwstr>POBE 2019 - Publication - Workbook for web</vt:lpwstr>
  </property>
  <property fmtid="{D5CDD505-2E9C-101B-9397-08002B2CF9AE}" pid="14" name="Objective-Version">
    <vt:lpwstr>1.0</vt:lpwstr>
  </property>
  <property fmtid="{D5CDD505-2E9C-101B-9397-08002B2CF9AE}" pid="15" name="Objective-VersionComment">
    <vt:lpwstr/>
  </property>
  <property fmtid="{D5CDD505-2E9C-101B-9397-08002B2CF9AE}" pid="16" name="Objective-VersionNumber">
    <vt:r8>3</vt:r8>
  </property>
  <property fmtid="{D5CDD505-2E9C-101B-9397-08002B2CF9AE}" pid="17" name="Objective-FileNumber">
    <vt:lpwstr/>
  </property>
  <property fmtid="{D5CDD505-2E9C-101B-9397-08002B2CF9AE}" pid="18" name="Objective-Classification">
    <vt:lpwstr>[Inherited - OFFICIAL]</vt:lpwstr>
  </property>
  <property fmtid="{D5CDD505-2E9C-101B-9397-08002B2CF9AE}" pid="19" name="Objective-Caveats">
    <vt:lpwstr/>
  </property>
  <property fmtid="{D5CDD505-2E9C-101B-9397-08002B2CF9AE}" pid="20" name="Objective-Date of Original [system]">
    <vt:lpwstr/>
  </property>
  <property fmtid="{D5CDD505-2E9C-101B-9397-08002B2CF9AE}" pid="21" name="Objective-Date Received [system]">
    <vt:lpwstr/>
  </property>
  <property fmtid="{D5CDD505-2E9C-101B-9397-08002B2CF9AE}" pid="22" name="Objective-SG Web Publication - Category [system]">
    <vt:lpwstr/>
  </property>
  <property fmtid="{D5CDD505-2E9C-101B-9397-08002B2CF9AE}" pid="23" name="Objective-SG Web Publication - Category 2 Classification [system]">
    <vt:lpwstr/>
  </property>
  <property fmtid="{D5CDD505-2E9C-101B-9397-08002B2CF9AE}" pid="24" name="Objective-Description">
    <vt:lpwstr/>
  </property>
  <property fmtid="{D5CDD505-2E9C-101B-9397-08002B2CF9AE}" pid="25" name="Objective-VersionId">
    <vt:lpwstr>vA35490172</vt:lpwstr>
  </property>
  <property fmtid="{D5CDD505-2E9C-101B-9397-08002B2CF9AE}" pid="26" name="Objective-Date Received">
    <vt:lpwstr/>
  </property>
  <property fmtid="{D5CDD505-2E9C-101B-9397-08002B2CF9AE}" pid="27" name="Objective-Date of Original">
    <vt:lpwstr/>
  </property>
  <property fmtid="{D5CDD505-2E9C-101B-9397-08002B2CF9AE}" pid="28" name="Objective-SG Web Publication - Category">
    <vt:lpwstr/>
  </property>
  <property fmtid="{D5CDD505-2E9C-101B-9397-08002B2CF9AE}" pid="29" name="Objective-SG Web Publication - Category 2 Classification">
    <vt:lpwstr/>
  </property>
  <property fmtid="{D5CDD505-2E9C-101B-9397-08002B2CF9AE}" pid="30" name="Objective-Connect Creator">
    <vt:lpwstr/>
  </property>
  <property fmtid="{D5CDD505-2E9C-101B-9397-08002B2CF9AE}" pid="31" name="Objective-Connect Creator [system]">
    <vt:lpwstr/>
  </property>
</Properties>
</file>